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C:\Users\AGNES\PycharmProjects\new_Project\"/>
    </mc:Choice>
  </mc:AlternateContent>
  <xr:revisionPtr revIDLastSave="0" documentId="13_ncr:1_{FF73EB88-9F38-43B3-A56E-CF217E272EB0}" xr6:coauthVersionLast="47" xr6:coauthVersionMax="47" xr10:uidLastSave="{00000000-0000-0000-0000-000000000000}"/>
  <bookViews>
    <workbookView xWindow="-120" yWindow="-120" windowWidth="24240" windowHeight="13140" xr2:uid="{9F9F8C23-004D-47EA-9BAC-859FFCC178D2}"/>
  </bookViews>
  <sheets>
    <sheet name="Deals (investment)" sheetId="1" r:id="rId1"/>
  </sheets>
  <externalReferences>
    <externalReference r:id="rId2"/>
  </externalReferences>
  <definedNames>
    <definedName name="_xlnm._FilterDatabase" localSheetId="0" hidden="1">'Deals (investment)'!$A$1:$BM$2060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S2060" i="1" l="1"/>
  <c r="AA2060" i="1" s="1"/>
  <c r="AO2060" i="1"/>
  <c r="AN2060" i="1"/>
  <c r="AM2060" i="1"/>
  <c r="AL2060" i="1"/>
  <c r="AK2060" i="1"/>
  <c r="AJ2060" i="1"/>
  <c r="AI2060" i="1"/>
  <c r="AH2060" i="1"/>
  <c r="AG2060" i="1"/>
  <c r="AF2060" i="1"/>
  <c r="AE2060" i="1"/>
  <c r="AD2060" i="1"/>
  <c r="AC2060" i="1"/>
  <c r="AB2060" i="1"/>
  <c r="AS2059" i="1"/>
  <c r="AA2059" i="1" s="1"/>
  <c r="AO2059" i="1"/>
  <c r="AN2059" i="1"/>
  <c r="AM2059" i="1"/>
  <c r="AL2059" i="1"/>
  <c r="AK2059" i="1"/>
  <c r="AJ2059" i="1"/>
  <c r="AI2059" i="1"/>
  <c r="AH2059" i="1"/>
  <c r="AG2059" i="1"/>
  <c r="AF2059" i="1"/>
  <c r="AE2059" i="1"/>
  <c r="AD2059" i="1"/>
  <c r="AC2059" i="1"/>
  <c r="AB2059" i="1"/>
  <c r="AS2058" i="1"/>
  <c r="AA2058" i="1" s="1"/>
  <c r="AO2058" i="1"/>
  <c r="AN2058" i="1"/>
  <c r="AM2058" i="1"/>
  <c r="AL2058" i="1"/>
  <c r="AK2058" i="1"/>
  <c r="AJ2058" i="1"/>
  <c r="AI2058" i="1"/>
  <c r="AH2058" i="1"/>
  <c r="AG2058" i="1"/>
  <c r="AF2058" i="1"/>
  <c r="AE2058" i="1"/>
  <c r="AD2058" i="1"/>
  <c r="AC2058" i="1"/>
  <c r="AB2058" i="1"/>
  <c r="AS2057" i="1"/>
  <c r="AA2057" i="1" s="1"/>
  <c r="AO2057" i="1"/>
  <c r="AN2057" i="1"/>
  <c r="AM2057" i="1"/>
  <c r="AL2057" i="1"/>
  <c r="AK2057" i="1"/>
  <c r="AJ2057" i="1"/>
  <c r="AI2057" i="1"/>
  <c r="AH2057" i="1"/>
  <c r="AG2057" i="1"/>
  <c r="AF2057" i="1"/>
  <c r="AE2057" i="1"/>
  <c r="AD2057" i="1"/>
  <c r="AC2057" i="1"/>
  <c r="AB2057" i="1"/>
  <c r="AS2056" i="1"/>
  <c r="AA2056" i="1" s="1"/>
  <c r="AO2056" i="1"/>
  <c r="AN2056" i="1"/>
  <c r="AM2056" i="1"/>
  <c r="AL2056" i="1"/>
  <c r="AK2056" i="1"/>
  <c r="AJ2056" i="1"/>
  <c r="AI2056" i="1"/>
  <c r="AH2056" i="1"/>
  <c r="AG2056" i="1"/>
  <c r="AF2056" i="1"/>
  <c r="AE2056" i="1"/>
  <c r="AD2056" i="1"/>
  <c r="AC2056" i="1"/>
  <c r="AB2056" i="1"/>
  <c r="AS2055" i="1"/>
  <c r="AA2055" i="1" s="1"/>
  <c r="AO2055" i="1"/>
  <c r="AN2055" i="1"/>
  <c r="AM2055" i="1"/>
  <c r="AL2055" i="1"/>
  <c r="AK2055" i="1"/>
  <c r="AJ2055" i="1"/>
  <c r="AI2055" i="1"/>
  <c r="AH2055" i="1"/>
  <c r="AG2055" i="1"/>
  <c r="AF2055" i="1"/>
  <c r="AE2055" i="1"/>
  <c r="AD2055" i="1"/>
  <c r="AC2055" i="1"/>
  <c r="AB2055" i="1"/>
  <c r="AS2054" i="1"/>
  <c r="AA2054" i="1" s="1"/>
  <c r="AO2054" i="1"/>
  <c r="AN2054" i="1"/>
  <c r="AM2054" i="1"/>
  <c r="AL2054" i="1"/>
  <c r="AK2054" i="1"/>
  <c r="AJ2054" i="1"/>
  <c r="AI2054" i="1"/>
  <c r="AH2054" i="1"/>
  <c r="AG2054" i="1"/>
  <c r="AF2054" i="1"/>
  <c r="AE2054" i="1"/>
  <c r="AD2054" i="1"/>
  <c r="AC2054" i="1"/>
  <c r="AB2054" i="1"/>
  <c r="AS2053" i="1"/>
  <c r="AA2053" i="1" s="1"/>
  <c r="AO2053" i="1"/>
  <c r="AN2053" i="1"/>
  <c r="AM2053" i="1"/>
  <c r="AL2053" i="1"/>
  <c r="AK2053" i="1"/>
  <c r="AJ2053" i="1"/>
  <c r="AI2053" i="1"/>
  <c r="AH2053" i="1"/>
  <c r="AG2053" i="1"/>
  <c r="AF2053" i="1"/>
  <c r="AE2053" i="1"/>
  <c r="AD2053" i="1"/>
  <c r="AC2053" i="1"/>
  <c r="AB2053" i="1"/>
  <c r="AS2052" i="1"/>
  <c r="AA2052" i="1" s="1"/>
  <c r="AO2052" i="1"/>
  <c r="AN2052" i="1"/>
  <c r="AM2052" i="1"/>
  <c r="AL2052" i="1"/>
  <c r="AK2052" i="1"/>
  <c r="AJ2052" i="1"/>
  <c r="AI2052" i="1"/>
  <c r="AH2052" i="1"/>
  <c r="AG2052" i="1"/>
  <c r="AF2052" i="1"/>
  <c r="AE2052" i="1"/>
  <c r="AD2052" i="1"/>
  <c r="AC2052" i="1"/>
  <c r="AB2052" i="1"/>
  <c r="AS2051" i="1"/>
  <c r="AA2051" i="1" s="1"/>
  <c r="AO2051" i="1"/>
  <c r="AN2051" i="1"/>
  <c r="AM2051" i="1"/>
  <c r="AL2051" i="1"/>
  <c r="AK2051" i="1"/>
  <c r="AJ2051" i="1"/>
  <c r="AI2051" i="1"/>
  <c r="AH2051" i="1"/>
  <c r="AG2051" i="1"/>
  <c r="AF2051" i="1"/>
  <c r="AE2051" i="1"/>
  <c r="AD2051" i="1"/>
  <c r="AC2051" i="1"/>
  <c r="AB2051" i="1"/>
  <c r="AS2050" i="1"/>
  <c r="AA2050" i="1" s="1"/>
  <c r="AO2050" i="1"/>
  <c r="AN2050" i="1"/>
  <c r="AM2050" i="1"/>
  <c r="AL2050" i="1"/>
  <c r="AK2050" i="1"/>
  <c r="AJ2050" i="1"/>
  <c r="AI2050" i="1"/>
  <c r="AH2050" i="1"/>
  <c r="AG2050" i="1"/>
  <c r="AF2050" i="1"/>
  <c r="AE2050" i="1"/>
  <c r="AD2050" i="1"/>
  <c r="AC2050" i="1"/>
  <c r="AB2050" i="1"/>
  <c r="AS2049" i="1"/>
  <c r="AA2049" i="1" s="1"/>
  <c r="AO2049" i="1"/>
  <c r="AN2049" i="1"/>
  <c r="AM2049" i="1"/>
  <c r="AL2049" i="1"/>
  <c r="AK2049" i="1"/>
  <c r="AJ2049" i="1"/>
  <c r="AI2049" i="1"/>
  <c r="AH2049" i="1"/>
  <c r="AG2049" i="1"/>
  <c r="AF2049" i="1"/>
  <c r="AE2049" i="1"/>
  <c r="AD2049" i="1"/>
  <c r="AC2049" i="1"/>
  <c r="AB2049" i="1"/>
  <c r="AS2048" i="1"/>
  <c r="AA2048" i="1" s="1"/>
  <c r="AO2048" i="1"/>
  <c r="AN2048" i="1"/>
  <c r="AM2048" i="1"/>
  <c r="AL2048" i="1"/>
  <c r="AK2048" i="1"/>
  <c r="AJ2048" i="1"/>
  <c r="AI2048" i="1"/>
  <c r="AH2048" i="1"/>
  <c r="AG2048" i="1"/>
  <c r="AF2048" i="1"/>
  <c r="AE2048" i="1"/>
  <c r="AD2048" i="1"/>
  <c r="AC2048" i="1"/>
  <c r="AB2048" i="1"/>
  <c r="AS2047" i="1"/>
  <c r="AA2047" i="1" s="1"/>
  <c r="AO2047" i="1"/>
  <c r="AN2047" i="1"/>
  <c r="AM2047" i="1"/>
  <c r="AL2047" i="1"/>
  <c r="AK2047" i="1"/>
  <c r="AJ2047" i="1"/>
  <c r="AI2047" i="1"/>
  <c r="AH2047" i="1"/>
  <c r="AG2047" i="1"/>
  <c r="AF2047" i="1"/>
  <c r="AE2047" i="1"/>
  <c r="AD2047" i="1"/>
  <c r="AC2047" i="1"/>
  <c r="AB2047" i="1"/>
  <c r="AS2046" i="1"/>
  <c r="AA2046" i="1" s="1"/>
  <c r="AO2046" i="1"/>
  <c r="AN2046" i="1"/>
  <c r="AM2046" i="1"/>
  <c r="AL2046" i="1"/>
  <c r="AK2046" i="1"/>
  <c r="AJ2046" i="1"/>
  <c r="AI2046" i="1"/>
  <c r="AH2046" i="1"/>
  <c r="AG2046" i="1"/>
  <c r="AF2046" i="1"/>
  <c r="AE2046" i="1"/>
  <c r="AD2046" i="1"/>
  <c r="AC2046" i="1"/>
  <c r="AB2046" i="1"/>
  <c r="AS2045" i="1"/>
  <c r="AA2045" i="1" s="1"/>
  <c r="AO2045" i="1"/>
  <c r="AN2045" i="1"/>
  <c r="AM2045" i="1"/>
  <c r="AL2045" i="1"/>
  <c r="AK2045" i="1"/>
  <c r="AJ2045" i="1"/>
  <c r="AI2045" i="1"/>
  <c r="AH2045" i="1"/>
  <c r="AG2045" i="1"/>
  <c r="AF2045" i="1"/>
  <c r="AE2045" i="1"/>
  <c r="AD2045" i="1"/>
  <c r="AC2045" i="1"/>
  <c r="AB2045" i="1"/>
  <c r="AS2044" i="1"/>
  <c r="AA2044" i="1" s="1"/>
  <c r="AO2044" i="1"/>
  <c r="AN2044" i="1"/>
  <c r="AM2044" i="1"/>
  <c r="AL2044" i="1"/>
  <c r="AK2044" i="1"/>
  <c r="AJ2044" i="1"/>
  <c r="AI2044" i="1"/>
  <c r="AH2044" i="1"/>
  <c r="AG2044" i="1"/>
  <c r="AF2044" i="1"/>
  <c r="AE2044" i="1"/>
  <c r="AD2044" i="1"/>
  <c r="AC2044" i="1"/>
  <c r="AB2044" i="1"/>
  <c r="AS2043" i="1"/>
  <c r="AA2043" i="1" s="1"/>
  <c r="AO2043" i="1"/>
  <c r="AN2043" i="1"/>
  <c r="AM2043" i="1"/>
  <c r="AL2043" i="1"/>
  <c r="AK2043" i="1"/>
  <c r="AJ2043" i="1"/>
  <c r="AI2043" i="1"/>
  <c r="AH2043" i="1"/>
  <c r="AG2043" i="1"/>
  <c r="AF2043" i="1"/>
  <c r="AE2043" i="1"/>
  <c r="AD2043" i="1"/>
  <c r="AC2043" i="1"/>
  <c r="AB2043" i="1"/>
  <c r="AS2042" i="1"/>
  <c r="AA2042" i="1" s="1"/>
  <c r="AO2042" i="1"/>
  <c r="AN2042" i="1"/>
  <c r="AM2042" i="1"/>
  <c r="AL2042" i="1"/>
  <c r="AK2042" i="1"/>
  <c r="AJ2042" i="1"/>
  <c r="AI2042" i="1"/>
  <c r="AH2042" i="1"/>
  <c r="AG2042" i="1"/>
  <c r="AF2042" i="1"/>
  <c r="AE2042" i="1"/>
  <c r="AD2042" i="1"/>
  <c r="AC2042" i="1"/>
  <c r="AB2042" i="1"/>
  <c r="AS2041" i="1"/>
  <c r="AA2041" i="1" s="1"/>
  <c r="AO2041" i="1"/>
  <c r="AN2041" i="1"/>
  <c r="AM2041" i="1"/>
  <c r="AL2041" i="1"/>
  <c r="AK2041" i="1"/>
  <c r="AJ2041" i="1"/>
  <c r="AI2041" i="1"/>
  <c r="AH2041" i="1"/>
  <c r="AG2041" i="1"/>
  <c r="AF2041" i="1"/>
  <c r="AE2041" i="1"/>
  <c r="AD2041" i="1"/>
  <c r="AC2041" i="1"/>
  <c r="AB2041" i="1"/>
  <c r="AS2040" i="1"/>
  <c r="AA2040" i="1" s="1"/>
  <c r="AO2040" i="1"/>
  <c r="AN2040" i="1"/>
  <c r="AM2040" i="1"/>
  <c r="AL2040" i="1"/>
  <c r="AK2040" i="1"/>
  <c r="AJ2040" i="1"/>
  <c r="AI2040" i="1"/>
  <c r="AH2040" i="1"/>
  <c r="AG2040" i="1"/>
  <c r="AF2040" i="1"/>
  <c r="AE2040" i="1"/>
  <c r="AD2040" i="1"/>
  <c r="AC2040" i="1"/>
  <c r="AB2040" i="1"/>
  <c r="AS2039" i="1"/>
  <c r="AA2039" i="1" s="1"/>
  <c r="AO2039" i="1"/>
  <c r="AN2039" i="1"/>
  <c r="AM2039" i="1"/>
  <c r="AL2039" i="1"/>
  <c r="AK2039" i="1"/>
  <c r="AJ2039" i="1"/>
  <c r="AI2039" i="1"/>
  <c r="AH2039" i="1"/>
  <c r="AG2039" i="1"/>
  <c r="AF2039" i="1"/>
  <c r="AE2039" i="1"/>
  <c r="AD2039" i="1"/>
  <c r="AC2039" i="1"/>
  <c r="AB2039" i="1"/>
  <c r="AS2038" i="1"/>
  <c r="AA2038" i="1" s="1"/>
  <c r="AO2038" i="1"/>
  <c r="AN2038" i="1"/>
  <c r="AM2038" i="1"/>
  <c r="AL2038" i="1"/>
  <c r="AK2038" i="1"/>
  <c r="AJ2038" i="1"/>
  <c r="AI2038" i="1"/>
  <c r="AH2038" i="1"/>
  <c r="AG2038" i="1"/>
  <c r="AF2038" i="1"/>
  <c r="AE2038" i="1"/>
  <c r="AD2038" i="1"/>
  <c r="AC2038" i="1"/>
  <c r="AB2038" i="1"/>
  <c r="AS2037" i="1"/>
  <c r="AA2037" i="1" s="1"/>
  <c r="AO2037" i="1"/>
  <c r="AN2037" i="1"/>
  <c r="AM2037" i="1"/>
  <c r="AL2037" i="1"/>
  <c r="AK2037" i="1"/>
  <c r="AJ2037" i="1"/>
  <c r="AI2037" i="1"/>
  <c r="AH2037" i="1"/>
  <c r="AG2037" i="1"/>
  <c r="AF2037" i="1"/>
  <c r="AE2037" i="1"/>
  <c r="AD2037" i="1"/>
  <c r="AC2037" i="1"/>
  <c r="AB2037" i="1"/>
  <c r="AS2036" i="1"/>
  <c r="AA2036" i="1" s="1"/>
  <c r="AO2036" i="1"/>
  <c r="AN2036" i="1"/>
  <c r="AM2036" i="1"/>
  <c r="AL2036" i="1"/>
  <c r="AK2036" i="1"/>
  <c r="AJ2036" i="1"/>
  <c r="AI2036" i="1"/>
  <c r="AH2036" i="1"/>
  <c r="AG2036" i="1"/>
  <c r="AF2036" i="1"/>
  <c r="AE2036" i="1"/>
  <c r="AD2036" i="1"/>
  <c r="AC2036" i="1"/>
  <c r="AB2036" i="1"/>
  <c r="AS2035" i="1"/>
  <c r="AA2035" i="1" s="1"/>
  <c r="AO2035" i="1"/>
  <c r="AN2035" i="1"/>
  <c r="AM2035" i="1"/>
  <c r="AL2035" i="1"/>
  <c r="AK2035" i="1"/>
  <c r="AJ2035" i="1"/>
  <c r="AI2035" i="1"/>
  <c r="AH2035" i="1"/>
  <c r="AG2035" i="1"/>
  <c r="AF2035" i="1"/>
  <c r="AE2035" i="1"/>
  <c r="AD2035" i="1"/>
  <c r="AC2035" i="1"/>
  <c r="AB2035" i="1"/>
  <c r="AS2034" i="1"/>
  <c r="AA2034" i="1" s="1"/>
  <c r="AO2034" i="1"/>
  <c r="AN2034" i="1"/>
  <c r="AM2034" i="1"/>
  <c r="AL2034" i="1"/>
  <c r="AK2034" i="1"/>
  <c r="AJ2034" i="1"/>
  <c r="AI2034" i="1"/>
  <c r="AH2034" i="1"/>
  <c r="AG2034" i="1"/>
  <c r="AF2034" i="1"/>
  <c r="AE2034" i="1"/>
  <c r="AD2034" i="1"/>
  <c r="AC2034" i="1"/>
  <c r="AB2034" i="1"/>
  <c r="AS2033" i="1"/>
  <c r="AA2033" i="1" s="1"/>
  <c r="AO2033" i="1"/>
  <c r="AN2033" i="1"/>
  <c r="AM2033" i="1"/>
  <c r="AL2033" i="1"/>
  <c r="AK2033" i="1"/>
  <c r="AJ2033" i="1"/>
  <c r="AI2033" i="1"/>
  <c r="AH2033" i="1"/>
  <c r="AG2033" i="1"/>
  <c r="AF2033" i="1"/>
  <c r="AE2033" i="1"/>
  <c r="AD2033" i="1"/>
  <c r="AC2033" i="1"/>
  <c r="AB2033" i="1"/>
  <c r="AS2032" i="1"/>
  <c r="AA2032" i="1" s="1"/>
  <c r="AO2032" i="1"/>
  <c r="AN2032" i="1"/>
  <c r="AM2032" i="1"/>
  <c r="AL2032" i="1"/>
  <c r="AK2032" i="1"/>
  <c r="AJ2032" i="1"/>
  <c r="AI2032" i="1"/>
  <c r="AH2032" i="1"/>
  <c r="AG2032" i="1"/>
  <c r="AF2032" i="1"/>
  <c r="AE2032" i="1"/>
  <c r="AD2032" i="1"/>
  <c r="AC2032" i="1"/>
  <c r="AB2032" i="1"/>
  <c r="AS2031" i="1"/>
  <c r="AA2031" i="1" s="1"/>
  <c r="AO2031" i="1"/>
  <c r="AN2031" i="1"/>
  <c r="AM2031" i="1"/>
  <c r="AL2031" i="1"/>
  <c r="AK2031" i="1"/>
  <c r="AJ2031" i="1"/>
  <c r="AI2031" i="1"/>
  <c r="AH2031" i="1"/>
  <c r="AG2031" i="1"/>
  <c r="AF2031" i="1"/>
  <c r="AE2031" i="1"/>
  <c r="AD2031" i="1"/>
  <c r="AC2031" i="1"/>
  <c r="AB2031" i="1"/>
  <c r="AS2030" i="1"/>
  <c r="AA2030" i="1" s="1"/>
  <c r="AO2030" i="1"/>
  <c r="AN2030" i="1"/>
  <c r="AM2030" i="1"/>
  <c r="AL2030" i="1"/>
  <c r="AK2030" i="1"/>
  <c r="AJ2030" i="1"/>
  <c r="AI2030" i="1"/>
  <c r="AH2030" i="1"/>
  <c r="AG2030" i="1"/>
  <c r="AF2030" i="1"/>
  <c r="AE2030" i="1"/>
  <c r="AD2030" i="1"/>
  <c r="AC2030" i="1"/>
  <c r="AB2030" i="1"/>
  <c r="AS2029" i="1"/>
  <c r="AA2029" i="1" s="1"/>
  <c r="AO2029" i="1"/>
  <c r="AN2029" i="1"/>
  <c r="AM2029" i="1"/>
  <c r="AL2029" i="1"/>
  <c r="AK2029" i="1"/>
  <c r="AJ2029" i="1"/>
  <c r="AI2029" i="1"/>
  <c r="AH2029" i="1"/>
  <c r="AG2029" i="1"/>
  <c r="AF2029" i="1"/>
  <c r="AE2029" i="1"/>
  <c r="AD2029" i="1"/>
  <c r="AC2029" i="1"/>
  <c r="AB2029" i="1"/>
  <c r="AS2028" i="1"/>
  <c r="AA2028" i="1" s="1"/>
  <c r="AO2028" i="1"/>
  <c r="AN2028" i="1"/>
  <c r="AM2028" i="1"/>
  <c r="AL2028" i="1"/>
  <c r="AK2028" i="1"/>
  <c r="AJ2028" i="1"/>
  <c r="AI2028" i="1"/>
  <c r="AH2028" i="1"/>
  <c r="AG2028" i="1"/>
  <c r="AF2028" i="1"/>
  <c r="AE2028" i="1"/>
  <c r="AD2028" i="1"/>
  <c r="AC2028" i="1"/>
  <c r="AB2028" i="1"/>
  <c r="AS2027" i="1"/>
  <c r="AA2027" i="1" s="1"/>
  <c r="AO2027" i="1"/>
  <c r="AN2027" i="1"/>
  <c r="AM2027" i="1"/>
  <c r="AL2027" i="1"/>
  <c r="AK2027" i="1"/>
  <c r="AJ2027" i="1"/>
  <c r="AI2027" i="1"/>
  <c r="AH2027" i="1"/>
  <c r="AG2027" i="1"/>
  <c r="AF2027" i="1"/>
  <c r="AE2027" i="1"/>
  <c r="AD2027" i="1"/>
  <c r="AC2027" i="1"/>
  <c r="AB2027" i="1"/>
  <c r="AS2026" i="1"/>
  <c r="AA2026" i="1" s="1"/>
  <c r="AO2026" i="1"/>
  <c r="AN2026" i="1"/>
  <c r="AM2026" i="1"/>
  <c r="AL2026" i="1"/>
  <c r="AK2026" i="1"/>
  <c r="AJ2026" i="1"/>
  <c r="AI2026" i="1"/>
  <c r="AH2026" i="1"/>
  <c r="AG2026" i="1"/>
  <c r="AF2026" i="1"/>
  <c r="AE2026" i="1"/>
  <c r="AD2026" i="1"/>
  <c r="AC2026" i="1"/>
  <c r="AB2026" i="1"/>
  <c r="AS2025" i="1"/>
  <c r="AA2025" i="1" s="1"/>
  <c r="AO2025" i="1"/>
  <c r="AN2025" i="1"/>
  <c r="AM2025" i="1"/>
  <c r="AL2025" i="1"/>
  <c r="AK2025" i="1"/>
  <c r="AJ2025" i="1"/>
  <c r="AI2025" i="1"/>
  <c r="AH2025" i="1"/>
  <c r="AG2025" i="1"/>
  <c r="AF2025" i="1"/>
  <c r="AE2025" i="1"/>
  <c r="AD2025" i="1"/>
  <c r="AC2025" i="1"/>
  <c r="AB2025" i="1"/>
  <c r="AS2024" i="1"/>
  <c r="AA2024" i="1" s="1"/>
  <c r="AO2024" i="1"/>
  <c r="AN2024" i="1"/>
  <c r="AM2024" i="1"/>
  <c r="AL2024" i="1"/>
  <c r="AK2024" i="1"/>
  <c r="AJ2024" i="1"/>
  <c r="AI2024" i="1"/>
  <c r="AH2024" i="1"/>
  <c r="AG2024" i="1"/>
  <c r="AF2024" i="1"/>
  <c r="AE2024" i="1"/>
  <c r="AD2024" i="1"/>
  <c r="AC2024" i="1"/>
  <c r="AB2024" i="1"/>
  <c r="AS2023" i="1"/>
  <c r="AA2023" i="1" s="1"/>
  <c r="AO2023" i="1"/>
  <c r="AN2023" i="1"/>
  <c r="AM2023" i="1"/>
  <c r="AL2023" i="1"/>
  <c r="AK2023" i="1"/>
  <c r="AJ2023" i="1"/>
  <c r="AI2023" i="1"/>
  <c r="AH2023" i="1"/>
  <c r="AG2023" i="1"/>
  <c r="AF2023" i="1"/>
  <c r="AE2023" i="1"/>
  <c r="AD2023" i="1"/>
  <c r="AC2023" i="1"/>
  <c r="AB2023" i="1"/>
  <c r="AS2022" i="1"/>
  <c r="AA2022" i="1" s="1"/>
  <c r="AO2022" i="1"/>
  <c r="AN2022" i="1"/>
  <c r="AM2022" i="1"/>
  <c r="AL2022" i="1"/>
  <c r="AK2022" i="1"/>
  <c r="AJ2022" i="1"/>
  <c r="AI2022" i="1"/>
  <c r="AH2022" i="1"/>
  <c r="AG2022" i="1"/>
  <c r="AF2022" i="1"/>
  <c r="AE2022" i="1"/>
  <c r="AD2022" i="1"/>
  <c r="AC2022" i="1"/>
  <c r="AB2022" i="1"/>
  <c r="AS2021" i="1"/>
  <c r="AA2021" i="1" s="1"/>
  <c r="AO2021" i="1"/>
  <c r="AN2021" i="1"/>
  <c r="AM2021" i="1"/>
  <c r="AL2021" i="1"/>
  <c r="AK2021" i="1"/>
  <c r="AJ2021" i="1"/>
  <c r="AI2021" i="1"/>
  <c r="AH2021" i="1"/>
  <c r="AG2021" i="1"/>
  <c r="AF2021" i="1"/>
  <c r="AE2021" i="1"/>
  <c r="AD2021" i="1"/>
  <c r="AC2021" i="1"/>
  <c r="AB2021" i="1"/>
  <c r="AS2020" i="1"/>
  <c r="AA2020" i="1" s="1"/>
  <c r="AO2020" i="1"/>
  <c r="AN2020" i="1"/>
  <c r="AM2020" i="1"/>
  <c r="AL2020" i="1"/>
  <c r="AK2020" i="1"/>
  <c r="AJ2020" i="1"/>
  <c r="AI2020" i="1"/>
  <c r="AH2020" i="1"/>
  <c r="AG2020" i="1"/>
  <c r="AF2020" i="1"/>
  <c r="AE2020" i="1"/>
  <c r="AD2020" i="1"/>
  <c r="AC2020" i="1"/>
  <c r="AB2020" i="1"/>
  <c r="AS2019" i="1"/>
  <c r="AA2019" i="1" s="1"/>
  <c r="AO2019" i="1"/>
  <c r="AN2019" i="1"/>
  <c r="AM2019" i="1"/>
  <c r="AL2019" i="1"/>
  <c r="AK2019" i="1"/>
  <c r="AJ2019" i="1"/>
  <c r="AI2019" i="1"/>
  <c r="AH2019" i="1"/>
  <c r="AG2019" i="1"/>
  <c r="AF2019" i="1"/>
  <c r="AE2019" i="1"/>
  <c r="AD2019" i="1"/>
  <c r="AC2019" i="1"/>
  <c r="AB2019" i="1"/>
  <c r="AS2018" i="1"/>
  <c r="AA2018" i="1" s="1"/>
  <c r="AO2018" i="1"/>
  <c r="AN2018" i="1"/>
  <c r="AM2018" i="1"/>
  <c r="AL2018" i="1"/>
  <c r="AK2018" i="1"/>
  <c r="AJ2018" i="1"/>
  <c r="AI2018" i="1"/>
  <c r="AH2018" i="1"/>
  <c r="AG2018" i="1"/>
  <c r="AF2018" i="1"/>
  <c r="AE2018" i="1"/>
  <c r="AD2018" i="1"/>
  <c r="AC2018" i="1"/>
  <c r="AB2018" i="1"/>
  <c r="AS2017" i="1"/>
  <c r="AA2017" i="1" s="1"/>
  <c r="AO2017" i="1"/>
  <c r="AN2017" i="1"/>
  <c r="AM2017" i="1"/>
  <c r="AL2017" i="1"/>
  <c r="AK2017" i="1"/>
  <c r="AJ2017" i="1"/>
  <c r="AI2017" i="1"/>
  <c r="AH2017" i="1"/>
  <c r="AG2017" i="1"/>
  <c r="AF2017" i="1"/>
  <c r="AE2017" i="1"/>
  <c r="AD2017" i="1"/>
  <c r="AC2017" i="1"/>
  <c r="AB2017" i="1"/>
  <c r="AS2016" i="1"/>
  <c r="AA2016" i="1" s="1"/>
  <c r="AO2016" i="1"/>
  <c r="AN2016" i="1"/>
  <c r="AM2016" i="1"/>
  <c r="AL2016" i="1"/>
  <c r="AK2016" i="1"/>
  <c r="AJ2016" i="1"/>
  <c r="AI2016" i="1"/>
  <c r="AH2016" i="1"/>
  <c r="AG2016" i="1"/>
  <c r="AF2016" i="1"/>
  <c r="AE2016" i="1"/>
  <c r="AD2016" i="1"/>
  <c r="AC2016" i="1"/>
  <c r="AB2016" i="1"/>
  <c r="AS2015" i="1"/>
  <c r="AA2015" i="1" s="1"/>
  <c r="AO2015" i="1"/>
  <c r="AN2015" i="1"/>
  <c r="AM2015" i="1"/>
  <c r="AL2015" i="1"/>
  <c r="AK2015" i="1"/>
  <c r="AJ2015" i="1"/>
  <c r="AI2015" i="1"/>
  <c r="AH2015" i="1"/>
  <c r="AG2015" i="1"/>
  <c r="AF2015" i="1"/>
  <c r="AE2015" i="1"/>
  <c r="AD2015" i="1"/>
  <c r="AC2015" i="1"/>
  <c r="AB2015" i="1"/>
  <c r="AS2014" i="1"/>
  <c r="AA2014" i="1" s="1"/>
  <c r="AO2014" i="1"/>
  <c r="AN2014" i="1"/>
  <c r="AM2014" i="1"/>
  <c r="AL2014" i="1"/>
  <c r="AK2014" i="1"/>
  <c r="AJ2014" i="1"/>
  <c r="AI2014" i="1"/>
  <c r="AH2014" i="1"/>
  <c r="AG2014" i="1"/>
  <c r="AF2014" i="1"/>
  <c r="AE2014" i="1"/>
  <c r="AD2014" i="1"/>
  <c r="AC2014" i="1"/>
  <c r="AB2014" i="1"/>
  <c r="AS2013" i="1"/>
  <c r="AA2013" i="1" s="1"/>
  <c r="AO2013" i="1"/>
  <c r="AN2013" i="1"/>
  <c r="AM2013" i="1"/>
  <c r="AL2013" i="1"/>
  <c r="AK2013" i="1"/>
  <c r="AJ2013" i="1"/>
  <c r="AI2013" i="1"/>
  <c r="AH2013" i="1"/>
  <c r="AG2013" i="1"/>
  <c r="AF2013" i="1"/>
  <c r="AE2013" i="1"/>
  <c r="AD2013" i="1"/>
  <c r="AC2013" i="1"/>
  <c r="AB2013" i="1"/>
  <c r="AS2012" i="1"/>
  <c r="AA2012" i="1" s="1"/>
  <c r="AO2012" i="1"/>
  <c r="AN2012" i="1"/>
  <c r="AM2012" i="1"/>
  <c r="AL2012" i="1"/>
  <c r="AK2012" i="1"/>
  <c r="AJ2012" i="1"/>
  <c r="AI2012" i="1"/>
  <c r="AH2012" i="1"/>
  <c r="AG2012" i="1"/>
  <c r="AF2012" i="1"/>
  <c r="AE2012" i="1"/>
  <c r="AD2012" i="1"/>
  <c r="AC2012" i="1"/>
  <c r="AB2012" i="1"/>
  <c r="AS2011" i="1"/>
  <c r="AA2011" i="1" s="1"/>
  <c r="AO2011" i="1"/>
  <c r="AN2011" i="1"/>
  <c r="AM2011" i="1"/>
  <c r="AL2011" i="1"/>
  <c r="AK2011" i="1"/>
  <c r="AJ2011" i="1"/>
  <c r="AI2011" i="1"/>
  <c r="AH2011" i="1"/>
  <c r="AG2011" i="1"/>
  <c r="AF2011" i="1"/>
  <c r="AE2011" i="1"/>
  <c r="AD2011" i="1"/>
  <c r="AC2011" i="1"/>
  <c r="AB2011" i="1"/>
  <c r="AS2010" i="1"/>
  <c r="AA2010" i="1" s="1"/>
  <c r="AO2010" i="1"/>
  <c r="AN2010" i="1"/>
  <c r="AM2010" i="1"/>
  <c r="AL2010" i="1"/>
  <c r="AK2010" i="1"/>
  <c r="AJ2010" i="1"/>
  <c r="AI2010" i="1"/>
  <c r="AH2010" i="1"/>
  <c r="AG2010" i="1"/>
  <c r="AF2010" i="1"/>
  <c r="AE2010" i="1"/>
  <c r="AD2010" i="1"/>
  <c r="AC2010" i="1"/>
  <c r="AB2010" i="1"/>
  <c r="AS2009" i="1"/>
  <c r="AA2009" i="1" s="1"/>
  <c r="AO2009" i="1"/>
  <c r="AN2009" i="1"/>
  <c r="AM2009" i="1"/>
  <c r="AL2009" i="1"/>
  <c r="AK2009" i="1"/>
  <c r="AJ2009" i="1"/>
  <c r="AI2009" i="1"/>
  <c r="AH2009" i="1"/>
  <c r="AG2009" i="1"/>
  <c r="AF2009" i="1"/>
  <c r="AE2009" i="1"/>
  <c r="AD2009" i="1"/>
  <c r="AC2009" i="1"/>
  <c r="AB2009" i="1"/>
  <c r="AS2008" i="1"/>
  <c r="AA2008" i="1" s="1"/>
  <c r="AO2008" i="1"/>
  <c r="AN2008" i="1"/>
  <c r="AM2008" i="1"/>
  <c r="AL2008" i="1"/>
  <c r="AK2008" i="1"/>
  <c r="AJ2008" i="1"/>
  <c r="AI2008" i="1"/>
  <c r="AH2008" i="1"/>
  <c r="AG2008" i="1"/>
  <c r="AF2008" i="1"/>
  <c r="AE2008" i="1"/>
  <c r="AD2008" i="1"/>
  <c r="AC2008" i="1"/>
  <c r="AB2008" i="1"/>
  <c r="AS2007" i="1"/>
  <c r="AA2007" i="1" s="1"/>
  <c r="AO2007" i="1"/>
  <c r="AN2007" i="1"/>
  <c r="AM2007" i="1"/>
  <c r="AL2007" i="1"/>
  <c r="AK2007" i="1"/>
  <c r="AJ2007" i="1"/>
  <c r="AI2007" i="1"/>
  <c r="AH2007" i="1"/>
  <c r="AG2007" i="1"/>
  <c r="AF2007" i="1"/>
  <c r="AE2007" i="1"/>
  <c r="AD2007" i="1"/>
  <c r="AC2007" i="1"/>
  <c r="AB2007" i="1"/>
  <c r="AS2006" i="1"/>
  <c r="AA2006" i="1" s="1"/>
  <c r="AO2006" i="1"/>
  <c r="AN2006" i="1"/>
  <c r="AM2006" i="1"/>
  <c r="AL2006" i="1"/>
  <c r="AK2006" i="1"/>
  <c r="AJ2006" i="1"/>
  <c r="AI2006" i="1"/>
  <c r="AH2006" i="1"/>
  <c r="AG2006" i="1"/>
  <c r="AF2006" i="1"/>
  <c r="AE2006" i="1"/>
  <c r="AD2006" i="1"/>
  <c r="AC2006" i="1"/>
  <c r="AB2006" i="1"/>
  <c r="AS2005" i="1"/>
  <c r="AA2005" i="1" s="1"/>
  <c r="AO2005" i="1"/>
  <c r="AN2005" i="1"/>
  <c r="AM2005" i="1"/>
  <c r="AL2005" i="1"/>
  <c r="AK2005" i="1"/>
  <c r="AJ2005" i="1"/>
  <c r="AI2005" i="1"/>
  <c r="AH2005" i="1"/>
  <c r="AG2005" i="1"/>
  <c r="AF2005" i="1"/>
  <c r="AE2005" i="1"/>
  <c r="AD2005" i="1"/>
  <c r="AC2005" i="1"/>
  <c r="AB2005" i="1"/>
  <c r="AS2004" i="1"/>
  <c r="AA2004" i="1" s="1"/>
  <c r="AO2004" i="1"/>
  <c r="AN2004" i="1"/>
  <c r="AM2004" i="1"/>
  <c r="AL2004" i="1"/>
  <c r="AK2004" i="1"/>
  <c r="AJ2004" i="1"/>
  <c r="AI2004" i="1"/>
  <c r="AH2004" i="1"/>
  <c r="AG2004" i="1"/>
  <c r="AF2004" i="1"/>
  <c r="AE2004" i="1"/>
  <c r="AD2004" i="1"/>
  <c r="AC2004" i="1"/>
  <c r="AB2004" i="1"/>
  <c r="AS2003" i="1"/>
  <c r="AA2003" i="1" s="1"/>
  <c r="AO2003" i="1"/>
  <c r="AN2003" i="1"/>
  <c r="AM2003" i="1"/>
  <c r="AL2003" i="1"/>
  <c r="AK2003" i="1"/>
  <c r="AJ2003" i="1"/>
  <c r="AI2003" i="1"/>
  <c r="AH2003" i="1"/>
  <c r="AG2003" i="1"/>
  <c r="AF2003" i="1"/>
  <c r="AE2003" i="1"/>
  <c r="AD2003" i="1"/>
  <c r="AC2003" i="1"/>
  <c r="AB2003" i="1"/>
  <c r="AS2002" i="1"/>
  <c r="AA2002" i="1" s="1"/>
  <c r="AO2002" i="1"/>
  <c r="AN2002" i="1"/>
  <c r="AM2002" i="1"/>
  <c r="AL2002" i="1"/>
  <c r="AK2002" i="1"/>
  <c r="AJ2002" i="1"/>
  <c r="AI2002" i="1"/>
  <c r="AH2002" i="1"/>
  <c r="AG2002" i="1"/>
  <c r="AF2002" i="1"/>
  <c r="AE2002" i="1"/>
  <c r="AD2002" i="1"/>
  <c r="AC2002" i="1"/>
  <c r="AB2002" i="1"/>
  <c r="AS2001" i="1"/>
  <c r="AA2001" i="1" s="1"/>
  <c r="AO2001" i="1"/>
  <c r="AN2001" i="1"/>
  <c r="AM2001" i="1"/>
  <c r="AL2001" i="1"/>
  <c r="AK2001" i="1"/>
  <c r="AJ2001" i="1"/>
  <c r="AI2001" i="1"/>
  <c r="AH2001" i="1"/>
  <c r="AG2001" i="1"/>
  <c r="AF2001" i="1"/>
  <c r="AE2001" i="1"/>
  <c r="AD2001" i="1"/>
  <c r="AC2001" i="1"/>
  <c r="AB2001" i="1"/>
  <c r="AS2000" i="1"/>
  <c r="AA2000" i="1" s="1"/>
  <c r="AO2000" i="1"/>
  <c r="AN2000" i="1"/>
  <c r="AM2000" i="1"/>
  <c r="AL2000" i="1"/>
  <c r="AK2000" i="1"/>
  <c r="AJ2000" i="1"/>
  <c r="AI2000" i="1"/>
  <c r="AH2000" i="1"/>
  <c r="AG2000" i="1"/>
  <c r="AF2000" i="1"/>
  <c r="AE2000" i="1"/>
  <c r="AD2000" i="1"/>
  <c r="AC2000" i="1"/>
  <c r="AB2000" i="1"/>
  <c r="AS1999" i="1"/>
  <c r="AA1999" i="1" s="1"/>
  <c r="AO1999" i="1"/>
  <c r="AN1999" i="1"/>
  <c r="AM1999" i="1"/>
  <c r="AL1999" i="1"/>
  <c r="AK1999" i="1"/>
  <c r="AJ1999" i="1"/>
  <c r="AI1999" i="1"/>
  <c r="AH1999" i="1"/>
  <c r="AG1999" i="1"/>
  <c r="AF1999" i="1"/>
  <c r="AE1999" i="1"/>
  <c r="AD1999" i="1"/>
  <c r="AC1999" i="1"/>
  <c r="AB1999" i="1"/>
  <c r="AS1998" i="1"/>
  <c r="AA1998" i="1" s="1"/>
  <c r="AO1998" i="1"/>
  <c r="AN1998" i="1"/>
  <c r="AM1998" i="1"/>
  <c r="AL1998" i="1"/>
  <c r="AK1998" i="1"/>
  <c r="AJ1998" i="1"/>
  <c r="AI1998" i="1"/>
  <c r="AH1998" i="1"/>
  <c r="AG1998" i="1"/>
  <c r="AF1998" i="1"/>
  <c r="AE1998" i="1"/>
  <c r="AD1998" i="1"/>
  <c r="AC1998" i="1"/>
  <c r="AB1998" i="1"/>
  <c r="AS1997" i="1"/>
  <c r="AA1997" i="1" s="1"/>
  <c r="AO1997" i="1"/>
  <c r="AN1997" i="1"/>
  <c r="AM1997" i="1"/>
  <c r="AL1997" i="1"/>
  <c r="AK1997" i="1"/>
  <c r="AJ1997" i="1"/>
  <c r="AI1997" i="1"/>
  <c r="AH1997" i="1"/>
  <c r="AG1997" i="1"/>
  <c r="AF1997" i="1"/>
  <c r="AE1997" i="1"/>
  <c r="AD1997" i="1"/>
  <c r="AC1997" i="1"/>
  <c r="AB1997" i="1"/>
  <c r="AS1996" i="1"/>
  <c r="AA1996" i="1" s="1"/>
  <c r="AO1996" i="1"/>
  <c r="AN1996" i="1"/>
  <c r="AM1996" i="1"/>
  <c r="AL1996" i="1"/>
  <c r="AK1996" i="1"/>
  <c r="AJ1996" i="1"/>
  <c r="AI1996" i="1"/>
  <c r="AH1996" i="1"/>
  <c r="AG1996" i="1"/>
  <c r="AF1996" i="1"/>
  <c r="AE1996" i="1"/>
  <c r="AD1996" i="1"/>
  <c r="AC1996" i="1"/>
  <c r="AB1996" i="1"/>
  <c r="AS1995" i="1"/>
  <c r="AA1995" i="1" s="1"/>
  <c r="AO1995" i="1"/>
  <c r="AN1995" i="1"/>
  <c r="AM1995" i="1"/>
  <c r="AL1995" i="1"/>
  <c r="AK1995" i="1"/>
  <c r="AJ1995" i="1"/>
  <c r="AI1995" i="1"/>
  <c r="AH1995" i="1"/>
  <c r="AG1995" i="1"/>
  <c r="AF1995" i="1"/>
  <c r="AE1995" i="1"/>
  <c r="AD1995" i="1"/>
  <c r="AC1995" i="1"/>
  <c r="AB1995" i="1"/>
  <c r="AS1994" i="1"/>
  <c r="AA1994" i="1" s="1"/>
  <c r="AO1994" i="1"/>
  <c r="AN1994" i="1"/>
  <c r="AM1994" i="1"/>
  <c r="AL1994" i="1"/>
  <c r="AK1994" i="1"/>
  <c r="AJ1994" i="1"/>
  <c r="AI1994" i="1"/>
  <c r="AH1994" i="1"/>
  <c r="AG1994" i="1"/>
  <c r="AF1994" i="1"/>
  <c r="AE1994" i="1"/>
  <c r="AD1994" i="1"/>
  <c r="AC1994" i="1"/>
  <c r="AB1994" i="1"/>
  <c r="AS1993" i="1"/>
  <c r="AA1993" i="1" s="1"/>
  <c r="AO1993" i="1"/>
  <c r="AN1993" i="1"/>
  <c r="AM1993" i="1"/>
  <c r="AL1993" i="1"/>
  <c r="AK1993" i="1"/>
  <c r="AJ1993" i="1"/>
  <c r="AI1993" i="1"/>
  <c r="AH1993" i="1"/>
  <c r="AG1993" i="1"/>
  <c r="AF1993" i="1"/>
  <c r="AE1993" i="1"/>
  <c r="AD1993" i="1"/>
  <c r="AC1993" i="1"/>
  <c r="AB1993" i="1"/>
  <c r="AS1992" i="1"/>
  <c r="AA1992" i="1" s="1"/>
  <c r="AO1992" i="1"/>
  <c r="AN1992" i="1"/>
  <c r="AM1992" i="1"/>
  <c r="AL1992" i="1"/>
  <c r="AK1992" i="1"/>
  <c r="AJ1992" i="1"/>
  <c r="AI1992" i="1"/>
  <c r="AH1992" i="1"/>
  <c r="AG1992" i="1"/>
  <c r="AF1992" i="1"/>
  <c r="AE1992" i="1"/>
  <c r="AD1992" i="1"/>
  <c r="AC1992" i="1"/>
  <c r="AB1992" i="1"/>
  <c r="AS1991" i="1"/>
  <c r="AA1991" i="1" s="1"/>
  <c r="AO1991" i="1"/>
  <c r="AN1991" i="1"/>
  <c r="AM1991" i="1"/>
  <c r="AL1991" i="1"/>
  <c r="AK1991" i="1"/>
  <c r="AJ1991" i="1"/>
  <c r="AI1991" i="1"/>
  <c r="AH1991" i="1"/>
  <c r="AG1991" i="1"/>
  <c r="AF1991" i="1"/>
  <c r="AE1991" i="1"/>
  <c r="AD1991" i="1"/>
  <c r="AC1991" i="1"/>
  <c r="AB1991" i="1"/>
  <c r="AS1990" i="1"/>
  <c r="AA1990" i="1" s="1"/>
  <c r="AO1990" i="1"/>
  <c r="AN1990" i="1"/>
  <c r="AM1990" i="1"/>
  <c r="AL1990" i="1"/>
  <c r="AK1990" i="1"/>
  <c r="AJ1990" i="1"/>
  <c r="AI1990" i="1"/>
  <c r="AH1990" i="1"/>
  <c r="AG1990" i="1"/>
  <c r="AF1990" i="1"/>
  <c r="AE1990" i="1"/>
  <c r="AD1990" i="1"/>
  <c r="AC1990" i="1"/>
  <c r="AB1990" i="1"/>
  <c r="AS1989" i="1"/>
  <c r="AA1989" i="1" s="1"/>
  <c r="AO1989" i="1"/>
  <c r="AN1989" i="1"/>
  <c r="AM1989" i="1"/>
  <c r="AL1989" i="1"/>
  <c r="AK1989" i="1"/>
  <c r="AJ1989" i="1"/>
  <c r="AI1989" i="1"/>
  <c r="AH1989" i="1"/>
  <c r="AG1989" i="1"/>
  <c r="AF1989" i="1"/>
  <c r="AE1989" i="1"/>
  <c r="AD1989" i="1"/>
  <c r="AC1989" i="1"/>
  <c r="AB1989" i="1"/>
  <c r="AS1988" i="1"/>
  <c r="AA1988" i="1" s="1"/>
  <c r="AO1988" i="1"/>
  <c r="AN1988" i="1"/>
  <c r="AM1988" i="1"/>
  <c r="AL1988" i="1"/>
  <c r="AK1988" i="1"/>
  <c r="AJ1988" i="1"/>
  <c r="AI1988" i="1"/>
  <c r="AH1988" i="1"/>
  <c r="AG1988" i="1"/>
  <c r="AF1988" i="1"/>
  <c r="AE1988" i="1"/>
  <c r="AD1988" i="1"/>
  <c r="AC1988" i="1"/>
  <c r="AB1988" i="1"/>
  <c r="AS1987" i="1"/>
  <c r="AA1987" i="1" s="1"/>
  <c r="AO1987" i="1"/>
  <c r="AN1987" i="1"/>
  <c r="AM1987" i="1"/>
  <c r="AL1987" i="1"/>
  <c r="AK1987" i="1"/>
  <c r="AJ1987" i="1"/>
  <c r="AI1987" i="1"/>
  <c r="AH1987" i="1"/>
  <c r="AG1987" i="1"/>
  <c r="AF1987" i="1"/>
  <c r="AE1987" i="1"/>
  <c r="AD1987" i="1"/>
  <c r="AC1987" i="1"/>
  <c r="AB1987" i="1"/>
  <c r="AS1986" i="1"/>
  <c r="AA1986" i="1" s="1"/>
  <c r="AO1986" i="1"/>
  <c r="AN1986" i="1"/>
  <c r="AM1986" i="1"/>
  <c r="AL1986" i="1"/>
  <c r="AK1986" i="1"/>
  <c r="AJ1986" i="1"/>
  <c r="AI1986" i="1"/>
  <c r="AH1986" i="1"/>
  <c r="AG1986" i="1"/>
  <c r="AF1986" i="1"/>
  <c r="AE1986" i="1"/>
  <c r="AD1986" i="1"/>
  <c r="AC1986" i="1"/>
  <c r="AB1986" i="1"/>
  <c r="AS1985" i="1"/>
  <c r="AA1985" i="1" s="1"/>
  <c r="AO1985" i="1"/>
  <c r="AN1985" i="1"/>
  <c r="AM1985" i="1"/>
  <c r="AL1985" i="1"/>
  <c r="AK1985" i="1"/>
  <c r="AJ1985" i="1"/>
  <c r="AI1985" i="1"/>
  <c r="AH1985" i="1"/>
  <c r="AG1985" i="1"/>
  <c r="AF1985" i="1"/>
  <c r="AE1985" i="1"/>
  <c r="AD1985" i="1"/>
  <c r="AC1985" i="1"/>
  <c r="AB1985" i="1"/>
  <c r="AS1984" i="1"/>
  <c r="AA1984" i="1" s="1"/>
  <c r="AO1984" i="1"/>
  <c r="AN1984" i="1"/>
  <c r="AM1984" i="1"/>
  <c r="AL1984" i="1"/>
  <c r="AK1984" i="1"/>
  <c r="AJ1984" i="1"/>
  <c r="AI1984" i="1"/>
  <c r="AH1984" i="1"/>
  <c r="AG1984" i="1"/>
  <c r="AF1984" i="1"/>
  <c r="AE1984" i="1"/>
  <c r="AD1984" i="1"/>
  <c r="AC1984" i="1"/>
  <c r="AB1984" i="1"/>
  <c r="AS1983" i="1"/>
  <c r="AA1983" i="1" s="1"/>
  <c r="AO1983" i="1"/>
  <c r="AN1983" i="1"/>
  <c r="AM1983" i="1"/>
  <c r="AL1983" i="1"/>
  <c r="AK1983" i="1"/>
  <c r="AJ1983" i="1"/>
  <c r="AI1983" i="1"/>
  <c r="AH1983" i="1"/>
  <c r="AG1983" i="1"/>
  <c r="AF1983" i="1"/>
  <c r="AE1983" i="1"/>
  <c r="AD1983" i="1"/>
  <c r="AC1983" i="1"/>
  <c r="AB1983" i="1"/>
  <c r="AS1982" i="1"/>
  <c r="AA1982" i="1" s="1"/>
  <c r="AO1982" i="1"/>
  <c r="AN1982" i="1"/>
  <c r="AM1982" i="1"/>
  <c r="AL1982" i="1"/>
  <c r="AK1982" i="1"/>
  <c r="AJ1982" i="1"/>
  <c r="AI1982" i="1"/>
  <c r="AH1982" i="1"/>
  <c r="AG1982" i="1"/>
  <c r="AF1982" i="1"/>
  <c r="AE1982" i="1"/>
  <c r="AD1982" i="1"/>
  <c r="AC1982" i="1"/>
  <c r="AB1982" i="1"/>
  <c r="AS1981" i="1"/>
  <c r="AA1981" i="1" s="1"/>
  <c r="AO1981" i="1"/>
  <c r="AN1981" i="1"/>
  <c r="AM1981" i="1"/>
  <c r="AL1981" i="1"/>
  <c r="AK1981" i="1"/>
  <c r="AJ1981" i="1"/>
  <c r="AI1981" i="1"/>
  <c r="AH1981" i="1"/>
  <c r="AG1981" i="1"/>
  <c r="AF1981" i="1"/>
  <c r="AE1981" i="1"/>
  <c r="AD1981" i="1"/>
  <c r="AC1981" i="1"/>
  <c r="AB1981" i="1"/>
  <c r="AS1980" i="1"/>
  <c r="AA1980" i="1" s="1"/>
  <c r="AO1980" i="1"/>
  <c r="AN1980" i="1"/>
  <c r="AM1980" i="1"/>
  <c r="AL1980" i="1"/>
  <c r="AK1980" i="1"/>
  <c r="AJ1980" i="1"/>
  <c r="AI1980" i="1"/>
  <c r="AH1980" i="1"/>
  <c r="AG1980" i="1"/>
  <c r="AF1980" i="1"/>
  <c r="AE1980" i="1"/>
  <c r="AD1980" i="1"/>
  <c r="AC1980" i="1"/>
  <c r="AB1980" i="1"/>
  <c r="AS1979" i="1"/>
  <c r="AA1979" i="1" s="1"/>
  <c r="AO1979" i="1"/>
  <c r="AN1979" i="1"/>
  <c r="AM1979" i="1"/>
  <c r="AL1979" i="1"/>
  <c r="AK1979" i="1"/>
  <c r="AJ1979" i="1"/>
  <c r="AI1979" i="1"/>
  <c r="AH1979" i="1"/>
  <c r="AG1979" i="1"/>
  <c r="AF1979" i="1"/>
  <c r="AE1979" i="1"/>
  <c r="AD1979" i="1"/>
  <c r="AC1979" i="1"/>
  <c r="AB1979" i="1"/>
  <c r="AS1978" i="1"/>
  <c r="AA1978" i="1" s="1"/>
  <c r="AO1978" i="1"/>
  <c r="AN1978" i="1"/>
  <c r="AM1978" i="1"/>
  <c r="AL1978" i="1"/>
  <c r="AK1978" i="1"/>
  <c r="AJ1978" i="1"/>
  <c r="AI1978" i="1"/>
  <c r="AH1978" i="1"/>
  <c r="AG1978" i="1"/>
  <c r="AF1978" i="1"/>
  <c r="AE1978" i="1"/>
  <c r="AD1978" i="1"/>
  <c r="AC1978" i="1"/>
  <c r="AB1978" i="1"/>
  <c r="AS1977" i="1"/>
  <c r="AA1977" i="1" s="1"/>
  <c r="AO1977" i="1"/>
  <c r="AN1977" i="1"/>
  <c r="AM1977" i="1"/>
  <c r="AL1977" i="1"/>
  <c r="AK1977" i="1"/>
  <c r="AJ1977" i="1"/>
  <c r="AI1977" i="1"/>
  <c r="AH1977" i="1"/>
  <c r="AG1977" i="1"/>
  <c r="AF1977" i="1"/>
  <c r="AE1977" i="1"/>
  <c r="AD1977" i="1"/>
  <c r="AC1977" i="1"/>
  <c r="AB1977" i="1"/>
  <c r="AS1976" i="1"/>
  <c r="AA1976" i="1" s="1"/>
  <c r="AO1976" i="1"/>
  <c r="AN1976" i="1"/>
  <c r="AM1976" i="1"/>
  <c r="AL1976" i="1"/>
  <c r="AK1976" i="1"/>
  <c r="AJ1976" i="1"/>
  <c r="AI1976" i="1"/>
  <c r="AH1976" i="1"/>
  <c r="AG1976" i="1"/>
  <c r="AF1976" i="1"/>
  <c r="AE1976" i="1"/>
  <c r="AD1976" i="1"/>
  <c r="AC1976" i="1"/>
  <c r="AB1976" i="1"/>
  <c r="AS1975" i="1"/>
  <c r="AA1975" i="1" s="1"/>
  <c r="AO1975" i="1"/>
  <c r="AN1975" i="1"/>
  <c r="AM1975" i="1"/>
  <c r="AL1975" i="1"/>
  <c r="AK1975" i="1"/>
  <c r="AJ1975" i="1"/>
  <c r="AI1975" i="1"/>
  <c r="AH1975" i="1"/>
  <c r="AG1975" i="1"/>
  <c r="AF1975" i="1"/>
  <c r="AE1975" i="1"/>
  <c r="AD1975" i="1"/>
  <c r="AC1975" i="1"/>
  <c r="AB1975" i="1"/>
  <c r="AS1974" i="1"/>
  <c r="AA1974" i="1" s="1"/>
  <c r="AO1974" i="1"/>
  <c r="AN1974" i="1"/>
  <c r="AM1974" i="1"/>
  <c r="AL1974" i="1"/>
  <c r="AK1974" i="1"/>
  <c r="AJ1974" i="1"/>
  <c r="AI1974" i="1"/>
  <c r="AH1974" i="1"/>
  <c r="AG1974" i="1"/>
  <c r="AF1974" i="1"/>
  <c r="AE1974" i="1"/>
  <c r="AD1974" i="1"/>
  <c r="AC1974" i="1"/>
  <c r="AB1974" i="1"/>
  <c r="AS1973" i="1"/>
  <c r="AA1973" i="1" s="1"/>
  <c r="AO1973" i="1"/>
  <c r="AN1973" i="1"/>
  <c r="AM1973" i="1"/>
  <c r="AL1973" i="1"/>
  <c r="AK1973" i="1"/>
  <c r="AJ1973" i="1"/>
  <c r="AI1973" i="1"/>
  <c r="AH1973" i="1"/>
  <c r="AG1973" i="1"/>
  <c r="AF1973" i="1"/>
  <c r="AE1973" i="1"/>
  <c r="AD1973" i="1"/>
  <c r="AC1973" i="1"/>
  <c r="AB1973" i="1"/>
  <c r="AS1972" i="1"/>
  <c r="AA1972" i="1" s="1"/>
  <c r="AO1972" i="1"/>
  <c r="AN1972" i="1"/>
  <c r="AM1972" i="1"/>
  <c r="AL1972" i="1"/>
  <c r="AK1972" i="1"/>
  <c r="AJ1972" i="1"/>
  <c r="AI1972" i="1"/>
  <c r="AH1972" i="1"/>
  <c r="AG1972" i="1"/>
  <c r="AF1972" i="1"/>
  <c r="AE1972" i="1"/>
  <c r="AD1972" i="1"/>
  <c r="AC1972" i="1"/>
  <c r="AB1972" i="1"/>
  <c r="AS1971" i="1"/>
  <c r="AA1971" i="1" s="1"/>
  <c r="AO1971" i="1"/>
  <c r="AN1971" i="1"/>
  <c r="AM1971" i="1"/>
  <c r="AL1971" i="1"/>
  <c r="AK1971" i="1"/>
  <c r="AJ1971" i="1"/>
  <c r="AI1971" i="1"/>
  <c r="AH1971" i="1"/>
  <c r="AG1971" i="1"/>
  <c r="AF1971" i="1"/>
  <c r="AE1971" i="1"/>
  <c r="AD1971" i="1"/>
  <c r="AC1971" i="1"/>
  <c r="AB1971" i="1"/>
  <c r="AS1970" i="1"/>
  <c r="AA1970" i="1" s="1"/>
  <c r="AO1970" i="1"/>
  <c r="AN1970" i="1"/>
  <c r="AM1970" i="1"/>
  <c r="AL1970" i="1"/>
  <c r="AK1970" i="1"/>
  <c r="AJ1970" i="1"/>
  <c r="AI1970" i="1"/>
  <c r="AH1970" i="1"/>
  <c r="AG1970" i="1"/>
  <c r="AF1970" i="1"/>
  <c r="AE1970" i="1"/>
  <c r="AD1970" i="1"/>
  <c r="AC1970" i="1"/>
  <c r="AB1970" i="1"/>
  <c r="AS1969" i="1"/>
  <c r="AA1969" i="1" s="1"/>
  <c r="AO1969" i="1"/>
  <c r="AN1969" i="1"/>
  <c r="AM1969" i="1"/>
  <c r="AL1969" i="1"/>
  <c r="AK1969" i="1"/>
  <c r="AJ1969" i="1"/>
  <c r="AI1969" i="1"/>
  <c r="AH1969" i="1"/>
  <c r="AG1969" i="1"/>
  <c r="AF1969" i="1"/>
  <c r="AE1969" i="1"/>
  <c r="AD1969" i="1"/>
  <c r="AC1969" i="1"/>
  <c r="AB1969" i="1"/>
  <c r="AS1968" i="1"/>
  <c r="AA1968" i="1" s="1"/>
  <c r="AO1968" i="1"/>
  <c r="AN1968" i="1"/>
  <c r="AM1968" i="1"/>
  <c r="AL1968" i="1"/>
  <c r="AK1968" i="1"/>
  <c r="AJ1968" i="1"/>
  <c r="AI1968" i="1"/>
  <c r="AH1968" i="1"/>
  <c r="AG1968" i="1"/>
  <c r="AF1968" i="1"/>
  <c r="AE1968" i="1"/>
  <c r="AD1968" i="1"/>
  <c r="AC1968" i="1"/>
  <c r="AB1968" i="1"/>
  <c r="AS1967" i="1"/>
  <c r="AA1967" i="1" s="1"/>
  <c r="AO1967" i="1"/>
  <c r="AN1967" i="1"/>
  <c r="AM1967" i="1"/>
  <c r="AL1967" i="1"/>
  <c r="AK1967" i="1"/>
  <c r="AJ1967" i="1"/>
  <c r="AI1967" i="1"/>
  <c r="AH1967" i="1"/>
  <c r="AG1967" i="1"/>
  <c r="AF1967" i="1"/>
  <c r="AE1967" i="1"/>
  <c r="AD1967" i="1"/>
  <c r="AC1967" i="1"/>
  <c r="AB1967" i="1"/>
  <c r="AS1966" i="1"/>
  <c r="AA1966" i="1" s="1"/>
  <c r="AO1966" i="1"/>
  <c r="AN1966" i="1"/>
  <c r="AM1966" i="1"/>
  <c r="AL1966" i="1"/>
  <c r="AK1966" i="1"/>
  <c r="AJ1966" i="1"/>
  <c r="AI1966" i="1"/>
  <c r="AH1966" i="1"/>
  <c r="AG1966" i="1"/>
  <c r="AF1966" i="1"/>
  <c r="AE1966" i="1"/>
  <c r="AD1966" i="1"/>
  <c r="AC1966" i="1"/>
  <c r="AB1966" i="1"/>
  <c r="AS1965" i="1"/>
  <c r="AA1965" i="1" s="1"/>
  <c r="AO1965" i="1"/>
  <c r="AN1965" i="1"/>
  <c r="AM1965" i="1"/>
  <c r="AL1965" i="1"/>
  <c r="AK1965" i="1"/>
  <c r="AJ1965" i="1"/>
  <c r="AI1965" i="1"/>
  <c r="AH1965" i="1"/>
  <c r="AG1965" i="1"/>
  <c r="AF1965" i="1"/>
  <c r="AE1965" i="1"/>
  <c r="AD1965" i="1"/>
  <c r="AC1965" i="1"/>
  <c r="AB1965" i="1"/>
  <c r="AS1964" i="1"/>
  <c r="AA1964" i="1" s="1"/>
  <c r="AO1964" i="1"/>
  <c r="AN1964" i="1"/>
  <c r="AM1964" i="1"/>
  <c r="AL1964" i="1"/>
  <c r="AK1964" i="1"/>
  <c r="AJ1964" i="1"/>
  <c r="AI1964" i="1"/>
  <c r="AH1964" i="1"/>
  <c r="AG1964" i="1"/>
  <c r="AF1964" i="1"/>
  <c r="AE1964" i="1"/>
  <c r="AD1964" i="1"/>
  <c r="AC1964" i="1"/>
  <c r="AB1964" i="1"/>
  <c r="AS1963" i="1"/>
  <c r="AA1963" i="1" s="1"/>
  <c r="AO1963" i="1"/>
  <c r="AN1963" i="1"/>
  <c r="AM1963" i="1"/>
  <c r="AL1963" i="1"/>
  <c r="AK1963" i="1"/>
  <c r="AJ1963" i="1"/>
  <c r="AI1963" i="1"/>
  <c r="AH1963" i="1"/>
  <c r="AG1963" i="1"/>
  <c r="AF1963" i="1"/>
  <c r="AE1963" i="1"/>
  <c r="AD1963" i="1"/>
  <c r="AC1963" i="1"/>
  <c r="AB1963" i="1"/>
  <c r="AS1962" i="1"/>
  <c r="AA1962" i="1" s="1"/>
  <c r="AO1962" i="1"/>
  <c r="AN1962" i="1"/>
  <c r="AM1962" i="1"/>
  <c r="AL1962" i="1"/>
  <c r="AK1962" i="1"/>
  <c r="AJ1962" i="1"/>
  <c r="AI1962" i="1"/>
  <c r="AH1962" i="1"/>
  <c r="AG1962" i="1"/>
  <c r="AF1962" i="1"/>
  <c r="AE1962" i="1"/>
  <c r="AD1962" i="1"/>
  <c r="AC1962" i="1"/>
  <c r="AB1962" i="1"/>
  <c r="AS1961" i="1"/>
  <c r="AA1961" i="1" s="1"/>
  <c r="AO1961" i="1"/>
  <c r="AN1961" i="1"/>
  <c r="AM1961" i="1"/>
  <c r="AL1961" i="1"/>
  <c r="AK1961" i="1"/>
  <c r="AJ1961" i="1"/>
  <c r="AI1961" i="1"/>
  <c r="AH1961" i="1"/>
  <c r="AG1961" i="1"/>
  <c r="AF1961" i="1"/>
  <c r="AE1961" i="1"/>
  <c r="AD1961" i="1"/>
  <c r="AC1961" i="1"/>
  <c r="AB1961" i="1"/>
  <c r="AS1960" i="1"/>
  <c r="AA1960" i="1" s="1"/>
  <c r="AO1960" i="1"/>
  <c r="AN1960" i="1"/>
  <c r="AM1960" i="1"/>
  <c r="AL1960" i="1"/>
  <c r="AK1960" i="1"/>
  <c r="AJ1960" i="1"/>
  <c r="AI1960" i="1"/>
  <c r="AH1960" i="1"/>
  <c r="AG1960" i="1"/>
  <c r="AF1960" i="1"/>
  <c r="AE1960" i="1"/>
  <c r="AD1960" i="1"/>
  <c r="AC1960" i="1"/>
  <c r="AB1960" i="1"/>
  <c r="AS1959" i="1"/>
  <c r="AA1959" i="1" s="1"/>
  <c r="AO1959" i="1"/>
  <c r="AN1959" i="1"/>
  <c r="AM1959" i="1"/>
  <c r="AL1959" i="1"/>
  <c r="AK1959" i="1"/>
  <c r="AJ1959" i="1"/>
  <c r="AI1959" i="1"/>
  <c r="AH1959" i="1"/>
  <c r="AG1959" i="1"/>
  <c r="AF1959" i="1"/>
  <c r="AE1959" i="1"/>
  <c r="AD1959" i="1"/>
  <c r="AC1959" i="1"/>
  <c r="AB1959" i="1"/>
  <c r="AS1958" i="1"/>
  <c r="AA1958" i="1" s="1"/>
  <c r="AO1958" i="1"/>
  <c r="AN1958" i="1"/>
  <c r="AM1958" i="1"/>
  <c r="AL1958" i="1"/>
  <c r="AK1958" i="1"/>
  <c r="AJ1958" i="1"/>
  <c r="AI1958" i="1"/>
  <c r="AH1958" i="1"/>
  <c r="AG1958" i="1"/>
  <c r="AF1958" i="1"/>
  <c r="AE1958" i="1"/>
  <c r="AD1958" i="1"/>
  <c r="AC1958" i="1"/>
  <c r="AB1958" i="1"/>
  <c r="AS1957" i="1"/>
  <c r="AA1957" i="1" s="1"/>
  <c r="AO1957" i="1"/>
  <c r="AN1957" i="1"/>
  <c r="AM1957" i="1"/>
  <c r="AL1957" i="1"/>
  <c r="AK1957" i="1"/>
  <c r="AJ1957" i="1"/>
  <c r="AI1957" i="1"/>
  <c r="AH1957" i="1"/>
  <c r="AG1957" i="1"/>
  <c r="AF1957" i="1"/>
  <c r="AE1957" i="1"/>
  <c r="AD1957" i="1"/>
  <c r="AC1957" i="1"/>
  <c r="AB1957" i="1"/>
  <c r="AS1956" i="1"/>
  <c r="AA1956" i="1" s="1"/>
  <c r="AO1956" i="1"/>
  <c r="AN1956" i="1"/>
  <c r="AM1956" i="1"/>
  <c r="AL1956" i="1"/>
  <c r="AK1956" i="1"/>
  <c r="AJ1956" i="1"/>
  <c r="AI1956" i="1"/>
  <c r="AH1956" i="1"/>
  <c r="AG1956" i="1"/>
  <c r="AF1956" i="1"/>
  <c r="AE1956" i="1"/>
  <c r="AD1956" i="1"/>
  <c r="AC1956" i="1"/>
  <c r="AB1956" i="1"/>
  <c r="AS1955" i="1"/>
  <c r="AA1955" i="1" s="1"/>
  <c r="AO1955" i="1"/>
  <c r="AN1955" i="1"/>
  <c r="AM1955" i="1"/>
  <c r="AL1955" i="1"/>
  <c r="AK1955" i="1"/>
  <c r="AJ1955" i="1"/>
  <c r="AI1955" i="1"/>
  <c r="AH1955" i="1"/>
  <c r="AG1955" i="1"/>
  <c r="AF1955" i="1"/>
  <c r="AE1955" i="1"/>
  <c r="AD1955" i="1"/>
  <c r="AC1955" i="1"/>
  <c r="AB1955" i="1"/>
  <c r="AS1954" i="1"/>
  <c r="AA1954" i="1" s="1"/>
  <c r="AO1954" i="1"/>
  <c r="AN1954" i="1"/>
  <c r="AM1954" i="1"/>
  <c r="AL1954" i="1"/>
  <c r="AK1954" i="1"/>
  <c r="AJ1954" i="1"/>
  <c r="AI1954" i="1"/>
  <c r="AH1954" i="1"/>
  <c r="AG1954" i="1"/>
  <c r="AF1954" i="1"/>
  <c r="AE1954" i="1"/>
  <c r="AD1954" i="1"/>
  <c r="AC1954" i="1"/>
  <c r="AB1954" i="1"/>
  <c r="AS1953" i="1"/>
  <c r="AA1953" i="1" s="1"/>
  <c r="AO1953" i="1"/>
  <c r="AN1953" i="1"/>
  <c r="AM1953" i="1"/>
  <c r="AL1953" i="1"/>
  <c r="AK1953" i="1"/>
  <c r="AJ1953" i="1"/>
  <c r="AI1953" i="1"/>
  <c r="AH1953" i="1"/>
  <c r="AG1953" i="1"/>
  <c r="AF1953" i="1"/>
  <c r="AE1953" i="1"/>
  <c r="AD1953" i="1"/>
  <c r="AC1953" i="1"/>
  <c r="AB1953" i="1"/>
  <c r="AS1952" i="1"/>
  <c r="AA1952" i="1" s="1"/>
  <c r="AO1952" i="1"/>
  <c r="AN1952" i="1"/>
  <c r="AM1952" i="1"/>
  <c r="AL1952" i="1"/>
  <c r="AK1952" i="1"/>
  <c r="AJ1952" i="1"/>
  <c r="AI1952" i="1"/>
  <c r="AH1952" i="1"/>
  <c r="AG1952" i="1"/>
  <c r="AF1952" i="1"/>
  <c r="AE1952" i="1"/>
  <c r="AD1952" i="1"/>
  <c r="AC1952" i="1"/>
  <c r="AB1952" i="1"/>
  <c r="AS1951" i="1"/>
  <c r="AA1951" i="1" s="1"/>
  <c r="AO1951" i="1"/>
  <c r="AN1951" i="1"/>
  <c r="AM1951" i="1"/>
  <c r="AL1951" i="1"/>
  <c r="AK1951" i="1"/>
  <c r="AJ1951" i="1"/>
  <c r="AI1951" i="1"/>
  <c r="AH1951" i="1"/>
  <c r="AG1951" i="1"/>
  <c r="AF1951" i="1"/>
  <c r="AE1951" i="1"/>
  <c r="AD1951" i="1"/>
  <c r="AC1951" i="1"/>
  <c r="AB1951" i="1"/>
  <c r="AS1950" i="1"/>
  <c r="AA1950" i="1" s="1"/>
  <c r="AO1950" i="1"/>
  <c r="AN1950" i="1"/>
  <c r="AM1950" i="1"/>
  <c r="AL1950" i="1"/>
  <c r="AK1950" i="1"/>
  <c r="AJ1950" i="1"/>
  <c r="AI1950" i="1"/>
  <c r="AH1950" i="1"/>
  <c r="AG1950" i="1"/>
  <c r="AF1950" i="1"/>
  <c r="AE1950" i="1"/>
  <c r="AD1950" i="1"/>
  <c r="AC1950" i="1"/>
  <c r="AB1950" i="1"/>
  <c r="AS1949" i="1"/>
  <c r="AA1949" i="1" s="1"/>
  <c r="AO1949" i="1"/>
  <c r="AN1949" i="1"/>
  <c r="AM1949" i="1"/>
  <c r="AL1949" i="1"/>
  <c r="AK1949" i="1"/>
  <c r="AJ1949" i="1"/>
  <c r="AI1949" i="1"/>
  <c r="AH1949" i="1"/>
  <c r="AG1949" i="1"/>
  <c r="AF1949" i="1"/>
  <c r="AE1949" i="1"/>
  <c r="AD1949" i="1"/>
  <c r="AC1949" i="1"/>
  <c r="AB1949" i="1"/>
  <c r="AS1948" i="1"/>
  <c r="AA1948" i="1" s="1"/>
  <c r="AO1948" i="1"/>
  <c r="AN1948" i="1"/>
  <c r="AM1948" i="1"/>
  <c r="AL1948" i="1"/>
  <c r="AK1948" i="1"/>
  <c r="AJ1948" i="1"/>
  <c r="AI1948" i="1"/>
  <c r="AH1948" i="1"/>
  <c r="AG1948" i="1"/>
  <c r="AF1948" i="1"/>
  <c r="AE1948" i="1"/>
  <c r="AD1948" i="1"/>
  <c r="AC1948" i="1"/>
  <c r="AB1948" i="1"/>
  <c r="AS1947" i="1"/>
  <c r="AA1947" i="1" s="1"/>
  <c r="AO1947" i="1"/>
  <c r="AN1947" i="1"/>
  <c r="AM1947" i="1"/>
  <c r="AL1947" i="1"/>
  <c r="AK1947" i="1"/>
  <c r="AJ1947" i="1"/>
  <c r="AI1947" i="1"/>
  <c r="AH1947" i="1"/>
  <c r="AG1947" i="1"/>
  <c r="AF1947" i="1"/>
  <c r="AE1947" i="1"/>
  <c r="AD1947" i="1"/>
  <c r="AC1947" i="1"/>
  <c r="AB1947" i="1"/>
  <c r="AS1946" i="1"/>
  <c r="AA1946" i="1" s="1"/>
  <c r="AO1946" i="1"/>
  <c r="AN1946" i="1"/>
  <c r="AM1946" i="1"/>
  <c r="AL1946" i="1"/>
  <c r="AK1946" i="1"/>
  <c r="AJ1946" i="1"/>
  <c r="AI1946" i="1"/>
  <c r="AH1946" i="1"/>
  <c r="AG1946" i="1"/>
  <c r="AF1946" i="1"/>
  <c r="AE1946" i="1"/>
  <c r="AD1946" i="1"/>
  <c r="AC1946" i="1"/>
  <c r="AB1946" i="1"/>
  <c r="AS1945" i="1"/>
  <c r="AA1945" i="1" s="1"/>
  <c r="AO1945" i="1"/>
  <c r="AN1945" i="1"/>
  <c r="AM1945" i="1"/>
  <c r="AL1945" i="1"/>
  <c r="AK1945" i="1"/>
  <c r="AJ1945" i="1"/>
  <c r="AI1945" i="1"/>
  <c r="AH1945" i="1"/>
  <c r="AG1945" i="1"/>
  <c r="AF1945" i="1"/>
  <c r="AE1945" i="1"/>
  <c r="AD1945" i="1"/>
  <c r="AC1945" i="1"/>
  <c r="AB1945" i="1"/>
  <c r="AS1944" i="1"/>
  <c r="AA1944" i="1" s="1"/>
  <c r="AO1944" i="1"/>
  <c r="AN1944" i="1"/>
  <c r="AM1944" i="1"/>
  <c r="AL1944" i="1"/>
  <c r="AK1944" i="1"/>
  <c r="AJ1944" i="1"/>
  <c r="AI1944" i="1"/>
  <c r="AH1944" i="1"/>
  <c r="AG1944" i="1"/>
  <c r="AF1944" i="1"/>
  <c r="AE1944" i="1"/>
  <c r="AD1944" i="1"/>
  <c r="AC1944" i="1"/>
  <c r="AB1944" i="1"/>
  <c r="AS1943" i="1"/>
  <c r="AA1943" i="1" s="1"/>
  <c r="AO1943" i="1"/>
  <c r="AN1943" i="1"/>
  <c r="AM1943" i="1"/>
  <c r="AL1943" i="1"/>
  <c r="AK1943" i="1"/>
  <c r="AJ1943" i="1"/>
  <c r="AI1943" i="1"/>
  <c r="AH1943" i="1"/>
  <c r="AG1943" i="1"/>
  <c r="AF1943" i="1"/>
  <c r="AE1943" i="1"/>
  <c r="AD1943" i="1"/>
  <c r="AC1943" i="1"/>
  <c r="AB1943" i="1"/>
  <c r="AS1942" i="1"/>
  <c r="AA1942" i="1" s="1"/>
  <c r="AO1942" i="1"/>
  <c r="AN1942" i="1"/>
  <c r="AM1942" i="1"/>
  <c r="AL1942" i="1"/>
  <c r="AK1942" i="1"/>
  <c r="AJ1942" i="1"/>
  <c r="AI1942" i="1"/>
  <c r="AH1942" i="1"/>
  <c r="AG1942" i="1"/>
  <c r="AF1942" i="1"/>
  <c r="AE1942" i="1"/>
  <c r="AD1942" i="1"/>
  <c r="AC1942" i="1"/>
  <c r="AB1942" i="1"/>
  <c r="AS1941" i="1"/>
  <c r="AA1941" i="1" s="1"/>
  <c r="AO1941" i="1"/>
  <c r="AN1941" i="1"/>
  <c r="AM1941" i="1"/>
  <c r="AL1941" i="1"/>
  <c r="AK1941" i="1"/>
  <c r="AJ1941" i="1"/>
  <c r="AI1941" i="1"/>
  <c r="AH1941" i="1"/>
  <c r="AG1941" i="1"/>
  <c r="AF1941" i="1"/>
  <c r="AE1941" i="1"/>
  <c r="AD1941" i="1"/>
  <c r="AC1941" i="1"/>
  <c r="AB1941" i="1"/>
  <c r="AS1940" i="1"/>
  <c r="AA1940" i="1" s="1"/>
  <c r="AO1940" i="1"/>
  <c r="AN1940" i="1"/>
  <c r="AM1940" i="1"/>
  <c r="AL1940" i="1"/>
  <c r="AK1940" i="1"/>
  <c r="AJ1940" i="1"/>
  <c r="AI1940" i="1"/>
  <c r="AH1940" i="1"/>
  <c r="AG1940" i="1"/>
  <c r="AF1940" i="1"/>
  <c r="AE1940" i="1"/>
  <c r="AD1940" i="1"/>
  <c r="AC1940" i="1"/>
  <c r="AB1940" i="1"/>
  <c r="AS1939" i="1"/>
  <c r="AA1939" i="1" s="1"/>
  <c r="AO1939" i="1"/>
  <c r="AN1939" i="1"/>
  <c r="AM1939" i="1"/>
  <c r="AL1939" i="1"/>
  <c r="AK1939" i="1"/>
  <c r="AJ1939" i="1"/>
  <c r="AI1939" i="1"/>
  <c r="AH1939" i="1"/>
  <c r="AG1939" i="1"/>
  <c r="AF1939" i="1"/>
  <c r="AE1939" i="1"/>
  <c r="AD1939" i="1"/>
  <c r="AC1939" i="1"/>
  <c r="AB1939" i="1"/>
  <c r="AS1938" i="1"/>
  <c r="AA1938" i="1" s="1"/>
  <c r="AO1938" i="1"/>
  <c r="AN1938" i="1"/>
  <c r="AM1938" i="1"/>
  <c r="AL1938" i="1"/>
  <c r="AK1938" i="1"/>
  <c r="AJ1938" i="1"/>
  <c r="AI1938" i="1"/>
  <c r="AH1938" i="1"/>
  <c r="AG1938" i="1"/>
  <c r="AF1938" i="1"/>
  <c r="AE1938" i="1"/>
  <c r="AD1938" i="1"/>
  <c r="AC1938" i="1"/>
  <c r="AB1938" i="1"/>
  <c r="AS1937" i="1"/>
  <c r="AA1937" i="1" s="1"/>
  <c r="AO1937" i="1"/>
  <c r="AN1937" i="1"/>
  <c r="AM1937" i="1"/>
  <c r="AL1937" i="1"/>
  <c r="AK1937" i="1"/>
  <c r="AJ1937" i="1"/>
  <c r="AI1937" i="1"/>
  <c r="AH1937" i="1"/>
  <c r="AG1937" i="1"/>
  <c r="AF1937" i="1"/>
  <c r="AE1937" i="1"/>
  <c r="AD1937" i="1"/>
  <c r="AC1937" i="1"/>
  <c r="AB1937" i="1"/>
  <c r="AS1936" i="1"/>
  <c r="AA1936" i="1" s="1"/>
  <c r="AO1936" i="1"/>
  <c r="AN1936" i="1"/>
  <c r="AM1936" i="1"/>
  <c r="AL1936" i="1"/>
  <c r="AK1936" i="1"/>
  <c r="AJ1936" i="1"/>
  <c r="AI1936" i="1"/>
  <c r="AH1936" i="1"/>
  <c r="AG1936" i="1"/>
  <c r="AF1936" i="1"/>
  <c r="AE1936" i="1"/>
  <c r="AD1936" i="1"/>
  <c r="AC1936" i="1"/>
  <c r="AB1936" i="1"/>
  <c r="AS1935" i="1"/>
  <c r="AA1935" i="1" s="1"/>
  <c r="AO1935" i="1"/>
  <c r="AN1935" i="1"/>
  <c r="AM1935" i="1"/>
  <c r="AL1935" i="1"/>
  <c r="AK1935" i="1"/>
  <c r="AJ1935" i="1"/>
  <c r="AI1935" i="1"/>
  <c r="AH1935" i="1"/>
  <c r="AG1935" i="1"/>
  <c r="AF1935" i="1"/>
  <c r="AE1935" i="1"/>
  <c r="AD1935" i="1"/>
  <c r="AC1935" i="1"/>
  <c r="AB1935" i="1"/>
  <c r="AS1934" i="1"/>
  <c r="AA1934" i="1" s="1"/>
  <c r="AO1934" i="1"/>
  <c r="AN1934" i="1"/>
  <c r="AM1934" i="1"/>
  <c r="AL1934" i="1"/>
  <c r="AK1934" i="1"/>
  <c r="AJ1934" i="1"/>
  <c r="AI1934" i="1"/>
  <c r="AH1934" i="1"/>
  <c r="AG1934" i="1"/>
  <c r="AF1934" i="1"/>
  <c r="AE1934" i="1"/>
  <c r="AD1934" i="1"/>
  <c r="AC1934" i="1"/>
  <c r="AB1934" i="1"/>
  <c r="AS1933" i="1"/>
  <c r="AA1933" i="1" s="1"/>
  <c r="AO1933" i="1"/>
  <c r="AN1933" i="1"/>
  <c r="AM1933" i="1"/>
  <c r="AL1933" i="1"/>
  <c r="AK1933" i="1"/>
  <c r="AJ1933" i="1"/>
  <c r="AI1933" i="1"/>
  <c r="AH1933" i="1"/>
  <c r="AG1933" i="1"/>
  <c r="AF1933" i="1"/>
  <c r="AE1933" i="1"/>
  <c r="AD1933" i="1"/>
  <c r="AC1933" i="1"/>
  <c r="AB1933" i="1"/>
  <c r="AS1932" i="1"/>
  <c r="AA1932" i="1" s="1"/>
  <c r="AO1932" i="1"/>
  <c r="AN1932" i="1"/>
  <c r="AM1932" i="1"/>
  <c r="AL1932" i="1"/>
  <c r="AK1932" i="1"/>
  <c r="AJ1932" i="1"/>
  <c r="AI1932" i="1"/>
  <c r="AH1932" i="1"/>
  <c r="AG1932" i="1"/>
  <c r="AF1932" i="1"/>
  <c r="AE1932" i="1"/>
  <c r="AD1932" i="1"/>
  <c r="AC1932" i="1"/>
  <c r="AB1932" i="1"/>
  <c r="AS1931" i="1"/>
  <c r="AA1931" i="1" s="1"/>
  <c r="AO1931" i="1"/>
  <c r="AN1931" i="1"/>
  <c r="AM1931" i="1"/>
  <c r="AL1931" i="1"/>
  <c r="AK1931" i="1"/>
  <c r="AJ1931" i="1"/>
  <c r="AI1931" i="1"/>
  <c r="AH1931" i="1"/>
  <c r="AG1931" i="1"/>
  <c r="AF1931" i="1"/>
  <c r="AE1931" i="1"/>
  <c r="AD1931" i="1"/>
  <c r="AC1931" i="1"/>
  <c r="AB1931" i="1"/>
  <c r="AS1930" i="1"/>
  <c r="AA1930" i="1" s="1"/>
  <c r="AO1930" i="1"/>
  <c r="AN1930" i="1"/>
  <c r="AM1930" i="1"/>
  <c r="AL1930" i="1"/>
  <c r="AK1930" i="1"/>
  <c r="AJ1930" i="1"/>
  <c r="AI1930" i="1"/>
  <c r="AH1930" i="1"/>
  <c r="AG1930" i="1"/>
  <c r="AF1930" i="1"/>
  <c r="AE1930" i="1"/>
  <c r="AD1930" i="1"/>
  <c r="AC1930" i="1"/>
  <c r="AB1930" i="1"/>
  <c r="AS1929" i="1"/>
  <c r="AA1929" i="1" s="1"/>
  <c r="AO1929" i="1"/>
  <c r="AN1929" i="1"/>
  <c r="AM1929" i="1"/>
  <c r="AL1929" i="1"/>
  <c r="AK1929" i="1"/>
  <c r="AJ1929" i="1"/>
  <c r="AI1929" i="1"/>
  <c r="AH1929" i="1"/>
  <c r="AG1929" i="1"/>
  <c r="AF1929" i="1"/>
  <c r="AE1929" i="1"/>
  <c r="AD1929" i="1"/>
  <c r="AC1929" i="1"/>
  <c r="AB1929" i="1"/>
  <c r="AS1928" i="1"/>
  <c r="AA1928" i="1" s="1"/>
  <c r="AO1928" i="1"/>
  <c r="AN1928" i="1"/>
  <c r="AM1928" i="1"/>
  <c r="AL1928" i="1"/>
  <c r="AK1928" i="1"/>
  <c r="AJ1928" i="1"/>
  <c r="AI1928" i="1"/>
  <c r="AH1928" i="1"/>
  <c r="AG1928" i="1"/>
  <c r="AF1928" i="1"/>
  <c r="AE1928" i="1"/>
  <c r="AD1928" i="1"/>
  <c r="AC1928" i="1"/>
  <c r="AB1928" i="1"/>
  <c r="AS1927" i="1"/>
  <c r="AA1927" i="1" s="1"/>
  <c r="AO1927" i="1"/>
  <c r="AN1927" i="1"/>
  <c r="AM1927" i="1"/>
  <c r="AL1927" i="1"/>
  <c r="AK1927" i="1"/>
  <c r="AJ1927" i="1"/>
  <c r="AI1927" i="1"/>
  <c r="AH1927" i="1"/>
  <c r="AG1927" i="1"/>
  <c r="AF1927" i="1"/>
  <c r="AE1927" i="1"/>
  <c r="AD1927" i="1"/>
  <c r="AC1927" i="1"/>
  <c r="AB1927" i="1"/>
  <c r="AS1926" i="1"/>
  <c r="AA1926" i="1" s="1"/>
  <c r="AO1926" i="1"/>
  <c r="AN1926" i="1"/>
  <c r="AM1926" i="1"/>
  <c r="AL1926" i="1"/>
  <c r="AK1926" i="1"/>
  <c r="AJ1926" i="1"/>
  <c r="AI1926" i="1"/>
  <c r="AH1926" i="1"/>
  <c r="AG1926" i="1"/>
  <c r="AF1926" i="1"/>
  <c r="AE1926" i="1"/>
  <c r="AD1926" i="1"/>
  <c r="AC1926" i="1"/>
  <c r="AB1926" i="1"/>
  <c r="AS1925" i="1"/>
  <c r="AA1925" i="1" s="1"/>
  <c r="AO1925" i="1"/>
  <c r="AN1925" i="1"/>
  <c r="AM1925" i="1"/>
  <c r="AL1925" i="1"/>
  <c r="AK1925" i="1"/>
  <c r="AJ1925" i="1"/>
  <c r="AI1925" i="1"/>
  <c r="AH1925" i="1"/>
  <c r="AG1925" i="1"/>
  <c r="AF1925" i="1"/>
  <c r="AE1925" i="1"/>
  <c r="AD1925" i="1"/>
  <c r="AC1925" i="1"/>
  <c r="AB1925" i="1"/>
  <c r="AS1924" i="1"/>
  <c r="AA1924" i="1" s="1"/>
  <c r="AO1924" i="1"/>
  <c r="AN1924" i="1"/>
  <c r="AM1924" i="1"/>
  <c r="AL1924" i="1"/>
  <c r="AK1924" i="1"/>
  <c r="AJ1924" i="1"/>
  <c r="AI1924" i="1"/>
  <c r="AH1924" i="1"/>
  <c r="AG1924" i="1"/>
  <c r="AF1924" i="1"/>
  <c r="AE1924" i="1"/>
  <c r="AD1924" i="1"/>
  <c r="AC1924" i="1"/>
  <c r="AB1924" i="1"/>
  <c r="AS1923" i="1"/>
  <c r="AA1923" i="1" s="1"/>
  <c r="AO1923" i="1"/>
  <c r="AN1923" i="1"/>
  <c r="AM1923" i="1"/>
  <c r="AL1923" i="1"/>
  <c r="AK1923" i="1"/>
  <c r="AJ1923" i="1"/>
  <c r="AI1923" i="1"/>
  <c r="AH1923" i="1"/>
  <c r="AG1923" i="1"/>
  <c r="AF1923" i="1"/>
  <c r="AE1923" i="1"/>
  <c r="AD1923" i="1"/>
  <c r="AC1923" i="1"/>
  <c r="AB1923" i="1"/>
  <c r="AS1922" i="1"/>
  <c r="AA1922" i="1" s="1"/>
  <c r="AO1922" i="1"/>
  <c r="AN1922" i="1"/>
  <c r="AM1922" i="1"/>
  <c r="AL1922" i="1"/>
  <c r="AK1922" i="1"/>
  <c r="AJ1922" i="1"/>
  <c r="AI1922" i="1"/>
  <c r="AH1922" i="1"/>
  <c r="AG1922" i="1"/>
  <c r="AF1922" i="1"/>
  <c r="AE1922" i="1"/>
  <c r="AD1922" i="1"/>
  <c r="AC1922" i="1"/>
  <c r="AB1922" i="1"/>
  <c r="AS1921" i="1"/>
  <c r="AA1921" i="1" s="1"/>
  <c r="AO1921" i="1"/>
  <c r="AN1921" i="1"/>
  <c r="AM1921" i="1"/>
  <c r="AL1921" i="1"/>
  <c r="AK1921" i="1"/>
  <c r="AJ1921" i="1"/>
  <c r="AI1921" i="1"/>
  <c r="AH1921" i="1"/>
  <c r="AG1921" i="1"/>
  <c r="AF1921" i="1"/>
  <c r="AE1921" i="1"/>
  <c r="AD1921" i="1"/>
  <c r="AC1921" i="1"/>
  <c r="AB1921" i="1"/>
  <c r="AS1920" i="1"/>
  <c r="AA1920" i="1" s="1"/>
  <c r="AO1920" i="1"/>
  <c r="AN1920" i="1"/>
  <c r="AM1920" i="1"/>
  <c r="AL1920" i="1"/>
  <c r="AK1920" i="1"/>
  <c r="AJ1920" i="1"/>
  <c r="AI1920" i="1"/>
  <c r="AH1920" i="1"/>
  <c r="AG1920" i="1"/>
  <c r="AF1920" i="1"/>
  <c r="AE1920" i="1"/>
  <c r="AD1920" i="1"/>
  <c r="AC1920" i="1"/>
  <c r="AB1920" i="1"/>
  <c r="AS1919" i="1"/>
  <c r="AA1919" i="1" s="1"/>
  <c r="AO1919" i="1"/>
  <c r="AN1919" i="1"/>
  <c r="AM1919" i="1"/>
  <c r="AL1919" i="1"/>
  <c r="AK1919" i="1"/>
  <c r="AJ1919" i="1"/>
  <c r="AI1919" i="1"/>
  <c r="AH1919" i="1"/>
  <c r="AG1919" i="1"/>
  <c r="AF1919" i="1"/>
  <c r="AE1919" i="1"/>
  <c r="AD1919" i="1"/>
  <c r="AC1919" i="1"/>
  <c r="AB1919" i="1"/>
  <c r="AS1918" i="1"/>
  <c r="AA1918" i="1" s="1"/>
  <c r="AO1918" i="1"/>
  <c r="AN1918" i="1"/>
  <c r="AM1918" i="1"/>
  <c r="AL1918" i="1"/>
  <c r="AK1918" i="1"/>
  <c r="AJ1918" i="1"/>
  <c r="AI1918" i="1"/>
  <c r="AH1918" i="1"/>
  <c r="AG1918" i="1"/>
  <c r="AF1918" i="1"/>
  <c r="AE1918" i="1"/>
  <c r="AD1918" i="1"/>
  <c r="AC1918" i="1"/>
  <c r="AB1918" i="1"/>
  <c r="AS1917" i="1"/>
  <c r="AA1917" i="1" s="1"/>
  <c r="AO1917" i="1"/>
  <c r="AN1917" i="1"/>
  <c r="AM1917" i="1"/>
  <c r="AL1917" i="1"/>
  <c r="AK1917" i="1"/>
  <c r="AJ1917" i="1"/>
  <c r="AI1917" i="1"/>
  <c r="AH1917" i="1"/>
  <c r="AG1917" i="1"/>
  <c r="AF1917" i="1"/>
  <c r="AE1917" i="1"/>
  <c r="AD1917" i="1"/>
  <c r="AC1917" i="1"/>
  <c r="AB1917" i="1"/>
  <c r="AS1916" i="1"/>
  <c r="AA1916" i="1" s="1"/>
  <c r="AO1916" i="1"/>
  <c r="AN1916" i="1"/>
  <c r="AM1916" i="1"/>
  <c r="AL1916" i="1"/>
  <c r="AK1916" i="1"/>
  <c r="AJ1916" i="1"/>
  <c r="AI1916" i="1"/>
  <c r="AH1916" i="1"/>
  <c r="AG1916" i="1"/>
  <c r="AF1916" i="1"/>
  <c r="AE1916" i="1"/>
  <c r="AD1916" i="1"/>
  <c r="AC1916" i="1"/>
  <c r="AB1916" i="1"/>
  <c r="AS1915" i="1"/>
  <c r="AA1915" i="1" s="1"/>
  <c r="AO1915" i="1"/>
  <c r="AN1915" i="1"/>
  <c r="AM1915" i="1"/>
  <c r="AL1915" i="1"/>
  <c r="AK1915" i="1"/>
  <c r="AJ1915" i="1"/>
  <c r="AI1915" i="1"/>
  <c r="AH1915" i="1"/>
  <c r="AG1915" i="1"/>
  <c r="AF1915" i="1"/>
  <c r="AE1915" i="1"/>
  <c r="AD1915" i="1"/>
  <c r="AC1915" i="1"/>
  <c r="AB1915" i="1"/>
  <c r="AS1914" i="1"/>
  <c r="AA1914" i="1" s="1"/>
  <c r="AO1914" i="1"/>
  <c r="AN1914" i="1"/>
  <c r="AM1914" i="1"/>
  <c r="AL1914" i="1"/>
  <c r="AK1914" i="1"/>
  <c r="AJ1914" i="1"/>
  <c r="AI1914" i="1"/>
  <c r="AH1914" i="1"/>
  <c r="AG1914" i="1"/>
  <c r="AF1914" i="1"/>
  <c r="AE1914" i="1"/>
  <c r="AD1914" i="1"/>
  <c r="AC1914" i="1"/>
  <c r="AB1914" i="1"/>
  <c r="AS1913" i="1"/>
  <c r="AA1913" i="1" s="1"/>
  <c r="AO1913" i="1"/>
  <c r="AN1913" i="1"/>
  <c r="AM1913" i="1"/>
  <c r="AL1913" i="1"/>
  <c r="AK1913" i="1"/>
  <c r="AJ1913" i="1"/>
  <c r="AI1913" i="1"/>
  <c r="AH1913" i="1"/>
  <c r="AG1913" i="1"/>
  <c r="AF1913" i="1"/>
  <c r="AE1913" i="1"/>
  <c r="AD1913" i="1"/>
  <c r="AC1913" i="1"/>
  <c r="AB1913" i="1"/>
  <c r="AS1912" i="1"/>
  <c r="AA1912" i="1" s="1"/>
  <c r="AO1912" i="1"/>
  <c r="AN1912" i="1"/>
  <c r="AM1912" i="1"/>
  <c r="AL1912" i="1"/>
  <c r="AK1912" i="1"/>
  <c r="AJ1912" i="1"/>
  <c r="AI1912" i="1"/>
  <c r="AH1912" i="1"/>
  <c r="AG1912" i="1"/>
  <c r="AF1912" i="1"/>
  <c r="AE1912" i="1"/>
  <c r="AD1912" i="1"/>
  <c r="AC1912" i="1"/>
  <c r="AB1912" i="1"/>
  <c r="AS1911" i="1"/>
  <c r="AA1911" i="1" s="1"/>
  <c r="AO1911" i="1"/>
  <c r="AN1911" i="1"/>
  <c r="AM1911" i="1"/>
  <c r="AL1911" i="1"/>
  <c r="AK1911" i="1"/>
  <c r="AJ1911" i="1"/>
  <c r="AI1911" i="1"/>
  <c r="AH1911" i="1"/>
  <c r="AG1911" i="1"/>
  <c r="AF1911" i="1"/>
  <c r="AE1911" i="1"/>
  <c r="AD1911" i="1"/>
  <c r="AC1911" i="1"/>
  <c r="AB1911" i="1"/>
  <c r="AS1910" i="1"/>
  <c r="AA1910" i="1" s="1"/>
  <c r="AO1910" i="1"/>
  <c r="AN1910" i="1"/>
  <c r="AM1910" i="1"/>
  <c r="AL1910" i="1"/>
  <c r="AK1910" i="1"/>
  <c r="AJ1910" i="1"/>
  <c r="AI1910" i="1"/>
  <c r="AH1910" i="1"/>
  <c r="AG1910" i="1"/>
  <c r="AF1910" i="1"/>
  <c r="AE1910" i="1"/>
  <c r="AD1910" i="1"/>
  <c r="AC1910" i="1"/>
  <c r="AB1910" i="1"/>
  <c r="AS1909" i="1"/>
  <c r="AA1909" i="1" s="1"/>
  <c r="AO1909" i="1"/>
  <c r="AN1909" i="1"/>
  <c r="AM1909" i="1"/>
  <c r="AL1909" i="1"/>
  <c r="AK1909" i="1"/>
  <c r="AJ1909" i="1"/>
  <c r="AI1909" i="1"/>
  <c r="AH1909" i="1"/>
  <c r="AG1909" i="1"/>
  <c r="AF1909" i="1"/>
  <c r="AE1909" i="1"/>
  <c r="AD1909" i="1"/>
  <c r="AC1909" i="1"/>
  <c r="AB1909" i="1"/>
  <c r="AS1908" i="1"/>
  <c r="AA1908" i="1" s="1"/>
  <c r="AO1908" i="1"/>
  <c r="AN1908" i="1"/>
  <c r="AM1908" i="1"/>
  <c r="AL1908" i="1"/>
  <c r="AK1908" i="1"/>
  <c r="AJ1908" i="1"/>
  <c r="AI1908" i="1"/>
  <c r="AH1908" i="1"/>
  <c r="AG1908" i="1"/>
  <c r="AF1908" i="1"/>
  <c r="AE1908" i="1"/>
  <c r="AD1908" i="1"/>
  <c r="AC1908" i="1"/>
  <c r="AB1908" i="1"/>
  <c r="AS1907" i="1"/>
  <c r="AA1907" i="1" s="1"/>
  <c r="AO1907" i="1"/>
  <c r="AN1907" i="1"/>
  <c r="AM1907" i="1"/>
  <c r="AL1907" i="1"/>
  <c r="AK1907" i="1"/>
  <c r="AJ1907" i="1"/>
  <c r="AI1907" i="1"/>
  <c r="AH1907" i="1"/>
  <c r="AG1907" i="1"/>
  <c r="AF1907" i="1"/>
  <c r="AE1907" i="1"/>
  <c r="AD1907" i="1"/>
  <c r="AC1907" i="1"/>
  <c r="AB1907" i="1"/>
  <c r="AS1906" i="1"/>
  <c r="AA1906" i="1" s="1"/>
  <c r="AO1906" i="1"/>
  <c r="AN1906" i="1"/>
  <c r="AM1906" i="1"/>
  <c r="AL1906" i="1"/>
  <c r="AK1906" i="1"/>
  <c r="AJ1906" i="1"/>
  <c r="AI1906" i="1"/>
  <c r="AH1906" i="1"/>
  <c r="AG1906" i="1"/>
  <c r="AF1906" i="1"/>
  <c r="AE1906" i="1"/>
  <c r="AD1906" i="1"/>
  <c r="AC1906" i="1"/>
  <c r="AB1906" i="1"/>
  <c r="AS1905" i="1"/>
  <c r="AA1905" i="1" s="1"/>
  <c r="AO1905" i="1"/>
  <c r="AN1905" i="1"/>
  <c r="AM1905" i="1"/>
  <c r="AL1905" i="1"/>
  <c r="AK1905" i="1"/>
  <c r="AJ1905" i="1"/>
  <c r="AI1905" i="1"/>
  <c r="AH1905" i="1"/>
  <c r="AG1905" i="1"/>
  <c r="AF1905" i="1"/>
  <c r="AE1905" i="1"/>
  <c r="AD1905" i="1"/>
  <c r="AC1905" i="1"/>
  <c r="AB1905" i="1"/>
  <c r="AS1904" i="1"/>
  <c r="AA1904" i="1" s="1"/>
  <c r="AO1904" i="1"/>
  <c r="AN1904" i="1"/>
  <c r="AM1904" i="1"/>
  <c r="AL1904" i="1"/>
  <c r="AK1904" i="1"/>
  <c r="AJ1904" i="1"/>
  <c r="AI1904" i="1"/>
  <c r="AH1904" i="1"/>
  <c r="AG1904" i="1"/>
  <c r="AF1904" i="1"/>
  <c r="AE1904" i="1"/>
  <c r="AD1904" i="1"/>
  <c r="AC1904" i="1"/>
  <c r="AB1904" i="1"/>
  <c r="AS1903" i="1"/>
  <c r="AA1903" i="1" s="1"/>
  <c r="AO1903" i="1"/>
  <c r="AN1903" i="1"/>
  <c r="AM1903" i="1"/>
  <c r="AL1903" i="1"/>
  <c r="AK1903" i="1"/>
  <c r="AJ1903" i="1"/>
  <c r="AI1903" i="1"/>
  <c r="AH1903" i="1"/>
  <c r="AG1903" i="1"/>
  <c r="AF1903" i="1"/>
  <c r="AE1903" i="1"/>
  <c r="AD1903" i="1"/>
  <c r="AC1903" i="1"/>
  <c r="AB1903" i="1"/>
  <c r="AS1902" i="1"/>
  <c r="AA1902" i="1" s="1"/>
  <c r="AO1902" i="1"/>
  <c r="AN1902" i="1"/>
  <c r="AM1902" i="1"/>
  <c r="AL1902" i="1"/>
  <c r="AK1902" i="1"/>
  <c r="AJ1902" i="1"/>
  <c r="AI1902" i="1"/>
  <c r="AH1902" i="1"/>
  <c r="AG1902" i="1"/>
  <c r="AF1902" i="1"/>
  <c r="AE1902" i="1"/>
  <c r="AD1902" i="1"/>
  <c r="AC1902" i="1"/>
  <c r="AB1902" i="1"/>
  <c r="AS1901" i="1"/>
  <c r="AA1901" i="1" s="1"/>
  <c r="AO1901" i="1"/>
  <c r="AN1901" i="1"/>
  <c r="AM1901" i="1"/>
  <c r="AL1901" i="1"/>
  <c r="AK1901" i="1"/>
  <c r="AJ1901" i="1"/>
  <c r="AI1901" i="1"/>
  <c r="AH1901" i="1"/>
  <c r="AG1901" i="1"/>
  <c r="AF1901" i="1"/>
  <c r="AE1901" i="1"/>
  <c r="AD1901" i="1"/>
  <c r="AC1901" i="1"/>
  <c r="AB1901" i="1"/>
  <c r="AS1900" i="1"/>
  <c r="AA1900" i="1" s="1"/>
  <c r="AO1900" i="1"/>
  <c r="AN1900" i="1"/>
  <c r="AM1900" i="1"/>
  <c r="AL1900" i="1"/>
  <c r="AK1900" i="1"/>
  <c r="AJ1900" i="1"/>
  <c r="AI1900" i="1"/>
  <c r="AH1900" i="1"/>
  <c r="AG1900" i="1"/>
  <c r="AF1900" i="1"/>
  <c r="AE1900" i="1"/>
  <c r="AD1900" i="1"/>
  <c r="AC1900" i="1"/>
  <c r="AB1900" i="1"/>
  <c r="AS1899" i="1"/>
  <c r="AA1899" i="1" s="1"/>
  <c r="AO1899" i="1"/>
  <c r="AN1899" i="1"/>
  <c r="AM1899" i="1"/>
  <c r="AL1899" i="1"/>
  <c r="AK1899" i="1"/>
  <c r="AJ1899" i="1"/>
  <c r="AI1899" i="1"/>
  <c r="AH1899" i="1"/>
  <c r="AG1899" i="1"/>
  <c r="AF1899" i="1"/>
  <c r="AE1899" i="1"/>
  <c r="AD1899" i="1"/>
  <c r="AC1899" i="1"/>
  <c r="AB1899" i="1"/>
  <c r="AS1898" i="1"/>
  <c r="AA1898" i="1" s="1"/>
  <c r="AO1898" i="1"/>
  <c r="AN1898" i="1"/>
  <c r="AM1898" i="1"/>
  <c r="AL1898" i="1"/>
  <c r="AK1898" i="1"/>
  <c r="AJ1898" i="1"/>
  <c r="AI1898" i="1"/>
  <c r="AH1898" i="1"/>
  <c r="AG1898" i="1"/>
  <c r="AF1898" i="1"/>
  <c r="AE1898" i="1"/>
  <c r="AD1898" i="1"/>
  <c r="AC1898" i="1"/>
  <c r="AB1898" i="1"/>
  <c r="AS1897" i="1"/>
  <c r="AA1897" i="1" s="1"/>
  <c r="AO1897" i="1"/>
  <c r="AN1897" i="1"/>
  <c r="AM1897" i="1"/>
  <c r="AL1897" i="1"/>
  <c r="AK1897" i="1"/>
  <c r="AJ1897" i="1"/>
  <c r="AI1897" i="1"/>
  <c r="AH1897" i="1"/>
  <c r="AG1897" i="1"/>
  <c r="AF1897" i="1"/>
  <c r="AE1897" i="1"/>
  <c r="AD1897" i="1"/>
  <c r="AC1897" i="1"/>
  <c r="AB1897" i="1"/>
  <c r="AS1896" i="1"/>
  <c r="AA1896" i="1" s="1"/>
  <c r="AO1896" i="1"/>
  <c r="AN1896" i="1"/>
  <c r="AM1896" i="1"/>
  <c r="AL1896" i="1"/>
  <c r="AK1896" i="1"/>
  <c r="AJ1896" i="1"/>
  <c r="AI1896" i="1"/>
  <c r="AH1896" i="1"/>
  <c r="AG1896" i="1"/>
  <c r="AF1896" i="1"/>
  <c r="AE1896" i="1"/>
  <c r="AD1896" i="1"/>
  <c r="AC1896" i="1"/>
  <c r="AB1896" i="1"/>
  <c r="AS1895" i="1"/>
  <c r="AA1895" i="1" s="1"/>
  <c r="AO1895" i="1"/>
  <c r="AN1895" i="1"/>
  <c r="AM1895" i="1"/>
  <c r="AL1895" i="1"/>
  <c r="AK1895" i="1"/>
  <c r="AJ1895" i="1"/>
  <c r="AI1895" i="1"/>
  <c r="AH1895" i="1"/>
  <c r="AG1895" i="1"/>
  <c r="AF1895" i="1"/>
  <c r="AE1895" i="1"/>
  <c r="AD1895" i="1"/>
  <c r="AC1895" i="1"/>
  <c r="AB1895" i="1"/>
  <c r="AS1894" i="1"/>
  <c r="AA1894" i="1" s="1"/>
  <c r="AO1894" i="1"/>
  <c r="AN1894" i="1"/>
  <c r="AM1894" i="1"/>
  <c r="AL1894" i="1"/>
  <c r="AK1894" i="1"/>
  <c r="AJ1894" i="1"/>
  <c r="AI1894" i="1"/>
  <c r="AH1894" i="1"/>
  <c r="AG1894" i="1"/>
  <c r="AF1894" i="1"/>
  <c r="AE1894" i="1"/>
  <c r="AD1894" i="1"/>
  <c r="AC1894" i="1"/>
  <c r="AB1894" i="1"/>
  <c r="AS1893" i="1"/>
  <c r="AA1893" i="1" s="1"/>
  <c r="AO1893" i="1"/>
  <c r="AN1893" i="1"/>
  <c r="AM1893" i="1"/>
  <c r="AL1893" i="1"/>
  <c r="AK1893" i="1"/>
  <c r="AJ1893" i="1"/>
  <c r="AI1893" i="1"/>
  <c r="AH1893" i="1"/>
  <c r="AG1893" i="1"/>
  <c r="AF1893" i="1"/>
  <c r="AE1893" i="1"/>
  <c r="AD1893" i="1"/>
  <c r="AC1893" i="1"/>
  <c r="AB1893" i="1"/>
  <c r="AS1892" i="1"/>
  <c r="AA1892" i="1" s="1"/>
  <c r="AO1892" i="1"/>
  <c r="AN1892" i="1"/>
  <c r="AM1892" i="1"/>
  <c r="AL1892" i="1"/>
  <c r="AK1892" i="1"/>
  <c r="AJ1892" i="1"/>
  <c r="AI1892" i="1"/>
  <c r="AH1892" i="1"/>
  <c r="AG1892" i="1"/>
  <c r="AF1892" i="1"/>
  <c r="AE1892" i="1"/>
  <c r="AD1892" i="1"/>
  <c r="AC1892" i="1"/>
  <c r="AB1892" i="1"/>
  <c r="AS1891" i="1"/>
  <c r="AA1891" i="1" s="1"/>
  <c r="AO1891" i="1"/>
  <c r="AN1891" i="1"/>
  <c r="AM1891" i="1"/>
  <c r="AL1891" i="1"/>
  <c r="AK1891" i="1"/>
  <c r="AJ1891" i="1"/>
  <c r="AI1891" i="1"/>
  <c r="AH1891" i="1"/>
  <c r="AG1891" i="1"/>
  <c r="AF1891" i="1"/>
  <c r="AE1891" i="1"/>
  <c r="AD1891" i="1"/>
  <c r="AC1891" i="1"/>
  <c r="AB1891" i="1"/>
  <c r="AS1890" i="1"/>
  <c r="AA1890" i="1" s="1"/>
  <c r="AO1890" i="1"/>
  <c r="AN1890" i="1"/>
  <c r="AM1890" i="1"/>
  <c r="AL1890" i="1"/>
  <c r="AK1890" i="1"/>
  <c r="AJ1890" i="1"/>
  <c r="AI1890" i="1"/>
  <c r="AH1890" i="1"/>
  <c r="AG1890" i="1"/>
  <c r="AF1890" i="1"/>
  <c r="AE1890" i="1"/>
  <c r="AD1890" i="1"/>
  <c r="AC1890" i="1"/>
  <c r="AB1890" i="1"/>
  <c r="AS1889" i="1"/>
  <c r="AA1889" i="1" s="1"/>
  <c r="AO1889" i="1"/>
  <c r="AN1889" i="1"/>
  <c r="AM1889" i="1"/>
  <c r="AL1889" i="1"/>
  <c r="AK1889" i="1"/>
  <c r="AJ1889" i="1"/>
  <c r="AI1889" i="1"/>
  <c r="AH1889" i="1"/>
  <c r="AG1889" i="1"/>
  <c r="AF1889" i="1"/>
  <c r="AE1889" i="1"/>
  <c r="AD1889" i="1"/>
  <c r="AC1889" i="1"/>
  <c r="AB1889" i="1"/>
  <c r="AS1888" i="1"/>
  <c r="AA1888" i="1" s="1"/>
  <c r="AO1888" i="1"/>
  <c r="AN1888" i="1"/>
  <c r="AM1888" i="1"/>
  <c r="AL1888" i="1"/>
  <c r="AK1888" i="1"/>
  <c r="AJ1888" i="1"/>
  <c r="AI1888" i="1"/>
  <c r="AH1888" i="1"/>
  <c r="AG1888" i="1"/>
  <c r="AF1888" i="1"/>
  <c r="AE1888" i="1"/>
  <c r="AD1888" i="1"/>
  <c r="AC1888" i="1"/>
  <c r="AB1888" i="1"/>
  <c r="AS1887" i="1"/>
  <c r="AA1887" i="1" s="1"/>
  <c r="AO1887" i="1"/>
  <c r="AN1887" i="1"/>
  <c r="AM1887" i="1"/>
  <c r="AL1887" i="1"/>
  <c r="AK1887" i="1"/>
  <c r="AJ1887" i="1"/>
  <c r="AI1887" i="1"/>
  <c r="AH1887" i="1"/>
  <c r="AG1887" i="1"/>
  <c r="AF1887" i="1"/>
  <c r="AE1887" i="1"/>
  <c r="AD1887" i="1"/>
  <c r="AC1887" i="1"/>
  <c r="AB1887" i="1"/>
  <c r="AS1886" i="1"/>
  <c r="AA1886" i="1" s="1"/>
  <c r="AO1886" i="1"/>
  <c r="AN1886" i="1"/>
  <c r="AM1886" i="1"/>
  <c r="AL1886" i="1"/>
  <c r="AK1886" i="1"/>
  <c r="AJ1886" i="1"/>
  <c r="AI1886" i="1"/>
  <c r="AH1886" i="1"/>
  <c r="AG1886" i="1"/>
  <c r="AF1886" i="1"/>
  <c r="AE1886" i="1"/>
  <c r="AD1886" i="1"/>
  <c r="AC1886" i="1"/>
  <c r="AB1886" i="1"/>
  <c r="AS1885" i="1"/>
  <c r="AA1885" i="1" s="1"/>
  <c r="AO1885" i="1"/>
  <c r="AN1885" i="1"/>
  <c r="AM1885" i="1"/>
  <c r="AL1885" i="1"/>
  <c r="AK1885" i="1"/>
  <c r="AJ1885" i="1"/>
  <c r="AI1885" i="1"/>
  <c r="AH1885" i="1"/>
  <c r="AG1885" i="1"/>
  <c r="AF1885" i="1"/>
  <c r="AE1885" i="1"/>
  <c r="AD1885" i="1"/>
  <c r="AC1885" i="1"/>
  <c r="AB1885" i="1"/>
  <c r="AS1884" i="1"/>
  <c r="AA1884" i="1" s="1"/>
  <c r="AO1884" i="1"/>
  <c r="AN1884" i="1"/>
  <c r="AM1884" i="1"/>
  <c r="AL1884" i="1"/>
  <c r="AK1884" i="1"/>
  <c r="AJ1884" i="1"/>
  <c r="AI1884" i="1"/>
  <c r="AH1884" i="1"/>
  <c r="AG1884" i="1"/>
  <c r="AF1884" i="1"/>
  <c r="AE1884" i="1"/>
  <c r="AD1884" i="1"/>
  <c r="AC1884" i="1"/>
  <c r="AB1884" i="1"/>
  <c r="AS1883" i="1"/>
  <c r="AA1883" i="1" s="1"/>
  <c r="AO1883" i="1"/>
  <c r="AN1883" i="1"/>
  <c r="AM1883" i="1"/>
  <c r="AL1883" i="1"/>
  <c r="AK1883" i="1"/>
  <c r="AJ1883" i="1"/>
  <c r="AI1883" i="1"/>
  <c r="AH1883" i="1"/>
  <c r="AG1883" i="1"/>
  <c r="AF1883" i="1"/>
  <c r="AE1883" i="1"/>
  <c r="AD1883" i="1"/>
  <c r="AC1883" i="1"/>
  <c r="AB1883" i="1"/>
  <c r="AS1882" i="1"/>
  <c r="AA1882" i="1" s="1"/>
  <c r="AO1882" i="1"/>
  <c r="AN1882" i="1"/>
  <c r="AM1882" i="1"/>
  <c r="AL1882" i="1"/>
  <c r="AK1882" i="1"/>
  <c r="AJ1882" i="1"/>
  <c r="AI1882" i="1"/>
  <c r="AH1882" i="1"/>
  <c r="AG1882" i="1"/>
  <c r="AF1882" i="1"/>
  <c r="AE1882" i="1"/>
  <c r="AD1882" i="1"/>
  <c r="AC1882" i="1"/>
  <c r="AB1882" i="1"/>
  <c r="AS1881" i="1"/>
  <c r="AA1881" i="1" s="1"/>
  <c r="AO1881" i="1"/>
  <c r="AN1881" i="1"/>
  <c r="AM1881" i="1"/>
  <c r="AL1881" i="1"/>
  <c r="AK1881" i="1"/>
  <c r="AJ1881" i="1"/>
  <c r="AI1881" i="1"/>
  <c r="AH1881" i="1"/>
  <c r="AG1881" i="1"/>
  <c r="AF1881" i="1"/>
  <c r="AE1881" i="1"/>
  <c r="AD1881" i="1"/>
  <c r="AC1881" i="1"/>
  <c r="AB1881" i="1"/>
  <c r="AS1880" i="1"/>
  <c r="AA1880" i="1" s="1"/>
  <c r="AO1880" i="1"/>
  <c r="AN1880" i="1"/>
  <c r="AM1880" i="1"/>
  <c r="AL1880" i="1"/>
  <c r="AK1880" i="1"/>
  <c r="AJ1880" i="1"/>
  <c r="AI1880" i="1"/>
  <c r="AH1880" i="1"/>
  <c r="AG1880" i="1"/>
  <c r="AF1880" i="1"/>
  <c r="AE1880" i="1"/>
  <c r="AD1880" i="1"/>
  <c r="AC1880" i="1"/>
  <c r="AB1880" i="1"/>
  <c r="AS1879" i="1"/>
  <c r="AA1879" i="1" s="1"/>
  <c r="AO1879" i="1"/>
  <c r="AN1879" i="1"/>
  <c r="AM1879" i="1"/>
  <c r="AL1879" i="1"/>
  <c r="AK1879" i="1"/>
  <c r="AJ1879" i="1"/>
  <c r="AI1879" i="1"/>
  <c r="AH1879" i="1"/>
  <c r="AG1879" i="1"/>
  <c r="AF1879" i="1"/>
  <c r="AE1879" i="1"/>
  <c r="AD1879" i="1"/>
  <c r="AC1879" i="1"/>
  <c r="AB1879" i="1"/>
  <c r="AS1878" i="1"/>
  <c r="AA1878" i="1" s="1"/>
  <c r="AO1878" i="1"/>
  <c r="AN1878" i="1"/>
  <c r="AM1878" i="1"/>
  <c r="AL1878" i="1"/>
  <c r="AK1878" i="1"/>
  <c r="AJ1878" i="1"/>
  <c r="AI1878" i="1"/>
  <c r="AH1878" i="1"/>
  <c r="AG1878" i="1"/>
  <c r="AF1878" i="1"/>
  <c r="AE1878" i="1"/>
  <c r="AD1878" i="1"/>
  <c r="AC1878" i="1"/>
  <c r="AB1878" i="1"/>
  <c r="AS1877" i="1"/>
  <c r="AA1877" i="1" s="1"/>
  <c r="AO1877" i="1"/>
  <c r="AN1877" i="1"/>
  <c r="AM1877" i="1"/>
  <c r="AL1877" i="1"/>
  <c r="AK1877" i="1"/>
  <c r="AJ1877" i="1"/>
  <c r="AI1877" i="1"/>
  <c r="AH1877" i="1"/>
  <c r="AG1877" i="1"/>
  <c r="AF1877" i="1"/>
  <c r="AE1877" i="1"/>
  <c r="AD1877" i="1"/>
  <c r="AC1877" i="1"/>
  <c r="AB1877" i="1"/>
  <c r="AS1876" i="1"/>
  <c r="AA1876" i="1" s="1"/>
  <c r="AO1876" i="1"/>
  <c r="AN1876" i="1"/>
  <c r="AM1876" i="1"/>
  <c r="AL1876" i="1"/>
  <c r="AK1876" i="1"/>
  <c r="AJ1876" i="1"/>
  <c r="AI1876" i="1"/>
  <c r="AH1876" i="1"/>
  <c r="AG1876" i="1"/>
  <c r="AF1876" i="1"/>
  <c r="AE1876" i="1"/>
  <c r="AD1876" i="1"/>
  <c r="AC1876" i="1"/>
  <c r="AB1876" i="1"/>
  <c r="AS1875" i="1"/>
  <c r="AA1875" i="1" s="1"/>
  <c r="AO1875" i="1"/>
  <c r="AN1875" i="1"/>
  <c r="AM1875" i="1"/>
  <c r="AL1875" i="1"/>
  <c r="AK1875" i="1"/>
  <c r="AJ1875" i="1"/>
  <c r="AI1875" i="1"/>
  <c r="AH1875" i="1"/>
  <c r="AG1875" i="1"/>
  <c r="AF1875" i="1"/>
  <c r="AE1875" i="1"/>
  <c r="AD1875" i="1"/>
  <c r="AC1875" i="1"/>
  <c r="AB1875" i="1"/>
  <c r="AS1874" i="1"/>
  <c r="AA1874" i="1" s="1"/>
  <c r="AO1874" i="1"/>
  <c r="AN1874" i="1"/>
  <c r="AM1874" i="1"/>
  <c r="AL1874" i="1"/>
  <c r="AK1874" i="1"/>
  <c r="AJ1874" i="1"/>
  <c r="AI1874" i="1"/>
  <c r="AH1874" i="1"/>
  <c r="AG1874" i="1"/>
  <c r="AF1874" i="1"/>
  <c r="AE1874" i="1"/>
  <c r="AD1874" i="1"/>
  <c r="AC1874" i="1"/>
  <c r="AB1874" i="1"/>
  <c r="AS1873" i="1"/>
  <c r="AA1873" i="1" s="1"/>
  <c r="AO1873" i="1"/>
  <c r="AN1873" i="1"/>
  <c r="AM1873" i="1"/>
  <c r="AL1873" i="1"/>
  <c r="AK1873" i="1"/>
  <c r="AJ1873" i="1"/>
  <c r="AI1873" i="1"/>
  <c r="AH1873" i="1"/>
  <c r="AG1873" i="1"/>
  <c r="AF1873" i="1"/>
  <c r="AE1873" i="1"/>
  <c r="AD1873" i="1"/>
  <c r="AC1873" i="1"/>
  <c r="AB1873" i="1"/>
  <c r="AS1872" i="1"/>
  <c r="AA1872" i="1" s="1"/>
  <c r="AO1872" i="1"/>
  <c r="AN1872" i="1"/>
  <c r="AM1872" i="1"/>
  <c r="AL1872" i="1"/>
  <c r="AK1872" i="1"/>
  <c r="AJ1872" i="1"/>
  <c r="AI1872" i="1"/>
  <c r="AH1872" i="1"/>
  <c r="AG1872" i="1"/>
  <c r="AF1872" i="1"/>
  <c r="AE1872" i="1"/>
  <c r="AD1872" i="1"/>
  <c r="AC1872" i="1"/>
  <c r="AB1872" i="1"/>
  <c r="AS1871" i="1"/>
  <c r="AA1871" i="1" s="1"/>
  <c r="AO1871" i="1"/>
  <c r="AN1871" i="1"/>
  <c r="AM1871" i="1"/>
  <c r="AL1871" i="1"/>
  <c r="AK1871" i="1"/>
  <c r="AJ1871" i="1"/>
  <c r="AI1871" i="1"/>
  <c r="AH1871" i="1"/>
  <c r="AG1871" i="1"/>
  <c r="AF1871" i="1"/>
  <c r="AE1871" i="1"/>
  <c r="AD1871" i="1"/>
  <c r="AC1871" i="1"/>
  <c r="AB1871" i="1"/>
  <c r="AS1870" i="1"/>
  <c r="AA1870" i="1" s="1"/>
  <c r="AO1870" i="1"/>
  <c r="AN1870" i="1"/>
  <c r="AM1870" i="1"/>
  <c r="AL1870" i="1"/>
  <c r="AK1870" i="1"/>
  <c r="AJ1870" i="1"/>
  <c r="AI1870" i="1"/>
  <c r="AH1870" i="1"/>
  <c r="AG1870" i="1"/>
  <c r="AF1870" i="1"/>
  <c r="AE1870" i="1"/>
  <c r="AD1870" i="1"/>
  <c r="AC1870" i="1"/>
  <c r="AB1870" i="1"/>
  <c r="AS1869" i="1"/>
  <c r="AA1869" i="1" s="1"/>
  <c r="AO1869" i="1"/>
  <c r="AN1869" i="1"/>
  <c r="AM1869" i="1"/>
  <c r="AL1869" i="1"/>
  <c r="AK1869" i="1"/>
  <c r="AJ1869" i="1"/>
  <c r="AI1869" i="1"/>
  <c r="AH1869" i="1"/>
  <c r="AG1869" i="1"/>
  <c r="AF1869" i="1"/>
  <c r="AE1869" i="1"/>
  <c r="AD1869" i="1"/>
  <c r="AC1869" i="1"/>
  <c r="AB1869" i="1"/>
  <c r="AS1868" i="1"/>
  <c r="AA1868" i="1" s="1"/>
  <c r="AO1868" i="1"/>
  <c r="AN1868" i="1"/>
  <c r="AM1868" i="1"/>
  <c r="AL1868" i="1"/>
  <c r="AK1868" i="1"/>
  <c r="AJ1868" i="1"/>
  <c r="AI1868" i="1"/>
  <c r="AH1868" i="1"/>
  <c r="AG1868" i="1"/>
  <c r="AF1868" i="1"/>
  <c r="AE1868" i="1"/>
  <c r="AD1868" i="1"/>
  <c r="AC1868" i="1"/>
  <c r="AB1868" i="1"/>
  <c r="AS1867" i="1"/>
  <c r="AA1867" i="1" s="1"/>
  <c r="AO1867" i="1"/>
  <c r="AN1867" i="1"/>
  <c r="AM1867" i="1"/>
  <c r="AL1867" i="1"/>
  <c r="AK1867" i="1"/>
  <c r="AJ1867" i="1"/>
  <c r="AI1867" i="1"/>
  <c r="AH1867" i="1"/>
  <c r="AG1867" i="1"/>
  <c r="AF1867" i="1"/>
  <c r="AE1867" i="1"/>
  <c r="AD1867" i="1"/>
  <c r="AC1867" i="1"/>
  <c r="AB1867" i="1"/>
  <c r="AS1866" i="1"/>
  <c r="AA1866" i="1" s="1"/>
  <c r="AO1866" i="1"/>
  <c r="AN1866" i="1"/>
  <c r="AM1866" i="1"/>
  <c r="AL1866" i="1"/>
  <c r="AK1866" i="1"/>
  <c r="AJ1866" i="1"/>
  <c r="AI1866" i="1"/>
  <c r="AH1866" i="1"/>
  <c r="AG1866" i="1"/>
  <c r="AF1866" i="1"/>
  <c r="AE1866" i="1"/>
  <c r="AD1866" i="1"/>
  <c r="AC1866" i="1"/>
  <c r="AB1866" i="1"/>
  <c r="AS1865" i="1"/>
  <c r="AA1865" i="1" s="1"/>
  <c r="AO1865" i="1"/>
  <c r="AN1865" i="1"/>
  <c r="AM1865" i="1"/>
  <c r="AL1865" i="1"/>
  <c r="AK1865" i="1"/>
  <c r="AJ1865" i="1"/>
  <c r="AI1865" i="1"/>
  <c r="AH1865" i="1"/>
  <c r="AG1865" i="1"/>
  <c r="AF1865" i="1"/>
  <c r="AE1865" i="1"/>
  <c r="AD1865" i="1"/>
  <c r="AC1865" i="1"/>
  <c r="AB1865" i="1"/>
  <c r="AS1864" i="1"/>
  <c r="AA1864" i="1" s="1"/>
  <c r="AO1864" i="1"/>
  <c r="AN1864" i="1"/>
  <c r="AM1864" i="1"/>
  <c r="AL1864" i="1"/>
  <c r="AK1864" i="1"/>
  <c r="AJ1864" i="1"/>
  <c r="AI1864" i="1"/>
  <c r="AH1864" i="1"/>
  <c r="AG1864" i="1"/>
  <c r="AF1864" i="1"/>
  <c r="AE1864" i="1"/>
  <c r="AD1864" i="1"/>
  <c r="AC1864" i="1"/>
  <c r="AB1864" i="1"/>
  <c r="AS1863" i="1"/>
  <c r="AA1863" i="1" s="1"/>
  <c r="AO1863" i="1"/>
  <c r="AN1863" i="1"/>
  <c r="AM1863" i="1"/>
  <c r="AL1863" i="1"/>
  <c r="AK1863" i="1"/>
  <c r="AJ1863" i="1"/>
  <c r="AI1863" i="1"/>
  <c r="AH1863" i="1"/>
  <c r="AG1863" i="1"/>
  <c r="AF1863" i="1"/>
  <c r="AE1863" i="1"/>
  <c r="AD1863" i="1"/>
  <c r="AC1863" i="1"/>
  <c r="AB1863" i="1"/>
  <c r="AS1862" i="1"/>
  <c r="AA1862" i="1" s="1"/>
  <c r="AO1862" i="1"/>
  <c r="AN1862" i="1"/>
  <c r="AM1862" i="1"/>
  <c r="AL1862" i="1"/>
  <c r="AK1862" i="1"/>
  <c r="AJ1862" i="1"/>
  <c r="AI1862" i="1"/>
  <c r="AH1862" i="1"/>
  <c r="AG1862" i="1"/>
  <c r="AF1862" i="1"/>
  <c r="AE1862" i="1"/>
  <c r="AD1862" i="1"/>
  <c r="AC1862" i="1"/>
  <c r="AB1862" i="1"/>
  <c r="AS1861" i="1"/>
  <c r="AA1861" i="1" s="1"/>
  <c r="AO1861" i="1"/>
  <c r="AN1861" i="1"/>
  <c r="AM1861" i="1"/>
  <c r="AL1861" i="1"/>
  <c r="AK1861" i="1"/>
  <c r="AJ1861" i="1"/>
  <c r="AI1861" i="1"/>
  <c r="AH1861" i="1"/>
  <c r="AG1861" i="1"/>
  <c r="AF1861" i="1"/>
  <c r="AE1861" i="1"/>
  <c r="AD1861" i="1"/>
  <c r="AC1861" i="1"/>
  <c r="AB1861" i="1"/>
  <c r="AS1860" i="1"/>
  <c r="AA1860" i="1" s="1"/>
  <c r="AO1860" i="1"/>
  <c r="AN1860" i="1"/>
  <c r="AM1860" i="1"/>
  <c r="AL1860" i="1"/>
  <c r="AK1860" i="1"/>
  <c r="AJ1860" i="1"/>
  <c r="AI1860" i="1"/>
  <c r="AH1860" i="1"/>
  <c r="AG1860" i="1"/>
  <c r="AF1860" i="1"/>
  <c r="AE1860" i="1"/>
  <c r="AD1860" i="1"/>
  <c r="AC1860" i="1"/>
  <c r="AB1860" i="1"/>
  <c r="AS1859" i="1"/>
  <c r="AA1859" i="1" s="1"/>
  <c r="AO1859" i="1"/>
  <c r="AN1859" i="1"/>
  <c r="AM1859" i="1"/>
  <c r="AL1859" i="1"/>
  <c r="AK1859" i="1"/>
  <c r="AJ1859" i="1"/>
  <c r="AI1859" i="1"/>
  <c r="AH1859" i="1"/>
  <c r="AG1859" i="1"/>
  <c r="AF1859" i="1"/>
  <c r="AE1859" i="1"/>
  <c r="AD1859" i="1"/>
  <c r="AC1859" i="1"/>
  <c r="AB1859" i="1"/>
  <c r="AS1858" i="1"/>
  <c r="AA1858" i="1" s="1"/>
  <c r="AO1858" i="1"/>
  <c r="AN1858" i="1"/>
  <c r="AM1858" i="1"/>
  <c r="AL1858" i="1"/>
  <c r="AK1858" i="1"/>
  <c r="AJ1858" i="1"/>
  <c r="AI1858" i="1"/>
  <c r="AH1858" i="1"/>
  <c r="AG1858" i="1"/>
  <c r="AF1858" i="1"/>
  <c r="AE1858" i="1"/>
  <c r="AD1858" i="1"/>
  <c r="AC1858" i="1"/>
  <c r="AB1858" i="1"/>
  <c r="AS1857" i="1"/>
  <c r="AA1857" i="1" s="1"/>
  <c r="AO1857" i="1"/>
  <c r="AN1857" i="1"/>
  <c r="AM1857" i="1"/>
  <c r="AL1857" i="1"/>
  <c r="AK1857" i="1"/>
  <c r="AJ1857" i="1"/>
  <c r="AI1857" i="1"/>
  <c r="AH1857" i="1"/>
  <c r="AG1857" i="1"/>
  <c r="AF1857" i="1"/>
  <c r="AE1857" i="1"/>
  <c r="AD1857" i="1"/>
  <c r="AC1857" i="1"/>
  <c r="AB1857" i="1"/>
  <c r="AS1856" i="1"/>
  <c r="AA1856" i="1" s="1"/>
  <c r="AO1856" i="1"/>
  <c r="AN1856" i="1"/>
  <c r="AM1856" i="1"/>
  <c r="AL1856" i="1"/>
  <c r="AK1856" i="1"/>
  <c r="AJ1856" i="1"/>
  <c r="AI1856" i="1"/>
  <c r="AH1856" i="1"/>
  <c r="AG1856" i="1"/>
  <c r="AF1856" i="1"/>
  <c r="AE1856" i="1"/>
  <c r="AD1856" i="1"/>
  <c r="AC1856" i="1"/>
  <c r="AB1856" i="1"/>
  <c r="AS1855" i="1"/>
  <c r="AA1855" i="1" s="1"/>
  <c r="AO1855" i="1"/>
  <c r="AN1855" i="1"/>
  <c r="AM1855" i="1"/>
  <c r="AL1855" i="1"/>
  <c r="AK1855" i="1"/>
  <c r="AJ1855" i="1"/>
  <c r="AI1855" i="1"/>
  <c r="AH1855" i="1"/>
  <c r="AG1855" i="1"/>
  <c r="AF1855" i="1"/>
  <c r="AE1855" i="1"/>
  <c r="AD1855" i="1"/>
  <c r="AC1855" i="1"/>
  <c r="AB1855" i="1"/>
  <c r="AS1854" i="1"/>
  <c r="AA1854" i="1" s="1"/>
  <c r="AO1854" i="1"/>
  <c r="AN1854" i="1"/>
  <c r="AM1854" i="1"/>
  <c r="AL1854" i="1"/>
  <c r="AK1854" i="1"/>
  <c r="AJ1854" i="1"/>
  <c r="AI1854" i="1"/>
  <c r="AH1854" i="1"/>
  <c r="AG1854" i="1"/>
  <c r="AF1854" i="1"/>
  <c r="AE1854" i="1"/>
  <c r="AD1854" i="1"/>
  <c r="AC1854" i="1"/>
  <c r="AB1854" i="1"/>
  <c r="AS1853" i="1"/>
  <c r="AA1853" i="1" s="1"/>
  <c r="AO1853" i="1"/>
  <c r="AN1853" i="1"/>
  <c r="AM1853" i="1"/>
  <c r="AL1853" i="1"/>
  <c r="AK1853" i="1"/>
  <c r="AJ1853" i="1"/>
  <c r="AI1853" i="1"/>
  <c r="AH1853" i="1"/>
  <c r="AG1853" i="1"/>
  <c r="AF1853" i="1"/>
  <c r="AE1853" i="1"/>
  <c r="AD1853" i="1"/>
  <c r="AC1853" i="1"/>
  <c r="AB1853" i="1"/>
  <c r="AS1852" i="1"/>
  <c r="AA1852" i="1" s="1"/>
  <c r="AO1852" i="1"/>
  <c r="AN1852" i="1"/>
  <c r="AM1852" i="1"/>
  <c r="AL1852" i="1"/>
  <c r="AK1852" i="1"/>
  <c r="AJ1852" i="1"/>
  <c r="AI1852" i="1"/>
  <c r="AH1852" i="1"/>
  <c r="AG1852" i="1"/>
  <c r="AF1852" i="1"/>
  <c r="AE1852" i="1"/>
  <c r="AD1852" i="1"/>
  <c r="AC1852" i="1"/>
  <c r="AB1852" i="1"/>
  <c r="AS1851" i="1"/>
  <c r="AA1851" i="1" s="1"/>
  <c r="AO1851" i="1"/>
  <c r="AN1851" i="1"/>
  <c r="AM1851" i="1"/>
  <c r="AL1851" i="1"/>
  <c r="AK1851" i="1"/>
  <c r="AJ1851" i="1"/>
  <c r="AI1851" i="1"/>
  <c r="AH1851" i="1"/>
  <c r="AG1851" i="1"/>
  <c r="AF1851" i="1"/>
  <c r="AE1851" i="1"/>
  <c r="AD1851" i="1"/>
  <c r="AC1851" i="1"/>
  <c r="AB1851" i="1"/>
  <c r="AS1850" i="1"/>
  <c r="AA1850" i="1" s="1"/>
  <c r="AO1850" i="1"/>
  <c r="AN1850" i="1"/>
  <c r="AM1850" i="1"/>
  <c r="AL1850" i="1"/>
  <c r="AK1850" i="1"/>
  <c r="AJ1850" i="1"/>
  <c r="AI1850" i="1"/>
  <c r="AH1850" i="1"/>
  <c r="AG1850" i="1"/>
  <c r="AF1850" i="1"/>
  <c r="AE1850" i="1"/>
  <c r="AD1850" i="1"/>
  <c r="AC1850" i="1"/>
  <c r="AB1850" i="1"/>
  <c r="AS1849" i="1"/>
  <c r="AA1849" i="1" s="1"/>
  <c r="AO1849" i="1"/>
  <c r="AN1849" i="1"/>
  <c r="AM1849" i="1"/>
  <c r="AL1849" i="1"/>
  <c r="AK1849" i="1"/>
  <c r="AJ1849" i="1"/>
  <c r="AI1849" i="1"/>
  <c r="AH1849" i="1"/>
  <c r="AG1849" i="1"/>
  <c r="AF1849" i="1"/>
  <c r="AE1849" i="1"/>
  <c r="AD1849" i="1"/>
  <c r="AC1849" i="1"/>
  <c r="AB1849" i="1"/>
  <c r="AS1848" i="1"/>
  <c r="AA1848" i="1" s="1"/>
  <c r="AO1848" i="1"/>
  <c r="AN1848" i="1"/>
  <c r="AM1848" i="1"/>
  <c r="AL1848" i="1"/>
  <c r="AK1848" i="1"/>
  <c r="AJ1848" i="1"/>
  <c r="AI1848" i="1"/>
  <c r="AH1848" i="1"/>
  <c r="AG1848" i="1"/>
  <c r="AF1848" i="1"/>
  <c r="AE1848" i="1"/>
  <c r="AD1848" i="1"/>
  <c r="AC1848" i="1"/>
  <c r="AB1848" i="1"/>
  <c r="AS1847" i="1"/>
  <c r="AA1847" i="1" s="1"/>
  <c r="AO1847" i="1"/>
  <c r="AN1847" i="1"/>
  <c r="AM1847" i="1"/>
  <c r="AL1847" i="1"/>
  <c r="AK1847" i="1"/>
  <c r="AJ1847" i="1"/>
  <c r="AI1847" i="1"/>
  <c r="AH1847" i="1"/>
  <c r="AG1847" i="1"/>
  <c r="AF1847" i="1"/>
  <c r="AE1847" i="1"/>
  <c r="AD1847" i="1"/>
  <c r="AC1847" i="1"/>
  <c r="AB1847" i="1"/>
  <c r="AS1846" i="1"/>
  <c r="AA1846" i="1" s="1"/>
  <c r="AO1846" i="1"/>
  <c r="AN1846" i="1"/>
  <c r="AM1846" i="1"/>
  <c r="AL1846" i="1"/>
  <c r="AK1846" i="1"/>
  <c r="AJ1846" i="1"/>
  <c r="AI1846" i="1"/>
  <c r="AH1846" i="1"/>
  <c r="AG1846" i="1"/>
  <c r="AF1846" i="1"/>
  <c r="AE1846" i="1"/>
  <c r="AD1846" i="1"/>
  <c r="AC1846" i="1"/>
  <c r="AB1846" i="1"/>
  <c r="AS1845" i="1"/>
  <c r="AA1845" i="1" s="1"/>
  <c r="AO1845" i="1"/>
  <c r="AN1845" i="1"/>
  <c r="AM1845" i="1"/>
  <c r="AL1845" i="1"/>
  <c r="AK1845" i="1"/>
  <c r="AJ1845" i="1"/>
  <c r="AI1845" i="1"/>
  <c r="AH1845" i="1"/>
  <c r="AG1845" i="1"/>
  <c r="AF1845" i="1"/>
  <c r="AE1845" i="1"/>
  <c r="AD1845" i="1"/>
  <c r="AC1845" i="1"/>
  <c r="AB1845" i="1"/>
  <c r="AS1844" i="1"/>
  <c r="AA1844" i="1" s="1"/>
  <c r="AO1844" i="1"/>
  <c r="AN1844" i="1"/>
  <c r="AM1844" i="1"/>
  <c r="AL1844" i="1"/>
  <c r="AK1844" i="1"/>
  <c r="AJ1844" i="1"/>
  <c r="AI1844" i="1"/>
  <c r="AH1844" i="1"/>
  <c r="AG1844" i="1"/>
  <c r="AF1844" i="1"/>
  <c r="AE1844" i="1"/>
  <c r="AD1844" i="1"/>
  <c r="AC1844" i="1"/>
  <c r="AB1844" i="1"/>
  <c r="AS1843" i="1"/>
  <c r="AA1843" i="1" s="1"/>
  <c r="AO1843" i="1"/>
  <c r="AN1843" i="1"/>
  <c r="AM1843" i="1"/>
  <c r="AL1843" i="1"/>
  <c r="AK1843" i="1"/>
  <c r="AJ1843" i="1"/>
  <c r="AI1843" i="1"/>
  <c r="AH1843" i="1"/>
  <c r="AG1843" i="1"/>
  <c r="AF1843" i="1"/>
  <c r="AE1843" i="1"/>
  <c r="AD1843" i="1"/>
  <c r="AC1843" i="1"/>
  <c r="AB1843" i="1"/>
  <c r="AS1842" i="1"/>
  <c r="AA1842" i="1" s="1"/>
  <c r="AO1842" i="1"/>
  <c r="AN1842" i="1"/>
  <c r="AM1842" i="1"/>
  <c r="AL1842" i="1"/>
  <c r="AK1842" i="1"/>
  <c r="AJ1842" i="1"/>
  <c r="AI1842" i="1"/>
  <c r="AH1842" i="1"/>
  <c r="AG1842" i="1"/>
  <c r="AF1842" i="1"/>
  <c r="AE1842" i="1"/>
  <c r="AD1842" i="1"/>
  <c r="AC1842" i="1"/>
  <c r="AB1842" i="1"/>
  <c r="AS1841" i="1"/>
  <c r="AA1841" i="1" s="1"/>
  <c r="AO1841" i="1"/>
  <c r="AN1841" i="1"/>
  <c r="AM1841" i="1"/>
  <c r="AL1841" i="1"/>
  <c r="AK1841" i="1"/>
  <c r="AJ1841" i="1"/>
  <c r="AI1841" i="1"/>
  <c r="AH1841" i="1"/>
  <c r="AG1841" i="1"/>
  <c r="AF1841" i="1"/>
  <c r="AE1841" i="1"/>
  <c r="AD1841" i="1"/>
  <c r="AC1841" i="1"/>
  <c r="AB1841" i="1"/>
  <c r="AS1840" i="1"/>
  <c r="AA1840" i="1" s="1"/>
  <c r="AO1840" i="1"/>
  <c r="AN1840" i="1"/>
  <c r="AM1840" i="1"/>
  <c r="AL1840" i="1"/>
  <c r="AK1840" i="1"/>
  <c r="AJ1840" i="1"/>
  <c r="AI1840" i="1"/>
  <c r="AH1840" i="1"/>
  <c r="AG1840" i="1"/>
  <c r="AF1840" i="1"/>
  <c r="AE1840" i="1"/>
  <c r="AD1840" i="1"/>
  <c r="AC1840" i="1"/>
  <c r="AB1840" i="1"/>
  <c r="AS1839" i="1"/>
  <c r="AA1839" i="1" s="1"/>
  <c r="AO1839" i="1"/>
  <c r="AN1839" i="1"/>
  <c r="AM1839" i="1"/>
  <c r="AL1839" i="1"/>
  <c r="AK1839" i="1"/>
  <c r="AJ1839" i="1"/>
  <c r="AI1839" i="1"/>
  <c r="AH1839" i="1"/>
  <c r="AG1839" i="1"/>
  <c r="AF1839" i="1"/>
  <c r="AE1839" i="1"/>
  <c r="AD1839" i="1"/>
  <c r="AC1839" i="1"/>
  <c r="AB1839" i="1"/>
  <c r="AS1838" i="1"/>
  <c r="AA1838" i="1" s="1"/>
  <c r="AO1838" i="1"/>
  <c r="AN1838" i="1"/>
  <c r="AM1838" i="1"/>
  <c r="AL1838" i="1"/>
  <c r="AK1838" i="1"/>
  <c r="AJ1838" i="1"/>
  <c r="AI1838" i="1"/>
  <c r="AH1838" i="1"/>
  <c r="AG1838" i="1"/>
  <c r="AF1838" i="1"/>
  <c r="AE1838" i="1"/>
  <c r="AD1838" i="1"/>
  <c r="AC1838" i="1"/>
  <c r="AB1838" i="1"/>
  <c r="AS1837" i="1"/>
  <c r="AA1837" i="1" s="1"/>
  <c r="AO1837" i="1"/>
  <c r="AN1837" i="1"/>
  <c r="AM1837" i="1"/>
  <c r="AL1837" i="1"/>
  <c r="AK1837" i="1"/>
  <c r="AJ1837" i="1"/>
  <c r="AI1837" i="1"/>
  <c r="AH1837" i="1"/>
  <c r="AG1837" i="1"/>
  <c r="AF1837" i="1"/>
  <c r="AE1837" i="1"/>
  <c r="AD1837" i="1"/>
  <c r="AC1837" i="1"/>
  <c r="AB1837" i="1"/>
  <c r="AS1836" i="1"/>
  <c r="AA1836" i="1" s="1"/>
  <c r="AO1836" i="1"/>
  <c r="AN1836" i="1"/>
  <c r="AM1836" i="1"/>
  <c r="AL1836" i="1"/>
  <c r="AK1836" i="1"/>
  <c r="AJ1836" i="1"/>
  <c r="AI1836" i="1"/>
  <c r="AH1836" i="1"/>
  <c r="AG1836" i="1"/>
  <c r="AF1836" i="1"/>
  <c r="AE1836" i="1"/>
  <c r="AD1836" i="1"/>
  <c r="AC1836" i="1"/>
  <c r="AB1836" i="1"/>
  <c r="AS1835" i="1"/>
  <c r="AA1835" i="1" s="1"/>
  <c r="AO1835" i="1"/>
  <c r="AN1835" i="1"/>
  <c r="AM1835" i="1"/>
  <c r="AL1835" i="1"/>
  <c r="AK1835" i="1"/>
  <c r="AJ1835" i="1"/>
  <c r="AI1835" i="1"/>
  <c r="AH1835" i="1"/>
  <c r="AG1835" i="1"/>
  <c r="AF1835" i="1"/>
  <c r="AE1835" i="1"/>
  <c r="AD1835" i="1"/>
  <c r="AC1835" i="1"/>
  <c r="AB1835" i="1"/>
  <c r="AS1834" i="1"/>
  <c r="AA1834" i="1" s="1"/>
  <c r="AO1834" i="1"/>
  <c r="AN1834" i="1"/>
  <c r="AM1834" i="1"/>
  <c r="AL1834" i="1"/>
  <c r="AK1834" i="1"/>
  <c r="AJ1834" i="1"/>
  <c r="AI1834" i="1"/>
  <c r="AH1834" i="1"/>
  <c r="AG1834" i="1"/>
  <c r="AF1834" i="1"/>
  <c r="AE1834" i="1"/>
  <c r="AD1834" i="1"/>
  <c r="AC1834" i="1"/>
  <c r="AB1834" i="1"/>
  <c r="AS1833" i="1"/>
  <c r="AA1833" i="1" s="1"/>
  <c r="AO1833" i="1"/>
  <c r="AN1833" i="1"/>
  <c r="AM1833" i="1"/>
  <c r="AL1833" i="1"/>
  <c r="AK1833" i="1"/>
  <c r="AJ1833" i="1"/>
  <c r="AI1833" i="1"/>
  <c r="AH1833" i="1"/>
  <c r="AG1833" i="1"/>
  <c r="AF1833" i="1"/>
  <c r="AE1833" i="1"/>
  <c r="AD1833" i="1"/>
  <c r="AC1833" i="1"/>
  <c r="AB1833" i="1"/>
  <c r="AS1832" i="1"/>
  <c r="AA1832" i="1" s="1"/>
  <c r="AO1832" i="1"/>
  <c r="AN1832" i="1"/>
  <c r="AM1832" i="1"/>
  <c r="AL1832" i="1"/>
  <c r="AK1832" i="1"/>
  <c r="AJ1832" i="1"/>
  <c r="AI1832" i="1"/>
  <c r="AH1832" i="1"/>
  <c r="AG1832" i="1"/>
  <c r="AF1832" i="1"/>
  <c r="AE1832" i="1"/>
  <c r="AD1832" i="1"/>
  <c r="AC1832" i="1"/>
  <c r="AB1832" i="1"/>
  <c r="AS1831" i="1"/>
  <c r="AA1831" i="1" s="1"/>
  <c r="AO1831" i="1"/>
  <c r="AN1831" i="1"/>
  <c r="AM1831" i="1"/>
  <c r="AL1831" i="1"/>
  <c r="AK1831" i="1"/>
  <c r="AJ1831" i="1"/>
  <c r="AI1831" i="1"/>
  <c r="AH1831" i="1"/>
  <c r="AG1831" i="1"/>
  <c r="AF1831" i="1"/>
  <c r="AE1831" i="1"/>
  <c r="AD1831" i="1"/>
  <c r="AC1831" i="1"/>
  <c r="AB1831" i="1"/>
  <c r="AS1830" i="1"/>
  <c r="AA1830" i="1" s="1"/>
  <c r="AO1830" i="1"/>
  <c r="AN1830" i="1"/>
  <c r="AM1830" i="1"/>
  <c r="AL1830" i="1"/>
  <c r="AK1830" i="1"/>
  <c r="AJ1830" i="1"/>
  <c r="AI1830" i="1"/>
  <c r="AH1830" i="1"/>
  <c r="AG1830" i="1"/>
  <c r="AF1830" i="1"/>
  <c r="AE1830" i="1"/>
  <c r="AD1830" i="1"/>
  <c r="AC1830" i="1"/>
  <c r="AB1830" i="1"/>
  <c r="AS1829" i="1"/>
  <c r="AA1829" i="1" s="1"/>
  <c r="AO1829" i="1"/>
  <c r="AN1829" i="1"/>
  <c r="AM1829" i="1"/>
  <c r="AL1829" i="1"/>
  <c r="AK1829" i="1"/>
  <c r="AJ1829" i="1"/>
  <c r="AI1829" i="1"/>
  <c r="AH1829" i="1"/>
  <c r="AG1829" i="1"/>
  <c r="AF1829" i="1"/>
  <c r="AE1829" i="1"/>
  <c r="AD1829" i="1"/>
  <c r="AC1829" i="1"/>
  <c r="AB1829" i="1"/>
  <c r="AS1828" i="1"/>
  <c r="AA1828" i="1" s="1"/>
  <c r="AO1828" i="1"/>
  <c r="AN1828" i="1"/>
  <c r="AM1828" i="1"/>
  <c r="AL1828" i="1"/>
  <c r="AK1828" i="1"/>
  <c r="AJ1828" i="1"/>
  <c r="AI1828" i="1"/>
  <c r="AH1828" i="1"/>
  <c r="AG1828" i="1"/>
  <c r="AF1828" i="1"/>
  <c r="AE1828" i="1"/>
  <c r="AD1828" i="1"/>
  <c r="AC1828" i="1"/>
  <c r="AB1828" i="1"/>
  <c r="AS1827" i="1"/>
  <c r="AA1827" i="1" s="1"/>
  <c r="AO1827" i="1"/>
  <c r="AN1827" i="1"/>
  <c r="AM1827" i="1"/>
  <c r="AL1827" i="1"/>
  <c r="AK1827" i="1"/>
  <c r="AJ1827" i="1"/>
  <c r="AI1827" i="1"/>
  <c r="AH1827" i="1"/>
  <c r="AG1827" i="1"/>
  <c r="AF1827" i="1"/>
  <c r="AE1827" i="1"/>
  <c r="AD1827" i="1"/>
  <c r="AC1827" i="1"/>
  <c r="AB1827" i="1"/>
  <c r="AS1826" i="1"/>
  <c r="AA1826" i="1" s="1"/>
  <c r="AO1826" i="1"/>
  <c r="AN1826" i="1"/>
  <c r="AM1826" i="1"/>
  <c r="AL1826" i="1"/>
  <c r="AK1826" i="1"/>
  <c r="AJ1826" i="1"/>
  <c r="AI1826" i="1"/>
  <c r="AH1826" i="1"/>
  <c r="AG1826" i="1"/>
  <c r="AF1826" i="1"/>
  <c r="AE1826" i="1"/>
  <c r="AD1826" i="1"/>
  <c r="AC1826" i="1"/>
  <c r="AB1826" i="1"/>
  <c r="AS1825" i="1"/>
  <c r="AA1825" i="1" s="1"/>
  <c r="AO1825" i="1"/>
  <c r="AN1825" i="1"/>
  <c r="AM1825" i="1"/>
  <c r="AL1825" i="1"/>
  <c r="AK1825" i="1"/>
  <c r="AJ1825" i="1"/>
  <c r="AI1825" i="1"/>
  <c r="AH1825" i="1"/>
  <c r="AG1825" i="1"/>
  <c r="AF1825" i="1"/>
  <c r="AE1825" i="1"/>
  <c r="AD1825" i="1"/>
  <c r="AC1825" i="1"/>
  <c r="AB1825" i="1"/>
  <c r="AS1824" i="1"/>
  <c r="AA1824" i="1" s="1"/>
  <c r="AO1824" i="1"/>
  <c r="AN1824" i="1"/>
  <c r="AM1824" i="1"/>
  <c r="AL1824" i="1"/>
  <c r="AK1824" i="1"/>
  <c r="AJ1824" i="1"/>
  <c r="AI1824" i="1"/>
  <c r="AH1824" i="1"/>
  <c r="AG1824" i="1"/>
  <c r="AF1824" i="1"/>
  <c r="AE1824" i="1"/>
  <c r="AD1824" i="1"/>
  <c r="AC1824" i="1"/>
  <c r="AB1824" i="1"/>
  <c r="AS1823" i="1"/>
  <c r="AA1823" i="1" s="1"/>
  <c r="AO1823" i="1"/>
  <c r="AN1823" i="1"/>
  <c r="AM1823" i="1"/>
  <c r="AL1823" i="1"/>
  <c r="AK1823" i="1"/>
  <c r="AJ1823" i="1"/>
  <c r="AI1823" i="1"/>
  <c r="AH1823" i="1"/>
  <c r="AG1823" i="1"/>
  <c r="AF1823" i="1"/>
  <c r="AE1823" i="1"/>
  <c r="AD1823" i="1"/>
  <c r="AC1823" i="1"/>
  <c r="AB1823" i="1"/>
  <c r="AS1822" i="1"/>
  <c r="AA1822" i="1" s="1"/>
  <c r="AO1822" i="1"/>
  <c r="AN1822" i="1"/>
  <c r="AM1822" i="1"/>
  <c r="AL1822" i="1"/>
  <c r="AK1822" i="1"/>
  <c r="AJ1822" i="1"/>
  <c r="AI1822" i="1"/>
  <c r="AH1822" i="1"/>
  <c r="AG1822" i="1"/>
  <c r="AF1822" i="1"/>
  <c r="AE1822" i="1"/>
  <c r="AD1822" i="1"/>
  <c r="AC1822" i="1"/>
  <c r="AB1822" i="1"/>
  <c r="AS1821" i="1"/>
  <c r="AA1821" i="1" s="1"/>
  <c r="AO1821" i="1"/>
  <c r="AN1821" i="1"/>
  <c r="AM1821" i="1"/>
  <c r="AL1821" i="1"/>
  <c r="AK1821" i="1"/>
  <c r="AJ1821" i="1"/>
  <c r="AI1821" i="1"/>
  <c r="AH1821" i="1"/>
  <c r="AG1821" i="1"/>
  <c r="AF1821" i="1"/>
  <c r="AE1821" i="1"/>
  <c r="AD1821" i="1"/>
  <c r="AC1821" i="1"/>
  <c r="AB1821" i="1"/>
  <c r="AS1820" i="1"/>
  <c r="AA1820" i="1" s="1"/>
  <c r="AO1820" i="1"/>
  <c r="AN1820" i="1"/>
  <c r="AM1820" i="1"/>
  <c r="AL1820" i="1"/>
  <c r="AK1820" i="1"/>
  <c r="AJ1820" i="1"/>
  <c r="AI1820" i="1"/>
  <c r="AH1820" i="1"/>
  <c r="AG1820" i="1"/>
  <c r="AF1820" i="1"/>
  <c r="AE1820" i="1"/>
  <c r="AD1820" i="1"/>
  <c r="AC1820" i="1"/>
  <c r="AB1820" i="1"/>
  <c r="AS1819" i="1"/>
  <c r="AA1819" i="1" s="1"/>
  <c r="AO1819" i="1"/>
  <c r="AN1819" i="1"/>
  <c r="AM1819" i="1"/>
  <c r="AL1819" i="1"/>
  <c r="AK1819" i="1"/>
  <c r="AJ1819" i="1"/>
  <c r="AI1819" i="1"/>
  <c r="AH1819" i="1"/>
  <c r="AG1819" i="1"/>
  <c r="AF1819" i="1"/>
  <c r="AE1819" i="1"/>
  <c r="AD1819" i="1"/>
  <c r="AC1819" i="1"/>
  <c r="AB1819" i="1"/>
  <c r="AS1818" i="1"/>
  <c r="AA1818" i="1" s="1"/>
  <c r="AO1818" i="1"/>
  <c r="AN1818" i="1"/>
  <c r="AM1818" i="1"/>
  <c r="AL1818" i="1"/>
  <c r="AK1818" i="1"/>
  <c r="AJ1818" i="1"/>
  <c r="AI1818" i="1"/>
  <c r="AH1818" i="1"/>
  <c r="AG1818" i="1"/>
  <c r="AF1818" i="1"/>
  <c r="AE1818" i="1"/>
  <c r="AD1818" i="1"/>
  <c r="AC1818" i="1"/>
  <c r="AB1818" i="1"/>
  <c r="AS1817" i="1"/>
  <c r="AA1817" i="1" s="1"/>
  <c r="AO1817" i="1"/>
  <c r="AN1817" i="1"/>
  <c r="AM1817" i="1"/>
  <c r="AL1817" i="1"/>
  <c r="AK1817" i="1"/>
  <c r="AJ1817" i="1"/>
  <c r="AI1817" i="1"/>
  <c r="AH1817" i="1"/>
  <c r="AG1817" i="1"/>
  <c r="AF1817" i="1"/>
  <c r="AE1817" i="1"/>
  <c r="AD1817" i="1"/>
  <c r="AC1817" i="1"/>
  <c r="AB1817" i="1"/>
  <c r="AS1816" i="1"/>
  <c r="AA1816" i="1" s="1"/>
  <c r="AO1816" i="1"/>
  <c r="AN1816" i="1"/>
  <c r="AM1816" i="1"/>
  <c r="AL1816" i="1"/>
  <c r="AK1816" i="1"/>
  <c r="AJ1816" i="1"/>
  <c r="AI1816" i="1"/>
  <c r="AH1816" i="1"/>
  <c r="AG1816" i="1"/>
  <c r="AF1816" i="1"/>
  <c r="AE1816" i="1"/>
  <c r="AD1816" i="1"/>
  <c r="AC1816" i="1"/>
  <c r="AB1816" i="1"/>
  <c r="AS1815" i="1"/>
  <c r="AA1815" i="1" s="1"/>
  <c r="AO1815" i="1"/>
  <c r="AN1815" i="1"/>
  <c r="AM1815" i="1"/>
  <c r="AL1815" i="1"/>
  <c r="AK1815" i="1"/>
  <c r="AJ1815" i="1"/>
  <c r="AI1815" i="1"/>
  <c r="AH1815" i="1"/>
  <c r="AG1815" i="1"/>
  <c r="AF1815" i="1"/>
  <c r="AE1815" i="1"/>
  <c r="AD1815" i="1"/>
  <c r="AC1815" i="1"/>
  <c r="AB1815" i="1"/>
  <c r="AS1814" i="1"/>
  <c r="AA1814" i="1" s="1"/>
  <c r="AO1814" i="1"/>
  <c r="AN1814" i="1"/>
  <c r="AM1814" i="1"/>
  <c r="AL1814" i="1"/>
  <c r="AK1814" i="1"/>
  <c r="AJ1814" i="1"/>
  <c r="AI1814" i="1"/>
  <c r="AH1814" i="1"/>
  <c r="AG1814" i="1"/>
  <c r="AF1814" i="1"/>
  <c r="AE1814" i="1"/>
  <c r="AD1814" i="1"/>
  <c r="AC1814" i="1"/>
  <c r="AB1814" i="1"/>
  <c r="AS1813" i="1"/>
  <c r="AA1813" i="1" s="1"/>
  <c r="AO1813" i="1"/>
  <c r="AN1813" i="1"/>
  <c r="AM1813" i="1"/>
  <c r="AL1813" i="1"/>
  <c r="AK1813" i="1"/>
  <c r="AJ1813" i="1"/>
  <c r="AI1813" i="1"/>
  <c r="AH1813" i="1"/>
  <c r="AG1813" i="1"/>
  <c r="AF1813" i="1"/>
  <c r="AE1813" i="1"/>
  <c r="AD1813" i="1"/>
  <c r="AC1813" i="1"/>
  <c r="AB1813" i="1"/>
  <c r="AS1812" i="1"/>
  <c r="AA1812" i="1" s="1"/>
  <c r="AO1812" i="1"/>
  <c r="AN1812" i="1"/>
  <c r="AM1812" i="1"/>
  <c r="AL1812" i="1"/>
  <c r="AK1812" i="1"/>
  <c r="AJ1812" i="1"/>
  <c r="AI1812" i="1"/>
  <c r="AH1812" i="1"/>
  <c r="AG1812" i="1"/>
  <c r="AF1812" i="1"/>
  <c r="AE1812" i="1"/>
  <c r="AD1812" i="1"/>
  <c r="AC1812" i="1"/>
  <c r="AB1812" i="1"/>
  <c r="AS1811" i="1"/>
  <c r="AA1811" i="1" s="1"/>
  <c r="AO1811" i="1"/>
  <c r="AN1811" i="1"/>
  <c r="AM1811" i="1"/>
  <c r="AL1811" i="1"/>
  <c r="AK1811" i="1"/>
  <c r="AJ1811" i="1"/>
  <c r="AI1811" i="1"/>
  <c r="AH1811" i="1"/>
  <c r="AG1811" i="1"/>
  <c r="AF1811" i="1"/>
  <c r="AE1811" i="1"/>
  <c r="AD1811" i="1"/>
  <c r="AC1811" i="1"/>
  <c r="AB1811" i="1"/>
  <c r="AS1810" i="1"/>
  <c r="AA1810" i="1" s="1"/>
  <c r="AO1810" i="1"/>
  <c r="AN1810" i="1"/>
  <c r="AM1810" i="1"/>
  <c r="AL1810" i="1"/>
  <c r="AK1810" i="1"/>
  <c r="AJ1810" i="1"/>
  <c r="AI1810" i="1"/>
  <c r="AH1810" i="1"/>
  <c r="AG1810" i="1"/>
  <c r="AF1810" i="1"/>
  <c r="AE1810" i="1"/>
  <c r="AD1810" i="1"/>
  <c r="AC1810" i="1"/>
  <c r="AB1810" i="1"/>
  <c r="AS1809" i="1"/>
  <c r="AA1809" i="1" s="1"/>
  <c r="AO1809" i="1"/>
  <c r="AN1809" i="1"/>
  <c r="AM1809" i="1"/>
  <c r="AL1809" i="1"/>
  <c r="AK1809" i="1"/>
  <c r="AJ1809" i="1"/>
  <c r="AI1809" i="1"/>
  <c r="AH1809" i="1"/>
  <c r="AG1809" i="1"/>
  <c r="AF1809" i="1"/>
  <c r="AE1809" i="1"/>
  <c r="AD1809" i="1"/>
  <c r="AC1809" i="1"/>
  <c r="AB1809" i="1"/>
  <c r="AS1808" i="1"/>
  <c r="AA1808" i="1" s="1"/>
  <c r="AO1808" i="1"/>
  <c r="AN1808" i="1"/>
  <c r="AM1808" i="1"/>
  <c r="AL1808" i="1"/>
  <c r="AK1808" i="1"/>
  <c r="AJ1808" i="1"/>
  <c r="AI1808" i="1"/>
  <c r="AH1808" i="1"/>
  <c r="AG1808" i="1"/>
  <c r="AF1808" i="1"/>
  <c r="AE1808" i="1"/>
  <c r="AD1808" i="1"/>
  <c r="AC1808" i="1"/>
  <c r="AB1808" i="1"/>
  <c r="AS1807" i="1"/>
  <c r="AA1807" i="1" s="1"/>
  <c r="AO1807" i="1"/>
  <c r="AN1807" i="1"/>
  <c r="AM1807" i="1"/>
  <c r="AL1807" i="1"/>
  <c r="AK1807" i="1"/>
  <c r="AJ1807" i="1"/>
  <c r="AI1807" i="1"/>
  <c r="AH1807" i="1"/>
  <c r="AG1807" i="1"/>
  <c r="AF1807" i="1"/>
  <c r="AE1807" i="1"/>
  <c r="AD1807" i="1"/>
  <c r="AC1807" i="1"/>
  <c r="AB1807" i="1"/>
  <c r="AS1806" i="1"/>
  <c r="AA1806" i="1" s="1"/>
  <c r="AO1806" i="1"/>
  <c r="AN1806" i="1"/>
  <c r="AM1806" i="1"/>
  <c r="AL1806" i="1"/>
  <c r="AK1806" i="1"/>
  <c r="AJ1806" i="1"/>
  <c r="AI1806" i="1"/>
  <c r="AH1806" i="1"/>
  <c r="AG1806" i="1"/>
  <c r="AF1806" i="1"/>
  <c r="AE1806" i="1"/>
  <c r="AD1806" i="1"/>
  <c r="AC1806" i="1"/>
  <c r="AB1806" i="1"/>
  <c r="AS1805" i="1"/>
  <c r="AA1805" i="1" s="1"/>
  <c r="AO1805" i="1"/>
  <c r="AN1805" i="1"/>
  <c r="AM1805" i="1"/>
  <c r="AL1805" i="1"/>
  <c r="AK1805" i="1"/>
  <c r="AJ1805" i="1"/>
  <c r="AI1805" i="1"/>
  <c r="AH1805" i="1"/>
  <c r="AG1805" i="1"/>
  <c r="AF1805" i="1"/>
  <c r="AE1805" i="1"/>
  <c r="AD1805" i="1"/>
  <c r="AC1805" i="1"/>
  <c r="AB1805" i="1"/>
  <c r="AS1804" i="1"/>
  <c r="AA1804" i="1" s="1"/>
  <c r="AO1804" i="1"/>
  <c r="AN1804" i="1"/>
  <c r="AM1804" i="1"/>
  <c r="AL1804" i="1"/>
  <c r="AK1804" i="1"/>
  <c r="AJ1804" i="1"/>
  <c r="AI1804" i="1"/>
  <c r="AH1804" i="1"/>
  <c r="AG1804" i="1"/>
  <c r="AF1804" i="1"/>
  <c r="AE1804" i="1"/>
  <c r="AD1804" i="1"/>
  <c r="AC1804" i="1"/>
  <c r="AB1804" i="1"/>
  <c r="AS1803" i="1"/>
  <c r="AA1803" i="1" s="1"/>
  <c r="AO1803" i="1"/>
  <c r="AN1803" i="1"/>
  <c r="AM1803" i="1"/>
  <c r="AL1803" i="1"/>
  <c r="AK1803" i="1"/>
  <c r="AJ1803" i="1"/>
  <c r="AI1803" i="1"/>
  <c r="AH1803" i="1"/>
  <c r="AG1803" i="1"/>
  <c r="AF1803" i="1"/>
  <c r="AE1803" i="1"/>
  <c r="AD1803" i="1"/>
  <c r="AC1803" i="1"/>
  <c r="AB1803" i="1"/>
  <c r="AS1802" i="1"/>
  <c r="AA1802" i="1" s="1"/>
  <c r="AO1802" i="1"/>
  <c r="AN1802" i="1"/>
  <c r="AM1802" i="1"/>
  <c r="AL1802" i="1"/>
  <c r="AK1802" i="1"/>
  <c r="AJ1802" i="1"/>
  <c r="AI1802" i="1"/>
  <c r="AH1802" i="1"/>
  <c r="AG1802" i="1"/>
  <c r="AF1802" i="1"/>
  <c r="AE1802" i="1"/>
  <c r="AD1802" i="1"/>
  <c r="AC1802" i="1"/>
  <c r="AB1802" i="1"/>
  <c r="AS1801" i="1"/>
  <c r="AA1801" i="1" s="1"/>
  <c r="AO1801" i="1"/>
  <c r="AN1801" i="1"/>
  <c r="AM1801" i="1"/>
  <c r="AL1801" i="1"/>
  <c r="AK1801" i="1"/>
  <c r="AJ1801" i="1"/>
  <c r="AI1801" i="1"/>
  <c r="AH1801" i="1"/>
  <c r="AG1801" i="1"/>
  <c r="AF1801" i="1"/>
  <c r="AE1801" i="1"/>
  <c r="AD1801" i="1"/>
  <c r="AC1801" i="1"/>
  <c r="AB1801" i="1"/>
  <c r="AS1800" i="1"/>
  <c r="AA1800" i="1" s="1"/>
  <c r="AO1800" i="1"/>
  <c r="AN1800" i="1"/>
  <c r="AM1800" i="1"/>
  <c r="AL1800" i="1"/>
  <c r="AK1800" i="1"/>
  <c r="AJ1800" i="1"/>
  <c r="AI1800" i="1"/>
  <c r="AH1800" i="1"/>
  <c r="AG1800" i="1"/>
  <c r="AF1800" i="1"/>
  <c r="AE1800" i="1"/>
  <c r="AD1800" i="1"/>
  <c r="AC1800" i="1"/>
  <c r="AB1800" i="1"/>
  <c r="AS1799" i="1"/>
  <c r="AA1799" i="1" s="1"/>
  <c r="AO1799" i="1"/>
  <c r="AN1799" i="1"/>
  <c r="AM1799" i="1"/>
  <c r="AL1799" i="1"/>
  <c r="AK1799" i="1"/>
  <c r="AJ1799" i="1"/>
  <c r="AI1799" i="1"/>
  <c r="AH1799" i="1"/>
  <c r="AG1799" i="1"/>
  <c r="AF1799" i="1"/>
  <c r="AE1799" i="1"/>
  <c r="AD1799" i="1"/>
  <c r="AC1799" i="1"/>
  <c r="AB1799" i="1"/>
  <c r="AS1798" i="1"/>
  <c r="AA1798" i="1" s="1"/>
  <c r="AO1798" i="1"/>
  <c r="AN1798" i="1"/>
  <c r="AM1798" i="1"/>
  <c r="AL1798" i="1"/>
  <c r="AK1798" i="1"/>
  <c r="AJ1798" i="1"/>
  <c r="AI1798" i="1"/>
  <c r="AH1798" i="1"/>
  <c r="AG1798" i="1"/>
  <c r="AF1798" i="1"/>
  <c r="AE1798" i="1"/>
  <c r="AD1798" i="1"/>
  <c r="AC1798" i="1"/>
  <c r="AB1798" i="1"/>
  <c r="AS1797" i="1"/>
  <c r="AA1797" i="1" s="1"/>
  <c r="AO1797" i="1"/>
  <c r="AN1797" i="1"/>
  <c r="AM1797" i="1"/>
  <c r="AL1797" i="1"/>
  <c r="AK1797" i="1"/>
  <c r="AJ1797" i="1"/>
  <c r="AI1797" i="1"/>
  <c r="AH1797" i="1"/>
  <c r="AG1797" i="1"/>
  <c r="AF1797" i="1"/>
  <c r="AE1797" i="1"/>
  <c r="AD1797" i="1"/>
  <c r="AC1797" i="1"/>
  <c r="AB1797" i="1"/>
  <c r="AS1796" i="1"/>
  <c r="AA1796" i="1" s="1"/>
  <c r="AO1796" i="1"/>
  <c r="AN1796" i="1"/>
  <c r="AM1796" i="1"/>
  <c r="AL1796" i="1"/>
  <c r="AK1796" i="1"/>
  <c r="AJ1796" i="1"/>
  <c r="AI1796" i="1"/>
  <c r="AH1796" i="1"/>
  <c r="AG1796" i="1"/>
  <c r="AF1796" i="1"/>
  <c r="AE1796" i="1"/>
  <c r="AD1796" i="1"/>
  <c r="AC1796" i="1"/>
  <c r="AB1796" i="1"/>
  <c r="AS1795" i="1"/>
  <c r="AA1795" i="1" s="1"/>
  <c r="AO1795" i="1"/>
  <c r="AN1795" i="1"/>
  <c r="AM1795" i="1"/>
  <c r="AL1795" i="1"/>
  <c r="AK1795" i="1"/>
  <c r="AJ1795" i="1"/>
  <c r="AI1795" i="1"/>
  <c r="AH1795" i="1"/>
  <c r="AG1795" i="1"/>
  <c r="AF1795" i="1"/>
  <c r="AE1795" i="1"/>
  <c r="AD1795" i="1"/>
  <c r="AC1795" i="1"/>
  <c r="AB1795" i="1"/>
  <c r="AS1794" i="1"/>
  <c r="AA1794" i="1" s="1"/>
  <c r="AO1794" i="1"/>
  <c r="AN1794" i="1"/>
  <c r="AM1794" i="1"/>
  <c r="AL1794" i="1"/>
  <c r="AK1794" i="1"/>
  <c r="AJ1794" i="1"/>
  <c r="AI1794" i="1"/>
  <c r="AH1794" i="1"/>
  <c r="AG1794" i="1"/>
  <c r="AF1794" i="1"/>
  <c r="AE1794" i="1"/>
  <c r="AD1794" i="1"/>
  <c r="AC1794" i="1"/>
  <c r="AB1794" i="1"/>
  <c r="AS1793" i="1"/>
  <c r="AA1793" i="1" s="1"/>
  <c r="AO1793" i="1"/>
  <c r="AN1793" i="1"/>
  <c r="AM1793" i="1"/>
  <c r="AL1793" i="1"/>
  <c r="AK1793" i="1"/>
  <c r="AJ1793" i="1"/>
  <c r="AI1793" i="1"/>
  <c r="AH1793" i="1"/>
  <c r="AG1793" i="1"/>
  <c r="AF1793" i="1"/>
  <c r="AE1793" i="1"/>
  <c r="AD1793" i="1"/>
  <c r="AC1793" i="1"/>
  <c r="AB1793" i="1"/>
  <c r="AS1792" i="1"/>
  <c r="AA1792" i="1" s="1"/>
  <c r="AO1792" i="1"/>
  <c r="AN1792" i="1"/>
  <c r="AM1792" i="1"/>
  <c r="AL1792" i="1"/>
  <c r="AK1792" i="1"/>
  <c r="AJ1792" i="1"/>
  <c r="AI1792" i="1"/>
  <c r="AH1792" i="1"/>
  <c r="AG1792" i="1"/>
  <c r="AF1792" i="1"/>
  <c r="AE1792" i="1"/>
  <c r="AD1792" i="1"/>
  <c r="AC1792" i="1"/>
  <c r="AB1792" i="1"/>
  <c r="AS1791" i="1"/>
  <c r="AA1791" i="1" s="1"/>
  <c r="AO1791" i="1"/>
  <c r="AN1791" i="1"/>
  <c r="AM1791" i="1"/>
  <c r="AL1791" i="1"/>
  <c r="AK1791" i="1"/>
  <c r="AJ1791" i="1"/>
  <c r="AI1791" i="1"/>
  <c r="AH1791" i="1"/>
  <c r="AG1791" i="1"/>
  <c r="AF1791" i="1"/>
  <c r="AE1791" i="1"/>
  <c r="AD1791" i="1"/>
  <c r="AC1791" i="1"/>
  <c r="AB1791" i="1"/>
  <c r="AS1790" i="1"/>
  <c r="AA1790" i="1" s="1"/>
  <c r="AO1790" i="1"/>
  <c r="AN1790" i="1"/>
  <c r="AM1790" i="1"/>
  <c r="AL1790" i="1"/>
  <c r="AK1790" i="1"/>
  <c r="AJ1790" i="1"/>
  <c r="AI1790" i="1"/>
  <c r="AH1790" i="1"/>
  <c r="AG1790" i="1"/>
  <c r="AF1790" i="1"/>
  <c r="AE1790" i="1"/>
  <c r="AD1790" i="1"/>
  <c r="AC1790" i="1"/>
  <c r="AB1790" i="1"/>
  <c r="AS1789" i="1"/>
  <c r="AA1789" i="1" s="1"/>
  <c r="AO1789" i="1"/>
  <c r="AN1789" i="1"/>
  <c r="AM1789" i="1"/>
  <c r="AL1789" i="1"/>
  <c r="AK1789" i="1"/>
  <c r="AJ1789" i="1"/>
  <c r="AI1789" i="1"/>
  <c r="AH1789" i="1"/>
  <c r="AG1789" i="1"/>
  <c r="AF1789" i="1"/>
  <c r="AE1789" i="1"/>
  <c r="AD1789" i="1"/>
  <c r="AC1789" i="1"/>
  <c r="AB1789" i="1"/>
  <c r="AS1788" i="1"/>
  <c r="AA1788" i="1" s="1"/>
  <c r="AO1788" i="1"/>
  <c r="AN1788" i="1"/>
  <c r="AM1788" i="1"/>
  <c r="AL1788" i="1"/>
  <c r="AK1788" i="1"/>
  <c r="AJ1788" i="1"/>
  <c r="AI1788" i="1"/>
  <c r="AH1788" i="1"/>
  <c r="AG1788" i="1"/>
  <c r="AF1788" i="1"/>
  <c r="AE1788" i="1"/>
  <c r="AD1788" i="1"/>
  <c r="AC1788" i="1"/>
  <c r="AB1788" i="1"/>
  <c r="AS1787" i="1"/>
  <c r="AA1787" i="1" s="1"/>
  <c r="AO1787" i="1"/>
  <c r="AN1787" i="1"/>
  <c r="AM1787" i="1"/>
  <c r="AL1787" i="1"/>
  <c r="AK1787" i="1"/>
  <c r="AJ1787" i="1"/>
  <c r="AI1787" i="1"/>
  <c r="AH1787" i="1"/>
  <c r="AG1787" i="1"/>
  <c r="AF1787" i="1"/>
  <c r="AE1787" i="1"/>
  <c r="AD1787" i="1"/>
  <c r="AC1787" i="1"/>
  <c r="AB1787" i="1"/>
  <c r="AS1786" i="1"/>
  <c r="AA1786" i="1" s="1"/>
  <c r="AO1786" i="1"/>
  <c r="AN1786" i="1"/>
  <c r="AM1786" i="1"/>
  <c r="AL1786" i="1"/>
  <c r="AK1786" i="1"/>
  <c r="AJ1786" i="1"/>
  <c r="AI1786" i="1"/>
  <c r="AH1786" i="1"/>
  <c r="AG1786" i="1"/>
  <c r="AF1786" i="1"/>
  <c r="AE1786" i="1"/>
  <c r="AD1786" i="1"/>
  <c r="AC1786" i="1"/>
  <c r="AB1786" i="1"/>
  <c r="AS1785" i="1"/>
  <c r="AA1785" i="1" s="1"/>
  <c r="AO1785" i="1"/>
  <c r="AN1785" i="1"/>
  <c r="AM1785" i="1"/>
  <c r="AL1785" i="1"/>
  <c r="AK1785" i="1"/>
  <c r="AJ1785" i="1"/>
  <c r="AI1785" i="1"/>
  <c r="AH1785" i="1"/>
  <c r="AG1785" i="1"/>
  <c r="AF1785" i="1"/>
  <c r="AE1785" i="1"/>
  <c r="AD1785" i="1"/>
  <c r="AC1785" i="1"/>
  <c r="AB1785" i="1"/>
  <c r="AS1784" i="1"/>
  <c r="AA1784" i="1" s="1"/>
  <c r="AO1784" i="1"/>
  <c r="AN1784" i="1"/>
  <c r="AM1784" i="1"/>
  <c r="AL1784" i="1"/>
  <c r="AK1784" i="1"/>
  <c r="AJ1784" i="1"/>
  <c r="AI1784" i="1"/>
  <c r="AH1784" i="1"/>
  <c r="AG1784" i="1"/>
  <c r="AF1784" i="1"/>
  <c r="AE1784" i="1"/>
  <c r="AD1784" i="1"/>
  <c r="AC1784" i="1"/>
  <c r="AB1784" i="1"/>
  <c r="AS1783" i="1"/>
  <c r="AA1783" i="1" s="1"/>
  <c r="AO1783" i="1"/>
  <c r="AN1783" i="1"/>
  <c r="AM1783" i="1"/>
  <c r="AL1783" i="1"/>
  <c r="AK1783" i="1"/>
  <c r="AJ1783" i="1"/>
  <c r="AI1783" i="1"/>
  <c r="AH1783" i="1"/>
  <c r="AG1783" i="1"/>
  <c r="AF1783" i="1"/>
  <c r="AE1783" i="1"/>
  <c r="AD1783" i="1"/>
  <c r="AC1783" i="1"/>
  <c r="AB1783" i="1"/>
  <c r="AS1782" i="1"/>
  <c r="AA1782" i="1" s="1"/>
  <c r="AO1782" i="1"/>
  <c r="AN1782" i="1"/>
  <c r="AM1782" i="1"/>
  <c r="AL1782" i="1"/>
  <c r="AK1782" i="1"/>
  <c r="AJ1782" i="1"/>
  <c r="AI1782" i="1"/>
  <c r="AH1782" i="1"/>
  <c r="AG1782" i="1"/>
  <c r="AF1782" i="1"/>
  <c r="AE1782" i="1"/>
  <c r="AD1782" i="1"/>
  <c r="AC1782" i="1"/>
  <c r="AB1782" i="1"/>
  <c r="AS1781" i="1"/>
  <c r="AA1781" i="1" s="1"/>
  <c r="AO1781" i="1"/>
  <c r="AN1781" i="1"/>
  <c r="AM1781" i="1"/>
  <c r="AL1781" i="1"/>
  <c r="AK1781" i="1"/>
  <c r="AJ1781" i="1"/>
  <c r="AI1781" i="1"/>
  <c r="AH1781" i="1"/>
  <c r="AG1781" i="1"/>
  <c r="AF1781" i="1"/>
  <c r="AE1781" i="1"/>
  <c r="AD1781" i="1"/>
  <c r="AC1781" i="1"/>
  <c r="AB1781" i="1"/>
  <c r="AS1780" i="1"/>
  <c r="AA1780" i="1" s="1"/>
  <c r="AO1780" i="1"/>
  <c r="AN1780" i="1"/>
  <c r="AM1780" i="1"/>
  <c r="AL1780" i="1"/>
  <c r="AK1780" i="1"/>
  <c r="AJ1780" i="1"/>
  <c r="AI1780" i="1"/>
  <c r="AH1780" i="1"/>
  <c r="AG1780" i="1"/>
  <c r="AF1780" i="1"/>
  <c r="AE1780" i="1"/>
  <c r="AD1780" i="1"/>
  <c r="AC1780" i="1"/>
  <c r="AB1780" i="1"/>
  <c r="AS1779" i="1"/>
  <c r="AA1779" i="1" s="1"/>
  <c r="AO1779" i="1"/>
  <c r="AN1779" i="1"/>
  <c r="AM1779" i="1"/>
  <c r="AL1779" i="1"/>
  <c r="AK1779" i="1"/>
  <c r="AJ1779" i="1"/>
  <c r="AI1779" i="1"/>
  <c r="AH1779" i="1"/>
  <c r="AG1779" i="1"/>
  <c r="AF1779" i="1"/>
  <c r="AE1779" i="1"/>
  <c r="AD1779" i="1"/>
  <c r="AC1779" i="1"/>
  <c r="AB1779" i="1"/>
  <c r="AS1778" i="1"/>
  <c r="AA1778" i="1" s="1"/>
  <c r="AO1778" i="1"/>
  <c r="AN1778" i="1"/>
  <c r="AM1778" i="1"/>
  <c r="AL1778" i="1"/>
  <c r="AK1778" i="1"/>
  <c r="AJ1778" i="1"/>
  <c r="AI1778" i="1"/>
  <c r="AH1778" i="1"/>
  <c r="AG1778" i="1"/>
  <c r="AF1778" i="1"/>
  <c r="AE1778" i="1"/>
  <c r="AD1778" i="1"/>
  <c r="AC1778" i="1"/>
  <c r="AB1778" i="1"/>
  <c r="AS1777" i="1"/>
  <c r="AA1777" i="1" s="1"/>
  <c r="AO1777" i="1"/>
  <c r="AN1777" i="1"/>
  <c r="AM1777" i="1"/>
  <c r="AL1777" i="1"/>
  <c r="AK1777" i="1"/>
  <c r="AJ1777" i="1"/>
  <c r="AI1777" i="1"/>
  <c r="AH1777" i="1"/>
  <c r="AG1777" i="1"/>
  <c r="AF1777" i="1"/>
  <c r="AE1777" i="1"/>
  <c r="AD1777" i="1"/>
  <c r="AC1777" i="1"/>
  <c r="AB1777" i="1"/>
  <c r="AS1776" i="1"/>
  <c r="AA1776" i="1" s="1"/>
  <c r="AO1776" i="1"/>
  <c r="AN1776" i="1"/>
  <c r="AM1776" i="1"/>
  <c r="AL1776" i="1"/>
  <c r="AK1776" i="1"/>
  <c r="AJ1776" i="1"/>
  <c r="AI1776" i="1"/>
  <c r="AH1776" i="1"/>
  <c r="AG1776" i="1"/>
  <c r="AF1776" i="1"/>
  <c r="AE1776" i="1"/>
  <c r="AD1776" i="1"/>
  <c r="AC1776" i="1"/>
  <c r="AB1776" i="1"/>
  <c r="AS1775" i="1"/>
  <c r="AA1775" i="1" s="1"/>
  <c r="AO1775" i="1"/>
  <c r="AN1775" i="1"/>
  <c r="AM1775" i="1"/>
  <c r="AL1775" i="1"/>
  <c r="AK1775" i="1"/>
  <c r="AJ1775" i="1"/>
  <c r="AI1775" i="1"/>
  <c r="AH1775" i="1"/>
  <c r="AG1775" i="1"/>
  <c r="AF1775" i="1"/>
  <c r="AE1775" i="1"/>
  <c r="AD1775" i="1"/>
  <c r="AC1775" i="1"/>
  <c r="AB1775" i="1"/>
  <c r="AS1774" i="1"/>
  <c r="AA1774" i="1" s="1"/>
  <c r="AO1774" i="1"/>
  <c r="AN1774" i="1"/>
  <c r="AM1774" i="1"/>
  <c r="AL1774" i="1"/>
  <c r="AK1774" i="1"/>
  <c r="AJ1774" i="1"/>
  <c r="AI1774" i="1"/>
  <c r="AH1774" i="1"/>
  <c r="AG1774" i="1"/>
  <c r="AF1774" i="1"/>
  <c r="AE1774" i="1"/>
  <c r="AD1774" i="1"/>
  <c r="AC1774" i="1"/>
  <c r="AB1774" i="1"/>
  <c r="AS1773" i="1"/>
  <c r="AA1773" i="1" s="1"/>
  <c r="AO1773" i="1"/>
  <c r="AN1773" i="1"/>
  <c r="AM1773" i="1"/>
  <c r="AL1773" i="1"/>
  <c r="AK1773" i="1"/>
  <c r="AJ1773" i="1"/>
  <c r="AI1773" i="1"/>
  <c r="AH1773" i="1"/>
  <c r="AG1773" i="1"/>
  <c r="AF1773" i="1"/>
  <c r="AE1773" i="1"/>
  <c r="AD1773" i="1"/>
  <c r="AC1773" i="1"/>
  <c r="AB1773" i="1"/>
  <c r="AS1772" i="1"/>
  <c r="AA1772" i="1" s="1"/>
  <c r="AO1772" i="1"/>
  <c r="AN1772" i="1"/>
  <c r="AM1772" i="1"/>
  <c r="AL1772" i="1"/>
  <c r="AK1772" i="1"/>
  <c r="AJ1772" i="1"/>
  <c r="AI1772" i="1"/>
  <c r="AH1772" i="1"/>
  <c r="AG1772" i="1"/>
  <c r="AF1772" i="1"/>
  <c r="AE1772" i="1"/>
  <c r="AD1772" i="1"/>
  <c r="AC1772" i="1"/>
  <c r="AB1772" i="1"/>
  <c r="AS1771" i="1"/>
  <c r="AA1771" i="1" s="1"/>
  <c r="AO1771" i="1"/>
  <c r="AN1771" i="1"/>
  <c r="AM1771" i="1"/>
  <c r="AL1771" i="1"/>
  <c r="AK1771" i="1"/>
  <c r="AJ1771" i="1"/>
  <c r="AI1771" i="1"/>
  <c r="AH1771" i="1"/>
  <c r="AG1771" i="1"/>
  <c r="AF1771" i="1"/>
  <c r="AE1771" i="1"/>
  <c r="AD1771" i="1"/>
  <c r="AC1771" i="1"/>
  <c r="AB1771" i="1"/>
  <c r="AS1770" i="1"/>
  <c r="AA1770" i="1" s="1"/>
  <c r="AO1770" i="1"/>
  <c r="AN1770" i="1"/>
  <c r="AM1770" i="1"/>
  <c r="AL1770" i="1"/>
  <c r="AK1770" i="1"/>
  <c r="AJ1770" i="1"/>
  <c r="AI1770" i="1"/>
  <c r="AH1770" i="1"/>
  <c r="AG1770" i="1"/>
  <c r="AF1770" i="1"/>
  <c r="AE1770" i="1"/>
  <c r="AD1770" i="1"/>
  <c r="AC1770" i="1"/>
  <c r="AB1770" i="1"/>
  <c r="AS1769" i="1"/>
  <c r="AA1769" i="1" s="1"/>
  <c r="AO1769" i="1"/>
  <c r="AN1769" i="1"/>
  <c r="AM1769" i="1"/>
  <c r="AL1769" i="1"/>
  <c r="AK1769" i="1"/>
  <c r="AJ1769" i="1"/>
  <c r="AI1769" i="1"/>
  <c r="AH1769" i="1"/>
  <c r="AG1769" i="1"/>
  <c r="AF1769" i="1"/>
  <c r="AE1769" i="1"/>
  <c r="AD1769" i="1"/>
  <c r="AC1769" i="1"/>
  <c r="AB1769" i="1"/>
  <c r="AS1768" i="1"/>
  <c r="AA1768" i="1" s="1"/>
  <c r="AO1768" i="1"/>
  <c r="AN1768" i="1"/>
  <c r="AM1768" i="1"/>
  <c r="AL1768" i="1"/>
  <c r="AK1768" i="1"/>
  <c r="AJ1768" i="1"/>
  <c r="AI1768" i="1"/>
  <c r="AH1768" i="1"/>
  <c r="AG1768" i="1"/>
  <c r="AF1768" i="1"/>
  <c r="AE1768" i="1"/>
  <c r="AD1768" i="1"/>
  <c r="AC1768" i="1"/>
  <c r="AB1768" i="1"/>
  <c r="AS1767" i="1"/>
  <c r="AA1767" i="1" s="1"/>
  <c r="AO1767" i="1"/>
  <c r="AN1767" i="1"/>
  <c r="AM1767" i="1"/>
  <c r="AL1767" i="1"/>
  <c r="AK1767" i="1"/>
  <c r="AJ1767" i="1"/>
  <c r="AI1767" i="1"/>
  <c r="AH1767" i="1"/>
  <c r="AG1767" i="1"/>
  <c r="AF1767" i="1"/>
  <c r="AE1767" i="1"/>
  <c r="AD1767" i="1"/>
  <c r="AC1767" i="1"/>
  <c r="AB1767" i="1"/>
  <c r="AS1766" i="1"/>
  <c r="AA1766" i="1" s="1"/>
  <c r="AO1766" i="1"/>
  <c r="AN1766" i="1"/>
  <c r="AM1766" i="1"/>
  <c r="AL1766" i="1"/>
  <c r="AK1766" i="1"/>
  <c r="AJ1766" i="1"/>
  <c r="AI1766" i="1"/>
  <c r="AH1766" i="1"/>
  <c r="AG1766" i="1"/>
  <c r="AF1766" i="1"/>
  <c r="AE1766" i="1"/>
  <c r="AD1766" i="1"/>
  <c r="AC1766" i="1"/>
  <c r="AB1766" i="1"/>
  <c r="AS1765" i="1"/>
  <c r="AA1765" i="1" s="1"/>
  <c r="AO1765" i="1"/>
  <c r="AN1765" i="1"/>
  <c r="AM1765" i="1"/>
  <c r="AL1765" i="1"/>
  <c r="AK1765" i="1"/>
  <c r="AJ1765" i="1"/>
  <c r="AI1765" i="1"/>
  <c r="AH1765" i="1"/>
  <c r="AG1765" i="1"/>
  <c r="AF1765" i="1"/>
  <c r="AE1765" i="1"/>
  <c r="AD1765" i="1"/>
  <c r="AC1765" i="1"/>
  <c r="AB1765" i="1"/>
  <c r="AS1764" i="1"/>
  <c r="AA1764" i="1" s="1"/>
  <c r="AO1764" i="1"/>
  <c r="AN1764" i="1"/>
  <c r="AM1764" i="1"/>
  <c r="AL1764" i="1"/>
  <c r="AK1764" i="1"/>
  <c r="AJ1764" i="1"/>
  <c r="AI1764" i="1"/>
  <c r="AH1764" i="1"/>
  <c r="AG1764" i="1"/>
  <c r="AF1764" i="1"/>
  <c r="AE1764" i="1"/>
  <c r="AD1764" i="1"/>
  <c r="AC1764" i="1"/>
  <c r="AB1764" i="1"/>
  <c r="AS1763" i="1"/>
  <c r="AA1763" i="1" s="1"/>
  <c r="AO1763" i="1"/>
  <c r="AN1763" i="1"/>
  <c r="AM1763" i="1"/>
  <c r="AL1763" i="1"/>
  <c r="AK1763" i="1"/>
  <c r="AJ1763" i="1"/>
  <c r="AI1763" i="1"/>
  <c r="AH1763" i="1"/>
  <c r="AG1763" i="1"/>
  <c r="AF1763" i="1"/>
  <c r="AE1763" i="1"/>
  <c r="AD1763" i="1"/>
  <c r="AC1763" i="1"/>
  <c r="AB1763" i="1"/>
  <c r="AS1762" i="1"/>
  <c r="AA1762" i="1" s="1"/>
  <c r="AO1762" i="1"/>
  <c r="AN1762" i="1"/>
  <c r="AM1762" i="1"/>
  <c r="AL1762" i="1"/>
  <c r="AK1762" i="1"/>
  <c r="AJ1762" i="1"/>
  <c r="AI1762" i="1"/>
  <c r="AH1762" i="1"/>
  <c r="AG1762" i="1"/>
  <c r="AF1762" i="1"/>
  <c r="AE1762" i="1"/>
  <c r="AD1762" i="1"/>
  <c r="AC1762" i="1"/>
  <c r="AB1762" i="1"/>
  <c r="AS1761" i="1"/>
  <c r="AA1761" i="1" s="1"/>
  <c r="AO1761" i="1"/>
  <c r="AN1761" i="1"/>
  <c r="AM1761" i="1"/>
  <c r="AL1761" i="1"/>
  <c r="AK1761" i="1"/>
  <c r="AJ1761" i="1"/>
  <c r="AI1761" i="1"/>
  <c r="AH1761" i="1"/>
  <c r="AG1761" i="1"/>
  <c r="AF1761" i="1"/>
  <c r="AE1761" i="1"/>
  <c r="AD1761" i="1"/>
  <c r="AC1761" i="1"/>
  <c r="AB1761" i="1"/>
  <c r="AS1760" i="1"/>
  <c r="AA1760" i="1" s="1"/>
  <c r="AO1760" i="1"/>
  <c r="AN1760" i="1"/>
  <c r="AM1760" i="1"/>
  <c r="AL1760" i="1"/>
  <c r="AK1760" i="1"/>
  <c r="AJ1760" i="1"/>
  <c r="AI1760" i="1"/>
  <c r="AH1760" i="1"/>
  <c r="AG1760" i="1"/>
  <c r="AF1760" i="1"/>
  <c r="AE1760" i="1"/>
  <c r="AD1760" i="1"/>
  <c r="AC1760" i="1"/>
  <c r="AB1760" i="1"/>
  <c r="AS1759" i="1"/>
  <c r="AA1759" i="1" s="1"/>
  <c r="AO1759" i="1"/>
  <c r="AN1759" i="1"/>
  <c r="AM1759" i="1"/>
  <c r="AL1759" i="1"/>
  <c r="AK1759" i="1"/>
  <c r="AJ1759" i="1"/>
  <c r="AI1759" i="1"/>
  <c r="AH1759" i="1"/>
  <c r="AG1759" i="1"/>
  <c r="AF1759" i="1"/>
  <c r="AE1759" i="1"/>
  <c r="AD1759" i="1"/>
  <c r="AC1759" i="1"/>
  <c r="AB1759" i="1"/>
  <c r="AS1758" i="1"/>
  <c r="AA1758" i="1" s="1"/>
  <c r="AO1758" i="1"/>
  <c r="AN1758" i="1"/>
  <c r="AM1758" i="1"/>
  <c r="AL1758" i="1"/>
  <c r="AK1758" i="1"/>
  <c r="AJ1758" i="1"/>
  <c r="AI1758" i="1"/>
  <c r="AH1758" i="1"/>
  <c r="AG1758" i="1"/>
  <c r="AF1758" i="1"/>
  <c r="AE1758" i="1"/>
  <c r="AD1758" i="1"/>
  <c r="AC1758" i="1"/>
  <c r="AB1758" i="1"/>
  <c r="AS1757" i="1"/>
  <c r="AA1757" i="1" s="1"/>
  <c r="AO1757" i="1"/>
  <c r="AN1757" i="1"/>
  <c r="AM1757" i="1"/>
  <c r="AL1757" i="1"/>
  <c r="AK1757" i="1"/>
  <c r="AJ1757" i="1"/>
  <c r="AI1757" i="1"/>
  <c r="AH1757" i="1"/>
  <c r="AG1757" i="1"/>
  <c r="AF1757" i="1"/>
  <c r="AE1757" i="1"/>
  <c r="AD1757" i="1"/>
  <c r="AC1757" i="1"/>
  <c r="AB1757" i="1"/>
  <c r="AS1756" i="1"/>
  <c r="AA1756" i="1" s="1"/>
  <c r="AO1756" i="1"/>
  <c r="AN1756" i="1"/>
  <c r="AM1756" i="1"/>
  <c r="AL1756" i="1"/>
  <c r="AK1756" i="1"/>
  <c r="AJ1756" i="1"/>
  <c r="AI1756" i="1"/>
  <c r="AH1756" i="1"/>
  <c r="AG1756" i="1"/>
  <c r="AF1756" i="1"/>
  <c r="AE1756" i="1"/>
  <c r="AD1756" i="1"/>
  <c r="AC1756" i="1"/>
  <c r="AB1756" i="1"/>
  <c r="AS1755" i="1"/>
  <c r="AA1755" i="1" s="1"/>
  <c r="AO1755" i="1"/>
  <c r="AN1755" i="1"/>
  <c r="AM1755" i="1"/>
  <c r="AL1755" i="1"/>
  <c r="AK1755" i="1"/>
  <c r="AJ1755" i="1"/>
  <c r="AI1755" i="1"/>
  <c r="AH1755" i="1"/>
  <c r="AG1755" i="1"/>
  <c r="AF1755" i="1"/>
  <c r="AE1755" i="1"/>
  <c r="AD1755" i="1"/>
  <c r="AC1755" i="1"/>
  <c r="AB1755" i="1"/>
  <c r="AS1754" i="1"/>
  <c r="AA1754" i="1" s="1"/>
  <c r="AO1754" i="1"/>
  <c r="AN1754" i="1"/>
  <c r="AM1754" i="1"/>
  <c r="AL1754" i="1"/>
  <c r="AK1754" i="1"/>
  <c r="AJ1754" i="1"/>
  <c r="AI1754" i="1"/>
  <c r="AH1754" i="1"/>
  <c r="AG1754" i="1"/>
  <c r="AF1754" i="1"/>
  <c r="AE1754" i="1"/>
  <c r="AD1754" i="1"/>
  <c r="AC1754" i="1"/>
  <c r="AB1754" i="1"/>
  <c r="AS1753" i="1"/>
  <c r="AA1753" i="1" s="1"/>
  <c r="AO1753" i="1"/>
  <c r="AN1753" i="1"/>
  <c r="AM1753" i="1"/>
  <c r="AL1753" i="1"/>
  <c r="AK1753" i="1"/>
  <c r="AJ1753" i="1"/>
  <c r="AI1753" i="1"/>
  <c r="AH1753" i="1"/>
  <c r="AG1753" i="1"/>
  <c r="AF1753" i="1"/>
  <c r="AE1753" i="1"/>
  <c r="AD1753" i="1"/>
  <c r="AC1753" i="1"/>
  <c r="AB1753" i="1"/>
  <c r="AS1752" i="1"/>
  <c r="AA1752" i="1" s="1"/>
  <c r="AO1752" i="1"/>
  <c r="AN1752" i="1"/>
  <c r="AM1752" i="1"/>
  <c r="AL1752" i="1"/>
  <c r="AK1752" i="1"/>
  <c r="AJ1752" i="1"/>
  <c r="AI1752" i="1"/>
  <c r="AH1752" i="1"/>
  <c r="AG1752" i="1"/>
  <c r="AF1752" i="1"/>
  <c r="AE1752" i="1"/>
  <c r="AD1752" i="1"/>
  <c r="AC1752" i="1"/>
  <c r="AB1752" i="1"/>
  <c r="AS1751" i="1"/>
  <c r="AA1751" i="1" s="1"/>
  <c r="AO1751" i="1"/>
  <c r="AN1751" i="1"/>
  <c r="AM1751" i="1"/>
  <c r="AL1751" i="1"/>
  <c r="AK1751" i="1"/>
  <c r="AJ1751" i="1"/>
  <c r="AI1751" i="1"/>
  <c r="AH1751" i="1"/>
  <c r="AG1751" i="1"/>
  <c r="AF1751" i="1"/>
  <c r="AE1751" i="1"/>
  <c r="AD1751" i="1"/>
  <c r="AC1751" i="1"/>
  <c r="AB1751" i="1"/>
  <c r="AS1750" i="1"/>
  <c r="AA1750" i="1" s="1"/>
  <c r="AO1750" i="1"/>
  <c r="AN1750" i="1"/>
  <c r="AM1750" i="1"/>
  <c r="AL1750" i="1"/>
  <c r="AK1750" i="1"/>
  <c r="AJ1750" i="1"/>
  <c r="AI1750" i="1"/>
  <c r="AH1750" i="1"/>
  <c r="AG1750" i="1"/>
  <c r="AF1750" i="1"/>
  <c r="AE1750" i="1"/>
  <c r="AD1750" i="1"/>
  <c r="AC1750" i="1"/>
  <c r="AB1750" i="1"/>
  <c r="AS1749" i="1"/>
  <c r="AA1749" i="1" s="1"/>
  <c r="AO1749" i="1"/>
  <c r="AN1749" i="1"/>
  <c r="AM1749" i="1"/>
  <c r="AL1749" i="1"/>
  <c r="AK1749" i="1"/>
  <c r="AJ1749" i="1"/>
  <c r="AI1749" i="1"/>
  <c r="AH1749" i="1"/>
  <c r="AG1749" i="1"/>
  <c r="AF1749" i="1"/>
  <c r="AE1749" i="1"/>
  <c r="AD1749" i="1"/>
  <c r="AC1749" i="1"/>
  <c r="AB1749" i="1"/>
  <c r="AS1748" i="1"/>
  <c r="AA1748" i="1" s="1"/>
  <c r="AO1748" i="1"/>
  <c r="AN1748" i="1"/>
  <c r="AM1748" i="1"/>
  <c r="AL1748" i="1"/>
  <c r="AK1748" i="1"/>
  <c r="AJ1748" i="1"/>
  <c r="AI1748" i="1"/>
  <c r="AH1748" i="1"/>
  <c r="AG1748" i="1"/>
  <c r="AF1748" i="1"/>
  <c r="AE1748" i="1"/>
  <c r="AD1748" i="1"/>
  <c r="AC1748" i="1"/>
  <c r="AB1748" i="1"/>
  <c r="AS1747" i="1"/>
  <c r="AA1747" i="1" s="1"/>
  <c r="AO1747" i="1"/>
  <c r="AN1747" i="1"/>
  <c r="AM1747" i="1"/>
  <c r="AL1747" i="1"/>
  <c r="AK1747" i="1"/>
  <c r="AJ1747" i="1"/>
  <c r="AI1747" i="1"/>
  <c r="AH1747" i="1"/>
  <c r="AG1747" i="1"/>
  <c r="AF1747" i="1"/>
  <c r="AE1747" i="1"/>
  <c r="AD1747" i="1"/>
  <c r="AC1747" i="1"/>
  <c r="AB1747" i="1"/>
  <c r="AS1746" i="1"/>
  <c r="AA1746" i="1" s="1"/>
  <c r="AO1746" i="1"/>
  <c r="AN1746" i="1"/>
  <c r="AM1746" i="1"/>
  <c r="AL1746" i="1"/>
  <c r="AK1746" i="1"/>
  <c r="AJ1746" i="1"/>
  <c r="AI1746" i="1"/>
  <c r="AH1746" i="1"/>
  <c r="AG1746" i="1"/>
  <c r="AF1746" i="1"/>
  <c r="AE1746" i="1"/>
  <c r="AD1746" i="1"/>
  <c r="AC1746" i="1"/>
  <c r="AB1746" i="1"/>
  <c r="AS1745" i="1"/>
  <c r="AA1745" i="1" s="1"/>
  <c r="AO1745" i="1"/>
  <c r="AN1745" i="1"/>
  <c r="AM1745" i="1"/>
  <c r="AL1745" i="1"/>
  <c r="AK1745" i="1"/>
  <c r="AJ1745" i="1"/>
  <c r="AI1745" i="1"/>
  <c r="AH1745" i="1"/>
  <c r="AG1745" i="1"/>
  <c r="AF1745" i="1"/>
  <c r="AE1745" i="1"/>
  <c r="AD1745" i="1"/>
  <c r="AC1745" i="1"/>
  <c r="AB1745" i="1"/>
  <c r="AS1744" i="1"/>
  <c r="AA1744" i="1" s="1"/>
  <c r="AO1744" i="1"/>
  <c r="AN1744" i="1"/>
  <c r="AM1744" i="1"/>
  <c r="AL1744" i="1"/>
  <c r="AK1744" i="1"/>
  <c r="AJ1744" i="1"/>
  <c r="AI1744" i="1"/>
  <c r="AH1744" i="1"/>
  <c r="AG1744" i="1"/>
  <c r="AF1744" i="1"/>
  <c r="AE1744" i="1"/>
  <c r="AD1744" i="1"/>
  <c r="AC1744" i="1"/>
  <c r="AB1744" i="1"/>
  <c r="AS1743" i="1"/>
  <c r="AA1743" i="1" s="1"/>
  <c r="AO1743" i="1"/>
  <c r="AN1743" i="1"/>
  <c r="AM1743" i="1"/>
  <c r="AL1743" i="1"/>
  <c r="AK1743" i="1"/>
  <c r="AJ1743" i="1"/>
  <c r="AI1743" i="1"/>
  <c r="AH1743" i="1"/>
  <c r="AG1743" i="1"/>
  <c r="AF1743" i="1"/>
  <c r="AE1743" i="1"/>
  <c r="AD1743" i="1"/>
  <c r="AC1743" i="1"/>
  <c r="AB1743" i="1"/>
  <c r="AS1742" i="1"/>
  <c r="AA1742" i="1" s="1"/>
  <c r="AO1742" i="1"/>
  <c r="AN1742" i="1"/>
  <c r="AM1742" i="1"/>
  <c r="AL1742" i="1"/>
  <c r="AK1742" i="1"/>
  <c r="AJ1742" i="1"/>
  <c r="AI1742" i="1"/>
  <c r="AH1742" i="1"/>
  <c r="AG1742" i="1"/>
  <c r="AF1742" i="1"/>
  <c r="AE1742" i="1"/>
  <c r="AD1742" i="1"/>
  <c r="AC1742" i="1"/>
  <c r="AB1742" i="1"/>
  <c r="AS1741" i="1"/>
  <c r="AA1741" i="1" s="1"/>
  <c r="AO1741" i="1"/>
  <c r="AN1741" i="1"/>
  <c r="AM1741" i="1"/>
  <c r="AL1741" i="1"/>
  <c r="AK1741" i="1"/>
  <c r="AJ1741" i="1"/>
  <c r="AI1741" i="1"/>
  <c r="AH1741" i="1"/>
  <c r="AG1741" i="1"/>
  <c r="AF1741" i="1"/>
  <c r="AE1741" i="1"/>
  <c r="AD1741" i="1"/>
  <c r="AC1741" i="1"/>
  <c r="AB1741" i="1"/>
  <c r="AS1740" i="1"/>
  <c r="AA1740" i="1" s="1"/>
  <c r="AO1740" i="1"/>
  <c r="AN1740" i="1"/>
  <c r="AM1740" i="1"/>
  <c r="AL1740" i="1"/>
  <c r="AK1740" i="1"/>
  <c r="AJ1740" i="1"/>
  <c r="AI1740" i="1"/>
  <c r="AH1740" i="1"/>
  <c r="AG1740" i="1"/>
  <c r="AF1740" i="1"/>
  <c r="AE1740" i="1"/>
  <c r="AD1740" i="1"/>
  <c r="AC1740" i="1"/>
  <c r="AB1740" i="1"/>
  <c r="AS1739" i="1"/>
  <c r="AA1739" i="1" s="1"/>
  <c r="AO1739" i="1"/>
  <c r="AN1739" i="1"/>
  <c r="AM1739" i="1"/>
  <c r="AL1739" i="1"/>
  <c r="AK1739" i="1"/>
  <c r="AJ1739" i="1"/>
  <c r="AI1739" i="1"/>
  <c r="AH1739" i="1"/>
  <c r="AG1739" i="1"/>
  <c r="AF1739" i="1"/>
  <c r="AE1739" i="1"/>
  <c r="AD1739" i="1"/>
  <c r="AC1739" i="1"/>
  <c r="AB1739" i="1"/>
  <c r="AS1738" i="1"/>
  <c r="AA1738" i="1" s="1"/>
  <c r="AO1738" i="1"/>
  <c r="AN1738" i="1"/>
  <c r="AM1738" i="1"/>
  <c r="AL1738" i="1"/>
  <c r="AK1738" i="1"/>
  <c r="AJ1738" i="1"/>
  <c r="AI1738" i="1"/>
  <c r="AH1738" i="1"/>
  <c r="AG1738" i="1"/>
  <c r="AF1738" i="1"/>
  <c r="AE1738" i="1"/>
  <c r="AD1738" i="1"/>
  <c r="AC1738" i="1"/>
  <c r="AB1738" i="1"/>
  <c r="AS1737" i="1"/>
  <c r="AA1737" i="1" s="1"/>
  <c r="AO1737" i="1"/>
  <c r="AN1737" i="1"/>
  <c r="AM1737" i="1"/>
  <c r="AL1737" i="1"/>
  <c r="AK1737" i="1"/>
  <c r="AJ1737" i="1"/>
  <c r="AI1737" i="1"/>
  <c r="AH1737" i="1"/>
  <c r="AG1737" i="1"/>
  <c r="AF1737" i="1"/>
  <c r="AE1737" i="1"/>
  <c r="AD1737" i="1"/>
  <c r="AC1737" i="1"/>
  <c r="AB1737" i="1"/>
  <c r="AS1736" i="1"/>
  <c r="AA1736" i="1" s="1"/>
  <c r="AO1736" i="1"/>
  <c r="AN1736" i="1"/>
  <c r="AM1736" i="1"/>
  <c r="AL1736" i="1"/>
  <c r="AK1736" i="1"/>
  <c r="AJ1736" i="1"/>
  <c r="AI1736" i="1"/>
  <c r="AH1736" i="1"/>
  <c r="AG1736" i="1"/>
  <c r="AF1736" i="1"/>
  <c r="AE1736" i="1"/>
  <c r="AD1736" i="1"/>
  <c r="AC1736" i="1"/>
  <c r="AB1736" i="1"/>
  <c r="AS1735" i="1"/>
  <c r="AA1735" i="1" s="1"/>
  <c r="AO1735" i="1"/>
  <c r="AN1735" i="1"/>
  <c r="AM1735" i="1"/>
  <c r="AL1735" i="1"/>
  <c r="AK1735" i="1"/>
  <c r="AJ1735" i="1"/>
  <c r="AI1735" i="1"/>
  <c r="AH1735" i="1"/>
  <c r="AG1735" i="1"/>
  <c r="AF1735" i="1"/>
  <c r="AE1735" i="1"/>
  <c r="AD1735" i="1"/>
  <c r="AC1735" i="1"/>
  <c r="AB1735" i="1"/>
  <c r="AS1734" i="1"/>
  <c r="AA1734" i="1" s="1"/>
  <c r="AO1734" i="1"/>
  <c r="AN1734" i="1"/>
  <c r="AM1734" i="1"/>
  <c r="AL1734" i="1"/>
  <c r="AK1734" i="1"/>
  <c r="AJ1734" i="1"/>
  <c r="AI1734" i="1"/>
  <c r="AH1734" i="1"/>
  <c r="AG1734" i="1"/>
  <c r="AF1734" i="1"/>
  <c r="AE1734" i="1"/>
  <c r="AD1734" i="1"/>
  <c r="AC1734" i="1"/>
  <c r="AB1734" i="1"/>
  <c r="AS1733" i="1"/>
  <c r="AA1733" i="1" s="1"/>
  <c r="AO1733" i="1"/>
  <c r="AN1733" i="1"/>
  <c r="AM1733" i="1"/>
  <c r="AL1733" i="1"/>
  <c r="AK1733" i="1"/>
  <c r="AJ1733" i="1"/>
  <c r="AI1733" i="1"/>
  <c r="AH1733" i="1"/>
  <c r="AG1733" i="1"/>
  <c r="AF1733" i="1"/>
  <c r="AE1733" i="1"/>
  <c r="AD1733" i="1"/>
  <c r="AC1733" i="1"/>
  <c r="AB1733" i="1"/>
  <c r="AS1732" i="1"/>
  <c r="AA1732" i="1" s="1"/>
  <c r="AO1732" i="1"/>
  <c r="AN1732" i="1"/>
  <c r="AM1732" i="1"/>
  <c r="AL1732" i="1"/>
  <c r="AK1732" i="1"/>
  <c r="AJ1732" i="1"/>
  <c r="AI1732" i="1"/>
  <c r="AH1732" i="1"/>
  <c r="AG1732" i="1"/>
  <c r="AF1732" i="1"/>
  <c r="AE1732" i="1"/>
  <c r="AD1732" i="1"/>
  <c r="AC1732" i="1"/>
  <c r="AB1732" i="1"/>
  <c r="AS1731" i="1"/>
  <c r="AA1731" i="1" s="1"/>
  <c r="AO1731" i="1"/>
  <c r="AN1731" i="1"/>
  <c r="AM1731" i="1"/>
  <c r="AL1731" i="1"/>
  <c r="AK1731" i="1"/>
  <c r="AJ1731" i="1"/>
  <c r="AI1731" i="1"/>
  <c r="AH1731" i="1"/>
  <c r="AG1731" i="1"/>
  <c r="AF1731" i="1"/>
  <c r="AE1731" i="1"/>
  <c r="AD1731" i="1"/>
  <c r="AC1731" i="1"/>
  <c r="AB1731" i="1"/>
  <c r="AS1730" i="1"/>
  <c r="AA1730" i="1" s="1"/>
  <c r="AO1730" i="1"/>
  <c r="AN1730" i="1"/>
  <c r="AM1730" i="1"/>
  <c r="AL1730" i="1"/>
  <c r="AK1730" i="1"/>
  <c r="AJ1730" i="1"/>
  <c r="AI1730" i="1"/>
  <c r="AH1730" i="1"/>
  <c r="AG1730" i="1"/>
  <c r="AF1730" i="1"/>
  <c r="AE1730" i="1"/>
  <c r="AD1730" i="1"/>
  <c r="AC1730" i="1"/>
  <c r="AB1730" i="1"/>
  <c r="AS1729" i="1"/>
  <c r="AA1729" i="1" s="1"/>
  <c r="AO1729" i="1"/>
  <c r="AN1729" i="1"/>
  <c r="AM1729" i="1"/>
  <c r="AL1729" i="1"/>
  <c r="AK1729" i="1"/>
  <c r="AJ1729" i="1"/>
  <c r="AI1729" i="1"/>
  <c r="AH1729" i="1"/>
  <c r="AG1729" i="1"/>
  <c r="AF1729" i="1"/>
  <c r="AE1729" i="1"/>
  <c r="AD1729" i="1"/>
  <c r="AC1729" i="1"/>
  <c r="AB1729" i="1"/>
  <c r="AS1728" i="1"/>
  <c r="AA1728" i="1" s="1"/>
  <c r="AO1728" i="1"/>
  <c r="AN1728" i="1"/>
  <c r="AM1728" i="1"/>
  <c r="AL1728" i="1"/>
  <c r="AK1728" i="1"/>
  <c r="AJ1728" i="1"/>
  <c r="AI1728" i="1"/>
  <c r="AH1728" i="1"/>
  <c r="AG1728" i="1"/>
  <c r="AF1728" i="1"/>
  <c r="AE1728" i="1"/>
  <c r="AD1728" i="1"/>
  <c r="AC1728" i="1"/>
  <c r="AB1728" i="1"/>
  <c r="AS1727" i="1"/>
  <c r="AA1727" i="1" s="1"/>
  <c r="AO1727" i="1"/>
  <c r="AN1727" i="1"/>
  <c r="AM1727" i="1"/>
  <c r="AL1727" i="1"/>
  <c r="AK1727" i="1"/>
  <c r="AJ1727" i="1"/>
  <c r="AI1727" i="1"/>
  <c r="AH1727" i="1"/>
  <c r="AG1727" i="1"/>
  <c r="AF1727" i="1"/>
  <c r="AE1727" i="1"/>
  <c r="AD1727" i="1"/>
  <c r="AC1727" i="1"/>
  <c r="AB1727" i="1"/>
  <c r="AS1726" i="1"/>
  <c r="AA1726" i="1" s="1"/>
  <c r="AO1726" i="1"/>
  <c r="AN1726" i="1"/>
  <c r="AM1726" i="1"/>
  <c r="AL1726" i="1"/>
  <c r="AK1726" i="1"/>
  <c r="AJ1726" i="1"/>
  <c r="AI1726" i="1"/>
  <c r="AH1726" i="1"/>
  <c r="AG1726" i="1"/>
  <c r="AF1726" i="1"/>
  <c r="AE1726" i="1"/>
  <c r="AD1726" i="1"/>
  <c r="AC1726" i="1"/>
  <c r="AB1726" i="1"/>
  <c r="AS1725" i="1"/>
  <c r="AA1725" i="1" s="1"/>
  <c r="AO1725" i="1"/>
  <c r="AN1725" i="1"/>
  <c r="AM1725" i="1"/>
  <c r="AL1725" i="1"/>
  <c r="AK1725" i="1"/>
  <c r="AJ1725" i="1"/>
  <c r="AI1725" i="1"/>
  <c r="AH1725" i="1"/>
  <c r="AG1725" i="1"/>
  <c r="AF1725" i="1"/>
  <c r="AE1725" i="1"/>
  <c r="AD1725" i="1"/>
  <c r="AC1725" i="1"/>
  <c r="AB1725" i="1"/>
  <c r="AS1724" i="1"/>
  <c r="AA1724" i="1" s="1"/>
  <c r="AO1724" i="1"/>
  <c r="AN1724" i="1"/>
  <c r="AM1724" i="1"/>
  <c r="AL1724" i="1"/>
  <c r="AK1724" i="1"/>
  <c r="AJ1724" i="1"/>
  <c r="AI1724" i="1"/>
  <c r="AH1724" i="1"/>
  <c r="AG1724" i="1"/>
  <c r="AF1724" i="1"/>
  <c r="AE1724" i="1"/>
  <c r="AD1724" i="1"/>
  <c r="AC1724" i="1"/>
  <c r="AB1724" i="1"/>
  <c r="AS1723" i="1"/>
  <c r="AA1723" i="1" s="1"/>
  <c r="AO1723" i="1"/>
  <c r="AN1723" i="1"/>
  <c r="AM1723" i="1"/>
  <c r="AL1723" i="1"/>
  <c r="AK1723" i="1"/>
  <c r="AJ1723" i="1"/>
  <c r="AI1723" i="1"/>
  <c r="AH1723" i="1"/>
  <c r="AG1723" i="1"/>
  <c r="AF1723" i="1"/>
  <c r="AE1723" i="1"/>
  <c r="AD1723" i="1"/>
  <c r="AC1723" i="1"/>
  <c r="AB1723" i="1"/>
  <c r="AS1722" i="1"/>
  <c r="AA1722" i="1" s="1"/>
  <c r="AO1722" i="1"/>
  <c r="AN1722" i="1"/>
  <c r="AM1722" i="1"/>
  <c r="AL1722" i="1"/>
  <c r="AK1722" i="1"/>
  <c r="AJ1722" i="1"/>
  <c r="AI1722" i="1"/>
  <c r="AH1722" i="1"/>
  <c r="AG1722" i="1"/>
  <c r="AF1722" i="1"/>
  <c r="AE1722" i="1"/>
  <c r="AD1722" i="1"/>
  <c r="AC1722" i="1"/>
  <c r="AB1722" i="1"/>
  <c r="AS1721" i="1"/>
  <c r="AA1721" i="1" s="1"/>
  <c r="AO1721" i="1"/>
  <c r="AN1721" i="1"/>
  <c r="AM1721" i="1"/>
  <c r="AL1721" i="1"/>
  <c r="AK1721" i="1"/>
  <c r="AJ1721" i="1"/>
  <c r="AI1721" i="1"/>
  <c r="AH1721" i="1"/>
  <c r="AG1721" i="1"/>
  <c r="AF1721" i="1"/>
  <c r="AE1721" i="1"/>
  <c r="AD1721" i="1"/>
  <c r="AC1721" i="1"/>
  <c r="AB1721" i="1"/>
  <c r="AS1720" i="1"/>
  <c r="AA1720" i="1" s="1"/>
  <c r="AO1720" i="1"/>
  <c r="AN1720" i="1"/>
  <c r="AM1720" i="1"/>
  <c r="AL1720" i="1"/>
  <c r="AK1720" i="1"/>
  <c r="AJ1720" i="1"/>
  <c r="AI1720" i="1"/>
  <c r="AH1720" i="1"/>
  <c r="AG1720" i="1"/>
  <c r="AF1720" i="1"/>
  <c r="AE1720" i="1"/>
  <c r="AD1720" i="1"/>
  <c r="AC1720" i="1"/>
  <c r="AB1720" i="1"/>
  <c r="AS1719" i="1"/>
  <c r="AA1719" i="1" s="1"/>
  <c r="AO1719" i="1"/>
  <c r="AN1719" i="1"/>
  <c r="AM1719" i="1"/>
  <c r="AL1719" i="1"/>
  <c r="AK1719" i="1"/>
  <c r="AJ1719" i="1"/>
  <c r="AI1719" i="1"/>
  <c r="AH1719" i="1"/>
  <c r="AG1719" i="1"/>
  <c r="AF1719" i="1"/>
  <c r="AE1719" i="1"/>
  <c r="AD1719" i="1"/>
  <c r="AC1719" i="1"/>
  <c r="AB1719" i="1"/>
  <c r="AS1718" i="1"/>
  <c r="AA1718" i="1" s="1"/>
  <c r="AO1718" i="1"/>
  <c r="AN1718" i="1"/>
  <c r="AM1718" i="1"/>
  <c r="AL1718" i="1"/>
  <c r="AK1718" i="1"/>
  <c r="AJ1718" i="1"/>
  <c r="AI1718" i="1"/>
  <c r="AH1718" i="1"/>
  <c r="AG1718" i="1"/>
  <c r="AF1718" i="1"/>
  <c r="AE1718" i="1"/>
  <c r="AD1718" i="1"/>
  <c r="AC1718" i="1"/>
  <c r="AB1718" i="1"/>
  <c r="AS1717" i="1"/>
  <c r="AA1717" i="1" s="1"/>
  <c r="AO1717" i="1"/>
  <c r="AN1717" i="1"/>
  <c r="AM1717" i="1"/>
  <c r="AL1717" i="1"/>
  <c r="AK1717" i="1"/>
  <c r="AJ1717" i="1"/>
  <c r="AI1717" i="1"/>
  <c r="AH1717" i="1"/>
  <c r="AG1717" i="1"/>
  <c r="AF1717" i="1"/>
  <c r="AE1717" i="1"/>
  <c r="AD1717" i="1"/>
  <c r="AC1717" i="1"/>
  <c r="AB1717" i="1"/>
  <c r="AS1716" i="1"/>
  <c r="AA1716" i="1" s="1"/>
  <c r="AO1716" i="1"/>
  <c r="AN1716" i="1"/>
  <c r="AM1716" i="1"/>
  <c r="AL1716" i="1"/>
  <c r="AK1716" i="1"/>
  <c r="AJ1716" i="1"/>
  <c r="AI1716" i="1"/>
  <c r="AH1716" i="1"/>
  <c r="AG1716" i="1"/>
  <c r="AF1716" i="1"/>
  <c r="AE1716" i="1"/>
  <c r="AD1716" i="1"/>
  <c r="AC1716" i="1"/>
  <c r="AB1716" i="1"/>
  <c r="AS1715" i="1"/>
  <c r="AA1715" i="1" s="1"/>
  <c r="AO1715" i="1"/>
  <c r="AN1715" i="1"/>
  <c r="AM1715" i="1"/>
  <c r="AL1715" i="1"/>
  <c r="AK1715" i="1"/>
  <c r="AJ1715" i="1"/>
  <c r="AI1715" i="1"/>
  <c r="AH1715" i="1"/>
  <c r="AG1715" i="1"/>
  <c r="AF1715" i="1"/>
  <c r="AE1715" i="1"/>
  <c r="AD1715" i="1"/>
  <c r="AC1715" i="1"/>
  <c r="AB1715" i="1"/>
  <c r="AS1714" i="1"/>
  <c r="AA1714" i="1" s="1"/>
  <c r="AO1714" i="1"/>
  <c r="AN1714" i="1"/>
  <c r="AM1714" i="1"/>
  <c r="AL1714" i="1"/>
  <c r="AK1714" i="1"/>
  <c r="AJ1714" i="1"/>
  <c r="AI1714" i="1"/>
  <c r="AH1714" i="1"/>
  <c r="AG1714" i="1"/>
  <c r="AF1714" i="1"/>
  <c r="AE1714" i="1"/>
  <c r="AD1714" i="1"/>
  <c r="AC1714" i="1"/>
  <c r="AB1714" i="1"/>
  <c r="AS1713" i="1"/>
  <c r="AA1713" i="1" s="1"/>
  <c r="AO1713" i="1"/>
  <c r="AN1713" i="1"/>
  <c r="AM1713" i="1"/>
  <c r="AL1713" i="1"/>
  <c r="AK1713" i="1"/>
  <c r="AJ1713" i="1"/>
  <c r="AI1713" i="1"/>
  <c r="AH1713" i="1"/>
  <c r="AG1713" i="1"/>
  <c r="AF1713" i="1"/>
  <c r="AE1713" i="1"/>
  <c r="AD1713" i="1"/>
  <c r="AC1713" i="1"/>
  <c r="AB1713" i="1"/>
  <c r="AS1712" i="1"/>
  <c r="AA1712" i="1" s="1"/>
  <c r="AO1712" i="1"/>
  <c r="AN1712" i="1"/>
  <c r="AM1712" i="1"/>
  <c r="AL1712" i="1"/>
  <c r="AK1712" i="1"/>
  <c r="AJ1712" i="1"/>
  <c r="AI1712" i="1"/>
  <c r="AH1712" i="1"/>
  <c r="AG1712" i="1"/>
  <c r="AF1712" i="1"/>
  <c r="AE1712" i="1"/>
  <c r="AD1712" i="1"/>
  <c r="AC1712" i="1"/>
  <c r="AB1712" i="1"/>
  <c r="AS1711" i="1"/>
  <c r="AA1711" i="1" s="1"/>
  <c r="AO1711" i="1"/>
  <c r="AN1711" i="1"/>
  <c r="AM1711" i="1"/>
  <c r="AL1711" i="1"/>
  <c r="AK1711" i="1"/>
  <c r="AJ1711" i="1"/>
  <c r="AI1711" i="1"/>
  <c r="AH1711" i="1"/>
  <c r="AG1711" i="1"/>
  <c r="AF1711" i="1"/>
  <c r="AE1711" i="1"/>
  <c r="AD1711" i="1"/>
  <c r="AC1711" i="1"/>
  <c r="AB1711" i="1"/>
  <c r="AS1710" i="1"/>
  <c r="AA1710" i="1" s="1"/>
  <c r="AO1710" i="1"/>
  <c r="AN1710" i="1"/>
  <c r="AM1710" i="1"/>
  <c r="AL1710" i="1"/>
  <c r="AK1710" i="1"/>
  <c r="AJ1710" i="1"/>
  <c r="AI1710" i="1"/>
  <c r="AH1710" i="1"/>
  <c r="AG1710" i="1"/>
  <c r="AF1710" i="1"/>
  <c r="AE1710" i="1"/>
  <c r="AD1710" i="1"/>
  <c r="AC1710" i="1"/>
  <c r="AB1710" i="1"/>
  <c r="AS1709" i="1"/>
  <c r="AA1709" i="1" s="1"/>
  <c r="AO1709" i="1"/>
  <c r="AN1709" i="1"/>
  <c r="AM1709" i="1"/>
  <c r="AL1709" i="1"/>
  <c r="AK1709" i="1"/>
  <c r="AJ1709" i="1"/>
  <c r="AI1709" i="1"/>
  <c r="AH1709" i="1"/>
  <c r="AG1709" i="1"/>
  <c r="AF1709" i="1"/>
  <c r="AE1709" i="1"/>
  <c r="AD1709" i="1"/>
  <c r="AC1709" i="1"/>
  <c r="AB1709" i="1"/>
  <c r="AS1708" i="1"/>
  <c r="AA1708" i="1" s="1"/>
  <c r="AO1708" i="1"/>
  <c r="AN1708" i="1"/>
  <c r="AM1708" i="1"/>
  <c r="AL1708" i="1"/>
  <c r="AK1708" i="1"/>
  <c r="AJ1708" i="1"/>
  <c r="AI1708" i="1"/>
  <c r="AH1708" i="1"/>
  <c r="AG1708" i="1"/>
  <c r="AF1708" i="1"/>
  <c r="AE1708" i="1"/>
  <c r="AD1708" i="1"/>
  <c r="AC1708" i="1"/>
  <c r="AB1708" i="1"/>
  <c r="AS1707" i="1"/>
  <c r="AA1707" i="1" s="1"/>
  <c r="AO1707" i="1"/>
  <c r="AN1707" i="1"/>
  <c r="AM1707" i="1"/>
  <c r="AL1707" i="1"/>
  <c r="AK1707" i="1"/>
  <c r="AJ1707" i="1"/>
  <c r="AI1707" i="1"/>
  <c r="AH1707" i="1"/>
  <c r="AG1707" i="1"/>
  <c r="AF1707" i="1"/>
  <c r="AE1707" i="1"/>
  <c r="AD1707" i="1"/>
  <c r="AC1707" i="1"/>
  <c r="AB1707" i="1"/>
  <c r="AS1706" i="1"/>
  <c r="AA1706" i="1" s="1"/>
  <c r="AO1706" i="1"/>
  <c r="AN1706" i="1"/>
  <c r="AM1706" i="1"/>
  <c r="AL1706" i="1"/>
  <c r="AK1706" i="1"/>
  <c r="AJ1706" i="1"/>
  <c r="AI1706" i="1"/>
  <c r="AH1706" i="1"/>
  <c r="AG1706" i="1"/>
  <c r="AF1706" i="1"/>
  <c r="AE1706" i="1"/>
  <c r="AD1706" i="1"/>
  <c r="AC1706" i="1"/>
  <c r="AB1706" i="1"/>
  <c r="AS1705" i="1"/>
  <c r="AA1705" i="1" s="1"/>
  <c r="AO1705" i="1"/>
  <c r="AN1705" i="1"/>
  <c r="AM1705" i="1"/>
  <c r="AL1705" i="1"/>
  <c r="AK1705" i="1"/>
  <c r="AJ1705" i="1"/>
  <c r="AI1705" i="1"/>
  <c r="AH1705" i="1"/>
  <c r="AG1705" i="1"/>
  <c r="AF1705" i="1"/>
  <c r="AE1705" i="1"/>
  <c r="AD1705" i="1"/>
  <c r="AC1705" i="1"/>
  <c r="AB1705" i="1"/>
  <c r="AS1704" i="1"/>
  <c r="AA1704" i="1" s="1"/>
  <c r="AO1704" i="1"/>
  <c r="AN1704" i="1"/>
  <c r="AM1704" i="1"/>
  <c r="AL1704" i="1"/>
  <c r="AK1704" i="1"/>
  <c r="AJ1704" i="1"/>
  <c r="AI1704" i="1"/>
  <c r="AH1704" i="1"/>
  <c r="AG1704" i="1"/>
  <c r="AF1704" i="1"/>
  <c r="AE1704" i="1"/>
  <c r="AD1704" i="1"/>
  <c r="AC1704" i="1"/>
  <c r="AB1704" i="1"/>
  <c r="AS1703" i="1"/>
  <c r="AA1703" i="1" s="1"/>
  <c r="AO1703" i="1"/>
  <c r="AN1703" i="1"/>
  <c r="AM1703" i="1"/>
  <c r="AL1703" i="1"/>
  <c r="AK1703" i="1"/>
  <c r="AJ1703" i="1"/>
  <c r="AI1703" i="1"/>
  <c r="AH1703" i="1"/>
  <c r="AG1703" i="1"/>
  <c r="AF1703" i="1"/>
  <c r="AE1703" i="1"/>
  <c r="AD1703" i="1"/>
  <c r="AC1703" i="1"/>
  <c r="AB1703" i="1"/>
  <c r="AS1702" i="1"/>
  <c r="AA1702" i="1" s="1"/>
  <c r="AO1702" i="1"/>
  <c r="AN1702" i="1"/>
  <c r="AM1702" i="1"/>
  <c r="AL1702" i="1"/>
  <c r="AK1702" i="1"/>
  <c r="AJ1702" i="1"/>
  <c r="AI1702" i="1"/>
  <c r="AH1702" i="1"/>
  <c r="AG1702" i="1"/>
  <c r="AF1702" i="1"/>
  <c r="AE1702" i="1"/>
  <c r="AD1702" i="1"/>
  <c r="AC1702" i="1"/>
  <c r="AB1702" i="1"/>
  <c r="AS1701" i="1"/>
  <c r="AA1701" i="1" s="1"/>
  <c r="AO1701" i="1"/>
  <c r="AN1701" i="1"/>
  <c r="AM1701" i="1"/>
  <c r="AL1701" i="1"/>
  <c r="AK1701" i="1"/>
  <c r="AJ1701" i="1"/>
  <c r="AI1701" i="1"/>
  <c r="AH1701" i="1"/>
  <c r="AG1701" i="1"/>
  <c r="AF1701" i="1"/>
  <c r="AE1701" i="1"/>
  <c r="AD1701" i="1"/>
  <c r="AC1701" i="1"/>
  <c r="AB1701" i="1"/>
  <c r="AS1700" i="1"/>
  <c r="AA1700" i="1" s="1"/>
  <c r="AO1700" i="1"/>
  <c r="AN1700" i="1"/>
  <c r="AM1700" i="1"/>
  <c r="AL1700" i="1"/>
  <c r="AK1700" i="1"/>
  <c r="AJ1700" i="1"/>
  <c r="AI1700" i="1"/>
  <c r="AH1700" i="1"/>
  <c r="AG1700" i="1"/>
  <c r="AF1700" i="1"/>
  <c r="AE1700" i="1"/>
  <c r="AD1700" i="1"/>
  <c r="AC1700" i="1"/>
  <c r="AB1700" i="1"/>
  <c r="AS1699" i="1"/>
  <c r="AA1699" i="1" s="1"/>
  <c r="AO1699" i="1"/>
  <c r="AN1699" i="1"/>
  <c r="AM1699" i="1"/>
  <c r="AL1699" i="1"/>
  <c r="AK1699" i="1"/>
  <c r="AJ1699" i="1"/>
  <c r="AI1699" i="1"/>
  <c r="AH1699" i="1"/>
  <c r="AG1699" i="1"/>
  <c r="AF1699" i="1"/>
  <c r="AE1699" i="1"/>
  <c r="AD1699" i="1"/>
  <c r="AC1699" i="1"/>
  <c r="AB1699" i="1"/>
  <c r="AS1698" i="1"/>
  <c r="AA1698" i="1" s="1"/>
  <c r="AO1698" i="1"/>
  <c r="AN1698" i="1"/>
  <c r="AM1698" i="1"/>
  <c r="AL1698" i="1"/>
  <c r="AK1698" i="1"/>
  <c r="AJ1698" i="1"/>
  <c r="AI1698" i="1"/>
  <c r="AH1698" i="1"/>
  <c r="AG1698" i="1"/>
  <c r="AF1698" i="1"/>
  <c r="AE1698" i="1"/>
  <c r="AD1698" i="1"/>
  <c r="AC1698" i="1"/>
  <c r="AB1698" i="1"/>
  <c r="AS1697" i="1"/>
  <c r="AA1697" i="1" s="1"/>
  <c r="AO1697" i="1"/>
  <c r="AN1697" i="1"/>
  <c r="AM1697" i="1"/>
  <c r="AL1697" i="1"/>
  <c r="AK1697" i="1"/>
  <c r="AJ1697" i="1"/>
  <c r="AI1697" i="1"/>
  <c r="AH1697" i="1"/>
  <c r="AG1697" i="1"/>
  <c r="AF1697" i="1"/>
  <c r="AE1697" i="1"/>
  <c r="AD1697" i="1"/>
  <c r="AC1697" i="1"/>
  <c r="AB1697" i="1"/>
  <c r="AS1696" i="1"/>
  <c r="AA1696" i="1" s="1"/>
  <c r="AO1696" i="1"/>
  <c r="AN1696" i="1"/>
  <c r="AM1696" i="1"/>
  <c r="AL1696" i="1"/>
  <c r="AK1696" i="1"/>
  <c r="AJ1696" i="1"/>
  <c r="AI1696" i="1"/>
  <c r="AH1696" i="1"/>
  <c r="AG1696" i="1"/>
  <c r="AF1696" i="1"/>
  <c r="AE1696" i="1"/>
  <c r="AD1696" i="1"/>
  <c r="AC1696" i="1"/>
  <c r="AB1696" i="1"/>
  <c r="AS1695" i="1"/>
  <c r="AA1695" i="1" s="1"/>
  <c r="AO1695" i="1"/>
  <c r="AN1695" i="1"/>
  <c r="AM1695" i="1"/>
  <c r="AL1695" i="1"/>
  <c r="AK1695" i="1"/>
  <c r="AJ1695" i="1"/>
  <c r="AI1695" i="1"/>
  <c r="AH1695" i="1"/>
  <c r="AG1695" i="1"/>
  <c r="AF1695" i="1"/>
  <c r="AE1695" i="1"/>
  <c r="AD1695" i="1"/>
  <c r="AC1695" i="1"/>
  <c r="AB1695" i="1"/>
  <c r="AS1694" i="1"/>
  <c r="AA1694" i="1" s="1"/>
  <c r="AO1694" i="1"/>
  <c r="AN1694" i="1"/>
  <c r="AM1694" i="1"/>
  <c r="AL1694" i="1"/>
  <c r="AK1694" i="1"/>
  <c r="AJ1694" i="1"/>
  <c r="AI1694" i="1"/>
  <c r="AH1694" i="1"/>
  <c r="AG1694" i="1"/>
  <c r="AF1694" i="1"/>
  <c r="AE1694" i="1"/>
  <c r="AD1694" i="1"/>
  <c r="AC1694" i="1"/>
  <c r="AB1694" i="1"/>
  <c r="AS1693" i="1"/>
  <c r="AA1693" i="1" s="1"/>
  <c r="AO1693" i="1"/>
  <c r="AN1693" i="1"/>
  <c r="AM1693" i="1"/>
  <c r="AL1693" i="1"/>
  <c r="AK1693" i="1"/>
  <c r="AJ1693" i="1"/>
  <c r="AI1693" i="1"/>
  <c r="AH1693" i="1"/>
  <c r="AG1693" i="1"/>
  <c r="AF1693" i="1"/>
  <c r="AE1693" i="1"/>
  <c r="AD1693" i="1"/>
  <c r="AC1693" i="1"/>
  <c r="AB1693" i="1"/>
  <c r="AS1692" i="1"/>
  <c r="AA1692" i="1" s="1"/>
  <c r="AO1692" i="1"/>
  <c r="AN1692" i="1"/>
  <c r="AM1692" i="1"/>
  <c r="AL1692" i="1"/>
  <c r="AK1692" i="1"/>
  <c r="AJ1692" i="1"/>
  <c r="AI1692" i="1"/>
  <c r="AH1692" i="1"/>
  <c r="AG1692" i="1"/>
  <c r="AF1692" i="1"/>
  <c r="AE1692" i="1"/>
  <c r="AD1692" i="1"/>
  <c r="AC1692" i="1"/>
  <c r="AB1692" i="1"/>
  <c r="AS1691" i="1"/>
  <c r="AA1691" i="1" s="1"/>
  <c r="AO1691" i="1"/>
  <c r="AN1691" i="1"/>
  <c r="AM1691" i="1"/>
  <c r="AL1691" i="1"/>
  <c r="AK1691" i="1"/>
  <c r="AJ1691" i="1"/>
  <c r="AI1691" i="1"/>
  <c r="AH1691" i="1"/>
  <c r="AG1691" i="1"/>
  <c r="AF1691" i="1"/>
  <c r="AE1691" i="1"/>
  <c r="AD1691" i="1"/>
  <c r="AC1691" i="1"/>
  <c r="AB1691" i="1"/>
  <c r="AS1690" i="1"/>
  <c r="AA1690" i="1" s="1"/>
  <c r="AO1690" i="1"/>
  <c r="AN1690" i="1"/>
  <c r="AM1690" i="1"/>
  <c r="AL1690" i="1"/>
  <c r="AK1690" i="1"/>
  <c r="AJ1690" i="1"/>
  <c r="AI1690" i="1"/>
  <c r="AH1690" i="1"/>
  <c r="AG1690" i="1"/>
  <c r="AF1690" i="1"/>
  <c r="AE1690" i="1"/>
  <c r="AD1690" i="1"/>
  <c r="AC1690" i="1"/>
  <c r="AB1690" i="1"/>
  <c r="AS1689" i="1"/>
  <c r="AA1689" i="1" s="1"/>
  <c r="AO1689" i="1"/>
  <c r="AN1689" i="1"/>
  <c r="AM1689" i="1"/>
  <c r="AL1689" i="1"/>
  <c r="AK1689" i="1"/>
  <c r="AJ1689" i="1"/>
  <c r="AI1689" i="1"/>
  <c r="AH1689" i="1"/>
  <c r="AG1689" i="1"/>
  <c r="AF1689" i="1"/>
  <c r="AE1689" i="1"/>
  <c r="AD1689" i="1"/>
  <c r="AC1689" i="1"/>
  <c r="AB1689" i="1"/>
  <c r="AS1688" i="1"/>
  <c r="AA1688" i="1" s="1"/>
  <c r="AO1688" i="1"/>
  <c r="AN1688" i="1"/>
  <c r="AM1688" i="1"/>
  <c r="AL1688" i="1"/>
  <c r="AK1688" i="1"/>
  <c r="AJ1688" i="1"/>
  <c r="AI1688" i="1"/>
  <c r="AH1688" i="1"/>
  <c r="AG1688" i="1"/>
  <c r="AF1688" i="1"/>
  <c r="AE1688" i="1"/>
  <c r="AD1688" i="1"/>
  <c r="AC1688" i="1"/>
  <c r="AB1688" i="1"/>
  <c r="AS1687" i="1"/>
  <c r="AA1687" i="1" s="1"/>
  <c r="AO1687" i="1"/>
  <c r="AN1687" i="1"/>
  <c r="AM1687" i="1"/>
  <c r="AL1687" i="1"/>
  <c r="AK1687" i="1"/>
  <c r="AJ1687" i="1"/>
  <c r="AI1687" i="1"/>
  <c r="AH1687" i="1"/>
  <c r="AG1687" i="1"/>
  <c r="AF1687" i="1"/>
  <c r="AE1687" i="1"/>
  <c r="AD1687" i="1"/>
  <c r="AC1687" i="1"/>
  <c r="AB1687" i="1"/>
  <c r="AS1686" i="1"/>
  <c r="AA1686" i="1" s="1"/>
  <c r="AO1686" i="1"/>
  <c r="AN1686" i="1"/>
  <c r="AM1686" i="1"/>
  <c r="AL1686" i="1"/>
  <c r="AK1686" i="1"/>
  <c r="AJ1686" i="1"/>
  <c r="AI1686" i="1"/>
  <c r="AH1686" i="1"/>
  <c r="AG1686" i="1"/>
  <c r="AF1686" i="1"/>
  <c r="AE1686" i="1"/>
  <c r="AD1686" i="1"/>
  <c r="AC1686" i="1"/>
  <c r="AB1686" i="1"/>
  <c r="AS1685" i="1"/>
  <c r="AA1685" i="1" s="1"/>
  <c r="AO1685" i="1"/>
  <c r="AN1685" i="1"/>
  <c r="AM1685" i="1"/>
  <c r="AL1685" i="1"/>
  <c r="AK1685" i="1"/>
  <c r="AJ1685" i="1"/>
  <c r="AI1685" i="1"/>
  <c r="AH1685" i="1"/>
  <c r="AG1685" i="1"/>
  <c r="AF1685" i="1"/>
  <c r="AE1685" i="1"/>
  <c r="AD1685" i="1"/>
  <c r="AC1685" i="1"/>
  <c r="AB1685" i="1"/>
  <c r="AS1684" i="1"/>
  <c r="AA1684" i="1" s="1"/>
  <c r="AO1684" i="1"/>
  <c r="AN1684" i="1"/>
  <c r="AM1684" i="1"/>
  <c r="AL1684" i="1"/>
  <c r="AK1684" i="1"/>
  <c r="AJ1684" i="1"/>
  <c r="AI1684" i="1"/>
  <c r="AH1684" i="1"/>
  <c r="AG1684" i="1"/>
  <c r="AF1684" i="1"/>
  <c r="AE1684" i="1"/>
  <c r="AD1684" i="1"/>
  <c r="AC1684" i="1"/>
  <c r="AB1684" i="1"/>
  <c r="AS1683" i="1"/>
  <c r="AA1683" i="1" s="1"/>
  <c r="AO1683" i="1"/>
  <c r="AN1683" i="1"/>
  <c r="AM1683" i="1"/>
  <c r="AL1683" i="1"/>
  <c r="AK1683" i="1"/>
  <c r="AJ1683" i="1"/>
  <c r="AI1683" i="1"/>
  <c r="AH1683" i="1"/>
  <c r="AG1683" i="1"/>
  <c r="AF1683" i="1"/>
  <c r="AE1683" i="1"/>
  <c r="AD1683" i="1"/>
  <c r="AC1683" i="1"/>
  <c r="AB1683" i="1"/>
  <c r="AS1682" i="1"/>
  <c r="AA1682" i="1" s="1"/>
  <c r="AO1682" i="1"/>
  <c r="AN1682" i="1"/>
  <c r="AM1682" i="1"/>
  <c r="AL1682" i="1"/>
  <c r="AK1682" i="1"/>
  <c r="AJ1682" i="1"/>
  <c r="AI1682" i="1"/>
  <c r="AH1682" i="1"/>
  <c r="AG1682" i="1"/>
  <c r="AF1682" i="1"/>
  <c r="AE1682" i="1"/>
  <c r="AD1682" i="1"/>
  <c r="AC1682" i="1"/>
  <c r="AB1682" i="1"/>
  <c r="AS1681" i="1"/>
  <c r="AA1681" i="1" s="1"/>
  <c r="AO1681" i="1"/>
  <c r="AN1681" i="1"/>
  <c r="AM1681" i="1"/>
  <c r="AL1681" i="1"/>
  <c r="AK1681" i="1"/>
  <c r="AJ1681" i="1"/>
  <c r="AI1681" i="1"/>
  <c r="AH1681" i="1"/>
  <c r="AG1681" i="1"/>
  <c r="AF1681" i="1"/>
  <c r="AE1681" i="1"/>
  <c r="AD1681" i="1"/>
  <c r="AC1681" i="1"/>
  <c r="AB1681" i="1"/>
  <c r="AS1680" i="1"/>
  <c r="AA1680" i="1" s="1"/>
  <c r="AO1680" i="1"/>
  <c r="AN1680" i="1"/>
  <c r="AM1680" i="1"/>
  <c r="AL1680" i="1"/>
  <c r="AK1680" i="1"/>
  <c r="AJ1680" i="1"/>
  <c r="AI1680" i="1"/>
  <c r="AH1680" i="1"/>
  <c r="AG1680" i="1"/>
  <c r="AF1680" i="1"/>
  <c r="AE1680" i="1"/>
  <c r="AD1680" i="1"/>
  <c r="AC1680" i="1"/>
  <c r="AB1680" i="1"/>
  <c r="AS1679" i="1"/>
  <c r="AA1679" i="1" s="1"/>
  <c r="AO1679" i="1"/>
  <c r="AN1679" i="1"/>
  <c r="AM1679" i="1"/>
  <c r="AL1679" i="1"/>
  <c r="AK1679" i="1"/>
  <c r="AJ1679" i="1"/>
  <c r="AI1679" i="1"/>
  <c r="AH1679" i="1"/>
  <c r="AG1679" i="1"/>
  <c r="AF1679" i="1"/>
  <c r="AE1679" i="1"/>
  <c r="AD1679" i="1"/>
  <c r="AC1679" i="1"/>
  <c r="AB1679" i="1"/>
  <c r="AS1678" i="1"/>
  <c r="AA1678" i="1" s="1"/>
  <c r="AO1678" i="1"/>
  <c r="AN1678" i="1"/>
  <c r="AM1678" i="1"/>
  <c r="AL1678" i="1"/>
  <c r="AK1678" i="1"/>
  <c r="AJ1678" i="1"/>
  <c r="AI1678" i="1"/>
  <c r="AH1678" i="1"/>
  <c r="AG1678" i="1"/>
  <c r="AF1678" i="1"/>
  <c r="AE1678" i="1"/>
  <c r="AD1678" i="1"/>
  <c r="AC1678" i="1"/>
  <c r="AB1678" i="1"/>
  <c r="AS1677" i="1"/>
  <c r="AA1677" i="1" s="1"/>
  <c r="AO1677" i="1"/>
  <c r="AN1677" i="1"/>
  <c r="AM1677" i="1"/>
  <c r="AL1677" i="1"/>
  <c r="AK1677" i="1"/>
  <c r="AJ1677" i="1"/>
  <c r="AI1677" i="1"/>
  <c r="AH1677" i="1"/>
  <c r="AG1677" i="1"/>
  <c r="AF1677" i="1"/>
  <c r="AE1677" i="1"/>
  <c r="AD1677" i="1"/>
  <c r="AC1677" i="1"/>
  <c r="AB1677" i="1"/>
  <c r="AS1676" i="1"/>
  <c r="AA1676" i="1" s="1"/>
  <c r="AO1676" i="1"/>
  <c r="AN1676" i="1"/>
  <c r="AM1676" i="1"/>
  <c r="AL1676" i="1"/>
  <c r="AK1676" i="1"/>
  <c r="AJ1676" i="1"/>
  <c r="AI1676" i="1"/>
  <c r="AH1676" i="1"/>
  <c r="AG1676" i="1"/>
  <c r="AF1676" i="1"/>
  <c r="AE1676" i="1"/>
  <c r="AD1676" i="1"/>
  <c r="AC1676" i="1"/>
  <c r="AB1676" i="1"/>
  <c r="AS1675" i="1"/>
  <c r="AA1675" i="1" s="1"/>
  <c r="AO1675" i="1"/>
  <c r="AN1675" i="1"/>
  <c r="AM1675" i="1"/>
  <c r="AL1675" i="1"/>
  <c r="AK1675" i="1"/>
  <c r="AJ1675" i="1"/>
  <c r="AI1675" i="1"/>
  <c r="AH1675" i="1"/>
  <c r="AG1675" i="1"/>
  <c r="AF1675" i="1"/>
  <c r="AE1675" i="1"/>
  <c r="AD1675" i="1"/>
  <c r="AC1675" i="1"/>
  <c r="AB1675" i="1"/>
  <c r="AS1674" i="1"/>
  <c r="AA1674" i="1" s="1"/>
  <c r="AO1674" i="1"/>
  <c r="AN1674" i="1"/>
  <c r="AM1674" i="1"/>
  <c r="AL1674" i="1"/>
  <c r="AK1674" i="1"/>
  <c r="AJ1674" i="1"/>
  <c r="AI1674" i="1"/>
  <c r="AH1674" i="1"/>
  <c r="AG1674" i="1"/>
  <c r="AF1674" i="1"/>
  <c r="AE1674" i="1"/>
  <c r="AD1674" i="1"/>
  <c r="AC1674" i="1"/>
  <c r="AB1674" i="1"/>
  <c r="AS1673" i="1"/>
  <c r="AA1673" i="1" s="1"/>
  <c r="AO1673" i="1"/>
  <c r="AN1673" i="1"/>
  <c r="AM1673" i="1"/>
  <c r="AL1673" i="1"/>
  <c r="AK1673" i="1"/>
  <c r="AJ1673" i="1"/>
  <c r="AI1673" i="1"/>
  <c r="AH1673" i="1"/>
  <c r="AG1673" i="1"/>
  <c r="AF1673" i="1"/>
  <c r="AE1673" i="1"/>
  <c r="AD1673" i="1"/>
  <c r="AC1673" i="1"/>
  <c r="AB1673" i="1"/>
  <c r="AS1672" i="1"/>
  <c r="AA1672" i="1" s="1"/>
  <c r="AO1672" i="1"/>
  <c r="AN1672" i="1"/>
  <c r="AM1672" i="1"/>
  <c r="AL1672" i="1"/>
  <c r="AK1672" i="1"/>
  <c r="AJ1672" i="1"/>
  <c r="AI1672" i="1"/>
  <c r="AH1672" i="1"/>
  <c r="AG1672" i="1"/>
  <c r="AF1672" i="1"/>
  <c r="AE1672" i="1"/>
  <c r="AD1672" i="1"/>
  <c r="AC1672" i="1"/>
  <c r="AB1672" i="1"/>
  <c r="AS1671" i="1"/>
  <c r="AA1671" i="1" s="1"/>
  <c r="AO1671" i="1"/>
  <c r="AN1671" i="1"/>
  <c r="AM1671" i="1"/>
  <c r="AL1671" i="1"/>
  <c r="AK1671" i="1"/>
  <c r="AJ1671" i="1"/>
  <c r="AI1671" i="1"/>
  <c r="AH1671" i="1"/>
  <c r="AG1671" i="1"/>
  <c r="AF1671" i="1"/>
  <c r="AE1671" i="1"/>
  <c r="AD1671" i="1"/>
  <c r="AC1671" i="1"/>
  <c r="AB1671" i="1"/>
  <c r="AS1670" i="1"/>
  <c r="AA1670" i="1" s="1"/>
  <c r="AO1670" i="1"/>
  <c r="AN1670" i="1"/>
  <c r="AM1670" i="1"/>
  <c r="AL1670" i="1"/>
  <c r="AK1670" i="1"/>
  <c r="AJ1670" i="1"/>
  <c r="AI1670" i="1"/>
  <c r="AH1670" i="1"/>
  <c r="AG1670" i="1"/>
  <c r="AF1670" i="1"/>
  <c r="AE1670" i="1"/>
  <c r="AD1670" i="1"/>
  <c r="AC1670" i="1"/>
  <c r="AB1670" i="1"/>
  <c r="AS1669" i="1"/>
  <c r="AA1669" i="1" s="1"/>
  <c r="AO1669" i="1"/>
  <c r="AN1669" i="1"/>
  <c r="AM1669" i="1"/>
  <c r="AL1669" i="1"/>
  <c r="AK1669" i="1"/>
  <c r="AJ1669" i="1"/>
  <c r="AI1669" i="1"/>
  <c r="AH1669" i="1"/>
  <c r="AG1669" i="1"/>
  <c r="AF1669" i="1"/>
  <c r="AE1669" i="1"/>
  <c r="AD1669" i="1"/>
  <c r="AC1669" i="1"/>
  <c r="AB1669" i="1"/>
  <c r="AS1668" i="1"/>
  <c r="AA1668" i="1" s="1"/>
  <c r="AO1668" i="1"/>
  <c r="AN1668" i="1"/>
  <c r="AM1668" i="1"/>
  <c r="AL1668" i="1"/>
  <c r="AK1668" i="1"/>
  <c r="AJ1668" i="1"/>
  <c r="AI1668" i="1"/>
  <c r="AH1668" i="1"/>
  <c r="AG1668" i="1"/>
  <c r="AF1668" i="1"/>
  <c r="AE1668" i="1"/>
  <c r="AD1668" i="1"/>
  <c r="AC1668" i="1"/>
  <c r="AB1668" i="1"/>
  <c r="AS1667" i="1"/>
  <c r="AA1667" i="1" s="1"/>
  <c r="AO1667" i="1"/>
  <c r="AN1667" i="1"/>
  <c r="AM1667" i="1"/>
  <c r="AL1667" i="1"/>
  <c r="AK1667" i="1"/>
  <c r="AJ1667" i="1"/>
  <c r="AI1667" i="1"/>
  <c r="AH1667" i="1"/>
  <c r="AG1667" i="1"/>
  <c r="AF1667" i="1"/>
  <c r="AE1667" i="1"/>
  <c r="AD1667" i="1"/>
  <c r="AC1667" i="1"/>
  <c r="AB1667" i="1"/>
  <c r="AS1666" i="1"/>
  <c r="AA1666" i="1" s="1"/>
  <c r="AO1666" i="1"/>
  <c r="AN1666" i="1"/>
  <c r="AM1666" i="1"/>
  <c r="AL1666" i="1"/>
  <c r="AK1666" i="1"/>
  <c r="AJ1666" i="1"/>
  <c r="AI1666" i="1"/>
  <c r="AH1666" i="1"/>
  <c r="AG1666" i="1"/>
  <c r="AF1666" i="1"/>
  <c r="AE1666" i="1"/>
  <c r="AD1666" i="1"/>
  <c r="AC1666" i="1"/>
  <c r="AB1666" i="1"/>
  <c r="AS1665" i="1"/>
  <c r="AA1665" i="1" s="1"/>
  <c r="AO1665" i="1"/>
  <c r="AN1665" i="1"/>
  <c r="AM1665" i="1"/>
  <c r="AL1665" i="1"/>
  <c r="AK1665" i="1"/>
  <c r="AJ1665" i="1"/>
  <c r="AI1665" i="1"/>
  <c r="AH1665" i="1"/>
  <c r="AG1665" i="1"/>
  <c r="AF1665" i="1"/>
  <c r="AE1665" i="1"/>
  <c r="AD1665" i="1"/>
  <c r="AC1665" i="1"/>
  <c r="AB1665" i="1"/>
  <c r="AS1664" i="1"/>
  <c r="AA1664" i="1" s="1"/>
  <c r="AO1664" i="1"/>
  <c r="AN1664" i="1"/>
  <c r="AM1664" i="1"/>
  <c r="AL1664" i="1"/>
  <c r="AK1664" i="1"/>
  <c r="AJ1664" i="1"/>
  <c r="AI1664" i="1"/>
  <c r="AH1664" i="1"/>
  <c r="AG1664" i="1"/>
  <c r="AF1664" i="1"/>
  <c r="AE1664" i="1"/>
  <c r="AD1664" i="1"/>
  <c r="AC1664" i="1"/>
  <c r="AB1664" i="1"/>
  <c r="AS1663" i="1"/>
  <c r="AA1663" i="1" s="1"/>
  <c r="AO1663" i="1"/>
  <c r="AN1663" i="1"/>
  <c r="AM1663" i="1"/>
  <c r="AL1663" i="1"/>
  <c r="AK1663" i="1"/>
  <c r="AJ1663" i="1"/>
  <c r="AI1663" i="1"/>
  <c r="AH1663" i="1"/>
  <c r="AG1663" i="1"/>
  <c r="AF1663" i="1"/>
  <c r="AE1663" i="1"/>
  <c r="AD1663" i="1"/>
  <c r="AC1663" i="1"/>
  <c r="AB1663" i="1"/>
  <c r="AS1662" i="1"/>
  <c r="AA1662" i="1" s="1"/>
  <c r="AO1662" i="1"/>
  <c r="AN1662" i="1"/>
  <c r="AM1662" i="1"/>
  <c r="AL1662" i="1"/>
  <c r="AK1662" i="1"/>
  <c r="AJ1662" i="1"/>
  <c r="AI1662" i="1"/>
  <c r="AH1662" i="1"/>
  <c r="AG1662" i="1"/>
  <c r="AF1662" i="1"/>
  <c r="AE1662" i="1"/>
  <c r="AD1662" i="1"/>
  <c r="AC1662" i="1"/>
  <c r="AB1662" i="1"/>
  <c r="AS1661" i="1"/>
  <c r="AA1661" i="1" s="1"/>
  <c r="AO1661" i="1"/>
  <c r="AN1661" i="1"/>
  <c r="AM1661" i="1"/>
  <c r="AL1661" i="1"/>
  <c r="AK1661" i="1"/>
  <c r="AJ1661" i="1"/>
  <c r="AI1661" i="1"/>
  <c r="AH1661" i="1"/>
  <c r="AG1661" i="1"/>
  <c r="AF1661" i="1"/>
  <c r="AE1661" i="1"/>
  <c r="AD1661" i="1"/>
  <c r="AC1661" i="1"/>
  <c r="AB1661" i="1"/>
  <c r="AS1660" i="1"/>
  <c r="AA1660" i="1" s="1"/>
  <c r="AO1660" i="1"/>
  <c r="AN1660" i="1"/>
  <c r="AM1660" i="1"/>
  <c r="AL1660" i="1"/>
  <c r="AK1660" i="1"/>
  <c r="AJ1660" i="1"/>
  <c r="AI1660" i="1"/>
  <c r="AH1660" i="1"/>
  <c r="AG1660" i="1"/>
  <c r="AF1660" i="1"/>
  <c r="AE1660" i="1"/>
  <c r="AD1660" i="1"/>
  <c r="AC1660" i="1"/>
  <c r="AB1660" i="1"/>
  <c r="AS1659" i="1"/>
  <c r="AA1659" i="1" s="1"/>
  <c r="AO1659" i="1"/>
  <c r="AN1659" i="1"/>
  <c r="AM1659" i="1"/>
  <c r="AL1659" i="1"/>
  <c r="AK1659" i="1"/>
  <c r="AJ1659" i="1"/>
  <c r="AI1659" i="1"/>
  <c r="AH1659" i="1"/>
  <c r="AG1659" i="1"/>
  <c r="AF1659" i="1"/>
  <c r="AE1659" i="1"/>
  <c r="AD1659" i="1"/>
  <c r="AC1659" i="1"/>
  <c r="AB1659" i="1"/>
  <c r="AS1658" i="1"/>
  <c r="AA1658" i="1" s="1"/>
  <c r="AO1658" i="1"/>
  <c r="AN1658" i="1"/>
  <c r="AM1658" i="1"/>
  <c r="AL1658" i="1"/>
  <c r="AK1658" i="1"/>
  <c r="AJ1658" i="1"/>
  <c r="AI1658" i="1"/>
  <c r="AH1658" i="1"/>
  <c r="AG1658" i="1"/>
  <c r="AF1658" i="1"/>
  <c r="AE1658" i="1"/>
  <c r="AD1658" i="1"/>
  <c r="AC1658" i="1"/>
  <c r="AB1658" i="1"/>
  <c r="AS1657" i="1"/>
  <c r="AA1657" i="1" s="1"/>
  <c r="AO1657" i="1"/>
  <c r="AN1657" i="1"/>
  <c r="AM1657" i="1"/>
  <c r="AL1657" i="1"/>
  <c r="AK1657" i="1"/>
  <c r="AJ1657" i="1"/>
  <c r="AI1657" i="1"/>
  <c r="AH1657" i="1"/>
  <c r="AG1657" i="1"/>
  <c r="AF1657" i="1"/>
  <c r="AE1657" i="1"/>
  <c r="AD1657" i="1"/>
  <c r="AC1657" i="1"/>
  <c r="AB1657" i="1"/>
  <c r="AS1656" i="1"/>
  <c r="AA1656" i="1" s="1"/>
  <c r="AO1656" i="1"/>
  <c r="AN1656" i="1"/>
  <c r="AM1656" i="1"/>
  <c r="AL1656" i="1"/>
  <c r="AK1656" i="1"/>
  <c r="AJ1656" i="1"/>
  <c r="AI1656" i="1"/>
  <c r="AH1656" i="1"/>
  <c r="AG1656" i="1"/>
  <c r="AF1656" i="1"/>
  <c r="AE1656" i="1"/>
  <c r="AD1656" i="1"/>
  <c r="AC1656" i="1"/>
  <c r="AB1656" i="1"/>
  <c r="AS1655" i="1"/>
  <c r="AA1655" i="1" s="1"/>
  <c r="AO1655" i="1"/>
  <c r="AN1655" i="1"/>
  <c r="AM1655" i="1"/>
  <c r="AL1655" i="1"/>
  <c r="AK1655" i="1"/>
  <c r="AJ1655" i="1"/>
  <c r="AI1655" i="1"/>
  <c r="AH1655" i="1"/>
  <c r="AG1655" i="1"/>
  <c r="AF1655" i="1"/>
  <c r="AE1655" i="1"/>
  <c r="AD1655" i="1"/>
  <c r="AC1655" i="1"/>
  <c r="AB1655" i="1"/>
  <c r="AS1654" i="1"/>
  <c r="AA1654" i="1" s="1"/>
  <c r="AO1654" i="1"/>
  <c r="AN1654" i="1"/>
  <c r="AM1654" i="1"/>
  <c r="AL1654" i="1"/>
  <c r="AK1654" i="1"/>
  <c r="AJ1654" i="1"/>
  <c r="AI1654" i="1"/>
  <c r="AH1654" i="1"/>
  <c r="AG1654" i="1"/>
  <c r="AF1654" i="1"/>
  <c r="AE1654" i="1"/>
  <c r="AD1654" i="1"/>
  <c r="AC1654" i="1"/>
  <c r="AB1654" i="1"/>
  <c r="AS1653" i="1"/>
  <c r="AA1653" i="1" s="1"/>
  <c r="AO1653" i="1"/>
  <c r="AN1653" i="1"/>
  <c r="AM1653" i="1"/>
  <c r="AL1653" i="1"/>
  <c r="AK1653" i="1"/>
  <c r="AJ1653" i="1"/>
  <c r="AI1653" i="1"/>
  <c r="AH1653" i="1"/>
  <c r="AG1653" i="1"/>
  <c r="AF1653" i="1"/>
  <c r="AE1653" i="1"/>
  <c r="AD1653" i="1"/>
  <c r="AC1653" i="1"/>
  <c r="AB1653" i="1"/>
  <c r="AS1652" i="1"/>
  <c r="AA1652" i="1" s="1"/>
  <c r="AO1652" i="1"/>
  <c r="AN1652" i="1"/>
  <c r="AM1652" i="1"/>
  <c r="AL1652" i="1"/>
  <c r="AK1652" i="1"/>
  <c r="AJ1652" i="1"/>
  <c r="AI1652" i="1"/>
  <c r="AH1652" i="1"/>
  <c r="AG1652" i="1"/>
  <c r="AF1652" i="1"/>
  <c r="AE1652" i="1"/>
  <c r="AD1652" i="1"/>
  <c r="AC1652" i="1"/>
  <c r="AB1652" i="1"/>
  <c r="AS1651" i="1"/>
  <c r="AA1651" i="1" s="1"/>
  <c r="AO1651" i="1"/>
  <c r="AN1651" i="1"/>
  <c r="AM1651" i="1"/>
  <c r="AL1651" i="1"/>
  <c r="AK1651" i="1"/>
  <c r="AJ1651" i="1"/>
  <c r="AI1651" i="1"/>
  <c r="AH1651" i="1"/>
  <c r="AG1651" i="1"/>
  <c r="AF1651" i="1"/>
  <c r="AE1651" i="1"/>
  <c r="AD1651" i="1"/>
  <c r="AC1651" i="1"/>
  <c r="AB1651" i="1"/>
  <c r="AS1650" i="1"/>
  <c r="AA1650" i="1" s="1"/>
  <c r="AO1650" i="1"/>
  <c r="AN1650" i="1"/>
  <c r="AM1650" i="1"/>
  <c r="AL1650" i="1"/>
  <c r="AK1650" i="1"/>
  <c r="AJ1650" i="1"/>
  <c r="AI1650" i="1"/>
  <c r="AH1650" i="1"/>
  <c r="AG1650" i="1"/>
  <c r="AF1650" i="1"/>
  <c r="AE1650" i="1"/>
  <c r="AD1650" i="1"/>
  <c r="AC1650" i="1"/>
  <c r="AB1650" i="1"/>
  <c r="AS1649" i="1"/>
  <c r="AA1649" i="1" s="1"/>
  <c r="AO1649" i="1"/>
  <c r="AN1649" i="1"/>
  <c r="AM1649" i="1"/>
  <c r="AL1649" i="1"/>
  <c r="AK1649" i="1"/>
  <c r="AJ1649" i="1"/>
  <c r="AI1649" i="1"/>
  <c r="AH1649" i="1"/>
  <c r="AG1649" i="1"/>
  <c r="AF1649" i="1"/>
  <c r="AE1649" i="1"/>
  <c r="AD1649" i="1"/>
  <c r="AC1649" i="1"/>
  <c r="AB1649" i="1"/>
  <c r="AS1648" i="1"/>
  <c r="AA1648" i="1" s="1"/>
  <c r="AO1648" i="1"/>
  <c r="AN1648" i="1"/>
  <c r="AM1648" i="1"/>
  <c r="AL1648" i="1"/>
  <c r="AK1648" i="1"/>
  <c r="AJ1648" i="1"/>
  <c r="AI1648" i="1"/>
  <c r="AH1648" i="1"/>
  <c r="AG1648" i="1"/>
  <c r="AF1648" i="1"/>
  <c r="AE1648" i="1"/>
  <c r="AD1648" i="1"/>
  <c r="AC1648" i="1"/>
  <c r="AB1648" i="1"/>
  <c r="AS1647" i="1"/>
  <c r="AA1647" i="1" s="1"/>
  <c r="AO1647" i="1"/>
  <c r="AN1647" i="1"/>
  <c r="AM1647" i="1"/>
  <c r="AL1647" i="1"/>
  <c r="AK1647" i="1"/>
  <c r="AJ1647" i="1"/>
  <c r="AI1647" i="1"/>
  <c r="AH1647" i="1"/>
  <c r="AG1647" i="1"/>
  <c r="AF1647" i="1"/>
  <c r="AE1647" i="1"/>
  <c r="AD1647" i="1"/>
  <c r="AC1647" i="1"/>
  <c r="AB1647" i="1"/>
  <c r="AS1646" i="1"/>
  <c r="AA1646" i="1" s="1"/>
  <c r="AO1646" i="1"/>
  <c r="AN1646" i="1"/>
  <c r="AM1646" i="1"/>
  <c r="AL1646" i="1"/>
  <c r="AK1646" i="1"/>
  <c r="AJ1646" i="1"/>
  <c r="AI1646" i="1"/>
  <c r="AH1646" i="1"/>
  <c r="AG1646" i="1"/>
  <c r="AF1646" i="1"/>
  <c r="AE1646" i="1"/>
  <c r="AD1646" i="1"/>
  <c r="AC1646" i="1"/>
  <c r="AB1646" i="1"/>
  <c r="AS1645" i="1"/>
  <c r="AA1645" i="1" s="1"/>
  <c r="AO1645" i="1"/>
  <c r="AN1645" i="1"/>
  <c r="AM1645" i="1"/>
  <c r="AL1645" i="1"/>
  <c r="AK1645" i="1"/>
  <c r="AJ1645" i="1"/>
  <c r="AI1645" i="1"/>
  <c r="AH1645" i="1"/>
  <c r="AG1645" i="1"/>
  <c r="AF1645" i="1"/>
  <c r="AE1645" i="1"/>
  <c r="AD1645" i="1"/>
  <c r="AC1645" i="1"/>
  <c r="AB1645" i="1"/>
  <c r="AS1644" i="1"/>
  <c r="AA1644" i="1" s="1"/>
  <c r="AO1644" i="1"/>
  <c r="AN1644" i="1"/>
  <c r="AM1644" i="1"/>
  <c r="AL1644" i="1"/>
  <c r="AK1644" i="1"/>
  <c r="AJ1644" i="1"/>
  <c r="AI1644" i="1"/>
  <c r="AH1644" i="1"/>
  <c r="AG1644" i="1"/>
  <c r="AF1644" i="1"/>
  <c r="AE1644" i="1"/>
  <c r="AD1644" i="1"/>
  <c r="AC1644" i="1"/>
  <c r="AB1644" i="1"/>
  <c r="AS1643" i="1"/>
  <c r="AA1643" i="1" s="1"/>
  <c r="AO1643" i="1"/>
  <c r="AN1643" i="1"/>
  <c r="AM1643" i="1"/>
  <c r="AL1643" i="1"/>
  <c r="AK1643" i="1"/>
  <c r="AJ1643" i="1"/>
  <c r="AI1643" i="1"/>
  <c r="AH1643" i="1"/>
  <c r="AG1643" i="1"/>
  <c r="AF1643" i="1"/>
  <c r="AE1643" i="1"/>
  <c r="AD1643" i="1"/>
  <c r="AC1643" i="1"/>
  <c r="AB1643" i="1"/>
  <c r="AS1642" i="1"/>
  <c r="AA1642" i="1" s="1"/>
  <c r="AO1642" i="1"/>
  <c r="AN1642" i="1"/>
  <c r="AM1642" i="1"/>
  <c r="AL1642" i="1"/>
  <c r="AK1642" i="1"/>
  <c r="AJ1642" i="1"/>
  <c r="AI1642" i="1"/>
  <c r="AH1642" i="1"/>
  <c r="AG1642" i="1"/>
  <c r="AF1642" i="1"/>
  <c r="AE1642" i="1"/>
  <c r="AD1642" i="1"/>
  <c r="AC1642" i="1"/>
  <c r="AB1642" i="1"/>
  <c r="AS1641" i="1"/>
  <c r="AA1641" i="1" s="1"/>
  <c r="AO1641" i="1"/>
  <c r="AN1641" i="1"/>
  <c r="AM1641" i="1"/>
  <c r="AL1641" i="1"/>
  <c r="AK1641" i="1"/>
  <c r="AJ1641" i="1"/>
  <c r="AI1641" i="1"/>
  <c r="AH1641" i="1"/>
  <c r="AG1641" i="1"/>
  <c r="AF1641" i="1"/>
  <c r="AE1641" i="1"/>
  <c r="AD1641" i="1"/>
  <c r="AC1641" i="1"/>
  <c r="AB1641" i="1"/>
  <c r="AS1640" i="1"/>
  <c r="AA1640" i="1" s="1"/>
  <c r="AO1640" i="1"/>
  <c r="AN1640" i="1"/>
  <c r="AM1640" i="1"/>
  <c r="AL1640" i="1"/>
  <c r="AK1640" i="1"/>
  <c r="AJ1640" i="1"/>
  <c r="AI1640" i="1"/>
  <c r="AH1640" i="1"/>
  <c r="AG1640" i="1"/>
  <c r="AF1640" i="1"/>
  <c r="AE1640" i="1"/>
  <c r="AD1640" i="1"/>
  <c r="AC1640" i="1"/>
  <c r="AB1640" i="1"/>
  <c r="AS1639" i="1"/>
  <c r="AA1639" i="1" s="1"/>
  <c r="AO1639" i="1"/>
  <c r="AN1639" i="1"/>
  <c r="AM1639" i="1"/>
  <c r="AL1639" i="1"/>
  <c r="AK1639" i="1"/>
  <c r="AJ1639" i="1"/>
  <c r="AI1639" i="1"/>
  <c r="AH1639" i="1"/>
  <c r="AG1639" i="1"/>
  <c r="AF1639" i="1"/>
  <c r="AE1639" i="1"/>
  <c r="AD1639" i="1"/>
  <c r="AC1639" i="1"/>
  <c r="AB1639" i="1"/>
  <c r="AS1638" i="1"/>
  <c r="AA1638" i="1" s="1"/>
  <c r="AO1638" i="1"/>
  <c r="AN1638" i="1"/>
  <c r="AM1638" i="1"/>
  <c r="AL1638" i="1"/>
  <c r="AK1638" i="1"/>
  <c r="AJ1638" i="1"/>
  <c r="AI1638" i="1"/>
  <c r="AH1638" i="1"/>
  <c r="AG1638" i="1"/>
  <c r="AF1638" i="1"/>
  <c r="AE1638" i="1"/>
  <c r="AD1638" i="1"/>
  <c r="AC1638" i="1"/>
  <c r="AB1638" i="1"/>
  <c r="AS1637" i="1"/>
  <c r="AA1637" i="1" s="1"/>
  <c r="AO1637" i="1"/>
  <c r="AN1637" i="1"/>
  <c r="AM1637" i="1"/>
  <c r="AL1637" i="1"/>
  <c r="AK1637" i="1"/>
  <c r="AJ1637" i="1"/>
  <c r="AI1637" i="1"/>
  <c r="AH1637" i="1"/>
  <c r="AG1637" i="1"/>
  <c r="AF1637" i="1"/>
  <c r="AE1637" i="1"/>
  <c r="AD1637" i="1"/>
  <c r="AC1637" i="1"/>
  <c r="AB1637" i="1"/>
  <c r="AS1636" i="1"/>
  <c r="AA1636" i="1" s="1"/>
  <c r="AO1636" i="1"/>
  <c r="AN1636" i="1"/>
  <c r="AM1636" i="1"/>
  <c r="AL1636" i="1"/>
  <c r="AK1636" i="1"/>
  <c r="AJ1636" i="1"/>
  <c r="AI1636" i="1"/>
  <c r="AH1636" i="1"/>
  <c r="AG1636" i="1"/>
  <c r="AF1636" i="1"/>
  <c r="AE1636" i="1"/>
  <c r="AD1636" i="1"/>
  <c r="AC1636" i="1"/>
  <c r="AB1636" i="1"/>
  <c r="AS1635" i="1"/>
  <c r="AA1635" i="1" s="1"/>
  <c r="AO1635" i="1"/>
  <c r="AN1635" i="1"/>
  <c r="AM1635" i="1"/>
  <c r="AL1635" i="1"/>
  <c r="AK1635" i="1"/>
  <c r="AJ1635" i="1"/>
  <c r="AI1635" i="1"/>
  <c r="AH1635" i="1"/>
  <c r="AG1635" i="1"/>
  <c r="AF1635" i="1"/>
  <c r="AE1635" i="1"/>
  <c r="AD1635" i="1"/>
  <c r="AC1635" i="1"/>
  <c r="AB1635" i="1"/>
  <c r="AS1634" i="1"/>
  <c r="AA1634" i="1" s="1"/>
  <c r="AO1634" i="1"/>
  <c r="AN1634" i="1"/>
  <c r="AM1634" i="1"/>
  <c r="AL1634" i="1"/>
  <c r="AK1634" i="1"/>
  <c r="AJ1634" i="1"/>
  <c r="AI1634" i="1"/>
  <c r="AH1634" i="1"/>
  <c r="AG1634" i="1"/>
  <c r="AF1634" i="1"/>
  <c r="AE1634" i="1"/>
  <c r="AD1634" i="1"/>
  <c r="AC1634" i="1"/>
  <c r="AB1634" i="1"/>
  <c r="AS1633" i="1"/>
  <c r="AA1633" i="1" s="1"/>
  <c r="AO1633" i="1"/>
  <c r="AN1633" i="1"/>
  <c r="AM1633" i="1"/>
  <c r="AL1633" i="1"/>
  <c r="AK1633" i="1"/>
  <c r="AJ1633" i="1"/>
  <c r="AI1633" i="1"/>
  <c r="AH1633" i="1"/>
  <c r="AG1633" i="1"/>
  <c r="AF1633" i="1"/>
  <c r="AE1633" i="1"/>
  <c r="AD1633" i="1"/>
  <c r="AC1633" i="1"/>
  <c r="AB1633" i="1"/>
  <c r="AS1632" i="1"/>
  <c r="AA1632" i="1" s="1"/>
  <c r="AO1632" i="1"/>
  <c r="AN1632" i="1"/>
  <c r="AM1632" i="1"/>
  <c r="AL1632" i="1"/>
  <c r="AK1632" i="1"/>
  <c r="AJ1632" i="1"/>
  <c r="AI1632" i="1"/>
  <c r="AH1632" i="1"/>
  <c r="AG1632" i="1"/>
  <c r="AF1632" i="1"/>
  <c r="AE1632" i="1"/>
  <c r="AD1632" i="1"/>
  <c r="AC1632" i="1"/>
  <c r="AB1632" i="1"/>
  <c r="AS1631" i="1"/>
  <c r="AA1631" i="1" s="1"/>
  <c r="AO1631" i="1"/>
  <c r="AN1631" i="1"/>
  <c r="AM1631" i="1"/>
  <c r="AL1631" i="1"/>
  <c r="AK1631" i="1"/>
  <c r="AJ1631" i="1"/>
  <c r="AI1631" i="1"/>
  <c r="AH1631" i="1"/>
  <c r="AG1631" i="1"/>
  <c r="AF1631" i="1"/>
  <c r="AE1631" i="1"/>
  <c r="AD1631" i="1"/>
  <c r="AC1631" i="1"/>
  <c r="AB1631" i="1"/>
  <c r="AS1630" i="1"/>
  <c r="AA1630" i="1" s="1"/>
  <c r="AO1630" i="1"/>
  <c r="AN1630" i="1"/>
  <c r="AM1630" i="1"/>
  <c r="AL1630" i="1"/>
  <c r="AK1630" i="1"/>
  <c r="AJ1630" i="1"/>
  <c r="AI1630" i="1"/>
  <c r="AH1630" i="1"/>
  <c r="AG1630" i="1"/>
  <c r="AF1630" i="1"/>
  <c r="AE1630" i="1"/>
  <c r="AD1630" i="1"/>
  <c r="AC1630" i="1"/>
  <c r="AB1630" i="1"/>
  <c r="AS1629" i="1"/>
  <c r="AA1629" i="1" s="1"/>
  <c r="AO1629" i="1"/>
  <c r="AN1629" i="1"/>
  <c r="AM1629" i="1"/>
  <c r="AL1629" i="1"/>
  <c r="AK1629" i="1"/>
  <c r="AJ1629" i="1"/>
  <c r="AI1629" i="1"/>
  <c r="AH1629" i="1"/>
  <c r="AG1629" i="1"/>
  <c r="AF1629" i="1"/>
  <c r="AE1629" i="1"/>
  <c r="AD1629" i="1"/>
  <c r="AC1629" i="1"/>
  <c r="AB1629" i="1"/>
  <c r="AS1628" i="1"/>
  <c r="AA1628" i="1" s="1"/>
  <c r="AO1628" i="1"/>
  <c r="AN1628" i="1"/>
  <c r="AM1628" i="1"/>
  <c r="AL1628" i="1"/>
  <c r="AK1628" i="1"/>
  <c r="AJ1628" i="1"/>
  <c r="AI1628" i="1"/>
  <c r="AH1628" i="1"/>
  <c r="AG1628" i="1"/>
  <c r="AF1628" i="1"/>
  <c r="AE1628" i="1"/>
  <c r="AD1628" i="1"/>
  <c r="AC1628" i="1"/>
  <c r="AB1628" i="1"/>
  <c r="AS1627" i="1"/>
  <c r="AA1627" i="1" s="1"/>
  <c r="AO1627" i="1"/>
  <c r="AN1627" i="1"/>
  <c r="AM1627" i="1"/>
  <c r="AL1627" i="1"/>
  <c r="AK1627" i="1"/>
  <c r="AJ1627" i="1"/>
  <c r="AI1627" i="1"/>
  <c r="AH1627" i="1"/>
  <c r="AG1627" i="1"/>
  <c r="AF1627" i="1"/>
  <c r="AE1627" i="1"/>
  <c r="AD1627" i="1"/>
  <c r="AC1627" i="1"/>
  <c r="AB1627" i="1"/>
  <c r="AS1626" i="1"/>
  <c r="AA1626" i="1" s="1"/>
  <c r="AO1626" i="1"/>
  <c r="AN1626" i="1"/>
  <c r="AM1626" i="1"/>
  <c r="AL1626" i="1"/>
  <c r="AK1626" i="1"/>
  <c r="AJ1626" i="1"/>
  <c r="AI1626" i="1"/>
  <c r="AH1626" i="1"/>
  <c r="AG1626" i="1"/>
  <c r="AF1626" i="1"/>
  <c r="AE1626" i="1"/>
  <c r="AD1626" i="1"/>
  <c r="AC1626" i="1"/>
  <c r="AB1626" i="1"/>
  <c r="AS1625" i="1"/>
  <c r="AA1625" i="1" s="1"/>
  <c r="AO1625" i="1"/>
  <c r="AN1625" i="1"/>
  <c r="AM1625" i="1"/>
  <c r="AL1625" i="1"/>
  <c r="AK1625" i="1"/>
  <c r="AJ1625" i="1"/>
  <c r="AI1625" i="1"/>
  <c r="AH1625" i="1"/>
  <c r="AG1625" i="1"/>
  <c r="AF1625" i="1"/>
  <c r="AE1625" i="1"/>
  <c r="AD1625" i="1"/>
  <c r="AC1625" i="1"/>
  <c r="AB1625" i="1"/>
  <c r="AS1624" i="1"/>
  <c r="AA1624" i="1" s="1"/>
  <c r="AO1624" i="1"/>
  <c r="AN1624" i="1"/>
  <c r="AM1624" i="1"/>
  <c r="AL1624" i="1"/>
  <c r="AK1624" i="1"/>
  <c r="AJ1624" i="1"/>
  <c r="AI1624" i="1"/>
  <c r="AH1624" i="1"/>
  <c r="AG1624" i="1"/>
  <c r="AF1624" i="1"/>
  <c r="AE1624" i="1"/>
  <c r="AD1624" i="1"/>
  <c r="AC1624" i="1"/>
  <c r="AB1624" i="1"/>
  <c r="AS1623" i="1"/>
  <c r="AA1623" i="1" s="1"/>
  <c r="AO1623" i="1"/>
  <c r="AN1623" i="1"/>
  <c r="AM1623" i="1"/>
  <c r="AL1623" i="1"/>
  <c r="AK1623" i="1"/>
  <c r="AJ1623" i="1"/>
  <c r="AI1623" i="1"/>
  <c r="AH1623" i="1"/>
  <c r="AG1623" i="1"/>
  <c r="AF1623" i="1"/>
  <c r="AE1623" i="1"/>
  <c r="AD1623" i="1"/>
  <c r="AC1623" i="1"/>
  <c r="AB1623" i="1"/>
  <c r="AS1622" i="1"/>
  <c r="AA1622" i="1" s="1"/>
  <c r="AO1622" i="1"/>
  <c r="AN1622" i="1"/>
  <c r="AM1622" i="1"/>
  <c r="AL1622" i="1"/>
  <c r="AK1622" i="1"/>
  <c r="AJ1622" i="1"/>
  <c r="AI1622" i="1"/>
  <c r="AH1622" i="1"/>
  <c r="AG1622" i="1"/>
  <c r="AF1622" i="1"/>
  <c r="AE1622" i="1"/>
  <c r="AD1622" i="1"/>
  <c r="AC1622" i="1"/>
  <c r="AB1622" i="1"/>
  <c r="AS1621" i="1"/>
  <c r="AA1621" i="1" s="1"/>
  <c r="AO1621" i="1"/>
  <c r="AN1621" i="1"/>
  <c r="AM1621" i="1"/>
  <c r="AL1621" i="1"/>
  <c r="AK1621" i="1"/>
  <c r="AJ1621" i="1"/>
  <c r="AI1621" i="1"/>
  <c r="AH1621" i="1"/>
  <c r="AG1621" i="1"/>
  <c r="AF1621" i="1"/>
  <c r="AE1621" i="1"/>
  <c r="AD1621" i="1"/>
  <c r="AC1621" i="1"/>
  <c r="AB1621" i="1"/>
  <c r="AS1620" i="1"/>
  <c r="AA1620" i="1" s="1"/>
  <c r="AO1620" i="1"/>
  <c r="AN1620" i="1"/>
  <c r="AM1620" i="1"/>
  <c r="AL1620" i="1"/>
  <c r="AK1620" i="1"/>
  <c r="AJ1620" i="1"/>
  <c r="AI1620" i="1"/>
  <c r="AH1620" i="1"/>
  <c r="AG1620" i="1"/>
  <c r="AF1620" i="1"/>
  <c r="AE1620" i="1"/>
  <c r="AD1620" i="1"/>
  <c r="AC1620" i="1"/>
  <c r="AB1620" i="1"/>
  <c r="AS1619" i="1"/>
  <c r="AA1619" i="1" s="1"/>
  <c r="AO1619" i="1"/>
  <c r="AN1619" i="1"/>
  <c r="AM1619" i="1"/>
  <c r="AL1619" i="1"/>
  <c r="AK1619" i="1"/>
  <c r="AJ1619" i="1"/>
  <c r="AI1619" i="1"/>
  <c r="AH1619" i="1"/>
  <c r="AG1619" i="1"/>
  <c r="AF1619" i="1"/>
  <c r="AE1619" i="1"/>
  <c r="AD1619" i="1"/>
  <c r="AC1619" i="1"/>
  <c r="AB1619" i="1"/>
  <c r="AS1618" i="1"/>
  <c r="AA1618" i="1" s="1"/>
  <c r="AO1618" i="1"/>
  <c r="AN1618" i="1"/>
  <c r="AM1618" i="1"/>
  <c r="AL1618" i="1"/>
  <c r="AK1618" i="1"/>
  <c r="AJ1618" i="1"/>
  <c r="AI1618" i="1"/>
  <c r="AH1618" i="1"/>
  <c r="AG1618" i="1"/>
  <c r="AF1618" i="1"/>
  <c r="AE1618" i="1"/>
  <c r="AD1618" i="1"/>
  <c r="AC1618" i="1"/>
  <c r="AB1618" i="1"/>
  <c r="AS1617" i="1"/>
  <c r="AA1617" i="1" s="1"/>
  <c r="AO1617" i="1"/>
  <c r="AN1617" i="1"/>
  <c r="AM1617" i="1"/>
  <c r="AL1617" i="1"/>
  <c r="AK1617" i="1"/>
  <c r="AJ1617" i="1"/>
  <c r="AI1617" i="1"/>
  <c r="AH1617" i="1"/>
  <c r="AG1617" i="1"/>
  <c r="AF1617" i="1"/>
  <c r="AE1617" i="1"/>
  <c r="AD1617" i="1"/>
  <c r="AC1617" i="1"/>
  <c r="AB1617" i="1"/>
  <c r="AS1616" i="1"/>
  <c r="AA1616" i="1" s="1"/>
  <c r="AO1616" i="1"/>
  <c r="AN1616" i="1"/>
  <c r="AM1616" i="1"/>
  <c r="AL1616" i="1"/>
  <c r="AK1616" i="1"/>
  <c r="AJ1616" i="1"/>
  <c r="AI1616" i="1"/>
  <c r="AH1616" i="1"/>
  <c r="AG1616" i="1"/>
  <c r="AF1616" i="1"/>
  <c r="AE1616" i="1"/>
  <c r="AD1616" i="1"/>
  <c r="AC1616" i="1"/>
  <c r="AB1616" i="1"/>
  <c r="AS1615" i="1"/>
  <c r="AA1615" i="1" s="1"/>
  <c r="AO1615" i="1"/>
  <c r="AN1615" i="1"/>
  <c r="AM1615" i="1"/>
  <c r="AL1615" i="1"/>
  <c r="AK1615" i="1"/>
  <c r="AJ1615" i="1"/>
  <c r="AI1615" i="1"/>
  <c r="AH1615" i="1"/>
  <c r="AG1615" i="1"/>
  <c r="AF1615" i="1"/>
  <c r="AE1615" i="1"/>
  <c r="AD1615" i="1"/>
  <c r="AC1615" i="1"/>
  <c r="AB1615" i="1"/>
  <c r="AS1614" i="1"/>
  <c r="AA1614" i="1" s="1"/>
  <c r="AO1614" i="1"/>
  <c r="AN1614" i="1"/>
  <c r="AM1614" i="1"/>
  <c r="AL1614" i="1"/>
  <c r="AK1614" i="1"/>
  <c r="AJ1614" i="1"/>
  <c r="AI1614" i="1"/>
  <c r="AH1614" i="1"/>
  <c r="AG1614" i="1"/>
  <c r="AF1614" i="1"/>
  <c r="AE1614" i="1"/>
  <c r="AD1614" i="1"/>
  <c r="AC1614" i="1"/>
  <c r="AB1614" i="1"/>
  <c r="AS1613" i="1"/>
  <c r="AA1613" i="1" s="1"/>
  <c r="AO1613" i="1"/>
  <c r="AN1613" i="1"/>
  <c r="AM1613" i="1"/>
  <c r="AL1613" i="1"/>
  <c r="AK1613" i="1"/>
  <c r="AJ1613" i="1"/>
  <c r="AI1613" i="1"/>
  <c r="AH1613" i="1"/>
  <c r="AG1613" i="1"/>
  <c r="AF1613" i="1"/>
  <c r="AE1613" i="1"/>
  <c r="AD1613" i="1"/>
  <c r="AC1613" i="1"/>
  <c r="AB1613" i="1"/>
  <c r="AS1612" i="1"/>
  <c r="AA1612" i="1" s="1"/>
  <c r="AO1612" i="1"/>
  <c r="AN1612" i="1"/>
  <c r="AM1612" i="1"/>
  <c r="AL1612" i="1"/>
  <c r="AK1612" i="1"/>
  <c r="AJ1612" i="1"/>
  <c r="AI1612" i="1"/>
  <c r="AH1612" i="1"/>
  <c r="AG1612" i="1"/>
  <c r="AF1612" i="1"/>
  <c r="AE1612" i="1"/>
  <c r="AD1612" i="1"/>
  <c r="AC1612" i="1"/>
  <c r="AB1612" i="1"/>
  <c r="AS1611" i="1"/>
  <c r="AA1611" i="1" s="1"/>
  <c r="AO1611" i="1"/>
  <c r="AN1611" i="1"/>
  <c r="AM1611" i="1"/>
  <c r="AL1611" i="1"/>
  <c r="AK1611" i="1"/>
  <c r="AJ1611" i="1"/>
  <c r="AI1611" i="1"/>
  <c r="AH1611" i="1"/>
  <c r="AG1611" i="1"/>
  <c r="AF1611" i="1"/>
  <c r="AE1611" i="1"/>
  <c r="AD1611" i="1"/>
  <c r="AC1611" i="1"/>
  <c r="AB1611" i="1"/>
  <c r="AS1610" i="1"/>
  <c r="AA1610" i="1" s="1"/>
  <c r="AO1610" i="1"/>
  <c r="AN1610" i="1"/>
  <c r="AM1610" i="1"/>
  <c r="AL1610" i="1"/>
  <c r="AK1610" i="1"/>
  <c r="AJ1610" i="1"/>
  <c r="AI1610" i="1"/>
  <c r="AH1610" i="1"/>
  <c r="AG1610" i="1"/>
  <c r="AF1610" i="1"/>
  <c r="AE1610" i="1"/>
  <c r="AD1610" i="1"/>
  <c r="AC1610" i="1"/>
  <c r="AB1610" i="1"/>
  <c r="AS1609" i="1"/>
  <c r="AA1609" i="1" s="1"/>
  <c r="AO1609" i="1"/>
  <c r="AN1609" i="1"/>
  <c r="AM1609" i="1"/>
  <c r="AL1609" i="1"/>
  <c r="AK1609" i="1"/>
  <c r="AJ1609" i="1"/>
  <c r="AI1609" i="1"/>
  <c r="AH1609" i="1"/>
  <c r="AG1609" i="1"/>
  <c r="AF1609" i="1"/>
  <c r="AE1609" i="1"/>
  <c r="AD1609" i="1"/>
  <c r="AC1609" i="1"/>
  <c r="AB1609" i="1"/>
  <c r="AS1608" i="1"/>
  <c r="AA1608" i="1" s="1"/>
  <c r="AO1608" i="1"/>
  <c r="AN1608" i="1"/>
  <c r="AM1608" i="1"/>
  <c r="AL1608" i="1"/>
  <c r="AK1608" i="1"/>
  <c r="AJ1608" i="1"/>
  <c r="AI1608" i="1"/>
  <c r="AH1608" i="1"/>
  <c r="AG1608" i="1"/>
  <c r="AF1608" i="1"/>
  <c r="AE1608" i="1"/>
  <c r="AD1608" i="1"/>
  <c r="AC1608" i="1"/>
  <c r="AB1608" i="1"/>
  <c r="AS1607" i="1"/>
  <c r="AA1607" i="1" s="1"/>
  <c r="AO1607" i="1"/>
  <c r="AN1607" i="1"/>
  <c r="AM1607" i="1"/>
  <c r="AL1607" i="1"/>
  <c r="AK1607" i="1"/>
  <c r="AJ1607" i="1"/>
  <c r="AI1607" i="1"/>
  <c r="AH1607" i="1"/>
  <c r="AG1607" i="1"/>
  <c r="AF1607" i="1"/>
  <c r="AE1607" i="1"/>
  <c r="AD1607" i="1"/>
  <c r="AC1607" i="1"/>
  <c r="AB1607" i="1"/>
  <c r="AS1606" i="1"/>
  <c r="AA1606" i="1" s="1"/>
  <c r="AO1606" i="1"/>
  <c r="AN1606" i="1"/>
  <c r="AM1606" i="1"/>
  <c r="AL1606" i="1"/>
  <c r="AK1606" i="1"/>
  <c r="AJ1606" i="1"/>
  <c r="AI1606" i="1"/>
  <c r="AH1606" i="1"/>
  <c r="AG1606" i="1"/>
  <c r="AF1606" i="1"/>
  <c r="AE1606" i="1"/>
  <c r="AD1606" i="1"/>
  <c r="AC1606" i="1"/>
  <c r="AB1606" i="1"/>
  <c r="AS1605" i="1"/>
  <c r="AA1605" i="1" s="1"/>
  <c r="AO1605" i="1"/>
  <c r="AN1605" i="1"/>
  <c r="AM1605" i="1"/>
  <c r="AL1605" i="1"/>
  <c r="AK1605" i="1"/>
  <c r="AJ1605" i="1"/>
  <c r="AI1605" i="1"/>
  <c r="AH1605" i="1"/>
  <c r="AG1605" i="1"/>
  <c r="AF1605" i="1"/>
  <c r="AE1605" i="1"/>
  <c r="AD1605" i="1"/>
  <c r="AC1605" i="1"/>
  <c r="AB1605" i="1"/>
  <c r="AS1604" i="1"/>
  <c r="AA1604" i="1" s="1"/>
  <c r="AO1604" i="1"/>
  <c r="AN1604" i="1"/>
  <c r="AM1604" i="1"/>
  <c r="AL1604" i="1"/>
  <c r="AK1604" i="1"/>
  <c r="AJ1604" i="1"/>
  <c r="AI1604" i="1"/>
  <c r="AH1604" i="1"/>
  <c r="AG1604" i="1"/>
  <c r="AF1604" i="1"/>
  <c r="AE1604" i="1"/>
  <c r="AD1604" i="1"/>
  <c r="AC1604" i="1"/>
  <c r="AB1604" i="1"/>
  <c r="AS1603" i="1"/>
  <c r="AA1603" i="1" s="1"/>
  <c r="AO1603" i="1"/>
  <c r="AN1603" i="1"/>
  <c r="AM1603" i="1"/>
  <c r="AL1603" i="1"/>
  <c r="AK1603" i="1"/>
  <c r="AJ1603" i="1"/>
  <c r="AI1603" i="1"/>
  <c r="AH1603" i="1"/>
  <c r="AG1603" i="1"/>
  <c r="AF1603" i="1"/>
  <c r="AE1603" i="1"/>
  <c r="AD1603" i="1"/>
  <c r="AC1603" i="1"/>
  <c r="AB1603" i="1"/>
  <c r="AS1602" i="1"/>
  <c r="AA1602" i="1" s="1"/>
  <c r="AO1602" i="1"/>
  <c r="AN1602" i="1"/>
  <c r="AM1602" i="1"/>
  <c r="AL1602" i="1"/>
  <c r="AK1602" i="1"/>
  <c r="AJ1602" i="1"/>
  <c r="AI1602" i="1"/>
  <c r="AH1602" i="1"/>
  <c r="AG1602" i="1"/>
  <c r="AF1602" i="1"/>
  <c r="AE1602" i="1"/>
  <c r="AD1602" i="1"/>
  <c r="AC1602" i="1"/>
  <c r="AB1602" i="1"/>
  <c r="AS1601" i="1"/>
  <c r="AA1601" i="1" s="1"/>
  <c r="AO1601" i="1"/>
  <c r="AN1601" i="1"/>
  <c r="AM1601" i="1"/>
  <c r="AL1601" i="1"/>
  <c r="AK1601" i="1"/>
  <c r="AJ1601" i="1"/>
  <c r="AI1601" i="1"/>
  <c r="AH1601" i="1"/>
  <c r="AG1601" i="1"/>
  <c r="AF1601" i="1"/>
  <c r="AE1601" i="1"/>
  <c r="AD1601" i="1"/>
  <c r="AC1601" i="1"/>
  <c r="AB1601" i="1"/>
  <c r="AS1600" i="1"/>
  <c r="AA1600" i="1" s="1"/>
  <c r="AO1600" i="1"/>
  <c r="AN1600" i="1"/>
  <c r="AM1600" i="1"/>
  <c r="AL1600" i="1"/>
  <c r="AK1600" i="1"/>
  <c r="AJ1600" i="1"/>
  <c r="AI1600" i="1"/>
  <c r="AH1600" i="1"/>
  <c r="AG1600" i="1"/>
  <c r="AF1600" i="1"/>
  <c r="AE1600" i="1"/>
  <c r="AD1600" i="1"/>
  <c r="AC1600" i="1"/>
  <c r="AB1600" i="1"/>
  <c r="AS1599" i="1"/>
  <c r="AA1599" i="1" s="1"/>
  <c r="AO1599" i="1"/>
  <c r="AN1599" i="1"/>
  <c r="AM1599" i="1"/>
  <c r="AL1599" i="1"/>
  <c r="AK1599" i="1"/>
  <c r="AJ1599" i="1"/>
  <c r="AI1599" i="1"/>
  <c r="AH1599" i="1"/>
  <c r="AG1599" i="1"/>
  <c r="AF1599" i="1"/>
  <c r="AE1599" i="1"/>
  <c r="AD1599" i="1"/>
  <c r="AC1599" i="1"/>
  <c r="AB1599" i="1"/>
  <c r="AS1598" i="1"/>
  <c r="AA1598" i="1" s="1"/>
  <c r="AO1598" i="1"/>
  <c r="AN1598" i="1"/>
  <c r="AM1598" i="1"/>
  <c r="AL1598" i="1"/>
  <c r="AK1598" i="1"/>
  <c r="AJ1598" i="1"/>
  <c r="AI1598" i="1"/>
  <c r="AH1598" i="1"/>
  <c r="AG1598" i="1"/>
  <c r="AF1598" i="1"/>
  <c r="AE1598" i="1"/>
  <c r="AD1598" i="1"/>
  <c r="AC1598" i="1"/>
  <c r="AB1598" i="1"/>
  <c r="AS1597" i="1"/>
  <c r="AA1597" i="1" s="1"/>
  <c r="AO1597" i="1"/>
  <c r="AN1597" i="1"/>
  <c r="AM1597" i="1"/>
  <c r="AL1597" i="1"/>
  <c r="AK1597" i="1"/>
  <c r="AJ1597" i="1"/>
  <c r="AI1597" i="1"/>
  <c r="AH1597" i="1"/>
  <c r="AG1597" i="1"/>
  <c r="AF1597" i="1"/>
  <c r="AE1597" i="1"/>
  <c r="AD1597" i="1"/>
  <c r="AC1597" i="1"/>
  <c r="AB1597" i="1"/>
  <c r="AS1596" i="1"/>
  <c r="AA1596" i="1" s="1"/>
  <c r="AO1596" i="1"/>
  <c r="AN1596" i="1"/>
  <c r="AM1596" i="1"/>
  <c r="AL1596" i="1"/>
  <c r="AK1596" i="1"/>
  <c r="AJ1596" i="1"/>
  <c r="AI1596" i="1"/>
  <c r="AH1596" i="1"/>
  <c r="AG1596" i="1"/>
  <c r="AF1596" i="1"/>
  <c r="AE1596" i="1"/>
  <c r="AD1596" i="1"/>
  <c r="AC1596" i="1"/>
  <c r="AB1596" i="1"/>
  <c r="AS1595" i="1"/>
  <c r="AA1595" i="1" s="1"/>
  <c r="AO1595" i="1"/>
  <c r="AN1595" i="1"/>
  <c r="AM1595" i="1"/>
  <c r="AL1595" i="1"/>
  <c r="AK1595" i="1"/>
  <c r="AJ1595" i="1"/>
  <c r="AI1595" i="1"/>
  <c r="AH1595" i="1"/>
  <c r="AG1595" i="1"/>
  <c r="AF1595" i="1"/>
  <c r="AE1595" i="1"/>
  <c r="AD1595" i="1"/>
  <c r="AC1595" i="1"/>
  <c r="AB1595" i="1"/>
  <c r="AS1594" i="1"/>
  <c r="AA1594" i="1" s="1"/>
  <c r="AO1594" i="1"/>
  <c r="AN1594" i="1"/>
  <c r="AM1594" i="1"/>
  <c r="AL1594" i="1"/>
  <c r="AK1594" i="1"/>
  <c r="AJ1594" i="1"/>
  <c r="AI1594" i="1"/>
  <c r="AH1594" i="1"/>
  <c r="AG1594" i="1"/>
  <c r="AF1594" i="1"/>
  <c r="AE1594" i="1"/>
  <c r="AD1594" i="1"/>
  <c r="AC1594" i="1"/>
  <c r="AB1594" i="1"/>
  <c r="AS1593" i="1"/>
  <c r="AA1593" i="1" s="1"/>
  <c r="AO1593" i="1"/>
  <c r="AN1593" i="1"/>
  <c r="AM1593" i="1"/>
  <c r="AL1593" i="1"/>
  <c r="AK1593" i="1"/>
  <c r="AJ1593" i="1"/>
  <c r="AI1593" i="1"/>
  <c r="AH1593" i="1"/>
  <c r="AG1593" i="1"/>
  <c r="AF1593" i="1"/>
  <c r="AE1593" i="1"/>
  <c r="AD1593" i="1"/>
  <c r="AC1593" i="1"/>
  <c r="AB1593" i="1"/>
  <c r="AS1592" i="1"/>
  <c r="AA1592" i="1" s="1"/>
  <c r="AO1592" i="1"/>
  <c r="AN1592" i="1"/>
  <c r="AM1592" i="1"/>
  <c r="AL1592" i="1"/>
  <c r="AK1592" i="1"/>
  <c r="AJ1592" i="1"/>
  <c r="AI1592" i="1"/>
  <c r="AH1592" i="1"/>
  <c r="AG1592" i="1"/>
  <c r="AF1592" i="1"/>
  <c r="AE1592" i="1"/>
  <c r="AD1592" i="1"/>
  <c r="AC1592" i="1"/>
  <c r="AB1592" i="1"/>
  <c r="AS1591" i="1"/>
  <c r="AA1591" i="1" s="1"/>
  <c r="AO1591" i="1"/>
  <c r="AN1591" i="1"/>
  <c r="AM1591" i="1"/>
  <c r="AL1591" i="1"/>
  <c r="AK1591" i="1"/>
  <c r="AJ1591" i="1"/>
  <c r="AI1591" i="1"/>
  <c r="AH1591" i="1"/>
  <c r="AG1591" i="1"/>
  <c r="AF1591" i="1"/>
  <c r="AE1591" i="1"/>
  <c r="AD1591" i="1"/>
  <c r="AC1591" i="1"/>
  <c r="AB1591" i="1"/>
  <c r="AS1590" i="1"/>
  <c r="AA1590" i="1" s="1"/>
  <c r="AO1590" i="1"/>
  <c r="AN1590" i="1"/>
  <c r="AM1590" i="1"/>
  <c r="AL1590" i="1"/>
  <c r="AK1590" i="1"/>
  <c r="AJ1590" i="1"/>
  <c r="AI1590" i="1"/>
  <c r="AH1590" i="1"/>
  <c r="AG1590" i="1"/>
  <c r="AF1590" i="1"/>
  <c r="AE1590" i="1"/>
  <c r="AD1590" i="1"/>
  <c r="AC1590" i="1"/>
  <c r="AB1590" i="1"/>
  <c r="AS1589" i="1"/>
  <c r="AA1589" i="1" s="1"/>
  <c r="AO1589" i="1"/>
  <c r="AN1589" i="1"/>
  <c r="AM1589" i="1"/>
  <c r="AL1589" i="1"/>
  <c r="AK1589" i="1"/>
  <c r="AJ1589" i="1"/>
  <c r="AI1589" i="1"/>
  <c r="AH1589" i="1"/>
  <c r="AG1589" i="1"/>
  <c r="AF1589" i="1"/>
  <c r="AE1589" i="1"/>
  <c r="AD1589" i="1"/>
  <c r="AC1589" i="1"/>
  <c r="AB1589" i="1"/>
  <c r="AS1588" i="1"/>
  <c r="AA1588" i="1" s="1"/>
  <c r="AO1588" i="1"/>
  <c r="AN1588" i="1"/>
  <c r="AM1588" i="1"/>
  <c r="AL1588" i="1"/>
  <c r="AK1588" i="1"/>
  <c r="AJ1588" i="1"/>
  <c r="AI1588" i="1"/>
  <c r="AH1588" i="1"/>
  <c r="AG1588" i="1"/>
  <c r="AF1588" i="1"/>
  <c r="AE1588" i="1"/>
  <c r="AD1588" i="1"/>
  <c r="AC1588" i="1"/>
  <c r="AB1588" i="1"/>
  <c r="AS1587" i="1"/>
  <c r="AA1587" i="1" s="1"/>
  <c r="AO1587" i="1"/>
  <c r="AN1587" i="1"/>
  <c r="AM1587" i="1"/>
  <c r="AL1587" i="1"/>
  <c r="AK1587" i="1"/>
  <c r="AJ1587" i="1"/>
  <c r="AI1587" i="1"/>
  <c r="AH1587" i="1"/>
  <c r="AG1587" i="1"/>
  <c r="AF1587" i="1"/>
  <c r="AE1587" i="1"/>
  <c r="AD1587" i="1"/>
  <c r="AC1587" i="1"/>
  <c r="AB1587" i="1"/>
  <c r="AS1586" i="1"/>
  <c r="AA1586" i="1" s="1"/>
  <c r="AO1586" i="1"/>
  <c r="AN1586" i="1"/>
  <c r="AM1586" i="1"/>
  <c r="AL1586" i="1"/>
  <c r="AK1586" i="1"/>
  <c r="AJ1586" i="1"/>
  <c r="AI1586" i="1"/>
  <c r="AH1586" i="1"/>
  <c r="AG1586" i="1"/>
  <c r="AF1586" i="1"/>
  <c r="AE1586" i="1"/>
  <c r="AD1586" i="1"/>
  <c r="AC1586" i="1"/>
  <c r="AB1586" i="1"/>
  <c r="AS1585" i="1"/>
  <c r="AA1585" i="1" s="1"/>
  <c r="AO1585" i="1"/>
  <c r="AN1585" i="1"/>
  <c r="AM1585" i="1"/>
  <c r="AL1585" i="1"/>
  <c r="AK1585" i="1"/>
  <c r="AJ1585" i="1"/>
  <c r="AI1585" i="1"/>
  <c r="AH1585" i="1"/>
  <c r="AG1585" i="1"/>
  <c r="AF1585" i="1"/>
  <c r="AE1585" i="1"/>
  <c r="AD1585" i="1"/>
  <c r="AC1585" i="1"/>
  <c r="AB1585" i="1"/>
  <c r="AS1584" i="1"/>
  <c r="AA1584" i="1" s="1"/>
  <c r="AO1584" i="1"/>
  <c r="AN1584" i="1"/>
  <c r="AM1584" i="1"/>
  <c r="AL1584" i="1"/>
  <c r="AK1584" i="1"/>
  <c r="AJ1584" i="1"/>
  <c r="AI1584" i="1"/>
  <c r="AH1584" i="1"/>
  <c r="AG1584" i="1"/>
  <c r="AF1584" i="1"/>
  <c r="AE1584" i="1"/>
  <c r="AD1584" i="1"/>
  <c r="AC1584" i="1"/>
  <c r="AB1584" i="1"/>
  <c r="AS1583" i="1"/>
  <c r="AA1583" i="1" s="1"/>
  <c r="AO1583" i="1"/>
  <c r="AN1583" i="1"/>
  <c r="AM1583" i="1"/>
  <c r="AL1583" i="1"/>
  <c r="AK1583" i="1"/>
  <c r="AJ1583" i="1"/>
  <c r="AI1583" i="1"/>
  <c r="AH1583" i="1"/>
  <c r="AG1583" i="1"/>
  <c r="AF1583" i="1"/>
  <c r="AE1583" i="1"/>
  <c r="AD1583" i="1"/>
  <c r="AC1583" i="1"/>
  <c r="AB1583" i="1"/>
  <c r="AS1582" i="1"/>
  <c r="AA1582" i="1" s="1"/>
  <c r="AO1582" i="1"/>
  <c r="AN1582" i="1"/>
  <c r="AM1582" i="1"/>
  <c r="AL1582" i="1"/>
  <c r="AK1582" i="1"/>
  <c r="AJ1582" i="1"/>
  <c r="AI1582" i="1"/>
  <c r="AH1582" i="1"/>
  <c r="AG1582" i="1"/>
  <c r="AF1582" i="1"/>
  <c r="AE1582" i="1"/>
  <c r="AD1582" i="1"/>
  <c r="AC1582" i="1"/>
  <c r="AB1582" i="1"/>
  <c r="AS1581" i="1"/>
  <c r="AA1581" i="1" s="1"/>
  <c r="AO1581" i="1"/>
  <c r="AN1581" i="1"/>
  <c r="AM1581" i="1"/>
  <c r="AL1581" i="1"/>
  <c r="AK1581" i="1"/>
  <c r="AJ1581" i="1"/>
  <c r="AI1581" i="1"/>
  <c r="AH1581" i="1"/>
  <c r="AG1581" i="1"/>
  <c r="AF1581" i="1"/>
  <c r="AE1581" i="1"/>
  <c r="AD1581" i="1"/>
  <c r="AC1581" i="1"/>
  <c r="AB1581" i="1"/>
  <c r="AS1580" i="1"/>
  <c r="AA1580" i="1" s="1"/>
  <c r="AO1580" i="1"/>
  <c r="AN1580" i="1"/>
  <c r="AM1580" i="1"/>
  <c r="AL1580" i="1"/>
  <c r="AK1580" i="1"/>
  <c r="AJ1580" i="1"/>
  <c r="AI1580" i="1"/>
  <c r="AH1580" i="1"/>
  <c r="AG1580" i="1"/>
  <c r="AF1580" i="1"/>
  <c r="AE1580" i="1"/>
  <c r="AD1580" i="1"/>
  <c r="AC1580" i="1"/>
  <c r="AB1580" i="1"/>
  <c r="AS1579" i="1"/>
  <c r="AA1579" i="1" s="1"/>
  <c r="AO1579" i="1"/>
  <c r="AN1579" i="1"/>
  <c r="AM1579" i="1"/>
  <c r="AL1579" i="1"/>
  <c r="AK1579" i="1"/>
  <c r="AJ1579" i="1"/>
  <c r="AI1579" i="1"/>
  <c r="AH1579" i="1"/>
  <c r="AG1579" i="1"/>
  <c r="AF1579" i="1"/>
  <c r="AE1579" i="1"/>
  <c r="AD1579" i="1"/>
  <c r="AC1579" i="1"/>
  <c r="AB1579" i="1"/>
  <c r="AS1578" i="1"/>
  <c r="AA1578" i="1" s="1"/>
  <c r="AO1578" i="1"/>
  <c r="AN1578" i="1"/>
  <c r="AM1578" i="1"/>
  <c r="AL1578" i="1"/>
  <c r="AK1578" i="1"/>
  <c r="AJ1578" i="1"/>
  <c r="AI1578" i="1"/>
  <c r="AH1578" i="1"/>
  <c r="AG1578" i="1"/>
  <c r="AF1578" i="1"/>
  <c r="AE1578" i="1"/>
  <c r="AD1578" i="1"/>
  <c r="AC1578" i="1"/>
  <c r="AB1578" i="1"/>
  <c r="AS1577" i="1"/>
  <c r="AA1577" i="1" s="1"/>
  <c r="AO1577" i="1"/>
  <c r="AN1577" i="1"/>
  <c r="AM1577" i="1"/>
  <c r="AL1577" i="1"/>
  <c r="AK1577" i="1"/>
  <c r="AJ1577" i="1"/>
  <c r="AI1577" i="1"/>
  <c r="AH1577" i="1"/>
  <c r="AG1577" i="1"/>
  <c r="AF1577" i="1"/>
  <c r="AE1577" i="1"/>
  <c r="AD1577" i="1"/>
  <c r="AC1577" i="1"/>
  <c r="AB1577" i="1"/>
  <c r="AS1576" i="1"/>
  <c r="AA1576" i="1" s="1"/>
  <c r="AO1576" i="1"/>
  <c r="AN1576" i="1"/>
  <c r="AM1576" i="1"/>
  <c r="AL1576" i="1"/>
  <c r="AK1576" i="1"/>
  <c r="AJ1576" i="1"/>
  <c r="AI1576" i="1"/>
  <c r="AH1576" i="1"/>
  <c r="AG1576" i="1"/>
  <c r="AF1576" i="1"/>
  <c r="AE1576" i="1"/>
  <c r="AD1576" i="1"/>
  <c r="AC1576" i="1"/>
  <c r="AB1576" i="1"/>
  <c r="AS1575" i="1"/>
  <c r="AA1575" i="1" s="1"/>
  <c r="AO1575" i="1"/>
  <c r="AN1575" i="1"/>
  <c r="AM1575" i="1"/>
  <c r="AL1575" i="1"/>
  <c r="AK1575" i="1"/>
  <c r="AJ1575" i="1"/>
  <c r="AI1575" i="1"/>
  <c r="AH1575" i="1"/>
  <c r="AG1575" i="1"/>
  <c r="AF1575" i="1"/>
  <c r="AE1575" i="1"/>
  <c r="AD1575" i="1"/>
  <c r="AC1575" i="1"/>
  <c r="AB1575" i="1"/>
  <c r="AS1574" i="1"/>
  <c r="AA1574" i="1" s="1"/>
  <c r="AO1574" i="1"/>
  <c r="AN1574" i="1"/>
  <c r="AM1574" i="1"/>
  <c r="AL1574" i="1"/>
  <c r="AK1574" i="1"/>
  <c r="AJ1574" i="1"/>
  <c r="AI1574" i="1"/>
  <c r="AH1574" i="1"/>
  <c r="AG1574" i="1"/>
  <c r="AF1574" i="1"/>
  <c r="AE1574" i="1"/>
  <c r="AD1574" i="1"/>
  <c r="AC1574" i="1"/>
  <c r="AB1574" i="1"/>
  <c r="AS1573" i="1"/>
  <c r="AA1573" i="1" s="1"/>
  <c r="AO1573" i="1"/>
  <c r="AN1573" i="1"/>
  <c r="AM1573" i="1"/>
  <c r="AL1573" i="1"/>
  <c r="AK1573" i="1"/>
  <c r="AJ1573" i="1"/>
  <c r="AI1573" i="1"/>
  <c r="AH1573" i="1"/>
  <c r="AG1573" i="1"/>
  <c r="AF1573" i="1"/>
  <c r="AE1573" i="1"/>
  <c r="AD1573" i="1"/>
  <c r="AC1573" i="1"/>
  <c r="AB1573" i="1"/>
  <c r="AS1572" i="1"/>
  <c r="AA1572" i="1" s="1"/>
  <c r="AO1572" i="1"/>
  <c r="AN1572" i="1"/>
  <c r="AM1572" i="1"/>
  <c r="AL1572" i="1"/>
  <c r="AK1572" i="1"/>
  <c r="AJ1572" i="1"/>
  <c r="AI1572" i="1"/>
  <c r="AH1572" i="1"/>
  <c r="AG1572" i="1"/>
  <c r="AF1572" i="1"/>
  <c r="AE1572" i="1"/>
  <c r="AD1572" i="1"/>
  <c r="AC1572" i="1"/>
  <c r="AB1572" i="1"/>
  <c r="AS1571" i="1"/>
  <c r="AA1571" i="1" s="1"/>
  <c r="AO1571" i="1"/>
  <c r="AN1571" i="1"/>
  <c r="AM1571" i="1"/>
  <c r="AL1571" i="1"/>
  <c r="AK1571" i="1"/>
  <c r="AJ1571" i="1"/>
  <c r="AI1571" i="1"/>
  <c r="AH1571" i="1"/>
  <c r="AG1571" i="1"/>
  <c r="AF1571" i="1"/>
  <c r="AE1571" i="1"/>
  <c r="AD1571" i="1"/>
  <c r="AC1571" i="1"/>
  <c r="AB1571" i="1"/>
  <c r="AS1570" i="1"/>
  <c r="AA1570" i="1" s="1"/>
  <c r="AO1570" i="1"/>
  <c r="AN1570" i="1"/>
  <c r="AM1570" i="1"/>
  <c r="AL1570" i="1"/>
  <c r="AK1570" i="1"/>
  <c r="AJ1570" i="1"/>
  <c r="AI1570" i="1"/>
  <c r="AH1570" i="1"/>
  <c r="AG1570" i="1"/>
  <c r="AF1570" i="1"/>
  <c r="AE1570" i="1"/>
  <c r="AD1570" i="1"/>
  <c r="AC1570" i="1"/>
  <c r="AB1570" i="1"/>
  <c r="AS1569" i="1"/>
  <c r="AA1569" i="1" s="1"/>
  <c r="AO1569" i="1"/>
  <c r="AN1569" i="1"/>
  <c r="AM1569" i="1"/>
  <c r="AL1569" i="1"/>
  <c r="AK1569" i="1"/>
  <c r="AJ1569" i="1"/>
  <c r="AI1569" i="1"/>
  <c r="AH1569" i="1"/>
  <c r="AG1569" i="1"/>
  <c r="AF1569" i="1"/>
  <c r="AE1569" i="1"/>
  <c r="AD1569" i="1"/>
  <c r="AC1569" i="1"/>
  <c r="AB1569" i="1"/>
  <c r="AS1568" i="1"/>
  <c r="AA1568" i="1" s="1"/>
  <c r="AO1568" i="1"/>
  <c r="AN1568" i="1"/>
  <c r="AM1568" i="1"/>
  <c r="AL1568" i="1"/>
  <c r="AK1568" i="1"/>
  <c r="AJ1568" i="1"/>
  <c r="AI1568" i="1"/>
  <c r="AH1568" i="1"/>
  <c r="AG1568" i="1"/>
  <c r="AF1568" i="1"/>
  <c r="AE1568" i="1"/>
  <c r="AD1568" i="1"/>
  <c r="AC1568" i="1"/>
  <c r="AB1568" i="1"/>
  <c r="AS1567" i="1"/>
  <c r="AA1567" i="1" s="1"/>
  <c r="AO1567" i="1"/>
  <c r="AN1567" i="1"/>
  <c r="AM1567" i="1"/>
  <c r="AL1567" i="1"/>
  <c r="AK1567" i="1"/>
  <c r="AJ1567" i="1"/>
  <c r="AI1567" i="1"/>
  <c r="AH1567" i="1"/>
  <c r="AG1567" i="1"/>
  <c r="AF1567" i="1"/>
  <c r="AE1567" i="1"/>
  <c r="AD1567" i="1"/>
  <c r="AC1567" i="1"/>
  <c r="AB1567" i="1"/>
  <c r="AS1566" i="1"/>
  <c r="AA1566" i="1" s="1"/>
  <c r="AO1566" i="1"/>
  <c r="AN1566" i="1"/>
  <c r="AM1566" i="1"/>
  <c r="AL1566" i="1"/>
  <c r="AK1566" i="1"/>
  <c r="AJ1566" i="1"/>
  <c r="AI1566" i="1"/>
  <c r="AH1566" i="1"/>
  <c r="AG1566" i="1"/>
  <c r="AF1566" i="1"/>
  <c r="AE1566" i="1"/>
  <c r="AD1566" i="1"/>
  <c r="AC1566" i="1"/>
  <c r="AB1566" i="1"/>
  <c r="AS1565" i="1"/>
  <c r="AA1565" i="1" s="1"/>
  <c r="AO1565" i="1"/>
  <c r="AN1565" i="1"/>
  <c r="AM1565" i="1"/>
  <c r="AL1565" i="1"/>
  <c r="AK1565" i="1"/>
  <c r="AJ1565" i="1"/>
  <c r="AI1565" i="1"/>
  <c r="AH1565" i="1"/>
  <c r="AG1565" i="1"/>
  <c r="AF1565" i="1"/>
  <c r="AE1565" i="1"/>
  <c r="AD1565" i="1"/>
  <c r="AC1565" i="1"/>
  <c r="AB1565" i="1"/>
  <c r="AS1564" i="1"/>
  <c r="AA1564" i="1" s="1"/>
  <c r="AO1564" i="1"/>
  <c r="AN1564" i="1"/>
  <c r="AM1564" i="1"/>
  <c r="AL1564" i="1"/>
  <c r="AK1564" i="1"/>
  <c r="AJ1564" i="1"/>
  <c r="AI1564" i="1"/>
  <c r="AH1564" i="1"/>
  <c r="AG1564" i="1"/>
  <c r="AF1564" i="1"/>
  <c r="AE1564" i="1"/>
  <c r="AD1564" i="1"/>
  <c r="AC1564" i="1"/>
  <c r="AB1564" i="1"/>
  <c r="AS1563" i="1"/>
  <c r="AA1563" i="1" s="1"/>
  <c r="AO1563" i="1"/>
  <c r="AN1563" i="1"/>
  <c r="AM1563" i="1"/>
  <c r="AL1563" i="1"/>
  <c r="AK1563" i="1"/>
  <c r="AJ1563" i="1"/>
  <c r="AI1563" i="1"/>
  <c r="AH1563" i="1"/>
  <c r="AG1563" i="1"/>
  <c r="AF1563" i="1"/>
  <c r="AE1563" i="1"/>
  <c r="AD1563" i="1"/>
  <c r="AC1563" i="1"/>
  <c r="AB1563" i="1"/>
  <c r="AS1562" i="1"/>
  <c r="AA1562" i="1" s="1"/>
  <c r="AO1562" i="1"/>
  <c r="AN1562" i="1"/>
  <c r="AM1562" i="1"/>
  <c r="AL1562" i="1"/>
  <c r="AK1562" i="1"/>
  <c r="AJ1562" i="1"/>
  <c r="AI1562" i="1"/>
  <c r="AH1562" i="1"/>
  <c r="AG1562" i="1"/>
  <c r="AF1562" i="1"/>
  <c r="AE1562" i="1"/>
  <c r="AD1562" i="1"/>
  <c r="AC1562" i="1"/>
  <c r="AB1562" i="1"/>
  <c r="AS1561" i="1"/>
  <c r="AA1561" i="1" s="1"/>
  <c r="AO1561" i="1"/>
  <c r="AN1561" i="1"/>
  <c r="AM1561" i="1"/>
  <c r="AL1561" i="1"/>
  <c r="AK1561" i="1"/>
  <c r="AJ1561" i="1"/>
  <c r="AI1561" i="1"/>
  <c r="AH1561" i="1"/>
  <c r="AG1561" i="1"/>
  <c r="AF1561" i="1"/>
  <c r="AE1561" i="1"/>
  <c r="AD1561" i="1"/>
  <c r="AC1561" i="1"/>
  <c r="AB1561" i="1"/>
  <c r="AS1560" i="1"/>
  <c r="AA1560" i="1" s="1"/>
  <c r="AO1560" i="1"/>
  <c r="AN1560" i="1"/>
  <c r="AM1560" i="1"/>
  <c r="AL1560" i="1"/>
  <c r="AK1560" i="1"/>
  <c r="AJ1560" i="1"/>
  <c r="AI1560" i="1"/>
  <c r="AH1560" i="1"/>
  <c r="AG1560" i="1"/>
  <c r="AF1560" i="1"/>
  <c r="AE1560" i="1"/>
  <c r="AD1560" i="1"/>
  <c r="AC1560" i="1"/>
  <c r="AB1560" i="1"/>
  <c r="AS1559" i="1"/>
  <c r="AA1559" i="1" s="1"/>
  <c r="AO1559" i="1"/>
  <c r="AN1559" i="1"/>
  <c r="AM1559" i="1"/>
  <c r="AL1559" i="1"/>
  <c r="AK1559" i="1"/>
  <c r="AJ1559" i="1"/>
  <c r="AI1559" i="1"/>
  <c r="AH1559" i="1"/>
  <c r="AG1559" i="1"/>
  <c r="AF1559" i="1"/>
  <c r="AE1559" i="1"/>
  <c r="AD1559" i="1"/>
  <c r="AC1559" i="1"/>
  <c r="AB1559" i="1"/>
  <c r="AS1558" i="1"/>
  <c r="AA1558" i="1" s="1"/>
  <c r="AO1558" i="1"/>
  <c r="AN1558" i="1"/>
  <c r="AM1558" i="1"/>
  <c r="AL1558" i="1"/>
  <c r="AK1558" i="1"/>
  <c r="AJ1558" i="1"/>
  <c r="AI1558" i="1"/>
  <c r="AH1558" i="1"/>
  <c r="AG1558" i="1"/>
  <c r="AF1558" i="1"/>
  <c r="AE1558" i="1"/>
  <c r="AD1558" i="1"/>
  <c r="AC1558" i="1"/>
  <c r="AB1558" i="1"/>
  <c r="AS1557" i="1"/>
  <c r="AA1557" i="1" s="1"/>
  <c r="AO1557" i="1"/>
  <c r="AN1557" i="1"/>
  <c r="AM1557" i="1"/>
  <c r="AL1557" i="1"/>
  <c r="AK1557" i="1"/>
  <c r="AJ1557" i="1"/>
  <c r="AI1557" i="1"/>
  <c r="AH1557" i="1"/>
  <c r="AG1557" i="1"/>
  <c r="AF1557" i="1"/>
  <c r="AE1557" i="1"/>
  <c r="AD1557" i="1"/>
  <c r="AC1557" i="1"/>
  <c r="AB1557" i="1"/>
  <c r="AS1556" i="1"/>
  <c r="AA1556" i="1" s="1"/>
  <c r="AO1556" i="1"/>
  <c r="AN1556" i="1"/>
  <c r="AM1556" i="1"/>
  <c r="AL1556" i="1"/>
  <c r="AK1556" i="1"/>
  <c r="AJ1556" i="1"/>
  <c r="AI1556" i="1"/>
  <c r="AH1556" i="1"/>
  <c r="AG1556" i="1"/>
  <c r="AF1556" i="1"/>
  <c r="AE1556" i="1"/>
  <c r="AD1556" i="1"/>
  <c r="AC1556" i="1"/>
  <c r="AB1556" i="1"/>
  <c r="AS1555" i="1"/>
  <c r="AA1555" i="1" s="1"/>
  <c r="AO1555" i="1"/>
  <c r="AN1555" i="1"/>
  <c r="AM1555" i="1"/>
  <c r="AL1555" i="1"/>
  <c r="AK1555" i="1"/>
  <c r="AJ1555" i="1"/>
  <c r="AI1555" i="1"/>
  <c r="AH1555" i="1"/>
  <c r="AG1555" i="1"/>
  <c r="AF1555" i="1"/>
  <c r="AE1555" i="1"/>
  <c r="AD1555" i="1"/>
  <c r="AC1555" i="1"/>
  <c r="AB1555" i="1"/>
  <c r="AS1554" i="1"/>
  <c r="AA1554" i="1" s="1"/>
  <c r="AO1554" i="1"/>
  <c r="AN1554" i="1"/>
  <c r="AM1554" i="1"/>
  <c r="AL1554" i="1"/>
  <c r="AK1554" i="1"/>
  <c r="AJ1554" i="1"/>
  <c r="AI1554" i="1"/>
  <c r="AH1554" i="1"/>
  <c r="AG1554" i="1"/>
  <c r="AF1554" i="1"/>
  <c r="AE1554" i="1"/>
  <c r="AD1554" i="1"/>
  <c r="AC1554" i="1"/>
  <c r="AB1554" i="1"/>
  <c r="AS1553" i="1"/>
  <c r="AA1553" i="1" s="1"/>
  <c r="AO1553" i="1"/>
  <c r="AN1553" i="1"/>
  <c r="AM1553" i="1"/>
  <c r="AL1553" i="1"/>
  <c r="AK1553" i="1"/>
  <c r="AJ1553" i="1"/>
  <c r="AI1553" i="1"/>
  <c r="AH1553" i="1"/>
  <c r="AG1553" i="1"/>
  <c r="AF1553" i="1"/>
  <c r="AE1553" i="1"/>
  <c r="AD1553" i="1"/>
  <c r="AC1553" i="1"/>
  <c r="AB1553" i="1"/>
  <c r="AS1552" i="1"/>
  <c r="AA1552" i="1" s="1"/>
  <c r="AO1552" i="1"/>
  <c r="AN1552" i="1"/>
  <c r="AM1552" i="1"/>
  <c r="AL1552" i="1"/>
  <c r="AK1552" i="1"/>
  <c r="AJ1552" i="1"/>
  <c r="AI1552" i="1"/>
  <c r="AH1552" i="1"/>
  <c r="AG1552" i="1"/>
  <c r="AF1552" i="1"/>
  <c r="AE1552" i="1"/>
  <c r="AD1552" i="1"/>
  <c r="AC1552" i="1"/>
  <c r="AB1552" i="1"/>
  <c r="AS1551" i="1"/>
  <c r="AA1551" i="1" s="1"/>
  <c r="AO1551" i="1"/>
  <c r="AN1551" i="1"/>
  <c r="AM1551" i="1"/>
  <c r="AL1551" i="1"/>
  <c r="AK1551" i="1"/>
  <c r="AJ1551" i="1"/>
  <c r="AI1551" i="1"/>
  <c r="AH1551" i="1"/>
  <c r="AG1551" i="1"/>
  <c r="AF1551" i="1"/>
  <c r="AE1551" i="1"/>
  <c r="AD1551" i="1"/>
  <c r="AC1551" i="1"/>
  <c r="AB1551" i="1"/>
  <c r="AS1550" i="1"/>
  <c r="AA1550" i="1" s="1"/>
  <c r="AO1550" i="1"/>
  <c r="AN1550" i="1"/>
  <c r="AM1550" i="1"/>
  <c r="AL1550" i="1"/>
  <c r="AK1550" i="1"/>
  <c r="AJ1550" i="1"/>
  <c r="AI1550" i="1"/>
  <c r="AH1550" i="1"/>
  <c r="AG1550" i="1"/>
  <c r="AF1550" i="1"/>
  <c r="AE1550" i="1"/>
  <c r="AD1550" i="1"/>
  <c r="AC1550" i="1"/>
  <c r="AB1550" i="1"/>
  <c r="AS1549" i="1"/>
  <c r="AA1549" i="1" s="1"/>
  <c r="AO1549" i="1"/>
  <c r="AN1549" i="1"/>
  <c r="AM1549" i="1"/>
  <c r="AL1549" i="1"/>
  <c r="AK1549" i="1"/>
  <c r="AJ1549" i="1"/>
  <c r="AI1549" i="1"/>
  <c r="AH1549" i="1"/>
  <c r="AG1549" i="1"/>
  <c r="AF1549" i="1"/>
  <c r="AE1549" i="1"/>
  <c r="AD1549" i="1"/>
  <c r="AC1549" i="1"/>
  <c r="AB1549" i="1"/>
  <c r="AS1548" i="1"/>
  <c r="AA1548" i="1" s="1"/>
  <c r="AO1548" i="1"/>
  <c r="AN1548" i="1"/>
  <c r="AM1548" i="1"/>
  <c r="AL1548" i="1"/>
  <c r="AK1548" i="1"/>
  <c r="AJ1548" i="1"/>
  <c r="AI1548" i="1"/>
  <c r="AH1548" i="1"/>
  <c r="AG1548" i="1"/>
  <c r="AF1548" i="1"/>
  <c r="AE1548" i="1"/>
  <c r="AD1548" i="1"/>
  <c r="AC1548" i="1"/>
  <c r="AB1548" i="1"/>
  <c r="AS1547" i="1"/>
  <c r="AA1547" i="1" s="1"/>
  <c r="AO1547" i="1"/>
  <c r="AN1547" i="1"/>
  <c r="AM1547" i="1"/>
  <c r="AL1547" i="1"/>
  <c r="AK1547" i="1"/>
  <c r="AJ1547" i="1"/>
  <c r="AI1547" i="1"/>
  <c r="AH1547" i="1"/>
  <c r="AG1547" i="1"/>
  <c r="AF1547" i="1"/>
  <c r="AE1547" i="1"/>
  <c r="AD1547" i="1"/>
  <c r="AC1547" i="1"/>
  <c r="AB1547" i="1"/>
  <c r="AS1546" i="1"/>
  <c r="AA1546" i="1" s="1"/>
  <c r="AO1546" i="1"/>
  <c r="AN1546" i="1"/>
  <c r="AM1546" i="1"/>
  <c r="AL1546" i="1"/>
  <c r="AK1546" i="1"/>
  <c r="AJ1546" i="1"/>
  <c r="AI1546" i="1"/>
  <c r="AH1546" i="1"/>
  <c r="AG1546" i="1"/>
  <c r="AF1546" i="1"/>
  <c r="AE1546" i="1"/>
  <c r="AD1546" i="1"/>
  <c r="AC1546" i="1"/>
  <c r="AB1546" i="1"/>
  <c r="AS1545" i="1"/>
  <c r="AA1545" i="1" s="1"/>
  <c r="AO1545" i="1"/>
  <c r="AN1545" i="1"/>
  <c r="AM1545" i="1"/>
  <c r="AL1545" i="1"/>
  <c r="AK1545" i="1"/>
  <c r="AJ1545" i="1"/>
  <c r="AI1545" i="1"/>
  <c r="AH1545" i="1"/>
  <c r="AG1545" i="1"/>
  <c r="AF1545" i="1"/>
  <c r="AE1545" i="1"/>
  <c r="AD1545" i="1"/>
  <c r="AC1545" i="1"/>
  <c r="AB1545" i="1"/>
  <c r="AS1544" i="1"/>
  <c r="AA1544" i="1" s="1"/>
  <c r="AO1544" i="1"/>
  <c r="AN1544" i="1"/>
  <c r="AM1544" i="1"/>
  <c r="AL1544" i="1"/>
  <c r="AK1544" i="1"/>
  <c r="AJ1544" i="1"/>
  <c r="AI1544" i="1"/>
  <c r="AH1544" i="1"/>
  <c r="AG1544" i="1"/>
  <c r="AF1544" i="1"/>
  <c r="AE1544" i="1"/>
  <c r="AD1544" i="1"/>
  <c r="AC1544" i="1"/>
  <c r="AB1544" i="1"/>
  <c r="AS1543" i="1"/>
  <c r="AA1543" i="1" s="1"/>
  <c r="AO1543" i="1"/>
  <c r="AN1543" i="1"/>
  <c r="AM1543" i="1"/>
  <c r="AL1543" i="1"/>
  <c r="AK1543" i="1"/>
  <c r="AJ1543" i="1"/>
  <c r="AI1543" i="1"/>
  <c r="AH1543" i="1"/>
  <c r="AG1543" i="1"/>
  <c r="AF1543" i="1"/>
  <c r="AE1543" i="1"/>
  <c r="AD1543" i="1"/>
  <c r="AC1543" i="1"/>
  <c r="AB1543" i="1"/>
  <c r="AS1542" i="1"/>
  <c r="AA1542" i="1" s="1"/>
  <c r="AO1542" i="1"/>
  <c r="AN1542" i="1"/>
  <c r="AM1542" i="1"/>
  <c r="AL1542" i="1"/>
  <c r="AK1542" i="1"/>
  <c r="AJ1542" i="1"/>
  <c r="AI1542" i="1"/>
  <c r="AH1542" i="1"/>
  <c r="AG1542" i="1"/>
  <c r="AF1542" i="1"/>
  <c r="AE1542" i="1"/>
  <c r="AD1542" i="1"/>
  <c r="AC1542" i="1"/>
  <c r="AB1542" i="1"/>
  <c r="AS1541" i="1"/>
  <c r="AA1541" i="1" s="1"/>
  <c r="AO1541" i="1"/>
  <c r="AN1541" i="1"/>
  <c r="AM1541" i="1"/>
  <c r="AL1541" i="1"/>
  <c r="AK1541" i="1"/>
  <c r="AJ1541" i="1"/>
  <c r="AI1541" i="1"/>
  <c r="AH1541" i="1"/>
  <c r="AG1541" i="1"/>
  <c r="AF1541" i="1"/>
  <c r="AE1541" i="1"/>
  <c r="AD1541" i="1"/>
  <c r="AC1541" i="1"/>
  <c r="AB1541" i="1"/>
  <c r="AS1540" i="1"/>
  <c r="AA1540" i="1" s="1"/>
  <c r="AO1540" i="1"/>
  <c r="AN1540" i="1"/>
  <c r="AM1540" i="1"/>
  <c r="AL1540" i="1"/>
  <c r="AK1540" i="1"/>
  <c r="AJ1540" i="1"/>
  <c r="AI1540" i="1"/>
  <c r="AH1540" i="1"/>
  <c r="AG1540" i="1"/>
  <c r="AF1540" i="1"/>
  <c r="AE1540" i="1"/>
  <c r="AD1540" i="1"/>
  <c r="AC1540" i="1"/>
  <c r="AB1540" i="1"/>
  <c r="AS1539" i="1"/>
  <c r="AA1539" i="1" s="1"/>
  <c r="AO1539" i="1"/>
  <c r="AN1539" i="1"/>
  <c r="AM1539" i="1"/>
  <c r="AL1539" i="1"/>
  <c r="AK1539" i="1"/>
  <c r="AJ1539" i="1"/>
  <c r="AI1539" i="1"/>
  <c r="AH1539" i="1"/>
  <c r="AG1539" i="1"/>
  <c r="AF1539" i="1"/>
  <c r="AE1539" i="1"/>
  <c r="AD1539" i="1"/>
  <c r="AC1539" i="1"/>
  <c r="AB1539" i="1"/>
  <c r="AS1538" i="1"/>
  <c r="AA1538" i="1" s="1"/>
  <c r="AO1538" i="1"/>
  <c r="AN1538" i="1"/>
  <c r="AM1538" i="1"/>
  <c r="AL1538" i="1"/>
  <c r="AK1538" i="1"/>
  <c r="AJ1538" i="1"/>
  <c r="AI1538" i="1"/>
  <c r="AH1538" i="1"/>
  <c r="AG1538" i="1"/>
  <c r="AF1538" i="1"/>
  <c r="AE1538" i="1"/>
  <c r="AD1538" i="1"/>
  <c r="AC1538" i="1"/>
  <c r="AB1538" i="1"/>
  <c r="AS1537" i="1"/>
  <c r="AA1537" i="1" s="1"/>
  <c r="AO1537" i="1"/>
  <c r="AN1537" i="1"/>
  <c r="AM1537" i="1"/>
  <c r="AL1537" i="1"/>
  <c r="AK1537" i="1"/>
  <c r="AJ1537" i="1"/>
  <c r="AI1537" i="1"/>
  <c r="AH1537" i="1"/>
  <c r="AG1537" i="1"/>
  <c r="AF1537" i="1"/>
  <c r="AE1537" i="1"/>
  <c r="AD1537" i="1"/>
  <c r="AC1537" i="1"/>
  <c r="AB1537" i="1"/>
  <c r="AS1536" i="1"/>
  <c r="AA1536" i="1" s="1"/>
  <c r="AO1536" i="1"/>
  <c r="AN1536" i="1"/>
  <c r="AM1536" i="1"/>
  <c r="AL1536" i="1"/>
  <c r="AK1536" i="1"/>
  <c r="AJ1536" i="1"/>
  <c r="AI1536" i="1"/>
  <c r="AH1536" i="1"/>
  <c r="AG1536" i="1"/>
  <c r="AF1536" i="1"/>
  <c r="AE1536" i="1"/>
  <c r="AD1536" i="1"/>
  <c r="AC1536" i="1"/>
  <c r="AB1536" i="1"/>
  <c r="AS1535" i="1"/>
  <c r="AA1535" i="1" s="1"/>
  <c r="AO1535" i="1"/>
  <c r="AN1535" i="1"/>
  <c r="AM1535" i="1"/>
  <c r="AL1535" i="1"/>
  <c r="AK1535" i="1"/>
  <c r="AJ1535" i="1"/>
  <c r="AI1535" i="1"/>
  <c r="AH1535" i="1"/>
  <c r="AG1535" i="1"/>
  <c r="AF1535" i="1"/>
  <c r="AE1535" i="1"/>
  <c r="AD1535" i="1"/>
  <c r="AC1535" i="1"/>
  <c r="AB1535" i="1"/>
  <c r="AS1534" i="1"/>
  <c r="AA1534" i="1" s="1"/>
  <c r="AO1534" i="1"/>
  <c r="AN1534" i="1"/>
  <c r="AM1534" i="1"/>
  <c r="AL1534" i="1"/>
  <c r="AK1534" i="1"/>
  <c r="AJ1534" i="1"/>
  <c r="AI1534" i="1"/>
  <c r="AH1534" i="1"/>
  <c r="AG1534" i="1"/>
  <c r="AF1534" i="1"/>
  <c r="AE1534" i="1"/>
  <c r="AD1534" i="1"/>
  <c r="AC1534" i="1"/>
  <c r="AB1534" i="1"/>
  <c r="W1534" i="1"/>
  <c r="V1534" i="1"/>
  <c r="AS1533" i="1"/>
  <c r="AA1533" i="1" s="1"/>
  <c r="AO1533" i="1"/>
  <c r="AN1533" i="1"/>
  <c r="AM1533" i="1"/>
  <c r="AL1533" i="1"/>
  <c r="AK1533" i="1"/>
  <c r="AJ1533" i="1"/>
  <c r="AI1533" i="1"/>
  <c r="AH1533" i="1"/>
  <c r="AG1533" i="1"/>
  <c r="AF1533" i="1"/>
  <c r="AE1533" i="1"/>
  <c r="AD1533" i="1"/>
  <c r="AC1533" i="1"/>
  <c r="AB1533" i="1"/>
  <c r="W1533" i="1"/>
  <c r="V1533" i="1"/>
  <c r="AS1532" i="1"/>
  <c r="AA1532" i="1" s="1"/>
  <c r="AO1532" i="1"/>
  <c r="AN1532" i="1"/>
  <c r="AM1532" i="1"/>
  <c r="AL1532" i="1"/>
  <c r="AK1532" i="1"/>
  <c r="AJ1532" i="1"/>
  <c r="AI1532" i="1"/>
  <c r="AH1532" i="1"/>
  <c r="AG1532" i="1"/>
  <c r="AF1532" i="1"/>
  <c r="AE1532" i="1"/>
  <c r="AD1532" i="1"/>
  <c r="AC1532" i="1"/>
  <c r="AB1532" i="1"/>
  <c r="W1532" i="1"/>
  <c r="V1532" i="1"/>
  <c r="AS1531" i="1"/>
  <c r="AA1531" i="1" s="1"/>
  <c r="AO1531" i="1"/>
  <c r="AN1531" i="1"/>
  <c r="AM1531" i="1"/>
  <c r="AL1531" i="1"/>
  <c r="AK1531" i="1"/>
  <c r="AJ1531" i="1"/>
  <c r="AI1531" i="1"/>
  <c r="AH1531" i="1"/>
  <c r="AG1531" i="1"/>
  <c r="AF1531" i="1"/>
  <c r="AE1531" i="1"/>
  <c r="AD1531" i="1"/>
  <c r="AC1531" i="1"/>
  <c r="AB1531" i="1"/>
  <c r="W1531" i="1"/>
  <c r="V1531" i="1"/>
  <c r="AS1530" i="1"/>
  <c r="AA1530" i="1" s="1"/>
  <c r="AO1530" i="1"/>
  <c r="AN1530" i="1"/>
  <c r="AM1530" i="1"/>
  <c r="AL1530" i="1"/>
  <c r="AK1530" i="1"/>
  <c r="AJ1530" i="1"/>
  <c r="AI1530" i="1"/>
  <c r="AH1530" i="1"/>
  <c r="AG1530" i="1"/>
  <c r="AF1530" i="1"/>
  <c r="AE1530" i="1"/>
  <c r="AD1530" i="1"/>
  <c r="AC1530" i="1"/>
  <c r="AB1530" i="1"/>
  <c r="W1530" i="1"/>
  <c r="V1530" i="1"/>
  <c r="AS1529" i="1"/>
  <c r="AA1529" i="1" s="1"/>
  <c r="AO1529" i="1"/>
  <c r="AN1529" i="1"/>
  <c r="AM1529" i="1"/>
  <c r="AL1529" i="1"/>
  <c r="AK1529" i="1"/>
  <c r="AJ1529" i="1"/>
  <c r="AI1529" i="1"/>
  <c r="AH1529" i="1"/>
  <c r="AG1529" i="1"/>
  <c r="AF1529" i="1"/>
  <c r="AE1529" i="1"/>
  <c r="AD1529" i="1"/>
  <c r="AC1529" i="1"/>
  <c r="AB1529" i="1"/>
  <c r="W1529" i="1"/>
  <c r="V1529" i="1"/>
  <c r="AS1528" i="1"/>
  <c r="AA1528" i="1" s="1"/>
  <c r="AO1528" i="1"/>
  <c r="AN1528" i="1"/>
  <c r="AM1528" i="1"/>
  <c r="AL1528" i="1"/>
  <c r="AK1528" i="1"/>
  <c r="AJ1528" i="1"/>
  <c r="AI1528" i="1"/>
  <c r="AH1528" i="1"/>
  <c r="AG1528" i="1"/>
  <c r="AF1528" i="1"/>
  <c r="AE1528" i="1"/>
  <c r="AD1528" i="1"/>
  <c r="AC1528" i="1"/>
  <c r="AB1528" i="1"/>
  <c r="W1528" i="1"/>
  <c r="V1528" i="1"/>
  <c r="AS1527" i="1"/>
  <c r="AA1527" i="1" s="1"/>
  <c r="AO1527" i="1"/>
  <c r="AN1527" i="1"/>
  <c r="AM1527" i="1"/>
  <c r="AL1527" i="1"/>
  <c r="AK1527" i="1"/>
  <c r="AJ1527" i="1"/>
  <c r="AI1527" i="1"/>
  <c r="AH1527" i="1"/>
  <c r="AG1527" i="1"/>
  <c r="AF1527" i="1"/>
  <c r="AE1527" i="1"/>
  <c r="AD1527" i="1"/>
  <c r="AC1527" i="1"/>
  <c r="AB1527" i="1"/>
  <c r="W1527" i="1"/>
  <c r="V1527" i="1"/>
  <c r="AS1526" i="1"/>
  <c r="AA1526" i="1" s="1"/>
  <c r="AO1526" i="1"/>
  <c r="AN1526" i="1"/>
  <c r="AM1526" i="1"/>
  <c r="AL1526" i="1"/>
  <c r="AK1526" i="1"/>
  <c r="AJ1526" i="1"/>
  <c r="AI1526" i="1"/>
  <c r="AH1526" i="1"/>
  <c r="AG1526" i="1"/>
  <c r="AF1526" i="1"/>
  <c r="AE1526" i="1"/>
  <c r="AD1526" i="1"/>
  <c r="AC1526" i="1"/>
  <c r="AB1526" i="1"/>
  <c r="W1526" i="1"/>
  <c r="V1526" i="1"/>
  <c r="AS1525" i="1"/>
  <c r="AA1525" i="1" s="1"/>
  <c r="AO1525" i="1"/>
  <c r="AN1525" i="1"/>
  <c r="AM1525" i="1"/>
  <c r="AL1525" i="1"/>
  <c r="AK1525" i="1"/>
  <c r="AJ1525" i="1"/>
  <c r="AI1525" i="1"/>
  <c r="AH1525" i="1"/>
  <c r="AG1525" i="1"/>
  <c r="AF1525" i="1"/>
  <c r="AE1525" i="1"/>
  <c r="AD1525" i="1"/>
  <c r="AC1525" i="1"/>
  <c r="AB1525" i="1"/>
  <c r="W1525" i="1"/>
  <c r="V1525" i="1"/>
  <c r="AS1524" i="1"/>
  <c r="AA1524" i="1" s="1"/>
  <c r="AO1524" i="1"/>
  <c r="AN1524" i="1"/>
  <c r="AM1524" i="1"/>
  <c r="AL1524" i="1"/>
  <c r="AK1524" i="1"/>
  <c r="AJ1524" i="1"/>
  <c r="AI1524" i="1"/>
  <c r="AH1524" i="1"/>
  <c r="AG1524" i="1"/>
  <c r="AF1524" i="1"/>
  <c r="AE1524" i="1"/>
  <c r="AD1524" i="1"/>
  <c r="AC1524" i="1"/>
  <c r="AB1524" i="1"/>
  <c r="W1524" i="1"/>
  <c r="V1524" i="1"/>
  <c r="AS1523" i="1"/>
  <c r="AA1523" i="1" s="1"/>
  <c r="AO1523" i="1"/>
  <c r="AN1523" i="1"/>
  <c r="AM1523" i="1"/>
  <c r="AL1523" i="1"/>
  <c r="AK1523" i="1"/>
  <c r="AJ1523" i="1"/>
  <c r="AI1523" i="1"/>
  <c r="AH1523" i="1"/>
  <c r="AG1523" i="1"/>
  <c r="AF1523" i="1"/>
  <c r="AE1523" i="1"/>
  <c r="AD1523" i="1"/>
  <c r="AC1523" i="1"/>
  <c r="AB1523" i="1"/>
  <c r="W1523" i="1"/>
  <c r="V1523" i="1"/>
  <c r="AS1522" i="1"/>
  <c r="AA1522" i="1" s="1"/>
  <c r="AO1522" i="1"/>
  <c r="AN1522" i="1"/>
  <c r="AM1522" i="1"/>
  <c r="AL1522" i="1"/>
  <c r="AK1522" i="1"/>
  <c r="AJ1522" i="1"/>
  <c r="AI1522" i="1"/>
  <c r="AH1522" i="1"/>
  <c r="AG1522" i="1"/>
  <c r="AF1522" i="1"/>
  <c r="AE1522" i="1"/>
  <c r="AD1522" i="1"/>
  <c r="AC1522" i="1"/>
  <c r="AB1522" i="1"/>
  <c r="W1522" i="1"/>
  <c r="V1522" i="1"/>
  <c r="AS1521" i="1"/>
  <c r="AA1521" i="1" s="1"/>
  <c r="AO1521" i="1"/>
  <c r="AN1521" i="1"/>
  <c r="AM1521" i="1"/>
  <c r="AL1521" i="1"/>
  <c r="AK1521" i="1"/>
  <c r="AJ1521" i="1"/>
  <c r="AI1521" i="1"/>
  <c r="AH1521" i="1"/>
  <c r="AG1521" i="1"/>
  <c r="AF1521" i="1"/>
  <c r="AE1521" i="1"/>
  <c r="AD1521" i="1"/>
  <c r="AC1521" i="1"/>
  <c r="AB1521" i="1"/>
  <c r="W1521" i="1"/>
  <c r="V1521" i="1"/>
  <c r="AS1520" i="1"/>
  <c r="AA1520" i="1" s="1"/>
  <c r="AO1520" i="1"/>
  <c r="AN1520" i="1"/>
  <c r="AM1520" i="1"/>
  <c r="AL1520" i="1"/>
  <c r="AK1520" i="1"/>
  <c r="AJ1520" i="1"/>
  <c r="AI1520" i="1"/>
  <c r="AH1520" i="1"/>
  <c r="AG1520" i="1"/>
  <c r="AF1520" i="1"/>
  <c r="AE1520" i="1"/>
  <c r="AD1520" i="1"/>
  <c r="AC1520" i="1"/>
  <c r="AB1520" i="1"/>
  <c r="W1520" i="1"/>
  <c r="V1520" i="1"/>
  <c r="AS1519" i="1"/>
  <c r="AA1519" i="1" s="1"/>
  <c r="AO1519" i="1"/>
  <c r="AN1519" i="1"/>
  <c r="AM1519" i="1"/>
  <c r="AL1519" i="1"/>
  <c r="AK1519" i="1"/>
  <c r="AJ1519" i="1"/>
  <c r="AI1519" i="1"/>
  <c r="AH1519" i="1"/>
  <c r="AG1519" i="1"/>
  <c r="AF1519" i="1"/>
  <c r="AE1519" i="1"/>
  <c r="AD1519" i="1"/>
  <c r="AC1519" i="1"/>
  <c r="AB1519" i="1"/>
  <c r="W1519" i="1"/>
  <c r="V1519" i="1"/>
  <c r="AS1518" i="1"/>
  <c r="AA1518" i="1" s="1"/>
  <c r="AO1518" i="1"/>
  <c r="AN1518" i="1"/>
  <c r="AM1518" i="1"/>
  <c r="AL1518" i="1"/>
  <c r="AK1518" i="1"/>
  <c r="AJ1518" i="1"/>
  <c r="AI1518" i="1"/>
  <c r="AH1518" i="1"/>
  <c r="AG1518" i="1"/>
  <c r="AF1518" i="1"/>
  <c r="AE1518" i="1"/>
  <c r="AD1518" i="1"/>
  <c r="AC1518" i="1"/>
  <c r="AB1518" i="1"/>
  <c r="W1518" i="1"/>
  <c r="V1518" i="1"/>
  <c r="AS1517" i="1"/>
  <c r="AA1517" i="1" s="1"/>
  <c r="AO1517" i="1"/>
  <c r="AN1517" i="1"/>
  <c r="AM1517" i="1"/>
  <c r="AL1517" i="1"/>
  <c r="AK1517" i="1"/>
  <c r="AJ1517" i="1"/>
  <c r="AI1517" i="1"/>
  <c r="AH1517" i="1"/>
  <c r="AG1517" i="1"/>
  <c r="AF1517" i="1"/>
  <c r="AE1517" i="1"/>
  <c r="AD1517" i="1"/>
  <c r="AC1517" i="1"/>
  <c r="AB1517" i="1"/>
  <c r="W1517" i="1"/>
  <c r="V1517" i="1"/>
  <c r="AS1516" i="1"/>
  <c r="AA1516" i="1" s="1"/>
  <c r="AO1516" i="1"/>
  <c r="AN1516" i="1"/>
  <c r="AM1516" i="1"/>
  <c r="AL1516" i="1"/>
  <c r="AK1516" i="1"/>
  <c r="AJ1516" i="1"/>
  <c r="AI1516" i="1"/>
  <c r="AH1516" i="1"/>
  <c r="AG1516" i="1"/>
  <c r="AF1516" i="1"/>
  <c r="AE1516" i="1"/>
  <c r="AD1516" i="1"/>
  <c r="AC1516" i="1"/>
  <c r="AB1516" i="1"/>
  <c r="W1516" i="1"/>
  <c r="V1516" i="1"/>
  <c r="AS1515" i="1"/>
  <c r="AA1515" i="1" s="1"/>
  <c r="AO1515" i="1"/>
  <c r="AN1515" i="1"/>
  <c r="AM1515" i="1"/>
  <c r="AL1515" i="1"/>
  <c r="AK1515" i="1"/>
  <c r="AJ1515" i="1"/>
  <c r="AI1515" i="1"/>
  <c r="AH1515" i="1"/>
  <c r="AG1515" i="1"/>
  <c r="AF1515" i="1"/>
  <c r="AE1515" i="1"/>
  <c r="AD1515" i="1"/>
  <c r="AC1515" i="1"/>
  <c r="AB1515" i="1"/>
  <c r="W1515" i="1"/>
  <c r="V1515" i="1"/>
  <c r="AS1514" i="1"/>
  <c r="AA1514" i="1" s="1"/>
  <c r="AO1514" i="1"/>
  <c r="AN1514" i="1"/>
  <c r="AM1514" i="1"/>
  <c r="AL1514" i="1"/>
  <c r="AK1514" i="1"/>
  <c r="AJ1514" i="1"/>
  <c r="AI1514" i="1"/>
  <c r="AH1514" i="1"/>
  <c r="AG1514" i="1"/>
  <c r="AF1514" i="1"/>
  <c r="AE1514" i="1"/>
  <c r="AD1514" i="1"/>
  <c r="AC1514" i="1"/>
  <c r="AB1514" i="1"/>
  <c r="W1514" i="1"/>
  <c r="V1514" i="1"/>
  <c r="AS1513" i="1"/>
  <c r="AA1513" i="1" s="1"/>
  <c r="AO1513" i="1"/>
  <c r="AN1513" i="1"/>
  <c r="AM1513" i="1"/>
  <c r="AL1513" i="1"/>
  <c r="AK1513" i="1"/>
  <c r="AJ1513" i="1"/>
  <c r="AI1513" i="1"/>
  <c r="AH1513" i="1"/>
  <c r="AG1513" i="1"/>
  <c r="AF1513" i="1"/>
  <c r="AE1513" i="1"/>
  <c r="AD1513" i="1"/>
  <c r="AC1513" i="1"/>
  <c r="AB1513" i="1"/>
  <c r="W1513" i="1"/>
  <c r="V1513" i="1"/>
  <c r="AS1512" i="1"/>
  <c r="AA1512" i="1" s="1"/>
  <c r="AO1512" i="1"/>
  <c r="AN1512" i="1"/>
  <c r="AM1512" i="1"/>
  <c r="AL1512" i="1"/>
  <c r="AK1512" i="1"/>
  <c r="AJ1512" i="1"/>
  <c r="AI1512" i="1"/>
  <c r="AH1512" i="1"/>
  <c r="AG1512" i="1"/>
  <c r="AF1512" i="1"/>
  <c r="AE1512" i="1"/>
  <c r="AD1512" i="1"/>
  <c r="AC1512" i="1"/>
  <c r="AB1512" i="1"/>
  <c r="W1512" i="1"/>
  <c r="V1512" i="1"/>
  <c r="AS1511" i="1"/>
  <c r="AA1511" i="1" s="1"/>
  <c r="AO1511" i="1"/>
  <c r="AN1511" i="1"/>
  <c r="AM1511" i="1"/>
  <c r="AL1511" i="1"/>
  <c r="AK1511" i="1"/>
  <c r="AJ1511" i="1"/>
  <c r="AI1511" i="1"/>
  <c r="AH1511" i="1"/>
  <c r="AG1511" i="1"/>
  <c r="AF1511" i="1"/>
  <c r="AE1511" i="1"/>
  <c r="AD1511" i="1"/>
  <c r="AC1511" i="1"/>
  <c r="AB1511" i="1"/>
  <c r="W1511" i="1"/>
  <c r="V1511" i="1"/>
  <c r="AS1510" i="1"/>
  <c r="AA1510" i="1" s="1"/>
  <c r="AO1510" i="1"/>
  <c r="AN1510" i="1"/>
  <c r="AM1510" i="1"/>
  <c r="AL1510" i="1"/>
  <c r="AK1510" i="1"/>
  <c r="AJ1510" i="1"/>
  <c r="AI1510" i="1"/>
  <c r="AH1510" i="1"/>
  <c r="AG1510" i="1"/>
  <c r="AF1510" i="1"/>
  <c r="AE1510" i="1"/>
  <c r="AD1510" i="1"/>
  <c r="AC1510" i="1"/>
  <c r="AB1510" i="1"/>
  <c r="W1510" i="1"/>
  <c r="V1510" i="1"/>
  <c r="AS1509" i="1"/>
  <c r="AA1509" i="1" s="1"/>
  <c r="AO1509" i="1"/>
  <c r="AN1509" i="1"/>
  <c r="AM1509" i="1"/>
  <c r="AL1509" i="1"/>
  <c r="AK1509" i="1"/>
  <c r="AJ1509" i="1"/>
  <c r="AI1509" i="1"/>
  <c r="AH1509" i="1"/>
  <c r="AG1509" i="1"/>
  <c r="AF1509" i="1"/>
  <c r="AE1509" i="1"/>
  <c r="AD1509" i="1"/>
  <c r="AC1509" i="1"/>
  <c r="AB1509" i="1"/>
  <c r="W1509" i="1"/>
  <c r="V1509" i="1"/>
  <c r="AS1508" i="1"/>
  <c r="AA1508" i="1" s="1"/>
  <c r="AO1508" i="1"/>
  <c r="AN1508" i="1"/>
  <c r="AM1508" i="1"/>
  <c r="AL1508" i="1"/>
  <c r="AK1508" i="1"/>
  <c r="AJ1508" i="1"/>
  <c r="AI1508" i="1"/>
  <c r="AH1508" i="1"/>
  <c r="AG1508" i="1"/>
  <c r="AF1508" i="1"/>
  <c r="AE1508" i="1"/>
  <c r="AD1508" i="1"/>
  <c r="AC1508" i="1"/>
  <c r="AB1508" i="1"/>
  <c r="W1508" i="1"/>
  <c r="V1508" i="1"/>
  <c r="AS1507" i="1"/>
  <c r="AA1507" i="1" s="1"/>
  <c r="AO1507" i="1"/>
  <c r="AN1507" i="1"/>
  <c r="AM1507" i="1"/>
  <c r="AL1507" i="1"/>
  <c r="AK1507" i="1"/>
  <c r="AJ1507" i="1"/>
  <c r="AI1507" i="1"/>
  <c r="AH1507" i="1"/>
  <c r="AG1507" i="1"/>
  <c r="AF1507" i="1"/>
  <c r="AE1507" i="1"/>
  <c r="AD1507" i="1"/>
  <c r="AC1507" i="1"/>
  <c r="AB1507" i="1"/>
  <c r="W1507" i="1"/>
  <c r="V1507" i="1"/>
  <c r="AS1506" i="1"/>
  <c r="AA1506" i="1" s="1"/>
  <c r="AO1506" i="1"/>
  <c r="AN1506" i="1"/>
  <c r="AM1506" i="1"/>
  <c r="AL1506" i="1"/>
  <c r="AK1506" i="1"/>
  <c r="AJ1506" i="1"/>
  <c r="AI1506" i="1"/>
  <c r="AH1506" i="1"/>
  <c r="AG1506" i="1"/>
  <c r="AF1506" i="1"/>
  <c r="AE1506" i="1"/>
  <c r="AD1506" i="1"/>
  <c r="AC1506" i="1"/>
  <c r="AB1506" i="1"/>
  <c r="W1506" i="1"/>
  <c r="V1506" i="1"/>
  <c r="AS1505" i="1"/>
  <c r="AA1505" i="1" s="1"/>
  <c r="AO1505" i="1"/>
  <c r="AN1505" i="1"/>
  <c r="AM1505" i="1"/>
  <c r="AL1505" i="1"/>
  <c r="AK1505" i="1"/>
  <c r="AJ1505" i="1"/>
  <c r="AI1505" i="1"/>
  <c r="AH1505" i="1"/>
  <c r="AG1505" i="1"/>
  <c r="AF1505" i="1"/>
  <c r="AE1505" i="1"/>
  <c r="AD1505" i="1"/>
  <c r="AC1505" i="1"/>
  <c r="AB1505" i="1"/>
  <c r="W1505" i="1"/>
  <c r="V1505" i="1"/>
  <c r="AS1504" i="1"/>
  <c r="AA1504" i="1" s="1"/>
  <c r="AO1504" i="1"/>
  <c r="AN1504" i="1"/>
  <c r="AM1504" i="1"/>
  <c r="AL1504" i="1"/>
  <c r="AK1504" i="1"/>
  <c r="AJ1504" i="1"/>
  <c r="AI1504" i="1"/>
  <c r="AH1504" i="1"/>
  <c r="AG1504" i="1"/>
  <c r="AF1504" i="1"/>
  <c r="AE1504" i="1"/>
  <c r="AD1504" i="1"/>
  <c r="AC1504" i="1"/>
  <c r="AB1504" i="1"/>
  <c r="W1504" i="1"/>
  <c r="V1504" i="1"/>
  <c r="AS1503" i="1"/>
  <c r="AA1503" i="1" s="1"/>
  <c r="AO1503" i="1"/>
  <c r="AN1503" i="1"/>
  <c r="AM1503" i="1"/>
  <c r="AL1503" i="1"/>
  <c r="AK1503" i="1"/>
  <c r="AJ1503" i="1"/>
  <c r="AI1503" i="1"/>
  <c r="AH1503" i="1"/>
  <c r="AG1503" i="1"/>
  <c r="AF1503" i="1"/>
  <c r="AE1503" i="1"/>
  <c r="AD1503" i="1"/>
  <c r="AC1503" i="1"/>
  <c r="AB1503" i="1"/>
  <c r="W1503" i="1"/>
  <c r="V1503" i="1"/>
  <c r="AS1502" i="1"/>
  <c r="AA1502" i="1" s="1"/>
  <c r="AO1502" i="1"/>
  <c r="AN1502" i="1"/>
  <c r="AM1502" i="1"/>
  <c r="AL1502" i="1"/>
  <c r="AK1502" i="1"/>
  <c r="AJ1502" i="1"/>
  <c r="AI1502" i="1"/>
  <c r="AH1502" i="1"/>
  <c r="AG1502" i="1"/>
  <c r="AF1502" i="1"/>
  <c r="AE1502" i="1"/>
  <c r="AD1502" i="1"/>
  <c r="AC1502" i="1"/>
  <c r="AB1502" i="1"/>
  <c r="W1502" i="1"/>
  <c r="V1502" i="1"/>
  <c r="AS1501" i="1"/>
  <c r="AA1501" i="1" s="1"/>
  <c r="AO1501" i="1"/>
  <c r="AN1501" i="1"/>
  <c r="AM1501" i="1"/>
  <c r="AL1501" i="1"/>
  <c r="AK1501" i="1"/>
  <c r="AJ1501" i="1"/>
  <c r="AI1501" i="1"/>
  <c r="AH1501" i="1"/>
  <c r="AG1501" i="1"/>
  <c r="AF1501" i="1"/>
  <c r="AE1501" i="1"/>
  <c r="AD1501" i="1"/>
  <c r="AC1501" i="1"/>
  <c r="AB1501" i="1"/>
  <c r="W1501" i="1"/>
  <c r="V1501" i="1"/>
  <c r="AS1500" i="1"/>
  <c r="AA1500" i="1" s="1"/>
  <c r="AO1500" i="1"/>
  <c r="AN1500" i="1"/>
  <c r="AM1500" i="1"/>
  <c r="AL1500" i="1"/>
  <c r="AK1500" i="1"/>
  <c r="AJ1500" i="1"/>
  <c r="AI1500" i="1"/>
  <c r="AH1500" i="1"/>
  <c r="AG1500" i="1"/>
  <c r="AF1500" i="1"/>
  <c r="AE1500" i="1"/>
  <c r="AD1500" i="1"/>
  <c r="AC1500" i="1"/>
  <c r="AB1500" i="1"/>
  <c r="W1500" i="1"/>
  <c r="V1500" i="1"/>
  <c r="AS1499" i="1"/>
  <c r="AA1499" i="1" s="1"/>
  <c r="AO1499" i="1"/>
  <c r="AN1499" i="1"/>
  <c r="AM1499" i="1"/>
  <c r="AL1499" i="1"/>
  <c r="AK1499" i="1"/>
  <c r="AJ1499" i="1"/>
  <c r="AI1499" i="1"/>
  <c r="AH1499" i="1"/>
  <c r="AG1499" i="1"/>
  <c r="AF1499" i="1"/>
  <c r="AE1499" i="1"/>
  <c r="AD1499" i="1"/>
  <c r="AC1499" i="1"/>
  <c r="AB1499" i="1"/>
  <c r="W1499" i="1"/>
  <c r="V1499" i="1"/>
  <c r="AS1498" i="1"/>
  <c r="AA1498" i="1" s="1"/>
  <c r="AO1498" i="1"/>
  <c r="AN1498" i="1"/>
  <c r="AM1498" i="1"/>
  <c r="AL1498" i="1"/>
  <c r="AK1498" i="1"/>
  <c r="AJ1498" i="1"/>
  <c r="AI1498" i="1"/>
  <c r="AH1498" i="1"/>
  <c r="AG1498" i="1"/>
  <c r="AF1498" i="1"/>
  <c r="AE1498" i="1"/>
  <c r="AD1498" i="1"/>
  <c r="AC1498" i="1"/>
  <c r="AB1498" i="1"/>
  <c r="W1498" i="1"/>
  <c r="V1498" i="1"/>
  <c r="AS1497" i="1"/>
  <c r="AA1497" i="1" s="1"/>
  <c r="AO1497" i="1"/>
  <c r="AN1497" i="1"/>
  <c r="AM1497" i="1"/>
  <c r="AL1497" i="1"/>
  <c r="AK1497" i="1"/>
  <c r="AJ1497" i="1"/>
  <c r="AI1497" i="1"/>
  <c r="AH1497" i="1"/>
  <c r="AG1497" i="1"/>
  <c r="AF1497" i="1"/>
  <c r="AE1497" i="1"/>
  <c r="AD1497" i="1"/>
  <c r="AC1497" i="1"/>
  <c r="AB1497" i="1"/>
  <c r="W1497" i="1"/>
  <c r="V1497" i="1"/>
  <c r="AS1496" i="1"/>
  <c r="AA1496" i="1" s="1"/>
  <c r="AO1496" i="1"/>
  <c r="AN1496" i="1"/>
  <c r="AM1496" i="1"/>
  <c r="AL1496" i="1"/>
  <c r="AK1496" i="1"/>
  <c r="AJ1496" i="1"/>
  <c r="AI1496" i="1"/>
  <c r="AH1496" i="1"/>
  <c r="AG1496" i="1"/>
  <c r="AF1496" i="1"/>
  <c r="AE1496" i="1"/>
  <c r="AD1496" i="1"/>
  <c r="AC1496" i="1"/>
  <c r="AB1496" i="1"/>
  <c r="W1496" i="1"/>
  <c r="V1496" i="1"/>
  <c r="AS1495" i="1"/>
  <c r="AA1495" i="1" s="1"/>
  <c r="AO1495" i="1"/>
  <c r="AN1495" i="1"/>
  <c r="AM1495" i="1"/>
  <c r="AL1495" i="1"/>
  <c r="AK1495" i="1"/>
  <c r="AJ1495" i="1"/>
  <c r="AI1495" i="1"/>
  <c r="AH1495" i="1"/>
  <c r="AG1495" i="1"/>
  <c r="AF1495" i="1"/>
  <c r="AE1495" i="1"/>
  <c r="AD1495" i="1"/>
  <c r="AC1495" i="1"/>
  <c r="AB1495" i="1"/>
  <c r="W1495" i="1"/>
  <c r="V1495" i="1"/>
  <c r="AS1494" i="1"/>
  <c r="AA1494" i="1" s="1"/>
  <c r="AO1494" i="1"/>
  <c r="AN1494" i="1"/>
  <c r="AM1494" i="1"/>
  <c r="AL1494" i="1"/>
  <c r="AK1494" i="1"/>
  <c r="AJ1494" i="1"/>
  <c r="AI1494" i="1"/>
  <c r="AH1494" i="1"/>
  <c r="AG1494" i="1"/>
  <c r="AF1494" i="1"/>
  <c r="AE1494" i="1"/>
  <c r="AD1494" i="1"/>
  <c r="AC1494" i="1"/>
  <c r="AB1494" i="1"/>
  <c r="W1494" i="1"/>
  <c r="V1494" i="1"/>
  <c r="AS1493" i="1"/>
  <c r="AA1493" i="1" s="1"/>
  <c r="AO1493" i="1"/>
  <c r="AN1493" i="1"/>
  <c r="AM1493" i="1"/>
  <c r="AL1493" i="1"/>
  <c r="AK1493" i="1"/>
  <c r="AJ1493" i="1"/>
  <c r="AI1493" i="1"/>
  <c r="AH1493" i="1"/>
  <c r="AG1493" i="1"/>
  <c r="AF1493" i="1"/>
  <c r="AE1493" i="1"/>
  <c r="AD1493" i="1"/>
  <c r="AC1493" i="1"/>
  <c r="AB1493" i="1"/>
  <c r="W1493" i="1"/>
  <c r="V1493" i="1"/>
  <c r="AS1492" i="1"/>
  <c r="AA1492" i="1" s="1"/>
  <c r="AO1492" i="1"/>
  <c r="AN1492" i="1"/>
  <c r="AM1492" i="1"/>
  <c r="AL1492" i="1"/>
  <c r="AK1492" i="1"/>
  <c r="AJ1492" i="1"/>
  <c r="AI1492" i="1"/>
  <c r="AH1492" i="1"/>
  <c r="AG1492" i="1"/>
  <c r="AF1492" i="1"/>
  <c r="AE1492" i="1"/>
  <c r="AD1492" i="1"/>
  <c r="AC1492" i="1"/>
  <c r="AB1492" i="1"/>
  <c r="W1492" i="1"/>
  <c r="V1492" i="1"/>
  <c r="AS1491" i="1"/>
  <c r="AA1491" i="1" s="1"/>
  <c r="AO1491" i="1"/>
  <c r="AN1491" i="1"/>
  <c r="AM1491" i="1"/>
  <c r="AL1491" i="1"/>
  <c r="AK1491" i="1"/>
  <c r="AJ1491" i="1"/>
  <c r="AI1491" i="1"/>
  <c r="AH1491" i="1"/>
  <c r="AG1491" i="1"/>
  <c r="AF1491" i="1"/>
  <c r="AE1491" i="1"/>
  <c r="AD1491" i="1"/>
  <c r="AC1491" i="1"/>
  <c r="AB1491" i="1"/>
  <c r="W1491" i="1"/>
  <c r="V1491" i="1"/>
  <c r="AS1490" i="1"/>
  <c r="AA1490" i="1" s="1"/>
  <c r="AO1490" i="1"/>
  <c r="AN1490" i="1"/>
  <c r="AM1490" i="1"/>
  <c r="AL1490" i="1"/>
  <c r="AK1490" i="1"/>
  <c r="AJ1490" i="1"/>
  <c r="AI1490" i="1"/>
  <c r="AH1490" i="1"/>
  <c r="AG1490" i="1"/>
  <c r="AF1490" i="1"/>
  <c r="AE1490" i="1"/>
  <c r="AD1490" i="1"/>
  <c r="AC1490" i="1"/>
  <c r="AB1490" i="1"/>
  <c r="W1490" i="1"/>
  <c r="V1490" i="1"/>
  <c r="AS1489" i="1"/>
  <c r="AA1489" i="1" s="1"/>
  <c r="AO1489" i="1"/>
  <c r="AN1489" i="1"/>
  <c r="AM1489" i="1"/>
  <c r="AL1489" i="1"/>
  <c r="AK1489" i="1"/>
  <c r="AJ1489" i="1"/>
  <c r="AI1489" i="1"/>
  <c r="AH1489" i="1"/>
  <c r="AG1489" i="1"/>
  <c r="AF1489" i="1"/>
  <c r="AE1489" i="1"/>
  <c r="AD1489" i="1"/>
  <c r="AC1489" i="1"/>
  <c r="AB1489" i="1"/>
  <c r="W1489" i="1"/>
  <c r="V1489" i="1"/>
  <c r="AS1488" i="1"/>
  <c r="AA1488" i="1" s="1"/>
  <c r="AO1488" i="1"/>
  <c r="AN1488" i="1"/>
  <c r="AM1488" i="1"/>
  <c r="AL1488" i="1"/>
  <c r="AK1488" i="1"/>
  <c r="AJ1488" i="1"/>
  <c r="AI1488" i="1"/>
  <c r="AH1488" i="1"/>
  <c r="AG1488" i="1"/>
  <c r="AF1488" i="1"/>
  <c r="AE1488" i="1"/>
  <c r="AD1488" i="1"/>
  <c r="AC1488" i="1"/>
  <c r="AB1488" i="1"/>
  <c r="W1488" i="1"/>
  <c r="V1488" i="1"/>
  <c r="AS1487" i="1"/>
  <c r="AA1487" i="1" s="1"/>
  <c r="AO1487" i="1"/>
  <c r="AN1487" i="1"/>
  <c r="AM1487" i="1"/>
  <c r="AL1487" i="1"/>
  <c r="AK1487" i="1"/>
  <c r="AJ1487" i="1"/>
  <c r="AI1487" i="1"/>
  <c r="AH1487" i="1"/>
  <c r="AG1487" i="1"/>
  <c r="AF1487" i="1"/>
  <c r="AE1487" i="1"/>
  <c r="AD1487" i="1"/>
  <c r="AC1487" i="1"/>
  <c r="AB1487" i="1"/>
  <c r="W1487" i="1"/>
  <c r="V1487" i="1"/>
  <c r="AS1486" i="1"/>
  <c r="AA1486" i="1" s="1"/>
  <c r="AO1486" i="1"/>
  <c r="AN1486" i="1"/>
  <c r="AM1486" i="1"/>
  <c r="AL1486" i="1"/>
  <c r="AK1486" i="1"/>
  <c r="AJ1486" i="1"/>
  <c r="AI1486" i="1"/>
  <c r="AH1486" i="1"/>
  <c r="AG1486" i="1"/>
  <c r="AF1486" i="1"/>
  <c r="AE1486" i="1"/>
  <c r="AD1486" i="1"/>
  <c r="AC1486" i="1"/>
  <c r="AB1486" i="1"/>
  <c r="W1486" i="1"/>
  <c r="V1486" i="1"/>
  <c r="AS1485" i="1"/>
  <c r="AA1485" i="1" s="1"/>
  <c r="AO1485" i="1"/>
  <c r="AN1485" i="1"/>
  <c r="AM1485" i="1"/>
  <c r="AL1485" i="1"/>
  <c r="AK1485" i="1"/>
  <c r="AJ1485" i="1"/>
  <c r="AI1485" i="1"/>
  <c r="AH1485" i="1"/>
  <c r="AG1485" i="1"/>
  <c r="AF1485" i="1"/>
  <c r="AE1485" i="1"/>
  <c r="AD1485" i="1"/>
  <c r="AC1485" i="1"/>
  <c r="AB1485" i="1"/>
  <c r="W1485" i="1"/>
  <c r="V1485" i="1"/>
  <c r="AS1484" i="1"/>
  <c r="AA1484" i="1" s="1"/>
  <c r="AO1484" i="1"/>
  <c r="AN1484" i="1"/>
  <c r="AM1484" i="1"/>
  <c r="AL1484" i="1"/>
  <c r="AK1484" i="1"/>
  <c r="AJ1484" i="1"/>
  <c r="AI1484" i="1"/>
  <c r="AH1484" i="1"/>
  <c r="AG1484" i="1"/>
  <c r="AF1484" i="1"/>
  <c r="AE1484" i="1"/>
  <c r="AD1484" i="1"/>
  <c r="AC1484" i="1"/>
  <c r="AB1484" i="1"/>
  <c r="W1484" i="1"/>
  <c r="V1484" i="1"/>
  <c r="AS1483" i="1"/>
  <c r="AA1483" i="1" s="1"/>
  <c r="AO1483" i="1"/>
  <c r="AN1483" i="1"/>
  <c r="AM1483" i="1"/>
  <c r="AL1483" i="1"/>
  <c r="AK1483" i="1"/>
  <c r="AJ1483" i="1"/>
  <c r="AI1483" i="1"/>
  <c r="AH1483" i="1"/>
  <c r="AG1483" i="1"/>
  <c r="AF1483" i="1"/>
  <c r="AE1483" i="1"/>
  <c r="AD1483" i="1"/>
  <c r="AC1483" i="1"/>
  <c r="AB1483" i="1"/>
  <c r="W1483" i="1"/>
  <c r="V1483" i="1"/>
  <c r="AS1482" i="1"/>
  <c r="AA1482" i="1" s="1"/>
  <c r="AO1482" i="1"/>
  <c r="AN1482" i="1"/>
  <c r="AM1482" i="1"/>
  <c r="AL1482" i="1"/>
  <c r="AK1482" i="1"/>
  <c r="AJ1482" i="1"/>
  <c r="AI1482" i="1"/>
  <c r="AH1482" i="1"/>
  <c r="AG1482" i="1"/>
  <c r="AF1482" i="1"/>
  <c r="AE1482" i="1"/>
  <c r="AD1482" i="1"/>
  <c r="AC1482" i="1"/>
  <c r="AB1482" i="1"/>
  <c r="W1482" i="1"/>
  <c r="V1482" i="1"/>
  <c r="AS1481" i="1"/>
  <c r="AA1481" i="1" s="1"/>
  <c r="AO1481" i="1"/>
  <c r="AN1481" i="1"/>
  <c r="AM1481" i="1"/>
  <c r="AL1481" i="1"/>
  <c r="AK1481" i="1"/>
  <c r="AJ1481" i="1"/>
  <c r="AI1481" i="1"/>
  <c r="AH1481" i="1"/>
  <c r="AG1481" i="1"/>
  <c r="AF1481" i="1"/>
  <c r="AE1481" i="1"/>
  <c r="AD1481" i="1"/>
  <c r="AC1481" i="1"/>
  <c r="AB1481" i="1"/>
  <c r="W1481" i="1"/>
  <c r="V1481" i="1"/>
  <c r="AS1480" i="1"/>
  <c r="AA1480" i="1" s="1"/>
  <c r="AO1480" i="1"/>
  <c r="AN1480" i="1"/>
  <c r="AM1480" i="1"/>
  <c r="AL1480" i="1"/>
  <c r="AK1480" i="1"/>
  <c r="AJ1480" i="1"/>
  <c r="AI1480" i="1"/>
  <c r="AH1480" i="1"/>
  <c r="AG1480" i="1"/>
  <c r="AF1480" i="1"/>
  <c r="AE1480" i="1"/>
  <c r="AD1480" i="1"/>
  <c r="AC1480" i="1"/>
  <c r="AB1480" i="1"/>
  <c r="W1480" i="1"/>
  <c r="V1480" i="1"/>
  <c r="AS1479" i="1"/>
  <c r="AA1479" i="1" s="1"/>
  <c r="AO1479" i="1"/>
  <c r="AN1479" i="1"/>
  <c r="AM1479" i="1"/>
  <c r="AL1479" i="1"/>
  <c r="AK1479" i="1"/>
  <c r="AJ1479" i="1"/>
  <c r="AI1479" i="1"/>
  <c r="AH1479" i="1"/>
  <c r="AG1479" i="1"/>
  <c r="AF1479" i="1"/>
  <c r="AE1479" i="1"/>
  <c r="AD1479" i="1"/>
  <c r="AC1479" i="1"/>
  <c r="AB1479" i="1"/>
  <c r="W1479" i="1"/>
  <c r="V1479" i="1"/>
  <c r="AS1478" i="1"/>
  <c r="AA1478" i="1" s="1"/>
  <c r="AO1478" i="1"/>
  <c r="AN1478" i="1"/>
  <c r="AM1478" i="1"/>
  <c r="AL1478" i="1"/>
  <c r="AK1478" i="1"/>
  <c r="AJ1478" i="1"/>
  <c r="AI1478" i="1"/>
  <c r="AH1478" i="1"/>
  <c r="AG1478" i="1"/>
  <c r="AF1478" i="1"/>
  <c r="AE1478" i="1"/>
  <c r="AD1478" i="1"/>
  <c r="AC1478" i="1"/>
  <c r="AB1478" i="1"/>
  <c r="W1478" i="1"/>
  <c r="V1478" i="1"/>
  <c r="AS1477" i="1"/>
  <c r="AA1477" i="1" s="1"/>
  <c r="AO1477" i="1"/>
  <c r="AN1477" i="1"/>
  <c r="AM1477" i="1"/>
  <c r="AL1477" i="1"/>
  <c r="AK1477" i="1"/>
  <c r="AJ1477" i="1"/>
  <c r="AI1477" i="1"/>
  <c r="AH1477" i="1"/>
  <c r="AG1477" i="1"/>
  <c r="AF1477" i="1"/>
  <c r="AE1477" i="1"/>
  <c r="AD1477" i="1"/>
  <c r="AC1477" i="1"/>
  <c r="AB1477" i="1"/>
  <c r="W1477" i="1"/>
  <c r="V1477" i="1"/>
  <c r="AS1476" i="1"/>
  <c r="AA1476" i="1" s="1"/>
  <c r="AO1476" i="1"/>
  <c r="AN1476" i="1"/>
  <c r="AM1476" i="1"/>
  <c r="AL1476" i="1"/>
  <c r="AK1476" i="1"/>
  <c r="AJ1476" i="1"/>
  <c r="AI1476" i="1"/>
  <c r="AH1476" i="1"/>
  <c r="AG1476" i="1"/>
  <c r="AF1476" i="1"/>
  <c r="AE1476" i="1"/>
  <c r="AD1476" i="1"/>
  <c r="AC1476" i="1"/>
  <c r="AB1476" i="1"/>
  <c r="W1476" i="1"/>
  <c r="V1476" i="1"/>
  <c r="AS1475" i="1"/>
  <c r="AA1475" i="1" s="1"/>
  <c r="AO1475" i="1"/>
  <c r="AN1475" i="1"/>
  <c r="AM1475" i="1"/>
  <c r="AL1475" i="1"/>
  <c r="AK1475" i="1"/>
  <c r="AJ1475" i="1"/>
  <c r="AI1475" i="1"/>
  <c r="AH1475" i="1"/>
  <c r="AG1475" i="1"/>
  <c r="AF1475" i="1"/>
  <c r="AE1475" i="1"/>
  <c r="AD1475" i="1"/>
  <c r="AC1475" i="1"/>
  <c r="AB1475" i="1"/>
  <c r="W1475" i="1"/>
  <c r="V1475" i="1"/>
  <c r="AS1474" i="1"/>
  <c r="AA1474" i="1" s="1"/>
  <c r="AO1474" i="1"/>
  <c r="AN1474" i="1"/>
  <c r="AM1474" i="1"/>
  <c r="AL1474" i="1"/>
  <c r="AK1474" i="1"/>
  <c r="AJ1474" i="1"/>
  <c r="AI1474" i="1"/>
  <c r="AH1474" i="1"/>
  <c r="AG1474" i="1"/>
  <c r="AF1474" i="1"/>
  <c r="AE1474" i="1"/>
  <c r="AD1474" i="1"/>
  <c r="AC1474" i="1"/>
  <c r="AB1474" i="1"/>
  <c r="W1474" i="1"/>
  <c r="V1474" i="1"/>
  <c r="AS1473" i="1"/>
  <c r="AA1473" i="1" s="1"/>
  <c r="AO1473" i="1"/>
  <c r="AN1473" i="1"/>
  <c r="AM1473" i="1"/>
  <c r="AL1473" i="1"/>
  <c r="AK1473" i="1"/>
  <c r="AJ1473" i="1"/>
  <c r="AI1473" i="1"/>
  <c r="AH1473" i="1"/>
  <c r="AG1473" i="1"/>
  <c r="AF1473" i="1"/>
  <c r="AE1473" i="1"/>
  <c r="AD1473" i="1"/>
  <c r="AC1473" i="1"/>
  <c r="AB1473" i="1"/>
  <c r="W1473" i="1"/>
  <c r="V1473" i="1"/>
  <c r="AS1472" i="1"/>
  <c r="AA1472" i="1" s="1"/>
  <c r="AO1472" i="1"/>
  <c r="AN1472" i="1"/>
  <c r="AM1472" i="1"/>
  <c r="AL1472" i="1"/>
  <c r="AK1472" i="1"/>
  <c r="AJ1472" i="1"/>
  <c r="AI1472" i="1"/>
  <c r="AH1472" i="1"/>
  <c r="AG1472" i="1"/>
  <c r="AF1472" i="1"/>
  <c r="AE1472" i="1"/>
  <c r="AD1472" i="1"/>
  <c r="AC1472" i="1"/>
  <c r="AB1472" i="1"/>
  <c r="W1472" i="1"/>
  <c r="V1472" i="1"/>
  <c r="AS1471" i="1"/>
  <c r="AA1471" i="1" s="1"/>
  <c r="AO1471" i="1"/>
  <c r="AN1471" i="1"/>
  <c r="AM1471" i="1"/>
  <c r="AL1471" i="1"/>
  <c r="AK1471" i="1"/>
  <c r="AJ1471" i="1"/>
  <c r="AI1471" i="1"/>
  <c r="AH1471" i="1"/>
  <c r="AG1471" i="1"/>
  <c r="AF1471" i="1"/>
  <c r="AE1471" i="1"/>
  <c r="AD1471" i="1"/>
  <c r="AC1471" i="1"/>
  <c r="AB1471" i="1"/>
  <c r="W1471" i="1"/>
  <c r="V1471" i="1"/>
  <c r="AS1470" i="1"/>
  <c r="AA1470" i="1" s="1"/>
  <c r="AO1470" i="1"/>
  <c r="AN1470" i="1"/>
  <c r="AM1470" i="1"/>
  <c r="AL1470" i="1"/>
  <c r="AK1470" i="1"/>
  <c r="AJ1470" i="1"/>
  <c r="AI1470" i="1"/>
  <c r="AH1470" i="1"/>
  <c r="AG1470" i="1"/>
  <c r="AF1470" i="1"/>
  <c r="AE1470" i="1"/>
  <c r="AD1470" i="1"/>
  <c r="AC1470" i="1"/>
  <c r="AB1470" i="1"/>
  <c r="W1470" i="1"/>
  <c r="V1470" i="1"/>
  <c r="AS1469" i="1"/>
  <c r="AA1469" i="1" s="1"/>
  <c r="AO1469" i="1"/>
  <c r="AN1469" i="1"/>
  <c r="AM1469" i="1"/>
  <c r="AL1469" i="1"/>
  <c r="AK1469" i="1"/>
  <c r="AJ1469" i="1"/>
  <c r="AI1469" i="1"/>
  <c r="AH1469" i="1"/>
  <c r="AG1469" i="1"/>
  <c r="AF1469" i="1"/>
  <c r="AE1469" i="1"/>
  <c r="AD1469" i="1"/>
  <c r="AC1469" i="1"/>
  <c r="AB1469" i="1"/>
  <c r="W1469" i="1"/>
  <c r="V1469" i="1"/>
  <c r="AS1468" i="1"/>
  <c r="AA1468" i="1" s="1"/>
  <c r="AO1468" i="1"/>
  <c r="AN1468" i="1"/>
  <c r="AM1468" i="1"/>
  <c r="AL1468" i="1"/>
  <c r="AK1468" i="1"/>
  <c r="AJ1468" i="1"/>
  <c r="AI1468" i="1"/>
  <c r="AH1468" i="1"/>
  <c r="AG1468" i="1"/>
  <c r="AF1468" i="1"/>
  <c r="AE1468" i="1"/>
  <c r="AD1468" i="1"/>
  <c r="AC1468" i="1"/>
  <c r="AB1468" i="1"/>
  <c r="W1468" i="1"/>
  <c r="V1468" i="1"/>
  <c r="AS1467" i="1"/>
  <c r="AA1467" i="1" s="1"/>
  <c r="AO1467" i="1"/>
  <c r="AN1467" i="1"/>
  <c r="AM1467" i="1"/>
  <c r="AL1467" i="1"/>
  <c r="AK1467" i="1"/>
  <c r="AJ1467" i="1"/>
  <c r="AI1467" i="1"/>
  <c r="AH1467" i="1"/>
  <c r="AG1467" i="1"/>
  <c r="AF1467" i="1"/>
  <c r="AE1467" i="1"/>
  <c r="AD1467" i="1"/>
  <c r="AC1467" i="1"/>
  <c r="AB1467" i="1"/>
  <c r="W1467" i="1"/>
  <c r="V1467" i="1"/>
  <c r="AS1466" i="1"/>
  <c r="AA1466" i="1" s="1"/>
  <c r="AO1466" i="1"/>
  <c r="AN1466" i="1"/>
  <c r="AM1466" i="1"/>
  <c r="AL1466" i="1"/>
  <c r="AK1466" i="1"/>
  <c r="AJ1466" i="1"/>
  <c r="AI1466" i="1"/>
  <c r="AH1466" i="1"/>
  <c r="AG1466" i="1"/>
  <c r="AF1466" i="1"/>
  <c r="AE1466" i="1"/>
  <c r="AD1466" i="1"/>
  <c r="AC1466" i="1"/>
  <c r="AB1466" i="1"/>
  <c r="W1466" i="1"/>
  <c r="V1466" i="1"/>
  <c r="AS1465" i="1"/>
  <c r="AA1465" i="1" s="1"/>
  <c r="AO1465" i="1"/>
  <c r="AN1465" i="1"/>
  <c r="AM1465" i="1"/>
  <c r="AL1465" i="1"/>
  <c r="AK1465" i="1"/>
  <c r="AJ1465" i="1"/>
  <c r="AI1465" i="1"/>
  <c r="AH1465" i="1"/>
  <c r="AG1465" i="1"/>
  <c r="AF1465" i="1"/>
  <c r="AE1465" i="1"/>
  <c r="AD1465" i="1"/>
  <c r="AC1465" i="1"/>
  <c r="AB1465" i="1"/>
  <c r="W1465" i="1"/>
  <c r="V1465" i="1"/>
  <c r="AS1464" i="1"/>
  <c r="AA1464" i="1" s="1"/>
  <c r="AO1464" i="1"/>
  <c r="AN1464" i="1"/>
  <c r="AM1464" i="1"/>
  <c r="AL1464" i="1"/>
  <c r="AK1464" i="1"/>
  <c r="AJ1464" i="1"/>
  <c r="AI1464" i="1"/>
  <c r="AH1464" i="1"/>
  <c r="AG1464" i="1"/>
  <c r="AF1464" i="1"/>
  <c r="AE1464" i="1"/>
  <c r="AD1464" i="1"/>
  <c r="AC1464" i="1"/>
  <c r="AB1464" i="1"/>
  <c r="W1464" i="1"/>
  <c r="V1464" i="1"/>
  <c r="AS1463" i="1"/>
  <c r="AA1463" i="1" s="1"/>
  <c r="AO1463" i="1"/>
  <c r="AN1463" i="1"/>
  <c r="AM1463" i="1"/>
  <c r="AL1463" i="1"/>
  <c r="AK1463" i="1"/>
  <c r="AJ1463" i="1"/>
  <c r="AI1463" i="1"/>
  <c r="AH1463" i="1"/>
  <c r="AG1463" i="1"/>
  <c r="AF1463" i="1"/>
  <c r="AE1463" i="1"/>
  <c r="AD1463" i="1"/>
  <c r="AC1463" i="1"/>
  <c r="AB1463" i="1"/>
  <c r="W1463" i="1"/>
  <c r="V1463" i="1"/>
  <c r="AS1462" i="1"/>
  <c r="AA1462" i="1" s="1"/>
  <c r="AO1462" i="1"/>
  <c r="AN1462" i="1"/>
  <c r="AM1462" i="1"/>
  <c r="AL1462" i="1"/>
  <c r="AK1462" i="1"/>
  <c r="AJ1462" i="1"/>
  <c r="AI1462" i="1"/>
  <c r="AH1462" i="1"/>
  <c r="AG1462" i="1"/>
  <c r="AF1462" i="1"/>
  <c r="AE1462" i="1"/>
  <c r="AD1462" i="1"/>
  <c r="AC1462" i="1"/>
  <c r="AB1462" i="1"/>
  <c r="W1462" i="1"/>
  <c r="V1462" i="1"/>
  <c r="AS1461" i="1"/>
  <c r="AA1461" i="1" s="1"/>
  <c r="AO1461" i="1"/>
  <c r="AN1461" i="1"/>
  <c r="AM1461" i="1"/>
  <c r="AL1461" i="1"/>
  <c r="AK1461" i="1"/>
  <c r="AJ1461" i="1"/>
  <c r="AI1461" i="1"/>
  <c r="AH1461" i="1"/>
  <c r="AG1461" i="1"/>
  <c r="AF1461" i="1"/>
  <c r="AE1461" i="1"/>
  <c r="AD1461" i="1"/>
  <c r="AC1461" i="1"/>
  <c r="AB1461" i="1"/>
  <c r="W1461" i="1"/>
  <c r="V1461" i="1"/>
  <c r="AS1460" i="1"/>
  <c r="AA1460" i="1" s="1"/>
  <c r="AO1460" i="1"/>
  <c r="AN1460" i="1"/>
  <c r="AM1460" i="1"/>
  <c r="AL1460" i="1"/>
  <c r="AK1460" i="1"/>
  <c r="AJ1460" i="1"/>
  <c r="AI1460" i="1"/>
  <c r="AH1460" i="1"/>
  <c r="AG1460" i="1"/>
  <c r="AF1460" i="1"/>
  <c r="AE1460" i="1"/>
  <c r="AD1460" i="1"/>
  <c r="AC1460" i="1"/>
  <c r="AB1460" i="1"/>
  <c r="W1460" i="1"/>
  <c r="V1460" i="1"/>
  <c r="AS1459" i="1"/>
  <c r="AA1459" i="1" s="1"/>
  <c r="AO1459" i="1"/>
  <c r="AN1459" i="1"/>
  <c r="AM1459" i="1"/>
  <c r="AL1459" i="1"/>
  <c r="AK1459" i="1"/>
  <c r="AJ1459" i="1"/>
  <c r="AI1459" i="1"/>
  <c r="AH1459" i="1"/>
  <c r="AG1459" i="1"/>
  <c r="AF1459" i="1"/>
  <c r="AE1459" i="1"/>
  <c r="AD1459" i="1"/>
  <c r="AC1459" i="1"/>
  <c r="AB1459" i="1"/>
  <c r="W1459" i="1"/>
  <c r="V1459" i="1"/>
  <c r="AS1458" i="1"/>
  <c r="AA1458" i="1" s="1"/>
  <c r="AO1458" i="1"/>
  <c r="AN1458" i="1"/>
  <c r="AM1458" i="1"/>
  <c r="AL1458" i="1"/>
  <c r="AK1458" i="1"/>
  <c r="AJ1458" i="1"/>
  <c r="AI1458" i="1"/>
  <c r="AH1458" i="1"/>
  <c r="AG1458" i="1"/>
  <c r="AF1458" i="1"/>
  <c r="AE1458" i="1"/>
  <c r="AD1458" i="1"/>
  <c r="AC1458" i="1"/>
  <c r="AB1458" i="1"/>
  <c r="W1458" i="1"/>
  <c r="V1458" i="1"/>
  <c r="AS1457" i="1"/>
  <c r="AA1457" i="1" s="1"/>
  <c r="AO1457" i="1"/>
  <c r="AN1457" i="1"/>
  <c r="AM1457" i="1"/>
  <c r="AL1457" i="1"/>
  <c r="AK1457" i="1"/>
  <c r="AJ1457" i="1"/>
  <c r="AI1457" i="1"/>
  <c r="AH1457" i="1"/>
  <c r="AG1457" i="1"/>
  <c r="AF1457" i="1"/>
  <c r="AE1457" i="1"/>
  <c r="AD1457" i="1"/>
  <c r="AC1457" i="1"/>
  <c r="AB1457" i="1"/>
  <c r="W1457" i="1"/>
  <c r="V1457" i="1"/>
  <c r="AS1456" i="1"/>
  <c r="AA1456" i="1" s="1"/>
  <c r="AO1456" i="1"/>
  <c r="AN1456" i="1"/>
  <c r="AM1456" i="1"/>
  <c r="AL1456" i="1"/>
  <c r="AK1456" i="1"/>
  <c r="AJ1456" i="1"/>
  <c r="AI1456" i="1"/>
  <c r="AH1456" i="1"/>
  <c r="AG1456" i="1"/>
  <c r="AF1456" i="1"/>
  <c r="AE1456" i="1"/>
  <c r="AD1456" i="1"/>
  <c r="AC1456" i="1"/>
  <c r="AB1456" i="1"/>
  <c r="W1456" i="1"/>
  <c r="V1456" i="1"/>
  <c r="AS1455" i="1"/>
  <c r="AA1455" i="1" s="1"/>
  <c r="AO1455" i="1"/>
  <c r="AN1455" i="1"/>
  <c r="AM1455" i="1"/>
  <c r="AL1455" i="1"/>
  <c r="AK1455" i="1"/>
  <c r="AJ1455" i="1"/>
  <c r="AI1455" i="1"/>
  <c r="AH1455" i="1"/>
  <c r="AG1455" i="1"/>
  <c r="AF1455" i="1"/>
  <c r="AE1455" i="1"/>
  <c r="AD1455" i="1"/>
  <c r="AC1455" i="1"/>
  <c r="AB1455" i="1"/>
  <c r="W1455" i="1"/>
  <c r="V1455" i="1"/>
  <c r="AS1454" i="1"/>
  <c r="AA1454" i="1" s="1"/>
  <c r="AO1454" i="1"/>
  <c r="AN1454" i="1"/>
  <c r="AM1454" i="1"/>
  <c r="AL1454" i="1"/>
  <c r="AK1454" i="1"/>
  <c r="AJ1454" i="1"/>
  <c r="AI1454" i="1"/>
  <c r="AH1454" i="1"/>
  <c r="AG1454" i="1"/>
  <c r="AF1454" i="1"/>
  <c r="AE1454" i="1"/>
  <c r="AD1454" i="1"/>
  <c r="AC1454" i="1"/>
  <c r="AB1454" i="1"/>
  <c r="W1454" i="1"/>
  <c r="V1454" i="1"/>
  <c r="AS1453" i="1"/>
  <c r="AA1453" i="1" s="1"/>
  <c r="AO1453" i="1"/>
  <c r="AN1453" i="1"/>
  <c r="AM1453" i="1"/>
  <c r="AL1453" i="1"/>
  <c r="AK1453" i="1"/>
  <c r="AJ1453" i="1"/>
  <c r="AI1453" i="1"/>
  <c r="AH1453" i="1"/>
  <c r="AG1453" i="1"/>
  <c r="AF1453" i="1"/>
  <c r="AE1453" i="1"/>
  <c r="AD1453" i="1"/>
  <c r="AC1453" i="1"/>
  <c r="AB1453" i="1"/>
  <c r="W1453" i="1"/>
  <c r="V1453" i="1"/>
  <c r="AS1452" i="1"/>
  <c r="AA1452" i="1" s="1"/>
  <c r="AO1452" i="1"/>
  <c r="AN1452" i="1"/>
  <c r="AM1452" i="1"/>
  <c r="AL1452" i="1"/>
  <c r="AK1452" i="1"/>
  <c r="AJ1452" i="1"/>
  <c r="AI1452" i="1"/>
  <c r="AH1452" i="1"/>
  <c r="AG1452" i="1"/>
  <c r="AF1452" i="1"/>
  <c r="AE1452" i="1"/>
  <c r="AD1452" i="1"/>
  <c r="AC1452" i="1"/>
  <c r="AB1452" i="1"/>
  <c r="W1452" i="1"/>
  <c r="V1452" i="1"/>
  <c r="AS1451" i="1"/>
  <c r="AA1451" i="1" s="1"/>
  <c r="AO1451" i="1"/>
  <c r="AN1451" i="1"/>
  <c r="AM1451" i="1"/>
  <c r="AL1451" i="1"/>
  <c r="AK1451" i="1"/>
  <c r="AJ1451" i="1"/>
  <c r="AI1451" i="1"/>
  <c r="AH1451" i="1"/>
  <c r="AG1451" i="1"/>
  <c r="AF1451" i="1"/>
  <c r="AE1451" i="1"/>
  <c r="AD1451" i="1"/>
  <c r="AC1451" i="1"/>
  <c r="AB1451" i="1"/>
  <c r="W1451" i="1"/>
  <c r="V1451" i="1"/>
  <c r="AS1450" i="1"/>
  <c r="AA1450" i="1" s="1"/>
  <c r="AO1450" i="1"/>
  <c r="AN1450" i="1"/>
  <c r="AM1450" i="1"/>
  <c r="AL1450" i="1"/>
  <c r="AK1450" i="1"/>
  <c r="AJ1450" i="1"/>
  <c r="AI1450" i="1"/>
  <c r="AH1450" i="1"/>
  <c r="AG1450" i="1"/>
  <c r="AF1450" i="1"/>
  <c r="AE1450" i="1"/>
  <c r="AD1450" i="1"/>
  <c r="AC1450" i="1"/>
  <c r="AB1450" i="1"/>
  <c r="W1450" i="1"/>
  <c r="V1450" i="1"/>
  <c r="AS1449" i="1"/>
  <c r="AA1449" i="1" s="1"/>
  <c r="AO1449" i="1"/>
  <c r="AN1449" i="1"/>
  <c r="AM1449" i="1"/>
  <c r="AL1449" i="1"/>
  <c r="AK1449" i="1"/>
  <c r="AJ1449" i="1"/>
  <c r="AI1449" i="1"/>
  <c r="AH1449" i="1"/>
  <c r="AG1449" i="1"/>
  <c r="AF1449" i="1"/>
  <c r="AE1449" i="1"/>
  <c r="AD1449" i="1"/>
  <c r="AC1449" i="1"/>
  <c r="AB1449" i="1"/>
  <c r="W1449" i="1"/>
  <c r="V1449" i="1"/>
  <c r="AS1448" i="1"/>
  <c r="AA1448" i="1" s="1"/>
  <c r="AO1448" i="1"/>
  <c r="AN1448" i="1"/>
  <c r="AM1448" i="1"/>
  <c r="AL1448" i="1"/>
  <c r="AK1448" i="1"/>
  <c r="AJ1448" i="1"/>
  <c r="AI1448" i="1"/>
  <c r="AH1448" i="1"/>
  <c r="AG1448" i="1"/>
  <c r="AF1448" i="1"/>
  <c r="AE1448" i="1"/>
  <c r="AD1448" i="1"/>
  <c r="AC1448" i="1"/>
  <c r="AB1448" i="1"/>
  <c r="W1448" i="1"/>
  <c r="V1448" i="1"/>
  <c r="AS1447" i="1"/>
  <c r="AA1447" i="1" s="1"/>
  <c r="AO1447" i="1"/>
  <c r="AN1447" i="1"/>
  <c r="AM1447" i="1"/>
  <c r="AL1447" i="1"/>
  <c r="AK1447" i="1"/>
  <c r="AJ1447" i="1"/>
  <c r="AI1447" i="1"/>
  <c r="AH1447" i="1"/>
  <c r="AG1447" i="1"/>
  <c r="AF1447" i="1"/>
  <c r="AE1447" i="1"/>
  <c r="AD1447" i="1"/>
  <c r="AC1447" i="1"/>
  <c r="AB1447" i="1"/>
  <c r="W1447" i="1"/>
  <c r="V1447" i="1"/>
  <c r="AS1446" i="1"/>
  <c r="AA1446" i="1" s="1"/>
  <c r="AO1446" i="1"/>
  <c r="AN1446" i="1"/>
  <c r="AM1446" i="1"/>
  <c r="AL1446" i="1"/>
  <c r="AK1446" i="1"/>
  <c r="AJ1446" i="1"/>
  <c r="AI1446" i="1"/>
  <c r="AH1446" i="1"/>
  <c r="AG1446" i="1"/>
  <c r="AF1446" i="1"/>
  <c r="AE1446" i="1"/>
  <c r="AD1446" i="1"/>
  <c r="AC1446" i="1"/>
  <c r="AB1446" i="1"/>
  <c r="W1446" i="1"/>
  <c r="V1446" i="1"/>
  <c r="AS1445" i="1"/>
  <c r="AA1445" i="1" s="1"/>
  <c r="AO1445" i="1"/>
  <c r="AN1445" i="1"/>
  <c r="AM1445" i="1"/>
  <c r="AL1445" i="1"/>
  <c r="AK1445" i="1"/>
  <c r="AJ1445" i="1"/>
  <c r="AI1445" i="1"/>
  <c r="AH1445" i="1"/>
  <c r="AG1445" i="1"/>
  <c r="AF1445" i="1"/>
  <c r="AE1445" i="1"/>
  <c r="AD1445" i="1"/>
  <c r="AC1445" i="1"/>
  <c r="AB1445" i="1"/>
  <c r="W1445" i="1"/>
  <c r="V1445" i="1"/>
  <c r="AS1444" i="1"/>
  <c r="AA1444" i="1" s="1"/>
  <c r="AO1444" i="1"/>
  <c r="AN1444" i="1"/>
  <c r="AM1444" i="1"/>
  <c r="AL1444" i="1"/>
  <c r="AK1444" i="1"/>
  <c r="AJ1444" i="1"/>
  <c r="AI1444" i="1"/>
  <c r="AH1444" i="1"/>
  <c r="AG1444" i="1"/>
  <c r="AF1444" i="1"/>
  <c r="AE1444" i="1"/>
  <c r="AD1444" i="1"/>
  <c r="AC1444" i="1"/>
  <c r="AB1444" i="1"/>
  <c r="W1444" i="1"/>
  <c r="V1444" i="1"/>
  <c r="AS1443" i="1"/>
  <c r="AA1443" i="1" s="1"/>
  <c r="AO1443" i="1"/>
  <c r="AN1443" i="1"/>
  <c r="AM1443" i="1"/>
  <c r="AL1443" i="1"/>
  <c r="AK1443" i="1"/>
  <c r="AJ1443" i="1"/>
  <c r="AI1443" i="1"/>
  <c r="AH1443" i="1"/>
  <c r="AG1443" i="1"/>
  <c r="AF1443" i="1"/>
  <c r="AE1443" i="1"/>
  <c r="AD1443" i="1"/>
  <c r="AC1443" i="1"/>
  <c r="AB1443" i="1"/>
  <c r="W1443" i="1"/>
  <c r="V1443" i="1"/>
  <c r="AS1442" i="1"/>
  <c r="AA1442" i="1" s="1"/>
  <c r="AO1442" i="1"/>
  <c r="AN1442" i="1"/>
  <c r="AM1442" i="1"/>
  <c r="AL1442" i="1"/>
  <c r="AK1442" i="1"/>
  <c r="AJ1442" i="1"/>
  <c r="AI1442" i="1"/>
  <c r="AH1442" i="1"/>
  <c r="AG1442" i="1"/>
  <c r="AF1442" i="1"/>
  <c r="AE1442" i="1"/>
  <c r="AD1442" i="1"/>
  <c r="AC1442" i="1"/>
  <c r="AB1442" i="1"/>
  <c r="W1442" i="1"/>
  <c r="V1442" i="1"/>
  <c r="AS1441" i="1"/>
  <c r="AA1441" i="1" s="1"/>
  <c r="AO1441" i="1"/>
  <c r="AN1441" i="1"/>
  <c r="AM1441" i="1"/>
  <c r="AL1441" i="1"/>
  <c r="AK1441" i="1"/>
  <c r="AJ1441" i="1"/>
  <c r="AI1441" i="1"/>
  <c r="AH1441" i="1"/>
  <c r="AG1441" i="1"/>
  <c r="AF1441" i="1"/>
  <c r="AE1441" i="1"/>
  <c r="AD1441" i="1"/>
  <c r="AC1441" i="1"/>
  <c r="AB1441" i="1"/>
  <c r="W1441" i="1"/>
  <c r="V1441" i="1"/>
  <c r="AS1440" i="1"/>
  <c r="AA1440" i="1" s="1"/>
  <c r="AO1440" i="1"/>
  <c r="AN1440" i="1"/>
  <c r="AM1440" i="1"/>
  <c r="AL1440" i="1"/>
  <c r="AK1440" i="1"/>
  <c r="AJ1440" i="1"/>
  <c r="AI1440" i="1"/>
  <c r="AH1440" i="1"/>
  <c r="AG1440" i="1"/>
  <c r="AF1440" i="1"/>
  <c r="AE1440" i="1"/>
  <c r="AD1440" i="1"/>
  <c r="AC1440" i="1"/>
  <c r="AB1440" i="1"/>
  <c r="W1440" i="1"/>
  <c r="V1440" i="1"/>
  <c r="AS1439" i="1"/>
  <c r="AA1439" i="1" s="1"/>
  <c r="AO1439" i="1"/>
  <c r="AN1439" i="1"/>
  <c r="AM1439" i="1"/>
  <c r="AL1439" i="1"/>
  <c r="AK1439" i="1"/>
  <c r="AJ1439" i="1"/>
  <c r="AI1439" i="1"/>
  <c r="AH1439" i="1"/>
  <c r="AG1439" i="1"/>
  <c r="AF1439" i="1"/>
  <c r="AE1439" i="1"/>
  <c r="AD1439" i="1"/>
  <c r="AC1439" i="1"/>
  <c r="AB1439" i="1"/>
  <c r="W1439" i="1"/>
  <c r="V1439" i="1"/>
  <c r="AS1438" i="1"/>
  <c r="AA1438" i="1" s="1"/>
  <c r="AO1438" i="1"/>
  <c r="AN1438" i="1"/>
  <c r="AM1438" i="1"/>
  <c r="AL1438" i="1"/>
  <c r="AK1438" i="1"/>
  <c r="AJ1438" i="1"/>
  <c r="AI1438" i="1"/>
  <c r="AH1438" i="1"/>
  <c r="AG1438" i="1"/>
  <c r="AF1438" i="1"/>
  <c r="AE1438" i="1"/>
  <c r="AD1438" i="1"/>
  <c r="AC1438" i="1"/>
  <c r="AB1438" i="1"/>
  <c r="W1438" i="1"/>
  <c r="V1438" i="1"/>
  <c r="AS1437" i="1"/>
  <c r="AA1437" i="1" s="1"/>
  <c r="AO1437" i="1"/>
  <c r="AN1437" i="1"/>
  <c r="AM1437" i="1"/>
  <c r="AL1437" i="1"/>
  <c r="AK1437" i="1"/>
  <c r="AJ1437" i="1"/>
  <c r="AI1437" i="1"/>
  <c r="AH1437" i="1"/>
  <c r="AG1437" i="1"/>
  <c r="AF1437" i="1"/>
  <c r="AE1437" i="1"/>
  <c r="AD1437" i="1"/>
  <c r="AC1437" i="1"/>
  <c r="AB1437" i="1"/>
  <c r="W1437" i="1"/>
  <c r="V1437" i="1"/>
  <c r="AS1436" i="1"/>
  <c r="AA1436" i="1" s="1"/>
  <c r="AO1436" i="1"/>
  <c r="AN1436" i="1"/>
  <c r="AM1436" i="1"/>
  <c r="AL1436" i="1"/>
  <c r="AK1436" i="1"/>
  <c r="AJ1436" i="1"/>
  <c r="AI1436" i="1"/>
  <c r="AH1436" i="1"/>
  <c r="AG1436" i="1"/>
  <c r="AF1436" i="1"/>
  <c r="AE1436" i="1"/>
  <c r="AD1436" i="1"/>
  <c r="AC1436" i="1"/>
  <c r="AB1436" i="1"/>
  <c r="W1436" i="1"/>
  <c r="V1436" i="1"/>
  <c r="AS1435" i="1"/>
  <c r="AA1435" i="1" s="1"/>
  <c r="AO1435" i="1"/>
  <c r="AN1435" i="1"/>
  <c r="AM1435" i="1"/>
  <c r="AL1435" i="1"/>
  <c r="AK1435" i="1"/>
  <c r="AJ1435" i="1"/>
  <c r="AI1435" i="1"/>
  <c r="AH1435" i="1"/>
  <c r="AG1435" i="1"/>
  <c r="AF1435" i="1"/>
  <c r="AE1435" i="1"/>
  <c r="AD1435" i="1"/>
  <c r="AC1435" i="1"/>
  <c r="AB1435" i="1"/>
  <c r="W1435" i="1"/>
  <c r="V1435" i="1"/>
  <c r="AS1434" i="1"/>
  <c r="AA1434" i="1" s="1"/>
  <c r="AO1434" i="1"/>
  <c r="AN1434" i="1"/>
  <c r="AM1434" i="1"/>
  <c r="AL1434" i="1"/>
  <c r="AK1434" i="1"/>
  <c r="AJ1434" i="1"/>
  <c r="AI1434" i="1"/>
  <c r="AH1434" i="1"/>
  <c r="AG1434" i="1"/>
  <c r="AF1434" i="1"/>
  <c r="AE1434" i="1"/>
  <c r="AD1434" i="1"/>
  <c r="AC1434" i="1"/>
  <c r="AB1434" i="1"/>
  <c r="W1434" i="1"/>
  <c r="V1434" i="1"/>
  <c r="AS1433" i="1"/>
  <c r="AA1433" i="1" s="1"/>
  <c r="AO1433" i="1"/>
  <c r="AN1433" i="1"/>
  <c r="AM1433" i="1"/>
  <c r="AL1433" i="1"/>
  <c r="AK1433" i="1"/>
  <c r="AJ1433" i="1"/>
  <c r="AI1433" i="1"/>
  <c r="AH1433" i="1"/>
  <c r="AG1433" i="1"/>
  <c r="AF1433" i="1"/>
  <c r="AE1433" i="1"/>
  <c r="AD1433" i="1"/>
  <c r="AC1433" i="1"/>
  <c r="AB1433" i="1"/>
  <c r="W1433" i="1"/>
  <c r="V1433" i="1"/>
  <c r="AS1432" i="1"/>
  <c r="AA1432" i="1" s="1"/>
  <c r="AO1432" i="1"/>
  <c r="AN1432" i="1"/>
  <c r="AM1432" i="1"/>
  <c r="AL1432" i="1"/>
  <c r="AK1432" i="1"/>
  <c r="AJ1432" i="1"/>
  <c r="AI1432" i="1"/>
  <c r="AH1432" i="1"/>
  <c r="AG1432" i="1"/>
  <c r="AF1432" i="1"/>
  <c r="AE1432" i="1"/>
  <c r="AD1432" i="1"/>
  <c r="AC1432" i="1"/>
  <c r="AB1432" i="1"/>
  <c r="W1432" i="1"/>
  <c r="V1432" i="1"/>
  <c r="AS1431" i="1"/>
  <c r="AA1431" i="1" s="1"/>
  <c r="AO1431" i="1"/>
  <c r="AN1431" i="1"/>
  <c r="AM1431" i="1"/>
  <c r="AL1431" i="1"/>
  <c r="AK1431" i="1"/>
  <c r="AJ1431" i="1"/>
  <c r="AI1431" i="1"/>
  <c r="AH1431" i="1"/>
  <c r="AG1431" i="1"/>
  <c r="AF1431" i="1"/>
  <c r="AE1431" i="1"/>
  <c r="AD1431" i="1"/>
  <c r="AC1431" i="1"/>
  <c r="AB1431" i="1"/>
  <c r="W1431" i="1"/>
  <c r="V1431" i="1"/>
  <c r="AS1430" i="1"/>
  <c r="AA1430" i="1" s="1"/>
  <c r="AO1430" i="1"/>
  <c r="AN1430" i="1"/>
  <c r="AM1430" i="1"/>
  <c r="AL1430" i="1"/>
  <c r="AK1430" i="1"/>
  <c r="AJ1430" i="1"/>
  <c r="AI1430" i="1"/>
  <c r="AH1430" i="1"/>
  <c r="AG1430" i="1"/>
  <c r="AF1430" i="1"/>
  <c r="AE1430" i="1"/>
  <c r="AD1430" i="1"/>
  <c r="AC1430" i="1"/>
  <c r="AB1430" i="1"/>
  <c r="W1430" i="1"/>
  <c r="V1430" i="1"/>
  <c r="AS1429" i="1"/>
  <c r="AA1429" i="1" s="1"/>
  <c r="AO1429" i="1"/>
  <c r="AN1429" i="1"/>
  <c r="AM1429" i="1"/>
  <c r="AL1429" i="1"/>
  <c r="AK1429" i="1"/>
  <c r="AJ1429" i="1"/>
  <c r="AI1429" i="1"/>
  <c r="AH1429" i="1"/>
  <c r="AG1429" i="1"/>
  <c r="AF1429" i="1"/>
  <c r="AE1429" i="1"/>
  <c r="AD1429" i="1"/>
  <c r="AC1429" i="1"/>
  <c r="AB1429" i="1"/>
  <c r="W1429" i="1"/>
  <c r="V1429" i="1"/>
  <c r="AS1428" i="1"/>
  <c r="AA1428" i="1" s="1"/>
  <c r="AO1428" i="1"/>
  <c r="AN1428" i="1"/>
  <c r="AM1428" i="1"/>
  <c r="AL1428" i="1"/>
  <c r="AK1428" i="1"/>
  <c r="AJ1428" i="1"/>
  <c r="AI1428" i="1"/>
  <c r="AH1428" i="1"/>
  <c r="AG1428" i="1"/>
  <c r="AF1428" i="1"/>
  <c r="AE1428" i="1"/>
  <c r="AD1428" i="1"/>
  <c r="AC1428" i="1"/>
  <c r="AB1428" i="1"/>
  <c r="W1428" i="1"/>
  <c r="V1428" i="1"/>
  <c r="AS1427" i="1"/>
  <c r="AA1427" i="1" s="1"/>
  <c r="AO1427" i="1"/>
  <c r="AN1427" i="1"/>
  <c r="AM1427" i="1"/>
  <c r="AL1427" i="1"/>
  <c r="AK1427" i="1"/>
  <c r="AJ1427" i="1"/>
  <c r="AI1427" i="1"/>
  <c r="AH1427" i="1"/>
  <c r="AG1427" i="1"/>
  <c r="AF1427" i="1"/>
  <c r="AE1427" i="1"/>
  <c r="AD1427" i="1"/>
  <c r="AC1427" i="1"/>
  <c r="AB1427" i="1"/>
  <c r="W1427" i="1"/>
  <c r="V1427" i="1"/>
  <c r="AS1426" i="1"/>
  <c r="AA1426" i="1" s="1"/>
  <c r="AO1426" i="1"/>
  <c r="AN1426" i="1"/>
  <c r="AM1426" i="1"/>
  <c r="AL1426" i="1"/>
  <c r="AK1426" i="1"/>
  <c r="AJ1426" i="1"/>
  <c r="AI1426" i="1"/>
  <c r="AH1426" i="1"/>
  <c r="AG1426" i="1"/>
  <c r="AF1426" i="1"/>
  <c r="AE1426" i="1"/>
  <c r="AD1426" i="1"/>
  <c r="AC1426" i="1"/>
  <c r="AB1426" i="1"/>
  <c r="W1426" i="1"/>
  <c r="V1426" i="1"/>
  <c r="AS1425" i="1"/>
  <c r="AA1425" i="1" s="1"/>
  <c r="AO1425" i="1"/>
  <c r="AN1425" i="1"/>
  <c r="AM1425" i="1"/>
  <c r="AL1425" i="1"/>
  <c r="AK1425" i="1"/>
  <c r="AJ1425" i="1"/>
  <c r="AI1425" i="1"/>
  <c r="AH1425" i="1"/>
  <c r="AG1425" i="1"/>
  <c r="AF1425" i="1"/>
  <c r="AE1425" i="1"/>
  <c r="AD1425" i="1"/>
  <c r="AC1425" i="1"/>
  <c r="AB1425" i="1"/>
  <c r="W1425" i="1"/>
  <c r="V1425" i="1"/>
  <c r="AS1424" i="1"/>
  <c r="AA1424" i="1" s="1"/>
  <c r="AO1424" i="1"/>
  <c r="AN1424" i="1"/>
  <c r="AM1424" i="1"/>
  <c r="AL1424" i="1"/>
  <c r="AK1424" i="1"/>
  <c r="AJ1424" i="1"/>
  <c r="AI1424" i="1"/>
  <c r="AH1424" i="1"/>
  <c r="AG1424" i="1"/>
  <c r="AF1424" i="1"/>
  <c r="AE1424" i="1"/>
  <c r="AD1424" i="1"/>
  <c r="AC1424" i="1"/>
  <c r="AB1424" i="1"/>
  <c r="W1424" i="1"/>
  <c r="V1424" i="1"/>
  <c r="AS1423" i="1"/>
  <c r="AA1423" i="1" s="1"/>
  <c r="AO1423" i="1"/>
  <c r="AN1423" i="1"/>
  <c r="AM1423" i="1"/>
  <c r="AL1423" i="1"/>
  <c r="AK1423" i="1"/>
  <c r="AJ1423" i="1"/>
  <c r="AI1423" i="1"/>
  <c r="AH1423" i="1"/>
  <c r="AG1423" i="1"/>
  <c r="AF1423" i="1"/>
  <c r="AE1423" i="1"/>
  <c r="AD1423" i="1"/>
  <c r="AC1423" i="1"/>
  <c r="AB1423" i="1"/>
  <c r="W1423" i="1"/>
  <c r="V1423" i="1"/>
  <c r="AS1422" i="1"/>
  <c r="AA1422" i="1" s="1"/>
  <c r="AO1422" i="1"/>
  <c r="AN1422" i="1"/>
  <c r="AM1422" i="1"/>
  <c r="AL1422" i="1"/>
  <c r="AK1422" i="1"/>
  <c r="AJ1422" i="1"/>
  <c r="AI1422" i="1"/>
  <c r="AH1422" i="1"/>
  <c r="AG1422" i="1"/>
  <c r="AF1422" i="1"/>
  <c r="AE1422" i="1"/>
  <c r="AD1422" i="1"/>
  <c r="AC1422" i="1"/>
  <c r="AB1422" i="1"/>
  <c r="W1422" i="1"/>
  <c r="V1422" i="1"/>
  <c r="AS1421" i="1"/>
  <c r="AA1421" i="1" s="1"/>
  <c r="AO1421" i="1"/>
  <c r="AN1421" i="1"/>
  <c r="AM1421" i="1"/>
  <c r="AL1421" i="1"/>
  <c r="AK1421" i="1"/>
  <c r="AJ1421" i="1"/>
  <c r="AI1421" i="1"/>
  <c r="AH1421" i="1"/>
  <c r="AG1421" i="1"/>
  <c r="AF1421" i="1"/>
  <c r="AE1421" i="1"/>
  <c r="AD1421" i="1"/>
  <c r="AC1421" i="1"/>
  <c r="AB1421" i="1"/>
  <c r="W1421" i="1"/>
  <c r="V1421" i="1"/>
  <c r="AS1420" i="1"/>
  <c r="AA1420" i="1" s="1"/>
  <c r="AO1420" i="1"/>
  <c r="AN1420" i="1"/>
  <c r="AM1420" i="1"/>
  <c r="AL1420" i="1"/>
  <c r="AK1420" i="1"/>
  <c r="AJ1420" i="1"/>
  <c r="AI1420" i="1"/>
  <c r="AH1420" i="1"/>
  <c r="AG1420" i="1"/>
  <c r="AF1420" i="1"/>
  <c r="AE1420" i="1"/>
  <c r="AD1420" i="1"/>
  <c r="AC1420" i="1"/>
  <c r="AB1420" i="1"/>
  <c r="W1420" i="1"/>
  <c r="V1420" i="1"/>
  <c r="AS1419" i="1"/>
  <c r="AA1419" i="1" s="1"/>
  <c r="AO1419" i="1"/>
  <c r="AN1419" i="1"/>
  <c r="AM1419" i="1"/>
  <c r="AL1419" i="1"/>
  <c r="AK1419" i="1"/>
  <c r="AJ1419" i="1"/>
  <c r="AI1419" i="1"/>
  <c r="AH1419" i="1"/>
  <c r="AG1419" i="1"/>
  <c r="AF1419" i="1"/>
  <c r="AE1419" i="1"/>
  <c r="AD1419" i="1"/>
  <c r="AC1419" i="1"/>
  <c r="AB1419" i="1"/>
  <c r="W1419" i="1"/>
  <c r="V1419" i="1"/>
  <c r="AS1418" i="1"/>
  <c r="AA1418" i="1" s="1"/>
  <c r="AO1418" i="1"/>
  <c r="AN1418" i="1"/>
  <c r="AM1418" i="1"/>
  <c r="AL1418" i="1"/>
  <c r="AK1418" i="1"/>
  <c r="AJ1418" i="1"/>
  <c r="AI1418" i="1"/>
  <c r="AH1418" i="1"/>
  <c r="AG1418" i="1"/>
  <c r="AF1418" i="1"/>
  <c r="AE1418" i="1"/>
  <c r="AD1418" i="1"/>
  <c r="AC1418" i="1"/>
  <c r="AB1418" i="1"/>
  <c r="W1418" i="1"/>
  <c r="V1418" i="1"/>
  <c r="AS1417" i="1"/>
  <c r="AA1417" i="1" s="1"/>
  <c r="AO1417" i="1"/>
  <c r="AN1417" i="1"/>
  <c r="AM1417" i="1"/>
  <c r="AL1417" i="1"/>
  <c r="AK1417" i="1"/>
  <c r="AJ1417" i="1"/>
  <c r="AI1417" i="1"/>
  <c r="AH1417" i="1"/>
  <c r="AG1417" i="1"/>
  <c r="AF1417" i="1"/>
  <c r="AE1417" i="1"/>
  <c r="AD1417" i="1"/>
  <c r="AC1417" i="1"/>
  <c r="AB1417" i="1"/>
  <c r="W1417" i="1"/>
  <c r="V1417" i="1"/>
  <c r="AS1416" i="1"/>
  <c r="AA1416" i="1" s="1"/>
  <c r="AO1416" i="1"/>
  <c r="AN1416" i="1"/>
  <c r="AM1416" i="1"/>
  <c r="AL1416" i="1"/>
  <c r="AK1416" i="1"/>
  <c r="AJ1416" i="1"/>
  <c r="AI1416" i="1"/>
  <c r="AH1416" i="1"/>
  <c r="AG1416" i="1"/>
  <c r="AF1416" i="1"/>
  <c r="AE1416" i="1"/>
  <c r="AD1416" i="1"/>
  <c r="AC1416" i="1"/>
  <c r="AB1416" i="1"/>
  <c r="W1416" i="1"/>
  <c r="V1416" i="1"/>
  <c r="AS1415" i="1"/>
  <c r="AA1415" i="1" s="1"/>
  <c r="AO1415" i="1"/>
  <c r="AN1415" i="1"/>
  <c r="AM1415" i="1"/>
  <c r="AL1415" i="1"/>
  <c r="AK1415" i="1"/>
  <c r="AJ1415" i="1"/>
  <c r="AI1415" i="1"/>
  <c r="AH1415" i="1"/>
  <c r="AG1415" i="1"/>
  <c r="AF1415" i="1"/>
  <c r="AE1415" i="1"/>
  <c r="AD1415" i="1"/>
  <c r="AC1415" i="1"/>
  <c r="AB1415" i="1"/>
  <c r="W1415" i="1"/>
  <c r="V1415" i="1"/>
  <c r="AS1414" i="1"/>
  <c r="AA1414" i="1" s="1"/>
  <c r="AO1414" i="1"/>
  <c r="AN1414" i="1"/>
  <c r="AM1414" i="1"/>
  <c r="AL1414" i="1"/>
  <c r="AK1414" i="1"/>
  <c r="AJ1414" i="1"/>
  <c r="AI1414" i="1"/>
  <c r="AH1414" i="1"/>
  <c r="AG1414" i="1"/>
  <c r="AF1414" i="1"/>
  <c r="AE1414" i="1"/>
  <c r="AD1414" i="1"/>
  <c r="AC1414" i="1"/>
  <c r="AB1414" i="1"/>
  <c r="W1414" i="1"/>
  <c r="V1414" i="1"/>
  <c r="AS1413" i="1"/>
  <c r="AA1413" i="1" s="1"/>
  <c r="AO1413" i="1"/>
  <c r="AN1413" i="1"/>
  <c r="AM1413" i="1"/>
  <c r="AL1413" i="1"/>
  <c r="AK1413" i="1"/>
  <c r="AJ1413" i="1"/>
  <c r="AI1413" i="1"/>
  <c r="AH1413" i="1"/>
  <c r="AG1413" i="1"/>
  <c r="AF1413" i="1"/>
  <c r="AE1413" i="1"/>
  <c r="AD1413" i="1"/>
  <c r="AC1413" i="1"/>
  <c r="AB1413" i="1"/>
  <c r="W1413" i="1"/>
  <c r="V1413" i="1"/>
  <c r="AS1412" i="1"/>
  <c r="AA1412" i="1" s="1"/>
  <c r="AO1412" i="1"/>
  <c r="AN1412" i="1"/>
  <c r="AM1412" i="1"/>
  <c r="AL1412" i="1"/>
  <c r="AK1412" i="1"/>
  <c r="AJ1412" i="1"/>
  <c r="AI1412" i="1"/>
  <c r="AH1412" i="1"/>
  <c r="AG1412" i="1"/>
  <c r="AF1412" i="1"/>
  <c r="AE1412" i="1"/>
  <c r="AD1412" i="1"/>
  <c r="AC1412" i="1"/>
  <c r="AB1412" i="1"/>
  <c r="W1412" i="1"/>
  <c r="V1412" i="1"/>
  <c r="AS1411" i="1"/>
  <c r="AA1411" i="1" s="1"/>
  <c r="AO1411" i="1"/>
  <c r="AN1411" i="1"/>
  <c r="AM1411" i="1"/>
  <c r="AL1411" i="1"/>
  <c r="AK1411" i="1"/>
  <c r="AJ1411" i="1"/>
  <c r="AI1411" i="1"/>
  <c r="AH1411" i="1"/>
  <c r="AG1411" i="1"/>
  <c r="AF1411" i="1"/>
  <c r="AE1411" i="1"/>
  <c r="AD1411" i="1"/>
  <c r="AC1411" i="1"/>
  <c r="AB1411" i="1"/>
  <c r="W1411" i="1"/>
  <c r="V1411" i="1"/>
  <c r="AS1410" i="1"/>
  <c r="AA1410" i="1" s="1"/>
  <c r="AO1410" i="1"/>
  <c r="AN1410" i="1"/>
  <c r="AM1410" i="1"/>
  <c r="AL1410" i="1"/>
  <c r="AK1410" i="1"/>
  <c r="AJ1410" i="1"/>
  <c r="AI1410" i="1"/>
  <c r="AH1410" i="1"/>
  <c r="AG1410" i="1"/>
  <c r="AF1410" i="1"/>
  <c r="AE1410" i="1"/>
  <c r="AD1410" i="1"/>
  <c r="AC1410" i="1"/>
  <c r="AB1410" i="1"/>
  <c r="W1410" i="1"/>
  <c r="V1410" i="1"/>
  <c r="AS1409" i="1"/>
  <c r="AA1409" i="1" s="1"/>
  <c r="AO1409" i="1"/>
  <c r="AN1409" i="1"/>
  <c r="AM1409" i="1"/>
  <c r="AL1409" i="1"/>
  <c r="AK1409" i="1"/>
  <c r="AJ1409" i="1"/>
  <c r="AI1409" i="1"/>
  <c r="AH1409" i="1"/>
  <c r="AG1409" i="1"/>
  <c r="AF1409" i="1"/>
  <c r="AE1409" i="1"/>
  <c r="AD1409" i="1"/>
  <c r="AC1409" i="1"/>
  <c r="AB1409" i="1"/>
  <c r="W1409" i="1"/>
  <c r="V1409" i="1"/>
  <c r="AS1408" i="1"/>
  <c r="AA1408" i="1" s="1"/>
  <c r="AO1408" i="1"/>
  <c r="AN1408" i="1"/>
  <c r="AM1408" i="1"/>
  <c r="AL1408" i="1"/>
  <c r="AK1408" i="1"/>
  <c r="AJ1408" i="1"/>
  <c r="AI1408" i="1"/>
  <c r="AH1408" i="1"/>
  <c r="AG1408" i="1"/>
  <c r="AF1408" i="1"/>
  <c r="AE1408" i="1"/>
  <c r="AD1408" i="1"/>
  <c r="AC1408" i="1"/>
  <c r="AB1408" i="1"/>
  <c r="W1408" i="1"/>
  <c r="V1408" i="1"/>
  <c r="AS1407" i="1"/>
  <c r="AA1407" i="1" s="1"/>
  <c r="AO1407" i="1"/>
  <c r="AN1407" i="1"/>
  <c r="AM1407" i="1"/>
  <c r="AL1407" i="1"/>
  <c r="AK1407" i="1"/>
  <c r="AJ1407" i="1"/>
  <c r="AI1407" i="1"/>
  <c r="AH1407" i="1"/>
  <c r="AG1407" i="1"/>
  <c r="AF1407" i="1"/>
  <c r="AE1407" i="1"/>
  <c r="AD1407" i="1"/>
  <c r="AC1407" i="1"/>
  <c r="AB1407" i="1"/>
  <c r="W1407" i="1"/>
  <c r="V1407" i="1"/>
  <c r="AS1406" i="1"/>
  <c r="AA1406" i="1" s="1"/>
  <c r="AO1406" i="1"/>
  <c r="AN1406" i="1"/>
  <c r="AM1406" i="1"/>
  <c r="AL1406" i="1"/>
  <c r="AK1406" i="1"/>
  <c r="AJ1406" i="1"/>
  <c r="AI1406" i="1"/>
  <c r="AH1406" i="1"/>
  <c r="AG1406" i="1"/>
  <c r="AF1406" i="1"/>
  <c r="AE1406" i="1"/>
  <c r="AD1406" i="1"/>
  <c r="AC1406" i="1"/>
  <c r="AB1406" i="1"/>
  <c r="W1406" i="1"/>
  <c r="V1406" i="1"/>
  <c r="AS1405" i="1"/>
  <c r="AA1405" i="1" s="1"/>
  <c r="AO1405" i="1"/>
  <c r="AN1405" i="1"/>
  <c r="AM1405" i="1"/>
  <c r="AL1405" i="1"/>
  <c r="AK1405" i="1"/>
  <c r="AJ1405" i="1"/>
  <c r="AI1405" i="1"/>
  <c r="AH1405" i="1"/>
  <c r="AG1405" i="1"/>
  <c r="AF1405" i="1"/>
  <c r="AE1405" i="1"/>
  <c r="AD1405" i="1"/>
  <c r="AC1405" i="1"/>
  <c r="AB1405" i="1"/>
  <c r="W1405" i="1"/>
  <c r="V1405" i="1"/>
  <c r="AS1404" i="1"/>
  <c r="AA1404" i="1" s="1"/>
  <c r="AO1404" i="1"/>
  <c r="AN1404" i="1"/>
  <c r="AM1404" i="1"/>
  <c r="AL1404" i="1"/>
  <c r="AK1404" i="1"/>
  <c r="AJ1404" i="1"/>
  <c r="AI1404" i="1"/>
  <c r="AH1404" i="1"/>
  <c r="AG1404" i="1"/>
  <c r="AF1404" i="1"/>
  <c r="AE1404" i="1"/>
  <c r="AD1404" i="1"/>
  <c r="AC1404" i="1"/>
  <c r="AB1404" i="1"/>
  <c r="W1404" i="1"/>
  <c r="V1404" i="1"/>
  <c r="AS1403" i="1"/>
  <c r="AA1403" i="1" s="1"/>
  <c r="AO1403" i="1"/>
  <c r="AN1403" i="1"/>
  <c r="AM1403" i="1"/>
  <c r="AL1403" i="1"/>
  <c r="AK1403" i="1"/>
  <c r="AJ1403" i="1"/>
  <c r="AI1403" i="1"/>
  <c r="AH1403" i="1"/>
  <c r="AG1403" i="1"/>
  <c r="AF1403" i="1"/>
  <c r="AE1403" i="1"/>
  <c r="AD1403" i="1"/>
  <c r="AC1403" i="1"/>
  <c r="AB1403" i="1"/>
  <c r="W1403" i="1"/>
  <c r="V1403" i="1"/>
  <c r="AS1402" i="1"/>
  <c r="AA1402" i="1" s="1"/>
  <c r="AO1402" i="1"/>
  <c r="AN1402" i="1"/>
  <c r="AM1402" i="1"/>
  <c r="AL1402" i="1"/>
  <c r="AK1402" i="1"/>
  <c r="AJ1402" i="1"/>
  <c r="AI1402" i="1"/>
  <c r="AH1402" i="1"/>
  <c r="AG1402" i="1"/>
  <c r="AF1402" i="1"/>
  <c r="AE1402" i="1"/>
  <c r="AD1402" i="1"/>
  <c r="AC1402" i="1"/>
  <c r="AB1402" i="1"/>
  <c r="W1402" i="1"/>
  <c r="V1402" i="1"/>
  <c r="AS1401" i="1"/>
  <c r="AA1401" i="1" s="1"/>
  <c r="AO1401" i="1"/>
  <c r="AN1401" i="1"/>
  <c r="AM1401" i="1"/>
  <c r="AL1401" i="1"/>
  <c r="AK1401" i="1"/>
  <c r="AJ1401" i="1"/>
  <c r="AI1401" i="1"/>
  <c r="AH1401" i="1"/>
  <c r="AG1401" i="1"/>
  <c r="AF1401" i="1"/>
  <c r="AE1401" i="1"/>
  <c r="AD1401" i="1"/>
  <c r="AC1401" i="1"/>
  <c r="AB1401" i="1"/>
  <c r="W1401" i="1"/>
  <c r="V1401" i="1"/>
  <c r="AS1400" i="1"/>
  <c r="AA1400" i="1" s="1"/>
  <c r="AO1400" i="1"/>
  <c r="AN1400" i="1"/>
  <c r="AM1400" i="1"/>
  <c r="AL1400" i="1"/>
  <c r="AK1400" i="1"/>
  <c r="AJ1400" i="1"/>
  <c r="AI1400" i="1"/>
  <c r="AH1400" i="1"/>
  <c r="AG1400" i="1"/>
  <c r="AF1400" i="1"/>
  <c r="AE1400" i="1"/>
  <c r="AD1400" i="1"/>
  <c r="AC1400" i="1"/>
  <c r="AB1400" i="1"/>
  <c r="W1400" i="1"/>
  <c r="V1400" i="1"/>
  <c r="AS1399" i="1"/>
  <c r="AA1399" i="1" s="1"/>
  <c r="AO1399" i="1"/>
  <c r="AN1399" i="1"/>
  <c r="AM1399" i="1"/>
  <c r="AL1399" i="1"/>
  <c r="AK1399" i="1"/>
  <c r="AJ1399" i="1"/>
  <c r="AI1399" i="1"/>
  <c r="AH1399" i="1"/>
  <c r="AG1399" i="1"/>
  <c r="AF1399" i="1"/>
  <c r="AE1399" i="1"/>
  <c r="AD1399" i="1"/>
  <c r="AC1399" i="1"/>
  <c r="AB1399" i="1"/>
  <c r="W1399" i="1"/>
  <c r="V1399" i="1"/>
  <c r="AS1398" i="1"/>
  <c r="AA1398" i="1" s="1"/>
  <c r="AO1398" i="1"/>
  <c r="AN1398" i="1"/>
  <c r="AM1398" i="1"/>
  <c r="AL1398" i="1"/>
  <c r="AK1398" i="1"/>
  <c r="AJ1398" i="1"/>
  <c r="AI1398" i="1"/>
  <c r="AH1398" i="1"/>
  <c r="AG1398" i="1"/>
  <c r="AF1398" i="1"/>
  <c r="AE1398" i="1"/>
  <c r="AD1398" i="1"/>
  <c r="AC1398" i="1"/>
  <c r="AB1398" i="1"/>
  <c r="W1398" i="1"/>
  <c r="V1398" i="1"/>
  <c r="AS1397" i="1"/>
  <c r="AA1397" i="1" s="1"/>
  <c r="AO1397" i="1"/>
  <c r="AN1397" i="1"/>
  <c r="AM1397" i="1"/>
  <c r="AL1397" i="1"/>
  <c r="AK1397" i="1"/>
  <c r="AJ1397" i="1"/>
  <c r="AI1397" i="1"/>
  <c r="AH1397" i="1"/>
  <c r="AG1397" i="1"/>
  <c r="AF1397" i="1"/>
  <c r="AE1397" i="1"/>
  <c r="AD1397" i="1"/>
  <c r="AC1397" i="1"/>
  <c r="AB1397" i="1"/>
  <c r="W1397" i="1"/>
  <c r="V1397" i="1"/>
  <c r="AS1396" i="1"/>
  <c r="AA1396" i="1" s="1"/>
  <c r="AO1396" i="1"/>
  <c r="AN1396" i="1"/>
  <c r="AM1396" i="1"/>
  <c r="AL1396" i="1"/>
  <c r="AK1396" i="1"/>
  <c r="AJ1396" i="1"/>
  <c r="AI1396" i="1"/>
  <c r="AH1396" i="1"/>
  <c r="AG1396" i="1"/>
  <c r="AF1396" i="1"/>
  <c r="AE1396" i="1"/>
  <c r="AD1396" i="1"/>
  <c r="AC1396" i="1"/>
  <c r="AB1396" i="1"/>
  <c r="W1396" i="1"/>
  <c r="V1396" i="1"/>
  <c r="AS1395" i="1"/>
  <c r="AA1395" i="1" s="1"/>
  <c r="AO1395" i="1"/>
  <c r="AN1395" i="1"/>
  <c r="AM1395" i="1"/>
  <c r="AL1395" i="1"/>
  <c r="AK1395" i="1"/>
  <c r="AJ1395" i="1"/>
  <c r="AI1395" i="1"/>
  <c r="AH1395" i="1"/>
  <c r="AG1395" i="1"/>
  <c r="AF1395" i="1"/>
  <c r="AE1395" i="1"/>
  <c r="AD1395" i="1"/>
  <c r="AC1395" i="1"/>
  <c r="AB1395" i="1"/>
  <c r="W1395" i="1"/>
  <c r="V1395" i="1"/>
  <c r="AS1394" i="1"/>
  <c r="AA1394" i="1" s="1"/>
  <c r="AO1394" i="1"/>
  <c r="AN1394" i="1"/>
  <c r="AM1394" i="1"/>
  <c r="AL1394" i="1"/>
  <c r="AK1394" i="1"/>
  <c r="AJ1394" i="1"/>
  <c r="AI1394" i="1"/>
  <c r="AH1394" i="1"/>
  <c r="AG1394" i="1"/>
  <c r="AF1394" i="1"/>
  <c r="AE1394" i="1"/>
  <c r="AD1394" i="1"/>
  <c r="AC1394" i="1"/>
  <c r="AB1394" i="1"/>
  <c r="W1394" i="1"/>
  <c r="V1394" i="1"/>
  <c r="AS1393" i="1"/>
  <c r="AA1393" i="1" s="1"/>
  <c r="AO1393" i="1"/>
  <c r="AN1393" i="1"/>
  <c r="AM1393" i="1"/>
  <c r="AL1393" i="1"/>
  <c r="AK1393" i="1"/>
  <c r="AJ1393" i="1"/>
  <c r="AI1393" i="1"/>
  <c r="AH1393" i="1"/>
  <c r="AG1393" i="1"/>
  <c r="AF1393" i="1"/>
  <c r="AE1393" i="1"/>
  <c r="AD1393" i="1"/>
  <c r="AC1393" i="1"/>
  <c r="AB1393" i="1"/>
  <c r="W1393" i="1"/>
  <c r="V1393" i="1"/>
  <c r="AS1392" i="1"/>
  <c r="AA1392" i="1" s="1"/>
  <c r="AO1392" i="1"/>
  <c r="AN1392" i="1"/>
  <c r="AM1392" i="1"/>
  <c r="AL1392" i="1"/>
  <c r="AK1392" i="1"/>
  <c r="AJ1392" i="1"/>
  <c r="AI1392" i="1"/>
  <c r="AH1392" i="1"/>
  <c r="AG1392" i="1"/>
  <c r="AF1392" i="1"/>
  <c r="AE1392" i="1"/>
  <c r="AD1392" i="1"/>
  <c r="AC1392" i="1"/>
  <c r="AB1392" i="1"/>
  <c r="W1392" i="1"/>
  <c r="V1392" i="1"/>
  <c r="AS1391" i="1"/>
  <c r="AA1391" i="1" s="1"/>
  <c r="AO1391" i="1"/>
  <c r="AN1391" i="1"/>
  <c r="AM1391" i="1"/>
  <c r="AL1391" i="1"/>
  <c r="AK1391" i="1"/>
  <c r="AJ1391" i="1"/>
  <c r="AI1391" i="1"/>
  <c r="AH1391" i="1"/>
  <c r="AG1391" i="1"/>
  <c r="AF1391" i="1"/>
  <c r="AE1391" i="1"/>
  <c r="AD1391" i="1"/>
  <c r="AC1391" i="1"/>
  <c r="AB1391" i="1"/>
  <c r="W1391" i="1"/>
  <c r="V1391" i="1"/>
  <c r="AS1390" i="1"/>
  <c r="AA1390" i="1" s="1"/>
  <c r="AO1390" i="1"/>
  <c r="AN1390" i="1"/>
  <c r="AM1390" i="1"/>
  <c r="AL1390" i="1"/>
  <c r="AK1390" i="1"/>
  <c r="AJ1390" i="1"/>
  <c r="AI1390" i="1"/>
  <c r="AH1390" i="1"/>
  <c r="AG1390" i="1"/>
  <c r="AF1390" i="1"/>
  <c r="AE1390" i="1"/>
  <c r="AD1390" i="1"/>
  <c r="AC1390" i="1"/>
  <c r="AB1390" i="1"/>
  <c r="W1390" i="1"/>
  <c r="V1390" i="1"/>
  <c r="AS1389" i="1"/>
  <c r="AA1389" i="1" s="1"/>
  <c r="AO1389" i="1"/>
  <c r="AN1389" i="1"/>
  <c r="AM1389" i="1"/>
  <c r="AL1389" i="1"/>
  <c r="AK1389" i="1"/>
  <c r="AJ1389" i="1"/>
  <c r="AI1389" i="1"/>
  <c r="AH1389" i="1"/>
  <c r="AG1389" i="1"/>
  <c r="AF1389" i="1"/>
  <c r="AE1389" i="1"/>
  <c r="AD1389" i="1"/>
  <c r="AC1389" i="1"/>
  <c r="AB1389" i="1"/>
  <c r="W1389" i="1"/>
  <c r="V1389" i="1"/>
  <c r="AS1388" i="1"/>
  <c r="AA1388" i="1" s="1"/>
  <c r="AO1388" i="1"/>
  <c r="AN1388" i="1"/>
  <c r="AM1388" i="1"/>
  <c r="AL1388" i="1"/>
  <c r="AK1388" i="1"/>
  <c r="AJ1388" i="1"/>
  <c r="AI1388" i="1"/>
  <c r="AH1388" i="1"/>
  <c r="AG1388" i="1"/>
  <c r="AF1388" i="1"/>
  <c r="AE1388" i="1"/>
  <c r="AD1388" i="1"/>
  <c r="AC1388" i="1"/>
  <c r="AB1388" i="1"/>
  <c r="W1388" i="1"/>
  <c r="V1388" i="1"/>
  <c r="AS1387" i="1"/>
  <c r="AA1387" i="1" s="1"/>
  <c r="AO1387" i="1"/>
  <c r="AN1387" i="1"/>
  <c r="AM1387" i="1"/>
  <c r="AL1387" i="1"/>
  <c r="AK1387" i="1"/>
  <c r="AJ1387" i="1"/>
  <c r="AI1387" i="1"/>
  <c r="AH1387" i="1"/>
  <c r="AG1387" i="1"/>
  <c r="AF1387" i="1"/>
  <c r="AE1387" i="1"/>
  <c r="AD1387" i="1"/>
  <c r="AC1387" i="1"/>
  <c r="AB1387" i="1"/>
  <c r="W1387" i="1"/>
  <c r="V1387" i="1"/>
  <c r="AS1386" i="1"/>
  <c r="AA1386" i="1" s="1"/>
  <c r="AO1386" i="1"/>
  <c r="AN1386" i="1"/>
  <c r="AM1386" i="1"/>
  <c r="AL1386" i="1"/>
  <c r="AK1386" i="1"/>
  <c r="AJ1386" i="1"/>
  <c r="AI1386" i="1"/>
  <c r="AH1386" i="1"/>
  <c r="AG1386" i="1"/>
  <c r="AF1386" i="1"/>
  <c r="AE1386" i="1"/>
  <c r="AD1386" i="1"/>
  <c r="AC1386" i="1"/>
  <c r="AB1386" i="1"/>
  <c r="W1386" i="1"/>
  <c r="V1386" i="1"/>
  <c r="AS1385" i="1"/>
  <c r="AA1385" i="1" s="1"/>
  <c r="AO1385" i="1"/>
  <c r="AN1385" i="1"/>
  <c r="AM1385" i="1"/>
  <c r="AL1385" i="1"/>
  <c r="AK1385" i="1"/>
  <c r="AJ1385" i="1"/>
  <c r="AI1385" i="1"/>
  <c r="AH1385" i="1"/>
  <c r="AG1385" i="1"/>
  <c r="AF1385" i="1"/>
  <c r="AE1385" i="1"/>
  <c r="AD1385" i="1"/>
  <c r="AC1385" i="1"/>
  <c r="AB1385" i="1"/>
  <c r="W1385" i="1"/>
  <c r="V1385" i="1"/>
  <c r="AS1384" i="1"/>
  <c r="AA1384" i="1" s="1"/>
  <c r="AO1384" i="1"/>
  <c r="AN1384" i="1"/>
  <c r="AM1384" i="1"/>
  <c r="AL1384" i="1"/>
  <c r="AK1384" i="1"/>
  <c r="AJ1384" i="1"/>
  <c r="AI1384" i="1"/>
  <c r="AH1384" i="1"/>
  <c r="AG1384" i="1"/>
  <c r="AF1384" i="1"/>
  <c r="AE1384" i="1"/>
  <c r="AD1384" i="1"/>
  <c r="AC1384" i="1"/>
  <c r="AB1384" i="1"/>
  <c r="W1384" i="1"/>
  <c r="V1384" i="1"/>
  <c r="AS1383" i="1"/>
  <c r="AA1383" i="1" s="1"/>
  <c r="AO1383" i="1"/>
  <c r="AN1383" i="1"/>
  <c r="AM1383" i="1"/>
  <c r="AL1383" i="1"/>
  <c r="AK1383" i="1"/>
  <c r="AJ1383" i="1"/>
  <c r="AI1383" i="1"/>
  <c r="AH1383" i="1"/>
  <c r="AG1383" i="1"/>
  <c r="AF1383" i="1"/>
  <c r="AE1383" i="1"/>
  <c r="AD1383" i="1"/>
  <c r="AC1383" i="1"/>
  <c r="AB1383" i="1"/>
  <c r="W1383" i="1"/>
  <c r="V1383" i="1"/>
  <c r="AS1382" i="1"/>
  <c r="AA1382" i="1" s="1"/>
  <c r="AO1382" i="1"/>
  <c r="AN1382" i="1"/>
  <c r="AM1382" i="1"/>
  <c r="AL1382" i="1"/>
  <c r="AK1382" i="1"/>
  <c r="AJ1382" i="1"/>
  <c r="AI1382" i="1"/>
  <c r="AH1382" i="1"/>
  <c r="AG1382" i="1"/>
  <c r="AF1382" i="1"/>
  <c r="AE1382" i="1"/>
  <c r="AD1382" i="1"/>
  <c r="AC1382" i="1"/>
  <c r="AB1382" i="1"/>
  <c r="W1382" i="1"/>
  <c r="V1382" i="1"/>
  <c r="AS1381" i="1"/>
  <c r="AA1381" i="1" s="1"/>
  <c r="AO1381" i="1"/>
  <c r="AN1381" i="1"/>
  <c r="AM1381" i="1"/>
  <c r="AL1381" i="1"/>
  <c r="AK1381" i="1"/>
  <c r="AJ1381" i="1"/>
  <c r="AI1381" i="1"/>
  <c r="AH1381" i="1"/>
  <c r="AG1381" i="1"/>
  <c r="AF1381" i="1"/>
  <c r="AE1381" i="1"/>
  <c r="AD1381" i="1"/>
  <c r="AC1381" i="1"/>
  <c r="AB1381" i="1"/>
  <c r="W1381" i="1"/>
  <c r="V1381" i="1"/>
  <c r="AS1380" i="1"/>
  <c r="AA1380" i="1" s="1"/>
  <c r="AO1380" i="1"/>
  <c r="AN1380" i="1"/>
  <c r="AM1380" i="1"/>
  <c r="AL1380" i="1"/>
  <c r="AK1380" i="1"/>
  <c r="AJ1380" i="1"/>
  <c r="AI1380" i="1"/>
  <c r="AH1380" i="1"/>
  <c r="AG1380" i="1"/>
  <c r="AF1380" i="1"/>
  <c r="AE1380" i="1"/>
  <c r="AD1380" i="1"/>
  <c r="AC1380" i="1"/>
  <c r="AB1380" i="1"/>
  <c r="W1380" i="1"/>
  <c r="V1380" i="1"/>
  <c r="AS1379" i="1"/>
  <c r="AA1379" i="1" s="1"/>
  <c r="AO1379" i="1"/>
  <c r="AN1379" i="1"/>
  <c r="AM1379" i="1"/>
  <c r="AL1379" i="1"/>
  <c r="AK1379" i="1"/>
  <c r="AJ1379" i="1"/>
  <c r="AI1379" i="1"/>
  <c r="AH1379" i="1"/>
  <c r="AG1379" i="1"/>
  <c r="AF1379" i="1"/>
  <c r="AE1379" i="1"/>
  <c r="AD1379" i="1"/>
  <c r="AC1379" i="1"/>
  <c r="AB1379" i="1"/>
  <c r="W1379" i="1"/>
  <c r="V1379" i="1"/>
  <c r="AS1378" i="1"/>
  <c r="AA1378" i="1" s="1"/>
  <c r="AO1378" i="1"/>
  <c r="AN1378" i="1"/>
  <c r="AM1378" i="1"/>
  <c r="AL1378" i="1"/>
  <c r="AK1378" i="1"/>
  <c r="AJ1378" i="1"/>
  <c r="AI1378" i="1"/>
  <c r="AH1378" i="1"/>
  <c r="AG1378" i="1"/>
  <c r="AF1378" i="1"/>
  <c r="AE1378" i="1"/>
  <c r="AD1378" i="1"/>
  <c r="AC1378" i="1"/>
  <c r="AB1378" i="1"/>
  <c r="W1378" i="1"/>
  <c r="V1378" i="1"/>
  <c r="AS1377" i="1"/>
  <c r="AA1377" i="1" s="1"/>
  <c r="AO1377" i="1"/>
  <c r="AN1377" i="1"/>
  <c r="AM1377" i="1"/>
  <c r="AL1377" i="1"/>
  <c r="AK1377" i="1"/>
  <c r="AJ1377" i="1"/>
  <c r="AI1377" i="1"/>
  <c r="AH1377" i="1"/>
  <c r="AG1377" i="1"/>
  <c r="AF1377" i="1"/>
  <c r="AE1377" i="1"/>
  <c r="AD1377" i="1"/>
  <c r="AC1377" i="1"/>
  <c r="AB1377" i="1"/>
  <c r="W1377" i="1"/>
  <c r="V1377" i="1"/>
  <c r="AS1376" i="1"/>
  <c r="AA1376" i="1" s="1"/>
  <c r="AO1376" i="1"/>
  <c r="AN1376" i="1"/>
  <c r="AM1376" i="1"/>
  <c r="AL1376" i="1"/>
  <c r="AK1376" i="1"/>
  <c r="AJ1376" i="1"/>
  <c r="AI1376" i="1"/>
  <c r="AH1376" i="1"/>
  <c r="AG1376" i="1"/>
  <c r="AF1376" i="1"/>
  <c r="AE1376" i="1"/>
  <c r="AD1376" i="1"/>
  <c r="AC1376" i="1"/>
  <c r="AB1376" i="1"/>
  <c r="W1376" i="1"/>
  <c r="V1376" i="1"/>
  <c r="AS1375" i="1"/>
  <c r="AA1375" i="1" s="1"/>
  <c r="AO1375" i="1"/>
  <c r="AN1375" i="1"/>
  <c r="AM1375" i="1"/>
  <c r="AL1375" i="1"/>
  <c r="AK1375" i="1"/>
  <c r="AJ1375" i="1"/>
  <c r="AI1375" i="1"/>
  <c r="AH1375" i="1"/>
  <c r="AG1375" i="1"/>
  <c r="AF1375" i="1"/>
  <c r="AE1375" i="1"/>
  <c r="AD1375" i="1"/>
  <c r="AC1375" i="1"/>
  <c r="AB1375" i="1"/>
  <c r="W1375" i="1"/>
  <c r="V1375" i="1"/>
  <c r="AS1374" i="1"/>
  <c r="AA1374" i="1" s="1"/>
  <c r="AO1374" i="1"/>
  <c r="AN1374" i="1"/>
  <c r="AM1374" i="1"/>
  <c r="AL1374" i="1"/>
  <c r="AK1374" i="1"/>
  <c r="AJ1374" i="1"/>
  <c r="AI1374" i="1"/>
  <c r="AH1374" i="1"/>
  <c r="AG1374" i="1"/>
  <c r="AF1374" i="1"/>
  <c r="AE1374" i="1"/>
  <c r="AD1374" i="1"/>
  <c r="AC1374" i="1"/>
  <c r="AB1374" i="1"/>
  <c r="W1374" i="1"/>
  <c r="V1374" i="1"/>
  <c r="AS1373" i="1"/>
  <c r="AA1373" i="1" s="1"/>
  <c r="AO1373" i="1"/>
  <c r="AN1373" i="1"/>
  <c r="AM1373" i="1"/>
  <c r="AL1373" i="1"/>
  <c r="AK1373" i="1"/>
  <c r="AJ1373" i="1"/>
  <c r="AI1373" i="1"/>
  <c r="AH1373" i="1"/>
  <c r="AG1373" i="1"/>
  <c r="AF1373" i="1"/>
  <c r="AE1373" i="1"/>
  <c r="AD1373" i="1"/>
  <c r="AC1373" i="1"/>
  <c r="AB1373" i="1"/>
  <c r="W1373" i="1"/>
  <c r="V1373" i="1"/>
  <c r="AS1372" i="1"/>
  <c r="AA1372" i="1" s="1"/>
  <c r="AO1372" i="1"/>
  <c r="AN1372" i="1"/>
  <c r="AM1372" i="1"/>
  <c r="AL1372" i="1"/>
  <c r="AK1372" i="1"/>
  <c r="AJ1372" i="1"/>
  <c r="AI1372" i="1"/>
  <c r="AH1372" i="1"/>
  <c r="AG1372" i="1"/>
  <c r="AF1372" i="1"/>
  <c r="AE1372" i="1"/>
  <c r="AD1372" i="1"/>
  <c r="AC1372" i="1"/>
  <c r="AB1372" i="1"/>
  <c r="W1372" i="1"/>
  <c r="V1372" i="1"/>
  <c r="AS1371" i="1"/>
  <c r="AA1371" i="1" s="1"/>
  <c r="AO1371" i="1"/>
  <c r="AN1371" i="1"/>
  <c r="AM1371" i="1"/>
  <c r="AL1371" i="1"/>
  <c r="AK1371" i="1"/>
  <c r="AJ1371" i="1"/>
  <c r="AI1371" i="1"/>
  <c r="AH1371" i="1"/>
  <c r="AG1371" i="1"/>
  <c r="AF1371" i="1"/>
  <c r="AE1371" i="1"/>
  <c r="AD1371" i="1"/>
  <c r="AC1371" i="1"/>
  <c r="AB1371" i="1"/>
  <c r="W1371" i="1"/>
  <c r="V1371" i="1"/>
  <c r="AS1370" i="1"/>
  <c r="AA1370" i="1" s="1"/>
  <c r="AO1370" i="1"/>
  <c r="AN1370" i="1"/>
  <c r="AM1370" i="1"/>
  <c r="AL1370" i="1"/>
  <c r="AK1370" i="1"/>
  <c r="AJ1370" i="1"/>
  <c r="AI1370" i="1"/>
  <c r="AH1370" i="1"/>
  <c r="AG1370" i="1"/>
  <c r="AF1370" i="1"/>
  <c r="AE1370" i="1"/>
  <c r="AD1370" i="1"/>
  <c r="AC1370" i="1"/>
  <c r="AB1370" i="1"/>
  <c r="W1370" i="1"/>
  <c r="V1370" i="1"/>
  <c r="AS1369" i="1"/>
  <c r="AA1369" i="1" s="1"/>
  <c r="AO1369" i="1"/>
  <c r="AN1369" i="1"/>
  <c r="AM1369" i="1"/>
  <c r="AL1369" i="1"/>
  <c r="AK1369" i="1"/>
  <c r="AJ1369" i="1"/>
  <c r="AI1369" i="1"/>
  <c r="AH1369" i="1"/>
  <c r="AG1369" i="1"/>
  <c r="AF1369" i="1"/>
  <c r="AE1369" i="1"/>
  <c r="AD1369" i="1"/>
  <c r="AC1369" i="1"/>
  <c r="AB1369" i="1"/>
  <c r="W1369" i="1"/>
  <c r="V1369" i="1"/>
  <c r="AS1368" i="1"/>
  <c r="AA1368" i="1" s="1"/>
  <c r="AO1368" i="1"/>
  <c r="AN1368" i="1"/>
  <c r="AM1368" i="1"/>
  <c r="AL1368" i="1"/>
  <c r="AK1368" i="1"/>
  <c r="AJ1368" i="1"/>
  <c r="AI1368" i="1"/>
  <c r="AH1368" i="1"/>
  <c r="AG1368" i="1"/>
  <c r="AF1368" i="1"/>
  <c r="AE1368" i="1"/>
  <c r="AD1368" i="1"/>
  <c r="AC1368" i="1"/>
  <c r="AB1368" i="1"/>
  <c r="W1368" i="1"/>
  <c r="V1368" i="1"/>
  <c r="AS1367" i="1"/>
  <c r="AA1367" i="1" s="1"/>
  <c r="AO1367" i="1"/>
  <c r="AN1367" i="1"/>
  <c r="AM1367" i="1"/>
  <c r="AL1367" i="1"/>
  <c r="AK1367" i="1"/>
  <c r="AJ1367" i="1"/>
  <c r="AI1367" i="1"/>
  <c r="AH1367" i="1"/>
  <c r="AG1367" i="1"/>
  <c r="AF1367" i="1"/>
  <c r="AE1367" i="1"/>
  <c r="AD1367" i="1"/>
  <c r="AC1367" i="1"/>
  <c r="AB1367" i="1"/>
  <c r="W1367" i="1"/>
  <c r="V1367" i="1"/>
  <c r="AS1366" i="1"/>
  <c r="AA1366" i="1" s="1"/>
  <c r="AO1366" i="1"/>
  <c r="AN1366" i="1"/>
  <c r="AM1366" i="1"/>
  <c r="AL1366" i="1"/>
  <c r="AK1366" i="1"/>
  <c r="AJ1366" i="1"/>
  <c r="AI1366" i="1"/>
  <c r="AH1366" i="1"/>
  <c r="AG1366" i="1"/>
  <c r="AF1366" i="1"/>
  <c r="AE1366" i="1"/>
  <c r="AD1366" i="1"/>
  <c r="AC1366" i="1"/>
  <c r="AB1366" i="1"/>
  <c r="W1366" i="1"/>
  <c r="V1366" i="1"/>
  <c r="AS1365" i="1"/>
  <c r="AA1365" i="1" s="1"/>
  <c r="AO1365" i="1"/>
  <c r="AN1365" i="1"/>
  <c r="AM1365" i="1"/>
  <c r="AL1365" i="1"/>
  <c r="AK1365" i="1"/>
  <c r="AJ1365" i="1"/>
  <c r="AI1365" i="1"/>
  <c r="AH1365" i="1"/>
  <c r="AG1365" i="1"/>
  <c r="AF1365" i="1"/>
  <c r="AE1365" i="1"/>
  <c r="AD1365" i="1"/>
  <c r="AC1365" i="1"/>
  <c r="AB1365" i="1"/>
  <c r="W1365" i="1"/>
  <c r="V1365" i="1"/>
  <c r="AS1364" i="1"/>
  <c r="AA1364" i="1" s="1"/>
  <c r="AO1364" i="1"/>
  <c r="AN1364" i="1"/>
  <c r="AM1364" i="1"/>
  <c r="AL1364" i="1"/>
  <c r="AK1364" i="1"/>
  <c r="AJ1364" i="1"/>
  <c r="AI1364" i="1"/>
  <c r="AH1364" i="1"/>
  <c r="AG1364" i="1"/>
  <c r="AF1364" i="1"/>
  <c r="AE1364" i="1"/>
  <c r="AD1364" i="1"/>
  <c r="AC1364" i="1"/>
  <c r="AB1364" i="1"/>
  <c r="W1364" i="1"/>
  <c r="V1364" i="1"/>
  <c r="AS1363" i="1"/>
  <c r="AA1363" i="1" s="1"/>
  <c r="AO1363" i="1"/>
  <c r="AN1363" i="1"/>
  <c r="AM1363" i="1"/>
  <c r="AL1363" i="1"/>
  <c r="AK1363" i="1"/>
  <c r="AJ1363" i="1"/>
  <c r="AI1363" i="1"/>
  <c r="AH1363" i="1"/>
  <c r="AG1363" i="1"/>
  <c r="AF1363" i="1"/>
  <c r="AE1363" i="1"/>
  <c r="AD1363" i="1"/>
  <c r="AC1363" i="1"/>
  <c r="AB1363" i="1"/>
  <c r="W1363" i="1"/>
  <c r="V1363" i="1"/>
  <c r="AS1362" i="1"/>
  <c r="AA1362" i="1" s="1"/>
  <c r="AO1362" i="1"/>
  <c r="AN1362" i="1"/>
  <c r="AM1362" i="1"/>
  <c r="AL1362" i="1"/>
  <c r="AK1362" i="1"/>
  <c r="AJ1362" i="1"/>
  <c r="AI1362" i="1"/>
  <c r="AH1362" i="1"/>
  <c r="AG1362" i="1"/>
  <c r="AF1362" i="1"/>
  <c r="AE1362" i="1"/>
  <c r="AD1362" i="1"/>
  <c r="AC1362" i="1"/>
  <c r="AB1362" i="1"/>
  <c r="W1362" i="1"/>
  <c r="V1362" i="1"/>
  <c r="AS1361" i="1"/>
  <c r="AA1361" i="1" s="1"/>
  <c r="AO1361" i="1"/>
  <c r="AN1361" i="1"/>
  <c r="AM1361" i="1"/>
  <c r="AL1361" i="1"/>
  <c r="AK1361" i="1"/>
  <c r="AJ1361" i="1"/>
  <c r="AI1361" i="1"/>
  <c r="AH1361" i="1"/>
  <c r="AG1361" i="1"/>
  <c r="AF1361" i="1"/>
  <c r="AE1361" i="1"/>
  <c r="AD1361" i="1"/>
  <c r="AC1361" i="1"/>
  <c r="AB1361" i="1"/>
  <c r="W1361" i="1"/>
  <c r="V1361" i="1"/>
  <c r="AS1360" i="1"/>
  <c r="AA1360" i="1" s="1"/>
  <c r="AO1360" i="1"/>
  <c r="AN1360" i="1"/>
  <c r="AM1360" i="1"/>
  <c r="AL1360" i="1"/>
  <c r="AK1360" i="1"/>
  <c r="AJ1360" i="1"/>
  <c r="AI1360" i="1"/>
  <c r="AH1360" i="1"/>
  <c r="AG1360" i="1"/>
  <c r="AF1360" i="1"/>
  <c r="AE1360" i="1"/>
  <c r="AD1360" i="1"/>
  <c r="AC1360" i="1"/>
  <c r="AB1360" i="1"/>
  <c r="W1360" i="1"/>
  <c r="V1360" i="1"/>
  <c r="AS1359" i="1"/>
  <c r="AA1359" i="1" s="1"/>
  <c r="AO1359" i="1"/>
  <c r="AN1359" i="1"/>
  <c r="AM1359" i="1"/>
  <c r="AL1359" i="1"/>
  <c r="AK1359" i="1"/>
  <c r="AJ1359" i="1"/>
  <c r="AI1359" i="1"/>
  <c r="AH1359" i="1"/>
  <c r="AG1359" i="1"/>
  <c r="AF1359" i="1"/>
  <c r="AE1359" i="1"/>
  <c r="AD1359" i="1"/>
  <c r="AC1359" i="1"/>
  <c r="AB1359" i="1"/>
  <c r="W1359" i="1"/>
  <c r="V1359" i="1"/>
  <c r="AS1358" i="1"/>
  <c r="AA1358" i="1" s="1"/>
  <c r="AO1358" i="1"/>
  <c r="AN1358" i="1"/>
  <c r="AM1358" i="1"/>
  <c r="AL1358" i="1"/>
  <c r="AK1358" i="1"/>
  <c r="AJ1358" i="1"/>
  <c r="AI1358" i="1"/>
  <c r="AH1358" i="1"/>
  <c r="AG1358" i="1"/>
  <c r="AF1358" i="1"/>
  <c r="AE1358" i="1"/>
  <c r="AD1358" i="1"/>
  <c r="AC1358" i="1"/>
  <c r="AB1358" i="1"/>
  <c r="W1358" i="1"/>
  <c r="V1358" i="1"/>
  <c r="AS1357" i="1"/>
  <c r="AA1357" i="1" s="1"/>
  <c r="AO1357" i="1"/>
  <c r="AN1357" i="1"/>
  <c r="AM1357" i="1"/>
  <c r="AL1357" i="1"/>
  <c r="AK1357" i="1"/>
  <c r="AJ1357" i="1"/>
  <c r="AI1357" i="1"/>
  <c r="AH1357" i="1"/>
  <c r="AG1357" i="1"/>
  <c r="AF1357" i="1"/>
  <c r="AE1357" i="1"/>
  <c r="AD1357" i="1"/>
  <c r="AC1357" i="1"/>
  <c r="AB1357" i="1"/>
  <c r="W1357" i="1"/>
  <c r="V1357" i="1"/>
  <c r="AS1356" i="1"/>
  <c r="AA1356" i="1" s="1"/>
  <c r="AO1356" i="1"/>
  <c r="AN1356" i="1"/>
  <c r="AM1356" i="1"/>
  <c r="AL1356" i="1"/>
  <c r="AK1356" i="1"/>
  <c r="AJ1356" i="1"/>
  <c r="AI1356" i="1"/>
  <c r="AH1356" i="1"/>
  <c r="AG1356" i="1"/>
  <c r="AF1356" i="1"/>
  <c r="AE1356" i="1"/>
  <c r="AD1356" i="1"/>
  <c r="AC1356" i="1"/>
  <c r="AB1356" i="1"/>
  <c r="W1356" i="1"/>
  <c r="V1356" i="1"/>
  <c r="AS1355" i="1"/>
  <c r="AA1355" i="1" s="1"/>
  <c r="AO1355" i="1"/>
  <c r="AN1355" i="1"/>
  <c r="AM1355" i="1"/>
  <c r="AL1355" i="1"/>
  <c r="AK1355" i="1"/>
  <c r="AJ1355" i="1"/>
  <c r="AI1355" i="1"/>
  <c r="AH1355" i="1"/>
  <c r="AG1355" i="1"/>
  <c r="AF1355" i="1"/>
  <c r="AE1355" i="1"/>
  <c r="AD1355" i="1"/>
  <c r="AC1355" i="1"/>
  <c r="AB1355" i="1"/>
  <c r="W1355" i="1"/>
  <c r="V1355" i="1"/>
  <c r="AS1354" i="1"/>
  <c r="AA1354" i="1" s="1"/>
  <c r="AO1354" i="1"/>
  <c r="AN1354" i="1"/>
  <c r="AM1354" i="1"/>
  <c r="AL1354" i="1"/>
  <c r="AK1354" i="1"/>
  <c r="AJ1354" i="1"/>
  <c r="AI1354" i="1"/>
  <c r="AH1354" i="1"/>
  <c r="AG1354" i="1"/>
  <c r="AF1354" i="1"/>
  <c r="AE1354" i="1"/>
  <c r="AD1354" i="1"/>
  <c r="AC1354" i="1"/>
  <c r="AB1354" i="1"/>
  <c r="W1354" i="1"/>
  <c r="V1354" i="1"/>
  <c r="AS1353" i="1"/>
  <c r="AA1353" i="1" s="1"/>
  <c r="AO1353" i="1"/>
  <c r="AN1353" i="1"/>
  <c r="AM1353" i="1"/>
  <c r="AL1353" i="1"/>
  <c r="AK1353" i="1"/>
  <c r="AJ1353" i="1"/>
  <c r="AI1353" i="1"/>
  <c r="AH1353" i="1"/>
  <c r="AG1353" i="1"/>
  <c r="AF1353" i="1"/>
  <c r="AE1353" i="1"/>
  <c r="AD1353" i="1"/>
  <c r="AC1353" i="1"/>
  <c r="AB1353" i="1"/>
  <c r="W1353" i="1"/>
  <c r="V1353" i="1"/>
  <c r="AS1352" i="1"/>
  <c r="AA1352" i="1" s="1"/>
  <c r="AO1352" i="1"/>
  <c r="AN1352" i="1"/>
  <c r="AM1352" i="1"/>
  <c r="AL1352" i="1"/>
  <c r="AK1352" i="1"/>
  <c r="AJ1352" i="1"/>
  <c r="AI1352" i="1"/>
  <c r="AH1352" i="1"/>
  <c r="AG1352" i="1"/>
  <c r="AF1352" i="1"/>
  <c r="AE1352" i="1"/>
  <c r="AD1352" i="1"/>
  <c r="AC1352" i="1"/>
  <c r="AB1352" i="1"/>
  <c r="W1352" i="1"/>
  <c r="V1352" i="1"/>
  <c r="AS1351" i="1"/>
  <c r="AA1351" i="1" s="1"/>
  <c r="AO1351" i="1"/>
  <c r="AN1351" i="1"/>
  <c r="AM1351" i="1"/>
  <c r="AL1351" i="1"/>
  <c r="AK1351" i="1"/>
  <c r="AJ1351" i="1"/>
  <c r="AI1351" i="1"/>
  <c r="AH1351" i="1"/>
  <c r="AG1351" i="1"/>
  <c r="AF1351" i="1"/>
  <c r="AE1351" i="1"/>
  <c r="AD1351" i="1"/>
  <c r="AC1351" i="1"/>
  <c r="AB1351" i="1"/>
  <c r="W1351" i="1"/>
  <c r="V1351" i="1"/>
  <c r="AS1350" i="1"/>
  <c r="AA1350" i="1" s="1"/>
  <c r="AO1350" i="1"/>
  <c r="AN1350" i="1"/>
  <c r="AM1350" i="1"/>
  <c r="AL1350" i="1"/>
  <c r="AK1350" i="1"/>
  <c r="AJ1350" i="1"/>
  <c r="AI1350" i="1"/>
  <c r="AH1350" i="1"/>
  <c r="AG1350" i="1"/>
  <c r="AF1350" i="1"/>
  <c r="AE1350" i="1"/>
  <c r="AD1350" i="1"/>
  <c r="AC1350" i="1"/>
  <c r="AB1350" i="1"/>
  <c r="W1350" i="1"/>
  <c r="V1350" i="1"/>
  <c r="AS1349" i="1"/>
  <c r="AA1349" i="1" s="1"/>
  <c r="AO1349" i="1"/>
  <c r="AN1349" i="1"/>
  <c r="AM1349" i="1"/>
  <c r="AL1349" i="1"/>
  <c r="AK1349" i="1"/>
  <c r="AJ1349" i="1"/>
  <c r="AI1349" i="1"/>
  <c r="AH1349" i="1"/>
  <c r="AG1349" i="1"/>
  <c r="AF1349" i="1"/>
  <c r="AE1349" i="1"/>
  <c r="AD1349" i="1"/>
  <c r="AC1349" i="1"/>
  <c r="AB1349" i="1"/>
  <c r="W1349" i="1"/>
  <c r="V1349" i="1"/>
  <c r="AS1348" i="1"/>
  <c r="AA1348" i="1" s="1"/>
  <c r="AO1348" i="1"/>
  <c r="AN1348" i="1"/>
  <c r="AM1348" i="1"/>
  <c r="AL1348" i="1"/>
  <c r="AK1348" i="1"/>
  <c r="AJ1348" i="1"/>
  <c r="AI1348" i="1"/>
  <c r="AH1348" i="1"/>
  <c r="AG1348" i="1"/>
  <c r="AF1348" i="1"/>
  <c r="AE1348" i="1"/>
  <c r="AD1348" i="1"/>
  <c r="AC1348" i="1"/>
  <c r="AB1348" i="1"/>
  <c r="W1348" i="1"/>
  <c r="V1348" i="1"/>
  <c r="AS1347" i="1"/>
  <c r="AA1347" i="1" s="1"/>
  <c r="AO1347" i="1"/>
  <c r="AN1347" i="1"/>
  <c r="AM1347" i="1"/>
  <c r="AL1347" i="1"/>
  <c r="AK1347" i="1"/>
  <c r="AJ1347" i="1"/>
  <c r="AI1347" i="1"/>
  <c r="AH1347" i="1"/>
  <c r="AG1347" i="1"/>
  <c r="AF1347" i="1"/>
  <c r="AE1347" i="1"/>
  <c r="AD1347" i="1"/>
  <c r="AC1347" i="1"/>
  <c r="AB1347" i="1"/>
  <c r="W1347" i="1"/>
  <c r="V1347" i="1"/>
  <c r="AS1346" i="1"/>
  <c r="AA1346" i="1" s="1"/>
  <c r="AO1346" i="1"/>
  <c r="AN1346" i="1"/>
  <c r="AM1346" i="1"/>
  <c r="AL1346" i="1"/>
  <c r="AK1346" i="1"/>
  <c r="AJ1346" i="1"/>
  <c r="AI1346" i="1"/>
  <c r="AH1346" i="1"/>
  <c r="AG1346" i="1"/>
  <c r="AF1346" i="1"/>
  <c r="AE1346" i="1"/>
  <c r="AD1346" i="1"/>
  <c r="AC1346" i="1"/>
  <c r="AB1346" i="1"/>
  <c r="W1346" i="1"/>
  <c r="V1346" i="1"/>
  <c r="AS1345" i="1"/>
  <c r="AA1345" i="1" s="1"/>
  <c r="AO1345" i="1"/>
  <c r="AN1345" i="1"/>
  <c r="AM1345" i="1"/>
  <c r="AL1345" i="1"/>
  <c r="AK1345" i="1"/>
  <c r="AJ1345" i="1"/>
  <c r="AI1345" i="1"/>
  <c r="AH1345" i="1"/>
  <c r="AG1345" i="1"/>
  <c r="AF1345" i="1"/>
  <c r="AE1345" i="1"/>
  <c r="AD1345" i="1"/>
  <c r="AC1345" i="1"/>
  <c r="AB1345" i="1"/>
  <c r="W1345" i="1"/>
  <c r="V1345" i="1"/>
  <c r="AS1344" i="1"/>
  <c r="AA1344" i="1" s="1"/>
  <c r="AO1344" i="1"/>
  <c r="AN1344" i="1"/>
  <c r="AM1344" i="1"/>
  <c r="AL1344" i="1"/>
  <c r="AK1344" i="1"/>
  <c r="AJ1344" i="1"/>
  <c r="AI1344" i="1"/>
  <c r="AH1344" i="1"/>
  <c r="AG1344" i="1"/>
  <c r="AF1344" i="1"/>
  <c r="AE1344" i="1"/>
  <c r="AD1344" i="1"/>
  <c r="AC1344" i="1"/>
  <c r="AB1344" i="1"/>
  <c r="W1344" i="1"/>
  <c r="V1344" i="1"/>
  <c r="AS1343" i="1"/>
  <c r="AA1343" i="1" s="1"/>
  <c r="AO1343" i="1"/>
  <c r="AN1343" i="1"/>
  <c r="AM1343" i="1"/>
  <c r="AL1343" i="1"/>
  <c r="AK1343" i="1"/>
  <c r="AJ1343" i="1"/>
  <c r="AI1343" i="1"/>
  <c r="AH1343" i="1"/>
  <c r="AG1343" i="1"/>
  <c r="AF1343" i="1"/>
  <c r="AE1343" i="1"/>
  <c r="AD1343" i="1"/>
  <c r="AC1343" i="1"/>
  <c r="AB1343" i="1"/>
  <c r="W1343" i="1"/>
  <c r="V1343" i="1"/>
  <c r="AS1342" i="1"/>
  <c r="AA1342" i="1" s="1"/>
  <c r="AO1342" i="1"/>
  <c r="AN1342" i="1"/>
  <c r="AM1342" i="1"/>
  <c r="AL1342" i="1"/>
  <c r="AK1342" i="1"/>
  <c r="AJ1342" i="1"/>
  <c r="AI1342" i="1"/>
  <c r="AH1342" i="1"/>
  <c r="AG1342" i="1"/>
  <c r="AF1342" i="1"/>
  <c r="AE1342" i="1"/>
  <c r="AD1342" i="1"/>
  <c r="AC1342" i="1"/>
  <c r="AB1342" i="1"/>
  <c r="W1342" i="1"/>
  <c r="V1342" i="1"/>
  <c r="AS1341" i="1"/>
  <c r="AA1341" i="1" s="1"/>
  <c r="AO1341" i="1"/>
  <c r="AN1341" i="1"/>
  <c r="AM1341" i="1"/>
  <c r="AL1341" i="1"/>
  <c r="AK1341" i="1"/>
  <c r="AJ1341" i="1"/>
  <c r="AI1341" i="1"/>
  <c r="AH1341" i="1"/>
  <c r="AG1341" i="1"/>
  <c r="AF1341" i="1"/>
  <c r="AE1341" i="1"/>
  <c r="AD1341" i="1"/>
  <c r="AC1341" i="1"/>
  <c r="AB1341" i="1"/>
  <c r="W1341" i="1"/>
  <c r="V1341" i="1"/>
  <c r="AS1340" i="1"/>
  <c r="AA1340" i="1" s="1"/>
  <c r="AO1340" i="1"/>
  <c r="AN1340" i="1"/>
  <c r="AM1340" i="1"/>
  <c r="AL1340" i="1"/>
  <c r="AK1340" i="1"/>
  <c r="AJ1340" i="1"/>
  <c r="AI1340" i="1"/>
  <c r="AH1340" i="1"/>
  <c r="AG1340" i="1"/>
  <c r="AF1340" i="1"/>
  <c r="AE1340" i="1"/>
  <c r="AD1340" i="1"/>
  <c r="AC1340" i="1"/>
  <c r="AB1340" i="1"/>
  <c r="W1340" i="1"/>
  <c r="V1340" i="1"/>
  <c r="AS1339" i="1"/>
  <c r="AA1339" i="1" s="1"/>
  <c r="AO1339" i="1"/>
  <c r="AN1339" i="1"/>
  <c r="AM1339" i="1"/>
  <c r="AL1339" i="1"/>
  <c r="AK1339" i="1"/>
  <c r="AJ1339" i="1"/>
  <c r="AI1339" i="1"/>
  <c r="AH1339" i="1"/>
  <c r="AG1339" i="1"/>
  <c r="AF1339" i="1"/>
  <c r="AE1339" i="1"/>
  <c r="AD1339" i="1"/>
  <c r="AC1339" i="1"/>
  <c r="AB1339" i="1"/>
  <c r="W1339" i="1"/>
  <c r="V1339" i="1"/>
  <c r="AS1338" i="1"/>
  <c r="AA1338" i="1" s="1"/>
  <c r="AO1338" i="1"/>
  <c r="AN1338" i="1"/>
  <c r="AM1338" i="1"/>
  <c r="AL1338" i="1"/>
  <c r="AK1338" i="1"/>
  <c r="AJ1338" i="1"/>
  <c r="AI1338" i="1"/>
  <c r="AH1338" i="1"/>
  <c r="AG1338" i="1"/>
  <c r="AF1338" i="1"/>
  <c r="AE1338" i="1"/>
  <c r="AD1338" i="1"/>
  <c r="AC1338" i="1"/>
  <c r="AB1338" i="1"/>
  <c r="W1338" i="1"/>
  <c r="V1338" i="1"/>
  <c r="AS1337" i="1"/>
  <c r="AA1337" i="1" s="1"/>
  <c r="AO1337" i="1"/>
  <c r="AN1337" i="1"/>
  <c r="AM1337" i="1"/>
  <c r="AL1337" i="1"/>
  <c r="AK1337" i="1"/>
  <c r="AJ1337" i="1"/>
  <c r="AI1337" i="1"/>
  <c r="AH1337" i="1"/>
  <c r="AG1337" i="1"/>
  <c r="AF1337" i="1"/>
  <c r="AE1337" i="1"/>
  <c r="AD1337" i="1"/>
  <c r="AC1337" i="1"/>
  <c r="AB1337" i="1"/>
  <c r="W1337" i="1"/>
  <c r="V1337" i="1"/>
  <c r="AS1336" i="1"/>
  <c r="AA1336" i="1" s="1"/>
  <c r="AO1336" i="1"/>
  <c r="AN1336" i="1"/>
  <c r="AM1336" i="1"/>
  <c r="AL1336" i="1"/>
  <c r="AK1336" i="1"/>
  <c r="AJ1336" i="1"/>
  <c r="AI1336" i="1"/>
  <c r="AH1336" i="1"/>
  <c r="AG1336" i="1"/>
  <c r="AF1336" i="1"/>
  <c r="AE1336" i="1"/>
  <c r="AD1336" i="1"/>
  <c r="AC1336" i="1"/>
  <c r="AB1336" i="1"/>
  <c r="W1336" i="1"/>
  <c r="V1336" i="1"/>
  <c r="AS1335" i="1"/>
  <c r="AA1335" i="1" s="1"/>
  <c r="AO1335" i="1"/>
  <c r="AN1335" i="1"/>
  <c r="AM1335" i="1"/>
  <c r="AL1335" i="1"/>
  <c r="AK1335" i="1"/>
  <c r="AJ1335" i="1"/>
  <c r="AI1335" i="1"/>
  <c r="AH1335" i="1"/>
  <c r="AG1335" i="1"/>
  <c r="AF1335" i="1"/>
  <c r="AE1335" i="1"/>
  <c r="AD1335" i="1"/>
  <c r="AC1335" i="1"/>
  <c r="AB1335" i="1"/>
  <c r="W1335" i="1"/>
  <c r="V1335" i="1"/>
  <c r="AS1334" i="1"/>
  <c r="AA1334" i="1" s="1"/>
  <c r="AO1334" i="1"/>
  <c r="AN1334" i="1"/>
  <c r="AM1334" i="1"/>
  <c r="AL1334" i="1"/>
  <c r="AK1334" i="1"/>
  <c r="AJ1334" i="1"/>
  <c r="AI1334" i="1"/>
  <c r="AH1334" i="1"/>
  <c r="AG1334" i="1"/>
  <c r="AF1334" i="1"/>
  <c r="AE1334" i="1"/>
  <c r="AD1334" i="1"/>
  <c r="AC1334" i="1"/>
  <c r="AB1334" i="1"/>
  <c r="W1334" i="1"/>
  <c r="V1334" i="1"/>
  <c r="AS1333" i="1"/>
  <c r="AA1333" i="1" s="1"/>
  <c r="AO1333" i="1"/>
  <c r="AN1333" i="1"/>
  <c r="AM1333" i="1"/>
  <c r="AL1333" i="1"/>
  <c r="AK1333" i="1"/>
  <c r="AJ1333" i="1"/>
  <c r="AI1333" i="1"/>
  <c r="AH1333" i="1"/>
  <c r="AG1333" i="1"/>
  <c r="AF1333" i="1"/>
  <c r="AE1333" i="1"/>
  <c r="AD1333" i="1"/>
  <c r="AC1333" i="1"/>
  <c r="AB1333" i="1"/>
  <c r="W1333" i="1"/>
  <c r="V1333" i="1"/>
  <c r="AS1332" i="1"/>
  <c r="AA1332" i="1" s="1"/>
  <c r="AO1332" i="1"/>
  <c r="AN1332" i="1"/>
  <c r="AM1332" i="1"/>
  <c r="AL1332" i="1"/>
  <c r="AK1332" i="1"/>
  <c r="AJ1332" i="1"/>
  <c r="AI1332" i="1"/>
  <c r="AH1332" i="1"/>
  <c r="AG1332" i="1"/>
  <c r="AF1332" i="1"/>
  <c r="AE1332" i="1"/>
  <c r="AD1332" i="1"/>
  <c r="AC1332" i="1"/>
  <c r="AB1332" i="1"/>
  <c r="W1332" i="1"/>
  <c r="V1332" i="1"/>
  <c r="AS1331" i="1"/>
  <c r="AA1331" i="1" s="1"/>
  <c r="AO1331" i="1"/>
  <c r="AN1331" i="1"/>
  <c r="AM1331" i="1"/>
  <c r="AL1331" i="1"/>
  <c r="AK1331" i="1"/>
  <c r="AJ1331" i="1"/>
  <c r="AI1331" i="1"/>
  <c r="AH1331" i="1"/>
  <c r="AG1331" i="1"/>
  <c r="AF1331" i="1"/>
  <c r="AE1331" i="1"/>
  <c r="AD1331" i="1"/>
  <c r="AC1331" i="1"/>
  <c r="AB1331" i="1"/>
  <c r="W1331" i="1"/>
  <c r="V1331" i="1"/>
  <c r="AS1330" i="1"/>
  <c r="AA1330" i="1" s="1"/>
  <c r="AO1330" i="1"/>
  <c r="AN1330" i="1"/>
  <c r="AM1330" i="1"/>
  <c r="AL1330" i="1"/>
  <c r="AK1330" i="1"/>
  <c r="AJ1330" i="1"/>
  <c r="AI1330" i="1"/>
  <c r="AH1330" i="1"/>
  <c r="AG1330" i="1"/>
  <c r="AF1330" i="1"/>
  <c r="AE1330" i="1"/>
  <c r="AD1330" i="1"/>
  <c r="AC1330" i="1"/>
  <c r="AB1330" i="1"/>
  <c r="W1330" i="1"/>
  <c r="V1330" i="1"/>
  <c r="AS1329" i="1"/>
  <c r="AA1329" i="1" s="1"/>
  <c r="AO1329" i="1"/>
  <c r="AN1329" i="1"/>
  <c r="AM1329" i="1"/>
  <c r="AL1329" i="1"/>
  <c r="AK1329" i="1"/>
  <c r="AJ1329" i="1"/>
  <c r="AI1329" i="1"/>
  <c r="AH1329" i="1"/>
  <c r="AG1329" i="1"/>
  <c r="AF1329" i="1"/>
  <c r="AE1329" i="1"/>
  <c r="AD1329" i="1"/>
  <c r="AC1329" i="1"/>
  <c r="AB1329" i="1"/>
  <c r="W1329" i="1"/>
  <c r="V1329" i="1"/>
  <c r="AS1328" i="1"/>
  <c r="AA1328" i="1" s="1"/>
  <c r="AO1328" i="1"/>
  <c r="AN1328" i="1"/>
  <c r="AM1328" i="1"/>
  <c r="AL1328" i="1"/>
  <c r="AK1328" i="1"/>
  <c r="AJ1328" i="1"/>
  <c r="AI1328" i="1"/>
  <c r="AH1328" i="1"/>
  <c r="AG1328" i="1"/>
  <c r="AF1328" i="1"/>
  <c r="AE1328" i="1"/>
  <c r="AD1328" i="1"/>
  <c r="AC1328" i="1"/>
  <c r="AB1328" i="1"/>
  <c r="W1328" i="1"/>
  <c r="V1328" i="1"/>
  <c r="AS1327" i="1"/>
  <c r="AA1327" i="1" s="1"/>
  <c r="AO1327" i="1"/>
  <c r="AN1327" i="1"/>
  <c r="AM1327" i="1"/>
  <c r="AL1327" i="1"/>
  <c r="AK1327" i="1"/>
  <c r="AJ1327" i="1"/>
  <c r="AI1327" i="1"/>
  <c r="AH1327" i="1"/>
  <c r="AG1327" i="1"/>
  <c r="AF1327" i="1"/>
  <c r="AE1327" i="1"/>
  <c r="AD1327" i="1"/>
  <c r="AC1327" i="1"/>
  <c r="AB1327" i="1"/>
  <c r="W1327" i="1"/>
  <c r="V1327" i="1"/>
  <c r="AS1326" i="1"/>
  <c r="AA1326" i="1" s="1"/>
  <c r="AO1326" i="1"/>
  <c r="AN1326" i="1"/>
  <c r="AM1326" i="1"/>
  <c r="AL1326" i="1"/>
  <c r="AK1326" i="1"/>
  <c r="AJ1326" i="1"/>
  <c r="AI1326" i="1"/>
  <c r="AH1326" i="1"/>
  <c r="AG1326" i="1"/>
  <c r="AF1326" i="1"/>
  <c r="AE1326" i="1"/>
  <c r="AD1326" i="1"/>
  <c r="AC1326" i="1"/>
  <c r="AB1326" i="1"/>
  <c r="W1326" i="1"/>
  <c r="V1326" i="1"/>
  <c r="AS1325" i="1"/>
  <c r="AA1325" i="1" s="1"/>
  <c r="AO1325" i="1"/>
  <c r="AN1325" i="1"/>
  <c r="AM1325" i="1"/>
  <c r="AL1325" i="1"/>
  <c r="AK1325" i="1"/>
  <c r="AJ1325" i="1"/>
  <c r="AI1325" i="1"/>
  <c r="AH1325" i="1"/>
  <c r="AG1325" i="1"/>
  <c r="AF1325" i="1"/>
  <c r="AE1325" i="1"/>
  <c r="AD1325" i="1"/>
  <c r="AC1325" i="1"/>
  <c r="AB1325" i="1"/>
  <c r="W1325" i="1"/>
  <c r="V1325" i="1"/>
  <c r="AS1324" i="1"/>
  <c r="AA1324" i="1" s="1"/>
  <c r="AO1324" i="1"/>
  <c r="AN1324" i="1"/>
  <c r="AM1324" i="1"/>
  <c r="AL1324" i="1"/>
  <c r="AK1324" i="1"/>
  <c r="AJ1324" i="1"/>
  <c r="AI1324" i="1"/>
  <c r="AH1324" i="1"/>
  <c r="AG1324" i="1"/>
  <c r="AF1324" i="1"/>
  <c r="AE1324" i="1"/>
  <c r="AD1324" i="1"/>
  <c r="AC1324" i="1"/>
  <c r="AB1324" i="1"/>
  <c r="W1324" i="1"/>
  <c r="V1324" i="1"/>
  <c r="AS1323" i="1"/>
  <c r="AA1323" i="1" s="1"/>
  <c r="AO1323" i="1"/>
  <c r="AN1323" i="1"/>
  <c r="AM1323" i="1"/>
  <c r="AL1323" i="1"/>
  <c r="AK1323" i="1"/>
  <c r="AJ1323" i="1"/>
  <c r="AI1323" i="1"/>
  <c r="AH1323" i="1"/>
  <c r="AG1323" i="1"/>
  <c r="AF1323" i="1"/>
  <c r="AE1323" i="1"/>
  <c r="AD1323" i="1"/>
  <c r="AC1323" i="1"/>
  <c r="AB1323" i="1"/>
  <c r="W1323" i="1"/>
  <c r="V1323" i="1"/>
  <c r="AS1322" i="1"/>
  <c r="AA1322" i="1" s="1"/>
  <c r="AO1322" i="1"/>
  <c r="AN1322" i="1"/>
  <c r="AM1322" i="1"/>
  <c r="AL1322" i="1"/>
  <c r="AK1322" i="1"/>
  <c r="AJ1322" i="1"/>
  <c r="AI1322" i="1"/>
  <c r="AH1322" i="1"/>
  <c r="AG1322" i="1"/>
  <c r="AF1322" i="1"/>
  <c r="AE1322" i="1"/>
  <c r="AD1322" i="1"/>
  <c r="AC1322" i="1"/>
  <c r="AB1322" i="1"/>
  <c r="W1322" i="1"/>
  <c r="V1322" i="1"/>
  <c r="AS1321" i="1"/>
  <c r="AA1321" i="1" s="1"/>
  <c r="AO1321" i="1"/>
  <c r="AN1321" i="1"/>
  <c r="AM1321" i="1"/>
  <c r="AL1321" i="1"/>
  <c r="AK1321" i="1"/>
  <c r="AJ1321" i="1"/>
  <c r="AI1321" i="1"/>
  <c r="AH1321" i="1"/>
  <c r="AG1321" i="1"/>
  <c r="AF1321" i="1"/>
  <c r="AE1321" i="1"/>
  <c r="AD1321" i="1"/>
  <c r="AC1321" i="1"/>
  <c r="AB1321" i="1"/>
  <c r="W1321" i="1"/>
  <c r="V1321" i="1"/>
  <c r="AS1320" i="1"/>
  <c r="AA1320" i="1" s="1"/>
  <c r="AO1320" i="1"/>
  <c r="AN1320" i="1"/>
  <c r="AM1320" i="1"/>
  <c r="AL1320" i="1"/>
  <c r="AK1320" i="1"/>
  <c r="AJ1320" i="1"/>
  <c r="AI1320" i="1"/>
  <c r="AH1320" i="1"/>
  <c r="AG1320" i="1"/>
  <c r="AF1320" i="1"/>
  <c r="AE1320" i="1"/>
  <c r="AD1320" i="1"/>
  <c r="AC1320" i="1"/>
  <c r="AB1320" i="1"/>
  <c r="W1320" i="1"/>
  <c r="V1320" i="1"/>
  <c r="AS1319" i="1"/>
  <c r="AA1319" i="1" s="1"/>
  <c r="AO1319" i="1"/>
  <c r="AN1319" i="1"/>
  <c r="AM1319" i="1"/>
  <c r="AL1319" i="1"/>
  <c r="AK1319" i="1"/>
  <c r="AJ1319" i="1"/>
  <c r="AI1319" i="1"/>
  <c r="AH1319" i="1"/>
  <c r="AG1319" i="1"/>
  <c r="AF1319" i="1"/>
  <c r="AE1319" i="1"/>
  <c r="AD1319" i="1"/>
  <c r="AC1319" i="1"/>
  <c r="AB1319" i="1"/>
  <c r="W1319" i="1"/>
  <c r="V1319" i="1"/>
  <c r="AS1318" i="1"/>
  <c r="AA1318" i="1" s="1"/>
  <c r="AO1318" i="1"/>
  <c r="AN1318" i="1"/>
  <c r="AM1318" i="1"/>
  <c r="AL1318" i="1"/>
  <c r="AK1318" i="1"/>
  <c r="AJ1318" i="1"/>
  <c r="AI1318" i="1"/>
  <c r="AH1318" i="1"/>
  <c r="AG1318" i="1"/>
  <c r="AF1318" i="1"/>
  <c r="AE1318" i="1"/>
  <c r="AD1318" i="1"/>
  <c r="AC1318" i="1"/>
  <c r="AB1318" i="1"/>
  <c r="W1318" i="1"/>
  <c r="V1318" i="1"/>
  <c r="AS1317" i="1"/>
  <c r="AA1317" i="1" s="1"/>
  <c r="AO1317" i="1"/>
  <c r="AN1317" i="1"/>
  <c r="AM1317" i="1"/>
  <c r="AL1317" i="1"/>
  <c r="AK1317" i="1"/>
  <c r="AJ1317" i="1"/>
  <c r="AI1317" i="1"/>
  <c r="AH1317" i="1"/>
  <c r="AG1317" i="1"/>
  <c r="AF1317" i="1"/>
  <c r="AE1317" i="1"/>
  <c r="AD1317" i="1"/>
  <c r="AC1317" i="1"/>
  <c r="AB1317" i="1"/>
  <c r="W1317" i="1"/>
  <c r="V1317" i="1"/>
  <c r="AS1316" i="1"/>
  <c r="AA1316" i="1" s="1"/>
  <c r="AO1316" i="1"/>
  <c r="AN1316" i="1"/>
  <c r="AM1316" i="1"/>
  <c r="AL1316" i="1"/>
  <c r="AK1316" i="1"/>
  <c r="AJ1316" i="1"/>
  <c r="AI1316" i="1"/>
  <c r="AH1316" i="1"/>
  <c r="AG1316" i="1"/>
  <c r="AF1316" i="1"/>
  <c r="AE1316" i="1"/>
  <c r="AD1316" i="1"/>
  <c r="AC1316" i="1"/>
  <c r="AB1316" i="1"/>
  <c r="W1316" i="1"/>
  <c r="V1316" i="1"/>
  <c r="AS1315" i="1"/>
  <c r="AA1315" i="1" s="1"/>
  <c r="AO1315" i="1"/>
  <c r="AN1315" i="1"/>
  <c r="AM1315" i="1"/>
  <c r="AL1315" i="1"/>
  <c r="AK1315" i="1"/>
  <c r="AJ1315" i="1"/>
  <c r="AI1315" i="1"/>
  <c r="AH1315" i="1"/>
  <c r="AG1315" i="1"/>
  <c r="AF1315" i="1"/>
  <c r="AE1315" i="1"/>
  <c r="AD1315" i="1"/>
  <c r="AC1315" i="1"/>
  <c r="AB1315" i="1"/>
  <c r="W1315" i="1"/>
  <c r="V1315" i="1"/>
  <c r="AS1314" i="1"/>
  <c r="AA1314" i="1" s="1"/>
  <c r="AO1314" i="1"/>
  <c r="AN1314" i="1"/>
  <c r="AM1314" i="1"/>
  <c r="AL1314" i="1"/>
  <c r="AK1314" i="1"/>
  <c r="AJ1314" i="1"/>
  <c r="AI1314" i="1"/>
  <c r="AH1314" i="1"/>
  <c r="AG1314" i="1"/>
  <c r="AF1314" i="1"/>
  <c r="AE1314" i="1"/>
  <c r="AD1314" i="1"/>
  <c r="AC1314" i="1"/>
  <c r="AB1314" i="1"/>
  <c r="W1314" i="1"/>
  <c r="V1314" i="1"/>
  <c r="AS1313" i="1"/>
  <c r="AA1313" i="1" s="1"/>
  <c r="AO1313" i="1"/>
  <c r="AN1313" i="1"/>
  <c r="AM1313" i="1"/>
  <c r="AL1313" i="1"/>
  <c r="AK1313" i="1"/>
  <c r="AJ1313" i="1"/>
  <c r="AI1313" i="1"/>
  <c r="AH1313" i="1"/>
  <c r="AG1313" i="1"/>
  <c r="AF1313" i="1"/>
  <c r="AE1313" i="1"/>
  <c r="AD1313" i="1"/>
  <c r="AC1313" i="1"/>
  <c r="AB1313" i="1"/>
  <c r="W1313" i="1"/>
  <c r="V1313" i="1"/>
  <c r="AS1312" i="1"/>
  <c r="AA1312" i="1" s="1"/>
  <c r="AO1312" i="1"/>
  <c r="AN1312" i="1"/>
  <c r="AM1312" i="1"/>
  <c r="AL1312" i="1"/>
  <c r="AK1312" i="1"/>
  <c r="AJ1312" i="1"/>
  <c r="AI1312" i="1"/>
  <c r="AH1312" i="1"/>
  <c r="AG1312" i="1"/>
  <c r="AF1312" i="1"/>
  <c r="AE1312" i="1"/>
  <c r="AD1312" i="1"/>
  <c r="AC1312" i="1"/>
  <c r="AB1312" i="1"/>
  <c r="W1312" i="1"/>
  <c r="V1312" i="1"/>
  <c r="AS1311" i="1"/>
  <c r="AA1311" i="1" s="1"/>
  <c r="AO1311" i="1"/>
  <c r="AN1311" i="1"/>
  <c r="AM1311" i="1"/>
  <c r="AL1311" i="1"/>
  <c r="AK1311" i="1"/>
  <c r="AJ1311" i="1"/>
  <c r="AI1311" i="1"/>
  <c r="AH1311" i="1"/>
  <c r="AG1311" i="1"/>
  <c r="AF1311" i="1"/>
  <c r="AE1311" i="1"/>
  <c r="AD1311" i="1"/>
  <c r="AC1311" i="1"/>
  <c r="AB1311" i="1"/>
  <c r="W1311" i="1"/>
  <c r="V1311" i="1"/>
  <c r="AS1310" i="1"/>
  <c r="AA1310" i="1" s="1"/>
  <c r="AO1310" i="1"/>
  <c r="AN1310" i="1"/>
  <c r="AM1310" i="1"/>
  <c r="AL1310" i="1"/>
  <c r="AK1310" i="1"/>
  <c r="AJ1310" i="1"/>
  <c r="AI1310" i="1"/>
  <c r="AH1310" i="1"/>
  <c r="AG1310" i="1"/>
  <c r="AF1310" i="1"/>
  <c r="AE1310" i="1"/>
  <c r="AD1310" i="1"/>
  <c r="AC1310" i="1"/>
  <c r="AB1310" i="1"/>
  <c r="W1310" i="1"/>
  <c r="V1310" i="1"/>
  <c r="AS1309" i="1"/>
  <c r="AA1309" i="1" s="1"/>
  <c r="AO1309" i="1"/>
  <c r="AN1309" i="1"/>
  <c r="AM1309" i="1"/>
  <c r="AL1309" i="1"/>
  <c r="AK1309" i="1"/>
  <c r="AJ1309" i="1"/>
  <c r="AI1309" i="1"/>
  <c r="AH1309" i="1"/>
  <c r="AG1309" i="1"/>
  <c r="AF1309" i="1"/>
  <c r="AE1309" i="1"/>
  <c r="AD1309" i="1"/>
  <c r="AC1309" i="1"/>
  <c r="AB1309" i="1"/>
  <c r="W1309" i="1"/>
  <c r="V1309" i="1"/>
  <c r="AS1308" i="1"/>
  <c r="AA1308" i="1" s="1"/>
  <c r="AO1308" i="1"/>
  <c r="AN1308" i="1"/>
  <c r="AM1308" i="1"/>
  <c r="AL1308" i="1"/>
  <c r="AK1308" i="1"/>
  <c r="AJ1308" i="1"/>
  <c r="AI1308" i="1"/>
  <c r="AH1308" i="1"/>
  <c r="AG1308" i="1"/>
  <c r="AF1308" i="1"/>
  <c r="AE1308" i="1"/>
  <c r="AD1308" i="1"/>
  <c r="AC1308" i="1"/>
  <c r="AB1308" i="1"/>
  <c r="W1308" i="1"/>
  <c r="V1308" i="1"/>
  <c r="AS1307" i="1"/>
  <c r="AA1307" i="1" s="1"/>
  <c r="AO1307" i="1"/>
  <c r="AN1307" i="1"/>
  <c r="AM1307" i="1"/>
  <c r="AL1307" i="1"/>
  <c r="AK1307" i="1"/>
  <c r="AJ1307" i="1"/>
  <c r="AI1307" i="1"/>
  <c r="AH1307" i="1"/>
  <c r="AG1307" i="1"/>
  <c r="AF1307" i="1"/>
  <c r="AE1307" i="1"/>
  <c r="AD1307" i="1"/>
  <c r="AC1307" i="1"/>
  <c r="AB1307" i="1"/>
  <c r="W1307" i="1"/>
  <c r="V1307" i="1"/>
  <c r="AS1306" i="1"/>
  <c r="AA1306" i="1" s="1"/>
  <c r="AO1306" i="1"/>
  <c r="AN1306" i="1"/>
  <c r="AM1306" i="1"/>
  <c r="AL1306" i="1"/>
  <c r="AK1306" i="1"/>
  <c r="AJ1306" i="1"/>
  <c r="AI1306" i="1"/>
  <c r="AH1306" i="1"/>
  <c r="AG1306" i="1"/>
  <c r="AF1306" i="1"/>
  <c r="AE1306" i="1"/>
  <c r="AD1306" i="1"/>
  <c r="AC1306" i="1"/>
  <c r="AB1306" i="1"/>
  <c r="W1306" i="1"/>
  <c r="V1306" i="1"/>
  <c r="AS1305" i="1"/>
  <c r="AA1305" i="1" s="1"/>
  <c r="AO1305" i="1"/>
  <c r="AN1305" i="1"/>
  <c r="AM1305" i="1"/>
  <c r="AL1305" i="1"/>
  <c r="AK1305" i="1"/>
  <c r="AJ1305" i="1"/>
  <c r="AI1305" i="1"/>
  <c r="AH1305" i="1"/>
  <c r="AG1305" i="1"/>
  <c r="AF1305" i="1"/>
  <c r="AE1305" i="1"/>
  <c r="AD1305" i="1"/>
  <c r="AC1305" i="1"/>
  <c r="AB1305" i="1"/>
  <c r="Z1305" i="1"/>
  <c r="W1305" i="1"/>
  <c r="Y1305" i="1" s="1"/>
  <c r="V1305" i="1"/>
  <c r="AS1304" i="1"/>
  <c r="AA1304" i="1" s="1"/>
  <c r="AO1304" i="1"/>
  <c r="AN1304" i="1"/>
  <c r="AM1304" i="1"/>
  <c r="AL1304" i="1"/>
  <c r="AK1304" i="1"/>
  <c r="AJ1304" i="1"/>
  <c r="AI1304" i="1"/>
  <c r="AH1304" i="1"/>
  <c r="AG1304" i="1"/>
  <c r="AF1304" i="1"/>
  <c r="AE1304" i="1"/>
  <c r="AD1304" i="1"/>
  <c r="AC1304" i="1"/>
  <c r="AB1304" i="1"/>
  <c r="Z1304" i="1"/>
  <c r="W1304" i="1"/>
  <c r="X1304" i="1" s="1"/>
  <c r="V1304" i="1"/>
  <c r="AS1303" i="1"/>
  <c r="AA1303" i="1" s="1"/>
  <c r="AO1303" i="1"/>
  <c r="AN1303" i="1"/>
  <c r="AM1303" i="1"/>
  <c r="AL1303" i="1"/>
  <c r="AK1303" i="1"/>
  <c r="AJ1303" i="1"/>
  <c r="AI1303" i="1"/>
  <c r="AH1303" i="1"/>
  <c r="AG1303" i="1"/>
  <c r="AF1303" i="1"/>
  <c r="AE1303" i="1"/>
  <c r="AD1303" i="1"/>
  <c r="AC1303" i="1"/>
  <c r="AB1303" i="1"/>
  <c r="Z1303" i="1"/>
  <c r="W1303" i="1"/>
  <c r="Y1303" i="1" s="1"/>
  <c r="V1303" i="1"/>
  <c r="AS1302" i="1"/>
  <c r="AA1302" i="1" s="1"/>
  <c r="AO1302" i="1"/>
  <c r="AN1302" i="1"/>
  <c r="AM1302" i="1"/>
  <c r="AL1302" i="1"/>
  <c r="AK1302" i="1"/>
  <c r="AJ1302" i="1"/>
  <c r="AI1302" i="1"/>
  <c r="AH1302" i="1"/>
  <c r="AG1302" i="1"/>
  <c r="AF1302" i="1"/>
  <c r="AE1302" i="1"/>
  <c r="AD1302" i="1"/>
  <c r="AC1302" i="1"/>
  <c r="AB1302" i="1"/>
  <c r="Z1302" i="1"/>
  <c r="W1302" i="1"/>
  <c r="Y1302" i="1" s="1"/>
  <c r="V1302" i="1"/>
  <c r="AS1301" i="1"/>
  <c r="AA1301" i="1" s="1"/>
  <c r="AO1301" i="1"/>
  <c r="AN1301" i="1"/>
  <c r="AM1301" i="1"/>
  <c r="AL1301" i="1"/>
  <c r="AK1301" i="1"/>
  <c r="AJ1301" i="1"/>
  <c r="AI1301" i="1"/>
  <c r="AH1301" i="1"/>
  <c r="AG1301" i="1"/>
  <c r="AF1301" i="1"/>
  <c r="AE1301" i="1"/>
  <c r="AD1301" i="1"/>
  <c r="AC1301" i="1"/>
  <c r="AB1301" i="1"/>
  <c r="Z1301" i="1"/>
  <c r="W1301" i="1"/>
  <c r="Y1301" i="1" s="1"/>
  <c r="V1301" i="1"/>
  <c r="AS1300" i="1"/>
  <c r="AA1300" i="1" s="1"/>
  <c r="AO1300" i="1"/>
  <c r="AN1300" i="1"/>
  <c r="AM1300" i="1"/>
  <c r="AL1300" i="1"/>
  <c r="AK1300" i="1"/>
  <c r="AJ1300" i="1"/>
  <c r="AI1300" i="1"/>
  <c r="AH1300" i="1"/>
  <c r="AG1300" i="1"/>
  <c r="AF1300" i="1"/>
  <c r="AE1300" i="1"/>
  <c r="AD1300" i="1"/>
  <c r="AC1300" i="1"/>
  <c r="AB1300" i="1"/>
  <c r="Z1300" i="1"/>
  <c r="W1300" i="1"/>
  <c r="X1300" i="1" s="1"/>
  <c r="V1300" i="1"/>
  <c r="AS1299" i="1"/>
  <c r="AA1299" i="1" s="1"/>
  <c r="AO1299" i="1"/>
  <c r="AN1299" i="1"/>
  <c r="AM1299" i="1"/>
  <c r="AL1299" i="1"/>
  <c r="AK1299" i="1"/>
  <c r="AJ1299" i="1"/>
  <c r="AI1299" i="1"/>
  <c r="AH1299" i="1"/>
  <c r="AG1299" i="1"/>
  <c r="AF1299" i="1"/>
  <c r="AE1299" i="1"/>
  <c r="AD1299" i="1"/>
  <c r="AC1299" i="1"/>
  <c r="AB1299" i="1"/>
  <c r="Z1299" i="1"/>
  <c r="W1299" i="1"/>
  <c r="Y1299" i="1" s="1"/>
  <c r="V1299" i="1"/>
  <c r="AS1298" i="1"/>
  <c r="AA1298" i="1" s="1"/>
  <c r="AO1298" i="1"/>
  <c r="AN1298" i="1"/>
  <c r="AM1298" i="1"/>
  <c r="AL1298" i="1"/>
  <c r="AK1298" i="1"/>
  <c r="AJ1298" i="1"/>
  <c r="AI1298" i="1"/>
  <c r="AH1298" i="1"/>
  <c r="AG1298" i="1"/>
  <c r="AF1298" i="1"/>
  <c r="AE1298" i="1"/>
  <c r="AD1298" i="1"/>
  <c r="AC1298" i="1"/>
  <c r="AB1298" i="1"/>
  <c r="Z1298" i="1"/>
  <c r="W1298" i="1"/>
  <c r="Y1298" i="1" s="1"/>
  <c r="V1298" i="1"/>
  <c r="AS1297" i="1"/>
  <c r="AA1297" i="1" s="1"/>
  <c r="AO1297" i="1"/>
  <c r="AN1297" i="1"/>
  <c r="AM1297" i="1"/>
  <c r="AL1297" i="1"/>
  <c r="AK1297" i="1"/>
  <c r="AJ1297" i="1"/>
  <c r="AI1297" i="1"/>
  <c r="AH1297" i="1"/>
  <c r="AG1297" i="1"/>
  <c r="AF1297" i="1"/>
  <c r="AE1297" i="1"/>
  <c r="AD1297" i="1"/>
  <c r="AC1297" i="1"/>
  <c r="AB1297" i="1"/>
  <c r="Z1297" i="1"/>
  <c r="W1297" i="1"/>
  <c r="X1297" i="1" s="1"/>
  <c r="V1297" i="1"/>
  <c r="AS1296" i="1"/>
  <c r="AA1296" i="1" s="1"/>
  <c r="AO1296" i="1"/>
  <c r="AN1296" i="1"/>
  <c r="AM1296" i="1"/>
  <c r="AL1296" i="1"/>
  <c r="AK1296" i="1"/>
  <c r="AJ1296" i="1"/>
  <c r="AI1296" i="1"/>
  <c r="AH1296" i="1"/>
  <c r="AG1296" i="1"/>
  <c r="AF1296" i="1"/>
  <c r="AE1296" i="1"/>
  <c r="AD1296" i="1"/>
  <c r="AC1296" i="1"/>
  <c r="AB1296" i="1"/>
  <c r="Z1296" i="1"/>
  <c r="W1296" i="1"/>
  <c r="X1296" i="1" s="1"/>
  <c r="V1296" i="1"/>
  <c r="AS1295" i="1"/>
  <c r="AA1295" i="1" s="1"/>
  <c r="AO1295" i="1"/>
  <c r="AN1295" i="1"/>
  <c r="AM1295" i="1"/>
  <c r="AL1295" i="1"/>
  <c r="AK1295" i="1"/>
  <c r="AJ1295" i="1"/>
  <c r="AI1295" i="1"/>
  <c r="AH1295" i="1"/>
  <c r="AG1295" i="1"/>
  <c r="AF1295" i="1"/>
  <c r="AE1295" i="1"/>
  <c r="AD1295" i="1"/>
  <c r="AC1295" i="1"/>
  <c r="AB1295" i="1"/>
  <c r="Z1295" i="1"/>
  <c r="W1295" i="1"/>
  <c r="Y1295" i="1" s="1"/>
  <c r="V1295" i="1"/>
  <c r="AS1294" i="1"/>
  <c r="AA1294" i="1" s="1"/>
  <c r="AO1294" i="1"/>
  <c r="AN1294" i="1"/>
  <c r="AM1294" i="1"/>
  <c r="AL1294" i="1"/>
  <c r="AK1294" i="1"/>
  <c r="AJ1294" i="1"/>
  <c r="AI1294" i="1"/>
  <c r="AH1294" i="1"/>
  <c r="AG1294" i="1"/>
  <c r="AF1294" i="1"/>
  <c r="AE1294" i="1"/>
  <c r="AD1294" i="1"/>
  <c r="AC1294" i="1"/>
  <c r="AB1294" i="1"/>
  <c r="Z1294" i="1"/>
  <c r="W1294" i="1"/>
  <c r="Y1294" i="1" s="1"/>
  <c r="V1294" i="1"/>
  <c r="AS1293" i="1"/>
  <c r="AA1293" i="1" s="1"/>
  <c r="AO1293" i="1"/>
  <c r="AN1293" i="1"/>
  <c r="AM1293" i="1"/>
  <c r="AL1293" i="1"/>
  <c r="AK1293" i="1"/>
  <c r="AJ1293" i="1"/>
  <c r="AI1293" i="1"/>
  <c r="AH1293" i="1"/>
  <c r="AG1293" i="1"/>
  <c r="AF1293" i="1"/>
  <c r="AE1293" i="1"/>
  <c r="AD1293" i="1"/>
  <c r="AC1293" i="1"/>
  <c r="AB1293" i="1"/>
  <c r="Z1293" i="1"/>
  <c r="W1293" i="1"/>
  <c r="X1293" i="1" s="1"/>
  <c r="V1293" i="1"/>
  <c r="AS1292" i="1"/>
  <c r="AA1292" i="1" s="1"/>
  <c r="AO1292" i="1"/>
  <c r="AN1292" i="1"/>
  <c r="AM1292" i="1"/>
  <c r="AL1292" i="1"/>
  <c r="AK1292" i="1"/>
  <c r="AJ1292" i="1"/>
  <c r="AI1292" i="1"/>
  <c r="AH1292" i="1"/>
  <c r="AG1292" i="1"/>
  <c r="AF1292" i="1"/>
  <c r="AE1292" i="1"/>
  <c r="AD1292" i="1"/>
  <c r="AC1292" i="1"/>
  <c r="AB1292" i="1"/>
  <c r="Z1292" i="1"/>
  <c r="W1292" i="1"/>
  <c r="X1292" i="1" s="1"/>
  <c r="V1292" i="1"/>
  <c r="AS1291" i="1"/>
  <c r="AA1291" i="1" s="1"/>
  <c r="AO1291" i="1"/>
  <c r="AN1291" i="1"/>
  <c r="AM1291" i="1"/>
  <c r="AL1291" i="1"/>
  <c r="AK1291" i="1"/>
  <c r="AJ1291" i="1"/>
  <c r="AI1291" i="1"/>
  <c r="AH1291" i="1"/>
  <c r="AG1291" i="1"/>
  <c r="AF1291" i="1"/>
  <c r="AE1291" i="1"/>
  <c r="AD1291" i="1"/>
  <c r="AC1291" i="1"/>
  <c r="AB1291" i="1"/>
  <c r="Z1291" i="1"/>
  <c r="W1291" i="1"/>
  <c r="Y1291" i="1" s="1"/>
  <c r="V1291" i="1"/>
  <c r="AS1290" i="1"/>
  <c r="AA1290" i="1" s="1"/>
  <c r="AO1290" i="1"/>
  <c r="AN1290" i="1"/>
  <c r="AM1290" i="1"/>
  <c r="AL1290" i="1"/>
  <c r="AK1290" i="1"/>
  <c r="AJ1290" i="1"/>
  <c r="AI1290" i="1"/>
  <c r="AH1290" i="1"/>
  <c r="AG1290" i="1"/>
  <c r="AF1290" i="1"/>
  <c r="AE1290" i="1"/>
  <c r="AD1290" i="1"/>
  <c r="AC1290" i="1"/>
  <c r="AB1290" i="1"/>
  <c r="Z1290" i="1"/>
  <c r="W1290" i="1"/>
  <c r="Y1290" i="1" s="1"/>
  <c r="V1290" i="1"/>
  <c r="AS1289" i="1"/>
  <c r="AA1289" i="1" s="1"/>
  <c r="AO1289" i="1"/>
  <c r="AN1289" i="1"/>
  <c r="AM1289" i="1"/>
  <c r="AL1289" i="1"/>
  <c r="AK1289" i="1"/>
  <c r="AJ1289" i="1"/>
  <c r="AI1289" i="1"/>
  <c r="AH1289" i="1"/>
  <c r="AG1289" i="1"/>
  <c r="AF1289" i="1"/>
  <c r="AE1289" i="1"/>
  <c r="AD1289" i="1"/>
  <c r="AC1289" i="1"/>
  <c r="AB1289" i="1"/>
  <c r="Z1289" i="1"/>
  <c r="W1289" i="1"/>
  <c r="X1289" i="1" s="1"/>
  <c r="V1289" i="1"/>
  <c r="AS1288" i="1"/>
  <c r="AA1288" i="1" s="1"/>
  <c r="AO1288" i="1"/>
  <c r="AN1288" i="1"/>
  <c r="AM1288" i="1"/>
  <c r="AL1288" i="1"/>
  <c r="AK1288" i="1"/>
  <c r="AJ1288" i="1"/>
  <c r="AI1288" i="1"/>
  <c r="AH1288" i="1"/>
  <c r="AG1288" i="1"/>
  <c r="AF1288" i="1"/>
  <c r="AE1288" i="1"/>
  <c r="AD1288" i="1"/>
  <c r="AC1288" i="1"/>
  <c r="AB1288" i="1"/>
  <c r="Z1288" i="1"/>
  <c r="W1288" i="1"/>
  <c r="X1288" i="1" s="1"/>
  <c r="V1288" i="1"/>
  <c r="AS1287" i="1"/>
  <c r="AA1287" i="1" s="1"/>
  <c r="AO1287" i="1"/>
  <c r="AN1287" i="1"/>
  <c r="AM1287" i="1"/>
  <c r="AL1287" i="1"/>
  <c r="AK1287" i="1"/>
  <c r="AJ1287" i="1"/>
  <c r="AI1287" i="1"/>
  <c r="AH1287" i="1"/>
  <c r="AG1287" i="1"/>
  <c r="AF1287" i="1"/>
  <c r="AE1287" i="1"/>
  <c r="AD1287" i="1"/>
  <c r="AC1287" i="1"/>
  <c r="AB1287" i="1"/>
  <c r="Z1287" i="1"/>
  <c r="W1287" i="1"/>
  <c r="Y1287" i="1" s="1"/>
  <c r="V1287" i="1"/>
  <c r="AS1286" i="1"/>
  <c r="AA1286" i="1" s="1"/>
  <c r="AO1286" i="1"/>
  <c r="AN1286" i="1"/>
  <c r="AM1286" i="1"/>
  <c r="AL1286" i="1"/>
  <c r="AK1286" i="1"/>
  <c r="AJ1286" i="1"/>
  <c r="AI1286" i="1"/>
  <c r="AH1286" i="1"/>
  <c r="AG1286" i="1"/>
  <c r="AF1286" i="1"/>
  <c r="AE1286" i="1"/>
  <c r="AD1286" i="1"/>
  <c r="AC1286" i="1"/>
  <c r="AB1286" i="1"/>
  <c r="Z1286" i="1"/>
  <c r="W1286" i="1"/>
  <c r="Y1286" i="1" s="1"/>
  <c r="V1286" i="1"/>
  <c r="AS1285" i="1"/>
  <c r="AA1285" i="1" s="1"/>
  <c r="AO1285" i="1"/>
  <c r="AN1285" i="1"/>
  <c r="AM1285" i="1"/>
  <c r="AL1285" i="1"/>
  <c r="AK1285" i="1"/>
  <c r="AJ1285" i="1"/>
  <c r="AI1285" i="1"/>
  <c r="AH1285" i="1"/>
  <c r="AG1285" i="1"/>
  <c r="AF1285" i="1"/>
  <c r="AE1285" i="1"/>
  <c r="AD1285" i="1"/>
  <c r="AC1285" i="1"/>
  <c r="AB1285" i="1"/>
  <c r="Z1285" i="1"/>
  <c r="W1285" i="1"/>
  <c r="X1285" i="1" s="1"/>
  <c r="V1285" i="1"/>
  <c r="AS1284" i="1"/>
  <c r="AA1284" i="1" s="1"/>
  <c r="AO1284" i="1"/>
  <c r="AN1284" i="1"/>
  <c r="AM1284" i="1"/>
  <c r="AL1284" i="1"/>
  <c r="AK1284" i="1"/>
  <c r="AJ1284" i="1"/>
  <c r="AI1284" i="1"/>
  <c r="AH1284" i="1"/>
  <c r="AG1284" i="1"/>
  <c r="AF1284" i="1"/>
  <c r="AE1284" i="1"/>
  <c r="AD1284" i="1"/>
  <c r="AC1284" i="1"/>
  <c r="AB1284" i="1"/>
  <c r="Z1284" i="1"/>
  <c r="W1284" i="1"/>
  <c r="X1284" i="1" s="1"/>
  <c r="V1284" i="1"/>
  <c r="AS1283" i="1"/>
  <c r="AA1283" i="1" s="1"/>
  <c r="AO1283" i="1"/>
  <c r="AN1283" i="1"/>
  <c r="AM1283" i="1"/>
  <c r="AL1283" i="1"/>
  <c r="AK1283" i="1"/>
  <c r="AJ1283" i="1"/>
  <c r="AI1283" i="1"/>
  <c r="AH1283" i="1"/>
  <c r="AG1283" i="1"/>
  <c r="AF1283" i="1"/>
  <c r="AE1283" i="1"/>
  <c r="AD1283" i="1"/>
  <c r="AC1283" i="1"/>
  <c r="AB1283" i="1"/>
  <c r="Z1283" i="1"/>
  <c r="W1283" i="1"/>
  <c r="Y1283" i="1" s="1"/>
  <c r="V1283" i="1"/>
  <c r="AS1282" i="1"/>
  <c r="AA1282" i="1" s="1"/>
  <c r="AO1282" i="1"/>
  <c r="AN1282" i="1"/>
  <c r="AM1282" i="1"/>
  <c r="AL1282" i="1"/>
  <c r="AK1282" i="1"/>
  <c r="AJ1282" i="1"/>
  <c r="AI1282" i="1"/>
  <c r="AH1282" i="1"/>
  <c r="AG1282" i="1"/>
  <c r="AF1282" i="1"/>
  <c r="AE1282" i="1"/>
  <c r="AD1282" i="1"/>
  <c r="AC1282" i="1"/>
  <c r="AB1282" i="1"/>
  <c r="Z1282" i="1"/>
  <c r="W1282" i="1"/>
  <c r="Y1282" i="1" s="1"/>
  <c r="V1282" i="1"/>
  <c r="AS1281" i="1"/>
  <c r="AA1281" i="1" s="1"/>
  <c r="AO1281" i="1"/>
  <c r="AN1281" i="1"/>
  <c r="AM1281" i="1"/>
  <c r="AL1281" i="1"/>
  <c r="AK1281" i="1"/>
  <c r="AJ1281" i="1"/>
  <c r="AI1281" i="1"/>
  <c r="AH1281" i="1"/>
  <c r="AG1281" i="1"/>
  <c r="AF1281" i="1"/>
  <c r="AE1281" i="1"/>
  <c r="AD1281" i="1"/>
  <c r="AC1281" i="1"/>
  <c r="AB1281" i="1"/>
  <c r="Z1281" i="1"/>
  <c r="Y1281" i="1"/>
  <c r="W1281" i="1"/>
  <c r="X1281" i="1" s="1"/>
  <c r="V1281" i="1"/>
  <c r="AS1280" i="1"/>
  <c r="AA1280" i="1" s="1"/>
  <c r="AO1280" i="1"/>
  <c r="AN1280" i="1"/>
  <c r="AM1280" i="1"/>
  <c r="AL1280" i="1"/>
  <c r="AK1280" i="1"/>
  <c r="AJ1280" i="1"/>
  <c r="AI1280" i="1"/>
  <c r="AH1280" i="1"/>
  <c r="AG1280" i="1"/>
  <c r="AF1280" i="1"/>
  <c r="AE1280" i="1"/>
  <c r="AD1280" i="1"/>
  <c r="AC1280" i="1"/>
  <c r="AB1280" i="1"/>
  <c r="Z1280" i="1"/>
  <c r="W1280" i="1"/>
  <c r="X1280" i="1" s="1"/>
  <c r="V1280" i="1"/>
  <c r="AS1279" i="1"/>
  <c r="AA1279" i="1" s="1"/>
  <c r="AO1279" i="1"/>
  <c r="AN1279" i="1"/>
  <c r="AM1279" i="1"/>
  <c r="AL1279" i="1"/>
  <c r="AK1279" i="1"/>
  <c r="AJ1279" i="1"/>
  <c r="AI1279" i="1"/>
  <c r="AH1279" i="1"/>
  <c r="AG1279" i="1"/>
  <c r="AF1279" i="1"/>
  <c r="AE1279" i="1"/>
  <c r="AD1279" i="1"/>
  <c r="AC1279" i="1"/>
  <c r="AB1279" i="1"/>
  <c r="Z1279" i="1"/>
  <c r="W1279" i="1"/>
  <c r="Y1279" i="1" s="1"/>
  <c r="V1279" i="1"/>
  <c r="AS1278" i="1"/>
  <c r="AA1278" i="1" s="1"/>
  <c r="AO1278" i="1"/>
  <c r="AN1278" i="1"/>
  <c r="AM1278" i="1"/>
  <c r="AL1278" i="1"/>
  <c r="AK1278" i="1"/>
  <c r="AJ1278" i="1"/>
  <c r="AI1278" i="1"/>
  <c r="AH1278" i="1"/>
  <c r="AG1278" i="1"/>
  <c r="AF1278" i="1"/>
  <c r="AE1278" i="1"/>
  <c r="AD1278" i="1"/>
  <c r="AC1278" i="1"/>
  <c r="AB1278" i="1"/>
  <c r="Z1278" i="1"/>
  <c r="W1278" i="1"/>
  <c r="Y1278" i="1" s="1"/>
  <c r="V1278" i="1"/>
  <c r="AW1277" i="1"/>
  <c r="AE1277" i="1" s="1"/>
  <c r="AV1277" i="1"/>
  <c r="AD1277" i="1" s="1"/>
  <c r="AU1277" i="1"/>
  <c r="AC1277" i="1" s="1"/>
  <c r="AT1277" i="1"/>
  <c r="AB1277" i="1" s="1"/>
  <c r="AS1277" i="1"/>
  <c r="AA1277" i="1" s="1"/>
  <c r="AO1277" i="1"/>
  <c r="AN1277" i="1"/>
  <c r="AM1277" i="1"/>
  <c r="AL1277" i="1"/>
  <c r="AK1277" i="1"/>
  <c r="AJ1277" i="1"/>
  <c r="AI1277" i="1"/>
  <c r="AH1277" i="1"/>
  <c r="AG1277" i="1"/>
  <c r="AF1277" i="1"/>
  <c r="Z1277" i="1"/>
  <c r="W1277" i="1"/>
  <c r="Y1277" i="1" s="1"/>
  <c r="V1277" i="1"/>
  <c r="AV1276" i="1"/>
  <c r="AD1276" i="1" s="1"/>
  <c r="AU1276" i="1"/>
  <c r="AC1276" i="1" s="1"/>
  <c r="AT1276" i="1"/>
  <c r="AB1276" i="1" s="1"/>
  <c r="AS1276" i="1"/>
  <c r="AA1276" i="1" s="1"/>
  <c r="AO1276" i="1"/>
  <c r="AN1276" i="1"/>
  <c r="AM1276" i="1"/>
  <c r="AL1276" i="1"/>
  <c r="AK1276" i="1"/>
  <c r="AJ1276" i="1"/>
  <c r="AI1276" i="1"/>
  <c r="AH1276" i="1"/>
  <c r="AG1276" i="1"/>
  <c r="AF1276" i="1"/>
  <c r="AE1276" i="1"/>
  <c r="Z1276" i="1"/>
  <c r="W1276" i="1"/>
  <c r="Y1276" i="1" s="1"/>
  <c r="V1276" i="1"/>
  <c r="AS1275" i="1"/>
  <c r="AA1275" i="1" s="1"/>
  <c r="AO1275" i="1"/>
  <c r="AN1275" i="1"/>
  <c r="AM1275" i="1"/>
  <c r="AL1275" i="1"/>
  <c r="AK1275" i="1"/>
  <c r="AJ1275" i="1"/>
  <c r="AI1275" i="1"/>
  <c r="AH1275" i="1"/>
  <c r="AG1275" i="1"/>
  <c r="AF1275" i="1"/>
  <c r="AE1275" i="1"/>
  <c r="AD1275" i="1"/>
  <c r="AC1275" i="1"/>
  <c r="AB1275" i="1"/>
  <c r="Z1275" i="1"/>
  <c r="W1275" i="1"/>
  <c r="X1275" i="1" s="1"/>
  <c r="V1275" i="1"/>
  <c r="AT1274" i="1"/>
  <c r="AB1274" i="1" s="1"/>
  <c r="AS1274" i="1"/>
  <c r="AA1274" i="1" s="1"/>
  <c r="AO1274" i="1"/>
  <c r="AN1274" i="1"/>
  <c r="AM1274" i="1"/>
  <c r="AL1274" i="1"/>
  <c r="AK1274" i="1"/>
  <c r="AJ1274" i="1"/>
  <c r="AI1274" i="1"/>
  <c r="AH1274" i="1"/>
  <c r="AG1274" i="1"/>
  <c r="AF1274" i="1"/>
  <c r="AE1274" i="1"/>
  <c r="AD1274" i="1"/>
  <c r="AC1274" i="1"/>
  <c r="Z1274" i="1"/>
  <c r="W1274" i="1"/>
  <c r="Y1274" i="1" s="1"/>
  <c r="V1274" i="1"/>
  <c r="AT1273" i="1"/>
  <c r="AB1273" i="1" s="1"/>
  <c r="AS1273" i="1"/>
  <c r="AA1273" i="1" s="1"/>
  <c r="AO1273" i="1"/>
  <c r="AN1273" i="1"/>
  <c r="AM1273" i="1"/>
  <c r="AL1273" i="1"/>
  <c r="AK1273" i="1"/>
  <c r="AJ1273" i="1"/>
  <c r="AI1273" i="1"/>
  <c r="AH1273" i="1"/>
  <c r="AG1273" i="1"/>
  <c r="AF1273" i="1"/>
  <c r="AE1273" i="1"/>
  <c r="AD1273" i="1"/>
  <c r="AC1273" i="1"/>
  <c r="Z1273" i="1"/>
  <c r="W1273" i="1"/>
  <c r="X1273" i="1" s="1"/>
  <c r="V1273" i="1"/>
  <c r="AS1272" i="1"/>
  <c r="AA1272" i="1" s="1"/>
  <c r="AO1272" i="1"/>
  <c r="AN1272" i="1"/>
  <c r="AM1272" i="1"/>
  <c r="AL1272" i="1"/>
  <c r="AK1272" i="1"/>
  <c r="AJ1272" i="1"/>
  <c r="AI1272" i="1"/>
  <c r="AH1272" i="1"/>
  <c r="AG1272" i="1"/>
  <c r="AF1272" i="1"/>
  <c r="AE1272" i="1"/>
  <c r="AD1272" i="1"/>
  <c r="AC1272" i="1"/>
  <c r="AB1272" i="1"/>
  <c r="Z1272" i="1"/>
  <c r="W1272" i="1"/>
  <c r="Y1272" i="1" s="1"/>
  <c r="V1272" i="1"/>
  <c r="AS1271" i="1"/>
  <c r="AA1271" i="1" s="1"/>
  <c r="AO1271" i="1"/>
  <c r="AN1271" i="1"/>
  <c r="AM1271" i="1"/>
  <c r="AL1271" i="1"/>
  <c r="AK1271" i="1"/>
  <c r="AJ1271" i="1"/>
  <c r="AI1271" i="1"/>
  <c r="AH1271" i="1"/>
  <c r="AG1271" i="1"/>
  <c r="AF1271" i="1"/>
  <c r="AE1271" i="1"/>
  <c r="AD1271" i="1"/>
  <c r="AC1271" i="1"/>
  <c r="AB1271" i="1"/>
  <c r="Z1271" i="1"/>
  <c r="W1271" i="1"/>
  <c r="Y1271" i="1" s="1"/>
  <c r="V1271" i="1"/>
  <c r="AS1270" i="1"/>
  <c r="AA1270" i="1" s="1"/>
  <c r="AO1270" i="1"/>
  <c r="AN1270" i="1"/>
  <c r="AM1270" i="1"/>
  <c r="AL1270" i="1"/>
  <c r="AK1270" i="1"/>
  <c r="AJ1270" i="1"/>
  <c r="AI1270" i="1"/>
  <c r="AH1270" i="1"/>
  <c r="AG1270" i="1"/>
  <c r="AF1270" i="1"/>
  <c r="AE1270" i="1"/>
  <c r="AD1270" i="1"/>
  <c r="AC1270" i="1"/>
  <c r="AB1270" i="1"/>
  <c r="Z1270" i="1"/>
  <c r="W1270" i="1"/>
  <c r="X1270" i="1" s="1"/>
  <c r="V1270" i="1"/>
  <c r="AS1269" i="1"/>
  <c r="AA1269" i="1" s="1"/>
  <c r="AO1269" i="1"/>
  <c r="AN1269" i="1"/>
  <c r="AM1269" i="1"/>
  <c r="AL1269" i="1"/>
  <c r="AK1269" i="1"/>
  <c r="AJ1269" i="1"/>
  <c r="AI1269" i="1"/>
  <c r="AH1269" i="1"/>
  <c r="AG1269" i="1"/>
  <c r="AF1269" i="1"/>
  <c r="AE1269" i="1"/>
  <c r="AD1269" i="1"/>
  <c r="AC1269" i="1"/>
  <c r="AB1269" i="1"/>
  <c r="Z1269" i="1"/>
  <c r="W1269" i="1"/>
  <c r="X1269" i="1" s="1"/>
  <c r="V1269" i="1"/>
  <c r="AS1268" i="1"/>
  <c r="AA1268" i="1" s="1"/>
  <c r="AO1268" i="1"/>
  <c r="AN1268" i="1"/>
  <c r="AM1268" i="1"/>
  <c r="AL1268" i="1"/>
  <c r="AK1268" i="1"/>
  <c r="AJ1268" i="1"/>
  <c r="AI1268" i="1"/>
  <c r="AH1268" i="1"/>
  <c r="AG1268" i="1"/>
  <c r="AF1268" i="1"/>
  <c r="AE1268" i="1"/>
  <c r="AD1268" i="1"/>
  <c r="AC1268" i="1"/>
  <c r="AB1268" i="1"/>
  <c r="Z1268" i="1"/>
  <c r="W1268" i="1"/>
  <c r="Y1268" i="1" s="1"/>
  <c r="V1268" i="1"/>
  <c r="AS1267" i="1"/>
  <c r="AA1267" i="1" s="1"/>
  <c r="AO1267" i="1"/>
  <c r="AN1267" i="1"/>
  <c r="AM1267" i="1"/>
  <c r="AL1267" i="1"/>
  <c r="AK1267" i="1"/>
  <c r="AJ1267" i="1"/>
  <c r="AI1267" i="1"/>
  <c r="AH1267" i="1"/>
  <c r="AG1267" i="1"/>
  <c r="AF1267" i="1"/>
  <c r="AE1267" i="1"/>
  <c r="AD1267" i="1"/>
  <c r="AC1267" i="1"/>
  <c r="AB1267" i="1"/>
  <c r="Z1267" i="1"/>
  <c r="W1267" i="1"/>
  <c r="Y1267" i="1" s="1"/>
  <c r="V1267" i="1"/>
  <c r="AS1266" i="1"/>
  <c r="AA1266" i="1" s="1"/>
  <c r="AO1266" i="1"/>
  <c r="AN1266" i="1"/>
  <c r="AM1266" i="1"/>
  <c r="AL1266" i="1"/>
  <c r="AK1266" i="1"/>
  <c r="AJ1266" i="1"/>
  <c r="AI1266" i="1"/>
  <c r="AH1266" i="1"/>
  <c r="AG1266" i="1"/>
  <c r="AF1266" i="1"/>
  <c r="AE1266" i="1"/>
  <c r="AD1266" i="1"/>
  <c r="AC1266" i="1"/>
  <c r="AB1266" i="1"/>
  <c r="Z1266" i="1"/>
  <c r="W1266" i="1"/>
  <c r="X1266" i="1" s="1"/>
  <c r="V1266" i="1"/>
  <c r="AS1265" i="1"/>
  <c r="AA1265" i="1" s="1"/>
  <c r="AO1265" i="1"/>
  <c r="AN1265" i="1"/>
  <c r="AM1265" i="1"/>
  <c r="AL1265" i="1"/>
  <c r="AK1265" i="1"/>
  <c r="AJ1265" i="1"/>
  <c r="AI1265" i="1"/>
  <c r="AH1265" i="1"/>
  <c r="AG1265" i="1"/>
  <c r="AF1265" i="1"/>
  <c r="AE1265" i="1"/>
  <c r="AD1265" i="1"/>
  <c r="AC1265" i="1"/>
  <c r="AB1265" i="1"/>
  <c r="Z1265" i="1"/>
  <c r="W1265" i="1"/>
  <c r="X1265" i="1" s="1"/>
  <c r="V1265" i="1"/>
  <c r="AS1264" i="1"/>
  <c r="AA1264" i="1" s="1"/>
  <c r="AO1264" i="1"/>
  <c r="AN1264" i="1"/>
  <c r="AM1264" i="1"/>
  <c r="AL1264" i="1"/>
  <c r="AK1264" i="1"/>
  <c r="AJ1264" i="1"/>
  <c r="AI1264" i="1"/>
  <c r="AH1264" i="1"/>
  <c r="AG1264" i="1"/>
  <c r="AF1264" i="1"/>
  <c r="AE1264" i="1"/>
  <c r="AD1264" i="1"/>
  <c r="AC1264" i="1"/>
  <c r="AB1264" i="1"/>
  <c r="Z1264" i="1"/>
  <c r="W1264" i="1"/>
  <c r="Y1264" i="1" s="1"/>
  <c r="V1264" i="1"/>
  <c r="AT1263" i="1"/>
  <c r="AB1263" i="1" s="1"/>
  <c r="AS1263" i="1"/>
  <c r="AA1263" i="1" s="1"/>
  <c r="AO1263" i="1"/>
  <c r="AN1263" i="1"/>
  <c r="AM1263" i="1"/>
  <c r="AL1263" i="1"/>
  <c r="AK1263" i="1"/>
  <c r="AJ1263" i="1"/>
  <c r="AI1263" i="1"/>
  <c r="AH1263" i="1"/>
  <c r="AG1263" i="1"/>
  <c r="AF1263" i="1"/>
  <c r="AE1263" i="1"/>
  <c r="AD1263" i="1"/>
  <c r="AC1263" i="1"/>
  <c r="Z1263" i="1"/>
  <c r="W1263" i="1"/>
  <c r="Y1263" i="1" s="1"/>
  <c r="V1263" i="1"/>
  <c r="AS1262" i="1"/>
  <c r="AA1262" i="1" s="1"/>
  <c r="AO1262" i="1"/>
  <c r="AN1262" i="1"/>
  <c r="AM1262" i="1"/>
  <c r="AL1262" i="1"/>
  <c r="AK1262" i="1"/>
  <c r="AJ1262" i="1"/>
  <c r="AI1262" i="1"/>
  <c r="AH1262" i="1"/>
  <c r="AG1262" i="1"/>
  <c r="AF1262" i="1"/>
  <c r="AE1262" i="1"/>
  <c r="AD1262" i="1"/>
  <c r="AC1262" i="1"/>
  <c r="AB1262" i="1"/>
  <c r="Z1262" i="1"/>
  <c r="W1262" i="1"/>
  <c r="X1262" i="1" s="1"/>
  <c r="V1262" i="1"/>
  <c r="AS1261" i="1"/>
  <c r="AA1261" i="1" s="1"/>
  <c r="AO1261" i="1"/>
  <c r="AN1261" i="1"/>
  <c r="AM1261" i="1"/>
  <c r="AL1261" i="1"/>
  <c r="AK1261" i="1"/>
  <c r="AJ1261" i="1"/>
  <c r="AI1261" i="1"/>
  <c r="AH1261" i="1"/>
  <c r="AG1261" i="1"/>
  <c r="AF1261" i="1"/>
  <c r="AE1261" i="1"/>
  <c r="AD1261" i="1"/>
  <c r="AC1261" i="1"/>
  <c r="AB1261" i="1"/>
  <c r="Z1261" i="1"/>
  <c r="W1261" i="1"/>
  <c r="Y1261" i="1" s="1"/>
  <c r="V1261" i="1"/>
  <c r="AS1260" i="1"/>
  <c r="AA1260" i="1" s="1"/>
  <c r="AO1260" i="1"/>
  <c r="AN1260" i="1"/>
  <c r="AM1260" i="1"/>
  <c r="AL1260" i="1"/>
  <c r="AK1260" i="1"/>
  <c r="AJ1260" i="1"/>
  <c r="AI1260" i="1"/>
  <c r="AH1260" i="1"/>
  <c r="AG1260" i="1"/>
  <c r="AF1260" i="1"/>
  <c r="AE1260" i="1"/>
  <c r="AD1260" i="1"/>
  <c r="AC1260" i="1"/>
  <c r="AB1260" i="1"/>
  <c r="Z1260" i="1"/>
  <c r="W1260" i="1"/>
  <c r="Y1260" i="1" s="1"/>
  <c r="V1260" i="1"/>
  <c r="AS1259" i="1"/>
  <c r="AA1259" i="1" s="1"/>
  <c r="AO1259" i="1"/>
  <c r="AN1259" i="1"/>
  <c r="AM1259" i="1"/>
  <c r="AL1259" i="1"/>
  <c r="AK1259" i="1"/>
  <c r="AJ1259" i="1"/>
  <c r="AI1259" i="1"/>
  <c r="AH1259" i="1"/>
  <c r="AG1259" i="1"/>
  <c r="AF1259" i="1"/>
  <c r="AE1259" i="1"/>
  <c r="AD1259" i="1"/>
  <c r="AC1259" i="1"/>
  <c r="AB1259" i="1"/>
  <c r="Z1259" i="1"/>
  <c r="W1259" i="1"/>
  <c r="Y1259" i="1" s="1"/>
  <c r="V1259" i="1"/>
  <c r="AS1258" i="1"/>
  <c r="AA1258" i="1" s="1"/>
  <c r="AO1258" i="1"/>
  <c r="AN1258" i="1"/>
  <c r="AM1258" i="1"/>
  <c r="AL1258" i="1"/>
  <c r="AK1258" i="1"/>
  <c r="AJ1258" i="1"/>
  <c r="AI1258" i="1"/>
  <c r="AH1258" i="1"/>
  <c r="AG1258" i="1"/>
  <c r="AF1258" i="1"/>
  <c r="AE1258" i="1"/>
  <c r="AD1258" i="1"/>
  <c r="AC1258" i="1"/>
  <c r="AB1258" i="1"/>
  <c r="Z1258" i="1"/>
  <c r="W1258" i="1"/>
  <c r="X1258" i="1" s="1"/>
  <c r="V1258" i="1"/>
  <c r="AS1257" i="1"/>
  <c r="AA1257" i="1" s="1"/>
  <c r="AO1257" i="1"/>
  <c r="AN1257" i="1"/>
  <c r="AM1257" i="1"/>
  <c r="AL1257" i="1"/>
  <c r="AK1257" i="1"/>
  <c r="AJ1257" i="1"/>
  <c r="AI1257" i="1"/>
  <c r="AH1257" i="1"/>
  <c r="AG1257" i="1"/>
  <c r="AF1257" i="1"/>
  <c r="AE1257" i="1"/>
  <c r="AD1257" i="1"/>
  <c r="AC1257" i="1"/>
  <c r="AB1257" i="1"/>
  <c r="Z1257" i="1"/>
  <c r="W1257" i="1"/>
  <c r="Y1257" i="1" s="1"/>
  <c r="V1257" i="1"/>
  <c r="AS1255" i="1"/>
  <c r="AA1255" i="1" s="1"/>
  <c r="AO1255" i="1"/>
  <c r="AN1255" i="1"/>
  <c r="AM1255" i="1"/>
  <c r="AL1255" i="1"/>
  <c r="AK1255" i="1"/>
  <c r="AJ1255" i="1"/>
  <c r="AI1255" i="1"/>
  <c r="AH1255" i="1"/>
  <c r="AG1255" i="1"/>
  <c r="AF1255" i="1"/>
  <c r="AE1255" i="1"/>
  <c r="AD1255" i="1"/>
  <c r="AC1255" i="1"/>
  <c r="AB1255" i="1"/>
  <c r="Z1255" i="1"/>
  <c r="W1255" i="1"/>
  <c r="Y1255" i="1" s="1"/>
  <c r="V1255" i="1"/>
  <c r="AS1254" i="1"/>
  <c r="AA1254" i="1" s="1"/>
  <c r="AO1254" i="1"/>
  <c r="AN1254" i="1"/>
  <c r="AM1254" i="1"/>
  <c r="AL1254" i="1"/>
  <c r="AK1254" i="1"/>
  <c r="AJ1254" i="1"/>
  <c r="AI1254" i="1"/>
  <c r="AH1254" i="1"/>
  <c r="AG1254" i="1"/>
  <c r="AF1254" i="1"/>
  <c r="AE1254" i="1"/>
  <c r="AD1254" i="1"/>
  <c r="AC1254" i="1"/>
  <c r="AB1254" i="1"/>
  <c r="Z1254" i="1"/>
  <c r="W1254" i="1"/>
  <c r="X1254" i="1" s="1"/>
  <c r="V1254" i="1"/>
  <c r="AS1253" i="1"/>
  <c r="AA1253" i="1" s="1"/>
  <c r="AO1253" i="1"/>
  <c r="AN1253" i="1"/>
  <c r="AM1253" i="1"/>
  <c r="AL1253" i="1"/>
  <c r="AK1253" i="1"/>
  <c r="AJ1253" i="1"/>
  <c r="AI1253" i="1"/>
  <c r="AH1253" i="1"/>
  <c r="AG1253" i="1"/>
  <c r="AF1253" i="1"/>
  <c r="AE1253" i="1"/>
  <c r="AD1253" i="1"/>
  <c r="AC1253" i="1"/>
  <c r="AB1253" i="1"/>
  <c r="Z1253" i="1"/>
  <c r="W1253" i="1"/>
  <c r="X1253" i="1" s="1"/>
  <c r="V1253" i="1"/>
  <c r="AS1252" i="1"/>
  <c r="AA1252" i="1" s="1"/>
  <c r="AO1252" i="1"/>
  <c r="AN1252" i="1"/>
  <c r="AM1252" i="1"/>
  <c r="AL1252" i="1"/>
  <c r="AK1252" i="1"/>
  <c r="AJ1252" i="1"/>
  <c r="AI1252" i="1"/>
  <c r="AH1252" i="1"/>
  <c r="AG1252" i="1"/>
  <c r="AF1252" i="1"/>
  <c r="AE1252" i="1"/>
  <c r="AD1252" i="1"/>
  <c r="AC1252" i="1"/>
  <c r="AB1252" i="1"/>
  <c r="Z1252" i="1"/>
  <c r="W1252" i="1"/>
  <c r="Y1252" i="1" s="1"/>
  <c r="V1252" i="1"/>
  <c r="L1252" i="1"/>
  <c r="K1252" i="1" a="1"/>
  <c r="K1252" i="1" s="1"/>
  <c r="J1252" i="1" a="1"/>
  <c r="J1252" i="1" s="1"/>
  <c r="H1252" i="1" a="1"/>
  <c r="H1252" i="1" s="1"/>
  <c r="I1252" i="1" s="1"/>
  <c r="AS1251" i="1"/>
  <c r="AA1251" i="1" s="1"/>
  <c r="AO1251" i="1"/>
  <c r="AN1251" i="1"/>
  <c r="AM1251" i="1"/>
  <c r="AL1251" i="1"/>
  <c r="AK1251" i="1"/>
  <c r="AJ1251" i="1"/>
  <c r="AI1251" i="1"/>
  <c r="AH1251" i="1"/>
  <c r="AG1251" i="1"/>
  <c r="AF1251" i="1"/>
  <c r="AE1251" i="1"/>
  <c r="AD1251" i="1"/>
  <c r="AC1251" i="1"/>
  <c r="AB1251" i="1"/>
  <c r="Z1251" i="1"/>
  <c r="W1251" i="1"/>
  <c r="Y1251" i="1" s="1"/>
  <c r="V1251" i="1"/>
  <c r="L1251" i="1"/>
  <c r="K1251" i="1" a="1"/>
  <c r="K1251" i="1" s="1"/>
  <c r="J1251" i="1" a="1"/>
  <c r="J1251" i="1" s="1"/>
  <c r="H1251" i="1" a="1"/>
  <c r="H1251" i="1" s="1"/>
  <c r="I1251" i="1" s="1"/>
  <c r="AS1250" i="1"/>
  <c r="AA1250" i="1" s="1"/>
  <c r="AO1250" i="1"/>
  <c r="AN1250" i="1"/>
  <c r="AM1250" i="1"/>
  <c r="AL1250" i="1"/>
  <c r="AK1250" i="1"/>
  <c r="AJ1250" i="1"/>
  <c r="AI1250" i="1"/>
  <c r="AH1250" i="1"/>
  <c r="AG1250" i="1"/>
  <c r="AF1250" i="1"/>
  <c r="AE1250" i="1"/>
  <c r="AD1250" i="1"/>
  <c r="AC1250" i="1"/>
  <c r="AB1250" i="1"/>
  <c r="Z1250" i="1"/>
  <c r="W1250" i="1"/>
  <c r="X1250" i="1" s="1"/>
  <c r="V1250" i="1"/>
  <c r="L1250" i="1"/>
  <c r="K1250" i="1" a="1"/>
  <c r="K1250" i="1" s="1"/>
  <c r="J1250" i="1" a="1"/>
  <c r="J1250" i="1" s="1"/>
  <c r="H1250" i="1" a="1"/>
  <c r="H1250" i="1" s="1"/>
  <c r="I1250" i="1" s="1"/>
  <c r="AS1249" i="1"/>
  <c r="AA1249" i="1" s="1"/>
  <c r="AO1249" i="1"/>
  <c r="AN1249" i="1"/>
  <c r="AM1249" i="1"/>
  <c r="AL1249" i="1"/>
  <c r="AK1249" i="1"/>
  <c r="AJ1249" i="1"/>
  <c r="AI1249" i="1"/>
  <c r="AH1249" i="1"/>
  <c r="AG1249" i="1"/>
  <c r="AF1249" i="1"/>
  <c r="AE1249" i="1"/>
  <c r="AD1249" i="1"/>
  <c r="AC1249" i="1"/>
  <c r="AB1249" i="1"/>
  <c r="Z1249" i="1"/>
  <c r="W1249" i="1"/>
  <c r="Y1249" i="1" s="1"/>
  <c r="V1249" i="1"/>
  <c r="L1249" i="1"/>
  <c r="K1249" i="1" a="1"/>
  <c r="K1249" i="1" s="1"/>
  <c r="J1249" i="1" a="1"/>
  <c r="J1249" i="1" s="1"/>
  <c r="H1249" i="1" a="1"/>
  <c r="H1249" i="1" s="1"/>
  <c r="I1249" i="1" s="1"/>
  <c r="AS1248" i="1"/>
  <c r="AA1248" i="1" s="1"/>
  <c r="AO1248" i="1"/>
  <c r="AN1248" i="1"/>
  <c r="AM1248" i="1"/>
  <c r="AL1248" i="1"/>
  <c r="AK1248" i="1"/>
  <c r="AJ1248" i="1"/>
  <c r="AI1248" i="1"/>
  <c r="AH1248" i="1"/>
  <c r="AG1248" i="1"/>
  <c r="AF1248" i="1"/>
  <c r="AE1248" i="1"/>
  <c r="AD1248" i="1"/>
  <c r="AC1248" i="1"/>
  <c r="AB1248" i="1"/>
  <c r="Z1248" i="1"/>
  <c r="W1248" i="1"/>
  <c r="X1248" i="1" s="1"/>
  <c r="V1248" i="1"/>
  <c r="L1248" i="1"/>
  <c r="K1248" i="1" a="1"/>
  <c r="K1248" i="1" s="1"/>
  <c r="J1248" i="1" a="1"/>
  <c r="J1248" i="1" s="1"/>
  <c r="H1248" i="1" a="1"/>
  <c r="H1248" i="1" s="1"/>
  <c r="I1248" i="1" s="1"/>
  <c r="AT1247" i="1"/>
  <c r="AB1247" i="1" s="1"/>
  <c r="AS1247" i="1"/>
  <c r="AA1247" i="1" s="1"/>
  <c r="AO1247" i="1"/>
  <c r="AN1247" i="1"/>
  <c r="AM1247" i="1"/>
  <c r="AL1247" i="1"/>
  <c r="AK1247" i="1"/>
  <c r="AJ1247" i="1"/>
  <c r="AI1247" i="1"/>
  <c r="AH1247" i="1"/>
  <c r="AG1247" i="1"/>
  <c r="AF1247" i="1"/>
  <c r="AE1247" i="1"/>
  <c r="AD1247" i="1"/>
  <c r="AC1247" i="1"/>
  <c r="Z1247" i="1"/>
  <c r="W1247" i="1"/>
  <c r="X1247" i="1" s="1"/>
  <c r="V1247" i="1"/>
  <c r="L1247" i="1"/>
  <c r="K1247" i="1" a="1"/>
  <c r="K1247" i="1" s="1"/>
  <c r="J1247" i="1" a="1"/>
  <c r="J1247" i="1" s="1"/>
  <c r="H1247" i="1" a="1"/>
  <c r="H1247" i="1" s="1"/>
  <c r="I1247" i="1" s="1"/>
  <c r="AS1246" i="1"/>
  <c r="AA1246" i="1" s="1"/>
  <c r="AO1246" i="1"/>
  <c r="AN1246" i="1"/>
  <c r="AM1246" i="1"/>
  <c r="AL1246" i="1"/>
  <c r="AK1246" i="1"/>
  <c r="AJ1246" i="1"/>
  <c r="AI1246" i="1"/>
  <c r="AH1246" i="1"/>
  <c r="AG1246" i="1"/>
  <c r="AF1246" i="1"/>
  <c r="AE1246" i="1"/>
  <c r="AD1246" i="1"/>
  <c r="AC1246" i="1"/>
  <c r="AB1246" i="1"/>
  <c r="Z1246" i="1"/>
  <c r="W1246" i="1"/>
  <c r="Y1246" i="1" s="1"/>
  <c r="V1246" i="1"/>
  <c r="L1246" i="1"/>
  <c r="K1246" i="1" a="1"/>
  <c r="K1246" i="1" s="1"/>
  <c r="J1246" i="1" a="1"/>
  <c r="J1246" i="1" s="1"/>
  <c r="H1246" i="1" a="1"/>
  <c r="H1246" i="1" s="1"/>
  <c r="I1246" i="1" s="1"/>
  <c r="AS1245" i="1"/>
  <c r="AA1245" i="1" s="1"/>
  <c r="AO1245" i="1"/>
  <c r="AN1245" i="1"/>
  <c r="AM1245" i="1"/>
  <c r="AL1245" i="1"/>
  <c r="AK1245" i="1"/>
  <c r="AJ1245" i="1"/>
  <c r="AI1245" i="1"/>
  <c r="AH1245" i="1"/>
  <c r="AG1245" i="1"/>
  <c r="AF1245" i="1"/>
  <c r="AE1245" i="1"/>
  <c r="AD1245" i="1"/>
  <c r="AC1245" i="1"/>
  <c r="AB1245" i="1"/>
  <c r="Z1245" i="1"/>
  <c r="W1245" i="1"/>
  <c r="Y1245" i="1" s="1"/>
  <c r="V1245" i="1"/>
  <c r="L1245" i="1"/>
  <c r="K1245" i="1" a="1"/>
  <c r="K1245" i="1" s="1"/>
  <c r="J1245" i="1" a="1"/>
  <c r="J1245" i="1" s="1"/>
  <c r="H1245" i="1" a="1"/>
  <c r="H1245" i="1" s="1"/>
  <c r="I1245" i="1" s="1"/>
  <c r="AY1244" i="1"/>
  <c r="AG1244" i="1" s="1"/>
  <c r="AX1244" i="1"/>
  <c r="AF1244" i="1" s="1"/>
  <c r="AW1244" i="1"/>
  <c r="AE1244" i="1" s="1"/>
  <c r="AV1244" i="1"/>
  <c r="AU1244" i="1"/>
  <c r="AC1244" i="1" s="1"/>
  <c r="AT1244" i="1"/>
  <c r="AB1244" i="1" s="1"/>
  <c r="AS1244" i="1"/>
  <c r="AA1244" i="1" s="1"/>
  <c r="AO1244" i="1"/>
  <c r="AN1244" i="1"/>
  <c r="AM1244" i="1"/>
  <c r="AL1244" i="1"/>
  <c r="AK1244" i="1"/>
  <c r="AJ1244" i="1"/>
  <c r="AI1244" i="1"/>
  <c r="AH1244" i="1"/>
  <c r="AD1244" i="1"/>
  <c r="Z1244" i="1"/>
  <c r="W1244" i="1"/>
  <c r="Y1244" i="1" s="1"/>
  <c r="V1244" i="1"/>
  <c r="L1244" i="1"/>
  <c r="K1244" i="1" a="1"/>
  <c r="K1244" i="1" s="1"/>
  <c r="J1244" i="1" a="1"/>
  <c r="J1244" i="1" s="1"/>
  <c r="H1244" i="1" a="1"/>
  <c r="H1244" i="1" s="1"/>
  <c r="I1244" i="1" s="1"/>
  <c r="AU1243" i="1"/>
  <c r="AC1243" i="1" s="1"/>
  <c r="AT1243" i="1"/>
  <c r="AB1243" i="1" s="1"/>
  <c r="AS1243" i="1"/>
  <c r="AA1243" i="1" s="1"/>
  <c r="AO1243" i="1"/>
  <c r="AN1243" i="1"/>
  <c r="AM1243" i="1"/>
  <c r="AL1243" i="1"/>
  <c r="AK1243" i="1"/>
  <c r="AJ1243" i="1"/>
  <c r="AI1243" i="1"/>
  <c r="AH1243" i="1"/>
  <c r="AG1243" i="1"/>
  <c r="AF1243" i="1"/>
  <c r="AE1243" i="1"/>
  <c r="AD1243" i="1"/>
  <c r="Z1243" i="1"/>
  <c r="W1243" i="1"/>
  <c r="X1243" i="1" s="1"/>
  <c r="V1243" i="1"/>
  <c r="L1243" i="1"/>
  <c r="K1243" i="1" a="1"/>
  <c r="K1243" i="1" s="1"/>
  <c r="J1243" i="1" a="1"/>
  <c r="J1243" i="1" s="1"/>
  <c r="H1243" i="1" a="1"/>
  <c r="H1243" i="1" s="1"/>
  <c r="I1243" i="1" s="1"/>
  <c r="AT1242" i="1"/>
  <c r="AB1242" i="1" s="1"/>
  <c r="AS1242" i="1"/>
  <c r="AA1242" i="1" s="1"/>
  <c r="AO1242" i="1"/>
  <c r="AN1242" i="1"/>
  <c r="AM1242" i="1"/>
  <c r="AL1242" i="1"/>
  <c r="AK1242" i="1"/>
  <c r="AJ1242" i="1"/>
  <c r="AI1242" i="1"/>
  <c r="AH1242" i="1"/>
  <c r="AG1242" i="1"/>
  <c r="AF1242" i="1"/>
  <c r="AE1242" i="1"/>
  <c r="AD1242" i="1"/>
  <c r="AC1242" i="1"/>
  <c r="Z1242" i="1"/>
  <c r="W1242" i="1"/>
  <c r="Y1242" i="1" s="1"/>
  <c r="V1242" i="1"/>
  <c r="L1242" i="1"/>
  <c r="K1242" i="1" a="1"/>
  <c r="K1242" i="1" s="1"/>
  <c r="J1242" i="1" a="1"/>
  <c r="J1242" i="1" s="1"/>
  <c r="H1242" i="1" a="1"/>
  <c r="H1242" i="1" s="1"/>
  <c r="I1242" i="1" s="1"/>
  <c r="AW1241" i="1"/>
  <c r="AE1241" i="1" s="1"/>
  <c r="AV1241" i="1"/>
  <c r="AD1241" i="1" s="1"/>
  <c r="AU1241" i="1"/>
  <c r="AC1241" i="1" s="1"/>
  <c r="AT1241" i="1"/>
  <c r="AB1241" i="1" s="1"/>
  <c r="AS1241" i="1"/>
  <c r="AA1241" i="1" s="1"/>
  <c r="AO1241" i="1"/>
  <c r="AN1241" i="1"/>
  <c r="AM1241" i="1"/>
  <c r="AL1241" i="1"/>
  <c r="AK1241" i="1"/>
  <c r="AJ1241" i="1"/>
  <c r="AI1241" i="1"/>
  <c r="AH1241" i="1"/>
  <c r="AG1241" i="1"/>
  <c r="AF1241" i="1"/>
  <c r="Z1241" i="1"/>
  <c r="W1241" i="1"/>
  <c r="Y1241" i="1" s="1"/>
  <c r="V1241" i="1"/>
  <c r="L1241" i="1"/>
  <c r="K1241" i="1" a="1"/>
  <c r="K1241" i="1" s="1"/>
  <c r="J1241" i="1" a="1"/>
  <c r="J1241" i="1" s="1"/>
  <c r="H1241" i="1" a="1"/>
  <c r="H1241" i="1" s="1"/>
  <c r="I1241" i="1" s="1"/>
  <c r="AS1240" i="1"/>
  <c r="AA1240" i="1" s="1"/>
  <c r="AO1240" i="1"/>
  <c r="AN1240" i="1"/>
  <c r="AM1240" i="1"/>
  <c r="AL1240" i="1"/>
  <c r="AK1240" i="1"/>
  <c r="AJ1240" i="1"/>
  <c r="AI1240" i="1"/>
  <c r="AH1240" i="1"/>
  <c r="AG1240" i="1"/>
  <c r="AF1240" i="1"/>
  <c r="AE1240" i="1"/>
  <c r="AD1240" i="1"/>
  <c r="AC1240" i="1"/>
  <c r="AB1240" i="1"/>
  <c r="Z1240" i="1"/>
  <c r="W1240" i="1"/>
  <c r="X1240" i="1" s="1"/>
  <c r="V1240" i="1"/>
  <c r="L1240" i="1"/>
  <c r="K1240" i="1" a="1"/>
  <c r="K1240" i="1" s="1"/>
  <c r="J1240" i="1" a="1"/>
  <c r="J1240" i="1" s="1"/>
  <c r="H1240" i="1" a="1"/>
  <c r="H1240" i="1" s="1"/>
  <c r="I1240" i="1" s="1"/>
  <c r="AS1239" i="1"/>
  <c r="AA1239" i="1" s="1"/>
  <c r="AO1239" i="1"/>
  <c r="AN1239" i="1"/>
  <c r="AM1239" i="1"/>
  <c r="AL1239" i="1"/>
  <c r="AK1239" i="1"/>
  <c r="AJ1239" i="1"/>
  <c r="AI1239" i="1"/>
  <c r="AH1239" i="1"/>
  <c r="AG1239" i="1"/>
  <c r="AF1239" i="1"/>
  <c r="AE1239" i="1"/>
  <c r="AD1239" i="1"/>
  <c r="AC1239" i="1"/>
  <c r="AB1239" i="1"/>
  <c r="Z1239" i="1"/>
  <c r="W1239" i="1"/>
  <c r="X1239" i="1" s="1"/>
  <c r="V1239" i="1"/>
  <c r="L1239" i="1"/>
  <c r="K1239" i="1" a="1"/>
  <c r="K1239" i="1" s="1"/>
  <c r="J1239" i="1" a="1"/>
  <c r="J1239" i="1" s="1"/>
  <c r="H1239" i="1" a="1"/>
  <c r="H1239" i="1" s="1"/>
  <c r="I1239" i="1" s="1"/>
  <c r="AS1238" i="1"/>
  <c r="AA1238" i="1" s="1"/>
  <c r="AO1238" i="1"/>
  <c r="AN1238" i="1"/>
  <c r="AM1238" i="1"/>
  <c r="AL1238" i="1"/>
  <c r="AK1238" i="1"/>
  <c r="AJ1238" i="1"/>
  <c r="AI1238" i="1"/>
  <c r="AH1238" i="1"/>
  <c r="AG1238" i="1"/>
  <c r="AF1238" i="1"/>
  <c r="AE1238" i="1"/>
  <c r="AD1238" i="1"/>
  <c r="AC1238" i="1"/>
  <c r="AB1238" i="1"/>
  <c r="Z1238" i="1"/>
  <c r="W1238" i="1"/>
  <c r="Y1238" i="1" s="1"/>
  <c r="V1238" i="1"/>
  <c r="L1238" i="1"/>
  <c r="K1238" i="1" a="1"/>
  <c r="K1238" i="1" s="1"/>
  <c r="J1238" i="1" a="1"/>
  <c r="J1238" i="1" s="1"/>
  <c r="H1238" i="1" a="1"/>
  <c r="H1238" i="1" s="1"/>
  <c r="I1238" i="1" s="1"/>
  <c r="AT1237" i="1"/>
  <c r="AB1237" i="1" s="1"/>
  <c r="AS1237" i="1"/>
  <c r="AA1237" i="1" s="1"/>
  <c r="AO1237" i="1"/>
  <c r="AN1237" i="1"/>
  <c r="AM1237" i="1"/>
  <c r="AL1237" i="1"/>
  <c r="AK1237" i="1"/>
  <c r="AJ1237" i="1"/>
  <c r="AI1237" i="1"/>
  <c r="AH1237" i="1"/>
  <c r="AG1237" i="1"/>
  <c r="AF1237" i="1"/>
  <c r="AE1237" i="1"/>
  <c r="AD1237" i="1"/>
  <c r="AC1237" i="1"/>
  <c r="Z1237" i="1"/>
  <c r="W1237" i="1"/>
  <c r="X1237" i="1" s="1"/>
  <c r="V1237" i="1"/>
  <c r="L1237" i="1"/>
  <c r="K1237" i="1" a="1"/>
  <c r="K1237" i="1" s="1"/>
  <c r="J1237" i="1" a="1"/>
  <c r="J1237" i="1" s="1"/>
  <c r="H1237" i="1" a="1"/>
  <c r="H1237" i="1" s="1"/>
  <c r="I1237" i="1" s="1"/>
  <c r="AS1236" i="1"/>
  <c r="AA1236" i="1" s="1"/>
  <c r="AO1236" i="1"/>
  <c r="AN1236" i="1"/>
  <c r="AM1236" i="1"/>
  <c r="AL1236" i="1"/>
  <c r="AK1236" i="1"/>
  <c r="AJ1236" i="1"/>
  <c r="AI1236" i="1"/>
  <c r="AH1236" i="1"/>
  <c r="AG1236" i="1"/>
  <c r="AF1236" i="1"/>
  <c r="AE1236" i="1"/>
  <c r="AD1236" i="1"/>
  <c r="AC1236" i="1"/>
  <c r="AB1236" i="1"/>
  <c r="Z1236" i="1"/>
  <c r="Y1236" i="1"/>
  <c r="W1236" i="1"/>
  <c r="X1236" i="1" s="1"/>
  <c r="V1236" i="1"/>
  <c r="L1236" i="1"/>
  <c r="K1236" i="1" a="1"/>
  <c r="K1236" i="1" s="1"/>
  <c r="J1236" i="1" a="1"/>
  <c r="J1236" i="1" s="1"/>
  <c r="H1236" i="1" a="1"/>
  <c r="H1236" i="1" s="1"/>
  <c r="I1236" i="1" s="1"/>
  <c r="AS1235" i="1"/>
  <c r="AA1235" i="1" s="1"/>
  <c r="AO1235" i="1"/>
  <c r="AN1235" i="1"/>
  <c r="AM1235" i="1"/>
  <c r="AL1235" i="1"/>
  <c r="AK1235" i="1"/>
  <c r="AJ1235" i="1"/>
  <c r="AI1235" i="1"/>
  <c r="AH1235" i="1"/>
  <c r="AG1235" i="1"/>
  <c r="AF1235" i="1"/>
  <c r="AE1235" i="1"/>
  <c r="AD1235" i="1"/>
  <c r="AC1235" i="1"/>
  <c r="AB1235" i="1"/>
  <c r="Z1235" i="1"/>
  <c r="W1235" i="1"/>
  <c r="Y1235" i="1" s="1"/>
  <c r="V1235" i="1"/>
  <c r="L1235" i="1"/>
  <c r="K1235" i="1" a="1"/>
  <c r="K1235" i="1" s="1"/>
  <c r="J1235" i="1" a="1"/>
  <c r="J1235" i="1" s="1"/>
  <c r="H1235" i="1" a="1"/>
  <c r="H1235" i="1" s="1"/>
  <c r="I1235" i="1" s="1"/>
  <c r="AS1234" i="1"/>
  <c r="AA1234" i="1" s="1"/>
  <c r="AO1234" i="1"/>
  <c r="AN1234" i="1"/>
  <c r="AM1234" i="1"/>
  <c r="AL1234" i="1"/>
  <c r="AK1234" i="1"/>
  <c r="AJ1234" i="1"/>
  <c r="AI1234" i="1"/>
  <c r="AH1234" i="1"/>
  <c r="AG1234" i="1"/>
  <c r="AF1234" i="1"/>
  <c r="AE1234" i="1"/>
  <c r="AD1234" i="1"/>
  <c r="AC1234" i="1"/>
  <c r="AB1234" i="1"/>
  <c r="Z1234" i="1"/>
  <c r="W1234" i="1"/>
  <c r="V1234" i="1"/>
  <c r="L1234" i="1"/>
  <c r="K1234" i="1" a="1"/>
  <c r="K1234" i="1" s="1"/>
  <c r="J1234" i="1" a="1"/>
  <c r="J1234" i="1" s="1"/>
  <c r="H1234" i="1" a="1"/>
  <c r="H1234" i="1" s="1"/>
  <c r="I1234" i="1" s="1"/>
  <c r="AS1233" i="1"/>
  <c r="AA1233" i="1" s="1"/>
  <c r="AO1233" i="1"/>
  <c r="AN1233" i="1"/>
  <c r="AM1233" i="1"/>
  <c r="AL1233" i="1"/>
  <c r="AK1233" i="1"/>
  <c r="AJ1233" i="1"/>
  <c r="AI1233" i="1"/>
  <c r="AH1233" i="1"/>
  <c r="AG1233" i="1"/>
  <c r="AF1233" i="1"/>
  <c r="AE1233" i="1"/>
  <c r="AD1233" i="1"/>
  <c r="AC1233" i="1"/>
  <c r="AB1233" i="1"/>
  <c r="Z1233" i="1"/>
  <c r="Y1233" i="1"/>
  <c r="X1233" i="1"/>
  <c r="W1233" i="1"/>
  <c r="V1233" i="1"/>
  <c r="L1233" i="1"/>
  <c r="K1233" i="1" a="1"/>
  <c r="K1233" i="1" s="1"/>
  <c r="J1233" i="1" a="1"/>
  <c r="J1233" i="1" s="1"/>
  <c r="H1233" i="1" a="1"/>
  <c r="H1233" i="1" s="1"/>
  <c r="I1233" i="1" s="1"/>
  <c r="AS1232" i="1"/>
  <c r="AA1232" i="1" s="1"/>
  <c r="AO1232" i="1"/>
  <c r="AN1232" i="1"/>
  <c r="AM1232" i="1"/>
  <c r="AL1232" i="1"/>
  <c r="AK1232" i="1"/>
  <c r="AJ1232" i="1"/>
  <c r="AI1232" i="1"/>
  <c r="AH1232" i="1"/>
  <c r="AG1232" i="1"/>
  <c r="AF1232" i="1"/>
  <c r="AE1232" i="1"/>
  <c r="AD1232" i="1"/>
  <c r="AC1232" i="1"/>
  <c r="AB1232" i="1"/>
  <c r="Z1232" i="1"/>
  <c r="W1232" i="1"/>
  <c r="Y1232" i="1" s="1"/>
  <c r="V1232" i="1"/>
  <c r="L1232" i="1"/>
  <c r="K1232" i="1" a="1"/>
  <c r="K1232" i="1" s="1"/>
  <c r="J1232" i="1" a="1"/>
  <c r="J1232" i="1" s="1"/>
  <c r="H1232" i="1" a="1"/>
  <c r="H1232" i="1" s="1"/>
  <c r="I1232" i="1" s="1"/>
  <c r="AS1231" i="1"/>
  <c r="AA1231" i="1" s="1"/>
  <c r="AO1231" i="1"/>
  <c r="AN1231" i="1"/>
  <c r="AM1231" i="1"/>
  <c r="AL1231" i="1"/>
  <c r="AK1231" i="1"/>
  <c r="AJ1231" i="1"/>
  <c r="AI1231" i="1"/>
  <c r="AH1231" i="1"/>
  <c r="AG1231" i="1"/>
  <c r="AF1231" i="1"/>
  <c r="AE1231" i="1"/>
  <c r="AD1231" i="1"/>
  <c r="AC1231" i="1"/>
  <c r="AB1231" i="1"/>
  <c r="Z1231" i="1"/>
  <c r="W1231" i="1"/>
  <c r="Y1231" i="1" s="1"/>
  <c r="V1231" i="1"/>
  <c r="L1231" i="1"/>
  <c r="K1231" i="1" a="1"/>
  <c r="K1231" i="1" s="1"/>
  <c r="J1231" i="1" a="1"/>
  <c r="J1231" i="1" s="1"/>
  <c r="H1231" i="1" a="1"/>
  <c r="H1231" i="1" s="1"/>
  <c r="I1231" i="1" s="1"/>
  <c r="AS1230" i="1"/>
  <c r="AA1230" i="1" s="1"/>
  <c r="AO1230" i="1"/>
  <c r="AN1230" i="1"/>
  <c r="AM1230" i="1"/>
  <c r="AL1230" i="1"/>
  <c r="AK1230" i="1"/>
  <c r="AJ1230" i="1"/>
  <c r="AI1230" i="1"/>
  <c r="AH1230" i="1"/>
  <c r="AG1230" i="1"/>
  <c r="AF1230" i="1"/>
  <c r="AE1230" i="1"/>
  <c r="AD1230" i="1"/>
  <c r="AC1230" i="1"/>
  <c r="AB1230" i="1"/>
  <c r="Z1230" i="1"/>
  <c r="W1230" i="1"/>
  <c r="V1230" i="1"/>
  <c r="L1230" i="1"/>
  <c r="K1230" i="1" a="1"/>
  <c r="K1230" i="1" s="1"/>
  <c r="J1230" i="1" a="1"/>
  <c r="J1230" i="1" s="1"/>
  <c r="H1230" i="1" a="1"/>
  <c r="H1230" i="1" s="1"/>
  <c r="I1230" i="1" s="1"/>
  <c r="AS1229" i="1"/>
  <c r="AA1229" i="1" s="1"/>
  <c r="AO1229" i="1"/>
  <c r="AN1229" i="1"/>
  <c r="AM1229" i="1"/>
  <c r="AL1229" i="1"/>
  <c r="AK1229" i="1"/>
  <c r="AJ1229" i="1"/>
  <c r="AI1229" i="1"/>
  <c r="AH1229" i="1"/>
  <c r="AG1229" i="1"/>
  <c r="AF1229" i="1"/>
  <c r="AE1229" i="1"/>
  <c r="AD1229" i="1"/>
  <c r="AC1229" i="1"/>
  <c r="AB1229" i="1"/>
  <c r="Z1229" i="1"/>
  <c r="W1229" i="1"/>
  <c r="X1229" i="1" s="1"/>
  <c r="V1229" i="1"/>
  <c r="L1229" i="1"/>
  <c r="K1229" i="1" a="1"/>
  <c r="K1229" i="1" s="1"/>
  <c r="J1229" i="1" a="1"/>
  <c r="J1229" i="1" s="1"/>
  <c r="H1229" i="1" a="1"/>
  <c r="H1229" i="1" s="1"/>
  <c r="I1229" i="1" s="1"/>
  <c r="AS1228" i="1"/>
  <c r="AA1228" i="1" s="1"/>
  <c r="AO1228" i="1"/>
  <c r="AN1228" i="1"/>
  <c r="AM1228" i="1"/>
  <c r="AL1228" i="1"/>
  <c r="AK1228" i="1"/>
  <c r="AJ1228" i="1"/>
  <c r="AI1228" i="1"/>
  <c r="AH1228" i="1"/>
  <c r="AG1228" i="1"/>
  <c r="AF1228" i="1"/>
  <c r="AE1228" i="1"/>
  <c r="AD1228" i="1"/>
  <c r="AC1228" i="1"/>
  <c r="AB1228" i="1"/>
  <c r="Z1228" i="1"/>
  <c r="W1228" i="1"/>
  <c r="Y1228" i="1" s="1"/>
  <c r="V1228" i="1"/>
  <c r="L1228" i="1"/>
  <c r="K1228" i="1" a="1"/>
  <c r="K1228" i="1" s="1"/>
  <c r="J1228" i="1" a="1"/>
  <c r="J1228" i="1" s="1"/>
  <c r="H1228" i="1" a="1"/>
  <c r="H1228" i="1" s="1"/>
  <c r="I1228" i="1" s="1"/>
  <c r="AS1227" i="1"/>
  <c r="AA1227" i="1" s="1"/>
  <c r="AO1227" i="1"/>
  <c r="AN1227" i="1"/>
  <c r="AM1227" i="1"/>
  <c r="AL1227" i="1"/>
  <c r="AK1227" i="1"/>
  <c r="AJ1227" i="1"/>
  <c r="AI1227" i="1"/>
  <c r="AH1227" i="1"/>
  <c r="AG1227" i="1"/>
  <c r="AF1227" i="1"/>
  <c r="AE1227" i="1"/>
  <c r="AD1227" i="1"/>
  <c r="AC1227" i="1"/>
  <c r="AB1227" i="1"/>
  <c r="Z1227" i="1"/>
  <c r="W1227" i="1"/>
  <c r="Y1227" i="1" s="1"/>
  <c r="V1227" i="1"/>
  <c r="L1227" i="1"/>
  <c r="K1227" i="1" a="1"/>
  <c r="K1227" i="1" s="1"/>
  <c r="J1227" i="1" a="1"/>
  <c r="J1227" i="1" s="1"/>
  <c r="H1227" i="1" a="1"/>
  <c r="H1227" i="1" s="1"/>
  <c r="I1227" i="1" s="1"/>
  <c r="AS1226" i="1"/>
  <c r="AA1226" i="1" s="1"/>
  <c r="AO1226" i="1"/>
  <c r="AN1226" i="1"/>
  <c r="AM1226" i="1"/>
  <c r="AL1226" i="1"/>
  <c r="AK1226" i="1"/>
  <c r="AJ1226" i="1"/>
  <c r="AI1226" i="1"/>
  <c r="AH1226" i="1"/>
  <c r="AG1226" i="1"/>
  <c r="AF1226" i="1"/>
  <c r="AE1226" i="1"/>
  <c r="AD1226" i="1"/>
  <c r="AC1226" i="1"/>
  <c r="AB1226" i="1"/>
  <c r="Z1226" i="1"/>
  <c r="W1226" i="1"/>
  <c r="V1226" i="1"/>
  <c r="L1226" i="1"/>
  <c r="K1226" i="1" a="1"/>
  <c r="K1226" i="1" s="1"/>
  <c r="J1226" i="1" a="1"/>
  <c r="J1226" i="1" s="1"/>
  <c r="H1226" i="1" a="1"/>
  <c r="H1226" i="1" s="1"/>
  <c r="I1226" i="1" s="1"/>
  <c r="AS1225" i="1"/>
  <c r="AA1225" i="1" s="1"/>
  <c r="AO1225" i="1"/>
  <c r="AN1225" i="1"/>
  <c r="AM1225" i="1"/>
  <c r="AL1225" i="1"/>
  <c r="AK1225" i="1"/>
  <c r="AJ1225" i="1"/>
  <c r="AI1225" i="1"/>
  <c r="AH1225" i="1"/>
  <c r="AG1225" i="1"/>
  <c r="AF1225" i="1"/>
  <c r="AE1225" i="1"/>
  <c r="AD1225" i="1"/>
  <c r="AC1225" i="1"/>
  <c r="AB1225" i="1"/>
  <c r="Z1225" i="1"/>
  <c r="W1225" i="1"/>
  <c r="X1225" i="1" s="1"/>
  <c r="V1225" i="1"/>
  <c r="L1225" i="1"/>
  <c r="K1225" i="1" a="1"/>
  <c r="K1225" i="1" s="1"/>
  <c r="J1225" i="1" a="1"/>
  <c r="J1225" i="1" s="1"/>
  <c r="H1225" i="1" a="1"/>
  <c r="H1225" i="1" s="1"/>
  <c r="I1225" i="1" s="1"/>
  <c r="AS1224" i="1"/>
  <c r="AA1224" i="1" s="1"/>
  <c r="AO1224" i="1"/>
  <c r="AN1224" i="1"/>
  <c r="AM1224" i="1"/>
  <c r="AL1224" i="1"/>
  <c r="AK1224" i="1"/>
  <c r="AJ1224" i="1"/>
  <c r="AI1224" i="1"/>
  <c r="AH1224" i="1"/>
  <c r="AG1224" i="1"/>
  <c r="AF1224" i="1"/>
  <c r="AE1224" i="1"/>
  <c r="AD1224" i="1"/>
  <c r="AC1224" i="1"/>
  <c r="AB1224" i="1"/>
  <c r="Z1224" i="1"/>
  <c r="W1224" i="1"/>
  <c r="Y1224" i="1" s="1"/>
  <c r="V1224" i="1"/>
  <c r="L1224" i="1"/>
  <c r="K1224" i="1" a="1"/>
  <c r="K1224" i="1" s="1"/>
  <c r="J1224" i="1" a="1"/>
  <c r="J1224" i="1" s="1"/>
  <c r="H1224" i="1" a="1"/>
  <c r="H1224" i="1" s="1"/>
  <c r="I1224" i="1" s="1"/>
  <c r="AS1223" i="1"/>
  <c r="AA1223" i="1" s="1"/>
  <c r="AO1223" i="1"/>
  <c r="AN1223" i="1"/>
  <c r="AM1223" i="1"/>
  <c r="AL1223" i="1"/>
  <c r="AK1223" i="1"/>
  <c r="AJ1223" i="1"/>
  <c r="AI1223" i="1"/>
  <c r="AH1223" i="1"/>
  <c r="AG1223" i="1"/>
  <c r="AF1223" i="1"/>
  <c r="AE1223" i="1"/>
  <c r="AD1223" i="1"/>
  <c r="AC1223" i="1"/>
  <c r="AB1223" i="1"/>
  <c r="Z1223" i="1"/>
  <c r="W1223" i="1"/>
  <c r="Y1223" i="1" s="1"/>
  <c r="V1223" i="1"/>
  <c r="L1223" i="1"/>
  <c r="K1223" i="1" a="1"/>
  <c r="K1223" i="1" s="1"/>
  <c r="J1223" i="1" a="1"/>
  <c r="J1223" i="1" s="1"/>
  <c r="H1223" i="1" a="1"/>
  <c r="H1223" i="1" s="1"/>
  <c r="I1223" i="1" s="1"/>
  <c r="AS1222" i="1"/>
  <c r="AA1222" i="1" s="1"/>
  <c r="AO1222" i="1"/>
  <c r="AN1222" i="1"/>
  <c r="AM1222" i="1"/>
  <c r="AL1222" i="1"/>
  <c r="AK1222" i="1"/>
  <c r="AJ1222" i="1"/>
  <c r="AI1222" i="1"/>
  <c r="AH1222" i="1"/>
  <c r="AG1222" i="1"/>
  <c r="AF1222" i="1"/>
  <c r="AE1222" i="1"/>
  <c r="AD1222" i="1"/>
  <c r="AC1222" i="1"/>
  <c r="AB1222" i="1"/>
  <c r="Z1222" i="1"/>
  <c r="W1222" i="1"/>
  <c r="V1222" i="1"/>
  <c r="L1222" i="1"/>
  <c r="K1222" i="1" a="1"/>
  <c r="K1222" i="1" s="1"/>
  <c r="J1222" i="1" a="1"/>
  <c r="J1222" i="1" s="1"/>
  <c r="H1222" i="1" a="1"/>
  <c r="H1222" i="1" s="1"/>
  <c r="I1222" i="1" s="1"/>
  <c r="AS1221" i="1"/>
  <c r="AA1221" i="1" s="1"/>
  <c r="AO1221" i="1"/>
  <c r="AN1221" i="1"/>
  <c r="AM1221" i="1"/>
  <c r="AL1221" i="1"/>
  <c r="AK1221" i="1"/>
  <c r="AJ1221" i="1"/>
  <c r="AI1221" i="1"/>
  <c r="AH1221" i="1"/>
  <c r="AG1221" i="1"/>
  <c r="AF1221" i="1"/>
  <c r="AE1221" i="1"/>
  <c r="AD1221" i="1"/>
  <c r="AC1221" i="1"/>
  <c r="AB1221" i="1"/>
  <c r="Z1221" i="1"/>
  <c r="W1221" i="1"/>
  <c r="X1221" i="1" s="1"/>
  <c r="V1221" i="1"/>
  <c r="L1221" i="1"/>
  <c r="K1221" i="1" a="1"/>
  <c r="K1221" i="1" s="1"/>
  <c r="J1221" i="1" a="1"/>
  <c r="J1221" i="1" s="1"/>
  <c r="H1221" i="1" a="1"/>
  <c r="H1221" i="1" s="1"/>
  <c r="I1221" i="1" s="1"/>
  <c r="AS1220" i="1"/>
  <c r="AA1220" i="1" s="1"/>
  <c r="AO1220" i="1"/>
  <c r="AN1220" i="1"/>
  <c r="AM1220" i="1"/>
  <c r="AL1220" i="1"/>
  <c r="AK1220" i="1"/>
  <c r="AJ1220" i="1"/>
  <c r="AI1220" i="1"/>
  <c r="AH1220" i="1"/>
  <c r="AG1220" i="1"/>
  <c r="AF1220" i="1"/>
  <c r="AE1220" i="1"/>
  <c r="AD1220" i="1"/>
  <c r="AC1220" i="1"/>
  <c r="AB1220" i="1"/>
  <c r="Z1220" i="1"/>
  <c r="W1220" i="1"/>
  <c r="Y1220" i="1" s="1"/>
  <c r="V1220" i="1"/>
  <c r="L1220" i="1"/>
  <c r="K1220" i="1" a="1"/>
  <c r="K1220" i="1" s="1"/>
  <c r="J1220" i="1" a="1"/>
  <c r="J1220" i="1" s="1"/>
  <c r="H1220" i="1" a="1"/>
  <c r="H1220" i="1" s="1"/>
  <c r="I1220" i="1" s="1"/>
  <c r="AS1219" i="1"/>
  <c r="AA1219" i="1" s="1"/>
  <c r="AO1219" i="1"/>
  <c r="AN1219" i="1"/>
  <c r="AM1219" i="1"/>
  <c r="AL1219" i="1"/>
  <c r="AK1219" i="1"/>
  <c r="AJ1219" i="1"/>
  <c r="AI1219" i="1"/>
  <c r="AH1219" i="1"/>
  <c r="AG1219" i="1"/>
  <c r="AF1219" i="1"/>
  <c r="AE1219" i="1"/>
  <c r="AD1219" i="1"/>
  <c r="AC1219" i="1"/>
  <c r="AB1219" i="1"/>
  <c r="Z1219" i="1"/>
  <c r="W1219" i="1"/>
  <c r="Y1219" i="1" s="1"/>
  <c r="V1219" i="1"/>
  <c r="L1219" i="1"/>
  <c r="K1219" i="1" a="1"/>
  <c r="K1219" i="1" s="1"/>
  <c r="J1219" i="1" a="1"/>
  <c r="J1219" i="1" s="1"/>
  <c r="H1219" i="1" a="1"/>
  <c r="H1219" i="1" s="1"/>
  <c r="I1219" i="1" s="1"/>
  <c r="AS1218" i="1"/>
  <c r="AA1218" i="1" s="1"/>
  <c r="AO1218" i="1"/>
  <c r="AN1218" i="1"/>
  <c r="AM1218" i="1"/>
  <c r="AL1218" i="1"/>
  <c r="AK1218" i="1"/>
  <c r="AJ1218" i="1"/>
  <c r="AI1218" i="1"/>
  <c r="AH1218" i="1"/>
  <c r="AG1218" i="1"/>
  <c r="AF1218" i="1"/>
  <c r="AE1218" i="1"/>
  <c r="AD1218" i="1"/>
  <c r="AC1218" i="1"/>
  <c r="AB1218" i="1"/>
  <c r="Z1218" i="1"/>
  <c r="W1218" i="1"/>
  <c r="V1218" i="1"/>
  <c r="L1218" i="1"/>
  <c r="K1218" i="1" a="1"/>
  <c r="K1218" i="1" s="1"/>
  <c r="J1218" i="1" a="1"/>
  <c r="J1218" i="1" s="1"/>
  <c r="H1218" i="1" a="1"/>
  <c r="H1218" i="1" s="1"/>
  <c r="I1218" i="1" s="1"/>
  <c r="AS1217" i="1"/>
  <c r="AA1217" i="1" s="1"/>
  <c r="AO1217" i="1"/>
  <c r="AN1217" i="1"/>
  <c r="AM1217" i="1"/>
  <c r="AL1217" i="1"/>
  <c r="AK1217" i="1"/>
  <c r="AJ1217" i="1"/>
  <c r="AI1217" i="1"/>
  <c r="AH1217" i="1"/>
  <c r="AG1217" i="1"/>
  <c r="AF1217" i="1"/>
  <c r="AE1217" i="1"/>
  <c r="AD1217" i="1"/>
  <c r="AC1217" i="1"/>
  <c r="AB1217" i="1"/>
  <c r="Z1217" i="1"/>
  <c r="W1217" i="1"/>
  <c r="Y1217" i="1" s="1"/>
  <c r="V1217" i="1"/>
  <c r="L1217" i="1"/>
  <c r="K1217" i="1" a="1"/>
  <c r="K1217" i="1" s="1"/>
  <c r="J1217" i="1" a="1"/>
  <c r="J1217" i="1" s="1"/>
  <c r="H1217" i="1" a="1"/>
  <c r="H1217" i="1" s="1"/>
  <c r="I1217" i="1" s="1"/>
  <c r="Z1216" i="1"/>
  <c r="W1216" i="1"/>
  <c r="Y1216" i="1" s="1"/>
  <c r="V1216" i="1"/>
  <c r="L1216" i="1"/>
  <c r="K1216" i="1" a="1"/>
  <c r="K1216" i="1" s="1"/>
  <c r="J1216" i="1" a="1"/>
  <c r="J1216" i="1" s="1"/>
  <c r="H1216" i="1" a="1"/>
  <c r="H1216" i="1" s="1"/>
  <c r="I1216" i="1" s="1"/>
  <c r="AS1215" i="1"/>
  <c r="AA1215" i="1" s="1"/>
  <c r="AO1215" i="1"/>
  <c r="AN1215" i="1"/>
  <c r="AM1215" i="1"/>
  <c r="AL1215" i="1"/>
  <c r="AK1215" i="1"/>
  <c r="AJ1215" i="1"/>
  <c r="AI1215" i="1"/>
  <c r="AH1215" i="1"/>
  <c r="AG1215" i="1"/>
  <c r="AF1215" i="1"/>
  <c r="AE1215" i="1"/>
  <c r="AD1215" i="1"/>
  <c r="AC1215" i="1"/>
  <c r="AB1215" i="1"/>
  <c r="Z1215" i="1"/>
  <c r="W1215" i="1"/>
  <c r="Y1215" i="1" s="1"/>
  <c r="V1215" i="1"/>
  <c r="L1215" i="1"/>
  <c r="K1215" i="1" a="1"/>
  <c r="K1215" i="1" s="1"/>
  <c r="J1215" i="1" a="1"/>
  <c r="J1215" i="1" s="1"/>
  <c r="H1215" i="1" a="1"/>
  <c r="H1215" i="1" s="1"/>
  <c r="I1215" i="1" s="1"/>
  <c r="AS1214" i="1"/>
  <c r="AA1214" i="1" s="1"/>
  <c r="AO1214" i="1"/>
  <c r="AN1214" i="1"/>
  <c r="AM1214" i="1"/>
  <c r="AL1214" i="1"/>
  <c r="AK1214" i="1"/>
  <c r="AJ1214" i="1"/>
  <c r="AI1214" i="1"/>
  <c r="AH1214" i="1"/>
  <c r="AG1214" i="1"/>
  <c r="AF1214" i="1"/>
  <c r="AE1214" i="1"/>
  <c r="AD1214" i="1"/>
  <c r="AC1214" i="1"/>
  <c r="AB1214" i="1"/>
  <c r="Z1214" i="1"/>
  <c r="W1214" i="1"/>
  <c r="V1214" i="1"/>
  <c r="L1214" i="1"/>
  <c r="K1214" i="1" a="1"/>
  <c r="K1214" i="1" s="1"/>
  <c r="J1214" i="1" a="1"/>
  <c r="J1214" i="1" s="1"/>
  <c r="H1214" i="1" a="1"/>
  <c r="H1214" i="1" s="1"/>
  <c r="I1214" i="1" s="1"/>
  <c r="AX1213" i="1"/>
  <c r="AF1213" i="1" s="1"/>
  <c r="AW1213" i="1"/>
  <c r="AE1213" i="1" s="1"/>
  <c r="AV1213" i="1"/>
  <c r="AD1213" i="1" s="1"/>
  <c r="AU1213" i="1"/>
  <c r="AC1213" i="1" s="1"/>
  <c r="AT1213" i="1"/>
  <c r="AB1213" i="1" s="1"/>
  <c r="AS1213" i="1"/>
  <c r="AA1213" i="1" s="1"/>
  <c r="AO1213" i="1"/>
  <c r="AN1213" i="1"/>
  <c r="AM1213" i="1"/>
  <c r="AL1213" i="1"/>
  <c r="AK1213" i="1"/>
  <c r="AJ1213" i="1"/>
  <c r="AI1213" i="1"/>
  <c r="AH1213" i="1"/>
  <c r="AG1213" i="1"/>
  <c r="Z1213" i="1"/>
  <c r="W1213" i="1"/>
  <c r="X1213" i="1" s="1"/>
  <c r="V1213" i="1"/>
  <c r="L1213" i="1"/>
  <c r="K1213" i="1" a="1"/>
  <c r="K1213" i="1" s="1"/>
  <c r="J1213" i="1" a="1"/>
  <c r="J1213" i="1" s="1"/>
  <c r="H1213" i="1" a="1"/>
  <c r="H1213" i="1" s="1"/>
  <c r="I1213" i="1" s="1"/>
  <c r="AS1212" i="1"/>
  <c r="AA1212" i="1" s="1"/>
  <c r="AO1212" i="1"/>
  <c r="AN1212" i="1"/>
  <c r="AM1212" i="1"/>
  <c r="AL1212" i="1"/>
  <c r="AK1212" i="1"/>
  <c r="AJ1212" i="1"/>
  <c r="AI1212" i="1"/>
  <c r="AH1212" i="1"/>
  <c r="AG1212" i="1"/>
  <c r="AF1212" i="1"/>
  <c r="AE1212" i="1"/>
  <c r="AD1212" i="1"/>
  <c r="AC1212" i="1"/>
  <c r="AB1212" i="1"/>
  <c r="Z1212" i="1"/>
  <c r="W1212" i="1"/>
  <c r="V1212" i="1"/>
  <c r="L1212" i="1"/>
  <c r="K1212" i="1" a="1"/>
  <c r="K1212" i="1" s="1"/>
  <c r="J1212" i="1" a="1"/>
  <c r="J1212" i="1" s="1"/>
  <c r="H1212" i="1" a="1"/>
  <c r="H1212" i="1" s="1"/>
  <c r="I1212" i="1" s="1"/>
  <c r="AS1211" i="1"/>
  <c r="AA1211" i="1" s="1"/>
  <c r="AO1211" i="1"/>
  <c r="AN1211" i="1"/>
  <c r="AM1211" i="1"/>
  <c r="AL1211" i="1"/>
  <c r="AK1211" i="1"/>
  <c r="AJ1211" i="1"/>
  <c r="AI1211" i="1"/>
  <c r="AH1211" i="1"/>
  <c r="AG1211" i="1"/>
  <c r="AF1211" i="1"/>
  <c r="AE1211" i="1"/>
  <c r="AD1211" i="1"/>
  <c r="AC1211" i="1"/>
  <c r="AB1211" i="1"/>
  <c r="Z1211" i="1"/>
  <c r="W1211" i="1"/>
  <c r="Y1211" i="1" s="1"/>
  <c r="V1211" i="1"/>
  <c r="L1211" i="1"/>
  <c r="K1211" i="1" a="1"/>
  <c r="K1211" i="1" s="1"/>
  <c r="J1211" i="1" a="1"/>
  <c r="J1211" i="1" s="1"/>
  <c r="H1211" i="1" a="1"/>
  <c r="H1211" i="1" s="1"/>
  <c r="I1211" i="1" s="1"/>
  <c r="AS1210" i="1"/>
  <c r="AA1210" i="1" s="1"/>
  <c r="AO1210" i="1"/>
  <c r="AN1210" i="1"/>
  <c r="AM1210" i="1"/>
  <c r="AL1210" i="1"/>
  <c r="AK1210" i="1"/>
  <c r="AJ1210" i="1"/>
  <c r="AI1210" i="1"/>
  <c r="AH1210" i="1"/>
  <c r="AG1210" i="1"/>
  <c r="AF1210" i="1"/>
  <c r="AE1210" i="1"/>
  <c r="AD1210" i="1"/>
  <c r="AC1210" i="1"/>
  <c r="AB1210" i="1"/>
  <c r="Z1210" i="1"/>
  <c r="W1210" i="1"/>
  <c r="Y1210" i="1" s="1"/>
  <c r="V1210" i="1"/>
  <c r="L1210" i="1"/>
  <c r="K1210" i="1" a="1"/>
  <c r="K1210" i="1" s="1"/>
  <c r="J1210" i="1" a="1"/>
  <c r="J1210" i="1" s="1"/>
  <c r="H1210" i="1" a="1"/>
  <c r="H1210" i="1" s="1"/>
  <c r="I1210" i="1" s="1"/>
  <c r="AU1209" i="1"/>
  <c r="AC1209" i="1" s="1"/>
  <c r="AT1209" i="1"/>
  <c r="AB1209" i="1" s="1"/>
  <c r="AS1209" i="1"/>
  <c r="AA1209" i="1" s="1"/>
  <c r="AO1209" i="1"/>
  <c r="AN1209" i="1"/>
  <c r="AM1209" i="1"/>
  <c r="AL1209" i="1"/>
  <c r="AK1209" i="1"/>
  <c r="AJ1209" i="1"/>
  <c r="AI1209" i="1"/>
  <c r="AH1209" i="1"/>
  <c r="AG1209" i="1"/>
  <c r="AF1209" i="1"/>
  <c r="AE1209" i="1"/>
  <c r="AD1209" i="1"/>
  <c r="Z1209" i="1"/>
  <c r="W1209" i="1"/>
  <c r="Y1209" i="1" s="1"/>
  <c r="V1209" i="1"/>
  <c r="L1209" i="1"/>
  <c r="K1209" i="1" a="1"/>
  <c r="K1209" i="1" s="1"/>
  <c r="J1209" i="1" a="1"/>
  <c r="J1209" i="1" s="1"/>
  <c r="H1209" i="1" a="1"/>
  <c r="H1209" i="1" s="1"/>
  <c r="I1209" i="1" s="1"/>
  <c r="AS1208" i="1"/>
  <c r="AA1208" i="1" s="1"/>
  <c r="AO1208" i="1"/>
  <c r="AN1208" i="1"/>
  <c r="AM1208" i="1"/>
  <c r="AL1208" i="1"/>
  <c r="AK1208" i="1"/>
  <c r="AJ1208" i="1"/>
  <c r="AI1208" i="1"/>
  <c r="AH1208" i="1"/>
  <c r="AG1208" i="1"/>
  <c r="AF1208" i="1"/>
  <c r="AE1208" i="1"/>
  <c r="AD1208" i="1"/>
  <c r="AC1208" i="1"/>
  <c r="AB1208" i="1"/>
  <c r="Z1208" i="1"/>
  <c r="W1208" i="1"/>
  <c r="X1208" i="1" s="1"/>
  <c r="V1208" i="1"/>
  <c r="L1208" i="1"/>
  <c r="K1208" i="1" a="1"/>
  <c r="K1208" i="1" s="1"/>
  <c r="J1208" i="1" a="1"/>
  <c r="J1208" i="1" s="1"/>
  <c r="H1208" i="1" a="1"/>
  <c r="H1208" i="1" s="1"/>
  <c r="I1208" i="1" s="1"/>
  <c r="AS1207" i="1"/>
  <c r="AA1207" i="1" s="1"/>
  <c r="AO1207" i="1"/>
  <c r="AN1207" i="1"/>
  <c r="AM1207" i="1"/>
  <c r="AL1207" i="1"/>
  <c r="AK1207" i="1"/>
  <c r="AJ1207" i="1"/>
  <c r="AI1207" i="1"/>
  <c r="AH1207" i="1"/>
  <c r="AG1207" i="1"/>
  <c r="AF1207" i="1"/>
  <c r="AE1207" i="1"/>
  <c r="AD1207" i="1"/>
  <c r="AC1207" i="1"/>
  <c r="AB1207" i="1"/>
  <c r="Z1207" i="1"/>
  <c r="W1207" i="1"/>
  <c r="X1207" i="1" s="1"/>
  <c r="V1207" i="1"/>
  <c r="L1207" i="1"/>
  <c r="K1207" i="1" a="1"/>
  <c r="K1207" i="1" s="1"/>
  <c r="J1207" i="1" a="1"/>
  <c r="J1207" i="1" s="1"/>
  <c r="H1207" i="1" a="1"/>
  <c r="H1207" i="1" s="1"/>
  <c r="I1207" i="1" s="1"/>
  <c r="AT1206" i="1"/>
  <c r="AB1206" i="1" s="1"/>
  <c r="AS1206" i="1"/>
  <c r="AA1206" i="1" s="1"/>
  <c r="AO1206" i="1"/>
  <c r="AN1206" i="1"/>
  <c r="AM1206" i="1"/>
  <c r="AL1206" i="1"/>
  <c r="AK1206" i="1"/>
  <c r="AJ1206" i="1"/>
  <c r="AI1206" i="1"/>
  <c r="AH1206" i="1"/>
  <c r="AG1206" i="1"/>
  <c r="AF1206" i="1"/>
  <c r="AE1206" i="1"/>
  <c r="AD1206" i="1"/>
  <c r="AC1206" i="1"/>
  <c r="Z1206" i="1"/>
  <c r="W1206" i="1"/>
  <c r="Y1206" i="1" s="1"/>
  <c r="V1206" i="1"/>
  <c r="L1206" i="1"/>
  <c r="K1206" i="1" a="1"/>
  <c r="K1206" i="1" s="1"/>
  <c r="J1206" i="1" a="1"/>
  <c r="J1206" i="1" s="1"/>
  <c r="H1206" i="1" a="1"/>
  <c r="H1206" i="1" s="1"/>
  <c r="I1206" i="1" s="1"/>
  <c r="AS1205" i="1"/>
  <c r="AA1205" i="1" s="1"/>
  <c r="AO1205" i="1"/>
  <c r="AN1205" i="1"/>
  <c r="AM1205" i="1"/>
  <c r="AL1205" i="1"/>
  <c r="AK1205" i="1"/>
  <c r="AJ1205" i="1"/>
  <c r="AI1205" i="1"/>
  <c r="AH1205" i="1"/>
  <c r="AG1205" i="1"/>
  <c r="AF1205" i="1"/>
  <c r="AE1205" i="1"/>
  <c r="AD1205" i="1"/>
  <c r="AC1205" i="1"/>
  <c r="AB1205" i="1"/>
  <c r="Z1205" i="1"/>
  <c r="W1205" i="1"/>
  <c r="X1205" i="1" s="1"/>
  <c r="V1205" i="1"/>
  <c r="L1205" i="1"/>
  <c r="K1205" i="1" a="1"/>
  <c r="K1205" i="1" s="1"/>
  <c r="J1205" i="1" a="1"/>
  <c r="J1205" i="1" s="1"/>
  <c r="H1205" i="1" a="1"/>
  <c r="H1205" i="1" s="1"/>
  <c r="I1205" i="1" s="1"/>
  <c r="AS1204" i="1"/>
  <c r="AA1204" i="1" s="1"/>
  <c r="AO1204" i="1"/>
  <c r="AN1204" i="1"/>
  <c r="AM1204" i="1"/>
  <c r="AL1204" i="1"/>
  <c r="AK1204" i="1"/>
  <c r="AJ1204" i="1"/>
  <c r="AI1204" i="1"/>
  <c r="AH1204" i="1"/>
  <c r="AG1204" i="1"/>
  <c r="AF1204" i="1"/>
  <c r="AE1204" i="1"/>
  <c r="AD1204" i="1"/>
  <c r="AC1204" i="1"/>
  <c r="AB1204" i="1"/>
  <c r="Z1204" i="1"/>
  <c r="W1204" i="1"/>
  <c r="X1204" i="1" s="1"/>
  <c r="V1204" i="1"/>
  <c r="L1204" i="1"/>
  <c r="K1204" i="1" a="1"/>
  <c r="K1204" i="1" s="1"/>
  <c r="J1204" i="1" a="1"/>
  <c r="J1204" i="1" s="1"/>
  <c r="H1204" i="1" a="1"/>
  <c r="H1204" i="1" s="1"/>
  <c r="I1204" i="1" s="1"/>
  <c r="AW1203" i="1"/>
  <c r="AE1203" i="1" s="1"/>
  <c r="AV1203" i="1"/>
  <c r="AD1203" i="1" s="1"/>
  <c r="AU1203" i="1"/>
  <c r="AC1203" i="1" s="1"/>
  <c r="AT1203" i="1"/>
  <c r="AB1203" i="1" s="1"/>
  <c r="AS1203" i="1"/>
  <c r="AA1203" i="1" s="1"/>
  <c r="AO1203" i="1"/>
  <c r="AN1203" i="1"/>
  <c r="AM1203" i="1"/>
  <c r="AL1203" i="1"/>
  <c r="AK1203" i="1"/>
  <c r="AJ1203" i="1"/>
  <c r="AI1203" i="1"/>
  <c r="AH1203" i="1"/>
  <c r="AG1203" i="1"/>
  <c r="AF1203" i="1"/>
  <c r="Z1203" i="1"/>
  <c r="W1203" i="1"/>
  <c r="V1203" i="1"/>
  <c r="L1203" i="1"/>
  <c r="K1203" i="1" a="1"/>
  <c r="K1203" i="1" s="1"/>
  <c r="J1203" i="1" a="1"/>
  <c r="J1203" i="1" s="1"/>
  <c r="H1203" i="1" a="1"/>
  <c r="H1203" i="1" s="1"/>
  <c r="I1203" i="1" s="1"/>
  <c r="AT1202" i="1"/>
  <c r="AB1202" i="1" s="1"/>
  <c r="AS1202" i="1"/>
  <c r="AA1202" i="1" s="1"/>
  <c r="AO1202" i="1"/>
  <c r="AN1202" i="1"/>
  <c r="AM1202" i="1"/>
  <c r="AL1202" i="1"/>
  <c r="AK1202" i="1"/>
  <c r="AJ1202" i="1"/>
  <c r="AI1202" i="1"/>
  <c r="AH1202" i="1"/>
  <c r="AG1202" i="1"/>
  <c r="AF1202" i="1"/>
  <c r="AE1202" i="1"/>
  <c r="AD1202" i="1"/>
  <c r="AC1202" i="1"/>
  <c r="Z1202" i="1"/>
  <c r="X1202" i="1"/>
  <c r="W1202" i="1"/>
  <c r="Y1202" i="1" s="1"/>
  <c r="V1202" i="1"/>
  <c r="L1202" i="1"/>
  <c r="K1202" i="1" a="1"/>
  <c r="K1202" i="1" s="1"/>
  <c r="J1202" i="1" a="1"/>
  <c r="J1202" i="1" s="1"/>
  <c r="H1202" i="1" a="1"/>
  <c r="H1202" i="1" s="1"/>
  <c r="I1202" i="1" s="1"/>
  <c r="AT1201" i="1"/>
  <c r="AB1201" i="1" s="1"/>
  <c r="AS1201" i="1"/>
  <c r="AA1201" i="1" s="1"/>
  <c r="AO1201" i="1"/>
  <c r="AN1201" i="1"/>
  <c r="AM1201" i="1"/>
  <c r="AL1201" i="1"/>
  <c r="AK1201" i="1"/>
  <c r="AJ1201" i="1"/>
  <c r="AI1201" i="1"/>
  <c r="AH1201" i="1"/>
  <c r="AG1201" i="1"/>
  <c r="AF1201" i="1"/>
  <c r="AE1201" i="1"/>
  <c r="AD1201" i="1"/>
  <c r="AC1201" i="1"/>
  <c r="Z1201" i="1"/>
  <c r="W1201" i="1"/>
  <c r="V1201" i="1"/>
  <c r="L1201" i="1"/>
  <c r="K1201" i="1" a="1"/>
  <c r="K1201" i="1" s="1"/>
  <c r="J1201" i="1" a="1"/>
  <c r="J1201" i="1" s="1"/>
  <c r="H1201" i="1" a="1"/>
  <c r="H1201" i="1" s="1"/>
  <c r="I1201" i="1" s="1"/>
  <c r="AS1200" i="1"/>
  <c r="AA1200" i="1" s="1"/>
  <c r="AO1200" i="1"/>
  <c r="AN1200" i="1"/>
  <c r="AM1200" i="1"/>
  <c r="AL1200" i="1"/>
  <c r="AK1200" i="1"/>
  <c r="AJ1200" i="1"/>
  <c r="AI1200" i="1"/>
  <c r="AH1200" i="1"/>
  <c r="AG1200" i="1"/>
  <c r="AF1200" i="1"/>
  <c r="AE1200" i="1"/>
  <c r="AD1200" i="1"/>
  <c r="AC1200" i="1"/>
  <c r="AB1200" i="1"/>
  <c r="Z1200" i="1"/>
  <c r="W1200" i="1"/>
  <c r="Y1200" i="1" s="1"/>
  <c r="V1200" i="1"/>
  <c r="L1200" i="1"/>
  <c r="K1200" i="1" a="1"/>
  <c r="K1200" i="1" s="1"/>
  <c r="J1200" i="1" a="1"/>
  <c r="J1200" i="1" s="1"/>
  <c r="H1200" i="1" a="1"/>
  <c r="H1200" i="1" s="1"/>
  <c r="I1200" i="1" s="1"/>
  <c r="AS1199" i="1"/>
  <c r="AA1199" i="1" s="1"/>
  <c r="AO1199" i="1"/>
  <c r="AN1199" i="1"/>
  <c r="AM1199" i="1"/>
  <c r="AL1199" i="1"/>
  <c r="AK1199" i="1"/>
  <c r="AJ1199" i="1"/>
  <c r="AI1199" i="1"/>
  <c r="AH1199" i="1"/>
  <c r="AG1199" i="1"/>
  <c r="AF1199" i="1"/>
  <c r="AE1199" i="1"/>
  <c r="AD1199" i="1"/>
  <c r="AC1199" i="1"/>
  <c r="AB1199" i="1"/>
  <c r="Z1199" i="1"/>
  <c r="W1199" i="1"/>
  <c r="Y1199" i="1" s="1"/>
  <c r="V1199" i="1"/>
  <c r="L1199" i="1"/>
  <c r="K1199" i="1" a="1"/>
  <c r="K1199" i="1" s="1"/>
  <c r="J1199" i="1" a="1"/>
  <c r="J1199" i="1" s="1"/>
  <c r="H1199" i="1" a="1"/>
  <c r="H1199" i="1" s="1"/>
  <c r="I1199" i="1" s="1"/>
  <c r="AS1198" i="1"/>
  <c r="AA1198" i="1" s="1"/>
  <c r="AO1198" i="1"/>
  <c r="AN1198" i="1"/>
  <c r="AM1198" i="1"/>
  <c r="AL1198" i="1"/>
  <c r="AK1198" i="1"/>
  <c r="AJ1198" i="1"/>
  <c r="AI1198" i="1"/>
  <c r="AH1198" i="1"/>
  <c r="AG1198" i="1"/>
  <c r="AF1198" i="1"/>
  <c r="AE1198" i="1"/>
  <c r="AD1198" i="1"/>
  <c r="AC1198" i="1"/>
  <c r="AB1198" i="1"/>
  <c r="Z1198" i="1"/>
  <c r="W1198" i="1"/>
  <c r="X1198" i="1" s="1"/>
  <c r="V1198" i="1"/>
  <c r="N1198" i="1"/>
  <c r="L1198" i="1"/>
  <c r="K1198" i="1" a="1"/>
  <c r="K1198" i="1" s="1"/>
  <c r="J1198" i="1" a="1"/>
  <c r="J1198" i="1" s="1"/>
  <c r="H1198" i="1" a="1"/>
  <c r="H1198" i="1" s="1"/>
  <c r="I1198" i="1" s="1"/>
  <c r="AS1197" i="1"/>
  <c r="AA1197" i="1" s="1"/>
  <c r="AO1197" i="1"/>
  <c r="AN1197" i="1"/>
  <c r="AM1197" i="1"/>
  <c r="AL1197" i="1"/>
  <c r="AK1197" i="1"/>
  <c r="AJ1197" i="1"/>
  <c r="AI1197" i="1"/>
  <c r="AH1197" i="1"/>
  <c r="AG1197" i="1"/>
  <c r="AF1197" i="1"/>
  <c r="AE1197" i="1"/>
  <c r="AD1197" i="1"/>
  <c r="AC1197" i="1"/>
  <c r="AB1197" i="1"/>
  <c r="Z1197" i="1"/>
  <c r="W1197" i="1"/>
  <c r="Y1197" i="1" s="1"/>
  <c r="V1197" i="1"/>
  <c r="L1197" i="1"/>
  <c r="K1197" i="1" a="1"/>
  <c r="K1197" i="1" s="1"/>
  <c r="J1197" i="1" a="1"/>
  <c r="J1197" i="1" s="1"/>
  <c r="H1197" i="1" a="1"/>
  <c r="H1197" i="1" s="1"/>
  <c r="I1197" i="1" s="1"/>
  <c r="AS1196" i="1"/>
  <c r="AA1196" i="1" s="1"/>
  <c r="AO1196" i="1"/>
  <c r="AN1196" i="1"/>
  <c r="AM1196" i="1"/>
  <c r="AL1196" i="1"/>
  <c r="AK1196" i="1"/>
  <c r="AJ1196" i="1"/>
  <c r="AI1196" i="1"/>
  <c r="AH1196" i="1"/>
  <c r="AG1196" i="1"/>
  <c r="AF1196" i="1"/>
  <c r="AE1196" i="1"/>
  <c r="AD1196" i="1"/>
  <c r="AC1196" i="1"/>
  <c r="AB1196" i="1"/>
  <c r="Z1196" i="1"/>
  <c r="W1196" i="1"/>
  <c r="Y1196" i="1" s="1"/>
  <c r="V1196" i="1"/>
  <c r="L1196" i="1"/>
  <c r="K1196" i="1" a="1"/>
  <c r="K1196" i="1" s="1"/>
  <c r="J1196" i="1" a="1"/>
  <c r="J1196" i="1" s="1"/>
  <c r="H1196" i="1" a="1"/>
  <c r="H1196" i="1" s="1"/>
  <c r="I1196" i="1" s="1"/>
  <c r="AS1195" i="1"/>
  <c r="AA1195" i="1" s="1"/>
  <c r="AO1195" i="1"/>
  <c r="AN1195" i="1"/>
  <c r="AM1195" i="1"/>
  <c r="AL1195" i="1"/>
  <c r="AK1195" i="1"/>
  <c r="AJ1195" i="1"/>
  <c r="AI1195" i="1"/>
  <c r="AH1195" i="1"/>
  <c r="AG1195" i="1"/>
  <c r="AF1195" i="1"/>
  <c r="AE1195" i="1"/>
  <c r="AD1195" i="1"/>
  <c r="AC1195" i="1"/>
  <c r="AB1195" i="1"/>
  <c r="Z1195" i="1"/>
  <c r="W1195" i="1"/>
  <c r="V1195" i="1"/>
  <c r="L1195" i="1"/>
  <c r="K1195" i="1" a="1"/>
  <c r="K1195" i="1" s="1"/>
  <c r="J1195" i="1" a="1"/>
  <c r="J1195" i="1" s="1"/>
  <c r="H1195" i="1" a="1"/>
  <c r="H1195" i="1" s="1"/>
  <c r="I1195" i="1" s="1"/>
  <c r="AZ1194" i="1"/>
  <c r="AH1194" i="1" s="1"/>
  <c r="AY1194" i="1"/>
  <c r="AG1194" i="1" s="1"/>
  <c r="AX1194" i="1"/>
  <c r="AF1194" i="1" s="1"/>
  <c r="AW1194" i="1"/>
  <c r="AV1194" i="1"/>
  <c r="AD1194" i="1" s="1"/>
  <c r="AU1194" i="1"/>
  <c r="AC1194" i="1" s="1"/>
  <c r="AT1194" i="1"/>
  <c r="AB1194" i="1" s="1"/>
  <c r="AS1194" i="1"/>
  <c r="AA1194" i="1" s="1"/>
  <c r="AO1194" i="1"/>
  <c r="AN1194" i="1"/>
  <c r="AM1194" i="1"/>
  <c r="AL1194" i="1"/>
  <c r="AK1194" i="1"/>
  <c r="AJ1194" i="1"/>
  <c r="AI1194" i="1"/>
  <c r="AE1194" i="1"/>
  <c r="Z1194" i="1"/>
  <c r="W1194" i="1"/>
  <c r="V1194" i="1"/>
  <c r="L1194" i="1"/>
  <c r="K1194" i="1" a="1"/>
  <c r="K1194" i="1" s="1"/>
  <c r="J1194" i="1" a="1"/>
  <c r="J1194" i="1" s="1"/>
  <c r="H1194" i="1" a="1"/>
  <c r="H1194" i="1" s="1"/>
  <c r="I1194" i="1" s="1"/>
  <c r="AS1193" i="1"/>
  <c r="AA1193" i="1" s="1"/>
  <c r="AO1193" i="1"/>
  <c r="AN1193" i="1"/>
  <c r="AM1193" i="1"/>
  <c r="AL1193" i="1"/>
  <c r="AK1193" i="1"/>
  <c r="AJ1193" i="1"/>
  <c r="AI1193" i="1"/>
  <c r="AH1193" i="1"/>
  <c r="AG1193" i="1"/>
  <c r="AF1193" i="1"/>
  <c r="AE1193" i="1"/>
  <c r="AD1193" i="1"/>
  <c r="AC1193" i="1"/>
  <c r="AB1193" i="1"/>
  <c r="Z1193" i="1"/>
  <c r="W1193" i="1"/>
  <c r="V1193" i="1"/>
  <c r="L1193" i="1"/>
  <c r="K1193" i="1" a="1"/>
  <c r="K1193" i="1" s="1"/>
  <c r="J1193" i="1" a="1"/>
  <c r="J1193" i="1" s="1"/>
  <c r="H1193" i="1" a="1"/>
  <c r="H1193" i="1" s="1"/>
  <c r="I1193" i="1" s="1"/>
  <c r="AS1192" i="1"/>
  <c r="AA1192" i="1" s="1"/>
  <c r="AO1192" i="1"/>
  <c r="AN1192" i="1"/>
  <c r="AM1192" i="1"/>
  <c r="AL1192" i="1"/>
  <c r="AK1192" i="1"/>
  <c r="AJ1192" i="1"/>
  <c r="AI1192" i="1"/>
  <c r="AH1192" i="1"/>
  <c r="AG1192" i="1"/>
  <c r="AF1192" i="1"/>
  <c r="AE1192" i="1"/>
  <c r="AD1192" i="1"/>
  <c r="AC1192" i="1"/>
  <c r="AB1192" i="1"/>
  <c r="Z1192" i="1"/>
  <c r="W1192" i="1"/>
  <c r="V1192" i="1"/>
  <c r="L1192" i="1"/>
  <c r="K1192" i="1" a="1"/>
  <c r="K1192" i="1" s="1"/>
  <c r="J1192" i="1" a="1"/>
  <c r="J1192" i="1" s="1"/>
  <c r="H1192" i="1" a="1"/>
  <c r="H1192" i="1" s="1"/>
  <c r="I1192" i="1" s="1"/>
  <c r="AS1191" i="1"/>
  <c r="AA1191" i="1" s="1"/>
  <c r="AO1191" i="1"/>
  <c r="AN1191" i="1"/>
  <c r="AM1191" i="1"/>
  <c r="AL1191" i="1"/>
  <c r="AK1191" i="1"/>
  <c r="AJ1191" i="1"/>
  <c r="AI1191" i="1"/>
  <c r="AH1191" i="1"/>
  <c r="AG1191" i="1"/>
  <c r="AF1191" i="1"/>
  <c r="AE1191" i="1"/>
  <c r="AD1191" i="1"/>
  <c r="AC1191" i="1"/>
  <c r="AB1191" i="1"/>
  <c r="Z1191" i="1"/>
  <c r="W1191" i="1"/>
  <c r="X1191" i="1" s="1"/>
  <c r="V1191" i="1"/>
  <c r="L1191" i="1"/>
  <c r="K1191" i="1" a="1"/>
  <c r="K1191" i="1" s="1"/>
  <c r="J1191" i="1" a="1"/>
  <c r="J1191" i="1" s="1"/>
  <c r="H1191" i="1" a="1"/>
  <c r="H1191" i="1" s="1"/>
  <c r="I1191" i="1" s="1"/>
  <c r="AS1190" i="1"/>
  <c r="AA1190" i="1" s="1"/>
  <c r="AO1190" i="1"/>
  <c r="AN1190" i="1"/>
  <c r="AM1190" i="1"/>
  <c r="AL1190" i="1"/>
  <c r="AK1190" i="1"/>
  <c r="AJ1190" i="1"/>
  <c r="AI1190" i="1"/>
  <c r="AH1190" i="1"/>
  <c r="AG1190" i="1"/>
  <c r="AF1190" i="1"/>
  <c r="AE1190" i="1"/>
  <c r="AD1190" i="1"/>
  <c r="AC1190" i="1"/>
  <c r="AB1190" i="1"/>
  <c r="Z1190" i="1"/>
  <c r="W1190" i="1"/>
  <c r="V1190" i="1"/>
  <c r="L1190" i="1"/>
  <c r="K1190" i="1" a="1"/>
  <c r="K1190" i="1" s="1"/>
  <c r="J1190" i="1" a="1"/>
  <c r="J1190" i="1" s="1"/>
  <c r="H1190" i="1" a="1"/>
  <c r="H1190" i="1" s="1"/>
  <c r="I1190" i="1" s="1"/>
  <c r="AS1189" i="1"/>
  <c r="AA1189" i="1" s="1"/>
  <c r="AO1189" i="1"/>
  <c r="AN1189" i="1"/>
  <c r="AM1189" i="1"/>
  <c r="AL1189" i="1"/>
  <c r="AK1189" i="1"/>
  <c r="AJ1189" i="1"/>
  <c r="AI1189" i="1"/>
  <c r="AH1189" i="1"/>
  <c r="AG1189" i="1"/>
  <c r="AF1189" i="1"/>
  <c r="AE1189" i="1"/>
  <c r="AD1189" i="1"/>
  <c r="AC1189" i="1"/>
  <c r="AB1189" i="1"/>
  <c r="Z1189" i="1"/>
  <c r="W1189" i="1"/>
  <c r="V1189" i="1"/>
  <c r="L1189" i="1"/>
  <c r="K1189" i="1" a="1"/>
  <c r="K1189" i="1" s="1"/>
  <c r="J1189" i="1" a="1"/>
  <c r="J1189" i="1" s="1"/>
  <c r="H1189" i="1" a="1"/>
  <c r="H1189" i="1" s="1"/>
  <c r="I1189" i="1" s="1"/>
  <c r="AT1188" i="1"/>
  <c r="AB1188" i="1" s="1"/>
  <c r="AS1188" i="1"/>
  <c r="AA1188" i="1" s="1"/>
  <c r="AO1188" i="1"/>
  <c r="AN1188" i="1"/>
  <c r="AM1188" i="1"/>
  <c r="AL1188" i="1"/>
  <c r="AK1188" i="1"/>
  <c r="AJ1188" i="1"/>
  <c r="AI1188" i="1"/>
  <c r="AH1188" i="1"/>
  <c r="AG1188" i="1"/>
  <c r="AF1188" i="1"/>
  <c r="AE1188" i="1"/>
  <c r="AD1188" i="1"/>
  <c r="AC1188" i="1"/>
  <c r="Z1188" i="1"/>
  <c r="X1188" i="1"/>
  <c r="W1188" i="1"/>
  <c r="Y1188" i="1" s="1"/>
  <c r="V1188" i="1"/>
  <c r="N1188" i="1"/>
  <c r="L1188" i="1"/>
  <c r="K1188" i="1" a="1"/>
  <c r="K1188" i="1" s="1"/>
  <c r="J1188" i="1" a="1"/>
  <c r="J1188" i="1" s="1"/>
  <c r="H1188" i="1" a="1"/>
  <c r="H1188" i="1" s="1"/>
  <c r="I1188" i="1" s="1"/>
  <c r="AU1187" i="1"/>
  <c r="AC1187" i="1" s="1"/>
  <c r="AT1187" i="1"/>
  <c r="AB1187" i="1" s="1"/>
  <c r="AS1187" i="1"/>
  <c r="AA1187" i="1" s="1"/>
  <c r="AO1187" i="1"/>
  <c r="AN1187" i="1"/>
  <c r="AM1187" i="1"/>
  <c r="AL1187" i="1"/>
  <c r="AK1187" i="1"/>
  <c r="AJ1187" i="1"/>
  <c r="AI1187" i="1"/>
  <c r="AH1187" i="1"/>
  <c r="AG1187" i="1"/>
  <c r="AF1187" i="1"/>
  <c r="AE1187" i="1"/>
  <c r="AD1187" i="1"/>
  <c r="Z1187" i="1"/>
  <c r="W1187" i="1"/>
  <c r="V1187" i="1"/>
  <c r="L1187" i="1"/>
  <c r="K1187" i="1" a="1"/>
  <c r="K1187" i="1" s="1"/>
  <c r="J1187" i="1" a="1"/>
  <c r="J1187" i="1" s="1"/>
  <c r="H1187" i="1" a="1"/>
  <c r="H1187" i="1" s="1"/>
  <c r="I1187" i="1" s="1"/>
  <c r="AT1186" i="1"/>
  <c r="AB1186" i="1" s="1"/>
  <c r="AS1186" i="1"/>
  <c r="AA1186" i="1" s="1"/>
  <c r="AO1186" i="1"/>
  <c r="AN1186" i="1"/>
  <c r="AM1186" i="1"/>
  <c r="AL1186" i="1"/>
  <c r="AK1186" i="1"/>
  <c r="AJ1186" i="1"/>
  <c r="AI1186" i="1"/>
  <c r="AH1186" i="1"/>
  <c r="AG1186" i="1"/>
  <c r="AF1186" i="1"/>
  <c r="AE1186" i="1"/>
  <c r="AD1186" i="1"/>
  <c r="AC1186" i="1"/>
  <c r="Z1186" i="1"/>
  <c r="W1186" i="1"/>
  <c r="Y1186" i="1" s="1"/>
  <c r="V1186" i="1"/>
  <c r="N1186" i="1"/>
  <c r="L1186" i="1"/>
  <c r="K1186" i="1" a="1"/>
  <c r="K1186" i="1" s="1"/>
  <c r="J1186" i="1" a="1"/>
  <c r="J1186" i="1" s="1"/>
  <c r="H1186" i="1" a="1"/>
  <c r="H1186" i="1" s="1"/>
  <c r="AT1185" i="1"/>
  <c r="AB1185" i="1" s="1"/>
  <c r="AS1185" i="1"/>
  <c r="AA1185" i="1" s="1"/>
  <c r="AO1185" i="1"/>
  <c r="AN1185" i="1"/>
  <c r="AM1185" i="1"/>
  <c r="AL1185" i="1"/>
  <c r="AK1185" i="1"/>
  <c r="AJ1185" i="1"/>
  <c r="AI1185" i="1"/>
  <c r="AH1185" i="1"/>
  <c r="AG1185" i="1"/>
  <c r="AF1185" i="1"/>
  <c r="AE1185" i="1"/>
  <c r="AD1185" i="1"/>
  <c r="AC1185" i="1"/>
  <c r="Z1185" i="1"/>
  <c r="W1185" i="1"/>
  <c r="X1185" i="1" s="1"/>
  <c r="V1185" i="1"/>
  <c r="N1185" i="1"/>
  <c r="L1185" i="1"/>
  <c r="K1185" i="1" a="1"/>
  <c r="K1185" i="1" s="1"/>
  <c r="J1185" i="1" a="1"/>
  <c r="J1185" i="1" s="1"/>
  <c r="H1185" i="1" a="1"/>
  <c r="H1185" i="1" s="1"/>
  <c r="I1185" i="1" s="1"/>
  <c r="AS1184" i="1"/>
  <c r="AA1184" i="1" s="1"/>
  <c r="AO1184" i="1"/>
  <c r="AN1184" i="1"/>
  <c r="AM1184" i="1"/>
  <c r="AL1184" i="1"/>
  <c r="AK1184" i="1"/>
  <c r="AJ1184" i="1"/>
  <c r="AI1184" i="1"/>
  <c r="AH1184" i="1"/>
  <c r="AG1184" i="1"/>
  <c r="AF1184" i="1"/>
  <c r="AE1184" i="1"/>
  <c r="AD1184" i="1"/>
  <c r="AC1184" i="1"/>
  <c r="AB1184" i="1"/>
  <c r="Z1184" i="1"/>
  <c r="W1184" i="1"/>
  <c r="Y1184" i="1" s="1"/>
  <c r="V1184" i="1"/>
  <c r="N1184" i="1"/>
  <c r="L1184" i="1"/>
  <c r="K1184" i="1" a="1"/>
  <c r="K1184" i="1" s="1"/>
  <c r="J1184" i="1" a="1"/>
  <c r="J1184" i="1" s="1"/>
  <c r="H1184" i="1" a="1"/>
  <c r="H1184" i="1" s="1"/>
  <c r="I1184" i="1" s="1"/>
  <c r="AS1183" i="1"/>
  <c r="AA1183" i="1" s="1"/>
  <c r="AO1183" i="1"/>
  <c r="AN1183" i="1"/>
  <c r="AM1183" i="1"/>
  <c r="AL1183" i="1"/>
  <c r="AK1183" i="1"/>
  <c r="AJ1183" i="1"/>
  <c r="AI1183" i="1"/>
  <c r="AH1183" i="1"/>
  <c r="AG1183" i="1"/>
  <c r="AF1183" i="1"/>
  <c r="AE1183" i="1"/>
  <c r="AD1183" i="1"/>
  <c r="AC1183" i="1"/>
  <c r="AB1183" i="1"/>
  <c r="Z1183" i="1"/>
  <c r="W1183" i="1"/>
  <c r="V1183" i="1"/>
  <c r="T1183" i="1"/>
  <c r="R1183" i="1"/>
  <c r="Q1183" i="1" a="1"/>
  <c r="Q1183" i="1" s="1"/>
  <c r="P1183" i="1"/>
  <c r="N1183" i="1"/>
  <c r="L1183" i="1"/>
  <c r="K1183" i="1" a="1"/>
  <c r="K1183" i="1" s="1"/>
  <c r="U1183" i="1" s="1"/>
  <c r="J1183" i="1" a="1"/>
  <c r="J1183" i="1" s="1"/>
  <c r="H1183" i="1" a="1"/>
  <c r="H1183" i="1" s="1"/>
  <c r="I1183" i="1" s="1"/>
  <c r="S1183" i="1" s="1"/>
  <c r="AS1182" i="1"/>
  <c r="AA1182" i="1" s="1"/>
  <c r="AO1182" i="1"/>
  <c r="AN1182" i="1"/>
  <c r="AM1182" i="1"/>
  <c r="AL1182" i="1"/>
  <c r="AK1182" i="1"/>
  <c r="AJ1182" i="1"/>
  <c r="AI1182" i="1"/>
  <c r="AH1182" i="1"/>
  <c r="AG1182" i="1"/>
  <c r="AF1182" i="1"/>
  <c r="AE1182" i="1"/>
  <c r="AD1182" i="1"/>
  <c r="AC1182" i="1"/>
  <c r="AB1182" i="1"/>
  <c r="Z1182" i="1"/>
  <c r="W1182" i="1"/>
  <c r="X1182" i="1" s="1"/>
  <c r="V1182" i="1"/>
  <c r="T1182" i="1"/>
  <c r="R1182" i="1"/>
  <c r="Q1182" i="1" a="1"/>
  <c r="Q1182" i="1" s="1"/>
  <c r="P1182" i="1"/>
  <c r="N1182" i="1"/>
  <c r="L1182" i="1"/>
  <c r="K1182" i="1" a="1"/>
  <c r="K1182" i="1" s="1"/>
  <c r="U1182" i="1" s="1"/>
  <c r="J1182" i="1" a="1"/>
  <c r="J1182" i="1" s="1"/>
  <c r="H1182" i="1" a="1"/>
  <c r="H1182" i="1" s="1"/>
  <c r="I1182" i="1" s="1"/>
  <c r="S1182" i="1" s="1"/>
  <c r="AS1181" i="1"/>
  <c r="AA1181" i="1" s="1"/>
  <c r="AO1181" i="1"/>
  <c r="AN1181" i="1"/>
  <c r="AM1181" i="1"/>
  <c r="AL1181" i="1"/>
  <c r="AK1181" i="1"/>
  <c r="AJ1181" i="1"/>
  <c r="AI1181" i="1"/>
  <c r="AH1181" i="1"/>
  <c r="AG1181" i="1"/>
  <c r="AF1181" i="1"/>
  <c r="AE1181" i="1"/>
  <c r="AD1181" i="1"/>
  <c r="AC1181" i="1"/>
  <c r="AB1181" i="1"/>
  <c r="Z1181" i="1"/>
  <c r="X1181" i="1"/>
  <c r="W1181" i="1"/>
  <c r="Y1181" i="1" s="1"/>
  <c r="V1181" i="1"/>
  <c r="T1181" i="1"/>
  <c r="R1181" i="1"/>
  <c r="Q1181" i="1" a="1"/>
  <c r="Q1181" i="1" s="1"/>
  <c r="P1181" i="1"/>
  <c r="N1181" i="1"/>
  <c r="L1181" i="1"/>
  <c r="K1181" i="1" a="1"/>
  <c r="K1181" i="1" s="1"/>
  <c r="U1181" i="1" s="1"/>
  <c r="J1181" i="1" a="1"/>
  <c r="J1181" i="1" s="1"/>
  <c r="H1181" i="1" a="1"/>
  <c r="H1181" i="1" s="1"/>
  <c r="AS1180" i="1"/>
  <c r="AA1180" i="1" s="1"/>
  <c r="AO1180" i="1"/>
  <c r="AN1180" i="1"/>
  <c r="AM1180" i="1"/>
  <c r="AL1180" i="1"/>
  <c r="AK1180" i="1"/>
  <c r="AJ1180" i="1"/>
  <c r="AI1180" i="1"/>
  <c r="AH1180" i="1"/>
  <c r="AG1180" i="1"/>
  <c r="AF1180" i="1"/>
  <c r="AE1180" i="1"/>
  <c r="AD1180" i="1"/>
  <c r="AC1180" i="1"/>
  <c r="AB1180" i="1"/>
  <c r="Z1180" i="1"/>
  <c r="W1180" i="1"/>
  <c r="V1180" i="1"/>
  <c r="T1180" i="1"/>
  <c r="R1180" i="1"/>
  <c r="Q1180" i="1" a="1"/>
  <c r="Q1180" i="1" s="1"/>
  <c r="P1180" i="1"/>
  <c r="N1180" i="1"/>
  <c r="L1180" i="1"/>
  <c r="K1180" i="1" a="1"/>
  <c r="K1180" i="1" s="1"/>
  <c r="U1180" i="1" s="1"/>
  <c r="J1180" i="1" a="1"/>
  <c r="J1180" i="1" s="1"/>
  <c r="H1180" i="1" a="1"/>
  <c r="H1180" i="1" s="1"/>
  <c r="I1180" i="1" s="1"/>
  <c r="S1180" i="1" s="1"/>
  <c r="AT1179" i="1"/>
  <c r="AB1179" i="1" s="1"/>
  <c r="AS1179" i="1"/>
  <c r="AA1179" i="1" s="1"/>
  <c r="AO1179" i="1"/>
  <c r="AN1179" i="1"/>
  <c r="AM1179" i="1"/>
  <c r="AL1179" i="1"/>
  <c r="AK1179" i="1"/>
  <c r="AJ1179" i="1"/>
  <c r="AI1179" i="1"/>
  <c r="AH1179" i="1"/>
  <c r="AG1179" i="1"/>
  <c r="AF1179" i="1"/>
  <c r="AE1179" i="1"/>
  <c r="AD1179" i="1"/>
  <c r="AC1179" i="1"/>
  <c r="Z1179" i="1"/>
  <c r="W1179" i="1"/>
  <c r="Y1179" i="1" s="1"/>
  <c r="V1179" i="1"/>
  <c r="T1179" i="1"/>
  <c r="R1179" i="1"/>
  <c r="Q1179" i="1" a="1"/>
  <c r="Q1179" i="1" s="1"/>
  <c r="P1179" i="1"/>
  <c r="N1179" i="1"/>
  <c r="L1179" i="1"/>
  <c r="K1179" i="1" a="1"/>
  <c r="K1179" i="1" s="1"/>
  <c r="U1179" i="1" s="1"/>
  <c r="J1179" i="1" a="1"/>
  <c r="J1179" i="1" s="1"/>
  <c r="H1179" i="1" a="1"/>
  <c r="H1179" i="1" s="1"/>
  <c r="I1179" i="1" s="1"/>
  <c r="S1179" i="1" s="1"/>
  <c r="AT1178" i="1"/>
  <c r="AB1178" i="1" s="1"/>
  <c r="AS1178" i="1"/>
  <c r="AA1178" i="1" s="1"/>
  <c r="AO1178" i="1"/>
  <c r="AN1178" i="1"/>
  <c r="AM1178" i="1"/>
  <c r="AL1178" i="1"/>
  <c r="AK1178" i="1"/>
  <c r="AJ1178" i="1"/>
  <c r="AI1178" i="1"/>
  <c r="AH1178" i="1"/>
  <c r="AG1178" i="1"/>
  <c r="AF1178" i="1"/>
  <c r="AE1178" i="1"/>
  <c r="AD1178" i="1"/>
  <c r="AC1178" i="1"/>
  <c r="Z1178" i="1"/>
  <c r="W1178" i="1"/>
  <c r="Y1178" i="1" s="1"/>
  <c r="V1178" i="1"/>
  <c r="T1178" i="1"/>
  <c r="R1178" i="1"/>
  <c r="Q1178" i="1" a="1"/>
  <c r="Q1178" i="1" s="1"/>
  <c r="P1178" i="1"/>
  <c r="N1178" i="1"/>
  <c r="L1178" i="1"/>
  <c r="K1178" i="1" a="1"/>
  <c r="K1178" i="1" s="1"/>
  <c r="U1178" i="1" s="1"/>
  <c r="J1178" i="1" a="1"/>
  <c r="J1178" i="1" s="1"/>
  <c r="H1178" i="1" a="1"/>
  <c r="H1178" i="1" s="1"/>
  <c r="I1178" i="1" s="1"/>
  <c r="S1178" i="1" s="1"/>
  <c r="AS1177" i="1"/>
  <c r="AA1177" i="1" s="1"/>
  <c r="AO1177" i="1"/>
  <c r="AN1177" i="1"/>
  <c r="AM1177" i="1"/>
  <c r="AL1177" i="1"/>
  <c r="AK1177" i="1"/>
  <c r="AJ1177" i="1"/>
  <c r="AI1177" i="1"/>
  <c r="AH1177" i="1"/>
  <c r="AG1177" i="1"/>
  <c r="AF1177" i="1"/>
  <c r="AE1177" i="1"/>
  <c r="AD1177" i="1"/>
  <c r="AC1177" i="1"/>
  <c r="AB1177" i="1"/>
  <c r="Z1177" i="1"/>
  <c r="W1177" i="1"/>
  <c r="V1177" i="1"/>
  <c r="T1177" i="1"/>
  <c r="R1177" i="1"/>
  <c r="Q1177" i="1" a="1"/>
  <c r="Q1177" i="1" s="1"/>
  <c r="P1177" i="1"/>
  <c r="N1177" i="1"/>
  <c r="L1177" i="1"/>
  <c r="K1177" i="1" a="1"/>
  <c r="K1177" i="1" s="1"/>
  <c r="U1177" i="1" s="1"/>
  <c r="J1177" i="1" a="1"/>
  <c r="J1177" i="1" s="1"/>
  <c r="H1177" i="1" a="1"/>
  <c r="H1177" i="1" s="1"/>
  <c r="I1177" i="1" s="1"/>
  <c r="S1177" i="1" s="1"/>
  <c r="AS1176" i="1"/>
  <c r="AA1176" i="1" s="1"/>
  <c r="AO1176" i="1"/>
  <c r="AN1176" i="1"/>
  <c r="AM1176" i="1"/>
  <c r="AL1176" i="1"/>
  <c r="AK1176" i="1"/>
  <c r="AJ1176" i="1"/>
  <c r="AI1176" i="1"/>
  <c r="AH1176" i="1"/>
  <c r="AG1176" i="1"/>
  <c r="AF1176" i="1"/>
  <c r="AE1176" i="1"/>
  <c r="AD1176" i="1"/>
  <c r="AC1176" i="1"/>
  <c r="AB1176" i="1"/>
  <c r="Z1176" i="1"/>
  <c r="W1176" i="1"/>
  <c r="X1176" i="1" s="1"/>
  <c r="V1176" i="1"/>
  <c r="T1176" i="1"/>
  <c r="R1176" i="1"/>
  <c r="Q1176" i="1" a="1"/>
  <c r="Q1176" i="1" s="1"/>
  <c r="P1176" i="1"/>
  <c r="N1176" i="1"/>
  <c r="L1176" i="1"/>
  <c r="K1176" i="1" a="1"/>
  <c r="K1176" i="1" s="1"/>
  <c r="U1176" i="1" s="1"/>
  <c r="J1176" i="1" a="1"/>
  <c r="J1176" i="1" s="1"/>
  <c r="H1176" i="1" a="1"/>
  <c r="H1176" i="1" s="1"/>
  <c r="AS1175" i="1"/>
  <c r="AA1175" i="1" s="1"/>
  <c r="AO1175" i="1"/>
  <c r="AN1175" i="1"/>
  <c r="AM1175" i="1"/>
  <c r="AL1175" i="1"/>
  <c r="AK1175" i="1"/>
  <c r="AJ1175" i="1"/>
  <c r="AI1175" i="1"/>
  <c r="AH1175" i="1"/>
  <c r="AG1175" i="1"/>
  <c r="AF1175" i="1"/>
  <c r="AE1175" i="1"/>
  <c r="AD1175" i="1"/>
  <c r="AC1175" i="1"/>
  <c r="AB1175" i="1"/>
  <c r="Z1175" i="1"/>
  <c r="W1175" i="1"/>
  <c r="Y1175" i="1" s="1"/>
  <c r="V1175" i="1"/>
  <c r="T1175" i="1"/>
  <c r="R1175" i="1"/>
  <c r="Q1175" i="1" a="1"/>
  <c r="Q1175" i="1" s="1"/>
  <c r="P1175" i="1"/>
  <c r="N1175" i="1"/>
  <c r="L1175" i="1"/>
  <c r="K1175" i="1" a="1"/>
  <c r="K1175" i="1" s="1"/>
  <c r="U1175" i="1" s="1"/>
  <c r="J1175" i="1" a="1"/>
  <c r="J1175" i="1" s="1"/>
  <c r="H1175" i="1" a="1"/>
  <c r="H1175" i="1" s="1"/>
  <c r="AS1174" i="1"/>
  <c r="AA1174" i="1" s="1"/>
  <c r="AO1174" i="1"/>
  <c r="AN1174" i="1"/>
  <c r="AM1174" i="1"/>
  <c r="AL1174" i="1"/>
  <c r="AK1174" i="1"/>
  <c r="AJ1174" i="1"/>
  <c r="AI1174" i="1"/>
  <c r="AH1174" i="1"/>
  <c r="AG1174" i="1"/>
  <c r="AF1174" i="1"/>
  <c r="AE1174" i="1"/>
  <c r="AD1174" i="1"/>
  <c r="AC1174" i="1"/>
  <c r="AB1174" i="1"/>
  <c r="Z1174" i="1"/>
  <c r="W1174" i="1"/>
  <c r="Y1174" i="1" s="1"/>
  <c r="V1174" i="1"/>
  <c r="AT1173" i="1"/>
  <c r="AB1173" i="1" s="1"/>
  <c r="AS1173" i="1"/>
  <c r="AA1173" i="1" s="1"/>
  <c r="AO1173" i="1"/>
  <c r="AN1173" i="1"/>
  <c r="AM1173" i="1"/>
  <c r="AL1173" i="1"/>
  <c r="AK1173" i="1"/>
  <c r="AJ1173" i="1"/>
  <c r="AI1173" i="1"/>
  <c r="AH1173" i="1"/>
  <c r="AG1173" i="1"/>
  <c r="AF1173" i="1"/>
  <c r="AE1173" i="1"/>
  <c r="AD1173" i="1"/>
  <c r="AC1173" i="1"/>
  <c r="Z1173" i="1"/>
  <c r="W1173" i="1"/>
  <c r="Y1173" i="1" s="1"/>
  <c r="V1173" i="1"/>
  <c r="T1173" i="1"/>
  <c r="R1173" i="1"/>
  <c r="Q1173" i="1" a="1"/>
  <c r="Q1173" i="1" s="1"/>
  <c r="P1173" i="1"/>
  <c r="N1173" i="1"/>
  <c r="L1173" i="1"/>
  <c r="K1173" i="1" a="1"/>
  <c r="K1173" i="1" s="1"/>
  <c r="U1173" i="1" s="1"/>
  <c r="J1173" i="1" a="1"/>
  <c r="J1173" i="1" s="1"/>
  <c r="H1173" i="1" a="1"/>
  <c r="H1173" i="1" s="1"/>
  <c r="AX1172" i="1"/>
  <c r="AF1172" i="1" s="1"/>
  <c r="AW1172" i="1"/>
  <c r="AE1172" i="1" s="1"/>
  <c r="AV1172" i="1"/>
  <c r="AD1172" i="1" s="1"/>
  <c r="AU1172" i="1"/>
  <c r="AT1172" i="1"/>
  <c r="AB1172" i="1" s="1"/>
  <c r="AS1172" i="1"/>
  <c r="AA1172" i="1" s="1"/>
  <c r="AO1172" i="1"/>
  <c r="AN1172" i="1"/>
  <c r="AM1172" i="1"/>
  <c r="AL1172" i="1"/>
  <c r="AK1172" i="1"/>
  <c r="AJ1172" i="1"/>
  <c r="AI1172" i="1"/>
  <c r="AH1172" i="1"/>
  <c r="AG1172" i="1"/>
  <c r="AC1172" i="1"/>
  <c r="Z1172" i="1"/>
  <c r="Y1172" i="1"/>
  <c r="W1172" i="1"/>
  <c r="X1172" i="1" s="1"/>
  <c r="V1172" i="1"/>
  <c r="T1172" i="1"/>
  <c r="R1172" i="1"/>
  <c r="Q1172" i="1" a="1"/>
  <c r="Q1172" i="1" s="1"/>
  <c r="P1172" i="1"/>
  <c r="N1172" i="1"/>
  <c r="L1172" i="1"/>
  <c r="K1172" i="1" a="1"/>
  <c r="K1172" i="1" s="1"/>
  <c r="U1172" i="1" s="1"/>
  <c r="J1172" i="1" a="1"/>
  <c r="J1172" i="1" s="1"/>
  <c r="H1172" i="1" a="1"/>
  <c r="H1172" i="1" s="1"/>
  <c r="AZ1171" i="1"/>
  <c r="AH1171" i="1" s="1"/>
  <c r="AY1171" i="1"/>
  <c r="AG1171" i="1" s="1"/>
  <c r="AX1171" i="1"/>
  <c r="AF1171" i="1" s="1"/>
  <c r="AW1171" i="1"/>
  <c r="AV1171" i="1"/>
  <c r="AD1171" i="1" s="1"/>
  <c r="AU1171" i="1"/>
  <c r="AC1171" i="1" s="1"/>
  <c r="AT1171" i="1"/>
  <c r="AB1171" i="1" s="1"/>
  <c r="AS1171" i="1"/>
  <c r="AA1171" i="1" s="1"/>
  <c r="AO1171" i="1"/>
  <c r="AN1171" i="1"/>
  <c r="AM1171" i="1"/>
  <c r="AL1171" i="1"/>
  <c r="AK1171" i="1"/>
  <c r="AJ1171" i="1"/>
  <c r="AI1171" i="1"/>
  <c r="AE1171" i="1"/>
  <c r="Z1171" i="1"/>
  <c r="W1171" i="1"/>
  <c r="V1171" i="1"/>
  <c r="T1171" i="1"/>
  <c r="R1171" i="1"/>
  <c r="Q1171" i="1" a="1"/>
  <c r="Q1171" i="1" s="1"/>
  <c r="P1171" i="1"/>
  <c r="N1171" i="1"/>
  <c r="L1171" i="1"/>
  <c r="K1171" i="1" a="1"/>
  <c r="K1171" i="1" s="1"/>
  <c r="U1171" i="1" s="1"/>
  <c r="J1171" i="1" a="1"/>
  <c r="J1171" i="1" s="1"/>
  <c r="H1171" i="1" a="1"/>
  <c r="H1171" i="1" s="1"/>
  <c r="I1171" i="1" s="1"/>
  <c r="S1171" i="1" s="1"/>
  <c r="AS1170" i="1"/>
  <c r="AA1170" i="1" s="1"/>
  <c r="AO1170" i="1"/>
  <c r="AN1170" i="1"/>
  <c r="AM1170" i="1"/>
  <c r="AL1170" i="1"/>
  <c r="AK1170" i="1"/>
  <c r="AJ1170" i="1"/>
  <c r="AI1170" i="1"/>
  <c r="AH1170" i="1"/>
  <c r="AG1170" i="1"/>
  <c r="AF1170" i="1"/>
  <c r="AE1170" i="1"/>
  <c r="AD1170" i="1"/>
  <c r="AC1170" i="1"/>
  <c r="AB1170" i="1"/>
  <c r="Z1170" i="1"/>
  <c r="W1170" i="1"/>
  <c r="V1170" i="1"/>
  <c r="T1170" i="1"/>
  <c r="R1170" i="1"/>
  <c r="Q1170" i="1" a="1"/>
  <c r="Q1170" i="1" s="1"/>
  <c r="P1170" i="1"/>
  <c r="N1170" i="1"/>
  <c r="L1170" i="1"/>
  <c r="K1170" i="1" a="1"/>
  <c r="K1170" i="1" s="1"/>
  <c r="U1170" i="1" s="1"/>
  <c r="J1170" i="1" a="1"/>
  <c r="J1170" i="1" s="1"/>
  <c r="H1170" i="1" a="1"/>
  <c r="H1170" i="1" s="1"/>
  <c r="AS1169" i="1"/>
  <c r="AA1169" i="1" s="1"/>
  <c r="AO1169" i="1"/>
  <c r="AN1169" i="1"/>
  <c r="AM1169" i="1"/>
  <c r="AL1169" i="1"/>
  <c r="AK1169" i="1"/>
  <c r="AJ1169" i="1"/>
  <c r="AI1169" i="1"/>
  <c r="AH1169" i="1"/>
  <c r="AG1169" i="1"/>
  <c r="AF1169" i="1"/>
  <c r="AE1169" i="1"/>
  <c r="AD1169" i="1"/>
  <c r="AC1169" i="1"/>
  <c r="AB1169" i="1"/>
  <c r="Z1169" i="1"/>
  <c r="W1169" i="1"/>
  <c r="X1169" i="1" s="1"/>
  <c r="V1169" i="1"/>
  <c r="T1169" i="1"/>
  <c r="R1169" i="1"/>
  <c r="Q1169" i="1" a="1"/>
  <c r="Q1169" i="1" s="1"/>
  <c r="P1169" i="1"/>
  <c r="N1169" i="1"/>
  <c r="L1169" i="1"/>
  <c r="K1169" i="1" a="1"/>
  <c r="K1169" i="1" s="1"/>
  <c r="U1169" i="1" s="1"/>
  <c r="J1169" i="1" a="1"/>
  <c r="J1169" i="1" s="1"/>
  <c r="H1169" i="1" a="1"/>
  <c r="H1169" i="1" s="1"/>
  <c r="AS1168" i="1"/>
  <c r="AA1168" i="1" s="1"/>
  <c r="AO1168" i="1"/>
  <c r="AN1168" i="1"/>
  <c r="AM1168" i="1"/>
  <c r="AL1168" i="1"/>
  <c r="AK1168" i="1"/>
  <c r="AJ1168" i="1"/>
  <c r="AI1168" i="1"/>
  <c r="AH1168" i="1"/>
  <c r="AG1168" i="1"/>
  <c r="AF1168" i="1"/>
  <c r="AE1168" i="1"/>
  <c r="AD1168" i="1"/>
  <c r="AC1168" i="1"/>
  <c r="AB1168" i="1"/>
  <c r="Z1168" i="1"/>
  <c r="W1168" i="1"/>
  <c r="Y1168" i="1" s="1"/>
  <c r="V1168" i="1"/>
  <c r="T1168" i="1"/>
  <c r="R1168" i="1"/>
  <c r="Q1168" i="1" a="1"/>
  <c r="Q1168" i="1" s="1"/>
  <c r="P1168" i="1"/>
  <c r="N1168" i="1"/>
  <c r="L1168" i="1"/>
  <c r="K1168" i="1" a="1"/>
  <c r="K1168" i="1" s="1"/>
  <c r="U1168" i="1" s="1"/>
  <c r="J1168" i="1" a="1"/>
  <c r="J1168" i="1" s="1"/>
  <c r="H1168" i="1" a="1"/>
  <c r="H1168" i="1" s="1"/>
  <c r="AS1167" i="1"/>
  <c r="AA1167" i="1" s="1"/>
  <c r="AO1167" i="1"/>
  <c r="AN1167" i="1"/>
  <c r="AM1167" i="1"/>
  <c r="AL1167" i="1"/>
  <c r="AK1167" i="1"/>
  <c r="AJ1167" i="1"/>
  <c r="AI1167" i="1"/>
  <c r="AH1167" i="1"/>
  <c r="AG1167" i="1"/>
  <c r="AF1167" i="1"/>
  <c r="AE1167" i="1"/>
  <c r="AD1167" i="1"/>
  <c r="AC1167" i="1"/>
  <c r="AB1167" i="1"/>
  <c r="Z1167" i="1"/>
  <c r="W1167" i="1"/>
  <c r="Y1167" i="1" s="1"/>
  <c r="V1167" i="1"/>
  <c r="T1167" i="1"/>
  <c r="R1167" i="1"/>
  <c r="Q1167" i="1" a="1"/>
  <c r="Q1167" i="1" s="1"/>
  <c r="P1167" i="1"/>
  <c r="N1167" i="1"/>
  <c r="L1167" i="1"/>
  <c r="K1167" i="1" a="1"/>
  <c r="K1167" i="1" s="1"/>
  <c r="U1167" i="1" s="1"/>
  <c r="J1167" i="1" a="1"/>
  <c r="J1167" i="1" s="1"/>
  <c r="H1167" i="1" a="1"/>
  <c r="H1167" i="1" s="1"/>
  <c r="I1167" i="1" s="1"/>
  <c r="S1167" i="1" s="1"/>
  <c r="AS1166" i="1"/>
  <c r="AA1166" i="1" s="1"/>
  <c r="AO1166" i="1"/>
  <c r="AN1166" i="1"/>
  <c r="AM1166" i="1"/>
  <c r="AL1166" i="1"/>
  <c r="AK1166" i="1"/>
  <c r="AJ1166" i="1"/>
  <c r="AI1166" i="1"/>
  <c r="AH1166" i="1"/>
  <c r="AG1166" i="1"/>
  <c r="AF1166" i="1"/>
  <c r="AE1166" i="1"/>
  <c r="AD1166" i="1"/>
  <c r="AC1166" i="1"/>
  <c r="AB1166" i="1"/>
  <c r="Z1166" i="1"/>
  <c r="W1166" i="1"/>
  <c r="V1166" i="1"/>
  <c r="T1166" i="1"/>
  <c r="R1166" i="1"/>
  <c r="Q1166" i="1" a="1"/>
  <c r="Q1166" i="1" s="1"/>
  <c r="P1166" i="1"/>
  <c r="N1166" i="1"/>
  <c r="L1166" i="1"/>
  <c r="K1166" i="1" a="1"/>
  <c r="K1166" i="1" s="1"/>
  <c r="U1166" i="1" s="1"/>
  <c r="J1166" i="1" a="1"/>
  <c r="J1166" i="1" s="1"/>
  <c r="H1166" i="1" a="1"/>
  <c r="H1166" i="1" s="1"/>
  <c r="I1166" i="1" s="1"/>
  <c r="S1166" i="1" s="1"/>
  <c r="AX1165" i="1"/>
  <c r="AF1165" i="1" s="1"/>
  <c r="AW1165" i="1"/>
  <c r="AE1165" i="1" s="1"/>
  <c r="AV1165" i="1"/>
  <c r="AD1165" i="1" s="1"/>
  <c r="AU1165" i="1"/>
  <c r="AC1165" i="1" s="1"/>
  <c r="AT1165" i="1"/>
  <c r="AB1165" i="1" s="1"/>
  <c r="AS1165" i="1"/>
  <c r="AA1165" i="1" s="1"/>
  <c r="AO1165" i="1"/>
  <c r="AN1165" i="1"/>
  <c r="AM1165" i="1"/>
  <c r="AL1165" i="1"/>
  <c r="AK1165" i="1"/>
  <c r="AJ1165" i="1"/>
  <c r="AI1165" i="1"/>
  <c r="AH1165" i="1"/>
  <c r="AG1165" i="1"/>
  <c r="Z1165" i="1"/>
  <c r="W1165" i="1"/>
  <c r="V1165" i="1"/>
  <c r="T1165" i="1"/>
  <c r="R1165" i="1"/>
  <c r="Q1165" i="1" a="1"/>
  <c r="Q1165" i="1" s="1"/>
  <c r="P1165" i="1"/>
  <c r="N1165" i="1"/>
  <c r="L1165" i="1"/>
  <c r="K1165" i="1" a="1"/>
  <c r="K1165" i="1" s="1"/>
  <c r="U1165" i="1" s="1"/>
  <c r="J1165" i="1" a="1"/>
  <c r="J1165" i="1" s="1"/>
  <c r="H1165" i="1" a="1"/>
  <c r="H1165" i="1" s="1"/>
  <c r="I1165" i="1" s="1"/>
  <c r="S1165" i="1" s="1"/>
  <c r="AS1164" i="1"/>
  <c r="AA1164" i="1" s="1"/>
  <c r="AO1164" i="1"/>
  <c r="AN1164" i="1"/>
  <c r="AM1164" i="1"/>
  <c r="AL1164" i="1"/>
  <c r="AK1164" i="1"/>
  <c r="AJ1164" i="1"/>
  <c r="AI1164" i="1"/>
  <c r="AH1164" i="1"/>
  <c r="AG1164" i="1"/>
  <c r="AF1164" i="1"/>
  <c r="AE1164" i="1"/>
  <c r="AD1164" i="1"/>
  <c r="AC1164" i="1"/>
  <c r="AB1164" i="1"/>
  <c r="Z1164" i="1"/>
  <c r="W1164" i="1"/>
  <c r="Y1164" i="1" s="1"/>
  <c r="V1164" i="1"/>
  <c r="T1164" i="1"/>
  <c r="R1164" i="1"/>
  <c r="Q1164" i="1" a="1"/>
  <c r="Q1164" i="1" s="1"/>
  <c r="P1164" i="1"/>
  <c r="N1164" i="1"/>
  <c r="L1164" i="1"/>
  <c r="K1164" i="1" a="1"/>
  <c r="K1164" i="1" s="1"/>
  <c r="U1164" i="1" s="1"/>
  <c r="J1164" i="1" a="1"/>
  <c r="J1164" i="1" s="1"/>
  <c r="H1164" i="1" a="1"/>
  <c r="H1164" i="1" s="1"/>
  <c r="I1164" i="1" s="1"/>
  <c r="S1164" i="1" s="1"/>
  <c r="AS1163" i="1"/>
  <c r="AA1163" i="1" s="1"/>
  <c r="AO1163" i="1"/>
  <c r="AN1163" i="1"/>
  <c r="AM1163" i="1"/>
  <c r="AL1163" i="1"/>
  <c r="AK1163" i="1"/>
  <c r="AJ1163" i="1"/>
  <c r="AI1163" i="1"/>
  <c r="AH1163" i="1"/>
  <c r="AG1163" i="1"/>
  <c r="AF1163" i="1"/>
  <c r="AE1163" i="1"/>
  <c r="AD1163" i="1"/>
  <c r="AC1163" i="1"/>
  <c r="AB1163" i="1"/>
  <c r="Z1163" i="1"/>
  <c r="W1163" i="1"/>
  <c r="Y1163" i="1" s="1"/>
  <c r="V1163" i="1"/>
  <c r="T1163" i="1"/>
  <c r="R1163" i="1"/>
  <c r="Q1163" i="1" a="1"/>
  <c r="Q1163" i="1" s="1"/>
  <c r="P1163" i="1"/>
  <c r="N1163" i="1"/>
  <c r="L1163" i="1"/>
  <c r="K1163" i="1" a="1"/>
  <c r="K1163" i="1" s="1"/>
  <c r="U1163" i="1" s="1"/>
  <c r="J1163" i="1" a="1"/>
  <c r="J1163" i="1" s="1"/>
  <c r="H1163" i="1" a="1"/>
  <c r="H1163" i="1" s="1"/>
  <c r="Z1162" i="1"/>
  <c r="W1162" i="1"/>
  <c r="Y1162" i="1" s="1"/>
  <c r="V1162" i="1"/>
  <c r="AS1161" i="1"/>
  <c r="AA1161" i="1" s="1"/>
  <c r="AO1161" i="1"/>
  <c r="AN1161" i="1"/>
  <c r="AM1161" i="1"/>
  <c r="AL1161" i="1"/>
  <c r="AK1161" i="1"/>
  <c r="AJ1161" i="1"/>
  <c r="AI1161" i="1"/>
  <c r="AH1161" i="1"/>
  <c r="AG1161" i="1"/>
  <c r="AF1161" i="1"/>
  <c r="AE1161" i="1"/>
  <c r="AD1161" i="1"/>
  <c r="AC1161" i="1"/>
  <c r="AB1161" i="1"/>
  <c r="Z1161" i="1"/>
  <c r="W1161" i="1"/>
  <c r="Y1161" i="1" s="1"/>
  <c r="V1161" i="1"/>
  <c r="T1161" i="1"/>
  <c r="R1161" i="1"/>
  <c r="Q1161" i="1" a="1"/>
  <c r="Q1161" i="1" s="1"/>
  <c r="P1161" i="1"/>
  <c r="N1161" i="1"/>
  <c r="L1161" i="1"/>
  <c r="K1161" i="1" a="1"/>
  <c r="K1161" i="1" s="1"/>
  <c r="U1161" i="1" s="1"/>
  <c r="J1161" i="1" a="1"/>
  <c r="J1161" i="1" s="1"/>
  <c r="H1161" i="1" a="1"/>
  <c r="H1161" i="1" s="1"/>
  <c r="AS1160" i="1"/>
  <c r="AA1160" i="1" s="1"/>
  <c r="AO1160" i="1"/>
  <c r="AN1160" i="1"/>
  <c r="AM1160" i="1"/>
  <c r="AL1160" i="1"/>
  <c r="AK1160" i="1"/>
  <c r="AJ1160" i="1"/>
  <c r="AI1160" i="1"/>
  <c r="AH1160" i="1"/>
  <c r="AG1160" i="1"/>
  <c r="AF1160" i="1"/>
  <c r="AE1160" i="1"/>
  <c r="AD1160" i="1"/>
  <c r="AC1160" i="1"/>
  <c r="AB1160" i="1"/>
  <c r="Z1160" i="1"/>
  <c r="W1160" i="1"/>
  <c r="Y1160" i="1" s="1"/>
  <c r="V1160" i="1"/>
  <c r="T1160" i="1"/>
  <c r="R1160" i="1"/>
  <c r="Q1160" i="1" a="1"/>
  <c r="Q1160" i="1" s="1"/>
  <c r="P1160" i="1"/>
  <c r="N1160" i="1"/>
  <c r="L1160" i="1"/>
  <c r="K1160" i="1" a="1"/>
  <c r="K1160" i="1" s="1"/>
  <c r="U1160" i="1" s="1"/>
  <c r="J1160" i="1" a="1"/>
  <c r="J1160" i="1" s="1"/>
  <c r="H1160" i="1" a="1"/>
  <c r="H1160" i="1" s="1"/>
  <c r="I1160" i="1" s="1"/>
  <c r="S1160" i="1" s="1"/>
  <c r="AS1159" i="1"/>
  <c r="AA1159" i="1" s="1"/>
  <c r="AO1159" i="1"/>
  <c r="AN1159" i="1"/>
  <c r="AM1159" i="1"/>
  <c r="AL1159" i="1"/>
  <c r="AK1159" i="1"/>
  <c r="AJ1159" i="1"/>
  <c r="AI1159" i="1"/>
  <c r="AH1159" i="1"/>
  <c r="AG1159" i="1"/>
  <c r="AF1159" i="1"/>
  <c r="AE1159" i="1"/>
  <c r="AD1159" i="1"/>
  <c r="AC1159" i="1"/>
  <c r="AB1159" i="1"/>
  <c r="Z1159" i="1"/>
  <c r="W1159" i="1"/>
  <c r="V1159" i="1"/>
  <c r="T1159" i="1"/>
  <c r="R1159" i="1"/>
  <c r="Q1159" i="1" a="1"/>
  <c r="Q1159" i="1" s="1"/>
  <c r="P1159" i="1"/>
  <c r="N1159" i="1"/>
  <c r="L1159" i="1"/>
  <c r="K1159" i="1" a="1"/>
  <c r="K1159" i="1" s="1"/>
  <c r="U1159" i="1" s="1"/>
  <c r="J1159" i="1" a="1"/>
  <c r="J1159" i="1" s="1"/>
  <c r="H1159" i="1" a="1"/>
  <c r="H1159" i="1" s="1"/>
  <c r="I1159" i="1" s="1"/>
  <c r="S1159" i="1" s="1"/>
  <c r="AT1158" i="1"/>
  <c r="AB1158" i="1" s="1"/>
  <c r="AS1158" i="1"/>
  <c r="AA1158" i="1" s="1"/>
  <c r="AO1158" i="1"/>
  <c r="AN1158" i="1"/>
  <c r="AM1158" i="1"/>
  <c r="AL1158" i="1"/>
  <c r="AK1158" i="1"/>
  <c r="AJ1158" i="1"/>
  <c r="AI1158" i="1"/>
  <c r="AH1158" i="1"/>
  <c r="AG1158" i="1"/>
  <c r="AF1158" i="1"/>
  <c r="AE1158" i="1"/>
  <c r="AD1158" i="1"/>
  <c r="AC1158" i="1"/>
  <c r="Z1158" i="1"/>
  <c r="W1158" i="1"/>
  <c r="V1158" i="1"/>
  <c r="T1158" i="1"/>
  <c r="R1158" i="1"/>
  <c r="Q1158" i="1" a="1"/>
  <c r="Q1158" i="1" s="1"/>
  <c r="P1158" i="1"/>
  <c r="N1158" i="1"/>
  <c r="L1158" i="1"/>
  <c r="K1158" i="1" a="1"/>
  <c r="K1158" i="1" s="1"/>
  <c r="U1158" i="1" s="1"/>
  <c r="J1158" i="1" a="1"/>
  <c r="J1158" i="1" s="1"/>
  <c r="H1158" i="1" a="1"/>
  <c r="H1158" i="1" s="1"/>
  <c r="I1158" i="1" s="1"/>
  <c r="S1158" i="1" s="1"/>
  <c r="AS1157" i="1"/>
  <c r="AA1157" i="1" s="1"/>
  <c r="AO1157" i="1"/>
  <c r="AN1157" i="1"/>
  <c r="AM1157" i="1"/>
  <c r="AL1157" i="1"/>
  <c r="AK1157" i="1"/>
  <c r="AJ1157" i="1"/>
  <c r="AI1157" i="1"/>
  <c r="AH1157" i="1"/>
  <c r="AG1157" i="1"/>
  <c r="AF1157" i="1"/>
  <c r="AE1157" i="1"/>
  <c r="AD1157" i="1"/>
  <c r="AC1157" i="1"/>
  <c r="AB1157" i="1"/>
  <c r="Z1157" i="1"/>
  <c r="W1157" i="1"/>
  <c r="Y1157" i="1" s="1"/>
  <c r="V1157" i="1"/>
  <c r="T1157" i="1"/>
  <c r="R1157" i="1"/>
  <c r="Q1157" i="1" a="1"/>
  <c r="Q1157" i="1" s="1"/>
  <c r="P1157" i="1"/>
  <c r="N1157" i="1"/>
  <c r="L1157" i="1"/>
  <c r="K1157" i="1" a="1"/>
  <c r="K1157" i="1" s="1"/>
  <c r="U1157" i="1" s="1"/>
  <c r="J1157" i="1" a="1"/>
  <c r="J1157" i="1" s="1"/>
  <c r="H1157" i="1" a="1"/>
  <c r="H1157" i="1" s="1"/>
  <c r="I1157" i="1" s="1"/>
  <c r="S1157" i="1" s="1"/>
  <c r="AT1156" i="1"/>
  <c r="AB1156" i="1" s="1"/>
  <c r="AS1156" i="1"/>
  <c r="AA1156" i="1" s="1"/>
  <c r="AO1156" i="1"/>
  <c r="AN1156" i="1"/>
  <c r="AM1156" i="1"/>
  <c r="AL1156" i="1"/>
  <c r="AK1156" i="1"/>
  <c r="AJ1156" i="1"/>
  <c r="AI1156" i="1"/>
  <c r="AH1156" i="1"/>
  <c r="AG1156" i="1"/>
  <c r="AF1156" i="1"/>
  <c r="AE1156" i="1"/>
  <c r="AD1156" i="1"/>
  <c r="AC1156" i="1"/>
  <c r="Z1156" i="1"/>
  <c r="W1156" i="1"/>
  <c r="Y1156" i="1" s="1"/>
  <c r="V1156" i="1"/>
  <c r="T1156" i="1"/>
  <c r="R1156" i="1"/>
  <c r="Q1156" i="1" a="1"/>
  <c r="Q1156" i="1" s="1"/>
  <c r="P1156" i="1"/>
  <c r="N1156" i="1"/>
  <c r="L1156" i="1"/>
  <c r="K1156" i="1" a="1"/>
  <c r="K1156" i="1" s="1"/>
  <c r="U1156" i="1" s="1"/>
  <c r="J1156" i="1" a="1"/>
  <c r="J1156" i="1" s="1"/>
  <c r="H1156" i="1" a="1"/>
  <c r="H1156" i="1" s="1"/>
  <c r="I1156" i="1" s="1"/>
  <c r="S1156" i="1" s="1"/>
  <c r="AT1155" i="1"/>
  <c r="AB1155" i="1" s="1"/>
  <c r="AS1155" i="1"/>
  <c r="AA1155" i="1" s="1"/>
  <c r="AO1155" i="1"/>
  <c r="AN1155" i="1"/>
  <c r="AM1155" i="1"/>
  <c r="AL1155" i="1"/>
  <c r="AK1155" i="1"/>
  <c r="AJ1155" i="1"/>
  <c r="AI1155" i="1"/>
  <c r="AH1155" i="1"/>
  <c r="AG1155" i="1"/>
  <c r="AF1155" i="1"/>
  <c r="AE1155" i="1"/>
  <c r="AD1155" i="1"/>
  <c r="AC1155" i="1"/>
  <c r="Z1155" i="1"/>
  <c r="W1155" i="1"/>
  <c r="Y1155" i="1" s="1"/>
  <c r="V1155" i="1"/>
  <c r="T1155" i="1"/>
  <c r="R1155" i="1"/>
  <c r="Q1155" i="1" a="1"/>
  <c r="Q1155" i="1" s="1"/>
  <c r="P1155" i="1"/>
  <c r="N1155" i="1"/>
  <c r="L1155" i="1"/>
  <c r="K1155" i="1" a="1"/>
  <c r="K1155" i="1" s="1"/>
  <c r="U1155" i="1" s="1"/>
  <c r="J1155" i="1" a="1"/>
  <c r="J1155" i="1" s="1"/>
  <c r="H1155" i="1" a="1"/>
  <c r="H1155" i="1" s="1"/>
  <c r="AT1154" i="1"/>
  <c r="AB1154" i="1" s="1"/>
  <c r="AS1154" i="1"/>
  <c r="AA1154" i="1" s="1"/>
  <c r="AO1154" i="1"/>
  <c r="AN1154" i="1"/>
  <c r="AM1154" i="1"/>
  <c r="AL1154" i="1"/>
  <c r="AK1154" i="1"/>
  <c r="AJ1154" i="1"/>
  <c r="AI1154" i="1"/>
  <c r="AH1154" i="1"/>
  <c r="AG1154" i="1"/>
  <c r="AF1154" i="1"/>
  <c r="AE1154" i="1"/>
  <c r="AD1154" i="1"/>
  <c r="AC1154" i="1"/>
  <c r="Z1154" i="1"/>
  <c r="W1154" i="1"/>
  <c r="Y1154" i="1" s="1"/>
  <c r="V1154" i="1"/>
  <c r="T1154" i="1"/>
  <c r="R1154" i="1"/>
  <c r="Q1154" i="1" a="1"/>
  <c r="Q1154" i="1" s="1"/>
  <c r="P1154" i="1"/>
  <c r="N1154" i="1"/>
  <c r="L1154" i="1"/>
  <c r="K1154" i="1" a="1"/>
  <c r="K1154" i="1" s="1"/>
  <c r="U1154" i="1" s="1"/>
  <c r="J1154" i="1" a="1"/>
  <c r="J1154" i="1" s="1"/>
  <c r="H1154" i="1" a="1"/>
  <c r="H1154" i="1" s="1"/>
  <c r="I1154" i="1" s="1"/>
  <c r="S1154" i="1" s="1"/>
  <c r="AT1153" i="1"/>
  <c r="AB1153" i="1" s="1"/>
  <c r="AS1153" i="1"/>
  <c r="AA1153" i="1" s="1"/>
  <c r="AO1153" i="1"/>
  <c r="AN1153" i="1"/>
  <c r="AM1153" i="1"/>
  <c r="AL1153" i="1"/>
  <c r="AK1153" i="1"/>
  <c r="AJ1153" i="1"/>
  <c r="AI1153" i="1"/>
  <c r="AH1153" i="1"/>
  <c r="AG1153" i="1"/>
  <c r="AF1153" i="1"/>
  <c r="AE1153" i="1"/>
  <c r="AD1153" i="1"/>
  <c r="AC1153" i="1"/>
  <c r="Z1153" i="1"/>
  <c r="W1153" i="1"/>
  <c r="X1153" i="1" s="1"/>
  <c r="V1153" i="1"/>
  <c r="T1153" i="1"/>
  <c r="R1153" i="1"/>
  <c r="Q1153" i="1" a="1"/>
  <c r="Q1153" i="1" s="1"/>
  <c r="P1153" i="1"/>
  <c r="N1153" i="1"/>
  <c r="L1153" i="1"/>
  <c r="K1153" i="1" a="1"/>
  <c r="K1153" i="1" s="1"/>
  <c r="U1153" i="1" s="1"/>
  <c r="J1153" i="1" a="1"/>
  <c r="J1153" i="1" s="1"/>
  <c r="H1153" i="1" a="1"/>
  <c r="H1153" i="1" s="1"/>
  <c r="I1153" i="1" s="1"/>
  <c r="S1153" i="1" s="1"/>
  <c r="AT1152" i="1"/>
  <c r="AB1152" i="1" s="1"/>
  <c r="AS1152" i="1"/>
  <c r="AA1152" i="1" s="1"/>
  <c r="AO1152" i="1"/>
  <c r="AN1152" i="1"/>
  <c r="AM1152" i="1"/>
  <c r="AL1152" i="1"/>
  <c r="AK1152" i="1"/>
  <c r="AJ1152" i="1"/>
  <c r="AI1152" i="1"/>
  <c r="AH1152" i="1"/>
  <c r="AG1152" i="1"/>
  <c r="AF1152" i="1"/>
  <c r="AE1152" i="1"/>
  <c r="AD1152" i="1"/>
  <c r="AC1152" i="1"/>
  <c r="Z1152" i="1"/>
  <c r="X1152" i="1"/>
  <c r="W1152" i="1"/>
  <c r="Y1152" i="1" s="1"/>
  <c r="V1152" i="1"/>
  <c r="T1152" i="1"/>
  <c r="R1152" i="1"/>
  <c r="Q1152" i="1" a="1"/>
  <c r="Q1152" i="1" s="1"/>
  <c r="P1152" i="1"/>
  <c r="N1152" i="1"/>
  <c r="L1152" i="1"/>
  <c r="K1152" i="1" a="1"/>
  <c r="K1152" i="1" s="1"/>
  <c r="U1152" i="1" s="1"/>
  <c r="J1152" i="1" a="1"/>
  <c r="J1152" i="1" s="1"/>
  <c r="H1152" i="1" a="1"/>
  <c r="H1152" i="1" s="1"/>
  <c r="I1152" i="1" s="1"/>
  <c r="S1152" i="1" s="1"/>
  <c r="AT1151" i="1"/>
  <c r="AB1151" i="1" s="1"/>
  <c r="AS1151" i="1"/>
  <c r="AA1151" i="1" s="1"/>
  <c r="AO1151" i="1"/>
  <c r="AN1151" i="1"/>
  <c r="AM1151" i="1"/>
  <c r="AL1151" i="1"/>
  <c r="AK1151" i="1"/>
  <c r="AJ1151" i="1"/>
  <c r="AI1151" i="1"/>
  <c r="AH1151" i="1"/>
  <c r="AG1151" i="1"/>
  <c r="AF1151" i="1"/>
  <c r="AE1151" i="1"/>
  <c r="AD1151" i="1"/>
  <c r="AC1151" i="1"/>
  <c r="Z1151" i="1"/>
  <c r="W1151" i="1"/>
  <c r="Y1151" i="1" s="1"/>
  <c r="V1151" i="1"/>
  <c r="T1151" i="1"/>
  <c r="R1151" i="1"/>
  <c r="Q1151" i="1" a="1"/>
  <c r="Q1151" i="1" s="1"/>
  <c r="P1151" i="1"/>
  <c r="N1151" i="1"/>
  <c r="L1151" i="1"/>
  <c r="K1151" i="1" a="1"/>
  <c r="K1151" i="1" s="1"/>
  <c r="U1151" i="1" s="1"/>
  <c r="J1151" i="1" a="1"/>
  <c r="J1151" i="1" s="1"/>
  <c r="H1151" i="1" a="1"/>
  <c r="H1151" i="1" s="1"/>
  <c r="AS1150" i="1"/>
  <c r="AA1150" i="1" s="1"/>
  <c r="AO1150" i="1"/>
  <c r="AN1150" i="1"/>
  <c r="AM1150" i="1"/>
  <c r="AL1150" i="1"/>
  <c r="AK1150" i="1"/>
  <c r="AJ1150" i="1"/>
  <c r="AI1150" i="1"/>
  <c r="AH1150" i="1"/>
  <c r="AG1150" i="1"/>
  <c r="AF1150" i="1"/>
  <c r="AE1150" i="1"/>
  <c r="AD1150" i="1"/>
  <c r="AC1150" i="1"/>
  <c r="AB1150" i="1"/>
  <c r="Z1150" i="1"/>
  <c r="W1150" i="1"/>
  <c r="X1150" i="1" s="1"/>
  <c r="V1150" i="1"/>
  <c r="T1150" i="1"/>
  <c r="R1150" i="1"/>
  <c r="Q1150" i="1" a="1"/>
  <c r="Q1150" i="1" s="1"/>
  <c r="P1150" i="1"/>
  <c r="N1150" i="1"/>
  <c r="L1150" i="1"/>
  <c r="K1150" i="1" a="1"/>
  <c r="K1150" i="1" s="1"/>
  <c r="U1150" i="1" s="1"/>
  <c r="J1150" i="1" a="1"/>
  <c r="J1150" i="1" s="1"/>
  <c r="H1150" i="1" a="1"/>
  <c r="H1150" i="1" s="1"/>
  <c r="AS1149" i="1"/>
  <c r="AA1149" i="1" s="1"/>
  <c r="AO1149" i="1"/>
  <c r="AN1149" i="1"/>
  <c r="AM1149" i="1"/>
  <c r="AL1149" i="1"/>
  <c r="AK1149" i="1"/>
  <c r="AJ1149" i="1"/>
  <c r="AI1149" i="1"/>
  <c r="AH1149" i="1"/>
  <c r="AG1149" i="1"/>
  <c r="AF1149" i="1"/>
  <c r="AE1149" i="1"/>
  <c r="AD1149" i="1"/>
  <c r="AC1149" i="1"/>
  <c r="AB1149" i="1"/>
  <c r="Z1149" i="1"/>
  <c r="W1149" i="1"/>
  <c r="Y1149" i="1" s="1"/>
  <c r="V1149" i="1"/>
  <c r="T1149" i="1"/>
  <c r="R1149" i="1"/>
  <c r="Q1149" i="1" a="1"/>
  <c r="Q1149" i="1" s="1"/>
  <c r="P1149" i="1"/>
  <c r="N1149" i="1"/>
  <c r="L1149" i="1"/>
  <c r="K1149" i="1" a="1"/>
  <c r="K1149" i="1" s="1"/>
  <c r="U1149" i="1" s="1"/>
  <c r="J1149" i="1" a="1"/>
  <c r="J1149" i="1" s="1"/>
  <c r="H1149" i="1" a="1"/>
  <c r="H1149" i="1" s="1"/>
  <c r="AS1148" i="1"/>
  <c r="AA1148" i="1" s="1"/>
  <c r="AO1148" i="1"/>
  <c r="AN1148" i="1"/>
  <c r="AM1148" i="1"/>
  <c r="AL1148" i="1"/>
  <c r="AK1148" i="1"/>
  <c r="AJ1148" i="1"/>
  <c r="AI1148" i="1"/>
  <c r="AH1148" i="1"/>
  <c r="AG1148" i="1"/>
  <c r="AF1148" i="1"/>
  <c r="AE1148" i="1"/>
  <c r="AD1148" i="1"/>
  <c r="AC1148" i="1"/>
  <c r="AB1148" i="1"/>
  <c r="Z1148" i="1"/>
  <c r="W1148" i="1"/>
  <c r="Y1148" i="1" s="1"/>
  <c r="V1148" i="1"/>
  <c r="T1148" i="1"/>
  <c r="R1148" i="1"/>
  <c r="Q1148" i="1" a="1"/>
  <c r="Q1148" i="1" s="1"/>
  <c r="P1148" i="1"/>
  <c r="N1148" i="1"/>
  <c r="L1148" i="1"/>
  <c r="K1148" i="1" a="1"/>
  <c r="K1148" i="1" s="1"/>
  <c r="U1148" i="1" s="1"/>
  <c r="J1148" i="1" a="1"/>
  <c r="J1148" i="1" s="1"/>
  <c r="H1148" i="1" a="1"/>
  <c r="H1148" i="1" s="1"/>
  <c r="I1148" i="1" s="1"/>
  <c r="S1148" i="1" s="1"/>
  <c r="AT1147" i="1"/>
  <c r="AB1147" i="1" s="1"/>
  <c r="AS1147" i="1"/>
  <c r="AA1147" i="1" s="1"/>
  <c r="AO1147" i="1"/>
  <c r="AN1147" i="1"/>
  <c r="AM1147" i="1"/>
  <c r="AL1147" i="1"/>
  <c r="AK1147" i="1"/>
  <c r="AJ1147" i="1"/>
  <c r="AI1147" i="1"/>
  <c r="AH1147" i="1"/>
  <c r="AG1147" i="1"/>
  <c r="AF1147" i="1"/>
  <c r="AE1147" i="1"/>
  <c r="AD1147" i="1"/>
  <c r="AC1147" i="1"/>
  <c r="Z1147" i="1"/>
  <c r="X1147" i="1"/>
  <c r="W1147" i="1"/>
  <c r="Y1147" i="1" s="1"/>
  <c r="V1147" i="1"/>
  <c r="T1147" i="1"/>
  <c r="R1147" i="1"/>
  <c r="Q1147" i="1" a="1"/>
  <c r="Q1147" i="1" s="1"/>
  <c r="P1147" i="1"/>
  <c r="N1147" i="1"/>
  <c r="L1147" i="1"/>
  <c r="K1147" i="1" a="1"/>
  <c r="K1147" i="1" s="1"/>
  <c r="U1147" i="1" s="1"/>
  <c r="J1147" i="1" a="1"/>
  <c r="J1147" i="1" s="1"/>
  <c r="H1147" i="1" a="1"/>
  <c r="H1147" i="1" s="1"/>
  <c r="I1147" i="1" s="1"/>
  <c r="S1147" i="1" s="1"/>
  <c r="AS1146" i="1"/>
  <c r="AA1146" i="1" s="1"/>
  <c r="AO1146" i="1"/>
  <c r="AN1146" i="1"/>
  <c r="AM1146" i="1"/>
  <c r="AL1146" i="1"/>
  <c r="AK1146" i="1"/>
  <c r="AJ1146" i="1"/>
  <c r="AI1146" i="1"/>
  <c r="AH1146" i="1"/>
  <c r="AG1146" i="1"/>
  <c r="AF1146" i="1"/>
  <c r="AE1146" i="1"/>
  <c r="AD1146" i="1"/>
  <c r="AC1146" i="1"/>
  <c r="AB1146" i="1"/>
  <c r="Z1146" i="1"/>
  <c r="W1146" i="1"/>
  <c r="X1146" i="1" s="1"/>
  <c r="V1146" i="1"/>
  <c r="T1146" i="1"/>
  <c r="R1146" i="1"/>
  <c r="Q1146" i="1" a="1"/>
  <c r="Q1146" i="1" s="1"/>
  <c r="P1146" i="1"/>
  <c r="N1146" i="1"/>
  <c r="L1146" i="1"/>
  <c r="K1146" i="1" a="1"/>
  <c r="K1146" i="1" s="1"/>
  <c r="U1146" i="1" s="1"/>
  <c r="J1146" i="1" a="1"/>
  <c r="J1146" i="1" s="1"/>
  <c r="H1146" i="1" a="1"/>
  <c r="H1146" i="1" s="1"/>
  <c r="I1146" i="1" s="1"/>
  <c r="S1146" i="1" s="1"/>
  <c r="AS1145" i="1"/>
  <c r="AA1145" i="1" s="1"/>
  <c r="AO1145" i="1"/>
  <c r="AN1145" i="1"/>
  <c r="AM1145" i="1"/>
  <c r="AL1145" i="1"/>
  <c r="AK1145" i="1"/>
  <c r="AJ1145" i="1"/>
  <c r="AI1145" i="1"/>
  <c r="AH1145" i="1"/>
  <c r="AG1145" i="1"/>
  <c r="AF1145" i="1"/>
  <c r="AE1145" i="1"/>
  <c r="AD1145" i="1"/>
  <c r="AC1145" i="1"/>
  <c r="AB1145" i="1"/>
  <c r="Z1145" i="1"/>
  <c r="Y1145" i="1"/>
  <c r="X1145" i="1"/>
  <c r="W1145" i="1"/>
  <c r="V1145" i="1"/>
  <c r="T1145" i="1"/>
  <c r="R1145" i="1"/>
  <c r="Q1145" i="1" a="1"/>
  <c r="Q1145" i="1" s="1"/>
  <c r="P1145" i="1"/>
  <c r="N1145" i="1"/>
  <c r="L1145" i="1"/>
  <c r="K1145" i="1" a="1"/>
  <c r="K1145" i="1" s="1"/>
  <c r="U1145" i="1" s="1"/>
  <c r="J1145" i="1" a="1"/>
  <c r="J1145" i="1" s="1"/>
  <c r="H1145" i="1" a="1"/>
  <c r="H1145" i="1" s="1"/>
  <c r="AV1144" i="1"/>
  <c r="AD1144" i="1" s="1"/>
  <c r="AU1144" i="1"/>
  <c r="AC1144" i="1" s="1"/>
  <c r="AT1144" i="1"/>
  <c r="AB1144" i="1" s="1"/>
  <c r="AS1144" i="1"/>
  <c r="AA1144" i="1" s="1"/>
  <c r="AO1144" i="1"/>
  <c r="AN1144" i="1"/>
  <c r="AM1144" i="1"/>
  <c r="AL1144" i="1"/>
  <c r="AK1144" i="1"/>
  <c r="AJ1144" i="1"/>
  <c r="AI1144" i="1"/>
  <c r="AH1144" i="1"/>
  <c r="AG1144" i="1"/>
  <c r="AF1144" i="1"/>
  <c r="AE1144" i="1"/>
  <c r="Z1144" i="1"/>
  <c r="W1144" i="1"/>
  <c r="Y1144" i="1" s="1"/>
  <c r="V1144" i="1"/>
  <c r="T1144" i="1"/>
  <c r="R1144" i="1"/>
  <c r="Q1144" i="1" a="1"/>
  <c r="Q1144" i="1" s="1"/>
  <c r="P1144" i="1"/>
  <c r="N1144" i="1"/>
  <c r="L1144" i="1"/>
  <c r="K1144" i="1" a="1"/>
  <c r="K1144" i="1" s="1"/>
  <c r="U1144" i="1" s="1"/>
  <c r="J1144" i="1" a="1"/>
  <c r="J1144" i="1" s="1"/>
  <c r="H1144" i="1" a="1"/>
  <c r="H1144" i="1" s="1"/>
  <c r="I1144" i="1" s="1"/>
  <c r="S1144" i="1" s="1"/>
  <c r="AS1143" i="1"/>
  <c r="AA1143" i="1" s="1"/>
  <c r="AO1143" i="1"/>
  <c r="AN1143" i="1"/>
  <c r="AM1143" i="1"/>
  <c r="AL1143" i="1"/>
  <c r="AK1143" i="1"/>
  <c r="AJ1143" i="1"/>
  <c r="AI1143" i="1"/>
  <c r="AH1143" i="1"/>
  <c r="AG1143" i="1"/>
  <c r="AF1143" i="1"/>
  <c r="AE1143" i="1"/>
  <c r="AD1143" i="1"/>
  <c r="AC1143" i="1"/>
  <c r="AB1143" i="1"/>
  <c r="Z1143" i="1"/>
  <c r="W1143" i="1"/>
  <c r="X1143" i="1" s="1"/>
  <c r="V1143" i="1"/>
  <c r="T1143" i="1"/>
  <c r="R1143" i="1"/>
  <c r="Q1143" i="1" a="1"/>
  <c r="Q1143" i="1" s="1"/>
  <c r="P1143" i="1"/>
  <c r="N1143" i="1"/>
  <c r="L1143" i="1"/>
  <c r="K1143" i="1" a="1"/>
  <c r="K1143" i="1" s="1"/>
  <c r="U1143" i="1" s="1"/>
  <c r="J1143" i="1" a="1"/>
  <c r="J1143" i="1" s="1"/>
  <c r="H1143" i="1" a="1"/>
  <c r="H1143" i="1" s="1"/>
  <c r="I1143" i="1" s="1"/>
  <c r="S1143" i="1" s="1"/>
  <c r="AS1142" i="1"/>
  <c r="AA1142" i="1" s="1"/>
  <c r="AO1142" i="1"/>
  <c r="AN1142" i="1"/>
  <c r="AM1142" i="1"/>
  <c r="AL1142" i="1"/>
  <c r="AK1142" i="1"/>
  <c r="AJ1142" i="1"/>
  <c r="AI1142" i="1"/>
  <c r="AH1142" i="1"/>
  <c r="AG1142" i="1"/>
  <c r="AF1142" i="1"/>
  <c r="AE1142" i="1"/>
  <c r="AD1142" i="1"/>
  <c r="AC1142" i="1"/>
  <c r="AB1142" i="1"/>
  <c r="Z1142" i="1"/>
  <c r="W1142" i="1"/>
  <c r="Y1142" i="1" s="1"/>
  <c r="V1142" i="1"/>
  <c r="T1142" i="1"/>
  <c r="R1142" i="1"/>
  <c r="Q1142" i="1" a="1"/>
  <c r="Q1142" i="1" s="1"/>
  <c r="P1142" i="1"/>
  <c r="N1142" i="1"/>
  <c r="L1142" i="1"/>
  <c r="K1142" i="1" a="1"/>
  <c r="K1142" i="1" s="1"/>
  <c r="U1142" i="1" s="1"/>
  <c r="J1142" i="1" a="1"/>
  <c r="J1142" i="1" s="1"/>
  <c r="H1142" i="1" a="1"/>
  <c r="H1142" i="1" s="1"/>
  <c r="I1142" i="1" s="1"/>
  <c r="S1142" i="1" s="1"/>
  <c r="AS1141" i="1"/>
  <c r="AA1141" i="1" s="1"/>
  <c r="AO1141" i="1"/>
  <c r="AN1141" i="1"/>
  <c r="AM1141" i="1"/>
  <c r="AL1141" i="1"/>
  <c r="AK1141" i="1"/>
  <c r="AJ1141" i="1"/>
  <c r="AI1141" i="1"/>
  <c r="AH1141" i="1"/>
  <c r="AG1141" i="1"/>
  <c r="AF1141" i="1"/>
  <c r="AE1141" i="1"/>
  <c r="AD1141" i="1"/>
  <c r="AC1141" i="1"/>
  <c r="AB1141" i="1"/>
  <c r="Z1141" i="1"/>
  <c r="W1141" i="1"/>
  <c r="Y1141" i="1" s="1"/>
  <c r="V1141" i="1"/>
  <c r="T1141" i="1"/>
  <c r="R1141" i="1"/>
  <c r="Q1141" i="1" a="1"/>
  <c r="Q1141" i="1" s="1"/>
  <c r="P1141" i="1"/>
  <c r="N1141" i="1"/>
  <c r="L1141" i="1"/>
  <c r="K1141" i="1" a="1"/>
  <c r="K1141" i="1" s="1"/>
  <c r="U1141" i="1" s="1"/>
  <c r="J1141" i="1" a="1"/>
  <c r="J1141" i="1" s="1"/>
  <c r="H1141" i="1" a="1"/>
  <c r="H1141" i="1" s="1"/>
  <c r="I1141" i="1" s="1"/>
  <c r="S1141" i="1" s="1"/>
  <c r="AS1140" i="1"/>
  <c r="AA1140" i="1" s="1"/>
  <c r="AO1140" i="1"/>
  <c r="AN1140" i="1"/>
  <c r="AM1140" i="1"/>
  <c r="AL1140" i="1"/>
  <c r="AK1140" i="1"/>
  <c r="AJ1140" i="1"/>
  <c r="AI1140" i="1"/>
  <c r="AH1140" i="1"/>
  <c r="AG1140" i="1"/>
  <c r="AF1140" i="1"/>
  <c r="AE1140" i="1"/>
  <c r="AD1140" i="1"/>
  <c r="AC1140" i="1"/>
  <c r="AB1140" i="1"/>
  <c r="Z1140" i="1"/>
  <c r="W1140" i="1"/>
  <c r="Y1140" i="1" s="1"/>
  <c r="V1140" i="1"/>
  <c r="T1140" i="1"/>
  <c r="R1140" i="1"/>
  <c r="Q1140" i="1" a="1"/>
  <c r="Q1140" i="1" s="1"/>
  <c r="P1140" i="1"/>
  <c r="N1140" i="1"/>
  <c r="L1140" i="1"/>
  <c r="K1140" i="1" a="1"/>
  <c r="K1140" i="1" s="1"/>
  <c r="U1140" i="1" s="1"/>
  <c r="J1140" i="1" a="1"/>
  <c r="J1140" i="1" s="1"/>
  <c r="H1140" i="1" a="1"/>
  <c r="H1140" i="1" s="1"/>
  <c r="I1140" i="1" s="1"/>
  <c r="S1140" i="1" s="1"/>
  <c r="AS1139" i="1"/>
  <c r="AA1139" i="1" s="1"/>
  <c r="AO1139" i="1"/>
  <c r="AN1139" i="1"/>
  <c r="AM1139" i="1"/>
  <c r="AL1139" i="1"/>
  <c r="AK1139" i="1"/>
  <c r="AJ1139" i="1"/>
  <c r="AI1139" i="1"/>
  <c r="AH1139" i="1"/>
  <c r="AG1139" i="1"/>
  <c r="AF1139" i="1"/>
  <c r="AE1139" i="1"/>
  <c r="AD1139" i="1"/>
  <c r="AC1139" i="1"/>
  <c r="AB1139" i="1"/>
  <c r="Z1139" i="1"/>
  <c r="W1139" i="1"/>
  <c r="X1139" i="1" s="1"/>
  <c r="V1139" i="1"/>
  <c r="T1139" i="1"/>
  <c r="R1139" i="1"/>
  <c r="Q1139" i="1" a="1"/>
  <c r="Q1139" i="1" s="1"/>
  <c r="P1139" i="1"/>
  <c r="N1139" i="1"/>
  <c r="L1139" i="1"/>
  <c r="K1139" i="1" a="1"/>
  <c r="K1139" i="1" s="1"/>
  <c r="U1139" i="1" s="1"/>
  <c r="J1139" i="1" a="1"/>
  <c r="J1139" i="1" s="1"/>
  <c r="H1139" i="1" a="1"/>
  <c r="H1139" i="1" s="1"/>
  <c r="I1139" i="1" s="1"/>
  <c r="S1139" i="1" s="1"/>
  <c r="AS1138" i="1"/>
  <c r="AA1138" i="1" s="1"/>
  <c r="AO1138" i="1"/>
  <c r="AN1138" i="1"/>
  <c r="AM1138" i="1"/>
  <c r="AL1138" i="1"/>
  <c r="AK1138" i="1"/>
  <c r="AJ1138" i="1"/>
  <c r="AI1138" i="1"/>
  <c r="AH1138" i="1"/>
  <c r="AG1138" i="1"/>
  <c r="AF1138" i="1"/>
  <c r="AE1138" i="1"/>
  <c r="AD1138" i="1"/>
  <c r="AC1138" i="1"/>
  <c r="AB1138" i="1"/>
  <c r="Z1138" i="1"/>
  <c r="W1138" i="1"/>
  <c r="V1138" i="1"/>
  <c r="T1138" i="1"/>
  <c r="R1138" i="1"/>
  <c r="Q1138" i="1" a="1"/>
  <c r="Q1138" i="1" s="1"/>
  <c r="P1138" i="1"/>
  <c r="N1138" i="1"/>
  <c r="L1138" i="1"/>
  <c r="K1138" i="1" a="1"/>
  <c r="K1138" i="1" s="1"/>
  <c r="U1138" i="1" s="1"/>
  <c r="J1138" i="1" a="1"/>
  <c r="J1138" i="1" s="1"/>
  <c r="H1138" i="1" a="1"/>
  <c r="H1138" i="1" s="1"/>
  <c r="I1138" i="1" s="1"/>
  <c r="S1138" i="1" s="1"/>
  <c r="AV1137" i="1"/>
  <c r="AD1137" i="1" s="1"/>
  <c r="AU1137" i="1"/>
  <c r="AC1137" i="1" s="1"/>
  <c r="AT1137" i="1"/>
  <c r="AB1137" i="1" s="1"/>
  <c r="AS1137" i="1"/>
  <c r="AA1137" i="1" s="1"/>
  <c r="AO1137" i="1"/>
  <c r="AN1137" i="1"/>
  <c r="AM1137" i="1"/>
  <c r="AL1137" i="1"/>
  <c r="AK1137" i="1"/>
  <c r="AJ1137" i="1"/>
  <c r="AI1137" i="1"/>
  <c r="AH1137" i="1"/>
  <c r="AG1137" i="1"/>
  <c r="AF1137" i="1"/>
  <c r="AE1137" i="1"/>
  <c r="Z1137" i="1"/>
  <c r="W1137" i="1"/>
  <c r="V1137" i="1"/>
  <c r="T1137" i="1"/>
  <c r="R1137" i="1"/>
  <c r="Q1137" i="1" a="1"/>
  <c r="Q1137" i="1" s="1"/>
  <c r="P1137" i="1"/>
  <c r="N1137" i="1"/>
  <c r="L1137" i="1"/>
  <c r="K1137" i="1" a="1"/>
  <c r="K1137" i="1" s="1"/>
  <c r="U1137" i="1" s="1"/>
  <c r="J1137" i="1" a="1"/>
  <c r="J1137" i="1" s="1"/>
  <c r="H1137" i="1" a="1"/>
  <c r="H1137" i="1" s="1"/>
  <c r="I1137" i="1" s="1"/>
  <c r="S1137" i="1" s="1"/>
  <c r="AS1136" i="1"/>
  <c r="AA1136" i="1" s="1"/>
  <c r="AO1136" i="1"/>
  <c r="AN1136" i="1"/>
  <c r="AM1136" i="1"/>
  <c r="AL1136" i="1"/>
  <c r="AK1136" i="1"/>
  <c r="AJ1136" i="1"/>
  <c r="AI1136" i="1"/>
  <c r="AH1136" i="1"/>
  <c r="AG1136" i="1"/>
  <c r="AF1136" i="1"/>
  <c r="AE1136" i="1"/>
  <c r="AD1136" i="1"/>
  <c r="AC1136" i="1"/>
  <c r="AB1136" i="1"/>
  <c r="Z1136" i="1"/>
  <c r="W1136" i="1"/>
  <c r="X1136" i="1" s="1"/>
  <c r="V1136" i="1"/>
  <c r="T1136" i="1"/>
  <c r="R1136" i="1"/>
  <c r="Q1136" i="1" a="1"/>
  <c r="Q1136" i="1" s="1"/>
  <c r="P1136" i="1"/>
  <c r="N1136" i="1"/>
  <c r="L1136" i="1"/>
  <c r="K1136" i="1" a="1"/>
  <c r="K1136" i="1" s="1"/>
  <c r="U1136" i="1" s="1"/>
  <c r="J1136" i="1" a="1"/>
  <c r="J1136" i="1" s="1"/>
  <c r="H1136" i="1" a="1"/>
  <c r="H1136" i="1" s="1"/>
  <c r="I1136" i="1" s="1"/>
  <c r="S1136" i="1" s="1"/>
  <c r="AX1135" i="1"/>
  <c r="AF1135" i="1" s="1"/>
  <c r="AW1135" i="1"/>
  <c r="AE1135" i="1" s="1"/>
  <c r="AV1135" i="1"/>
  <c r="AD1135" i="1" s="1"/>
  <c r="AU1135" i="1"/>
  <c r="AC1135" i="1" s="1"/>
  <c r="AT1135" i="1"/>
  <c r="AB1135" i="1" s="1"/>
  <c r="AS1135" i="1"/>
  <c r="AA1135" i="1" s="1"/>
  <c r="AO1135" i="1"/>
  <c r="AN1135" i="1"/>
  <c r="AM1135" i="1"/>
  <c r="AL1135" i="1"/>
  <c r="AK1135" i="1"/>
  <c r="AJ1135" i="1"/>
  <c r="AI1135" i="1"/>
  <c r="AH1135" i="1"/>
  <c r="AG1135" i="1"/>
  <c r="Z1135" i="1"/>
  <c r="W1135" i="1"/>
  <c r="X1135" i="1" s="1"/>
  <c r="V1135" i="1"/>
  <c r="T1135" i="1"/>
  <c r="R1135" i="1"/>
  <c r="Q1135" i="1" a="1"/>
  <c r="Q1135" i="1" s="1"/>
  <c r="P1135" i="1"/>
  <c r="N1135" i="1"/>
  <c r="L1135" i="1"/>
  <c r="K1135" i="1" a="1"/>
  <c r="K1135" i="1" s="1"/>
  <c r="U1135" i="1" s="1"/>
  <c r="J1135" i="1" a="1"/>
  <c r="J1135" i="1" s="1"/>
  <c r="H1135" i="1" a="1"/>
  <c r="H1135" i="1" s="1"/>
  <c r="AS1134" i="1"/>
  <c r="AA1134" i="1" s="1"/>
  <c r="AO1134" i="1"/>
  <c r="AN1134" i="1"/>
  <c r="AM1134" i="1"/>
  <c r="AL1134" i="1"/>
  <c r="AK1134" i="1"/>
  <c r="AJ1134" i="1"/>
  <c r="AI1134" i="1"/>
  <c r="AH1134" i="1"/>
  <c r="AG1134" i="1"/>
  <c r="AF1134" i="1"/>
  <c r="AE1134" i="1"/>
  <c r="AD1134" i="1"/>
  <c r="AC1134" i="1"/>
  <c r="AB1134" i="1"/>
  <c r="Z1134" i="1"/>
  <c r="W1134" i="1"/>
  <c r="Y1134" i="1" s="1"/>
  <c r="V1134" i="1"/>
  <c r="T1134" i="1"/>
  <c r="R1134" i="1"/>
  <c r="Q1134" i="1" a="1"/>
  <c r="Q1134" i="1" s="1"/>
  <c r="P1134" i="1"/>
  <c r="N1134" i="1"/>
  <c r="L1134" i="1"/>
  <c r="K1134" i="1" a="1"/>
  <c r="K1134" i="1" s="1"/>
  <c r="U1134" i="1" s="1"/>
  <c r="J1134" i="1" a="1"/>
  <c r="J1134" i="1" s="1"/>
  <c r="H1134" i="1" a="1"/>
  <c r="H1134" i="1" s="1"/>
  <c r="I1134" i="1" s="1"/>
  <c r="S1134" i="1" s="1"/>
  <c r="AS1133" i="1"/>
  <c r="AA1133" i="1" s="1"/>
  <c r="AO1133" i="1"/>
  <c r="AN1133" i="1"/>
  <c r="AM1133" i="1"/>
  <c r="AL1133" i="1"/>
  <c r="AK1133" i="1"/>
  <c r="AJ1133" i="1"/>
  <c r="AI1133" i="1"/>
  <c r="AH1133" i="1"/>
  <c r="AG1133" i="1"/>
  <c r="AF1133" i="1"/>
  <c r="AE1133" i="1"/>
  <c r="AD1133" i="1"/>
  <c r="AC1133" i="1"/>
  <c r="AB1133" i="1"/>
  <c r="Z1133" i="1"/>
  <c r="W1133" i="1"/>
  <c r="Y1133" i="1" s="1"/>
  <c r="V1133" i="1"/>
  <c r="T1133" i="1"/>
  <c r="R1133" i="1"/>
  <c r="Q1133" i="1" a="1"/>
  <c r="Q1133" i="1" s="1"/>
  <c r="P1133" i="1"/>
  <c r="N1133" i="1"/>
  <c r="L1133" i="1"/>
  <c r="K1133" i="1" a="1"/>
  <c r="K1133" i="1" s="1"/>
  <c r="U1133" i="1" s="1"/>
  <c r="J1133" i="1" a="1"/>
  <c r="J1133" i="1" s="1"/>
  <c r="H1133" i="1" a="1"/>
  <c r="H1133" i="1" s="1"/>
  <c r="I1133" i="1" s="1"/>
  <c r="S1133" i="1" s="1"/>
  <c r="AS1132" i="1"/>
  <c r="AA1132" i="1" s="1"/>
  <c r="AO1132" i="1"/>
  <c r="AN1132" i="1"/>
  <c r="AM1132" i="1"/>
  <c r="AL1132" i="1"/>
  <c r="AK1132" i="1"/>
  <c r="AJ1132" i="1"/>
  <c r="AI1132" i="1"/>
  <c r="AH1132" i="1"/>
  <c r="AG1132" i="1"/>
  <c r="AF1132" i="1"/>
  <c r="AE1132" i="1"/>
  <c r="AD1132" i="1"/>
  <c r="AC1132" i="1"/>
  <c r="AB1132" i="1"/>
  <c r="Z1132" i="1"/>
  <c r="W1132" i="1"/>
  <c r="V1132" i="1"/>
  <c r="T1132" i="1"/>
  <c r="R1132" i="1"/>
  <c r="Q1132" i="1" a="1"/>
  <c r="Q1132" i="1" s="1"/>
  <c r="P1132" i="1"/>
  <c r="N1132" i="1"/>
  <c r="L1132" i="1"/>
  <c r="K1132" i="1" a="1"/>
  <c r="K1132" i="1" s="1"/>
  <c r="U1132" i="1" s="1"/>
  <c r="J1132" i="1" a="1"/>
  <c r="J1132" i="1" s="1"/>
  <c r="H1132" i="1" a="1"/>
  <c r="H1132" i="1" s="1"/>
  <c r="AS1131" i="1"/>
  <c r="AA1131" i="1" s="1"/>
  <c r="AO1131" i="1"/>
  <c r="AN1131" i="1"/>
  <c r="AM1131" i="1"/>
  <c r="AL1131" i="1"/>
  <c r="AK1131" i="1"/>
  <c r="AJ1131" i="1"/>
  <c r="AI1131" i="1"/>
  <c r="AH1131" i="1"/>
  <c r="AG1131" i="1"/>
  <c r="AF1131" i="1"/>
  <c r="AE1131" i="1"/>
  <c r="AD1131" i="1"/>
  <c r="AC1131" i="1"/>
  <c r="AB1131" i="1"/>
  <c r="Z1131" i="1"/>
  <c r="W1131" i="1"/>
  <c r="X1131" i="1" s="1"/>
  <c r="V1131" i="1"/>
  <c r="T1131" i="1"/>
  <c r="R1131" i="1"/>
  <c r="Q1131" i="1" a="1"/>
  <c r="Q1131" i="1" s="1"/>
  <c r="P1131" i="1"/>
  <c r="N1131" i="1"/>
  <c r="L1131" i="1"/>
  <c r="K1131" i="1" a="1"/>
  <c r="K1131" i="1" s="1"/>
  <c r="U1131" i="1" s="1"/>
  <c r="J1131" i="1" a="1"/>
  <c r="J1131" i="1" s="1"/>
  <c r="H1131" i="1" a="1"/>
  <c r="H1131" i="1" s="1"/>
  <c r="AS1130" i="1"/>
  <c r="AA1130" i="1" s="1"/>
  <c r="AO1130" i="1"/>
  <c r="AN1130" i="1"/>
  <c r="AM1130" i="1"/>
  <c r="AL1130" i="1"/>
  <c r="AK1130" i="1"/>
  <c r="AJ1130" i="1"/>
  <c r="AI1130" i="1"/>
  <c r="AH1130" i="1"/>
  <c r="AG1130" i="1"/>
  <c r="AF1130" i="1"/>
  <c r="AE1130" i="1"/>
  <c r="AD1130" i="1"/>
  <c r="AC1130" i="1"/>
  <c r="AB1130" i="1"/>
  <c r="Z1130" i="1"/>
  <c r="X1130" i="1"/>
  <c r="W1130" i="1"/>
  <c r="Y1130" i="1" s="1"/>
  <c r="V1130" i="1"/>
  <c r="T1130" i="1"/>
  <c r="R1130" i="1"/>
  <c r="Q1130" i="1" a="1"/>
  <c r="Q1130" i="1" s="1"/>
  <c r="P1130" i="1"/>
  <c r="N1130" i="1"/>
  <c r="L1130" i="1"/>
  <c r="K1130" i="1" a="1"/>
  <c r="K1130" i="1" s="1"/>
  <c r="U1130" i="1" s="1"/>
  <c r="J1130" i="1" a="1"/>
  <c r="J1130" i="1" s="1"/>
  <c r="H1130" i="1" a="1"/>
  <c r="H1130" i="1" s="1"/>
  <c r="AS1129" i="1"/>
  <c r="AA1129" i="1" s="1"/>
  <c r="AO1129" i="1"/>
  <c r="AN1129" i="1"/>
  <c r="AM1129" i="1"/>
  <c r="AL1129" i="1"/>
  <c r="AK1129" i="1"/>
  <c r="AJ1129" i="1"/>
  <c r="AI1129" i="1"/>
  <c r="AH1129" i="1"/>
  <c r="AG1129" i="1"/>
  <c r="AF1129" i="1"/>
  <c r="AE1129" i="1"/>
  <c r="AD1129" i="1"/>
  <c r="AC1129" i="1"/>
  <c r="AB1129" i="1"/>
  <c r="Z1129" i="1"/>
  <c r="W1129" i="1"/>
  <c r="V1129" i="1"/>
  <c r="T1129" i="1"/>
  <c r="R1129" i="1"/>
  <c r="Q1129" i="1" a="1"/>
  <c r="Q1129" i="1" s="1"/>
  <c r="P1129" i="1"/>
  <c r="N1129" i="1"/>
  <c r="L1129" i="1"/>
  <c r="K1129" i="1" a="1"/>
  <c r="K1129" i="1" s="1"/>
  <c r="U1129" i="1" s="1"/>
  <c r="J1129" i="1" a="1"/>
  <c r="J1129" i="1" s="1"/>
  <c r="H1129" i="1" a="1"/>
  <c r="H1129" i="1" s="1"/>
  <c r="I1129" i="1" s="1"/>
  <c r="S1129" i="1" s="1"/>
  <c r="AS1128" i="1"/>
  <c r="AA1128" i="1" s="1"/>
  <c r="AO1128" i="1"/>
  <c r="AN1128" i="1"/>
  <c r="AM1128" i="1"/>
  <c r="AL1128" i="1"/>
  <c r="AK1128" i="1"/>
  <c r="AJ1128" i="1"/>
  <c r="AI1128" i="1"/>
  <c r="AH1128" i="1"/>
  <c r="AG1128" i="1"/>
  <c r="AF1128" i="1"/>
  <c r="AE1128" i="1"/>
  <c r="AD1128" i="1"/>
  <c r="AC1128" i="1"/>
  <c r="AB1128" i="1"/>
  <c r="Z1128" i="1"/>
  <c r="W1128" i="1"/>
  <c r="Y1128" i="1" s="1"/>
  <c r="V1128" i="1"/>
  <c r="T1128" i="1"/>
  <c r="R1128" i="1"/>
  <c r="Q1128" i="1" a="1"/>
  <c r="Q1128" i="1" s="1"/>
  <c r="P1128" i="1"/>
  <c r="N1128" i="1"/>
  <c r="L1128" i="1"/>
  <c r="K1128" i="1" a="1"/>
  <c r="K1128" i="1" s="1"/>
  <c r="U1128" i="1" s="1"/>
  <c r="J1128" i="1" a="1"/>
  <c r="J1128" i="1" s="1"/>
  <c r="H1128" i="1" a="1"/>
  <c r="H1128" i="1" s="1"/>
  <c r="AS1127" i="1"/>
  <c r="AA1127" i="1" s="1"/>
  <c r="AO1127" i="1"/>
  <c r="AN1127" i="1"/>
  <c r="AM1127" i="1"/>
  <c r="AL1127" i="1"/>
  <c r="AK1127" i="1"/>
  <c r="AJ1127" i="1"/>
  <c r="AI1127" i="1"/>
  <c r="AH1127" i="1"/>
  <c r="AG1127" i="1"/>
  <c r="AF1127" i="1"/>
  <c r="AE1127" i="1"/>
  <c r="AD1127" i="1"/>
  <c r="AC1127" i="1"/>
  <c r="AB1127" i="1"/>
  <c r="Z1127" i="1"/>
  <c r="W1127" i="1"/>
  <c r="X1127" i="1" s="1"/>
  <c r="V1127" i="1"/>
  <c r="T1127" i="1"/>
  <c r="R1127" i="1"/>
  <c r="Q1127" i="1" a="1"/>
  <c r="Q1127" i="1" s="1"/>
  <c r="P1127" i="1"/>
  <c r="N1127" i="1"/>
  <c r="L1127" i="1"/>
  <c r="K1127" i="1" a="1"/>
  <c r="K1127" i="1" s="1"/>
  <c r="U1127" i="1" s="1"/>
  <c r="J1127" i="1" a="1"/>
  <c r="J1127" i="1" s="1"/>
  <c r="H1127" i="1" a="1"/>
  <c r="H1127" i="1" s="1"/>
  <c r="AS1126" i="1"/>
  <c r="AA1126" i="1" s="1"/>
  <c r="AO1126" i="1"/>
  <c r="AN1126" i="1"/>
  <c r="AM1126" i="1"/>
  <c r="AL1126" i="1"/>
  <c r="AK1126" i="1"/>
  <c r="AJ1126" i="1"/>
  <c r="AI1126" i="1"/>
  <c r="AH1126" i="1"/>
  <c r="AG1126" i="1"/>
  <c r="AF1126" i="1"/>
  <c r="AE1126" i="1"/>
  <c r="AD1126" i="1"/>
  <c r="AC1126" i="1"/>
  <c r="AB1126" i="1"/>
  <c r="Z1126" i="1"/>
  <c r="W1126" i="1"/>
  <c r="Y1126" i="1" s="1"/>
  <c r="V1126" i="1"/>
  <c r="T1126" i="1"/>
  <c r="R1126" i="1"/>
  <c r="Q1126" i="1" a="1"/>
  <c r="Q1126" i="1" s="1"/>
  <c r="P1126" i="1"/>
  <c r="N1126" i="1"/>
  <c r="L1126" i="1"/>
  <c r="K1126" i="1" a="1"/>
  <c r="K1126" i="1" s="1"/>
  <c r="U1126" i="1" s="1"/>
  <c r="J1126" i="1" a="1"/>
  <c r="J1126" i="1" s="1"/>
  <c r="H1126" i="1" a="1"/>
  <c r="H1126" i="1" s="1"/>
  <c r="AS1125" i="1"/>
  <c r="AA1125" i="1" s="1"/>
  <c r="AO1125" i="1"/>
  <c r="AN1125" i="1"/>
  <c r="AM1125" i="1"/>
  <c r="AL1125" i="1"/>
  <c r="AK1125" i="1"/>
  <c r="AJ1125" i="1"/>
  <c r="AI1125" i="1"/>
  <c r="AH1125" i="1"/>
  <c r="AG1125" i="1"/>
  <c r="AF1125" i="1"/>
  <c r="AE1125" i="1"/>
  <c r="AD1125" i="1"/>
  <c r="AC1125" i="1"/>
  <c r="AB1125" i="1"/>
  <c r="Z1125" i="1"/>
  <c r="W1125" i="1"/>
  <c r="Y1125" i="1" s="1"/>
  <c r="V1125" i="1"/>
  <c r="T1125" i="1"/>
  <c r="R1125" i="1"/>
  <c r="Q1125" i="1" a="1"/>
  <c r="Q1125" i="1" s="1"/>
  <c r="P1125" i="1"/>
  <c r="N1125" i="1"/>
  <c r="L1125" i="1"/>
  <c r="K1125" i="1" a="1"/>
  <c r="K1125" i="1" s="1"/>
  <c r="U1125" i="1" s="1"/>
  <c r="J1125" i="1" a="1"/>
  <c r="J1125" i="1" s="1"/>
  <c r="H1125" i="1" a="1"/>
  <c r="H1125" i="1" s="1"/>
  <c r="I1125" i="1" s="1"/>
  <c r="S1125" i="1" s="1"/>
  <c r="AW1124" i="1"/>
  <c r="AE1124" i="1" s="1"/>
  <c r="AV1124" i="1"/>
  <c r="AD1124" i="1" s="1"/>
  <c r="AU1124" i="1"/>
  <c r="AC1124" i="1" s="1"/>
  <c r="AT1124" i="1"/>
  <c r="AB1124" i="1" s="1"/>
  <c r="AS1124" i="1"/>
  <c r="AA1124" i="1" s="1"/>
  <c r="AO1124" i="1"/>
  <c r="AN1124" i="1"/>
  <c r="AM1124" i="1"/>
  <c r="AL1124" i="1"/>
  <c r="AK1124" i="1"/>
  <c r="AJ1124" i="1"/>
  <c r="AI1124" i="1"/>
  <c r="AH1124" i="1"/>
  <c r="AG1124" i="1"/>
  <c r="AF1124" i="1"/>
  <c r="Z1124" i="1"/>
  <c r="W1124" i="1"/>
  <c r="Y1124" i="1" s="1"/>
  <c r="V1124" i="1"/>
  <c r="T1124" i="1"/>
  <c r="R1124" i="1"/>
  <c r="Q1124" i="1" a="1"/>
  <c r="Q1124" i="1" s="1"/>
  <c r="P1124" i="1"/>
  <c r="N1124" i="1"/>
  <c r="L1124" i="1"/>
  <c r="K1124" i="1" a="1"/>
  <c r="K1124" i="1" s="1"/>
  <c r="U1124" i="1" s="1"/>
  <c r="J1124" i="1" a="1"/>
  <c r="J1124" i="1" s="1"/>
  <c r="H1124" i="1" a="1"/>
  <c r="H1124" i="1" s="1"/>
  <c r="I1124" i="1" s="1"/>
  <c r="S1124" i="1" s="1"/>
  <c r="AW1123" i="1"/>
  <c r="AE1123" i="1" s="1"/>
  <c r="AV1123" i="1"/>
  <c r="AD1123" i="1" s="1"/>
  <c r="AU1123" i="1"/>
  <c r="AC1123" i="1" s="1"/>
  <c r="AT1123" i="1"/>
  <c r="AB1123" i="1" s="1"/>
  <c r="AS1123" i="1"/>
  <c r="AA1123" i="1" s="1"/>
  <c r="AO1123" i="1"/>
  <c r="AN1123" i="1"/>
  <c r="AM1123" i="1"/>
  <c r="AL1123" i="1"/>
  <c r="AK1123" i="1"/>
  <c r="AJ1123" i="1"/>
  <c r="AI1123" i="1"/>
  <c r="AH1123" i="1"/>
  <c r="AG1123" i="1"/>
  <c r="AF1123" i="1"/>
  <c r="Z1123" i="1"/>
  <c r="W1123" i="1"/>
  <c r="Y1123" i="1" s="1"/>
  <c r="V1123" i="1"/>
  <c r="T1123" i="1"/>
  <c r="R1123" i="1"/>
  <c r="Q1123" i="1" a="1"/>
  <c r="Q1123" i="1" s="1"/>
  <c r="P1123" i="1"/>
  <c r="N1123" i="1"/>
  <c r="L1123" i="1"/>
  <c r="K1123" i="1" a="1"/>
  <c r="K1123" i="1" s="1"/>
  <c r="U1123" i="1" s="1"/>
  <c r="J1123" i="1" a="1"/>
  <c r="J1123" i="1" s="1"/>
  <c r="H1123" i="1" a="1"/>
  <c r="H1123" i="1" s="1"/>
  <c r="I1123" i="1" s="1"/>
  <c r="S1123" i="1" s="1"/>
  <c r="AS1122" i="1"/>
  <c r="AA1122" i="1" s="1"/>
  <c r="AO1122" i="1"/>
  <c r="AN1122" i="1"/>
  <c r="AM1122" i="1"/>
  <c r="AL1122" i="1"/>
  <c r="AK1122" i="1"/>
  <c r="AJ1122" i="1"/>
  <c r="AI1122" i="1"/>
  <c r="AH1122" i="1"/>
  <c r="AG1122" i="1"/>
  <c r="AF1122" i="1"/>
  <c r="AE1122" i="1"/>
  <c r="AD1122" i="1"/>
  <c r="AC1122" i="1"/>
  <c r="AB1122" i="1"/>
  <c r="Z1122" i="1"/>
  <c r="W1122" i="1"/>
  <c r="X1122" i="1" s="1"/>
  <c r="V1122" i="1"/>
  <c r="T1122" i="1"/>
  <c r="R1122" i="1"/>
  <c r="Q1122" i="1" a="1"/>
  <c r="Q1122" i="1" s="1"/>
  <c r="P1122" i="1"/>
  <c r="N1122" i="1"/>
  <c r="L1122" i="1"/>
  <c r="K1122" i="1" a="1"/>
  <c r="K1122" i="1" s="1"/>
  <c r="U1122" i="1" s="1"/>
  <c r="J1122" i="1" a="1"/>
  <c r="J1122" i="1" s="1"/>
  <c r="H1122" i="1" a="1"/>
  <c r="H1122" i="1" s="1"/>
  <c r="AS1121" i="1"/>
  <c r="AA1121" i="1" s="1"/>
  <c r="AO1121" i="1"/>
  <c r="AN1121" i="1"/>
  <c r="AM1121" i="1"/>
  <c r="AL1121" i="1"/>
  <c r="AK1121" i="1"/>
  <c r="AJ1121" i="1"/>
  <c r="AI1121" i="1"/>
  <c r="AH1121" i="1"/>
  <c r="AG1121" i="1"/>
  <c r="AF1121" i="1"/>
  <c r="AE1121" i="1"/>
  <c r="AD1121" i="1"/>
  <c r="AC1121" i="1"/>
  <c r="AB1121" i="1"/>
  <c r="Z1121" i="1"/>
  <c r="W1121" i="1"/>
  <c r="X1121" i="1" s="1"/>
  <c r="V1121" i="1"/>
  <c r="T1121" i="1"/>
  <c r="R1121" i="1"/>
  <c r="Q1121" i="1" a="1"/>
  <c r="Q1121" i="1" s="1"/>
  <c r="P1121" i="1"/>
  <c r="N1121" i="1"/>
  <c r="L1121" i="1"/>
  <c r="K1121" i="1" a="1"/>
  <c r="K1121" i="1" s="1"/>
  <c r="U1121" i="1" s="1"/>
  <c r="J1121" i="1" a="1"/>
  <c r="J1121" i="1" s="1"/>
  <c r="H1121" i="1" a="1"/>
  <c r="H1121" i="1" s="1"/>
  <c r="AS1120" i="1"/>
  <c r="AA1120" i="1" s="1"/>
  <c r="AO1120" i="1"/>
  <c r="AN1120" i="1"/>
  <c r="AM1120" i="1"/>
  <c r="AL1120" i="1"/>
  <c r="AK1120" i="1"/>
  <c r="AJ1120" i="1"/>
  <c r="AI1120" i="1"/>
  <c r="AH1120" i="1"/>
  <c r="AG1120" i="1"/>
  <c r="AF1120" i="1"/>
  <c r="AE1120" i="1"/>
  <c r="AD1120" i="1"/>
  <c r="AC1120" i="1"/>
  <c r="AB1120" i="1"/>
  <c r="Z1120" i="1"/>
  <c r="W1120" i="1"/>
  <c r="V1120" i="1"/>
  <c r="T1120" i="1"/>
  <c r="R1120" i="1"/>
  <c r="Q1120" i="1" a="1"/>
  <c r="Q1120" i="1" s="1"/>
  <c r="P1120" i="1"/>
  <c r="N1120" i="1"/>
  <c r="L1120" i="1"/>
  <c r="K1120" i="1" a="1"/>
  <c r="K1120" i="1" s="1"/>
  <c r="U1120" i="1" s="1"/>
  <c r="J1120" i="1" a="1"/>
  <c r="J1120" i="1" s="1"/>
  <c r="H1120" i="1" a="1"/>
  <c r="H1120" i="1" s="1"/>
  <c r="I1120" i="1" s="1"/>
  <c r="S1120" i="1" s="1"/>
  <c r="AS1119" i="1"/>
  <c r="AA1119" i="1" s="1"/>
  <c r="AO1119" i="1"/>
  <c r="AN1119" i="1"/>
  <c r="AM1119" i="1"/>
  <c r="AL1119" i="1"/>
  <c r="AK1119" i="1"/>
  <c r="AJ1119" i="1"/>
  <c r="AI1119" i="1"/>
  <c r="AH1119" i="1"/>
  <c r="AG1119" i="1"/>
  <c r="AF1119" i="1"/>
  <c r="AE1119" i="1"/>
  <c r="AD1119" i="1"/>
  <c r="AC1119" i="1"/>
  <c r="AB1119" i="1"/>
  <c r="Z1119" i="1"/>
  <c r="W1119" i="1"/>
  <c r="X1119" i="1" s="1"/>
  <c r="V1119" i="1"/>
  <c r="T1119" i="1"/>
  <c r="R1119" i="1"/>
  <c r="Q1119" i="1" a="1"/>
  <c r="Q1119" i="1" s="1"/>
  <c r="P1119" i="1"/>
  <c r="N1119" i="1"/>
  <c r="L1119" i="1"/>
  <c r="K1119" i="1" a="1"/>
  <c r="K1119" i="1" s="1"/>
  <c r="U1119" i="1" s="1"/>
  <c r="J1119" i="1" a="1"/>
  <c r="J1119" i="1" s="1"/>
  <c r="H1119" i="1" a="1"/>
  <c r="H1119" i="1" s="1"/>
  <c r="I1119" i="1" s="1"/>
  <c r="S1119" i="1" s="1"/>
  <c r="AU1118" i="1"/>
  <c r="AC1118" i="1" s="1"/>
  <c r="AT1118" i="1"/>
  <c r="AB1118" i="1" s="1"/>
  <c r="AS1118" i="1"/>
  <c r="AA1118" i="1" s="1"/>
  <c r="AO1118" i="1"/>
  <c r="AN1118" i="1"/>
  <c r="AM1118" i="1"/>
  <c r="AL1118" i="1"/>
  <c r="AK1118" i="1"/>
  <c r="AJ1118" i="1"/>
  <c r="AI1118" i="1"/>
  <c r="AH1118" i="1"/>
  <c r="AG1118" i="1"/>
  <c r="AF1118" i="1"/>
  <c r="AE1118" i="1"/>
  <c r="AD1118" i="1"/>
  <c r="Z1118" i="1"/>
  <c r="W1118" i="1"/>
  <c r="Y1118" i="1" s="1"/>
  <c r="V1118" i="1"/>
  <c r="T1118" i="1"/>
  <c r="R1118" i="1"/>
  <c r="Q1118" i="1" a="1"/>
  <c r="Q1118" i="1" s="1"/>
  <c r="P1118" i="1"/>
  <c r="N1118" i="1"/>
  <c r="L1118" i="1"/>
  <c r="K1118" i="1" a="1"/>
  <c r="K1118" i="1" s="1"/>
  <c r="U1118" i="1" s="1"/>
  <c r="J1118" i="1" a="1"/>
  <c r="J1118" i="1" s="1"/>
  <c r="H1118" i="1" a="1"/>
  <c r="H1118" i="1" s="1"/>
  <c r="I1118" i="1" s="1"/>
  <c r="S1118" i="1" s="1"/>
  <c r="AS1117" i="1"/>
  <c r="AA1117" i="1" s="1"/>
  <c r="AO1117" i="1"/>
  <c r="AN1117" i="1"/>
  <c r="AM1117" i="1"/>
  <c r="AL1117" i="1"/>
  <c r="AK1117" i="1"/>
  <c r="AJ1117" i="1"/>
  <c r="AI1117" i="1"/>
  <c r="AH1117" i="1"/>
  <c r="AG1117" i="1"/>
  <c r="AF1117" i="1"/>
  <c r="AE1117" i="1"/>
  <c r="AD1117" i="1"/>
  <c r="AC1117" i="1"/>
  <c r="AB1117" i="1"/>
  <c r="Z1117" i="1"/>
  <c r="W1117" i="1"/>
  <c r="V1117" i="1"/>
  <c r="T1117" i="1"/>
  <c r="R1117" i="1"/>
  <c r="Q1117" i="1" a="1"/>
  <c r="Q1117" i="1" s="1"/>
  <c r="P1117" i="1"/>
  <c r="N1117" i="1"/>
  <c r="L1117" i="1"/>
  <c r="K1117" i="1" a="1"/>
  <c r="K1117" i="1" s="1"/>
  <c r="U1117" i="1" s="1"/>
  <c r="J1117" i="1" a="1"/>
  <c r="J1117" i="1" s="1"/>
  <c r="H1117" i="1" a="1"/>
  <c r="H1117" i="1" s="1"/>
  <c r="I1117" i="1" s="1"/>
  <c r="S1117" i="1" s="1"/>
  <c r="AS1116" i="1"/>
  <c r="AA1116" i="1" s="1"/>
  <c r="AO1116" i="1"/>
  <c r="AN1116" i="1"/>
  <c r="AM1116" i="1"/>
  <c r="AL1116" i="1"/>
  <c r="AK1116" i="1"/>
  <c r="AJ1116" i="1"/>
  <c r="AI1116" i="1"/>
  <c r="AH1116" i="1"/>
  <c r="AG1116" i="1"/>
  <c r="AF1116" i="1"/>
  <c r="AE1116" i="1"/>
  <c r="AD1116" i="1"/>
  <c r="AC1116" i="1"/>
  <c r="AB1116" i="1"/>
  <c r="Z1116" i="1"/>
  <c r="W1116" i="1"/>
  <c r="Y1116" i="1" s="1"/>
  <c r="V1116" i="1"/>
  <c r="T1116" i="1"/>
  <c r="R1116" i="1"/>
  <c r="Q1116" i="1" a="1"/>
  <c r="Q1116" i="1" s="1"/>
  <c r="P1116" i="1"/>
  <c r="N1116" i="1"/>
  <c r="L1116" i="1"/>
  <c r="K1116" i="1" a="1"/>
  <c r="K1116" i="1" s="1"/>
  <c r="U1116" i="1" s="1"/>
  <c r="J1116" i="1" a="1"/>
  <c r="J1116" i="1" s="1"/>
  <c r="H1116" i="1" a="1"/>
  <c r="H1116" i="1" s="1"/>
  <c r="AS1115" i="1"/>
  <c r="AA1115" i="1" s="1"/>
  <c r="AO1115" i="1"/>
  <c r="AN1115" i="1"/>
  <c r="AM1115" i="1"/>
  <c r="AL1115" i="1"/>
  <c r="AK1115" i="1"/>
  <c r="AJ1115" i="1"/>
  <c r="AI1115" i="1"/>
  <c r="AH1115" i="1"/>
  <c r="AG1115" i="1"/>
  <c r="AF1115" i="1"/>
  <c r="AE1115" i="1"/>
  <c r="AD1115" i="1"/>
  <c r="AC1115" i="1"/>
  <c r="AB1115" i="1"/>
  <c r="Z1115" i="1"/>
  <c r="W1115" i="1"/>
  <c r="X1115" i="1" s="1"/>
  <c r="V1115" i="1"/>
  <c r="T1115" i="1"/>
  <c r="R1115" i="1"/>
  <c r="Q1115" i="1" a="1"/>
  <c r="Q1115" i="1" s="1"/>
  <c r="P1115" i="1"/>
  <c r="N1115" i="1"/>
  <c r="L1115" i="1"/>
  <c r="K1115" i="1" a="1"/>
  <c r="K1115" i="1" s="1"/>
  <c r="U1115" i="1" s="1"/>
  <c r="J1115" i="1" a="1"/>
  <c r="J1115" i="1" s="1"/>
  <c r="H1115" i="1" a="1"/>
  <c r="H1115" i="1" s="1"/>
  <c r="AT1114" i="1"/>
  <c r="AB1114" i="1" s="1"/>
  <c r="AS1114" i="1"/>
  <c r="AA1114" i="1" s="1"/>
  <c r="AO1114" i="1"/>
  <c r="AN1114" i="1"/>
  <c r="AM1114" i="1"/>
  <c r="AL1114" i="1"/>
  <c r="AK1114" i="1"/>
  <c r="AJ1114" i="1"/>
  <c r="AI1114" i="1"/>
  <c r="AH1114" i="1"/>
  <c r="AG1114" i="1"/>
  <c r="AF1114" i="1"/>
  <c r="AE1114" i="1"/>
  <c r="AD1114" i="1"/>
  <c r="AC1114" i="1"/>
  <c r="Z1114" i="1"/>
  <c r="W1114" i="1"/>
  <c r="X1114" i="1" s="1"/>
  <c r="V1114" i="1"/>
  <c r="T1114" i="1"/>
  <c r="R1114" i="1"/>
  <c r="Q1114" i="1" a="1"/>
  <c r="Q1114" i="1" s="1"/>
  <c r="P1114" i="1"/>
  <c r="N1114" i="1"/>
  <c r="L1114" i="1"/>
  <c r="K1114" i="1" a="1"/>
  <c r="K1114" i="1" s="1"/>
  <c r="U1114" i="1" s="1"/>
  <c r="J1114" i="1" a="1"/>
  <c r="J1114" i="1" s="1"/>
  <c r="H1114" i="1" a="1"/>
  <c r="H1114" i="1" s="1"/>
  <c r="AS1113" i="1"/>
  <c r="AA1113" i="1" s="1"/>
  <c r="AO1113" i="1"/>
  <c r="AN1113" i="1"/>
  <c r="AM1113" i="1"/>
  <c r="AL1113" i="1"/>
  <c r="AK1113" i="1"/>
  <c r="AJ1113" i="1"/>
  <c r="AI1113" i="1"/>
  <c r="AH1113" i="1"/>
  <c r="AG1113" i="1"/>
  <c r="AF1113" i="1"/>
  <c r="AE1113" i="1"/>
  <c r="AD1113" i="1"/>
  <c r="AC1113" i="1"/>
  <c r="AB1113" i="1"/>
  <c r="Z1113" i="1"/>
  <c r="W1113" i="1"/>
  <c r="V1113" i="1"/>
  <c r="T1113" i="1"/>
  <c r="R1113" i="1"/>
  <c r="Q1113" i="1" a="1"/>
  <c r="Q1113" i="1" s="1"/>
  <c r="P1113" i="1"/>
  <c r="N1113" i="1"/>
  <c r="L1113" i="1"/>
  <c r="K1113" i="1" a="1"/>
  <c r="K1113" i="1" s="1"/>
  <c r="U1113" i="1" s="1"/>
  <c r="J1113" i="1" a="1"/>
  <c r="J1113" i="1" s="1"/>
  <c r="H1113" i="1" a="1"/>
  <c r="H1113" i="1" s="1"/>
  <c r="I1113" i="1" s="1"/>
  <c r="S1113" i="1" s="1"/>
  <c r="AT1112" i="1"/>
  <c r="AB1112" i="1" s="1"/>
  <c r="AS1112" i="1"/>
  <c r="AA1112" i="1" s="1"/>
  <c r="AO1112" i="1"/>
  <c r="AN1112" i="1"/>
  <c r="AM1112" i="1"/>
  <c r="AL1112" i="1"/>
  <c r="AK1112" i="1"/>
  <c r="AJ1112" i="1"/>
  <c r="AI1112" i="1"/>
  <c r="AH1112" i="1"/>
  <c r="AG1112" i="1"/>
  <c r="AF1112" i="1"/>
  <c r="AE1112" i="1"/>
  <c r="AD1112" i="1"/>
  <c r="AC1112" i="1"/>
  <c r="Z1112" i="1"/>
  <c r="W1112" i="1"/>
  <c r="V1112" i="1"/>
  <c r="T1112" i="1"/>
  <c r="R1112" i="1"/>
  <c r="Q1112" i="1" a="1"/>
  <c r="Q1112" i="1" s="1"/>
  <c r="P1112" i="1"/>
  <c r="N1112" i="1"/>
  <c r="L1112" i="1"/>
  <c r="K1112" i="1" a="1"/>
  <c r="K1112" i="1" s="1"/>
  <c r="U1112" i="1" s="1"/>
  <c r="J1112" i="1" a="1"/>
  <c r="J1112" i="1" s="1"/>
  <c r="H1112" i="1" a="1"/>
  <c r="H1112" i="1" s="1"/>
  <c r="I1112" i="1" s="1"/>
  <c r="S1112" i="1" s="1"/>
  <c r="AS1111" i="1"/>
  <c r="AA1111" i="1" s="1"/>
  <c r="AO1111" i="1"/>
  <c r="AN1111" i="1"/>
  <c r="AM1111" i="1"/>
  <c r="AL1111" i="1"/>
  <c r="AK1111" i="1"/>
  <c r="AJ1111" i="1"/>
  <c r="AI1111" i="1"/>
  <c r="AH1111" i="1"/>
  <c r="AG1111" i="1"/>
  <c r="AF1111" i="1"/>
  <c r="AE1111" i="1"/>
  <c r="AD1111" i="1"/>
  <c r="AC1111" i="1"/>
  <c r="AB1111" i="1"/>
  <c r="Z1111" i="1"/>
  <c r="W1111" i="1"/>
  <c r="X1111" i="1" s="1"/>
  <c r="V1111" i="1"/>
  <c r="T1111" i="1"/>
  <c r="R1111" i="1"/>
  <c r="Q1111" i="1" a="1"/>
  <c r="Q1111" i="1" s="1"/>
  <c r="P1111" i="1"/>
  <c r="N1111" i="1"/>
  <c r="L1111" i="1"/>
  <c r="K1111" i="1" a="1"/>
  <c r="K1111" i="1" s="1"/>
  <c r="U1111" i="1" s="1"/>
  <c r="J1111" i="1" a="1"/>
  <c r="J1111" i="1" s="1"/>
  <c r="H1111" i="1" a="1"/>
  <c r="H1111" i="1" s="1"/>
  <c r="I1111" i="1" s="1"/>
  <c r="S1111" i="1" s="1"/>
  <c r="AS1110" i="1"/>
  <c r="AA1110" i="1" s="1"/>
  <c r="AO1110" i="1"/>
  <c r="AN1110" i="1"/>
  <c r="AM1110" i="1"/>
  <c r="AL1110" i="1"/>
  <c r="AK1110" i="1"/>
  <c r="AJ1110" i="1"/>
  <c r="AI1110" i="1"/>
  <c r="AH1110" i="1"/>
  <c r="AG1110" i="1"/>
  <c r="AF1110" i="1"/>
  <c r="AE1110" i="1"/>
  <c r="AD1110" i="1"/>
  <c r="AC1110" i="1"/>
  <c r="AB1110" i="1"/>
  <c r="Z1110" i="1"/>
  <c r="X1110" i="1"/>
  <c r="W1110" i="1"/>
  <c r="Y1110" i="1" s="1"/>
  <c r="V1110" i="1"/>
  <c r="T1110" i="1"/>
  <c r="R1110" i="1"/>
  <c r="Q1110" i="1" a="1"/>
  <c r="Q1110" i="1" s="1"/>
  <c r="P1110" i="1"/>
  <c r="N1110" i="1"/>
  <c r="L1110" i="1"/>
  <c r="K1110" i="1" a="1"/>
  <c r="K1110" i="1" s="1"/>
  <c r="U1110" i="1" s="1"/>
  <c r="J1110" i="1" a="1"/>
  <c r="J1110" i="1" s="1"/>
  <c r="H1110" i="1" a="1"/>
  <c r="H1110" i="1" s="1"/>
  <c r="AS1109" i="1"/>
  <c r="AA1109" i="1" s="1"/>
  <c r="AO1109" i="1"/>
  <c r="AN1109" i="1"/>
  <c r="AM1109" i="1"/>
  <c r="AL1109" i="1"/>
  <c r="AK1109" i="1"/>
  <c r="AJ1109" i="1"/>
  <c r="AI1109" i="1"/>
  <c r="AH1109" i="1"/>
  <c r="AG1109" i="1"/>
  <c r="AF1109" i="1"/>
  <c r="AE1109" i="1"/>
  <c r="AD1109" i="1"/>
  <c r="AC1109" i="1"/>
  <c r="AB1109" i="1"/>
  <c r="Z1109" i="1"/>
  <c r="W1109" i="1"/>
  <c r="X1109" i="1" s="1"/>
  <c r="V1109" i="1"/>
  <c r="T1109" i="1"/>
  <c r="R1109" i="1"/>
  <c r="Q1109" i="1" a="1"/>
  <c r="Q1109" i="1" s="1"/>
  <c r="P1109" i="1"/>
  <c r="N1109" i="1"/>
  <c r="L1109" i="1"/>
  <c r="K1109" i="1" a="1"/>
  <c r="K1109" i="1" s="1"/>
  <c r="U1109" i="1" s="1"/>
  <c r="J1109" i="1" a="1"/>
  <c r="J1109" i="1" s="1"/>
  <c r="H1109" i="1" a="1"/>
  <c r="H1109" i="1" s="1"/>
  <c r="AS1108" i="1"/>
  <c r="AA1108" i="1" s="1"/>
  <c r="AO1108" i="1"/>
  <c r="AN1108" i="1"/>
  <c r="AM1108" i="1"/>
  <c r="AL1108" i="1"/>
  <c r="AK1108" i="1"/>
  <c r="AJ1108" i="1"/>
  <c r="AI1108" i="1"/>
  <c r="AH1108" i="1"/>
  <c r="AG1108" i="1"/>
  <c r="AF1108" i="1"/>
  <c r="AE1108" i="1"/>
  <c r="AD1108" i="1"/>
  <c r="AC1108" i="1"/>
  <c r="AB1108" i="1"/>
  <c r="Z1108" i="1"/>
  <c r="W1108" i="1"/>
  <c r="X1108" i="1" s="1"/>
  <c r="V1108" i="1"/>
  <c r="T1108" i="1"/>
  <c r="R1108" i="1"/>
  <c r="Q1108" i="1" a="1"/>
  <c r="Q1108" i="1" s="1"/>
  <c r="P1108" i="1"/>
  <c r="N1108" i="1"/>
  <c r="L1108" i="1"/>
  <c r="K1108" i="1" a="1"/>
  <c r="K1108" i="1" s="1"/>
  <c r="U1108" i="1" s="1"/>
  <c r="J1108" i="1" a="1"/>
  <c r="J1108" i="1" s="1"/>
  <c r="H1108" i="1" a="1"/>
  <c r="H1108" i="1" s="1"/>
  <c r="AZ1107" i="1"/>
  <c r="AH1107" i="1" s="1"/>
  <c r="AY1107" i="1"/>
  <c r="AG1107" i="1" s="1"/>
  <c r="AX1107" i="1"/>
  <c r="AF1107" i="1" s="1"/>
  <c r="AW1107" i="1"/>
  <c r="AE1107" i="1" s="1"/>
  <c r="AV1107" i="1"/>
  <c r="AD1107" i="1" s="1"/>
  <c r="AU1107" i="1"/>
  <c r="AC1107" i="1" s="1"/>
  <c r="AT1107" i="1"/>
  <c r="AB1107" i="1" s="1"/>
  <c r="AS1107" i="1"/>
  <c r="AA1107" i="1" s="1"/>
  <c r="AO1107" i="1"/>
  <c r="AN1107" i="1"/>
  <c r="AM1107" i="1"/>
  <c r="AL1107" i="1"/>
  <c r="AK1107" i="1"/>
  <c r="AJ1107" i="1"/>
  <c r="AI1107" i="1"/>
  <c r="Z1107" i="1"/>
  <c r="W1107" i="1"/>
  <c r="V1107" i="1"/>
  <c r="T1107" i="1"/>
  <c r="R1107" i="1"/>
  <c r="Q1107" i="1" a="1"/>
  <c r="Q1107" i="1" s="1"/>
  <c r="P1107" i="1"/>
  <c r="N1107" i="1"/>
  <c r="L1107" i="1"/>
  <c r="K1107" i="1" a="1"/>
  <c r="K1107" i="1" s="1"/>
  <c r="U1107" i="1" s="1"/>
  <c r="J1107" i="1" a="1"/>
  <c r="J1107" i="1" s="1"/>
  <c r="H1107" i="1" a="1"/>
  <c r="H1107" i="1" s="1"/>
  <c r="AZ1106" i="1"/>
  <c r="AH1106" i="1" s="1"/>
  <c r="AY1106" i="1"/>
  <c r="AG1106" i="1" s="1"/>
  <c r="AX1106" i="1"/>
  <c r="AF1106" i="1" s="1"/>
  <c r="AW1106" i="1"/>
  <c r="AE1106" i="1" s="1"/>
  <c r="AV1106" i="1"/>
  <c r="AD1106" i="1" s="1"/>
  <c r="AU1106" i="1"/>
  <c r="AC1106" i="1" s="1"/>
  <c r="AT1106" i="1"/>
  <c r="AB1106" i="1" s="1"/>
  <c r="AS1106" i="1"/>
  <c r="AA1106" i="1" s="1"/>
  <c r="AO1106" i="1"/>
  <c r="AN1106" i="1"/>
  <c r="AM1106" i="1"/>
  <c r="AL1106" i="1"/>
  <c r="AK1106" i="1"/>
  <c r="AJ1106" i="1"/>
  <c r="AI1106" i="1"/>
  <c r="Z1106" i="1"/>
  <c r="W1106" i="1"/>
  <c r="V1106" i="1"/>
  <c r="T1106" i="1"/>
  <c r="R1106" i="1"/>
  <c r="Q1106" i="1" a="1"/>
  <c r="Q1106" i="1" s="1"/>
  <c r="P1106" i="1"/>
  <c r="N1106" i="1"/>
  <c r="L1106" i="1"/>
  <c r="K1106" i="1" a="1"/>
  <c r="K1106" i="1" s="1"/>
  <c r="U1106" i="1" s="1"/>
  <c r="J1106" i="1" a="1"/>
  <c r="J1106" i="1" s="1"/>
  <c r="H1106" i="1" a="1"/>
  <c r="H1106" i="1" s="1"/>
  <c r="I1106" i="1" s="1"/>
  <c r="S1106" i="1" s="1"/>
  <c r="AZ1105" i="1"/>
  <c r="AH1105" i="1" s="1"/>
  <c r="AY1105" i="1"/>
  <c r="AG1105" i="1" s="1"/>
  <c r="AX1105" i="1"/>
  <c r="AF1105" i="1" s="1"/>
  <c r="AW1105" i="1"/>
  <c r="AE1105" i="1" s="1"/>
  <c r="AV1105" i="1"/>
  <c r="AD1105" i="1" s="1"/>
  <c r="AU1105" i="1"/>
  <c r="AC1105" i="1" s="1"/>
  <c r="AT1105" i="1"/>
  <c r="AB1105" i="1" s="1"/>
  <c r="AS1105" i="1"/>
  <c r="AA1105" i="1" s="1"/>
  <c r="AO1105" i="1"/>
  <c r="AN1105" i="1"/>
  <c r="AM1105" i="1"/>
  <c r="AL1105" i="1"/>
  <c r="AK1105" i="1"/>
  <c r="AJ1105" i="1"/>
  <c r="AI1105" i="1"/>
  <c r="Z1105" i="1"/>
  <c r="W1105" i="1"/>
  <c r="Y1105" i="1" s="1"/>
  <c r="V1105" i="1"/>
  <c r="T1105" i="1"/>
  <c r="R1105" i="1"/>
  <c r="Q1105" i="1" a="1"/>
  <c r="Q1105" i="1" s="1"/>
  <c r="P1105" i="1"/>
  <c r="N1105" i="1"/>
  <c r="L1105" i="1"/>
  <c r="K1105" i="1" a="1"/>
  <c r="K1105" i="1" s="1"/>
  <c r="U1105" i="1" s="1"/>
  <c r="J1105" i="1" a="1"/>
  <c r="J1105" i="1" s="1"/>
  <c r="H1105" i="1" a="1"/>
  <c r="H1105" i="1" s="1"/>
  <c r="AZ1104" i="1"/>
  <c r="AH1104" i="1" s="1"/>
  <c r="AY1104" i="1"/>
  <c r="AG1104" i="1" s="1"/>
  <c r="AX1104" i="1"/>
  <c r="AF1104" i="1" s="1"/>
  <c r="AW1104" i="1"/>
  <c r="AE1104" i="1" s="1"/>
  <c r="AV1104" i="1"/>
  <c r="AD1104" i="1" s="1"/>
  <c r="AU1104" i="1"/>
  <c r="AC1104" i="1" s="1"/>
  <c r="AT1104" i="1"/>
  <c r="AB1104" i="1" s="1"/>
  <c r="AS1104" i="1"/>
  <c r="AA1104" i="1" s="1"/>
  <c r="AO1104" i="1"/>
  <c r="AN1104" i="1"/>
  <c r="AM1104" i="1"/>
  <c r="AL1104" i="1"/>
  <c r="AK1104" i="1"/>
  <c r="AJ1104" i="1"/>
  <c r="AI1104" i="1"/>
  <c r="Z1104" i="1"/>
  <c r="W1104" i="1"/>
  <c r="X1104" i="1" s="1"/>
  <c r="V1104" i="1"/>
  <c r="T1104" i="1"/>
  <c r="R1104" i="1"/>
  <c r="Q1104" i="1" a="1"/>
  <c r="Q1104" i="1" s="1"/>
  <c r="P1104" i="1"/>
  <c r="N1104" i="1"/>
  <c r="L1104" i="1"/>
  <c r="K1104" i="1" a="1"/>
  <c r="K1104" i="1" s="1"/>
  <c r="U1104" i="1" s="1"/>
  <c r="J1104" i="1" a="1"/>
  <c r="J1104" i="1" s="1"/>
  <c r="H1104" i="1" a="1"/>
  <c r="H1104" i="1" s="1"/>
  <c r="I1104" i="1" s="1"/>
  <c r="S1104" i="1" s="1"/>
  <c r="AZ1103" i="1"/>
  <c r="AH1103" i="1" s="1"/>
  <c r="AY1103" i="1"/>
  <c r="AG1103" i="1" s="1"/>
  <c r="AX1103" i="1"/>
  <c r="AF1103" i="1" s="1"/>
  <c r="AW1103" i="1"/>
  <c r="AE1103" i="1" s="1"/>
  <c r="AV1103" i="1"/>
  <c r="AD1103" i="1" s="1"/>
  <c r="AU1103" i="1"/>
  <c r="AC1103" i="1" s="1"/>
  <c r="AT1103" i="1"/>
  <c r="AB1103" i="1" s="1"/>
  <c r="AS1103" i="1"/>
  <c r="AA1103" i="1" s="1"/>
  <c r="AO1103" i="1"/>
  <c r="AN1103" i="1"/>
  <c r="AM1103" i="1"/>
  <c r="AL1103" i="1"/>
  <c r="AK1103" i="1"/>
  <c r="AJ1103" i="1"/>
  <c r="AI1103" i="1"/>
  <c r="Z1103" i="1"/>
  <c r="W1103" i="1"/>
  <c r="V1103" i="1"/>
  <c r="T1103" i="1"/>
  <c r="R1103" i="1"/>
  <c r="Q1103" i="1" a="1"/>
  <c r="Q1103" i="1" s="1"/>
  <c r="P1103" i="1"/>
  <c r="N1103" i="1"/>
  <c r="L1103" i="1"/>
  <c r="K1103" i="1" a="1"/>
  <c r="K1103" i="1" s="1"/>
  <c r="U1103" i="1" s="1"/>
  <c r="J1103" i="1" a="1"/>
  <c r="J1103" i="1" s="1"/>
  <c r="H1103" i="1" a="1"/>
  <c r="H1103" i="1" s="1"/>
  <c r="AZ1102" i="1"/>
  <c r="AH1102" i="1" s="1"/>
  <c r="AY1102" i="1"/>
  <c r="AG1102" i="1" s="1"/>
  <c r="AX1102" i="1"/>
  <c r="AF1102" i="1" s="1"/>
  <c r="AW1102" i="1"/>
  <c r="AE1102" i="1" s="1"/>
  <c r="AV1102" i="1"/>
  <c r="AD1102" i="1" s="1"/>
  <c r="AU1102" i="1"/>
  <c r="AC1102" i="1" s="1"/>
  <c r="AT1102" i="1"/>
  <c r="AB1102" i="1" s="1"/>
  <c r="AS1102" i="1"/>
  <c r="AA1102" i="1" s="1"/>
  <c r="AO1102" i="1"/>
  <c r="AN1102" i="1"/>
  <c r="AM1102" i="1"/>
  <c r="AL1102" i="1"/>
  <c r="AK1102" i="1"/>
  <c r="AJ1102" i="1"/>
  <c r="AI1102" i="1"/>
  <c r="Z1102" i="1"/>
  <c r="W1102" i="1"/>
  <c r="V1102" i="1"/>
  <c r="T1102" i="1"/>
  <c r="R1102" i="1"/>
  <c r="Q1102" i="1" a="1"/>
  <c r="Q1102" i="1" s="1"/>
  <c r="P1102" i="1"/>
  <c r="N1102" i="1"/>
  <c r="L1102" i="1"/>
  <c r="K1102" i="1" a="1"/>
  <c r="K1102" i="1" s="1"/>
  <c r="U1102" i="1" s="1"/>
  <c r="J1102" i="1" a="1"/>
  <c r="J1102" i="1" s="1"/>
  <c r="H1102" i="1" a="1"/>
  <c r="H1102" i="1" s="1"/>
  <c r="I1102" i="1" s="1"/>
  <c r="S1102" i="1" s="1"/>
  <c r="AZ1101" i="1"/>
  <c r="AH1101" i="1" s="1"/>
  <c r="AY1101" i="1"/>
  <c r="AG1101" i="1" s="1"/>
  <c r="AX1101" i="1"/>
  <c r="AF1101" i="1" s="1"/>
  <c r="AW1101" i="1"/>
  <c r="AE1101" i="1" s="1"/>
  <c r="AV1101" i="1"/>
  <c r="AD1101" i="1" s="1"/>
  <c r="AU1101" i="1"/>
  <c r="AC1101" i="1" s="1"/>
  <c r="AT1101" i="1"/>
  <c r="AB1101" i="1" s="1"/>
  <c r="AS1101" i="1"/>
  <c r="AA1101" i="1" s="1"/>
  <c r="AO1101" i="1"/>
  <c r="AN1101" i="1"/>
  <c r="AM1101" i="1"/>
  <c r="AL1101" i="1"/>
  <c r="AK1101" i="1"/>
  <c r="AJ1101" i="1"/>
  <c r="AI1101" i="1"/>
  <c r="Z1101" i="1"/>
  <c r="W1101" i="1"/>
  <c r="Y1101" i="1" s="1"/>
  <c r="V1101" i="1"/>
  <c r="T1101" i="1"/>
  <c r="R1101" i="1"/>
  <c r="Q1101" i="1" a="1"/>
  <c r="Q1101" i="1" s="1"/>
  <c r="P1101" i="1"/>
  <c r="N1101" i="1"/>
  <c r="L1101" i="1"/>
  <c r="K1101" i="1" a="1"/>
  <c r="K1101" i="1" s="1"/>
  <c r="U1101" i="1" s="1"/>
  <c r="J1101" i="1" a="1"/>
  <c r="J1101" i="1" s="1"/>
  <c r="H1101" i="1" a="1"/>
  <c r="H1101" i="1" s="1"/>
  <c r="AS1100" i="1"/>
  <c r="AA1100" i="1" s="1"/>
  <c r="AO1100" i="1"/>
  <c r="AN1100" i="1"/>
  <c r="AM1100" i="1"/>
  <c r="AL1100" i="1"/>
  <c r="AK1100" i="1"/>
  <c r="AJ1100" i="1"/>
  <c r="AI1100" i="1"/>
  <c r="AH1100" i="1"/>
  <c r="AG1100" i="1"/>
  <c r="AF1100" i="1"/>
  <c r="AE1100" i="1"/>
  <c r="AD1100" i="1"/>
  <c r="AC1100" i="1"/>
  <c r="AB1100" i="1"/>
  <c r="Z1100" i="1"/>
  <c r="W1100" i="1"/>
  <c r="X1100" i="1" s="1"/>
  <c r="V1100" i="1"/>
  <c r="T1100" i="1"/>
  <c r="R1100" i="1"/>
  <c r="Q1100" i="1" a="1"/>
  <c r="Q1100" i="1" s="1"/>
  <c r="P1100" i="1"/>
  <c r="N1100" i="1"/>
  <c r="L1100" i="1"/>
  <c r="K1100" i="1" a="1"/>
  <c r="K1100" i="1" s="1"/>
  <c r="U1100" i="1" s="1"/>
  <c r="J1100" i="1" a="1"/>
  <c r="J1100" i="1" s="1"/>
  <c r="H1100" i="1" a="1"/>
  <c r="H1100" i="1" s="1"/>
  <c r="AS1099" i="1"/>
  <c r="AA1099" i="1" s="1"/>
  <c r="AO1099" i="1"/>
  <c r="AN1099" i="1"/>
  <c r="AM1099" i="1"/>
  <c r="AL1099" i="1"/>
  <c r="AK1099" i="1"/>
  <c r="AJ1099" i="1"/>
  <c r="AI1099" i="1"/>
  <c r="AH1099" i="1"/>
  <c r="AG1099" i="1"/>
  <c r="AF1099" i="1"/>
  <c r="AE1099" i="1"/>
  <c r="AD1099" i="1"/>
  <c r="AC1099" i="1"/>
  <c r="AB1099" i="1"/>
  <c r="Z1099" i="1"/>
  <c r="W1099" i="1"/>
  <c r="X1099" i="1" s="1"/>
  <c r="V1099" i="1"/>
  <c r="T1099" i="1"/>
  <c r="R1099" i="1"/>
  <c r="Q1099" i="1" a="1"/>
  <c r="Q1099" i="1" s="1"/>
  <c r="P1099" i="1"/>
  <c r="N1099" i="1"/>
  <c r="L1099" i="1"/>
  <c r="K1099" i="1" a="1"/>
  <c r="K1099" i="1" s="1"/>
  <c r="U1099" i="1" s="1"/>
  <c r="J1099" i="1" a="1"/>
  <c r="J1099" i="1" s="1"/>
  <c r="H1099" i="1" a="1"/>
  <c r="H1099" i="1" s="1"/>
  <c r="I1099" i="1" s="1"/>
  <c r="S1099" i="1" s="1"/>
  <c r="AS1098" i="1"/>
  <c r="AA1098" i="1" s="1"/>
  <c r="AO1098" i="1"/>
  <c r="AN1098" i="1"/>
  <c r="AM1098" i="1"/>
  <c r="AL1098" i="1"/>
  <c r="AK1098" i="1"/>
  <c r="AJ1098" i="1"/>
  <c r="AI1098" i="1"/>
  <c r="AH1098" i="1"/>
  <c r="AG1098" i="1"/>
  <c r="AF1098" i="1"/>
  <c r="AE1098" i="1"/>
  <c r="AD1098" i="1"/>
  <c r="AC1098" i="1"/>
  <c r="AB1098" i="1"/>
  <c r="Z1098" i="1"/>
  <c r="W1098" i="1"/>
  <c r="X1098" i="1" s="1"/>
  <c r="V1098" i="1"/>
  <c r="T1098" i="1"/>
  <c r="R1098" i="1"/>
  <c r="Q1098" i="1" a="1"/>
  <c r="Q1098" i="1" s="1"/>
  <c r="P1098" i="1"/>
  <c r="N1098" i="1"/>
  <c r="L1098" i="1"/>
  <c r="K1098" i="1" a="1"/>
  <c r="K1098" i="1" s="1"/>
  <c r="U1098" i="1" s="1"/>
  <c r="J1098" i="1" a="1"/>
  <c r="J1098" i="1" s="1"/>
  <c r="H1098" i="1" a="1"/>
  <c r="H1098" i="1" s="1"/>
  <c r="I1098" i="1" s="1"/>
  <c r="S1098" i="1" s="1"/>
  <c r="AS1097" i="1"/>
  <c r="AA1097" i="1" s="1"/>
  <c r="AO1097" i="1"/>
  <c r="AN1097" i="1"/>
  <c r="AM1097" i="1"/>
  <c r="AL1097" i="1"/>
  <c r="AK1097" i="1"/>
  <c r="AJ1097" i="1"/>
  <c r="AI1097" i="1"/>
  <c r="AH1097" i="1"/>
  <c r="AG1097" i="1"/>
  <c r="AF1097" i="1"/>
  <c r="AE1097" i="1"/>
  <c r="AD1097" i="1"/>
  <c r="AC1097" i="1"/>
  <c r="AB1097" i="1"/>
  <c r="Z1097" i="1"/>
  <c r="W1097" i="1"/>
  <c r="V1097" i="1"/>
  <c r="T1097" i="1"/>
  <c r="R1097" i="1"/>
  <c r="Q1097" i="1" a="1"/>
  <c r="Q1097" i="1" s="1"/>
  <c r="P1097" i="1"/>
  <c r="N1097" i="1"/>
  <c r="L1097" i="1"/>
  <c r="K1097" i="1" a="1"/>
  <c r="K1097" i="1" s="1"/>
  <c r="U1097" i="1" s="1"/>
  <c r="J1097" i="1" a="1"/>
  <c r="J1097" i="1" s="1"/>
  <c r="H1097" i="1" a="1"/>
  <c r="H1097" i="1" s="1"/>
  <c r="AU1096" i="1"/>
  <c r="AC1096" i="1" s="1"/>
  <c r="AT1096" i="1"/>
  <c r="AB1096" i="1" s="1"/>
  <c r="AS1096" i="1"/>
  <c r="AA1096" i="1" s="1"/>
  <c r="AO1096" i="1"/>
  <c r="AN1096" i="1"/>
  <c r="AM1096" i="1"/>
  <c r="AL1096" i="1"/>
  <c r="AK1096" i="1"/>
  <c r="AJ1096" i="1"/>
  <c r="AI1096" i="1"/>
  <c r="AH1096" i="1"/>
  <c r="AG1096" i="1"/>
  <c r="AF1096" i="1"/>
  <c r="AE1096" i="1"/>
  <c r="AD1096" i="1"/>
  <c r="Z1096" i="1"/>
  <c r="W1096" i="1"/>
  <c r="Y1096" i="1" s="1"/>
  <c r="V1096" i="1"/>
  <c r="T1096" i="1"/>
  <c r="R1096" i="1"/>
  <c r="Q1096" i="1" a="1"/>
  <c r="Q1096" i="1" s="1"/>
  <c r="P1096" i="1"/>
  <c r="N1096" i="1"/>
  <c r="L1096" i="1"/>
  <c r="K1096" i="1" a="1"/>
  <c r="K1096" i="1" s="1"/>
  <c r="U1096" i="1" s="1"/>
  <c r="J1096" i="1" a="1"/>
  <c r="J1096" i="1" s="1"/>
  <c r="H1096" i="1" a="1"/>
  <c r="H1096" i="1" s="1"/>
  <c r="I1096" i="1" s="1"/>
  <c r="S1096" i="1" s="1"/>
  <c r="AS1095" i="1"/>
  <c r="AA1095" i="1" s="1"/>
  <c r="AO1095" i="1"/>
  <c r="AN1095" i="1"/>
  <c r="AM1095" i="1"/>
  <c r="AL1095" i="1"/>
  <c r="AK1095" i="1"/>
  <c r="AJ1095" i="1"/>
  <c r="AI1095" i="1"/>
  <c r="AH1095" i="1"/>
  <c r="AG1095" i="1"/>
  <c r="AF1095" i="1"/>
  <c r="AE1095" i="1"/>
  <c r="AD1095" i="1"/>
  <c r="AC1095" i="1"/>
  <c r="AB1095" i="1"/>
  <c r="Z1095" i="1"/>
  <c r="W1095" i="1"/>
  <c r="V1095" i="1"/>
  <c r="T1095" i="1"/>
  <c r="R1095" i="1"/>
  <c r="Q1095" i="1" a="1"/>
  <c r="Q1095" i="1" s="1"/>
  <c r="P1095" i="1"/>
  <c r="N1095" i="1"/>
  <c r="L1095" i="1"/>
  <c r="K1095" i="1" a="1"/>
  <c r="K1095" i="1" s="1"/>
  <c r="U1095" i="1" s="1"/>
  <c r="J1095" i="1" a="1"/>
  <c r="J1095" i="1" s="1"/>
  <c r="H1095" i="1" a="1"/>
  <c r="H1095" i="1" s="1"/>
  <c r="AS1094" i="1"/>
  <c r="AA1094" i="1" s="1"/>
  <c r="AO1094" i="1"/>
  <c r="AN1094" i="1"/>
  <c r="AM1094" i="1"/>
  <c r="AL1094" i="1"/>
  <c r="AK1094" i="1"/>
  <c r="AJ1094" i="1"/>
  <c r="AI1094" i="1"/>
  <c r="AH1094" i="1"/>
  <c r="AG1094" i="1"/>
  <c r="AF1094" i="1"/>
  <c r="AE1094" i="1"/>
  <c r="AD1094" i="1"/>
  <c r="AC1094" i="1"/>
  <c r="AB1094" i="1"/>
  <c r="Z1094" i="1"/>
  <c r="W1094" i="1"/>
  <c r="X1094" i="1" s="1"/>
  <c r="V1094" i="1"/>
  <c r="T1094" i="1"/>
  <c r="R1094" i="1"/>
  <c r="Q1094" i="1" a="1"/>
  <c r="Q1094" i="1" s="1"/>
  <c r="P1094" i="1"/>
  <c r="N1094" i="1"/>
  <c r="L1094" i="1"/>
  <c r="K1094" i="1" a="1"/>
  <c r="K1094" i="1" s="1"/>
  <c r="U1094" i="1" s="1"/>
  <c r="J1094" i="1" a="1"/>
  <c r="J1094" i="1" s="1"/>
  <c r="H1094" i="1" a="1"/>
  <c r="H1094" i="1" s="1"/>
  <c r="AV1093" i="1"/>
  <c r="AD1093" i="1" s="1"/>
  <c r="AU1093" i="1"/>
  <c r="AC1093" i="1" s="1"/>
  <c r="AT1093" i="1"/>
  <c r="AB1093" i="1" s="1"/>
  <c r="AS1093" i="1"/>
  <c r="AA1093" i="1" s="1"/>
  <c r="AO1093" i="1"/>
  <c r="AN1093" i="1"/>
  <c r="AM1093" i="1"/>
  <c r="AL1093" i="1"/>
  <c r="AK1093" i="1"/>
  <c r="AJ1093" i="1"/>
  <c r="AI1093" i="1"/>
  <c r="AH1093" i="1"/>
  <c r="AG1093" i="1"/>
  <c r="AF1093" i="1"/>
  <c r="AE1093" i="1"/>
  <c r="Z1093" i="1"/>
  <c r="W1093" i="1"/>
  <c r="X1093" i="1" s="1"/>
  <c r="V1093" i="1"/>
  <c r="T1093" i="1"/>
  <c r="R1093" i="1"/>
  <c r="Q1093" i="1" a="1"/>
  <c r="Q1093" i="1" s="1"/>
  <c r="P1093" i="1"/>
  <c r="N1093" i="1"/>
  <c r="L1093" i="1"/>
  <c r="K1093" i="1" a="1"/>
  <c r="K1093" i="1" s="1"/>
  <c r="U1093" i="1" s="1"/>
  <c r="J1093" i="1" a="1"/>
  <c r="J1093" i="1" s="1"/>
  <c r="H1093" i="1" a="1"/>
  <c r="H1093" i="1" s="1"/>
  <c r="I1093" i="1" s="1"/>
  <c r="S1093" i="1" s="1"/>
  <c r="AT1092" i="1"/>
  <c r="AB1092" i="1" s="1"/>
  <c r="AS1092" i="1"/>
  <c r="AA1092" i="1" s="1"/>
  <c r="AO1092" i="1"/>
  <c r="AN1092" i="1"/>
  <c r="AM1092" i="1"/>
  <c r="AL1092" i="1"/>
  <c r="AK1092" i="1"/>
  <c r="AJ1092" i="1"/>
  <c r="AI1092" i="1"/>
  <c r="AH1092" i="1"/>
  <c r="AG1092" i="1"/>
  <c r="AF1092" i="1"/>
  <c r="AE1092" i="1"/>
  <c r="AD1092" i="1"/>
  <c r="AC1092" i="1"/>
  <c r="Z1092" i="1"/>
  <c r="W1092" i="1"/>
  <c r="V1092" i="1"/>
  <c r="T1092" i="1"/>
  <c r="R1092" i="1"/>
  <c r="Q1092" i="1" a="1"/>
  <c r="Q1092" i="1" s="1"/>
  <c r="P1092" i="1"/>
  <c r="N1092" i="1"/>
  <c r="L1092" i="1"/>
  <c r="K1092" i="1" a="1"/>
  <c r="K1092" i="1" s="1"/>
  <c r="U1092" i="1" s="1"/>
  <c r="J1092" i="1" a="1"/>
  <c r="J1092" i="1" s="1"/>
  <c r="H1092" i="1" a="1"/>
  <c r="H1092" i="1" s="1"/>
  <c r="I1092" i="1" s="1"/>
  <c r="S1092" i="1" s="1"/>
  <c r="AS1091" i="1"/>
  <c r="AA1091" i="1" s="1"/>
  <c r="AO1091" i="1"/>
  <c r="AN1091" i="1"/>
  <c r="AM1091" i="1"/>
  <c r="AL1091" i="1"/>
  <c r="AK1091" i="1"/>
  <c r="AJ1091" i="1"/>
  <c r="AI1091" i="1"/>
  <c r="AH1091" i="1"/>
  <c r="AG1091" i="1"/>
  <c r="AF1091" i="1"/>
  <c r="AE1091" i="1"/>
  <c r="AD1091" i="1"/>
  <c r="AC1091" i="1"/>
  <c r="AB1091" i="1"/>
  <c r="Z1091" i="1"/>
  <c r="W1091" i="1"/>
  <c r="Y1091" i="1" s="1"/>
  <c r="V1091" i="1"/>
  <c r="T1091" i="1"/>
  <c r="R1091" i="1"/>
  <c r="Q1091" i="1" a="1"/>
  <c r="Q1091" i="1" s="1"/>
  <c r="P1091" i="1"/>
  <c r="N1091" i="1"/>
  <c r="L1091" i="1"/>
  <c r="K1091" i="1" a="1"/>
  <c r="K1091" i="1" s="1"/>
  <c r="U1091" i="1" s="1"/>
  <c r="J1091" i="1" a="1"/>
  <c r="J1091" i="1" s="1"/>
  <c r="H1091" i="1" a="1"/>
  <c r="H1091" i="1" s="1"/>
  <c r="AS1090" i="1"/>
  <c r="AA1090" i="1" s="1"/>
  <c r="AO1090" i="1"/>
  <c r="AN1090" i="1"/>
  <c r="AM1090" i="1"/>
  <c r="AL1090" i="1"/>
  <c r="AK1090" i="1"/>
  <c r="AJ1090" i="1"/>
  <c r="AI1090" i="1"/>
  <c r="AH1090" i="1"/>
  <c r="AG1090" i="1"/>
  <c r="AF1090" i="1"/>
  <c r="AE1090" i="1"/>
  <c r="AD1090" i="1"/>
  <c r="AC1090" i="1"/>
  <c r="AB1090" i="1"/>
  <c r="Z1090" i="1"/>
  <c r="W1090" i="1"/>
  <c r="X1090" i="1" s="1"/>
  <c r="V1090" i="1"/>
  <c r="T1090" i="1"/>
  <c r="R1090" i="1"/>
  <c r="Q1090" i="1" a="1"/>
  <c r="Q1090" i="1" s="1"/>
  <c r="P1090" i="1"/>
  <c r="N1090" i="1"/>
  <c r="L1090" i="1"/>
  <c r="K1090" i="1" a="1"/>
  <c r="K1090" i="1" s="1"/>
  <c r="U1090" i="1" s="1"/>
  <c r="J1090" i="1" a="1"/>
  <c r="J1090" i="1" s="1"/>
  <c r="H1090" i="1" a="1"/>
  <c r="H1090" i="1" s="1"/>
  <c r="AS1089" i="1"/>
  <c r="AA1089" i="1" s="1"/>
  <c r="AO1089" i="1"/>
  <c r="AN1089" i="1"/>
  <c r="AM1089" i="1"/>
  <c r="AL1089" i="1"/>
  <c r="AK1089" i="1"/>
  <c r="AJ1089" i="1"/>
  <c r="AI1089" i="1"/>
  <c r="AH1089" i="1"/>
  <c r="AG1089" i="1"/>
  <c r="AF1089" i="1"/>
  <c r="AE1089" i="1"/>
  <c r="AD1089" i="1"/>
  <c r="AC1089" i="1"/>
  <c r="AB1089" i="1"/>
  <c r="Z1089" i="1"/>
  <c r="W1089" i="1"/>
  <c r="X1089" i="1" s="1"/>
  <c r="V1089" i="1"/>
  <c r="T1089" i="1"/>
  <c r="R1089" i="1"/>
  <c r="Q1089" i="1" a="1"/>
  <c r="Q1089" i="1" s="1"/>
  <c r="P1089" i="1"/>
  <c r="N1089" i="1"/>
  <c r="L1089" i="1"/>
  <c r="K1089" i="1" a="1"/>
  <c r="K1089" i="1" s="1"/>
  <c r="U1089" i="1" s="1"/>
  <c r="J1089" i="1" a="1"/>
  <c r="J1089" i="1" s="1"/>
  <c r="H1089" i="1" a="1"/>
  <c r="H1089" i="1" s="1"/>
  <c r="I1089" i="1" s="1"/>
  <c r="S1089" i="1" s="1"/>
  <c r="AS1088" i="1"/>
  <c r="AA1088" i="1" s="1"/>
  <c r="AO1088" i="1"/>
  <c r="AN1088" i="1"/>
  <c r="AM1088" i="1"/>
  <c r="AL1088" i="1"/>
  <c r="AK1088" i="1"/>
  <c r="AJ1088" i="1"/>
  <c r="AI1088" i="1"/>
  <c r="AH1088" i="1"/>
  <c r="AG1088" i="1"/>
  <c r="AF1088" i="1"/>
  <c r="AE1088" i="1"/>
  <c r="AD1088" i="1"/>
  <c r="AC1088" i="1"/>
  <c r="AB1088" i="1"/>
  <c r="Z1088" i="1"/>
  <c r="W1088" i="1"/>
  <c r="V1088" i="1"/>
  <c r="T1088" i="1"/>
  <c r="R1088" i="1"/>
  <c r="Q1088" i="1" a="1"/>
  <c r="Q1088" i="1" s="1"/>
  <c r="P1088" i="1"/>
  <c r="N1088" i="1"/>
  <c r="L1088" i="1"/>
  <c r="K1088" i="1" a="1"/>
  <c r="K1088" i="1" s="1"/>
  <c r="U1088" i="1" s="1"/>
  <c r="J1088" i="1" a="1"/>
  <c r="J1088" i="1" s="1"/>
  <c r="H1088" i="1" a="1"/>
  <c r="H1088" i="1" s="1"/>
  <c r="I1088" i="1" s="1"/>
  <c r="S1088" i="1" s="1"/>
  <c r="AS1087" i="1"/>
  <c r="AA1087" i="1" s="1"/>
  <c r="AO1087" i="1"/>
  <c r="AN1087" i="1"/>
  <c r="AM1087" i="1"/>
  <c r="AL1087" i="1"/>
  <c r="AK1087" i="1"/>
  <c r="AJ1087" i="1"/>
  <c r="AI1087" i="1"/>
  <c r="AH1087" i="1"/>
  <c r="AG1087" i="1"/>
  <c r="AF1087" i="1"/>
  <c r="AE1087" i="1"/>
  <c r="AD1087" i="1"/>
  <c r="AC1087" i="1"/>
  <c r="AB1087" i="1"/>
  <c r="Z1087" i="1"/>
  <c r="W1087" i="1"/>
  <c r="V1087" i="1"/>
  <c r="T1087" i="1"/>
  <c r="R1087" i="1"/>
  <c r="Q1087" i="1" a="1"/>
  <c r="Q1087" i="1" s="1"/>
  <c r="P1087" i="1"/>
  <c r="N1087" i="1"/>
  <c r="L1087" i="1"/>
  <c r="K1087" i="1" a="1"/>
  <c r="K1087" i="1" s="1"/>
  <c r="U1087" i="1" s="1"/>
  <c r="J1087" i="1" a="1"/>
  <c r="J1087" i="1" s="1"/>
  <c r="H1087" i="1" a="1"/>
  <c r="H1087" i="1" s="1"/>
  <c r="AS1086" i="1"/>
  <c r="AA1086" i="1" s="1"/>
  <c r="AO1086" i="1"/>
  <c r="AN1086" i="1"/>
  <c r="AM1086" i="1"/>
  <c r="AL1086" i="1"/>
  <c r="AK1086" i="1"/>
  <c r="AJ1086" i="1"/>
  <c r="AI1086" i="1"/>
  <c r="AH1086" i="1"/>
  <c r="AG1086" i="1"/>
  <c r="AF1086" i="1"/>
  <c r="AE1086" i="1"/>
  <c r="AD1086" i="1"/>
  <c r="AC1086" i="1"/>
  <c r="AB1086" i="1"/>
  <c r="Z1086" i="1"/>
  <c r="W1086" i="1"/>
  <c r="X1086" i="1" s="1"/>
  <c r="V1086" i="1"/>
  <c r="T1086" i="1"/>
  <c r="R1086" i="1"/>
  <c r="Q1086" i="1" a="1"/>
  <c r="Q1086" i="1" s="1"/>
  <c r="P1086" i="1"/>
  <c r="N1086" i="1"/>
  <c r="L1086" i="1"/>
  <c r="K1086" i="1" a="1"/>
  <c r="K1086" i="1" s="1"/>
  <c r="U1086" i="1" s="1"/>
  <c r="J1086" i="1" a="1"/>
  <c r="J1086" i="1" s="1"/>
  <c r="H1086" i="1" a="1"/>
  <c r="H1086" i="1" s="1"/>
  <c r="AT1085" i="1"/>
  <c r="AB1085" i="1" s="1"/>
  <c r="AS1085" i="1"/>
  <c r="AA1085" i="1" s="1"/>
  <c r="AO1085" i="1"/>
  <c r="AN1085" i="1"/>
  <c r="AM1085" i="1"/>
  <c r="AL1085" i="1"/>
  <c r="AK1085" i="1"/>
  <c r="AJ1085" i="1"/>
  <c r="AI1085" i="1"/>
  <c r="AH1085" i="1"/>
  <c r="AG1085" i="1"/>
  <c r="AF1085" i="1"/>
  <c r="AE1085" i="1"/>
  <c r="AD1085" i="1"/>
  <c r="AC1085" i="1"/>
  <c r="Z1085" i="1"/>
  <c r="W1085" i="1"/>
  <c r="X1085" i="1" s="1"/>
  <c r="V1085" i="1"/>
  <c r="T1085" i="1"/>
  <c r="R1085" i="1"/>
  <c r="Q1085" i="1" a="1"/>
  <c r="Q1085" i="1" s="1"/>
  <c r="P1085" i="1"/>
  <c r="N1085" i="1"/>
  <c r="L1085" i="1"/>
  <c r="K1085" i="1" a="1"/>
  <c r="K1085" i="1" s="1"/>
  <c r="U1085" i="1" s="1"/>
  <c r="J1085" i="1" a="1"/>
  <c r="J1085" i="1" s="1"/>
  <c r="H1085" i="1" a="1"/>
  <c r="H1085" i="1" s="1"/>
  <c r="AS1084" i="1"/>
  <c r="AA1084" i="1" s="1"/>
  <c r="AO1084" i="1"/>
  <c r="AN1084" i="1"/>
  <c r="AM1084" i="1"/>
  <c r="AL1084" i="1"/>
  <c r="AK1084" i="1"/>
  <c r="AJ1084" i="1"/>
  <c r="AI1084" i="1"/>
  <c r="AH1084" i="1"/>
  <c r="AG1084" i="1"/>
  <c r="AF1084" i="1"/>
  <c r="AE1084" i="1"/>
  <c r="AD1084" i="1"/>
  <c r="AC1084" i="1"/>
  <c r="AB1084" i="1"/>
  <c r="Z1084" i="1"/>
  <c r="W1084" i="1"/>
  <c r="V1084" i="1"/>
  <c r="T1084" i="1"/>
  <c r="R1084" i="1"/>
  <c r="Q1084" i="1" a="1"/>
  <c r="Q1084" i="1" s="1"/>
  <c r="P1084" i="1"/>
  <c r="N1084" i="1"/>
  <c r="L1084" i="1"/>
  <c r="K1084" i="1" a="1"/>
  <c r="K1084" i="1" s="1"/>
  <c r="U1084" i="1" s="1"/>
  <c r="J1084" i="1" a="1"/>
  <c r="J1084" i="1" s="1"/>
  <c r="H1084" i="1" a="1"/>
  <c r="H1084" i="1" s="1"/>
  <c r="AS1083" i="1"/>
  <c r="AA1083" i="1" s="1"/>
  <c r="AO1083" i="1"/>
  <c r="AN1083" i="1"/>
  <c r="AM1083" i="1"/>
  <c r="AL1083" i="1"/>
  <c r="AK1083" i="1"/>
  <c r="AJ1083" i="1"/>
  <c r="AI1083" i="1"/>
  <c r="AH1083" i="1"/>
  <c r="AG1083" i="1"/>
  <c r="AF1083" i="1"/>
  <c r="AE1083" i="1"/>
  <c r="AD1083" i="1"/>
  <c r="AC1083" i="1"/>
  <c r="AB1083" i="1"/>
  <c r="Z1083" i="1"/>
  <c r="W1083" i="1"/>
  <c r="V1083" i="1"/>
  <c r="T1083" i="1"/>
  <c r="R1083" i="1"/>
  <c r="Q1083" i="1" a="1"/>
  <c r="Q1083" i="1" s="1"/>
  <c r="P1083" i="1"/>
  <c r="N1083" i="1"/>
  <c r="L1083" i="1"/>
  <c r="K1083" i="1" a="1"/>
  <c r="K1083" i="1" s="1"/>
  <c r="U1083" i="1" s="1"/>
  <c r="J1083" i="1" a="1"/>
  <c r="J1083" i="1" s="1"/>
  <c r="H1083" i="1" a="1"/>
  <c r="H1083" i="1" s="1"/>
  <c r="I1083" i="1" s="1"/>
  <c r="S1083" i="1" s="1"/>
  <c r="AS1082" i="1"/>
  <c r="AA1082" i="1" s="1"/>
  <c r="AO1082" i="1"/>
  <c r="AN1082" i="1"/>
  <c r="AM1082" i="1"/>
  <c r="AL1082" i="1"/>
  <c r="AK1082" i="1"/>
  <c r="AJ1082" i="1"/>
  <c r="AI1082" i="1"/>
  <c r="AH1082" i="1"/>
  <c r="AG1082" i="1"/>
  <c r="AF1082" i="1"/>
  <c r="AE1082" i="1"/>
  <c r="AD1082" i="1"/>
  <c r="AC1082" i="1"/>
  <c r="AB1082" i="1"/>
  <c r="Z1082" i="1"/>
  <c r="W1082" i="1"/>
  <c r="Y1082" i="1" s="1"/>
  <c r="V1082" i="1"/>
  <c r="T1082" i="1"/>
  <c r="R1082" i="1"/>
  <c r="Q1082" i="1" a="1"/>
  <c r="Q1082" i="1" s="1"/>
  <c r="P1082" i="1"/>
  <c r="N1082" i="1"/>
  <c r="L1082" i="1"/>
  <c r="K1082" i="1" a="1"/>
  <c r="K1082" i="1" s="1"/>
  <c r="U1082" i="1" s="1"/>
  <c r="J1082" i="1" a="1"/>
  <c r="J1082" i="1" s="1"/>
  <c r="H1082" i="1" a="1"/>
  <c r="H1082" i="1" s="1"/>
  <c r="AS1081" i="1"/>
  <c r="AA1081" i="1" s="1"/>
  <c r="AO1081" i="1"/>
  <c r="AN1081" i="1"/>
  <c r="AM1081" i="1"/>
  <c r="AL1081" i="1"/>
  <c r="AK1081" i="1"/>
  <c r="AJ1081" i="1"/>
  <c r="AI1081" i="1"/>
  <c r="AH1081" i="1"/>
  <c r="AG1081" i="1"/>
  <c r="AF1081" i="1"/>
  <c r="AE1081" i="1"/>
  <c r="AD1081" i="1"/>
  <c r="AC1081" i="1"/>
  <c r="AB1081" i="1"/>
  <c r="Z1081" i="1"/>
  <c r="W1081" i="1"/>
  <c r="X1081" i="1" s="1"/>
  <c r="V1081" i="1"/>
  <c r="T1081" i="1"/>
  <c r="R1081" i="1"/>
  <c r="Q1081" i="1" a="1"/>
  <c r="Q1081" i="1" s="1"/>
  <c r="P1081" i="1"/>
  <c r="N1081" i="1"/>
  <c r="L1081" i="1"/>
  <c r="K1081" i="1" a="1"/>
  <c r="K1081" i="1" s="1"/>
  <c r="U1081" i="1" s="1"/>
  <c r="J1081" i="1" a="1"/>
  <c r="J1081" i="1" s="1"/>
  <c r="H1081" i="1" a="1"/>
  <c r="H1081" i="1" s="1"/>
  <c r="AS1080" i="1"/>
  <c r="AA1080" i="1" s="1"/>
  <c r="AO1080" i="1"/>
  <c r="AN1080" i="1"/>
  <c r="AM1080" i="1"/>
  <c r="AL1080" i="1"/>
  <c r="AK1080" i="1"/>
  <c r="AJ1080" i="1"/>
  <c r="AI1080" i="1"/>
  <c r="AH1080" i="1"/>
  <c r="AG1080" i="1"/>
  <c r="AF1080" i="1"/>
  <c r="AE1080" i="1"/>
  <c r="AD1080" i="1"/>
  <c r="AC1080" i="1"/>
  <c r="AB1080" i="1"/>
  <c r="Z1080" i="1"/>
  <c r="W1080" i="1"/>
  <c r="V1080" i="1"/>
  <c r="T1080" i="1"/>
  <c r="R1080" i="1"/>
  <c r="Q1080" i="1" a="1"/>
  <c r="Q1080" i="1" s="1"/>
  <c r="P1080" i="1"/>
  <c r="N1080" i="1"/>
  <c r="L1080" i="1"/>
  <c r="K1080" i="1" a="1"/>
  <c r="K1080" i="1" s="1"/>
  <c r="U1080" i="1" s="1"/>
  <c r="J1080" i="1" a="1"/>
  <c r="J1080" i="1" s="1"/>
  <c r="H1080" i="1" a="1"/>
  <c r="H1080" i="1" s="1"/>
  <c r="I1080" i="1" s="1"/>
  <c r="S1080" i="1" s="1"/>
  <c r="AT1079" i="1"/>
  <c r="AB1079" i="1" s="1"/>
  <c r="AS1079" i="1"/>
  <c r="AA1079" i="1" s="1"/>
  <c r="AO1079" i="1"/>
  <c r="AN1079" i="1"/>
  <c r="AM1079" i="1"/>
  <c r="AL1079" i="1"/>
  <c r="AK1079" i="1"/>
  <c r="AJ1079" i="1"/>
  <c r="AI1079" i="1"/>
  <c r="AH1079" i="1"/>
  <c r="AG1079" i="1"/>
  <c r="AF1079" i="1"/>
  <c r="AE1079" i="1"/>
  <c r="AD1079" i="1"/>
  <c r="AC1079" i="1"/>
  <c r="Z1079" i="1"/>
  <c r="W1079" i="1"/>
  <c r="V1079" i="1"/>
  <c r="T1079" i="1"/>
  <c r="R1079" i="1"/>
  <c r="Q1079" i="1" a="1"/>
  <c r="Q1079" i="1" s="1"/>
  <c r="P1079" i="1"/>
  <c r="N1079" i="1"/>
  <c r="L1079" i="1"/>
  <c r="K1079" i="1" a="1"/>
  <c r="K1079" i="1" s="1"/>
  <c r="U1079" i="1" s="1"/>
  <c r="J1079" i="1" a="1"/>
  <c r="J1079" i="1" s="1"/>
  <c r="H1079" i="1" a="1"/>
  <c r="H1079" i="1" s="1"/>
  <c r="I1079" i="1" s="1"/>
  <c r="S1079" i="1" s="1"/>
  <c r="AS1078" i="1"/>
  <c r="AA1078" i="1" s="1"/>
  <c r="AO1078" i="1"/>
  <c r="AN1078" i="1"/>
  <c r="AM1078" i="1"/>
  <c r="AL1078" i="1"/>
  <c r="AK1078" i="1"/>
  <c r="AJ1078" i="1"/>
  <c r="AI1078" i="1"/>
  <c r="AH1078" i="1"/>
  <c r="AG1078" i="1"/>
  <c r="AF1078" i="1"/>
  <c r="AE1078" i="1"/>
  <c r="AD1078" i="1"/>
  <c r="AC1078" i="1"/>
  <c r="AB1078" i="1"/>
  <c r="Z1078" i="1"/>
  <c r="W1078" i="1"/>
  <c r="V1078" i="1"/>
  <c r="T1078" i="1"/>
  <c r="R1078" i="1"/>
  <c r="Q1078" i="1" a="1"/>
  <c r="Q1078" i="1" s="1"/>
  <c r="P1078" i="1"/>
  <c r="N1078" i="1"/>
  <c r="L1078" i="1"/>
  <c r="K1078" i="1" a="1"/>
  <c r="K1078" i="1" s="1"/>
  <c r="U1078" i="1" s="1"/>
  <c r="J1078" i="1" a="1"/>
  <c r="J1078" i="1" s="1"/>
  <c r="H1078" i="1" a="1"/>
  <c r="H1078" i="1" s="1"/>
  <c r="I1078" i="1" s="1"/>
  <c r="S1078" i="1" s="1"/>
  <c r="AS1077" i="1"/>
  <c r="AA1077" i="1" s="1"/>
  <c r="AO1077" i="1"/>
  <c r="AN1077" i="1"/>
  <c r="AM1077" i="1"/>
  <c r="AL1077" i="1"/>
  <c r="AK1077" i="1"/>
  <c r="AJ1077" i="1"/>
  <c r="AI1077" i="1"/>
  <c r="AH1077" i="1"/>
  <c r="AG1077" i="1"/>
  <c r="AF1077" i="1"/>
  <c r="AE1077" i="1"/>
  <c r="AD1077" i="1"/>
  <c r="AC1077" i="1"/>
  <c r="AB1077" i="1"/>
  <c r="Z1077" i="1"/>
  <c r="W1077" i="1"/>
  <c r="V1077" i="1"/>
  <c r="T1077" i="1"/>
  <c r="R1077" i="1"/>
  <c r="Q1077" i="1" a="1"/>
  <c r="Q1077" i="1" s="1"/>
  <c r="P1077" i="1"/>
  <c r="N1077" i="1"/>
  <c r="L1077" i="1"/>
  <c r="K1077" i="1" a="1"/>
  <c r="K1077" i="1" s="1"/>
  <c r="U1077" i="1" s="1"/>
  <c r="J1077" i="1" a="1"/>
  <c r="J1077" i="1" s="1"/>
  <c r="H1077" i="1" a="1"/>
  <c r="H1077" i="1" s="1"/>
  <c r="AT1076" i="1"/>
  <c r="AB1076" i="1" s="1"/>
  <c r="AS1076" i="1"/>
  <c r="AA1076" i="1" s="1"/>
  <c r="AO1076" i="1"/>
  <c r="AN1076" i="1"/>
  <c r="AM1076" i="1"/>
  <c r="AL1076" i="1"/>
  <c r="AK1076" i="1"/>
  <c r="AJ1076" i="1"/>
  <c r="AI1076" i="1"/>
  <c r="AH1076" i="1"/>
  <c r="AG1076" i="1"/>
  <c r="AF1076" i="1"/>
  <c r="AE1076" i="1"/>
  <c r="AD1076" i="1"/>
  <c r="AC1076" i="1"/>
  <c r="Z1076" i="1"/>
  <c r="W1076" i="1"/>
  <c r="X1076" i="1" s="1"/>
  <c r="V1076" i="1"/>
  <c r="T1076" i="1"/>
  <c r="R1076" i="1"/>
  <c r="Q1076" i="1" a="1"/>
  <c r="Q1076" i="1" s="1"/>
  <c r="P1076" i="1"/>
  <c r="N1076" i="1"/>
  <c r="L1076" i="1"/>
  <c r="K1076" i="1" a="1"/>
  <c r="K1076" i="1" s="1"/>
  <c r="U1076" i="1" s="1"/>
  <c r="J1076" i="1" a="1"/>
  <c r="J1076" i="1" s="1"/>
  <c r="H1076" i="1" a="1"/>
  <c r="H1076" i="1" s="1"/>
  <c r="AU1075" i="1"/>
  <c r="AC1075" i="1" s="1"/>
  <c r="AT1075" i="1"/>
  <c r="AB1075" i="1" s="1"/>
  <c r="AS1075" i="1"/>
  <c r="AA1075" i="1" s="1"/>
  <c r="AO1075" i="1"/>
  <c r="AN1075" i="1"/>
  <c r="AM1075" i="1"/>
  <c r="AL1075" i="1"/>
  <c r="AK1075" i="1"/>
  <c r="AJ1075" i="1"/>
  <c r="AI1075" i="1"/>
  <c r="AH1075" i="1"/>
  <c r="AG1075" i="1"/>
  <c r="AF1075" i="1"/>
  <c r="AE1075" i="1"/>
  <c r="AD1075" i="1"/>
  <c r="Z1075" i="1"/>
  <c r="W1075" i="1"/>
  <c r="V1075" i="1"/>
  <c r="N1075" i="1"/>
  <c r="L1075" i="1"/>
  <c r="K1075" i="1" a="1"/>
  <c r="K1075" i="1" s="1"/>
  <c r="J1075" i="1" a="1"/>
  <c r="J1075" i="1" s="1"/>
  <c r="H1075" i="1" a="1"/>
  <c r="H1075" i="1" s="1"/>
  <c r="I1075" i="1" s="1"/>
  <c r="AS1074" i="1"/>
  <c r="AA1074" i="1" s="1"/>
  <c r="AO1074" i="1"/>
  <c r="AN1074" i="1"/>
  <c r="AM1074" i="1"/>
  <c r="AL1074" i="1"/>
  <c r="AK1074" i="1"/>
  <c r="AJ1074" i="1"/>
  <c r="AI1074" i="1"/>
  <c r="AH1074" i="1"/>
  <c r="AG1074" i="1"/>
  <c r="AF1074" i="1"/>
  <c r="AE1074" i="1"/>
  <c r="AD1074" i="1"/>
  <c r="AC1074" i="1"/>
  <c r="AB1074" i="1"/>
  <c r="Z1074" i="1"/>
  <c r="W1074" i="1"/>
  <c r="Y1074" i="1" s="1"/>
  <c r="V1074" i="1"/>
  <c r="T1074" i="1"/>
  <c r="R1074" i="1"/>
  <c r="Q1074" i="1" a="1"/>
  <c r="Q1074" i="1" s="1"/>
  <c r="P1074" i="1"/>
  <c r="N1074" i="1"/>
  <c r="L1074" i="1"/>
  <c r="K1074" i="1" a="1"/>
  <c r="K1074" i="1" s="1"/>
  <c r="U1074" i="1" s="1"/>
  <c r="J1074" i="1" a="1"/>
  <c r="J1074" i="1" s="1"/>
  <c r="H1074" i="1" a="1"/>
  <c r="H1074" i="1" s="1"/>
  <c r="AT1073" i="1"/>
  <c r="AB1073" i="1" s="1"/>
  <c r="AS1073" i="1"/>
  <c r="AA1073" i="1" s="1"/>
  <c r="AO1073" i="1"/>
  <c r="AN1073" i="1"/>
  <c r="AM1073" i="1"/>
  <c r="AL1073" i="1"/>
  <c r="AK1073" i="1"/>
  <c r="AJ1073" i="1"/>
  <c r="AI1073" i="1"/>
  <c r="AH1073" i="1"/>
  <c r="AG1073" i="1"/>
  <c r="AF1073" i="1"/>
  <c r="AE1073" i="1"/>
  <c r="AD1073" i="1"/>
  <c r="AC1073" i="1"/>
  <c r="Z1073" i="1"/>
  <c r="W1073" i="1"/>
  <c r="V1073" i="1"/>
  <c r="T1073" i="1"/>
  <c r="R1073" i="1"/>
  <c r="Q1073" i="1" a="1"/>
  <c r="Q1073" i="1" s="1"/>
  <c r="P1073" i="1"/>
  <c r="N1073" i="1"/>
  <c r="L1073" i="1"/>
  <c r="K1073" i="1" a="1"/>
  <c r="K1073" i="1" s="1"/>
  <c r="U1073" i="1" s="1"/>
  <c r="J1073" i="1" a="1"/>
  <c r="J1073" i="1" s="1"/>
  <c r="H1073" i="1" a="1"/>
  <c r="H1073" i="1" s="1"/>
  <c r="AS1072" i="1"/>
  <c r="AA1072" i="1" s="1"/>
  <c r="AO1072" i="1"/>
  <c r="AN1072" i="1"/>
  <c r="AM1072" i="1"/>
  <c r="AL1072" i="1"/>
  <c r="AK1072" i="1"/>
  <c r="AJ1072" i="1"/>
  <c r="AI1072" i="1"/>
  <c r="AH1072" i="1"/>
  <c r="AG1072" i="1"/>
  <c r="AF1072" i="1"/>
  <c r="AE1072" i="1"/>
  <c r="AD1072" i="1"/>
  <c r="AC1072" i="1"/>
  <c r="AB1072" i="1"/>
  <c r="Z1072" i="1"/>
  <c r="W1072" i="1"/>
  <c r="Y1072" i="1" s="1"/>
  <c r="V1072" i="1"/>
  <c r="T1072" i="1"/>
  <c r="R1072" i="1"/>
  <c r="Q1072" i="1" a="1"/>
  <c r="Q1072" i="1" s="1"/>
  <c r="P1072" i="1"/>
  <c r="N1072" i="1"/>
  <c r="L1072" i="1"/>
  <c r="K1072" i="1" a="1"/>
  <c r="K1072" i="1" s="1"/>
  <c r="U1072" i="1" s="1"/>
  <c r="J1072" i="1" a="1"/>
  <c r="J1072" i="1" s="1"/>
  <c r="H1072" i="1" a="1"/>
  <c r="H1072" i="1" s="1"/>
  <c r="I1072" i="1" s="1"/>
  <c r="S1072" i="1" s="1"/>
  <c r="AS1071" i="1"/>
  <c r="AA1071" i="1" s="1"/>
  <c r="AO1071" i="1"/>
  <c r="AN1071" i="1"/>
  <c r="AM1071" i="1"/>
  <c r="AL1071" i="1"/>
  <c r="AK1071" i="1"/>
  <c r="AJ1071" i="1"/>
  <c r="AI1071" i="1"/>
  <c r="AH1071" i="1"/>
  <c r="AG1071" i="1"/>
  <c r="AF1071" i="1"/>
  <c r="AE1071" i="1"/>
  <c r="AD1071" i="1"/>
  <c r="AC1071" i="1"/>
  <c r="AB1071" i="1"/>
  <c r="Z1071" i="1"/>
  <c r="W1071" i="1"/>
  <c r="V1071" i="1"/>
  <c r="T1071" i="1"/>
  <c r="R1071" i="1"/>
  <c r="Q1071" i="1" a="1"/>
  <c r="Q1071" i="1" s="1"/>
  <c r="P1071" i="1"/>
  <c r="N1071" i="1"/>
  <c r="L1071" i="1"/>
  <c r="K1071" i="1" a="1"/>
  <c r="K1071" i="1" s="1"/>
  <c r="U1071" i="1" s="1"/>
  <c r="J1071" i="1" a="1"/>
  <c r="J1071" i="1" s="1"/>
  <c r="H1071" i="1" a="1"/>
  <c r="H1071" i="1" s="1"/>
  <c r="I1071" i="1" s="1"/>
  <c r="S1071" i="1" s="1"/>
  <c r="AS1070" i="1"/>
  <c r="AA1070" i="1" s="1"/>
  <c r="AO1070" i="1"/>
  <c r="AN1070" i="1"/>
  <c r="AM1070" i="1"/>
  <c r="AL1070" i="1"/>
  <c r="AK1070" i="1"/>
  <c r="AJ1070" i="1"/>
  <c r="AI1070" i="1"/>
  <c r="AH1070" i="1"/>
  <c r="AG1070" i="1"/>
  <c r="AF1070" i="1"/>
  <c r="AE1070" i="1"/>
  <c r="AD1070" i="1"/>
  <c r="AC1070" i="1"/>
  <c r="AB1070" i="1"/>
  <c r="Z1070" i="1"/>
  <c r="Y1070" i="1"/>
  <c r="W1070" i="1"/>
  <c r="X1070" i="1" s="1"/>
  <c r="V1070" i="1"/>
  <c r="T1070" i="1"/>
  <c r="R1070" i="1"/>
  <c r="Q1070" i="1" a="1"/>
  <c r="Q1070" i="1" s="1"/>
  <c r="P1070" i="1"/>
  <c r="N1070" i="1"/>
  <c r="L1070" i="1"/>
  <c r="K1070" i="1" a="1"/>
  <c r="K1070" i="1" s="1"/>
  <c r="U1070" i="1" s="1"/>
  <c r="J1070" i="1" a="1"/>
  <c r="J1070" i="1" s="1"/>
  <c r="H1070" i="1" a="1"/>
  <c r="H1070" i="1" s="1"/>
  <c r="AS1069" i="1"/>
  <c r="AA1069" i="1" s="1"/>
  <c r="AO1069" i="1"/>
  <c r="AN1069" i="1"/>
  <c r="AM1069" i="1"/>
  <c r="AL1069" i="1"/>
  <c r="AK1069" i="1"/>
  <c r="AJ1069" i="1"/>
  <c r="AI1069" i="1"/>
  <c r="AH1069" i="1"/>
  <c r="AG1069" i="1"/>
  <c r="AF1069" i="1"/>
  <c r="AE1069" i="1"/>
  <c r="AD1069" i="1"/>
  <c r="AC1069" i="1"/>
  <c r="AB1069" i="1"/>
  <c r="Z1069" i="1"/>
  <c r="W1069" i="1"/>
  <c r="Y1069" i="1" s="1"/>
  <c r="V1069" i="1"/>
  <c r="T1069" i="1"/>
  <c r="R1069" i="1"/>
  <c r="Q1069" i="1" a="1"/>
  <c r="Q1069" i="1" s="1"/>
  <c r="P1069" i="1"/>
  <c r="N1069" i="1"/>
  <c r="L1069" i="1"/>
  <c r="K1069" i="1" a="1"/>
  <c r="K1069" i="1" s="1"/>
  <c r="U1069" i="1" s="1"/>
  <c r="J1069" i="1" a="1"/>
  <c r="J1069" i="1" s="1"/>
  <c r="H1069" i="1" a="1"/>
  <c r="H1069" i="1" s="1"/>
  <c r="AS1068" i="1"/>
  <c r="AA1068" i="1" s="1"/>
  <c r="AO1068" i="1"/>
  <c r="AN1068" i="1"/>
  <c r="AM1068" i="1"/>
  <c r="AL1068" i="1"/>
  <c r="AK1068" i="1"/>
  <c r="AJ1068" i="1"/>
  <c r="AI1068" i="1"/>
  <c r="AH1068" i="1"/>
  <c r="AG1068" i="1"/>
  <c r="AF1068" i="1"/>
  <c r="AE1068" i="1"/>
  <c r="AD1068" i="1"/>
  <c r="AC1068" i="1"/>
  <c r="AB1068" i="1"/>
  <c r="Z1068" i="1"/>
  <c r="W1068" i="1"/>
  <c r="Y1068" i="1" s="1"/>
  <c r="V1068" i="1"/>
  <c r="T1068" i="1"/>
  <c r="R1068" i="1"/>
  <c r="Q1068" i="1" a="1"/>
  <c r="Q1068" i="1" s="1"/>
  <c r="P1068" i="1"/>
  <c r="N1068" i="1"/>
  <c r="L1068" i="1"/>
  <c r="K1068" i="1" a="1"/>
  <c r="K1068" i="1" s="1"/>
  <c r="U1068" i="1" s="1"/>
  <c r="J1068" i="1" a="1"/>
  <c r="J1068" i="1" s="1"/>
  <c r="H1068" i="1" a="1"/>
  <c r="H1068" i="1" s="1"/>
  <c r="I1068" i="1" s="1"/>
  <c r="S1068" i="1" s="1"/>
  <c r="AT1067" i="1"/>
  <c r="AB1067" i="1" s="1"/>
  <c r="AS1067" i="1"/>
  <c r="AA1067" i="1" s="1"/>
  <c r="AO1067" i="1"/>
  <c r="AN1067" i="1"/>
  <c r="AM1067" i="1"/>
  <c r="AL1067" i="1"/>
  <c r="AK1067" i="1"/>
  <c r="AJ1067" i="1"/>
  <c r="AI1067" i="1"/>
  <c r="AH1067" i="1"/>
  <c r="AG1067" i="1"/>
  <c r="AF1067" i="1"/>
  <c r="AE1067" i="1"/>
  <c r="AD1067" i="1"/>
  <c r="AC1067" i="1"/>
  <c r="Z1067" i="1"/>
  <c r="W1067" i="1"/>
  <c r="Y1067" i="1" s="1"/>
  <c r="V1067" i="1"/>
  <c r="T1067" i="1"/>
  <c r="R1067" i="1"/>
  <c r="Q1067" i="1" a="1"/>
  <c r="Q1067" i="1" s="1"/>
  <c r="P1067" i="1"/>
  <c r="N1067" i="1"/>
  <c r="L1067" i="1"/>
  <c r="K1067" i="1" a="1"/>
  <c r="K1067" i="1" s="1"/>
  <c r="U1067" i="1" s="1"/>
  <c r="J1067" i="1" a="1"/>
  <c r="J1067" i="1" s="1"/>
  <c r="H1067" i="1" a="1"/>
  <c r="H1067" i="1" s="1"/>
  <c r="I1067" i="1" s="1"/>
  <c r="S1067" i="1" s="1"/>
  <c r="AS1066" i="1"/>
  <c r="AA1066" i="1" s="1"/>
  <c r="AO1066" i="1"/>
  <c r="AN1066" i="1"/>
  <c r="AM1066" i="1"/>
  <c r="AL1066" i="1"/>
  <c r="AK1066" i="1"/>
  <c r="AJ1066" i="1"/>
  <c r="AI1066" i="1"/>
  <c r="AH1066" i="1"/>
  <c r="AG1066" i="1"/>
  <c r="AF1066" i="1"/>
  <c r="AE1066" i="1"/>
  <c r="AD1066" i="1"/>
  <c r="AC1066" i="1"/>
  <c r="AB1066" i="1"/>
  <c r="Z1066" i="1"/>
  <c r="W1066" i="1"/>
  <c r="V1066" i="1"/>
  <c r="T1066" i="1"/>
  <c r="R1066" i="1"/>
  <c r="Q1066" i="1" a="1"/>
  <c r="Q1066" i="1" s="1"/>
  <c r="P1066" i="1"/>
  <c r="N1066" i="1"/>
  <c r="L1066" i="1"/>
  <c r="K1066" i="1" a="1"/>
  <c r="K1066" i="1" s="1"/>
  <c r="U1066" i="1" s="1"/>
  <c r="J1066" i="1" a="1"/>
  <c r="J1066" i="1" s="1"/>
  <c r="H1066" i="1" a="1"/>
  <c r="H1066" i="1" s="1"/>
  <c r="AT1065" i="1"/>
  <c r="AB1065" i="1" s="1"/>
  <c r="AS1065" i="1"/>
  <c r="AA1065" i="1" s="1"/>
  <c r="AO1065" i="1"/>
  <c r="AN1065" i="1"/>
  <c r="AM1065" i="1"/>
  <c r="AL1065" i="1"/>
  <c r="AK1065" i="1"/>
  <c r="AJ1065" i="1"/>
  <c r="AI1065" i="1"/>
  <c r="AH1065" i="1"/>
  <c r="AG1065" i="1"/>
  <c r="AF1065" i="1"/>
  <c r="AE1065" i="1"/>
  <c r="AD1065" i="1"/>
  <c r="AC1065" i="1"/>
  <c r="Z1065" i="1"/>
  <c r="W1065" i="1"/>
  <c r="V1065" i="1"/>
  <c r="T1065" i="1"/>
  <c r="R1065" i="1"/>
  <c r="Q1065" i="1" a="1"/>
  <c r="Q1065" i="1" s="1"/>
  <c r="P1065" i="1"/>
  <c r="N1065" i="1"/>
  <c r="L1065" i="1"/>
  <c r="K1065" i="1" a="1"/>
  <c r="K1065" i="1" s="1"/>
  <c r="U1065" i="1" s="1"/>
  <c r="J1065" i="1" a="1"/>
  <c r="J1065" i="1" s="1"/>
  <c r="H1065" i="1" a="1"/>
  <c r="H1065" i="1" s="1"/>
  <c r="I1065" i="1" s="1"/>
  <c r="S1065" i="1" s="1"/>
  <c r="AT1064" i="1"/>
  <c r="AB1064" i="1" s="1"/>
  <c r="AS1064" i="1"/>
  <c r="AA1064" i="1" s="1"/>
  <c r="AO1064" i="1"/>
  <c r="AN1064" i="1"/>
  <c r="AM1064" i="1"/>
  <c r="AL1064" i="1"/>
  <c r="AK1064" i="1"/>
  <c r="AJ1064" i="1"/>
  <c r="AI1064" i="1"/>
  <c r="AH1064" i="1"/>
  <c r="AG1064" i="1"/>
  <c r="AF1064" i="1"/>
  <c r="AE1064" i="1"/>
  <c r="AD1064" i="1"/>
  <c r="AC1064" i="1"/>
  <c r="Z1064" i="1"/>
  <c r="W1064" i="1"/>
  <c r="V1064" i="1"/>
  <c r="T1064" i="1"/>
  <c r="R1064" i="1"/>
  <c r="Q1064" i="1" a="1"/>
  <c r="Q1064" i="1" s="1"/>
  <c r="P1064" i="1"/>
  <c r="N1064" i="1"/>
  <c r="L1064" i="1"/>
  <c r="K1064" i="1" a="1"/>
  <c r="K1064" i="1" s="1"/>
  <c r="U1064" i="1" s="1"/>
  <c r="J1064" i="1" a="1"/>
  <c r="J1064" i="1" s="1"/>
  <c r="H1064" i="1" a="1"/>
  <c r="H1064" i="1" s="1"/>
  <c r="I1064" i="1" s="1"/>
  <c r="S1064" i="1" s="1"/>
  <c r="AT1063" i="1"/>
  <c r="AB1063" i="1" s="1"/>
  <c r="AS1063" i="1"/>
  <c r="AA1063" i="1" s="1"/>
  <c r="AO1063" i="1"/>
  <c r="AN1063" i="1"/>
  <c r="AM1063" i="1"/>
  <c r="AL1063" i="1"/>
  <c r="AK1063" i="1"/>
  <c r="AJ1063" i="1"/>
  <c r="AI1063" i="1"/>
  <c r="AH1063" i="1"/>
  <c r="AG1063" i="1"/>
  <c r="AF1063" i="1"/>
  <c r="AE1063" i="1"/>
  <c r="AD1063" i="1"/>
  <c r="AC1063" i="1"/>
  <c r="Z1063" i="1"/>
  <c r="W1063" i="1"/>
  <c r="V1063" i="1"/>
  <c r="T1063" i="1"/>
  <c r="R1063" i="1"/>
  <c r="Q1063" i="1" a="1"/>
  <c r="Q1063" i="1" s="1"/>
  <c r="P1063" i="1"/>
  <c r="N1063" i="1"/>
  <c r="L1063" i="1"/>
  <c r="K1063" i="1" a="1"/>
  <c r="K1063" i="1" s="1"/>
  <c r="U1063" i="1" s="1"/>
  <c r="J1063" i="1" a="1"/>
  <c r="J1063" i="1" s="1"/>
  <c r="H1063" i="1" a="1"/>
  <c r="H1063" i="1" s="1"/>
  <c r="I1063" i="1" s="1"/>
  <c r="S1063" i="1" s="1"/>
  <c r="AT1062" i="1"/>
  <c r="AB1062" i="1" s="1"/>
  <c r="AS1062" i="1"/>
  <c r="AA1062" i="1" s="1"/>
  <c r="AO1062" i="1"/>
  <c r="AN1062" i="1"/>
  <c r="AM1062" i="1"/>
  <c r="AL1062" i="1"/>
  <c r="AK1062" i="1"/>
  <c r="AJ1062" i="1"/>
  <c r="AI1062" i="1"/>
  <c r="AH1062" i="1"/>
  <c r="AG1062" i="1"/>
  <c r="AF1062" i="1"/>
  <c r="AE1062" i="1"/>
  <c r="AD1062" i="1"/>
  <c r="AC1062" i="1"/>
  <c r="Z1062" i="1"/>
  <c r="W1062" i="1"/>
  <c r="V1062" i="1"/>
  <c r="T1062" i="1"/>
  <c r="R1062" i="1"/>
  <c r="Q1062" i="1" a="1"/>
  <c r="Q1062" i="1" s="1"/>
  <c r="P1062" i="1"/>
  <c r="N1062" i="1"/>
  <c r="L1062" i="1"/>
  <c r="K1062" i="1" a="1"/>
  <c r="K1062" i="1" s="1"/>
  <c r="U1062" i="1" s="1"/>
  <c r="J1062" i="1" a="1"/>
  <c r="J1062" i="1" s="1"/>
  <c r="H1062" i="1" a="1"/>
  <c r="H1062" i="1" s="1"/>
  <c r="I1062" i="1" s="1"/>
  <c r="S1062" i="1" s="1"/>
  <c r="AT1061" i="1"/>
  <c r="AB1061" i="1" s="1"/>
  <c r="AS1061" i="1"/>
  <c r="AA1061" i="1" s="1"/>
  <c r="AO1061" i="1"/>
  <c r="AN1061" i="1"/>
  <c r="AM1061" i="1"/>
  <c r="AL1061" i="1"/>
  <c r="AK1061" i="1"/>
  <c r="AJ1061" i="1"/>
  <c r="AI1061" i="1"/>
  <c r="AH1061" i="1"/>
  <c r="AG1061" i="1"/>
  <c r="AF1061" i="1"/>
  <c r="AE1061" i="1"/>
  <c r="AD1061" i="1"/>
  <c r="AC1061" i="1"/>
  <c r="Z1061" i="1"/>
  <c r="W1061" i="1"/>
  <c r="V1061" i="1"/>
  <c r="T1061" i="1"/>
  <c r="R1061" i="1"/>
  <c r="Q1061" i="1" a="1"/>
  <c r="Q1061" i="1" s="1"/>
  <c r="P1061" i="1"/>
  <c r="N1061" i="1"/>
  <c r="L1061" i="1"/>
  <c r="K1061" i="1" a="1"/>
  <c r="K1061" i="1" s="1"/>
  <c r="U1061" i="1" s="1"/>
  <c r="J1061" i="1" a="1"/>
  <c r="J1061" i="1" s="1"/>
  <c r="H1061" i="1" a="1"/>
  <c r="H1061" i="1" s="1"/>
  <c r="I1061" i="1" s="1"/>
  <c r="S1061" i="1" s="1"/>
  <c r="AT1060" i="1"/>
  <c r="AB1060" i="1" s="1"/>
  <c r="AS1060" i="1"/>
  <c r="AA1060" i="1" s="1"/>
  <c r="AO1060" i="1"/>
  <c r="AN1060" i="1"/>
  <c r="AM1060" i="1"/>
  <c r="AL1060" i="1"/>
  <c r="AK1060" i="1"/>
  <c r="AJ1060" i="1"/>
  <c r="AI1060" i="1"/>
  <c r="AH1060" i="1"/>
  <c r="AG1060" i="1"/>
  <c r="AF1060" i="1"/>
  <c r="AE1060" i="1"/>
  <c r="AD1060" i="1"/>
  <c r="AC1060" i="1"/>
  <c r="Z1060" i="1"/>
  <c r="W1060" i="1"/>
  <c r="V1060" i="1"/>
  <c r="T1060" i="1"/>
  <c r="R1060" i="1"/>
  <c r="Q1060" i="1" a="1"/>
  <c r="Q1060" i="1" s="1"/>
  <c r="P1060" i="1"/>
  <c r="N1060" i="1"/>
  <c r="L1060" i="1"/>
  <c r="K1060" i="1" a="1"/>
  <c r="K1060" i="1" s="1"/>
  <c r="U1060" i="1" s="1"/>
  <c r="J1060" i="1" a="1"/>
  <c r="J1060" i="1" s="1"/>
  <c r="H1060" i="1" a="1"/>
  <c r="H1060" i="1" s="1"/>
  <c r="I1060" i="1" s="1"/>
  <c r="S1060" i="1" s="1"/>
  <c r="AT1059" i="1"/>
  <c r="AB1059" i="1" s="1"/>
  <c r="AS1059" i="1"/>
  <c r="AA1059" i="1" s="1"/>
  <c r="AO1059" i="1"/>
  <c r="AN1059" i="1"/>
  <c r="AM1059" i="1"/>
  <c r="AL1059" i="1"/>
  <c r="AK1059" i="1"/>
  <c r="AJ1059" i="1"/>
  <c r="AI1059" i="1"/>
  <c r="AH1059" i="1"/>
  <c r="AG1059" i="1"/>
  <c r="AF1059" i="1"/>
  <c r="AE1059" i="1"/>
  <c r="AD1059" i="1"/>
  <c r="AC1059" i="1"/>
  <c r="Z1059" i="1"/>
  <c r="W1059" i="1"/>
  <c r="V1059" i="1"/>
  <c r="T1059" i="1"/>
  <c r="R1059" i="1"/>
  <c r="Q1059" i="1" a="1"/>
  <c r="Q1059" i="1" s="1"/>
  <c r="P1059" i="1"/>
  <c r="N1059" i="1"/>
  <c r="L1059" i="1"/>
  <c r="K1059" i="1" a="1"/>
  <c r="K1059" i="1" s="1"/>
  <c r="U1059" i="1" s="1"/>
  <c r="J1059" i="1" a="1"/>
  <c r="J1059" i="1" s="1"/>
  <c r="H1059" i="1" a="1"/>
  <c r="H1059" i="1" s="1"/>
  <c r="I1059" i="1" s="1"/>
  <c r="S1059" i="1" s="1"/>
  <c r="AS1058" i="1"/>
  <c r="AA1058" i="1" s="1"/>
  <c r="AO1058" i="1"/>
  <c r="AN1058" i="1"/>
  <c r="AM1058" i="1"/>
  <c r="AL1058" i="1"/>
  <c r="AK1058" i="1"/>
  <c r="AJ1058" i="1"/>
  <c r="AI1058" i="1"/>
  <c r="AH1058" i="1"/>
  <c r="AG1058" i="1"/>
  <c r="AF1058" i="1"/>
  <c r="AE1058" i="1"/>
  <c r="AD1058" i="1"/>
  <c r="AC1058" i="1"/>
  <c r="AB1058" i="1"/>
  <c r="Z1058" i="1"/>
  <c r="W1058" i="1"/>
  <c r="Y1058" i="1" s="1"/>
  <c r="V1058" i="1"/>
  <c r="T1058" i="1"/>
  <c r="R1058" i="1"/>
  <c r="Q1058" i="1" a="1"/>
  <c r="Q1058" i="1" s="1"/>
  <c r="P1058" i="1"/>
  <c r="N1058" i="1"/>
  <c r="L1058" i="1"/>
  <c r="K1058" i="1" a="1"/>
  <c r="K1058" i="1" s="1"/>
  <c r="U1058" i="1" s="1"/>
  <c r="J1058" i="1" a="1"/>
  <c r="J1058" i="1" s="1"/>
  <c r="H1058" i="1" a="1"/>
  <c r="H1058" i="1" s="1"/>
  <c r="I1058" i="1" s="1"/>
  <c r="S1058" i="1" s="1"/>
  <c r="AS1057" i="1"/>
  <c r="AA1057" i="1" s="1"/>
  <c r="AO1057" i="1"/>
  <c r="AN1057" i="1"/>
  <c r="AM1057" i="1"/>
  <c r="AL1057" i="1"/>
  <c r="AK1057" i="1"/>
  <c r="AJ1057" i="1"/>
  <c r="AI1057" i="1"/>
  <c r="AH1057" i="1"/>
  <c r="AG1057" i="1"/>
  <c r="AF1057" i="1"/>
  <c r="AE1057" i="1"/>
  <c r="AD1057" i="1"/>
  <c r="AC1057" i="1"/>
  <c r="AB1057" i="1"/>
  <c r="Z1057" i="1"/>
  <c r="W1057" i="1"/>
  <c r="V1057" i="1"/>
  <c r="T1057" i="1"/>
  <c r="R1057" i="1"/>
  <c r="Q1057" i="1" a="1"/>
  <c r="Q1057" i="1" s="1"/>
  <c r="P1057" i="1"/>
  <c r="N1057" i="1"/>
  <c r="L1057" i="1"/>
  <c r="K1057" i="1" a="1"/>
  <c r="K1057" i="1" s="1"/>
  <c r="U1057" i="1" s="1"/>
  <c r="J1057" i="1" a="1"/>
  <c r="J1057" i="1" s="1"/>
  <c r="H1057" i="1" a="1"/>
  <c r="H1057" i="1" s="1"/>
  <c r="I1057" i="1" s="1"/>
  <c r="S1057" i="1" s="1"/>
  <c r="AS1056" i="1"/>
  <c r="AA1056" i="1" s="1"/>
  <c r="AO1056" i="1"/>
  <c r="AN1056" i="1"/>
  <c r="AM1056" i="1"/>
  <c r="AL1056" i="1"/>
  <c r="AK1056" i="1"/>
  <c r="AJ1056" i="1"/>
  <c r="AI1056" i="1"/>
  <c r="AH1056" i="1"/>
  <c r="AG1056" i="1"/>
  <c r="AF1056" i="1"/>
  <c r="AE1056" i="1"/>
  <c r="AD1056" i="1"/>
  <c r="AC1056" i="1"/>
  <c r="AB1056" i="1"/>
  <c r="Z1056" i="1"/>
  <c r="W1056" i="1"/>
  <c r="Y1056" i="1" s="1"/>
  <c r="V1056" i="1"/>
  <c r="T1056" i="1"/>
  <c r="R1056" i="1"/>
  <c r="Q1056" i="1" a="1"/>
  <c r="Q1056" i="1" s="1"/>
  <c r="P1056" i="1"/>
  <c r="N1056" i="1"/>
  <c r="L1056" i="1"/>
  <c r="K1056" i="1" a="1"/>
  <c r="K1056" i="1" s="1"/>
  <c r="U1056" i="1" s="1"/>
  <c r="J1056" i="1" a="1"/>
  <c r="J1056" i="1" s="1"/>
  <c r="H1056" i="1" a="1"/>
  <c r="H1056" i="1" s="1"/>
  <c r="I1056" i="1" s="1"/>
  <c r="S1056" i="1" s="1"/>
  <c r="AS1055" i="1"/>
  <c r="AA1055" i="1" s="1"/>
  <c r="AO1055" i="1"/>
  <c r="AN1055" i="1"/>
  <c r="AM1055" i="1"/>
  <c r="AL1055" i="1"/>
  <c r="AK1055" i="1"/>
  <c r="AJ1055" i="1"/>
  <c r="AI1055" i="1"/>
  <c r="AH1055" i="1"/>
  <c r="AG1055" i="1"/>
  <c r="AF1055" i="1"/>
  <c r="AE1055" i="1"/>
  <c r="AD1055" i="1"/>
  <c r="AC1055" i="1"/>
  <c r="AB1055" i="1"/>
  <c r="Z1055" i="1"/>
  <c r="W1055" i="1"/>
  <c r="V1055" i="1"/>
  <c r="T1055" i="1"/>
  <c r="R1055" i="1"/>
  <c r="Q1055" i="1" a="1"/>
  <c r="Q1055" i="1" s="1"/>
  <c r="P1055" i="1"/>
  <c r="N1055" i="1"/>
  <c r="L1055" i="1"/>
  <c r="K1055" i="1" a="1"/>
  <c r="K1055" i="1" s="1"/>
  <c r="U1055" i="1" s="1"/>
  <c r="J1055" i="1" a="1"/>
  <c r="J1055" i="1" s="1"/>
  <c r="H1055" i="1" a="1"/>
  <c r="H1055" i="1" s="1"/>
  <c r="I1055" i="1" s="1"/>
  <c r="S1055" i="1" s="1"/>
  <c r="AS1054" i="1"/>
  <c r="AA1054" i="1" s="1"/>
  <c r="AO1054" i="1"/>
  <c r="AN1054" i="1"/>
  <c r="AM1054" i="1"/>
  <c r="AL1054" i="1"/>
  <c r="AK1054" i="1"/>
  <c r="AJ1054" i="1"/>
  <c r="AI1054" i="1"/>
  <c r="AH1054" i="1"/>
  <c r="AG1054" i="1"/>
  <c r="AF1054" i="1"/>
  <c r="AE1054" i="1"/>
  <c r="AD1054" i="1"/>
  <c r="AC1054" i="1"/>
  <c r="AB1054" i="1"/>
  <c r="Z1054" i="1"/>
  <c r="W1054" i="1"/>
  <c r="Y1054" i="1" s="1"/>
  <c r="V1054" i="1"/>
  <c r="T1054" i="1"/>
  <c r="R1054" i="1"/>
  <c r="Q1054" i="1" a="1"/>
  <c r="Q1054" i="1" s="1"/>
  <c r="P1054" i="1"/>
  <c r="N1054" i="1"/>
  <c r="L1054" i="1"/>
  <c r="K1054" i="1" a="1"/>
  <c r="K1054" i="1" s="1"/>
  <c r="U1054" i="1" s="1"/>
  <c r="J1054" i="1" a="1"/>
  <c r="J1054" i="1" s="1"/>
  <c r="H1054" i="1" a="1"/>
  <c r="H1054" i="1" s="1"/>
  <c r="I1054" i="1" s="1"/>
  <c r="S1054" i="1" s="1"/>
  <c r="AS1053" i="1"/>
  <c r="AA1053" i="1" s="1"/>
  <c r="AO1053" i="1"/>
  <c r="AN1053" i="1"/>
  <c r="AM1053" i="1"/>
  <c r="AL1053" i="1"/>
  <c r="AK1053" i="1"/>
  <c r="AJ1053" i="1"/>
  <c r="AI1053" i="1"/>
  <c r="AH1053" i="1"/>
  <c r="AG1053" i="1"/>
  <c r="AF1053" i="1"/>
  <c r="AE1053" i="1"/>
  <c r="AD1053" i="1"/>
  <c r="AC1053" i="1"/>
  <c r="AB1053" i="1"/>
  <c r="Z1053" i="1"/>
  <c r="W1053" i="1"/>
  <c r="Y1053" i="1" s="1"/>
  <c r="V1053" i="1"/>
  <c r="T1053" i="1"/>
  <c r="R1053" i="1"/>
  <c r="Q1053" i="1" a="1"/>
  <c r="Q1053" i="1" s="1"/>
  <c r="P1053" i="1"/>
  <c r="N1053" i="1"/>
  <c r="L1053" i="1"/>
  <c r="K1053" i="1" a="1"/>
  <c r="K1053" i="1" s="1"/>
  <c r="U1053" i="1" s="1"/>
  <c r="J1053" i="1" a="1"/>
  <c r="J1053" i="1" s="1"/>
  <c r="H1053" i="1" a="1"/>
  <c r="H1053" i="1" s="1"/>
  <c r="I1053" i="1" s="1"/>
  <c r="S1053" i="1" s="1"/>
  <c r="AS1052" i="1"/>
  <c r="AA1052" i="1" s="1"/>
  <c r="AO1052" i="1"/>
  <c r="AN1052" i="1"/>
  <c r="AM1052" i="1"/>
  <c r="AL1052" i="1"/>
  <c r="AK1052" i="1"/>
  <c r="AJ1052" i="1"/>
  <c r="AI1052" i="1"/>
  <c r="AH1052" i="1"/>
  <c r="AG1052" i="1"/>
  <c r="AF1052" i="1"/>
  <c r="AE1052" i="1"/>
  <c r="AD1052" i="1"/>
  <c r="AC1052" i="1"/>
  <c r="AB1052" i="1"/>
  <c r="Z1052" i="1"/>
  <c r="W1052" i="1"/>
  <c r="Y1052" i="1" s="1"/>
  <c r="V1052" i="1"/>
  <c r="T1052" i="1"/>
  <c r="R1052" i="1"/>
  <c r="Q1052" i="1" a="1"/>
  <c r="Q1052" i="1" s="1"/>
  <c r="P1052" i="1"/>
  <c r="N1052" i="1"/>
  <c r="L1052" i="1"/>
  <c r="K1052" i="1" a="1"/>
  <c r="K1052" i="1" s="1"/>
  <c r="U1052" i="1" s="1"/>
  <c r="J1052" i="1" a="1"/>
  <c r="J1052" i="1" s="1"/>
  <c r="H1052" i="1" a="1"/>
  <c r="H1052" i="1" s="1"/>
  <c r="I1052" i="1" s="1"/>
  <c r="S1052" i="1" s="1"/>
  <c r="AS1051" i="1"/>
  <c r="AA1051" i="1" s="1"/>
  <c r="AO1051" i="1"/>
  <c r="AN1051" i="1"/>
  <c r="AM1051" i="1"/>
  <c r="AL1051" i="1"/>
  <c r="AK1051" i="1"/>
  <c r="AJ1051" i="1"/>
  <c r="AI1051" i="1"/>
  <c r="AH1051" i="1"/>
  <c r="AG1051" i="1"/>
  <c r="AF1051" i="1"/>
  <c r="AE1051" i="1"/>
  <c r="AD1051" i="1"/>
  <c r="AC1051" i="1"/>
  <c r="AB1051" i="1"/>
  <c r="Z1051" i="1"/>
  <c r="W1051" i="1"/>
  <c r="V1051" i="1"/>
  <c r="T1051" i="1"/>
  <c r="R1051" i="1"/>
  <c r="Q1051" i="1" a="1"/>
  <c r="Q1051" i="1" s="1"/>
  <c r="P1051" i="1"/>
  <c r="N1051" i="1"/>
  <c r="L1051" i="1"/>
  <c r="K1051" i="1" a="1"/>
  <c r="K1051" i="1" s="1"/>
  <c r="U1051" i="1" s="1"/>
  <c r="J1051" i="1" a="1"/>
  <c r="J1051" i="1" s="1"/>
  <c r="H1051" i="1" a="1"/>
  <c r="H1051" i="1" s="1"/>
  <c r="I1051" i="1" s="1"/>
  <c r="S1051" i="1" s="1"/>
  <c r="AS1050" i="1"/>
  <c r="AA1050" i="1" s="1"/>
  <c r="AO1050" i="1"/>
  <c r="AN1050" i="1"/>
  <c r="AM1050" i="1"/>
  <c r="AL1050" i="1"/>
  <c r="AK1050" i="1"/>
  <c r="AJ1050" i="1"/>
  <c r="AI1050" i="1"/>
  <c r="AH1050" i="1"/>
  <c r="AG1050" i="1"/>
  <c r="AF1050" i="1"/>
  <c r="AE1050" i="1"/>
  <c r="AD1050" i="1"/>
  <c r="AC1050" i="1"/>
  <c r="AB1050" i="1"/>
  <c r="Z1050" i="1"/>
  <c r="W1050" i="1"/>
  <c r="Y1050" i="1" s="1"/>
  <c r="V1050" i="1"/>
  <c r="T1050" i="1"/>
  <c r="R1050" i="1"/>
  <c r="Q1050" i="1" a="1"/>
  <c r="Q1050" i="1" s="1"/>
  <c r="P1050" i="1"/>
  <c r="N1050" i="1"/>
  <c r="L1050" i="1"/>
  <c r="K1050" i="1" a="1"/>
  <c r="K1050" i="1" s="1"/>
  <c r="U1050" i="1" s="1"/>
  <c r="J1050" i="1" a="1"/>
  <c r="J1050" i="1" s="1"/>
  <c r="H1050" i="1" a="1"/>
  <c r="H1050" i="1" s="1"/>
  <c r="I1050" i="1" s="1"/>
  <c r="S1050" i="1" s="1"/>
  <c r="AS1049" i="1"/>
  <c r="AA1049" i="1" s="1"/>
  <c r="AO1049" i="1"/>
  <c r="AN1049" i="1"/>
  <c r="AM1049" i="1"/>
  <c r="AL1049" i="1"/>
  <c r="AK1049" i="1"/>
  <c r="AJ1049" i="1"/>
  <c r="AI1049" i="1"/>
  <c r="AH1049" i="1"/>
  <c r="AG1049" i="1"/>
  <c r="AF1049" i="1"/>
  <c r="AE1049" i="1"/>
  <c r="AD1049" i="1"/>
  <c r="AC1049" i="1"/>
  <c r="AB1049" i="1"/>
  <c r="Z1049" i="1"/>
  <c r="W1049" i="1"/>
  <c r="V1049" i="1"/>
  <c r="T1049" i="1"/>
  <c r="R1049" i="1"/>
  <c r="Q1049" i="1" a="1"/>
  <c r="Q1049" i="1" s="1"/>
  <c r="P1049" i="1"/>
  <c r="N1049" i="1"/>
  <c r="L1049" i="1"/>
  <c r="K1049" i="1" a="1"/>
  <c r="K1049" i="1" s="1"/>
  <c r="U1049" i="1" s="1"/>
  <c r="J1049" i="1" a="1"/>
  <c r="J1049" i="1" s="1"/>
  <c r="H1049" i="1" a="1"/>
  <c r="H1049" i="1" s="1"/>
  <c r="AS1048" i="1"/>
  <c r="AA1048" i="1" s="1"/>
  <c r="AO1048" i="1"/>
  <c r="AN1048" i="1"/>
  <c r="AM1048" i="1"/>
  <c r="AL1048" i="1"/>
  <c r="AK1048" i="1"/>
  <c r="AJ1048" i="1"/>
  <c r="AI1048" i="1"/>
  <c r="AH1048" i="1"/>
  <c r="AG1048" i="1"/>
  <c r="AF1048" i="1"/>
  <c r="AE1048" i="1"/>
  <c r="AD1048" i="1"/>
  <c r="AC1048" i="1"/>
  <c r="AB1048" i="1"/>
  <c r="Z1048" i="1"/>
  <c r="W1048" i="1"/>
  <c r="X1048" i="1" s="1"/>
  <c r="V1048" i="1"/>
  <c r="T1048" i="1"/>
  <c r="R1048" i="1"/>
  <c r="Q1048" i="1" a="1"/>
  <c r="Q1048" i="1" s="1"/>
  <c r="P1048" i="1"/>
  <c r="N1048" i="1"/>
  <c r="L1048" i="1"/>
  <c r="K1048" i="1" a="1"/>
  <c r="K1048" i="1" s="1"/>
  <c r="U1048" i="1" s="1"/>
  <c r="J1048" i="1" a="1"/>
  <c r="J1048" i="1" s="1"/>
  <c r="H1048" i="1" a="1"/>
  <c r="H1048" i="1" s="1"/>
  <c r="AS1047" i="1"/>
  <c r="AA1047" i="1" s="1"/>
  <c r="AO1047" i="1"/>
  <c r="AN1047" i="1"/>
  <c r="AM1047" i="1"/>
  <c r="AL1047" i="1"/>
  <c r="AK1047" i="1"/>
  <c r="AJ1047" i="1"/>
  <c r="AI1047" i="1"/>
  <c r="AH1047" i="1"/>
  <c r="AG1047" i="1"/>
  <c r="AF1047" i="1"/>
  <c r="AE1047" i="1"/>
  <c r="AD1047" i="1"/>
  <c r="AC1047" i="1"/>
  <c r="AB1047" i="1"/>
  <c r="Z1047" i="1"/>
  <c r="W1047" i="1"/>
  <c r="Y1047" i="1" s="1"/>
  <c r="V1047" i="1"/>
  <c r="T1047" i="1"/>
  <c r="R1047" i="1"/>
  <c r="Q1047" i="1" a="1"/>
  <c r="Q1047" i="1" s="1"/>
  <c r="P1047" i="1"/>
  <c r="N1047" i="1"/>
  <c r="L1047" i="1"/>
  <c r="K1047" i="1" a="1"/>
  <c r="K1047" i="1" s="1"/>
  <c r="U1047" i="1" s="1"/>
  <c r="J1047" i="1" a="1"/>
  <c r="J1047" i="1" s="1"/>
  <c r="H1047" i="1" a="1"/>
  <c r="H1047" i="1" s="1"/>
  <c r="AS1046" i="1"/>
  <c r="AA1046" i="1" s="1"/>
  <c r="AO1046" i="1"/>
  <c r="AN1046" i="1"/>
  <c r="AM1046" i="1"/>
  <c r="AL1046" i="1"/>
  <c r="AK1046" i="1"/>
  <c r="AJ1046" i="1"/>
  <c r="AI1046" i="1"/>
  <c r="AH1046" i="1"/>
  <c r="AG1046" i="1"/>
  <c r="AF1046" i="1"/>
  <c r="AE1046" i="1"/>
  <c r="AD1046" i="1"/>
  <c r="AC1046" i="1"/>
  <c r="AB1046" i="1"/>
  <c r="Z1046" i="1"/>
  <c r="W1046" i="1"/>
  <c r="X1046" i="1" s="1"/>
  <c r="V1046" i="1"/>
  <c r="T1046" i="1"/>
  <c r="R1046" i="1"/>
  <c r="Q1046" i="1" a="1"/>
  <c r="Q1046" i="1" s="1"/>
  <c r="P1046" i="1"/>
  <c r="N1046" i="1"/>
  <c r="L1046" i="1"/>
  <c r="K1046" i="1" a="1"/>
  <c r="K1046" i="1" s="1"/>
  <c r="U1046" i="1" s="1"/>
  <c r="J1046" i="1" a="1"/>
  <c r="J1046" i="1" s="1"/>
  <c r="H1046" i="1" a="1"/>
  <c r="H1046" i="1" s="1"/>
  <c r="I1046" i="1" s="1"/>
  <c r="S1046" i="1" s="1"/>
  <c r="AS1045" i="1"/>
  <c r="AA1045" i="1" s="1"/>
  <c r="AO1045" i="1"/>
  <c r="AN1045" i="1"/>
  <c r="AM1045" i="1"/>
  <c r="AL1045" i="1"/>
  <c r="AK1045" i="1"/>
  <c r="AJ1045" i="1"/>
  <c r="AI1045" i="1"/>
  <c r="AH1045" i="1"/>
  <c r="AG1045" i="1"/>
  <c r="AF1045" i="1"/>
  <c r="AE1045" i="1"/>
  <c r="AD1045" i="1"/>
  <c r="AC1045" i="1"/>
  <c r="AB1045" i="1"/>
  <c r="Z1045" i="1"/>
  <c r="W1045" i="1"/>
  <c r="X1045" i="1" s="1"/>
  <c r="V1045" i="1"/>
  <c r="T1045" i="1"/>
  <c r="R1045" i="1"/>
  <c r="Q1045" i="1" a="1"/>
  <c r="Q1045" i="1" s="1"/>
  <c r="P1045" i="1"/>
  <c r="N1045" i="1"/>
  <c r="L1045" i="1"/>
  <c r="K1045" i="1" a="1"/>
  <c r="K1045" i="1" s="1"/>
  <c r="U1045" i="1" s="1"/>
  <c r="J1045" i="1" a="1"/>
  <c r="J1045" i="1" s="1"/>
  <c r="H1045" i="1" a="1"/>
  <c r="H1045" i="1" s="1"/>
  <c r="AS1044" i="1"/>
  <c r="AA1044" i="1" s="1"/>
  <c r="AO1044" i="1"/>
  <c r="AN1044" i="1"/>
  <c r="AM1044" i="1"/>
  <c r="AL1044" i="1"/>
  <c r="AK1044" i="1"/>
  <c r="AJ1044" i="1"/>
  <c r="AI1044" i="1"/>
  <c r="AH1044" i="1"/>
  <c r="AG1044" i="1"/>
  <c r="AF1044" i="1"/>
  <c r="AE1044" i="1"/>
  <c r="AD1044" i="1"/>
  <c r="AC1044" i="1"/>
  <c r="AB1044" i="1"/>
  <c r="Z1044" i="1"/>
  <c r="W1044" i="1"/>
  <c r="X1044" i="1" s="1"/>
  <c r="V1044" i="1"/>
  <c r="T1044" i="1"/>
  <c r="R1044" i="1"/>
  <c r="Q1044" i="1" a="1"/>
  <c r="Q1044" i="1" s="1"/>
  <c r="P1044" i="1"/>
  <c r="N1044" i="1"/>
  <c r="L1044" i="1"/>
  <c r="K1044" i="1" a="1"/>
  <c r="K1044" i="1" s="1"/>
  <c r="U1044" i="1" s="1"/>
  <c r="J1044" i="1" a="1"/>
  <c r="J1044" i="1" s="1"/>
  <c r="H1044" i="1" a="1"/>
  <c r="H1044" i="1" s="1"/>
  <c r="AS1043" i="1"/>
  <c r="AA1043" i="1" s="1"/>
  <c r="AO1043" i="1"/>
  <c r="AN1043" i="1"/>
  <c r="AM1043" i="1"/>
  <c r="AL1043" i="1"/>
  <c r="AK1043" i="1"/>
  <c r="AJ1043" i="1"/>
  <c r="AI1043" i="1"/>
  <c r="AH1043" i="1"/>
  <c r="AG1043" i="1"/>
  <c r="AF1043" i="1"/>
  <c r="AE1043" i="1"/>
  <c r="AD1043" i="1"/>
  <c r="AC1043" i="1"/>
  <c r="AB1043" i="1"/>
  <c r="Z1043" i="1"/>
  <c r="W1043" i="1"/>
  <c r="Y1043" i="1" s="1"/>
  <c r="V1043" i="1"/>
  <c r="T1043" i="1"/>
  <c r="R1043" i="1"/>
  <c r="Q1043" i="1" a="1"/>
  <c r="Q1043" i="1" s="1"/>
  <c r="P1043" i="1"/>
  <c r="N1043" i="1"/>
  <c r="L1043" i="1"/>
  <c r="K1043" i="1" a="1"/>
  <c r="K1043" i="1" s="1"/>
  <c r="U1043" i="1" s="1"/>
  <c r="J1043" i="1" a="1"/>
  <c r="J1043" i="1" s="1"/>
  <c r="H1043" i="1" a="1"/>
  <c r="H1043" i="1" s="1"/>
  <c r="AS1042" i="1"/>
  <c r="AA1042" i="1" s="1"/>
  <c r="AO1042" i="1"/>
  <c r="AN1042" i="1"/>
  <c r="AM1042" i="1"/>
  <c r="AL1042" i="1"/>
  <c r="AK1042" i="1"/>
  <c r="AJ1042" i="1"/>
  <c r="AI1042" i="1"/>
  <c r="AH1042" i="1"/>
  <c r="AG1042" i="1"/>
  <c r="AF1042" i="1"/>
  <c r="AE1042" i="1"/>
  <c r="AD1042" i="1"/>
  <c r="AC1042" i="1"/>
  <c r="AB1042" i="1"/>
  <c r="Z1042" i="1"/>
  <c r="W1042" i="1"/>
  <c r="X1042" i="1" s="1"/>
  <c r="V1042" i="1"/>
  <c r="T1042" i="1"/>
  <c r="R1042" i="1"/>
  <c r="Q1042" i="1" a="1"/>
  <c r="Q1042" i="1" s="1"/>
  <c r="P1042" i="1"/>
  <c r="N1042" i="1"/>
  <c r="L1042" i="1"/>
  <c r="K1042" i="1" a="1"/>
  <c r="K1042" i="1" s="1"/>
  <c r="U1042" i="1" s="1"/>
  <c r="J1042" i="1" a="1"/>
  <c r="J1042" i="1" s="1"/>
  <c r="H1042" i="1" a="1"/>
  <c r="H1042" i="1" s="1"/>
  <c r="I1042" i="1" s="1"/>
  <c r="S1042" i="1" s="1"/>
  <c r="AS1041" i="1"/>
  <c r="AA1041" i="1" s="1"/>
  <c r="AO1041" i="1"/>
  <c r="AN1041" i="1"/>
  <c r="AM1041" i="1"/>
  <c r="AL1041" i="1"/>
  <c r="AK1041" i="1"/>
  <c r="AJ1041" i="1"/>
  <c r="AI1041" i="1"/>
  <c r="AH1041" i="1"/>
  <c r="AG1041" i="1"/>
  <c r="AF1041" i="1"/>
  <c r="AE1041" i="1"/>
  <c r="AD1041" i="1"/>
  <c r="AC1041" i="1"/>
  <c r="AB1041" i="1"/>
  <c r="Z1041" i="1"/>
  <c r="W1041" i="1"/>
  <c r="Y1041" i="1" s="1"/>
  <c r="V1041" i="1"/>
  <c r="T1041" i="1"/>
  <c r="R1041" i="1"/>
  <c r="Q1041" i="1" a="1"/>
  <c r="Q1041" i="1" s="1"/>
  <c r="P1041" i="1"/>
  <c r="N1041" i="1"/>
  <c r="L1041" i="1"/>
  <c r="K1041" i="1" a="1"/>
  <c r="K1041" i="1" s="1"/>
  <c r="U1041" i="1" s="1"/>
  <c r="J1041" i="1" a="1"/>
  <c r="J1041" i="1" s="1"/>
  <c r="H1041" i="1" a="1"/>
  <c r="H1041" i="1" s="1"/>
  <c r="AS1040" i="1"/>
  <c r="AA1040" i="1" s="1"/>
  <c r="AO1040" i="1"/>
  <c r="AN1040" i="1"/>
  <c r="AM1040" i="1"/>
  <c r="AL1040" i="1"/>
  <c r="AK1040" i="1"/>
  <c r="AJ1040" i="1"/>
  <c r="AI1040" i="1"/>
  <c r="AH1040" i="1"/>
  <c r="AG1040" i="1"/>
  <c r="AF1040" i="1"/>
  <c r="AE1040" i="1"/>
  <c r="AD1040" i="1"/>
  <c r="AC1040" i="1"/>
  <c r="AB1040" i="1"/>
  <c r="Z1040" i="1"/>
  <c r="W1040" i="1"/>
  <c r="X1040" i="1" s="1"/>
  <c r="V1040" i="1"/>
  <c r="T1040" i="1"/>
  <c r="R1040" i="1"/>
  <c r="Q1040" i="1" a="1"/>
  <c r="Q1040" i="1" s="1"/>
  <c r="P1040" i="1"/>
  <c r="N1040" i="1"/>
  <c r="L1040" i="1"/>
  <c r="K1040" i="1" a="1"/>
  <c r="K1040" i="1" s="1"/>
  <c r="U1040" i="1" s="1"/>
  <c r="J1040" i="1" a="1"/>
  <c r="J1040" i="1" s="1"/>
  <c r="H1040" i="1" a="1"/>
  <c r="H1040" i="1" s="1"/>
  <c r="AS1039" i="1"/>
  <c r="AA1039" i="1" s="1"/>
  <c r="AO1039" i="1"/>
  <c r="AN1039" i="1"/>
  <c r="AM1039" i="1"/>
  <c r="AL1039" i="1"/>
  <c r="AK1039" i="1"/>
  <c r="AJ1039" i="1"/>
  <c r="AI1039" i="1"/>
  <c r="AH1039" i="1"/>
  <c r="AG1039" i="1"/>
  <c r="AF1039" i="1"/>
  <c r="AE1039" i="1"/>
  <c r="AD1039" i="1"/>
  <c r="AC1039" i="1"/>
  <c r="AB1039" i="1"/>
  <c r="Z1039" i="1"/>
  <c r="W1039" i="1"/>
  <c r="X1039" i="1" s="1"/>
  <c r="V1039" i="1"/>
  <c r="T1039" i="1"/>
  <c r="R1039" i="1"/>
  <c r="Q1039" i="1" a="1"/>
  <c r="Q1039" i="1" s="1"/>
  <c r="P1039" i="1"/>
  <c r="N1039" i="1"/>
  <c r="L1039" i="1"/>
  <c r="K1039" i="1" a="1"/>
  <c r="K1039" i="1" s="1"/>
  <c r="U1039" i="1" s="1"/>
  <c r="J1039" i="1" a="1"/>
  <c r="J1039" i="1" s="1"/>
  <c r="H1039" i="1" a="1"/>
  <c r="H1039" i="1" s="1"/>
  <c r="AS1038" i="1"/>
  <c r="AA1038" i="1" s="1"/>
  <c r="AO1038" i="1"/>
  <c r="AN1038" i="1"/>
  <c r="AM1038" i="1"/>
  <c r="AL1038" i="1"/>
  <c r="AK1038" i="1"/>
  <c r="AJ1038" i="1"/>
  <c r="AI1038" i="1"/>
  <c r="AH1038" i="1"/>
  <c r="AG1038" i="1"/>
  <c r="AF1038" i="1"/>
  <c r="AE1038" i="1"/>
  <c r="AD1038" i="1"/>
  <c r="AC1038" i="1"/>
  <c r="AB1038" i="1"/>
  <c r="Z1038" i="1"/>
  <c r="W1038" i="1"/>
  <c r="Y1038" i="1" s="1"/>
  <c r="V1038" i="1"/>
  <c r="T1038" i="1"/>
  <c r="R1038" i="1"/>
  <c r="Q1038" i="1" a="1"/>
  <c r="Q1038" i="1" s="1"/>
  <c r="P1038" i="1"/>
  <c r="N1038" i="1"/>
  <c r="L1038" i="1"/>
  <c r="K1038" i="1" a="1"/>
  <c r="K1038" i="1" s="1"/>
  <c r="U1038" i="1" s="1"/>
  <c r="J1038" i="1" a="1"/>
  <c r="J1038" i="1" s="1"/>
  <c r="H1038" i="1" a="1"/>
  <c r="H1038" i="1" s="1"/>
  <c r="I1038" i="1" s="1"/>
  <c r="S1038" i="1" s="1"/>
  <c r="AS1037" i="1"/>
  <c r="AA1037" i="1" s="1"/>
  <c r="AO1037" i="1"/>
  <c r="AN1037" i="1"/>
  <c r="AM1037" i="1"/>
  <c r="AL1037" i="1"/>
  <c r="AK1037" i="1"/>
  <c r="AJ1037" i="1"/>
  <c r="AI1037" i="1"/>
  <c r="AH1037" i="1"/>
  <c r="AG1037" i="1"/>
  <c r="AF1037" i="1"/>
  <c r="AE1037" i="1"/>
  <c r="AD1037" i="1"/>
  <c r="AC1037" i="1"/>
  <c r="AB1037" i="1"/>
  <c r="Z1037" i="1"/>
  <c r="W1037" i="1"/>
  <c r="Y1037" i="1" s="1"/>
  <c r="V1037" i="1"/>
  <c r="T1037" i="1"/>
  <c r="R1037" i="1"/>
  <c r="Q1037" i="1" a="1"/>
  <c r="Q1037" i="1" s="1"/>
  <c r="P1037" i="1"/>
  <c r="N1037" i="1"/>
  <c r="L1037" i="1"/>
  <c r="K1037" i="1" a="1"/>
  <c r="K1037" i="1" s="1"/>
  <c r="U1037" i="1" s="1"/>
  <c r="J1037" i="1" a="1"/>
  <c r="J1037" i="1" s="1"/>
  <c r="H1037" i="1" a="1"/>
  <c r="H1037" i="1" s="1"/>
  <c r="AS1036" i="1"/>
  <c r="AA1036" i="1" s="1"/>
  <c r="AO1036" i="1"/>
  <c r="AN1036" i="1"/>
  <c r="AM1036" i="1"/>
  <c r="AL1036" i="1"/>
  <c r="AK1036" i="1"/>
  <c r="AJ1036" i="1"/>
  <c r="AI1036" i="1"/>
  <c r="AH1036" i="1"/>
  <c r="AG1036" i="1"/>
  <c r="AF1036" i="1"/>
  <c r="AE1036" i="1"/>
  <c r="AD1036" i="1"/>
  <c r="AC1036" i="1"/>
  <c r="AB1036" i="1"/>
  <c r="Z1036" i="1"/>
  <c r="W1036" i="1"/>
  <c r="X1036" i="1" s="1"/>
  <c r="V1036" i="1"/>
  <c r="T1036" i="1"/>
  <c r="R1036" i="1"/>
  <c r="Q1036" i="1" a="1"/>
  <c r="Q1036" i="1" s="1"/>
  <c r="P1036" i="1"/>
  <c r="N1036" i="1"/>
  <c r="L1036" i="1"/>
  <c r="K1036" i="1" a="1"/>
  <c r="K1036" i="1" s="1"/>
  <c r="U1036" i="1" s="1"/>
  <c r="J1036" i="1" a="1"/>
  <c r="J1036" i="1" s="1"/>
  <c r="H1036" i="1" a="1"/>
  <c r="H1036" i="1" s="1"/>
  <c r="AS1035" i="1"/>
  <c r="AA1035" i="1" s="1"/>
  <c r="AO1035" i="1"/>
  <c r="AN1035" i="1"/>
  <c r="AM1035" i="1"/>
  <c r="AL1035" i="1"/>
  <c r="AK1035" i="1"/>
  <c r="AJ1035" i="1"/>
  <c r="AI1035" i="1"/>
  <c r="AH1035" i="1"/>
  <c r="AG1035" i="1"/>
  <c r="AF1035" i="1"/>
  <c r="AE1035" i="1"/>
  <c r="AD1035" i="1"/>
  <c r="AC1035" i="1"/>
  <c r="AB1035" i="1"/>
  <c r="Z1035" i="1"/>
  <c r="W1035" i="1"/>
  <c r="Y1035" i="1" s="1"/>
  <c r="V1035" i="1"/>
  <c r="T1035" i="1"/>
  <c r="R1035" i="1"/>
  <c r="Q1035" i="1" a="1"/>
  <c r="Q1035" i="1" s="1"/>
  <c r="P1035" i="1"/>
  <c r="N1035" i="1"/>
  <c r="L1035" i="1"/>
  <c r="K1035" i="1" a="1"/>
  <c r="K1035" i="1" s="1"/>
  <c r="U1035" i="1" s="1"/>
  <c r="J1035" i="1" a="1"/>
  <c r="J1035" i="1" s="1"/>
  <c r="H1035" i="1" a="1"/>
  <c r="H1035" i="1" s="1"/>
  <c r="AS1034" i="1"/>
  <c r="AA1034" i="1" s="1"/>
  <c r="AO1034" i="1"/>
  <c r="AN1034" i="1"/>
  <c r="AM1034" i="1"/>
  <c r="AL1034" i="1"/>
  <c r="AK1034" i="1"/>
  <c r="AJ1034" i="1"/>
  <c r="AI1034" i="1"/>
  <c r="AH1034" i="1"/>
  <c r="AG1034" i="1"/>
  <c r="AF1034" i="1"/>
  <c r="AE1034" i="1"/>
  <c r="AD1034" i="1"/>
  <c r="AC1034" i="1"/>
  <c r="AB1034" i="1"/>
  <c r="Z1034" i="1"/>
  <c r="W1034" i="1"/>
  <c r="Y1034" i="1" s="1"/>
  <c r="V1034" i="1"/>
  <c r="T1034" i="1"/>
  <c r="R1034" i="1"/>
  <c r="Q1034" i="1" a="1"/>
  <c r="Q1034" i="1" s="1"/>
  <c r="P1034" i="1"/>
  <c r="N1034" i="1"/>
  <c r="L1034" i="1"/>
  <c r="K1034" i="1" a="1"/>
  <c r="K1034" i="1" s="1"/>
  <c r="U1034" i="1" s="1"/>
  <c r="J1034" i="1" a="1"/>
  <c r="J1034" i="1" s="1"/>
  <c r="H1034" i="1" a="1"/>
  <c r="H1034" i="1" s="1"/>
  <c r="I1034" i="1" s="1"/>
  <c r="S1034" i="1" s="1"/>
  <c r="AW1033" i="1"/>
  <c r="AE1033" i="1" s="1"/>
  <c r="AV1033" i="1"/>
  <c r="AD1033" i="1" s="1"/>
  <c r="AU1033" i="1"/>
  <c r="AC1033" i="1" s="1"/>
  <c r="AT1033" i="1"/>
  <c r="AB1033" i="1" s="1"/>
  <c r="AS1033" i="1"/>
  <c r="AA1033" i="1" s="1"/>
  <c r="AO1033" i="1"/>
  <c r="AN1033" i="1"/>
  <c r="AM1033" i="1"/>
  <c r="AL1033" i="1"/>
  <c r="AK1033" i="1"/>
  <c r="AJ1033" i="1"/>
  <c r="AI1033" i="1"/>
  <c r="AH1033" i="1"/>
  <c r="AG1033" i="1"/>
  <c r="AF1033" i="1"/>
  <c r="Z1033" i="1"/>
  <c r="W1033" i="1"/>
  <c r="Y1033" i="1" s="1"/>
  <c r="V1033" i="1"/>
  <c r="T1033" i="1"/>
  <c r="R1033" i="1"/>
  <c r="Q1033" i="1" a="1"/>
  <c r="Q1033" i="1" s="1"/>
  <c r="P1033" i="1"/>
  <c r="N1033" i="1"/>
  <c r="L1033" i="1"/>
  <c r="K1033" i="1" a="1"/>
  <c r="K1033" i="1" s="1"/>
  <c r="U1033" i="1" s="1"/>
  <c r="J1033" i="1" a="1"/>
  <c r="J1033" i="1" s="1"/>
  <c r="H1033" i="1" a="1"/>
  <c r="H1033" i="1" s="1"/>
  <c r="AS1032" i="1"/>
  <c r="AA1032" i="1" s="1"/>
  <c r="AO1032" i="1"/>
  <c r="AN1032" i="1"/>
  <c r="AM1032" i="1"/>
  <c r="AL1032" i="1"/>
  <c r="AK1032" i="1"/>
  <c r="AJ1032" i="1"/>
  <c r="AI1032" i="1"/>
  <c r="AH1032" i="1"/>
  <c r="AG1032" i="1"/>
  <c r="AF1032" i="1"/>
  <c r="AE1032" i="1"/>
  <c r="AD1032" i="1"/>
  <c r="AC1032" i="1"/>
  <c r="AB1032" i="1"/>
  <c r="Z1032" i="1"/>
  <c r="W1032" i="1"/>
  <c r="X1032" i="1" s="1"/>
  <c r="V1032" i="1"/>
  <c r="T1032" i="1"/>
  <c r="R1032" i="1"/>
  <c r="Q1032" i="1" a="1"/>
  <c r="Q1032" i="1" s="1"/>
  <c r="P1032" i="1"/>
  <c r="N1032" i="1"/>
  <c r="L1032" i="1"/>
  <c r="K1032" i="1" a="1"/>
  <c r="K1032" i="1" s="1"/>
  <c r="U1032" i="1" s="1"/>
  <c r="J1032" i="1" a="1"/>
  <c r="J1032" i="1" s="1"/>
  <c r="H1032" i="1" a="1"/>
  <c r="H1032" i="1" s="1"/>
  <c r="AS1031" i="1"/>
  <c r="AA1031" i="1" s="1"/>
  <c r="AO1031" i="1"/>
  <c r="AN1031" i="1"/>
  <c r="AM1031" i="1"/>
  <c r="AL1031" i="1"/>
  <c r="AK1031" i="1"/>
  <c r="AJ1031" i="1"/>
  <c r="AI1031" i="1"/>
  <c r="AH1031" i="1"/>
  <c r="AG1031" i="1"/>
  <c r="AF1031" i="1"/>
  <c r="AE1031" i="1"/>
  <c r="AD1031" i="1"/>
  <c r="AC1031" i="1"/>
  <c r="AB1031" i="1"/>
  <c r="Z1031" i="1"/>
  <c r="W1031" i="1"/>
  <c r="Y1031" i="1" s="1"/>
  <c r="V1031" i="1"/>
  <c r="T1031" i="1"/>
  <c r="R1031" i="1"/>
  <c r="Q1031" i="1" a="1"/>
  <c r="Q1031" i="1" s="1"/>
  <c r="P1031" i="1"/>
  <c r="N1031" i="1"/>
  <c r="L1031" i="1"/>
  <c r="K1031" i="1" a="1"/>
  <c r="K1031" i="1" s="1"/>
  <c r="U1031" i="1" s="1"/>
  <c r="J1031" i="1" a="1"/>
  <c r="J1031" i="1" s="1"/>
  <c r="H1031" i="1" a="1"/>
  <c r="H1031" i="1" s="1"/>
  <c r="AS1030" i="1"/>
  <c r="AA1030" i="1" s="1"/>
  <c r="AO1030" i="1"/>
  <c r="AN1030" i="1"/>
  <c r="AM1030" i="1"/>
  <c r="AL1030" i="1"/>
  <c r="AK1030" i="1"/>
  <c r="AJ1030" i="1"/>
  <c r="AI1030" i="1"/>
  <c r="AH1030" i="1"/>
  <c r="AG1030" i="1"/>
  <c r="AF1030" i="1"/>
  <c r="AE1030" i="1"/>
  <c r="AD1030" i="1"/>
  <c r="AC1030" i="1"/>
  <c r="AB1030" i="1"/>
  <c r="Z1030" i="1"/>
  <c r="W1030" i="1"/>
  <c r="Y1030" i="1" s="1"/>
  <c r="V1030" i="1"/>
  <c r="T1030" i="1"/>
  <c r="R1030" i="1"/>
  <c r="Q1030" i="1" a="1"/>
  <c r="Q1030" i="1" s="1"/>
  <c r="P1030" i="1"/>
  <c r="N1030" i="1"/>
  <c r="L1030" i="1"/>
  <c r="K1030" i="1" a="1"/>
  <c r="K1030" i="1" s="1"/>
  <c r="U1030" i="1" s="1"/>
  <c r="J1030" i="1" a="1"/>
  <c r="J1030" i="1" s="1"/>
  <c r="H1030" i="1" a="1"/>
  <c r="H1030" i="1" s="1"/>
  <c r="I1030" i="1" s="1"/>
  <c r="S1030" i="1" s="1"/>
  <c r="AS1029" i="1"/>
  <c r="AA1029" i="1" s="1"/>
  <c r="AO1029" i="1"/>
  <c r="AN1029" i="1"/>
  <c r="AM1029" i="1"/>
  <c r="AL1029" i="1"/>
  <c r="AK1029" i="1"/>
  <c r="AJ1029" i="1"/>
  <c r="AI1029" i="1"/>
  <c r="AH1029" i="1"/>
  <c r="AG1029" i="1"/>
  <c r="AF1029" i="1"/>
  <c r="AE1029" i="1"/>
  <c r="AD1029" i="1"/>
  <c r="AC1029" i="1"/>
  <c r="AB1029" i="1"/>
  <c r="Z1029" i="1"/>
  <c r="X1029" i="1"/>
  <c r="W1029" i="1"/>
  <c r="Y1029" i="1" s="1"/>
  <c r="V1029" i="1"/>
  <c r="T1029" i="1"/>
  <c r="R1029" i="1"/>
  <c r="Q1029" i="1" a="1"/>
  <c r="Q1029" i="1" s="1"/>
  <c r="P1029" i="1"/>
  <c r="N1029" i="1"/>
  <c r="L1029" i="1"/>
  <c r="K1029" i="1" a="1"/>
  <c r="K1029" i="1" s="1"/>
  <c r="U1029" i="1" s="1"/>
  <c r="J1029" i="1" a="1"/>
  <c r="J1029" i="1" s="1"/>
  <c r="H1029" i="1" a="1"/>
  <c r="H1029" i="1" s="1"/>
  <c r="AS1028" i="1"/>
  <c r="AA1028" i="1" s="1"/>
  <c r="AO1028" i="1"/>
  <c r="AN1028" i="1"/>
  <c r="AM1028" i="1"/>
  <c r="AL1028" i="1"/>
  <c r="AK1028" i="1"/>
  <c r="AJ1028" i="1"/>
  <c r="AI1028" i="1"/>
  <c r="AH1028" i="1"/>
  <c r="AG1028" i="1"/>
  <c r="AF1028" i="1"/>
  <c r="AE1028" i="1"/>
  <c r="AD1028" i="1"/>
  <c r="AC1028" i="1"/>
  <c r="AB1028" i="1"/>
  <c r="Z1028" i="1"/>
  <c r="W1028" i="1"/>
  <c r="X1028" i="1" s="1"/>
  <c r="V1028" i="1"/>
  <c r="T1028" i="1"/>
  <c r="R1028" i="1"/>
  <c r="Q1028" i="1" a="1"/>
  <c r="Q1028" i="1" s="1"/>
  <c r="P1028" i="1"/>
  <c r="N1028" i="1"/>
  <c r="L1028" i="1"/>
  <c r="K1028" i="1" a="1"/>
  <c r="K1028" i="1" s="1"/>
  <c r="U1028" i="1" s="1"/>
  <c r="J1028" i="1" a="1"/>
  <c r="J1028" i="1" s="1"/>
  <c r="H1028" i="1" a="1"/>
  <c r="H1028" i="1" s="1"/>
  <c r="AS1027" i="1"/>
  <c r="AA1027" i="1" s="1"/>
  <c r="AO1027" i="1"/>
  <c r="AN1027" i="1"/>
  <c r="AM1027" i="1"/>
  <c r="AL1027" i="1"/>
  <c r="AK1027" i="1"/>
  <c r="AJ1027" i="1"/>
  <c r="AI1027" i="1"/>
  <c r="AH1027" i="1"/>
  <c r="AG1027" i="1"/>
  <c r="AF1027" i="1"/>
  <c r="AE1027" i="1"/>
  <c r="AD1027" i="1"/>
  <c r="AC1027" i="1"/>
  <c r="AB1027" i="1"/>
  <c r="Z1027" i="1"/>
  <c r="W1027" i="1"/>
  <c r="Y1027" i="1" s="1"/>
  <c r="V1027" i="1"/>
  <c r="T1027" i="1"/>
  <c r="R1027" i="1"/>
  <c r="Q1027" i="1" a="1"/>
  <c r="Q1027" i="1" s="1"/>
  <c r="P1027" i="1"/>
  <c r="N1027" i="1"/>
  <c r="L1027" i="1"/>
  <c r="K1027" i="1" a="1"/>
  <c r="K1027" i="1" s="1"/>
  <c r="U1027" i="1" s="1"/>
  <c r="J1027" i="1" a="1"/>
  <c r="J1027" i="1" s="1"/>
  <c r="H1027" i="1" a="1"/>
  <c r="H1027" i="1" s="1"/>
  <c r="AT1026" i="1"/>
  <c r="AB1026" i="1" s="1"/>
  <c r="AS1026" i="1"/>
  <c r="AA1026" i="1" s="1"/>
  <c r="AO1026" i="1"/>
  <c r="AN1026" i="1"/>
  <c r="AM1026" i="1"/>
  <c r="AL1026" i="1"/>
  <c r="AK1026" i="1"/>
  <c r="AJ1026" i="1"/>
  <c r="AI1026" i="1"/>
  <c r="AH1026" i="1"/>
  <c r="AG1026" i="1"/>
  <c r="AF1026" i="1"/>
  <c r="AE1026" i="1"/>
  <c r="AD1026" i="1"/>
  <c r="AC1026" i="1"/>
  <c r="Z1026" i="1"/>
  <c r="W1026" i="1"/>
  <c r="Y1026" i="1" s="1"/>
  <c r="V1026" i="1"/>
  <c r="T1026" i="1"/>
  <c r="R1026" i="1"/>
  <c r="Q1026" i="1" a="1"/>
  <c r="Q1026" i="1" s="1"/>
  <c r="P1026" i="1"/>
  <c r="N1026" i="1"/>
  <c r="L1026" i="1"/>
  <c r="K1026" i="1" a="1"/>
  <c r="K1026" i="1" s="1"/>
  <c r="U1026" i="1" s="1"/>
  <c r="J1026" i="1" a="1"/>
  <c r="J1026" i="1" s="1"/>
  <c r="H1026" i="1" a="1"/>
  <c r="H1026" i="1" s="1"/>
  <c r="AS1025" i="1"/>
  <c r="AA1025" i="1" s="1"/>
  <c r="AO1025" i="1"/>
  <c r="AN1025" i="1"/>
  <c r="AM1025" i="1"/>
  <c r="AL1025" i="1"/>
  <c r="AK1025" i="1"/>
  <c r="AJ1025" i="1"/>
  <c r="AI1025" i="1"/>
  <c r="AH1025" i="1"/>
  <c r="AG1025" i="1"/>
  <c r="AF1025" i="1"/>
  <c r="AE1025" i="1"/>
  <c r="AD1025" i="1"/>
  <c r="AC1025" i="1"/>
  <c r="AB1025" i="1"/>
  <c r="Z1025" i="1"/>
  <c r="W1025" i="1"/>
  <c r="X1025" i="1" s="1"/>
  <c r="V1025" i="1"/>
  <c r="T1025" i="1"/>
  <c r="R1025" i="1"/>
  <c r="Q1025" i="1" a="1"/>
  <c r="Q1025" i="1" s="1"/>
  <c r="P1025" i="1"/>
  <c r="N1025" i="1"/>
  <c r="L1025" i="1"/>
  <c r="K1025" i="1" a="1"/>
  <c r="K1025" i="1" s="1"/>
  <c r="U1025" i="1" s="1"/>
  <c r="J1025" i="1" a="1"/>
  <c r="J1025" i="1" s="1"/>
  <c r="H1025" i="1" a="1"/>
  <c r="H1025" i="1" s="1"/>
  <c r="I1025" i="1" s="1"/>
  <c r="S1025" i="1" s="1"/>
  <c r="AS1024" i="1"/>
  <c r="AA1024" i="1" s="1"/>
  <c r="AO1024" i="1"/>
  <c r="AN1024" i="1"/>
  <c r="AM1024" i="1"/>
  <c r="AL1024" i="1"/>
  <c r="AK1024" i="1"/>
  <c r="AJ1024" i="1"/>
  <c r="AI1024" i="1"/>
  <c r="AH1024" i="1"/>
  <c r="AG1024" i="1"/>
  <c r="AF1024" i="1"/>
  <c r="AE1024" i="1"/>
  <c r="AD1024" i="1"/>
  <c r="AC1024" i="1"/>
  <c r="AB1024" i="1"/>
  <c r="Z1024" i="1"/>
  <c r="W1024" i="1"/>
  <c r="Y1024" i="1" s="1"/>
  <c r="V1024" i="1"/>
  <c r="T1024" i="1"/>
  <c r="R1024" i="1"/>
  <c r="Q1024" i="1" a="1"/>
  <c r="Q1024" i="1" s="1"/>
  <c r="P1024" i="1"/>
  <c r="N1024" i="1"/>
  <c r="L1024" i="1"/>
  <c r="K1024" i="1" a="1"/>
  <c r="K1024" i="1" s="1"/>
  <c r="U1024" i="1" s="1"/>
  <c r="J1024" i="1" a="1"/>
  <c r="J1024" i="1" s="1"/>
  <c r="H1024" i="1" a="1"/>
  <c r="H1024" i="1" s="1"/>
  <c r="AS1023" i="1"/>
  <c r="AA1023" i="1" s="1"/>
  <c r="AO1023" i="1"/>
  <c r="AN1023" i="1"/>
  <c r="AM1023" i="1"/>
  <c r="AL1023" i="1"/>
  <c r="AK1023" i="1"/>
  <c r="AJ1023" i="1"/>
  <c r="AI1023" i="1"/>
  <c r="AH1023" i="1"/>
  <c r="AG1023" i="1"/>
  <c r="AF1023" i="1"/>
  <c r="AE1023" i="1"/>
  <c r="AD1023" i="1"/>
  <c r="AC1023" i="1"/>
  <c r="AB1023" i="1"/>
  <c r="Z1023" i="1"/>
  <c r="W1023" i="1"/>
  <c r="X1023" i="1" s="1"/>
  <c r="V1023" i="1"/>
  <c r="T1023" i="1"/>
  <c r="R1023" i="1"/>
  <c r="Q1023" i="1" a="1"/>
  <c r="Q1023" i="1" s="1"/>
  <c r="P1023" i="1"/>
  <c r="N1023" i="1"/>
  <c r="L1023" i="1"/>
  <c r="K1023" i="1" a="1"/>
  <c r="K1023" i="1" s="1"/>
  <c r="U1023" i="1" s="1"/>
  <c r="J1023" i="1" a="1"/>
  <c r="J1023" i="1" s="1"/>
  <c r="H1023" i="1" a="1"/>
  <c r="H1023" i="1" s="1"/>
  <c r="AS1022" i="1"/>
  <c r="AA1022" i="1" s="1"/>
  <c r="AO1022" i="1"/>
  <c r="AN1022" i="1"/>
  <c r="AM1022" i="1"/>
  <c r="AL1022" i="1"/>
  <c r="AK1022" i="1"/>
  <c r="AJ1022" i="1"/>
  <c r="AI1022" i="1"/>
  <c r="AH1022" i="1"/>
  <c r="AG1022" i="1"/>
  <c r="AF1022" i="1"/>
  <c r="AE1022" i="1"/>
  <c r="AD1022" i="1"/>
  <c r="AC1022" i="1"/>
  <c r="AB1022" i="1"/>
  <c r="Z1022" i="1"/>
  <c r="W1022" i="1"/>
  <c r="Y1022" i="1" s="1"/>
  <c r="V1022" i="1"/>
  <c r="T1022" i="1"/>
  <c r="R1022" i="1"/>
  <c r="Q1022" i="1" a="1"/>
  <c r="Q1022" i="1" s="1"/>
  <c r="P1022" i="1"/>
  <c r="N1022" i="1"/>
  <c r="L1022" i="1"/>
  <c r="K1022" i="1" a="1"/>
  <c r="K1022" i="1" s="1"/>
  <c r="U1022" i="1" s="1"/>
  <c r="J1022" i="1" a="1"/>
  <c r="J1022" i="1" s="1"/>
  <c r="H1022" i="1" a="1"/>
  <c r="H1022" i="1" s="1"/>
  <c r="AT1021" i="1"/>
  <c r="AB1021" i="1" s="1"/>
  <c r="AS1021" i="1"/>
  <c r="AA1021" i="1" s="1"/>
  <c r="AO1021" i="1"/>
  <c r="AN1021" i="1"/>
  <c r="AM1021" i="1"/>
  <c r="AL1021" i="1"/>
  <c r="AK1021" i="1"/>
  <c r="AJ1021" i="1"/>
  <c r="AI1021" i="1"/>
  <c r="AH1021" i="1"/>
  <c r="AG1021" i="1"/>
  <c r="AF1021" i="1"/>
  <c r="AE1021" i="1"/>
  <c r="AD1021" i="1"/>
  <c r="AC1021" i="1"/>
  <c r="Z1021" i="1"/>
  <c r="W1021" i="1"/>
  <c r="X1021" i="1" s="1"/>
  <c r="V1021" i="1"/>
  <c r="T1021" i="1"/>
  <c r="R1021" i="1"/>
  <c r="Q1021" i="1" a="1"/>
  <c r="Q1021" i="1" s="1"/>
  <c r="P1021" i="1"/>
  <c r="N1021" i="1"/>
  <c r="L1021" i="1"/>
  <c r="K1021" i="1" a="1"/>
  <c r="K1021" i="1" s="1"/>
  <c r="U1021" i="1" s="1"/>
  <c r="J1021" i="1" a="1"/>
  <c r="J1021" i="1" s="1"/>
  <c r="H1021" i="1" a="1"/>
  <c r="H1021" i="1" s="1"/>
  <c r="AV1020" i="1"/>
  <c r="AD1020" i="1" s="1"/>
  <c r="AU1020" i="1"/>
  <c r="AC1020" i="1" s="1"/>
  <c r="AT1020" i="1"/>
  <c r="AB1020" i="1" s="1"/>
  <c r="AS1020" i="1"/>
  <c r="AA1020" i="1" s="1"/>
  <c r="AO1020" i="1"/>
  <c r="AN1020" i="1"/>
  <c r="AM1020" i="1"/>
  <c r="AL1020" i="1"/>
  <c r="AK1020" i="1"/>
  <c r="AJ1020" i="1"/>
  <c r="AI1020" i="1"/>
  <c r="AH1020" i="1"/>
  <c r="AG1020" i="1"/>
  <c r="AF1020" i="1"/>
  <c r="AE1020" i="1"/>
  <c r="Z1020" i="1"/>
  <c r="W1020" i="1"/>
  <c r="Y1020" i="1" s="1"/>
  <c r="V1020" i="1"/>
  <c r="T1020" i="1"/>
  <c r="R1020" i="1"/>
  <c r="Q1020" i="1" a="1"/>
  <c r="Q1020" i="1" s="1"/>
  <c r="P1020" i="1"/>
  <c r="N1020" i="1"/>
  <c r="L1020" i="1"/>
  <c r="K1020" i="1" a="1"/>
  <c r="K1020" i="1" s="1"/>
  <c r="U1020" i="1" s="1"/>
  <c r="J1020" i="1" a="1"/>
  <c r="J1020" i="1" s="1"/>
  <c r="H1020" i="1" a="1"/>
  <c r="H1020" i="1" s="1"/>
  <c r="AS1019" i="1"/>
  <c r="AA1019" i="1" s="1"/>
  <c r="AO1019" i="1"/>
  <c r="AN1019" i="1"/>
  <c r="AM1019" i="1"/>
  <c r="AL1019" i="1"/>
  <c r="AK1019" i="1"/>
  <c r="AJ1019" i="1"/>
  <c r="AI1019" i="1"/>
  <c r="AH1019" i="1"/>
  <c r="AG1019" i="1"/>
  <c r="AF1019" i="1"/>
  <c r="AE1019" i="1"/>
  <c r="AD1019" i="1"/>
  <c r="AC1019" i="1"/>
  <c r="AB1019" i="1"/>
  <c r="Z1019" i="1"/>
  <c r="W1019" i="1"/>
  <c r="Y1019" i="1" s="1"/>
  <c r="V1019" i="1"/>
  <c r="T1019" i="1"/>
  <c r="R1019" i="1"/>
  <c r="Q1019" i="1" a="1"/>
  <c r="Q1019" i="1" s="1"/>
  <c r="P1019" i="1"/>
  <c r="N1019" i="1"/>
  <c r="L1019" i="1"/>
  <c r="K1019" i="1" a="1"/>
  <c r="K1019" i="1" s="1"/>
  <c r="U1019" i="1" s="1"/>
  <c r="J1019" i="1" a="1"/>
  <c r="J1019" i="1" s="1"/>
  <c r="H1019" i="1" a="1"/>
  <c r="H1019" i="1" s="1"/>
  <c r="AS1018" i="1"/>
  <c r="AA1018" i="1" s="1"/>
  <c r="AO1018" i="1"/>
  <c r="AN1018" i="1"/>
  <c r="AM1018" i="1"/>
  <c r="AL1018" i="1"/>
  <c r="AK1018" i="1"/>
  <c r="AJ1018" i="1"/>
  <c r="AI1018" i="1"/>
  <c r="AH1018" i="1"/>
  <c r="AG1018" i="1"/>
  <c r="AF1018" i="1"/>
  <c r="AE1018" i="1"/>
  <c r="AD1018" i="1"/>
  <c r="AC1018" i="1"/>
  <c r="AB1018" i="1"/>
  <c r="Z1018" i="1"/>
  <c r="W1018" i="1"/>
  <c r="X1018" i="1" s="1"/>
  <c r="V1018" i="1"/>
  <c r="T1018" i="1"/>
  <c r="R1018" i="1"/>
  <c r="Q1018" i="1" a="1"/>
  <c r="Q1018" i="1" s="1"/>
  <c r="P1018" i="1"/>
  <c r="N1018" i="1"/>
  <c r="L1018" i="1"/>
  <c r="K1018" i="1" a="1"/>
  <c r="K1018" i="1" s="1"/>
  <c r="U1018" i="1" s="1"/>
  <c r="J1018" i="1" a="1"/>
  <c r="J1018" i="1" s="1"/>
  <c r="H1018" i="1" a="1"/>
  <c r="H1018" i="1" s="1"/>
  <c r="AS1017" i="1"/>
  <c r="AA1017" i="1" s="1"/>
  <c r="AO1017" i="1"/>
  <c r="AN1017" i="1"/>
  <c r="AM1017" i="1"/>
  <c r="AL1017" i="1"/>
  <c r="AK1017" i="1"/>
  <c r="AJ1017" i="1"/>
  <c r="AI1017" i="1"/>
  <c r="AH1017" i="1"/>
  <c r="AG1017" i="1"/>
  <c r="AF1017" i="1"/>
  <c r="AE1017" i="1"/>
  <c r="AD1017" i="1"/>
  <c r="AC1017" i="1"/>
  <c r="AB1017" i="1"/>
  <c r="Z1017" i="1"/>
  <c r="W1017" i="1"/>
  <c r="X1017" i="1" s="1"/>
  <c r="V1017" i="1"/>
  <c r="T1017" i="1"/>
  <c r="R1017" i="1"/>
  <c r="Q1017" i="1" a="1"/>
  <c r="Q1017" i="1" s="1"/>
  <c r="P1017" i="1"/>
  <c r="N1017" i="1"/>
  <c r="L1017" i="1"/>
  <c r="K1017" i="1" a="1"/>
  <c r="K1017" i="1" s="1"/>
  <c r="U1017" i="1" s="1"/>
  <c r="J1017" i="1" a="1"/>
  <c r="J1017" i="1" s="1"/>
  <c r="H1017" i="1" a="1"/>
  <c r="H1017" i="1" s="1"/>
  <c r="I1017" i="1" s="1"/>
  <c r="S1017" i="1" s="1"/>
  <c r="AS1016" i="1"/>
  <c r="AA1016" i="1" s="1"/>
  <c r="AO1016" i="1"/>
  <c r="AN1016" i="1"/>
  <c r="AM1016" i="1"/>
  <c r="AL1016" i="1"/>
  <c r="AK1016" i="1"/>
  <c r="AJ1016" i="1"/>
  <c r="AI1016" i="1"/>
  <c r="AH1016" i="1"/>
  <c r="AG1016" i="1"/>
  <c r="AF1016" i="1"/>
  <c r="AE1016" i="1"/>
  <c r="AD1016" i="1"/>
  <c r="AC1016" i="1"/>
  <c r="AB1016" i="1"/>
  <c r="Z1016" i="1"/>
  <c r="W1016" i="1"/>
  <c r="Y1016" i="1" s="1"/>
  <c r="V1016" i="1"/>
  <c r="T1016" i="1"/>
  <c r="R1016" i="1"/>
  <c r="Q1016" i="1" a="1"/>
  <c r="Q1016" i="1" s="1"/>
  <c r="P1016" i="1"/>
  <c r="N1016" i="1"/>
  <c r="L1016" i="1"/>
  <c r="K1016" i="1" a="1"/>
  <c r="K1016" i="1" s="1"/>
  <c r="U1016" i="1" s="1"/>
  <c r="J1016" i="1" a="1"/>
  <c r="J1016" i="1" s="1"/>
  <c r="H1016" i="1" a="1"/>
  <c r="H1016" i="1" s="1"/>
  <c r="AU1015" i="1"/>
  <c r="AC1015" i="1" s="1"/>
  <c r="AT1015" i="1"/>
  <c r="AB1015" i="1" s="1"/>
  <c r="AS1015" i="1"/>
  <c r="AA1015" i="1" s="1"/>
  <c r="AO1015" i="1"/>
  <c r="AN1015" i="1"/>
  <c r="AM1015" i="1"/>
  <c r="AL1015" i="1"/>
  <c r="AK1015" i="1"/>
  <c r="AJ1015" i="1"/>
  <c r="AI1015" i="1"/>
  <c r="AH1015" i="1"/>
  <c r="AG1015" i="1"/>
  <c r="AF1015" i="1"/>
  <c r="AE1015" i="1"/>
  <c r="AD1015" i="1"/>
  <c r="Z1015" i="1"/>
  <c r="W1015" i="1"/>
  <c r="X1015" i="1" s="1"/>
  <c r="V1015" i="1"/>
  <c r="T1015" i="1"/>
  <c r="R1015" i="1"/>
  <c r="Q1015" i="1" a="1"/>
  <c r="Q1015" i="1" s="1"/>
  <c r="P1015" i="1"/>
  <c r="N1015" i="1"/>
  <c r="L1015" i="1"/>
  <c r="K1015" i="1" a="1"/>
  <c r="K1015" i="1" s="1"/>
  <c r="U1015" i="1" s="1"/>
  <c r="J1015" i="1" a="1"/>
  <c r="J1015" i="1" s="1"/>
  <c r="H1015" i="1" a="1"/>
  <c r="H1015" i="1" s="1"/>
  <c r="I1015" i="1" s="1"/>
  <c r="S1015" i="1" s="1"/>
  <c r="AS1014" i="1"/>
  <c r="AA1014" i="1" s="1"/>
  <c r="AO1014" i="1"/>
  <c r="AN1014" i="1"/>
  <c r="AM1014" i="1"/>
  <c r="AL1014" i="1"/>
  <c r="AK1014" i="1"/>
  <c r="AJ1014" i="1"/>
  <c r="AI1014" i="1"/>
  <c r="AH1014" i="1"/>
  <c r="AG1014" i="1"/>
  <c r="AF1014" i="1"/>
  <c r="AE1014" i="1"/>
  <c r="AD1014" i="1"/>
  <c r="AC1014" i="1"/>
  <c r="AB1014" i="1"/>
  <c r="Z1014" i="1"/>
  <c r="W1014" i="1"/>
  <c r="Y1014" i="1" s="1"/>
  <c r="V1014" i="1"/>
  <c r="T1014" i="1"/>
  <c r="R1014" i="1"/>
  <c r="Q1014" i="1" a="1"/>
  <c r="Q1014" i="1" s="1"/>
  <c r="P1014" i="1"/>
  <c r="N1014" i="1"/>
  <c r="L1014" i="1"/>
  <c r="K1014" i="1" a="1"/>
  <c r="K1014" i="1" s="1"/>
  <c r="U1014" i="1" s="1"/>
  <c r="J1014" i="1" a="1"/>
  <c r="J1014" i="1" s="1"/>
  <c r="H1014" i="1" a="1"/>
  <c r="H1014" i="1" s="1"/>
  <c r="AS1013" i="1"/>
  <c r="AA1013" i="1" s="1"/>
  <c r="AO1013" i="1"/>
  <c r="AN1013" i="1"/>
  <c r="AM1013" i="1"/>
  <c r="AL1013" i="1"/>
  <c r="AK1013" i="1"/>
  <c r="AJ1013" i="1"/>
  <c r="AI1013" i="1"/>
  <c r="AH1013" i="1"/>
  <c r="AG1013" i="1"/>
  <c r="AF1013" i="1"/>
  <c r="AE1013" i="1"/>
  <c r="AD1013" i="1"/>
  <c r="AC1013" i="1"/>
  <c r="AB1013" i="1"/>
  <c r="Z1013" i="1"/>
  <c r="W1013" i="1"/>
  <c r="Y1013" i="1" s="1"/>
  <c r="V1013" i="1"/>
  <c r="T1013" i="1"/>
  <c r="R1013" i="1"/>
  <c r="Q1013" i="1" a="1"/>
  <c r="Q1013" i="1" s="1"/>
  <c r="P1013" i="1"/>
  <c r="N1013" i="1"/>
  <c r="L1013" i="1"/>
  <c r="K1013" i="1" a="1"/>
  <c r="K1013" i="1" s="1"/>
  <c r="U1013" i="1" s="1"/>
  <c r="J1013" i="1" a="1"/>
  <c r="J1013" i="1" s="1"/>
  <c r="H1013" i="1" a="1"/>
  <c r="H1013" i="1" s="1"/>
  <c r="AS1012" i="1"/>
  <c r="AA1012" i="1" s="1"/>
  <c r="AO1012" i="1"/>
  <c r="AN1012" i="1"/>
  <c r="AM1012" i="1"/>
  <c r="AL1012" i="1"/>
  <c r="AK1012" i="1"/>
  <c r="AJ1012" i="1"/>
  <c r="AI1012" i="1"/>
  <c r="AH1012" i="1"/>
  <c r="AG1012" i="1"/>
  <c r="AF1012" i="1"/>
  <c r="AE1012" i="1"/>
  <c r="AD1012" i="1"/>
  <c r="AC1012" i="1"/>
  <c r="AB1012" i="1"/>
  <c r="Z1012" i="1"/>
  <c r="W1012" i="1"/>
  <c r="Y1012" i="1" s="1"/>
  <c r="V1012" i="1"/>
  <c r="T1012" i="1"/>
  <c r="R1012" i="1"/>
  <c r="Q1012" i="1" a="1"/>
  <c r="Q1012" i="1" s="1"/>
  <c r="P1012" i="1"/>
  <c r="N1012" i="1"/>
  <c r="L1012" i="1"/>
  <c r="K1012" i="1" a="1"/>
  <c r="K1012" i="1" s="1"/>
  <c r="U1012" i="1" s="1"/>
  <c r="J1012" i="1" a="1"/>
  <c r="J1012" i="1" s="1"/>
  <c r="H1012" i="1" a="1"/>
  <c r="H1012" i="1" s="1"/>
  <c r="I1012" i="1" s="1"/>
  <c r="S1012" i="1" s="1"/>
  <c r="AS1011" i="1"/>
  <c r="AA1011" i="1" s="1"/>
  <c r="AO1011" i="1"/>
  <c r="AN1011" i="1"/>
  <c r="AM1011" i="1"/>
  <c r="AL1011" i="1"/>
  <c r="AK1011" i="1"/>
  <c r="AJ1011" i="1"/>
  <c r="AI1011" i="1"/>
  <c r="AH1011" i="1"/>
  <c r="AG1011" i="1"/>
  <c r="AF1011" i="1"/>
  <c r="AE1011" i="1"/>
  <c r="AD1011" i="1"/>
  <c r="AC1011" i="1"/>
  <c r="AB1011" i="1"/>
  <c r="Z1011" i="1"/>
  <c r="W1011" i="1"/>
  <c r="X1011" i="1" s="1"/>
  <c r="V1011" i="1"/>
  <c r="T1011" i="1"/>
  <c r="R1011" i="1"/>
  <c r="Q1011" i="1" a="1"/>
  <c r="Q1011" i="1" s="1"/>
  <c r="P1011" i="1"/>
  <c r="N1011" i="1"/>
  <c r="L1011" i="1"/>
  <c r="K1011" i="1" a="1"/>
  <c r="K1011" i="1" s="1"/>
  <c r="U1011" i="1" s="1"/>
  <c r="J1011" i="1" a="1"/>
  <c r="J1011" i="1" s="1"/>
  <c r="H1011" i="1" a="1"/>
  <c r="H1011" i="1" s="1"/>
  <c r="AS1010" i="1"/>
  <c r="AA1010" i="1" s="1"/>
  <c r="AO1010" i="1"/>
  <c r="AN1010" i="1"/>
  <c r="AM1010" i="1"/>
  <c r="AL1010" i="1"/>
  <c r="AK1010" i="1"/>
  <c r="AJ1010" i="1"/>
  <c r="AI1010" i="1"/>
  <c r="AH1010" i="1"/>
  <c r="AG1010" i="1"/>
  <c r="AF1010" i="1"/>
  <c r="AE1010" i="1"/>
  <c r="AD1010" i="1"/>
  <c r="AC1010" i="1"/>
  <c r="AB1010" i="1"/>
  <c r="Z1010" i="1"/>
  <c r="W1010" i="1"/>
  <c r="X1010" i="1" s="1"/>
  <c r="V1010" i="1"/>
  <c r="T1010" i="1"/>
  <c r="R1010" i="1"/>
  <c r="Q1010" i="1" a="1"/>
  <c r="Q1010" i="1" s="1"/>
  <c r="P1010" i="1"/>
  <c r="N1010" i="1"/>
  <c r="L1010" i="1"/>
  <c r="K1010" i="1" a="1"/>
  <c r="K1010" i="1" s="1"/>
  <c r="U1010" i="1" s="1"/>
  <c r="J1010" i="1" a="1"/>
  <c r="J1010" i="1" s="1"/>
  <c r="H1010" i="1" a="1"/>
  <c r="H1010" i="1" s="1"/>
  <c r="I1010" i="1" s="1"/>
  <c r="S1010" i="1" s="1"/>
  <c r="AS1009" i="1"/>
  <c r="AA1009" i="1" s="1"/>
  <c r="AO1009" i="1"/>
  <c r="AN1009" i="1"/>
  <c r="AM1009" i="1"/>
  <c r="AL1009" i="1"/>
  <c r="AK1009" i="1"/>
  <c r="AJ1009" i="1"/>
  <c r="AI1009" i="1"/>
  <c r="AH1009" i="1"/>
  <c r="AG1009" i="1"/>
  <c r="AF1009" i="1"/>
  <c r="AE1009" i="1"/>
  <c r="AD1009" i="1"/>
  <c r="AC1009" i="1"/>
  <c r="AB1009" i="1"/>
  <c r="Z1009" i="1"/>
  <c r="W1009" i="1"/>
  <c r="X1009" i="1" s="1"/>
  <c r="V1009" i="1"/>
  <c r="T1009" i="1"/>
  <c r="R1009" i="1"/>
  <c r="Q1009" i="1" a="1"/>
  <c r="Q1009" i="1" s="1"/>
  <c r="P1009" i="1"/>
  <c r="N1009" i="1"/>
  <c r="L1009" i="1"/>
  <c r="K1009" i="1" a="1"/>
  <c r="K1009" i="1" s="1"/>
  <c r="U1009" i="1" s="1"/>
  <c r="J1009" i="1" a="1"/>
  <c r="J1009" i="1" s="1"/>
  <c r="H1009" i="1" a="1"/>
  <c r="H1009" i="1" s="1"/>
  <c r="AS1008" i="1"/>
  <c r="AA1008" i="1" s="1"/>
  <c r="AO1008" i="1"/>
  <c r="AN1008" i="1"/>
  <c r="AM1008" i="1"/>
  <c r="AL1008" i="1"/>
  <c r="AK1008" i="1"/>
  <c r="AJ1008" i="1"/>
  <c r="AI1008" i="1"/>
  <c r="AH1008" i="1"/>
  <c r="AG1008" i="1"/>
  <c r="AF1008" i="1"/>
  <c r="AE1008" i="1"/>
  <c r="AD1008" i="1"/>
  <c r="AC1008" i="1"/>
  <c r="AB1008" i="1"/>
  <c r="Z1008" i="1"/>
  <c r="W1008" i="1"/>
  <c r="Y1008" i="1" s="1"/>
  <c r="V1008" i="1"/>
  <c r="T1008" i="1"/>
  <c r="R1008" i="1"/>
  <c r="Q1008" i="1" a="1"/>
  <c r="Q1008" i="1" s="1"/>
  <c r="P1008" i="1"/>
  <c r="N1008" i="1"/>
  <c r="L1008" i="1"/>
  <c r="K1008" i="1" a="1"/>
  <c r="K1008" i="1" s="1"/>
  <c r="U1008" i="1" s="1"/>
  <c r="J1008" i="1" a="1"/>
  <c r="J1008" i="1" s="1"/>
  <c r="H1008" i="1" a="1"/>
  <c r="H1008" i="1" s="1"/>
  <c r="I1008" i="1" s="1"/>
  <c r="S1008" i="1" s="1"/>
  <c r="AU1007" i="1"/>
  <c r="AC1007" i="1" s="1"/>
  <c r="AT1007" i="1"/>
  <c r="AB1007" i="1" s="1"/>
  <c r="AS1007" i="1"/>
  <c r="AA1007" i="1" s="1"/>
  <c r="AO1007" i="1"/>
  <c r="AN1007" i="1"/>
  <c r="AM1007" i="1"/>
  <c r="AL1007" i="1"/>
  <c r="AK1007" i="1"/>
  <c r="AJ1007" i="1"/>
  <c r="AI1007" i="1"/>
  <c r="AH1007" i="1"/>
  <c r="AG1007" i="1"/>
  <c r="AF1007" i="1"/>
  <c r="AE1007" i="1"/>
  <c r="AD1007" i="1"/>
  <c r="Z1007" i="1"/>
  <c r="W1007" i="1"/>
  <c r="X1007" i="1" s="1"/>
  <c r="V1007" i="1"/>
  <c r="T1007" i="1"/>
  <c r="R1007" i="1"/>
  <c r="Q1007" i="1" a="1"/>
  <c r="Q1007" i="1" s="1"/>
  <c r="P1007" i="1"/>
  <c r="N1007" i="1"/>
  <c r="L1007" i="1"/>
  <c r="K1007" i="1" a="1"/>
  <c r="K1007" i="1" s="1"/>
  <c r="U1007" i="1" s="1"/>
  <c r="J1007" i="1" a="1"/>
  <c r="J1007" i="1" s="1"/>
  <c r="H1007" i="1" a="1"/>
  <c r="H1007" i="1" s="1"/>
  <c r="AT1006" i="1"/>
  <c r="AB1006" i="1" s="1"/>
  <c r="AS1006" i="1"/>
  <c r="AA1006" i="1" s="1"/>
  <c r="AO1006" i="1"/>
  <c r="AN1006" i="1"/>
  <c r="AM1006" i="1"/>
  <c r="AL1006" i="1"/>
  <c r="AK1006" i="1"/>
  <c r="AJ1006" i="1"/>
  <c r="AI1006" i="1"/>
  <c r="AH1006" i="1"/>
  <c r="AG1006" i="1"/>
  <c r="AF1006" i="1"/>
  <c r="AE1006" i="1"/>
  <c r="AD1006" i="1"/>
  <c r="AC1006" i="1"/>
  <c r="Z1006" i="1"/>
  <c r="W1006" i="1"/>
  <c r="X1006" i="1" s="1"/>
  <c r="V1006" i="1"/>
  <c r="T1006" i="1"/>
  <c r="R1006" i="1"/>
  <c r="Q1006" i="1" a="1"/>
  <c r="Q1006" i="1" s="1"/>
  <c r="P1006" i="1"/>
  <c r="N1006" i="1"/>
  <c r="L1006" i="1"/>
  <c r="K1006" i="1" a="1"/>
  <c r="K1006" i="1" s="1"/>
  <c r="U1006" i="1" s="1"/>
  <c r="J1006" i="1" a="1"/>
  <c r="J1006" i="1" s="1"/>
  <c r="H1006" i="1" a="1"/>
  <c r="H1006" i="1" s="1"/>
  <c r="AS1005" i="1"/>
  <c r="AA1005" i="1" s="1"/>
  <c r="AO1005" i="1"/>
  <c r="AN1005" i="1"/>
  <c r="AM1005" i="1"/>
  <c r="AL1005" i="1"/>
  <c r="AK1005" i="1"/>
  <c r="AJ1005" i="1"/>
  <c r="AI1005" i="1"/>
  <c r="AH1005" i="1"/>
  <c r="AG1005" i="1"/>
  <c r="AF1005" i="1"/>
  <c r="AE1005" i="1"/>
  <c r="AD1005" i="1"/>
  <c r="AC1005" i="1"/>
  <c r="AB1005" i="1"/>
  <c r="Z1005" i="1"/>
  <c r="W1005" i="1"/>
  <c r="Y1005" i="1" s="1"/>
  <c r="V1005" i="1"/>
  <c r="T1005" i="1"/>
  <c r="R1005" i="1"/>
  <c r="Q1005" i="1" a="1"/>
  <c r="Q1005" i="1" s="1"/>
  <c r="P1005" i="1"/>
  <c r="N1005" i="1"/>
  <c r="L1005" i="1"/>
  <c r="K1005" i="1" a="1"/>
  <c r="K1005" i="1" s="1"/>
  <c r="U1005" i="1" s="1"/>
  <c r="J1005" i="1" a="1"/>
  <c r="J1005" i="1" s="1"/>
  <c r="H1005" i="1" a="1"/>
  <c r="H1005" i="1" s="1"/>
  <c r="AS1004" i="1"/>
  <c r="AA1004" i="1" s="1"/>
  <c r="AO1004" i="1"/>
  <c r="AN1004" i="1"/>
  <c r="AM1004" i="1"/>
  <c r="AL1004" i="1"/>
  <c r="AK1004" i="1"/>
  <c r="AJ1004" i="1"/>
  <c r="AI1004" i="1"/>
  <c r="AH1004" i="1"/>
  <c r="AG1004" i="1"/>
  <c r="AF1004" i="1"/>
  <c r="AE1004" i="1"/>
  <c r="AD1004" i="1"/>
  <c r="AC1004" i="1"/>
  <c r="AB1004" i="1"/>
  <c r="Z1004" i="1"/>
  <c r="W1004" i="1"/>
  <c r="Y1004" i="1" s="1"/>
  <c r="V1004" i="1"/>
  <c r="T1004" i="1"/>
  <c r="R1004" i="1"/>
  <c r="Q1004" i="1" a="1"/>
  <c r="Q1004" i="1" s="1"/>
  <c r="P1004" i="1"/>
  <c r="N1004" i="1"/>
  <c r="L1004" i="1"/>
  <c r="K1004" i="1" a="1"/>
  <c r="K1004" i="1" s="1"/>
  <c r="U1004" i="1" s="1"/>
  <c r="J1004" i="1" a="1"/>
  <c r="J1004" i="1" s="1"/>
  <c r="H1004" i="1" a="1"/>
  <c r="H1004" i="1" s="1"/>
  <c r="I1004" i="1" s="1"/>
  <c r="S1004" i="1" s="1"/>
  <c r="AS1003" i="1"/>
  <c r="AA1003" i="1" s="1"/>
  <c r="AO1003" i="1"/>
  <c r="AN1003" i="1"/>
  <c r="AM1003" i="1"/>
  <c r="AL1003" i="1"/>
  <c r="AK1003" i="1"/>
  <c r="AJ1003" i="1"/>
  <c r="AI1003" i="1"/>
  <c r="AH1003" i="1"/>
  <c r="AG1003" i="1"/>
  <c r="AF1003" i="1"/>
  <c r="AE1003" i="1"/>
  <c r="AD1003" i="1"/>
  <c r="AC1003" i="1"/>
  <c r="AB1003" i="1"/>
  <c r="Z1003" i="1"/>
  <c r="W1003" i="1"/>
  <c r="Y1003" i="1" s="1"/>
  <c r="V1003" i="1"/>
  <c r="T1003" i="1"/>
  <c r="R1003" i="1"/>
  <c r="Q1003" i="1" a="1"/>
  <c r="Q1003" i="1" s="1"/>
  <c r="P1003" i="1"/>
  <c r="N1003" i="1"/>
  <c r="L1003" i="1"/>
  <c r="K1003" i="1" a="1"/>
  <c r="K1003" i="1" s="1"/>
  <c r="U1003" i="1" s="1"/>
  <c r="J1003" i="1" a="1"/>
  <c r="J1003" i="1" s="1"/>
  <c r="H1003" i="1" a="1"/>
  <c r="H1003" i="1" s="1"/>
  <c r="I1003" i="1" s="1"/>
  <c r="S1003" i="1" s="1"/>
  <c r="AX1002" i="1"/>
  <c r="AF1002" i="1" s="1"/>
  <c r="AW1002" i="1"/>
  <c r="AE1002" i="1" s="1"/>
  <c r="AV1002" i="1"/>
  <c r="AD1002" i="1" s="1"/>
  <c r="AU1002" i="1"/>
  <c r="AC1002" i="1" s="1"/>
  <c r="AT1002" i="1"/>
  <c r="AB1002" i="1" s="1"/>
  <c r="AS1002" i="1"/>
  <c r="AA1002" i="1" s="1"/>
  <c r="AO1002" i="1"/>
  <c r="AN1002" i="1"/>
  <c r="AM1002" i="1"/>
  <c r="AL1002" i="1"/>
  <c r="AK1002" i="1"/>
  <c r="AJ1002" i="1"/>
  <c r="AI1002" i="1"/>
  <c r="AH1002" i="1"/>
  <c r="AG1002" i="1"/>
  <c r="Z1002" i="1"/>
  <c r="W1002" i="1"/>
  <c r="Y1002" i="1" s="1"/>
  <c r="V1002" i="1"/>
  <c r="T1002" i="1"/>
  <c r="R1002" i="1"/>
  <c r="Q1002" i="1" a="1"/>
  <c r="Q1002" i="1" s="1"/>
  <c r="P1002" i="1"/>
  <c r="N1002" i="1"/>
  <c r="L1002" i="1"/>
  <c r="K1002" i="1" a="1"/>
  <c r="K1002" i="1" s="1"/>
  <c r="U1002" i="1" s="1"/>
  <c r="J1002" i="1" a="1"/>
  <c r="J1002" i="1" s="1"/>
  <c r="H1002" i="1" a="1"/>
  <c r="H1002" i="1" s="1"/>
  <c r="I1002" i="1" s="1"/>
  <c r="S1002" i="1" s="1"/>
  <c r="AU1001" i="1"/>
  <c r="AC1001" i="1" s="1"/>
  <c r="AT1001" i="1"/>
  <c r="AB1001" i="1" s="1"/>
  <c r="AS1001" i="1"/>
  <c r="AA1001" i="1" s="1"/>
  <c r="AO1001" i="1"/>
  <c r="AN1001" i="1"/>
  <c r="AM1001" i="1"/>
  <c r="AL1001" i="1"/>
  <c r="AK1001" i="1"/>
  <c r="AJ1001" i="1"/>
  <c r="AI1001" i="1"/>
  <c r="AH1001" i="1"/>
  <c r="AG1001" i="1"/>
  <c r="AF1001" i="1"/>
  <c r="AE1001" i="1"/>
  <c r="AD1001" i="1"/>
  <c r="Z1001" i="1"/>
  <c r="W1001" i="1"/>
  <c r="Y1001" i="1" s="1"/>
  <c r="V1001" i="1"/>
  <c r="T1001" i="1"/>
  <c r="R1001" i="1"/>
  <c r="Q1001" i="1" a="1"/>
  <c r="Q1001" i="1" s="1"/>
  <c r="P1001" i="1"/>
  <c r="N1001" i="1"/>
  <c r="L1001" i="1"/>
  <c r="K1001" i="1" a="1"/>
  <c r="K1001" i="1" s="1"/>
  <c r="U1001" i="1" s="1"/>
  <c r="J1001" i="1" a="1"/>
  <c r="J1001" i="1" s="1"/>
  <c r="H1001" i="1" a="1"/>
  <c r="H1001" i="1" s="1"/>
  <c r="I1001" i="1" s="1"/>
  <c r="S1001" i="1" s="1"/>
  <c r="AS1000" i="1"/>
  <c r="AA1000" i="1" s="1"/>
  <c r="AO1000" i="1"/>
  <c r="AN1000" i="1"/>
  <c r="AM1000" i="1"/>
  <c r="AL1000" i="1"/>
  <c r="AK1000" i="1"/>
  <c r="AJ1000" i="1"/>
  <c r="AI1000" i="1"/>
  <c r="AH1000" i="1"/>
  <c r="AG1000" i="1"/>
  <c r="AF1000" i="1"/>
  <c r="AE1000" i="1"/>
  <c r="AD1000" i="1"/>
  <c r="AC1000" i="1"/>
  <c r="AB1000" i="1"/>
  <c r="Z1000" i="1"/>
  <c r="W1000" i="1"/>
  <c r="Y1000" i="1" s="1"/>
  <c r="V1000" i="1"/>
  <c r="T1000" i="1"/>
  <c r="R1000" i="1"/>
  <c r="Q1000" i="1" a="1"/>
  <c r="Q1000" i="1" s="1"/>
  <c r="P1000" i="1"/>
  <c r="N1000" i="1"/>
  <c r="L1000" i="1"/>
  <c r="K1000" i="1" a="1"/>
  <c r="K1000" i="1" s="1"/>
  <c r="U1000" i="1" s="1"/>
  <c r="J1000" i="1" a="1"/>
  <c r="J1000" i="1" s="1"/>
  <c r="H1000" i="1" a="1"/>
  <c r="H1000" i="1" s="1"/>
  <c r="AS999" i="1"/>
  <c r="AA999" i="1" s="1"/>
  <c r="AO999" i="1"/>
  <c r="AN999" i="1"/>
  <c r="AM999" i="1"/>
  <c r="AL999" i="1"/>
  <c r="AK999" i="1"/>
  <c r="AJ999" i="1"/>
  <c r="AI999" i="1"/>
  <c r="AH999" i="1"/>
  <c r="AG999" i="1"/>
  <c r="AF999" i="1"/>
  <c r="AE999" i="1"/>
  <c r="AD999" i="1"/>
  <c r="AC999" i="1"/>
  <c r="AB999" i="1"/>
  <c r="Z999" i="1"/>
  <c r="W999" i="1"/>
  <c r="X999" i="1" s="1"/>
  <c r="V999" i="1"/>
  <c r="T999" i="1"/>
  <c r="R999" i="1"/>
  <c r="Q999" i="1" a="1"/>
  <c r="Q999" i="1" s="1"/>
  <c r="P999" i="1"/>
  <c r="N999" i="1"/>
  <c r="L999" i="1"/>
  <c r="K999" i="1" a="1"/>
  <c r="K999" i="1" s="1"/>
  <c r="U999" i="1" s="1"/>
  <c r="J999" i="1" a="1"/>
  <c r="J999" i="1" s="1"/>
  <c r="H999" i="1" a="1"/>
  <c r="H999" i="1" s="1"/>
  <c r="AS998" i="1"/>
  <c r="AA998" i="1" s="1"/>
  <c r="AO998" i="1"/>
  <c r="AN998" i="1"/>
  <c r="AM998" i="1"/>
  <c r="AL998" i="1"/>
  <c r="AK998" i="1"/>
  <c r="AJ998" i="1"/>
  <c r="AI998" i="1"/>
  <c r="AH998" i="1"/>
  <c r="AG998" i="1"/>
  <c r="AF998" i="1"/>
  <c r="AE998" i="1"/>
  <c r="AD998" i="1"/>
  <c r="AC998" i="1"/>
  <c r="AB998" i="1"/>
  <c r="Z998" i="1"/>
  <c r="W998" i="1"/>
  <c r="X998" i="1" s="1"/>
  <c r="V998" i="1"/>
  <c r="T998" i="1"/>
  <c r="R998" i="1"/>
  <c r="Q998" i="1" a="1"/>
  <c r="Q998" i="1" s="1"/>
  <c r="P998" i="1"/>
  <c r="N998" i="1"/>
  <c r="L998" i="1"/>
  <c r="K998" i="1" a="1"/>
  <c r="K998" i="1" s="1"/>
  <c r="U998" i="1" s="1"/>
  <c r="J998" i="1" a="1"/>
  <c r="J998" i="1" s="1"/>
  <c r="H998" i="1" a="1"/>
  <c r="H998" i="1" s="1"/>
  <c r="I998" i="1" s="1"/>
  <c r="S998" i="1" s="1"/>
  <c r="AS997" i="1"/>
  <c r="AA997" i="1" s="1"/>
  <c r="AO997" i="1"/>
  <c r="AN997" i="1"/>
  <c r="AM997" i="1"/>
  <c r="AL997" i="1"/>
  <c r="AK997" i="1"/>
  <c r="AJ997" i="1"/>
  <c r="AI997" i="1"/>
  <c r="AH997" i="1"/>
  <c r="AG997" i="1"/>
  <c r="AF997" i="1"/>
  <c r="AE997" i="1"/>
  <c r="AD997" i="1"/>
  <c r="AC997" i="1"/>
  <c r="AB997" i="1"/>
  <c r="Z997" i="1"/>
  <c r="W997" i="1"/>
  <c r="Y997" i="1" s="1"/>
  <c r="V997" i="1"/>
  <c r="T997" i="1"/>
  <c r="R997" i="1"/>
  <c r="Q997" i="1" a="1"/>
  <c r="Q997" i="1" s="1"/>
  <c r="P997" i="1"/>
  <c r="N997" i="1"/>
  <c r="L997" i="1"/>
  <c r="K997" i="1" a="1"/>
  <c r="K997" i="1" s="1"/>
  <c r="U997" i="1" s="1"/>
  <c r="J997" i="1" a="1"/>
  <c r="J997" i="1" s="1"/>
  <c r="H997" i="1" a="1"/>
  <c r="H997" i="1" s="1"/>
  <c r="I997" i="1" s="1"/>
  <c r="S997" i="1" s="1"/>
  <c r="AS996" i="1"/>
  <c r="AA996" i="1" s="1"/>
  <c r="AO996" i="1"/>
  <c r="AN996" i="1"/>
  <c r="AM996" i="1"/>
  <c r="AL996" i="1"/>
  <c r="AK996" i="1"/>
  <c r="AJ996" i="1"/>
  <c r="AI996" i="1"/>
  <c r="AH996" i="1"/>
  <c r="AG996" i="1"/>
  <c r="AF996" i="1"/>
  <c r="AE996" i="1"/>
  <c r="AD996" i="1"/>
  <c r="AC996" i="1"/>
  <c r="AB996" i="1"/>
  <c r="Z996" i="1"/>
  <c r="W996" i="1"/>
  <c r="Y996" i="1" s="1"/>
  <c r="V996" i="1"/>
  <c r="T996" i="1"/>
  <c r="R996" i="1"/>
  <c r="Q996" i="1" a="1"/>
  <c r="Q996" i="1" s="1"/>
  <c r="P996" i="1"/>
  <c r="N996" i="1"/>
  <c r="L996" i="1"/>
  <c r="K996" i="1" a="1"/>
  <c r="K996" i="1" s="1"/>
  <c r="U996" i="1" s="1"/>
  <c r="J996" i="1" a="1"/>
  <c r="J996" i="1" s="1"/>
  <c r="H996" i="1" a="1"/>
  <c r="H996" i="1" s="1"/>
  <c r="AS995" i="1"/>
  <c r="AA995" i="1" s="1"/>
  <c r="AO995" i="1"/>
  <c r="AN995" i="1"/>
  <c r="AM995" i="1"/>
  <c r="AL995" i="1"/>
  <c r="AK995" i="1"/>
  <c r="AJ995" i="1"/>
  <c r="AI995" i="1"/>
  <c r="AH995" i="1"/>
  <c r="AG995" i="1"/>
  <c r="AF995" i="1"/>
  <c r="AE995" i="1"/>
  <c r="AD995" i="1"/>
  <c r="AC995" i="1"/>
  <c r="AB995" i="1"/>
  <c r="Z995" i="1"/>
  <c r="W995" i="1"/>
  <c r="X995" i="1" s="1"/>
  <c r="V995" i="1"/>
  <c r="T995" i="1"/>
  <c r="R995" i="1"/>
  <c r="Q995" i="1" a="1"/>
  <c r="Q995" i="1" s="1"/>
  <c r="P995" i="1"/>
  <c r="N995" i="1"/>
  <c r="L995" i="1"/>
  <c r="K995" i="1" a="1"/>
  <c r="K995" i="1" s="1"/>
  <c r="U995" i="1" s="1"/>
  <c r="J995" i="1" a="1"/>
  <c r="J995" i="1" s="1"/>
  <c r="H995" i="1" a="1"/>
  <c r="H995" i="1" s="1"/>
  <c r="AS994" i="1"/>
  <c r="AA994" i="1" s="1"/>
  <c r="AO994" i="1"/>
  <c r="AN994" i="1"/>
  <c r="AM994" i="1"/>
  <c r="AL994" i="1"/>
  <c r="AK994" i="1"/>
  <c r="AJ994" i="1"/>
  <c r="AI994" i="1"/>
  <c r="AH994" i="1"/>
  <c r="AG994" i="1"/>
  <c r="AF994" i="1"/>
  <c r="AE994" i="1"/>
  <c r="AD994" i="1"/>
  <c r="AC994" i="1"/>
  <c r="AB994" i="1"/>
  <c r="Z994" i="1"/>
  <c r="Y994" i="1"/>
  <c r="W994" i="1"/>
  <c r="X994" i="1" s="1"/>
  <c r="V994" i="1"/>
  <c r="T994" i="1"/>
  <c r="R994" i="1"/>
  <c r="Q994" i="1" a="1"/>
  <c r="Q994" i="1" s="1"/>
  <c r="P994" i="1"/>
  <c r="N994" i="1"/>
  <c r="L994" i="1"/>
  <c r="K994" i="1" a="1"/>
  <c r="K994" i="1" s="1"/>
  <c r="U994" i="1" s="1"/>
  <c r="J994" i="1" a="1"/>
  <c r="J994" i="1" s="1"/>
  <c r="H994" i="1" a="1"/>
  <c r="H994" i="1" s="1"/>
  <c r="I994" i="1" s="1"/>
  <c r="S994" i="1" s="1"/>
  <c r="AT993" i="1"/>
  <c r="AB993" i="1" s="1"/>
  <c r="AS993" i="1"/>
  <c r="AA993" i="1" s="1"/>
  <c r="AO993" i="1"/>
  <c r="AN993" i="1"/>
  <c r="AM993" i="1"/>
  <c r="AL993" i="1"/>
  <c r="AK993" i="1"/>
  <c r="AJ993" i="1"/>
  <c r="AI993" i="1"/>
  <c r="AH993" i="1"/>
  <c r="AG993" i="1"/>
  <c r="AF993" i="1"/>
  <c r="AE993" i="1"/>
  <c r="AD993" i="1"/>
  <c r="AC993" i="1"/>
  <c r="Z993" i="1"/>
  <c r="W993" i="1"/>
  <c r="X993" i="1" s="1"/>
  <c r="V993" i="1"/>
  <c r="T993" i="1"/>
  <c r="R993" i="1"/>
  <c r="Q993" i="1" a="1"/>
  <c r="Q993" i="1" s="1"/>
  <c r="P993" i="1"/>
  <c r="N993" i="1"/>
  <c r="L993" i="1"/>
  <c r="K993" i="1" a="1"/>
  <c r="K993" i="1" s="1"/>
  <c r="U993" i="1" s="1"/>
  <c r="J993" i="1" a="1"/>
  <c r="J993" i="1" s="1"/>
  <c r="H993" i="1" a="1"/>
  <c r="H993" i="1" s="1"/>
  <c r="I993" i="1" s="1"/>
  <c r="S993" i="1" s="1"/>
  <c r="AS992" i="1"/>
  <c r="AA992" i="1" s="1"/>
  <c r="AO992" i="1"/>
  <c r="AN992" i="1"/>
  <c r="AM992" i="1"/>
  <c r="AL992" i="1"/>
  <c r="AK992" i="1"/>
  <c r="AJ992" i="1"/>
  <c r="AI992" i="1"/>
  <c r="AH992" i="1"/>
  <c r="AG992" i="1"/>
  <c r="AF992" i="1"/>
  <c r="AE992" i="1"/>
  <c r="AD992" i="1"/>
  <c r="AC992" i="1"/>
  <c r="AB992" i="1"/>
  <c r="Z992" i="1"/>
  <c r="W992" i="1"/>
  <c r="X992" i="1" s="1"/>
  <c r="V992" i="1"/>
  <c r="T992" i="1"/>
  <c r="R992" i="1"/>
  <c r="Q992" i="1" a="1"/>
  <c r="Q992" i="1" s="1"/>
  <c r="P992" i="1"/>
  <c r="N992" i="1"/>
  <c r="L992" i="1"/>
  <c r="K992" i="1" a="1"/>
  <c r="K992" i="1" s="1"/>
  <c r="U992" i="1" s="1"/>
  <c r="J992" i="1" a="1"/>
  <c r="J992" i="1" s="1"/>
  <c r="H992" i="1" a="1"/>
  <c r="H992" i="1" s="1"/>
  <c r="I992" i="1" s="1"/>
  <c r="S992" i="1" s="1"/>
  <c r="AS991" i="1"/>
  <c r="AA991" i="1" s="1"/>
  <c r="AO991" i="1"/>
  <c r="AN991" i="1"/>
  <c r="AM991" i="1"/>
  <c r="AL991" i="1"/>
  <c r="AK991" i="1"/>
  <c r="AJ991" i="1"/>
  <c r="AI991" i="1"/>
  <c r="AH991" i="1"/>
  <c r="AG991" i="1"/>
  <c r="AF991" i="1"/>
  <c r="AE991" i="1"/>
  <c r="AD991" i="1"/>
  <c r="AC991" i="1"/>
  <c r="AB991" i="1"/>
  <c r="Z991" i="1"/>
  <c r="W991" i="1"/>
  <c r="Y991" i="1" s="1"/>
  <c r="V991" i="1"/>
  <c r="T991" i="1"/>
  <c r="R991" i="1"/>
  <c r="Q991" i="1" a="1"/>
  <c r="Q991" i="1" s="1"/>
  <c r="P991" i="1"/>
  <c r="N991" i="1"/>
  <c r="L991" i="1"/>
  <c r="K991" i="1" a="1"/>
  <c r="K991" i="1" s="1"/>
  <c r="U991" i="1" s="1"/>
  <c r="J991" i="1" a="1"/>
  <c r="J991" i="1" s="1"/>
  <c r="H991" i="1" a="1"/>
  <c r="H991" i="1" s="1"/>
  <c r="AS990" i="1"/>
  <c r="AA990" i="1" s="1"/>
  <c r="AO990" i="1"/>
  <c r="AN990" i="1"/>
  <c r="AM990" i="1"/>
  <c r="AL990" i="1"/>
  <c r="AK990" i="1"/>
  <c r="AJ990" i="1"/>
  <c r="AI990" i="1"/>
  <c r="AH990" i="1"/>
  <c r="AG990" i="1"/>
  <c r="AF990" i="1"/>
  <c r="AE990" i="1"/>
  <c r="AD990" i="1"/>
  <c r="AC990" i="1"/>
  <c r="AB990" i="1"/>
  <c r="Z990" i="1"/>
  <c r="W990" i="1"/>
  <c r="X990" i="1" s="1"/>
  <c r="V990" i="1"/>
  <c r="T990" i="1"/>
  <c r="R990" i="1"/>
  <c r="Q990" i="1" a="1"/>
  <c r="Q990" i="1" s="1"/>
  <c r="P990" i="1"/>
  <c r="N990" i="1"/>
  <c r="L990" i="1"/>
  <c r="K990" i="1" a="1"/>
  <c r="K990" i="1" s="1"/>
  <c r="U990" i="1" s="1"/>
  <c r="J990" i="1" a="1"/>
  <c r="J990" i="1" s="1"/>
  <c r="H990" i="1" a="1"/>
  <c r="H990" i="1" s="1"/>
  <c r="AS989" i="1"/>
  <c r="AA989" i="1" s="1"/>
  <c r="AO989" i="1"/>
  <c r="AN989" i="1"/>
  <c r="AM989" i="1"/>
  <c r="AL989" i="1"/>
  <c r="AK989" i="1"/>
  <c r="AJ989" i="1"/>
  <c r="AI989" i="1"/>
  <c r="AH989" i="1"/>
  <c r="AG989" i="1"/>
  <c r="AF989" i="1"/>
  <c r="AE989" i="1"/>
  <c r="AD989" i="1"/>
  <c r="AC989" i="1"/>
  <c r="AB989" i="1"/>
  <c r="Z989" i="1"/>
  <c r="W989" i="1"/>
  <c r="X989" i="1" s="1"/>
  <c r="V989" i="1"/>
  <c r="T989" i="1"/>
  <c r="R989" i="1"/>
  <c r="Q989" i="1" a="1"/>
  <c r="Q989" i="1" s="1"/>
  <c r="P989" i="1"/>
  <c r="N989" i="1"/>
  <c r="L989" i="1"/>
  <c r="K989" i="1" a="1"/>
  <c r="K989" i="1" s="1"/>
  <c r="U989" i="1" s="1"/>
  <c r="J989" i="1" a="1"/>
  <c r="J989" i="1" s="1"/>
  <c r="H989" i="1" a="1"/>
  <c r="H989" i="1" s="1"/>
  <c r="AS988" i="1"/>
  <c r="AA988" i="1" s="1"/>
  <c r="AO988" i="1"/>
  <c r="AN988" i="1"/>
  <c r="AM988" i="1"/>
  <c r="AL988" i="1"/>
  <c r="AK988" i="1"/>
  <c r="AJ988" i="1"/>
  <c r="AI988" i="1"/>
  <c r="AH988" i="1"/>
  <c r="AG988" i="1"/>
  <c r="AF988" i="1"/>
  <c r="AE988" i="1"/>
  <c r="AD988" i="1"/>
  <c r="AC988" i="1"/>
  <c r="AB988" i="1"/>
  <c r="Z988" i="1"/>
  <c r="W988" i="1"/>
  <c r="Y988" i="1" s="1"/>
  <c r="V988" i="1"/>
  <c r="T988" i="1"/>
  <c r="R988" i="1"/>
  <c r="Q988" i="1" a="1"/>
  <c r="Q988" i="1" s="1"/>
  <c r="P988" i="1"/>
  <c r="N988" i="1"/>
  <c r="L988" i="1"/>
  <c r="K988" i="1" a="1"/>
  <c r="K988" i="1" s="1"/>
  <c r="U988" i="1" s="1"/>
  <c r="J988" i="1" a="1"/>
  <c r="J988" i="1" s="1"/>
  <c r="H988" i="1" a="1"/>
  <c r="H988" i="1" s="1"/>
  <c r="I988" i="1" s="1"/>
  <c r="S988" i="1" s="1"/>
  <c r="AT987" i="1"/>
  <c r="AB987" i="1" s="1"/>
  <c r="AS987" i="1"/>
  <c r="AA987" i="1" s="1"/>
  <c r="AO987" i="1"/>
  <c r="AN987" i="1"/>
  <c r="AM987" i="1"/>
  <c r="AL987" i="1"/>
  <c r="AK987" i="1"/>
  <c r="AJ987" i="1"/>
  <c r="AI987" i="1"/>
  <c r="AH987" i="1"/>
  <c r="AG987" i="1"/>
  <c r="AF987" i="1"/>
  <c r="AE987" i="1"/>
  <c r="AD987" i="1"/>
  <c r="AC987" i="1"/>
  <c r="Z987" i="1"/>
  <c r="W987" i="1"/>
  <c r="Y987" i="1" s="1"/>
  <c r="V987" i="1"/>
  <c r="T987" i="1"/>
  <c r="R987" i="1"/>
  <c r="Q987" i="1" a="1"/>
  <c r="Q987" i="1" s="1"/>
  <c r="P987" i="1"/>
  <c r="N987" i="1"/>
  <c r="L987" i="1"/>
  <c r="K987" i="1" a="1"/>
  <c r="K987" i="1" s="1"/>
  <c r="U987" i="1" s="1"/>
  <c r="J987" i="1" a="1"/>
  <c r="J987" i="1" s="1"/>
  <c r="H987" i="1" a="1"/>
  <c r="H987" i="1" s="1"/>
  <c r="I987" i="1" s="1"/>
  <c r="S987" i="1" s="1"/>
  <c r="AS986" i="1"/>
  <c r="AA986" i="1" s="1"/>
  <c r="AO986" i="1"/>
  <c r="AN986" i="1"/>
  <c r="AM986" i="1"/>
  <c r="AL986" i="1"/>
  <c r="AK986" i="1"/>
  <c r="AJ986" i="1"/>
  <c r="AI986" i="1"/>
  <c r="AH986" i="1"/>
  <c r="AG986" i="1"/>
  <c r="AF986" i="1"/>
  <c r="AE986" i="1"/>
  <c r="AD986" i="1"/>
  <c r="AC986" i="1"/>
  <c r="AB986" i="1"/>
  <c r="Z986" i="1"/>
  <c r="W986" i="1"/>
  <c r="Y986" i="1" s="1"/>
  <c r="V986" i="1"/>
  <c r="AS985" i="1"/>
  <c r="AA985" i="1" s="1"/>
  <c r="AO985" i="1"/>
  <c r="AN985" i="1"/>
  <c r="AM985" i="1"/>
  <c r="AL985" i="1"/>
  <c r="AK985" i="1"/>
  <c r="AJ985" i="1"/>
  <c r="AI985" i="1"/>
  <c r="AH985" i="1"/>
  <c r="AG985" i="1"/>
  <c r="AF985" i="1"/>
  <c r="AE985" i="1"/>
  <c r="AD985" i="1"/>
  <c r="AC985" i="1"/>
  <c r="AB985" i="1"/>
  <c r="Z985" i="1"/>
  <c r="W985" i="1"/>
  <c r="Y985" i="1" s="1"/>
  <c r="V985" i="1"/>
  <c r="T985" i="1"/>
  <c r="R985" i="1"/>
  <c r="Q985" i="1" a="1"/>
  <c r="Q985" i="1" s="1"/>
  <c r="P985" i="1"/>
  <c r="N985" i="1"/>
  <c r="L985" i="1"/>
  <c r="K985" i="1" a="1"/>
  <c r="K985" i="1" s="1"/>
  <c r="U985" i="1" s="1"/>
  <c r="J985" i="1" a="1"/>
  <c r="J985" i="1" s="1"/>
  <c r="H985" i="1" a="1"/>
  <c r="H985" i="1" s="1"/>
  <c r="I985" i="1" s="1"/>
  <c r="S985" i="1" s="1"/>
  <c r="AS984" i="1"/>
  <c r="AA984" i="1" s="1"/>
  <c r="AO984" i="1"/>
  <c r="AN984" i="1"/>
  <c r="AM984" i="1"/>
  <c r="AL984" i="1"/>
  <c r="AK984" i="1"/>
  <c r="AJ984" i="1"/>
  <c r="AI984" i="1"/>
  <c r="AH984" i="1"/>
  <c r="AG984" i="1"/>
  <c r="AF984" i="1"/>
  <c r="AE984" i="1"/>
  <c r="AD984" i="1"/>
  <c r="AC984" i="1"/>
  <c r="AB984" i="1"/>
  <c r="Z984" i="1"/>
  <c r="W984" i="1"/>
  <c r="Y984" i="1" s="1"/>
  <c r="V984" i="1"/>
  <c r="T984" i="1"/>
  <c r="R984" i="1"/>
  <c r="Q984" i="1" a="1"/>
  <c r="Q984" i="1" s="1"/>
  <c r="P984" i="1"/>
  <c r="N984" i="1"/>
  <c r="L984" i="1"/>
  <c r="K984" i="1" a="1"/>
  <c r="K984" i="1" s="1"/>
  <c r="U984" i="1" s="1"/>
  <c r="J984" i="1" a="1"/>
  <c r="J984" i="1" s="1"/>
  <c r="H984" i="1" a="1"/>
  <c r="H984" i="1" s="1"/>
  <c r="AS983" i="1"/>
  <c r="AA983" i="1" s="1"/>
  <c r="AO983" i="1"/>
  <c r="AN983" i="1"/>
  <c r="AM983" i="1"/>
  <c r="AL983" i="1"/>
  <c r="AK983" i="1"/>
  <c r="AJ983" i="1"/>
  <c r="AI983" i="1"/>
  <c r="AH983" i="1"/>
  <c r="AG983" i="1"/>
  <c r="AF983" i="1"/>
  <c r="AE983" i="1"/>
  <c r="AD983" i="1"/>
  <c r="AC983" i="1"/>
  <c r="AB983" i="1"/>
  <c r="Z983" i="1"/>
  <c r="W983" i="1"/>
  <c r="X983" i="1" s="1"/>
  <c r="V983" i="1"/>
  <c r="T983" i="1"/>
  <c r="R983" i="1"/>
  <c r="Q983" i="1" a="1"/>
  <c r="Q983" i="1" s="1"/>
  <c r="P983" i="1"/>
  <c r="N983" i="1"/>
  <c r="L983" i="1"/>
  <c r="K983" i="1" a="1"/>
  <c r="K983" i="1" s="1"/>
  <c r="U983" i="1" s="1"/>
  <c r="J983" i="1" a="1"/>
  <c r="J983" i="1" s="1"/>
  <c r="H983" i="1" a="1"/>
  <c r="H983" i="1" s="1"/>
  <c r="AS982" i="1"/>
  <c r="AA982" i="1" s="1"/>
  <c r="AO982" i="1"/>
  <c r="AN982" i="1"/>
  <c r="AM982" i="1"/>
  <c r="AL982" i="1"/>
  <c r="AK982" i="1"/>
  <c r="AJ982" i="1"/>
  <c r="AI982" i="1"/>
  <c r="AH982" i="1"/>
  <c r="AG982" i="1"/>
  <c r="AF982" i="1"/>
  <c r="AE982" i="1"/>
  <c r="AD982" i="1"/>
  <c r="AC982" i="1"/>
  <c r="AB982" i="1"/>
  <c r="Z982" i="1"/>
  <c r="W982" i="1"/>
  <c r="X982" i="1" s="1"/>
  <c r="V982" i="1"/>
  <c r="T982" i="1"/>
  <c r="R982" i="1"/>
  <c r="Q982" i="1" a="1"/>
  <c r="Q982" i="1" s="1"/>
  <c r="P982" i="1"/>
  <c r="N982" i="1"/>
  <c r="L982" i="1"/>
  <c r="K982" i="1" a="1"/>
  <c r="K982" i="1" s="1"/>
  <c r="U982" i="1" s="1"/>
  <c r="J982" i="1" a="1"/>
  <c r="J982" i="1" s="1"/>
  <c r="H982" i="1" a="1"/>
  <c r="H982" i="1" s="1"/>
  <c r="I982" i="1" s="1"/>
  <c r="S982" i="1" s="1"/>
  <c r="AS981" i="1"/>
  <c r="AA981" i="1" s="1"/>
  <c r="AO981" i="1"/>
  <c r="AN981" i="1"/>
  <c r="AM981" i="1"/>
  <c r="AL981" i="1"/>
  <c r="AK981" i="1"/>
  <c r="AJ981" i="1"/>
  <c r="AI981" i="1"/>
  <c r="AH981" i="1"/>
  <c r="AG981" i="1"/>
  <c r="AF981" i="1"/>
  <c r="AE981" i="1"/>
  <c r="AD981" i="1"/>
  <c r="AC981" i="1"/>
  <c r="AB981" i="1"/>
  <c r="Z981" i="1"/>
  <c r="W981" i="1"/>
  <c r="Y981" i="1" s="1"/>
  <c r="V981" i="1"/>
  <c r="T981" i="1"/>
  <c r="R981" i="1"/>
  <c r="Q981" i="1" a="1"/>
  <c r="Q981" i="1" s="1"/>
  <c r="P981" i="1"/>
  <c r="N981" i="1"/>
  <c r="L981" i="1"/>
  <c r="K981" i="1" a="1"/>
  <c r="K981" i="1" s="1"/>
  <c r="U981" i="1" s="1"/>
  <c r="J981" i="1" a="1"/>
  <c r="J981" i="1" s="1"/>
  <c r="H981" i="1" a="1"/>
  <c r="H981" i="1" s="1"/>
  <c r="I981" i="1" s="1"/>
  <c r="S981" i="1" s="1"/>
  <c r="AS980" i="1"/>
  <c r="AA980" i="1" s="1"/>
  <c r="AO980" i="1"/>
  <c r="AN980" i="1"/>
  <c r="AM980" i="1"/>
  <c r="AL980" i="1"/>
  <c r="AK980" i="1"/>
  <c r="AJ980" i="1"/>
  <c r="AI980" i="1"/>
  <c r="AH980" i="1"/>
  <c r="AG980" i="1"/>
  <c r="AF980" i="1"/>
  <c r="AE980" i="1"/>
  <c r="AD980" i="1"/>
  <c r="AC980" i="1"/>
  <c r="AB980" i="1"/>
  <c r="Z980" i="1"/>
  <c r="W980" i="1"/>
  <c r="Y980" i="1" s="1"/>
  <c r="V980" i="1"/>
  <c r="T980" i="1"/>
  <c r="R980" i="1"/>
  <c r="Q980" i="1" a="1"/>
  <c r="Q980" i="1" s="1"/>
  <c r="P980" i="1"/>
  <c r="N980" i="1"/>
  <c r="L980" i="1"/>
  <c r="K980" i="1" a="1"/>
  <c r="K980" i="1" s="1"/>
  <c r="U980" i="1" s="1"/>
  <c r="J980" i="1" a="1"/>
  <c r="J980" i="1" s="1"/>
  <c r="H980" i="1" a="1"/>
  <c r="H980" i="1" s="1"/>
  <c r="AS979" i="1"/>
  <c r="AA979" i="1" s="1"/>
  <c r="AO979" i="1"/>
  <c r="AN979" i="1"/>
  <c r="AM979" i="1"/>
  <c r="AL979" i="1"/>
  <c r="AK979" i="1"/>
  <c r="AJ979" i="1"/>
  <c r="AI979" i="1"/>
  <c r="AH979" i="1"/>
  <c r="AG979" i="1"/>
  <c r="AF979" i="1"/>
  <c r="AE979" i="1"/>
  <c r="AD979" i="1"/>
  <c r="AC979" i="1"/>
  <c r="AB979" i="1"/>
  <c r="Z979" i="1"/>
  <c r="W979" i="1"/>
  <c r="X979" i="1" s="1"/>
  <c r="V979" i="1"/>
  <c r="T979" i="1"/>
  <c r="R979" i="1"/>
  <c r="Q979" i="1" a="1"/>
  <c r="Q979" i="1" s="1"/>
  <c r="P979" i="1"/>
  <c r="N979" i="1"/>
  <c r="L979" i="1"/>
  <c r="K979" i="1" a="1"/>
  <c r="K979" i="1" s="1"/>
  <c r="U979" i="1" s="1"/>
  <c r="J979" i="1" a="1"/>
  <c r="J979" i="1" s="1"/>
  <c r="H979" i="1" a="1"/>
  <c r="H979" i="1" s="1"/>
  <c r="AS978" i="1"/>
  <c r="AA978" i="1" s="1"/>
  <c r="AO978" i="1"/>
  <c r="AN978" i="1"/>
  <c r="AM978" i="1"/>
  <c r="AL978" i="1"/>
  <c r="AK978" i="1"/>
  <c r="AJ978" i="1"/>
  <c r="AI978" i="1"/>
  <c r="AH978" i="1"/>
  <c r="AG978" i="1"/>
  <c r="AF978" i="1"/>
  <c r="AE978" i="1"/>
  <c r="AD978" i="1"/>
  <c r="AC978" i="1"/>
  <c r="AB978" i="1"/>
  <c r="Z978" i="1"/>
  <c r="W978" i="1"/>
  <c r="X978" i="1" s="1"/>
  <c r="V978" i="1"/>
  <c r="T978" i="1"/>
  <c r="R978" i="1"/>
  <c r="Q978" i="1" a="1"/>
  <c r="Q978" i="1" s="1"/>
  <c r="P978" i="1"/>
  <c r="N978" i="1"/>
  <c r="L978" i="1"/>
  <c r="K978" i="1" a="1"/>
  <c r="K978" i="1" s="1"/>
  <c r="U978" i="1" s="1"/>
  <c r="J978" i="1" a="1"/>
  <c r="J978" i="1" s="1"/>
  <c r="H978" i="1" a="1"/>
  <c r="H978" i="1" s="1"/>
  <c r="AU977" i="1"/>
  <c r="AC977" i="1" s="1"/>
  <c r="AT977" i="1"/>
  <c r="AB977" i="1" s="1"/>
  <c r="AS977" i="1"/>
  <c r="AA977" i="1" s="1"/>
  <c r="AO977" i="1"/>
  <c r="AN977" i="1"/>
  <c r="AM977" i="1"/>
  <c r="AL977" i="1"/>
  <c r="AK977" i="1"/>
  <c r="AJ977" i="1"/>
  <c r="AI977" i="1"/>
  <c r="AH977" i="1"/>
  <c r="AG977" i="1"/>
  <c r="AF977" i="1"/>
  <c r="AE977" i="1"/>
  <c r="AD977" i="1"/>
  <c r="Z977" i="1"/>
  <c r="W977" i="1"/>
  <c r="X977" i="1" s="1"/>
  <c r="V977" i="1"/>
  <c r="T977" i="1"/>
  <c r="R977" i="1"/>
  <c r="Q977" i="1" a="1"/>
  <c r="Q977" i="1" s="1"/>
  <c r="P977" i="1"/>
  <c r="N977" i="1"/>
  <c r="L977" i="1"/>
  <c r="K977" i="1" a="1"/>
  <c r="K977" i="1" s="1"/>
  <c r="U977" i="1" s="1"/>
  <c r="J977" i="1" a="1"/>
  <c r="J977" i="1" s="1"/>
  <c r="H977" i="1" a="1"/>
  <c r="H977" i="1" s="1"/>
  <c r="AS976" i="1"/>
  <c r="AA976" i="1" s="1"/>
  <c r="AO976" i="1"/>
  <c r="AN976" i="1"/>
  <c r="AM976" i="1"/>
  <c r="AL976" i="1"/>
  <c r="AK976" i="1"/>
  <c r="AJ976" i="1"/>
  <c r="AI976" i="1"/>
  <c r="AH976" i="1"/>
  <c r="AG976" i="1"/>
  <c r="AF976" i="1"/>
  <c r="AE976" i="1"/>
  <c r="AD976" i="1"/>
  <c r="AC976" i="1"/>
  <c r="AB976" i="1"/>
  <c r="Z976" i="1"/>
  <c r="W976" i="1"/>
  <c r="X976" i="1" s="1"/>
  <c r="V976" i="1"/>
  <c r="T976" i="1"/>
  <c r="R976" i="1"/>
  <c r="Q976" i="1" a="1"/>
  <c r="Q976" i="1" s="1"/>
  <c r="P976" i="1"/>
  <c r="N976" i="1"/>
  <c r="L976" i="1"/>
  <c r="K976" i="1" a="1"/>
  <c r="K976" i="1" s="1"/>
  <c r="U976" i="1" s="1"/>
  <c r="J976" i="1" a="1"/>
  <c r="J976" i="1" s="1"/>
  <c r="H976" i="1" a="1"/>
  <c r="H976" i="1" s="1"/>
  <c r="I976" i="1" s="1"/>
  <c r="S976" i="1" s="1"/>
  <c r="AV975" i="1"/>
  <c r="AD975" i="1" s="1"/>
  <c r="AU975" i="1"/>
  <c r="AC975" i="1" s="1"/>
  <c r="AT975" i="1"/>
  <c r="AB975" i="1" s="1"/>
  <c r="AS975" i="1"/>
  <c r="AA975" i="1" s="1"/>
  <c r="AO975" i="1"/>
  <c r="AN975" i="1"/>
  <c r="AM975" i="1"/>
  <c r="AL975" i="1"/>
  <c r="AK975" i="1"/>
  <c r="AJ975" i="1"/>
  <c r="AI975" i="1"/>
  <c r="AH975" i="1"/>
  <c r="AG975" i="1"/>
  <c r="AF975" i="1"/>
  <c r="AE975" i="1"/>
  <c r="Z975" i="1"/>
  <c r="W975" i="1"/>
  <c r="Y975" i="1" s="1"/>
  <c r="V975" i="1"/>
  <c r="AS974" i="1"/>
  <c r="AA974" i="1" s="1"/>
  <c r="AO974" i="1"/>
  <c r="AN974" i="1"/>
  <c r="AM974" i="1"/>
  <c r="AL974" i="1"/>
  <c r="AK974" i="1"/>
  <c r="AJ974" i="1"/>
  <c r="AI974" i="1"/>
  <c r="AH974" i="1"/>
  <c r="AG974" i="1"/>
  <c r="AF974" i="1"/>
  <c r="AE974" i="1"/>
  <c r="AD974" i="1"/>
  <c r="AC974" i="1"/>
  <c r="AB974" i="1"/>
  <c r="Z974" i="1"/>
  <c r="W974" i="1"/>
  <c r="Y974" i="1" s="1"/>
  <c r="V974" i="1"/>
  <c r="T974" i="1"/>
  <c r="R974" i="1"/>
  <c r="Q974" i="1" a="1"/>
  <c r="Q974" i="1" s="1"/>
  <c r="P974" i="1"/>
  <c r="N974" i="1"/>
  <c r="L974" i="1"/>
  <c r="K974" i="1" a="1"/>
  <c r="K974" i="1" s="1"/>
  <c r="U974" i="1" s="1"/>
  <c r="J974" i="1" a="1"/>
  <c r="J974" i="1" s="1"/>
  <c r="H974" i="1" a="1"/>
  <c r="H974" i="1" s="1"/>
  <c r="I974" i="1" s="1"/>
  <c r="S974" i="1" s="1"/>
  <c r="AS973" i="1"/>
  <c r="AA973" i="1" s="1"/>
  <c r="AO973" i="1"/>
  <c r="AN973" i="1"/>
  <c r="AM973" i="1"/>
  <c r="AL973" i="1"/>
  <c r="AK973" i="1"/>
  <c r="AJ973" i="1"/>
  <c r="AI973" i="1"/>
  <c r="AH973" i="1"/>
  <c r="AG973" i="1"/>
  <c r="AF973" i="1"/>
  <c r="AE973" i="1"/>
  <c r="AD973" i="1"/>
  <c r="AC973" i="1"/>
  <c r="AB973" i="1"/>
  <c r="Z973" i="1"/>
  <c r="W973" i="1"/>
  <c r="Y973" i="1" s="1"/>
  <c r="V973" i="1"/>
  <c r="T973" i="1"/>
  <c r="R973" i="1"/>
  <c r="Q973" i="1" a="1"/>
  <c r="Q973" i="1" s="1"/>
  <c r="P973" i="1"/>
  <c r="N973" i="1"/>
  <c r="L973" i="1"/>
  <c r="K973" i="1" a="1"/>
  <c r="K973" i="1" s="1"/>
  <c r="U973" i="1" s="1"/>
  <c r="J973" i="1" a="1"/>
  <c r="J973" i="1" s="1"/>
  <c r="H973" i="1" a="1"/>
  <c r="H973" i="1" s="1"/>
  <c r="AS972" i="1"/>
  <c r="AA972" i="1" s="1"/>
  <c r="AO972" i="1"/>
  <c r="AN972" i="1"/>
  <c r="AM972" i="1"/>
  <c r="AL972" i="1"/>
  <c r="AK972" i="1"/>
  <c r="AJ972" i="1"/>
  <c r="AI972" i="1"/>
  <c r="AH972" i="1"/>
  <c r="AG972" i="1"/>
  <c r="AF972" i="1"/>
  <c r="AE972" i="1"/>
  <c r="AD972" i="1"/>
  <c r="AC972" i="1"/>
  <c r="AB972" i="1"/>
  <c r="Z972" i="1"/>
  <c r="W972" i="1"/>
  <c r="X972" i="1" s="1"/>
  <c r="V972" i="1"/>
  <c r="T972" i="1"/>
  <c r="R972" i="1"/>
  <c r="Q972" i="1" a="1"/>
  <c r="Q972" i="1" s="1"/>
  <c r="P972" i="1"/>
  <c r="N972" i="1"/>
  <c r="L972" i="1"/>
  <c r="K972" i="1" a="1"/>
  <c r="K972" i="1" s="1"/>
  <c r="U972" i="1" s="1"/>
  <c r="J972" i="1" a="1"/>
  <c r="J972" i="1" s="1"/>
  <c r="H972" i="1" a="1"/>
  <c r="H972" i="1" s="1"/>
  <c r="AS971" i="1"/>
  <c r="AA971" i="1" s="1"/>
  <c r="AO971" i="1"/>
  <c r="AN971" i="1"/>
  <c r="AM971" i="1"/>
  <c r="AL971" i="1"/>
  <c r="AK971" i="1"/>
  <c r="AJ971" i="1"/>
  <c r="AI971" i="1"/>
  <c r="AH971" i="1"/>
  <c r="AG971" i="1"/>
  <c r="AF971" i="1"/>
  <c r="AE971" i="1"/>
  <c r="AD971" i="1"/>
  <c r="AC971" i="1"/>
  <c r="AB971" i="1"/>
  <c r="Z971" i="1"/>
  <c r="Y971" i="1"/>
  <c r="W971" i="1"/>
  <c r="X971" i="1" s="1"/>
  <c r="V971" i="1"/>
  <c r="T971" i="1"/>
  <c r="R971" i="1"/>
  <c r="Q971" i="1" a="1"/>
  <c r="Q971" i="1" s="1"/>
  <c r="P971" i="1"/>
  <c r="N971" i="1"/>
  <c r="L971" i="1"/>
  <c r="K971" i="1" a="1"/>
  <c r="K971" i="1" s="1"/>
  <c r="U971" i="1" s="1"/>
  <c r="J971" i="1" a="1"/>
  <c r="J971" i="1" s="1"/>
  <c r="H971" i="1" a="1"/>
  <c r="H971" i="1" s="1"/>
  <c r="I971" i="1" s="1"/>
  <c r="S971" i="1" s="1"/>
  <c r="AS970" i="1"/>
  <c r="AA970" i="1" s="1"/>
  <c r="AO970" i="1"/>
  <c r="AN970" i="1"/>
  <c r="AM970" i="1"/>
  <c r="AL970" i="1"/>
  <c r="AK970" i="1"/>
  <c r="AJ970" i="1"/>
  <c r="AI970" i="1"/>
  <c r="AH970" i="1"/>
  <c r="AG970" i="1"/>
  <c r="AF970" i="1"/>
  <c r="AE970" i="1"/>
  <c r="AD970" i="1"/>
  <c r="AC970" i="1"/>
  <c r="AB970" i="1"/>
  <c r="Z970" i="1"/>
  <c r="W970" i="1"/>
  <c r="X970" i="1" s="1"/>
  <c r="V970" i="1"/>
  <c r="T970" i="1"/>
  <c r="R970" i="1"/>
  <c r="Q970" i="1" a="1"/>
  <c r="Q970" i="1" s="1"/>
  <c r="P970" i="1"/>
  <c r="N970" i="1"/>
  <c r="L970" i="1"/>
  <c r="K970" i="1" a="1"/>
  <c r="K970" i="1" s="1"/>
  <c r="U970" i="1" s="1"/>
  <c r="J970" i="1" a="1"/>
  <c r="J970" i="1" s="1"/>
  <c r="H970" i="1" a="1"/>
  <c r="H970" i="1" s="1"/>
  <c r="I970" i="1" s="1"/>
  <c r="S970" i="1" s="1"/>
  <c r="AS969" i="1"/>
  <c r="AA969" i="1" s="1"/>
  <c r="AO969" i="1"/>
  <c r="AN969" i="1"/>
  <c r="AM969" i="1"/>
  <c r="AL969" i="1"/>
  <c r="AK969" i="1"/>
  <c r="AJ969" i="1"/>
  <c r="AI969" i="1"/>
  <c r="AH969" i="1"/>
  <c r="AG969" i="1"/>
  <c r="AF969" i="1"/>
  <c r="AE969" i="1"/>
  <c r="AD969" i="1"/>
  <c r="AC969" i="1"/>
  <c r="AB969" i="1"/>
  <c r="Z969" i="1"/>
  <c r="W969" i="1"/>
  <c r="Y969" i="1" s="1"/>
  <c r="V969" i="1"/>
  <c r="T969" i="1"/>
  <c r="R969" i="1"/>
  <c r="Q969" i="1" a="1"/>
  <c r="Q969" i="1" s="1"/>
  <c r="P969" i="1"/>
  <c r="N969" i="1"/>
  <c r="L969" i="1"/>
  <c r="K969" i="1" a="1"/>
  <c r="K969" i="1" s="1"/>
  <c r="U969" i="1" s="1"/>
  <c r="J969" i="1" a="1"/>
  <c r="J969" i="1" s="1"/>
  <c r="H969" i="1" a="1"/>
  <c r="H969" i="1" s="1"/>
  <c r="AT968" i="1"/>
  <c r="AB968" i="1" s="1"/>
  <c r="AS968" i="1"/>
  <c r="AA968" i="1" s="1"/>
  <c r="AO968" i="1"/>
  <c r="AN968" i="1"/>
  <c r="AM968" i="1"/>
  <c r="AL968" i="1"/>
  <c r="AK968" i="1"/>
  <c r="AJ968" i="1"/>
  <c r="AI968" i="1"/>
  <c r="AH968" i="1"/>
  <c r="AG968" i="1"/>
  <c r="AF968" i="1"/>
  <c r="AE968" i="1"/>
  <c r="AD968" i="1"/>
  <c r="AC968" i="1"/>
  <c r="Z968" i="1"/>
  <c r="W968" i="1"/>
  <c r="V968" i="1"/>
  <c r="T968" i="1"/>
  <c r="R968" i="1"/>
  <c r="Q968" i="1" a="1"/>
  <c r="Q968" i="1" s="1"/>
  <c r="P968" i="1"/>
  <c r="N968" i="1"/>
  <c r="L968" i="1"/>
  <c r="K968" i="1" a="1"/>
  <c r="K968" i="1" s="1"/>
  <c r="U968" i="1" s="1"/>
  <c r="J968" i="1" a="1"/>
  <c r="J968" i="1" s="1"/>
  <c r="H968" i="1" a="1"/>
  <c r="H968" i="1" s="1"/>
  <c r="Z967" i="1"/>
  <c r="W967" i="1"/>
  <c r="X967" i="1" s="1"/>
  <c r="V967" i="1"/>
  <c r="AU966" i="1"/>
  <c r="AC966" i="1" s="1"/>
  <c r="AT966" i="1"/>
  <c r="AB966" i="1" s="1"/>
  <c r="AS966" i="1"/>
  <c r="AA966" i="1" s="1"/>
  <c r="AO966" i="1"/>
  <c r="AN966" i="1"/>
  <c r="AM966" i="1"/>
  <c r="AL966" i="1"/>
  <c r="AK966" i="1"/>
  <c r="AJ966" i="1"/>
  <c r="AI966" i="1"/>
  <c r="AH966" i="1"/>
  <c r="AG966" i="1"/>
  <c r="AF966" i="1"/>
  <c r="AE966" i="1"/>
  <c r="AD966" i="1"/>
  <c r="Z966" i="1"/>
  <c r="W966" i="1"/>
  <c r="X966" i="1" s="1"/>
  <c r="V966" i="1"/>
  <c r="T966" i="1"/>
  <c r="R966" i="1"/>
  <c r="Q966" i="1" a="1"/>
  <c r="Q966" i="1" s="1"/>
  <c r="P966" i="1"/>
  <c r="N966" i="1"/>
  <c r="L966" i="1"/>
  <c r="K966" i="1" a="1"/>
  <c r="K966" i="1" s="1"/>
  <c r="U966" i="1" s="1"/>
  <c r="J966" i="1" a="1"/>
  <c r="J966" i="1" s="1"/>
  <c r="H966" i="1" a="1"/>
  <c r="H966" i="1" s="1"/>
  <c r="I966" i="1" s="1"/>
  <c r="S966" i="1" s="1"/>
  <c r="AS965" i="1"/>
  <c r="AA965" i="1" s="1"/>
  <c r="AO965" i="1"/>
  <c r="AN965" i="1"/>
  <c r="AM965" i="1"/>
  <c r="AL965" i="1"/>
  <c r="AK965" i="1"/>
  <c r="AJ965" i="1"/>
  <c r="AI965" i="1"/>
  <c r="AH965" i="1"/>
  <c r="AG965" i="1"/>
  <c r="AF965" i="1"/>
  <c r="AE965" i="1"/>
  <c r="AD965" i="1"/>
  <c r="AC965" i="1"/>
  <c r="AB965" i="1"/>
  <c r="Z965" i="1"/>
  <c r="W965" i="1"/>
  <c r="Y965" i="1" s="1"/>
  <c r="V965" i="1"/>
  <c r="T965" i="1"/>
  <c r="R965" i="1"/>
  <c r="Q965" i="1" a="1"/>
  <c r="Q965" i="1" s="1"/>
  <c r="P965" i="1"/>
  <c r="N965" i="1"/>
  <c r="L965" i="1"/>
  <c r="K965" i="1" a="1"/>
  <c r="K965" i="1" s="1"/>
  <c r="U965" i="1" s="1"/>
  <c r="J965" i="1" a="1"/>
  <c r="J965" i="1" s="1"/>
  <c r="H965" i="1" a="1"/>
  <c r="H965" i="1" s="1"/>
  <c r="I965" i="1" s="1"/>
  <c r="S965" i="1" s="1"/>
  <c r="AS964" i="1"/>
  <c r="AA964" i="1" s="1"/>
  <c r="AO964" i="1"/>
  <c r="AN964" i="1"/>
  <c r="AM964" i="1"/>
  <c r="AL964" i="1"/>
  <c r="AK964" i="1"/>
  <c r="AJ964" i="1"/>
  <c r="AI964" i="1"/>
  <c r="AH964" i="1"/>
  <c r="AG964" i="1"/>
  <c r="AF964" i="1"/>
  <c r="AE964" i="1"/>
  <c r="AD964" i="1"/>
  <c r="AC964" i="1"/>
  <c r="AB964" i="1"/>
  <c r="Z964" i="1"/>
  <c r="W964" i="1"/>
  <c r="Y964" i="1" s="1"/>
  <c r="V964" i="1"/>
  <c r="T964" i="1"/>
  <c r="R964" i="1"/>
  <c r="Q964" i="1" a="1"/>
  <c r="Q964" i="1" s="1"/>
  <c r="P964" i="1"/>
  <c r="N964" i="1"/>
  <c r="L964" i="1"/>
  <c r="K964" i="1" a="1"/>
  <c r="K964" i="1" s="1"/>
  <c r="U964" i="1" s="1"/>
  <c r="J964" i="1" a="1"/>
  <c r="J964" i="1" s="1"/>
  <c r="H964" i="1" a="1"/>
  <c r="H964" i="1" s="1"/>
  <c r="AS963" i="1"/>
  <c r="AA963" i="1" s="1"/>
  <c r="AO963" i="1"/>
  <c r="AN963" i="1"/>
  <c r="AM963" i="1"/>
  <c r="AL963" i="1"/>
  <c r="AK963" i="1"/>
  <c r="AJ963" i="1"/>
  <c r="AI963" i="1"/>
  <c r="AH963" i="1"/>
  <c r="AG963" i="1"/>
  <c r="AF963" i="1"/>
  <c r="AE963" i="1"/>
  <c r="AD963" i="1"/>
  <c r="AC963" i="1"/>
  <c r="AB963" i="1"/>
  <c r="Z963" i="1"/>
  <c r="W963" i="1"/>
  <c r="X963" i="1" s="1"/>
  <c r="V963" i="1"/>
  <c r="T963" i="1"/>
  <c r="R963" i="1"/>
  <c r="Q963" i="1" a="1"/>
  <c r="Q963" i="1" s="1"/>
  <c r="P963" i="1"/>
  <c r="N963" i="1"/>
  <c r="L963" i="1"/>
  <c r="K963" i="1" a="1"/>
  <c r="K963" i="1" s="1"/>
  <c r="U963" i="1" s="1"/>
  <c r="J963" i="1" a="1"/>
  <c r="J963" i="1" s="1"/>
  <c r="H963" i="1" a="1"/>
  <c r="H963" i="1" s="1"/>
  <c r="AS962" i="1"/>
  <c r="AA962" i="1" s="1"/>
  <c r="AO962" i="1"/>
  <c r="AN962" i="1"/>
  <c r="AM962" i="1"/>
  <c r="AL962" i="1"/>
  <c r="AK962" i="1"/>
  <c r="AJ962" i="1"/>
  <c r="AI962" i="1"/>
  <c r="AH962" i="1"/>
  <c r="AG962" i="1"/>
  <c r="AF962" i="1"/>
  <c r="AE962" i="1"/>
  <c r="AD962" i="1"/>
  <c r="AC962" i="1"/>
  <c r="AB962" i="1"/>
  <c r="Z962" i="1"/>
  <c r="W962" i="1"/>
  <c r="X962" i="1" s="1"/>
  <c r="V962" i="1"/>
  <c r="T962" i="1"/>
  <c r="R962" i="1"/>
  <c r="Q962" i="1" a="1"/>
  <c r="Q962" i="1" s="1"/>
  <c r="P962" i="1"/>
  <c r="N962" i="1"/>
  <c r="L962" i="1"/>
  <c r="K962" i="1" a="1"/>
  <c r="K962" i="1" s="1"/>
  <c r="U962" i="1" s="1"/>
  <c r="J962" i="1" a="1"/>
  <c r="J962" i="1" s="1"/>
  <c r="H962" i="1" a="1"/>
  <c r="H962" i="1" s="1"/>
  <c r="AS961" i="1"/>
  <c r="AA961" i="1" s="1"/>
  <c r="AO961" i="1"/>
  <c r="AN961" i="1"/>
  <c r="AM961" i="1"/>
  <c r="AL961" i="1"/>
  <c r="AK961" i="1"/>
  <c r="AJ961" i="1"/>
  <c r="AI961" i="1"/>
  <c r="AH961" i="1"/>
  <c r="AG961" i="1"/>
  <c r="AF961" i="1"/>
  <c r="AE961" i="1"/>
  <c r="AD961" i="1"/>
  <c r="AC961" i="1"/>
  <c r="AB961" i="1"/>
  <c r="Z961" i="1"/>
  <c r="W961" i="1"/>
  <c r="V961" i="1"/>
  <c r="T961" i="1"/>
  <c r="R961" i="1"/>
  <c r="Q961" i="1" a="1"/>
  <c r="Q961" i="1" s="1"/>
  <c r="P961" i="1"/>
  <c r="N961" i="1"/>
  <c r="L961" i="1"/>
  <c r="K961" i="1" a="1"/>
  <c r="K961" i="1" s="1"/>
  <c r="U961" i="1" s="1"/>
  <c r="J961" i="1" a="1"/>
  <c r="J961" i="1" s="1"/>
  <c r="H961" i="1" a="1"/>
  <c r="H961" i="1" s="1"/>
  <c r="I961" i="1" s="1"/>
  <c r="S961" i="1" s="1"/>
  <c r="AS960" i="1"/>
  <c r="AA960" i="1" s="1"/>
  <c r="AO960" i="1"/>
  <c r="AN960" i="1"/>
  <c r="AM960" i="1"/>
  <c r="AL960" i="1"/>
  <c r="AK960" i="1"/>
  <c r="AJ960" i="1"/>
  <c r="AI960" i="1"/>
  <c r="AH960" i="1"/>
  <c r="AG960" i="1"/>
  <c r="AF960" i="1"/>
  <c r="AE960" i="1"/>
  <c r="AD960" i="1"/>
  <c r="AC960" i="1"/>
  <c r="AB960" i="1"/>
  <c r="Z960" i="1"/>
  <c r="W960" i="1"/>
  <c r="V960" i="1"/>
  <c r="T960" i="1"/>
  <c r="R960" i="1"/>
  <c r="Q960" i="1" a="1"/>
  <c r="Q960" i="1" s="1"/>
  <c r="P960" i="1"/>
  <c r="N960" i="1"/>
  <c r="L960" i="1"/>
  <c r="K960" i="1" a="1"/>
  <c r="K960" i="1" s="1"/>
  <c r="U960" i="1" s="1"/>
  <c r="J960" i="1" a="1"/>
  <c r="J960" i="1" s="1"/>
  <c r="H960" i="1" a="1"/>
  <c r="H960" i="1" s="1"/>
  <c r="AS959" i="1"/>
  <c r="AA959" i="1" s="1"/>
  <c r="AO959" i="1"/>
  <c r="AN959" i="1"/>
  <c r="AM959" i="1"/>
  <c r="AL959" i="1"/>
  <c r="AK959" i="1"/>
  <c r="AJ959" i="1"/>
  <c r="AI959" i="1"/>
  <c r="AH959" i="1"/>
  <c r="AG959" i="1"/>
  <c r="AF959" i="1"/>
  <c r="AE959" i="1"/>
  <c r="AD959" i="1"/>
  <c r="AC959" i="1"/>
  <c r="AB959" i="1"/>
  <c r="Z959" i="1"/>
  <c r="W959" i="1"/>
  <c r="X959" i="1" s="1"/>
  <c r="V959" i="1"/>
  <c r="T959" i="1"/>
  <c r="R959" i="1"/>
  <c r="Q959" i="1" a="1"/>
  <c r="Q959" i="1" s="1"/>
  <c r="P959" i="1"/>
  <c r="N959" i="1"/>
  <c r="L959" i="1"/>
  <c r="K959" i="1" a="1"/>
  <c r="K959" i="1" s="1"/>
  <c r="U959" i="1" s="1"/>
  <c r="J959" i="1" a="1"/>
  <c r="J959" i="1" s="1"/>
  <c r="H959" i="1" a="1"/>
  <c r="H959" i="1" s="1"/>
  <c r="AS958" i="1"/>
  <c r="AA958" i="1" s="1"/>
  <c r="AO958" i="1"/>
  <c r="AN958" i="1"/>
  <c r="AM958" i="1"/>
  <c r="AL958" i="1"/>
  <c r="AK958" i="1"/>
  <c r="AJ958" i="1"/>
  <c r="AI958" i="1"/>
  <c r="AH958" i="1"/>
  <c r="AG958" i="1"/>
  <c r="AF958" i="1"/>
  <c r="AE958" i="1"/>
  <c r="AD958" i="1"/>
  <c r="AC958" i="1"/>
  <c r="AB958" i="1"/>
  <c r="Z958" i="1"/>
  <c r="W958" i="1"/>
  <c r="X958" i="1" s="1"/>
  <c r="V958" i="1"/>
  <c r="T958" i="1"/>
  <c r="R958" i="1"/>
  <c r="Q958" i="1" a="1"/>
  <c r="Q958" i="1" s="1"/>
  <c r="P958" i="1"/>
  <c r="N958" i="1"/>
  <c r="L958" i="1"/>
  <c r="K958" i="1" a="1"/>
  <c r="K958" i="1" s="1"/>
  <c r="U958" i="1" s="1"/>
  <c r="J958" i="1" a="1"/>
  <c r="J958" i="1" s="1"/>
  <c r="H958" i="1" a="1"/>
  <c r="H958" i="1" s="1"/>
  <c r="AT957" i="1"/>
  <c r="AB957" i="1" s="1"/>
  <c r="AS957" i="1"/>
  <c r="AA957" i="1" s="1"/>
  <c r="AO957" i="1"/>
  <c r="AN957" i="1"/>
  <c r="AM957" i="1"/>
  <c r="AL957" i="1"/>
  <c r="AK957" i="1"/>
  <c r="AJ957" i="1"/>
  <c r="AI957" i="1"/>
  <c r="AH957" i="1"/>
  <c r="AG957" i="1"/>
  <c r="AF957" i="1"/>
  <c r="AE957" i="1"/>
  <c r="AD957" i="1"/>
  <c r="AC957" i="1"/>
  <c r="Z957" i="1"/>
  <c r="W957" i="1"/>
  <c r="X957" i="1" s="1"/>
  <c r="V957" i="1"/>
  <c r="T957" i="1"/>
  <c r="R957" i="1"/>
  <c r="Q957" i="1" a="1"/>
  <c r="Q957" i="1" s="1"/>
  <c r="P957" i="1"/>
  <c r="N957" i="1"/>
  <c r="L957" i="1"/>
  <c r="K957" i="1" a="1"/>
  <c r="K957" i="1" s="1"/>
  <c r="U957" i="1" s="1"/>
  <c r="J957" i="1" a="1"/>
  <c r="J957" i="1" s="1"/>
  <c r="H957" i="1" a="1"/>
  <c r="H957" i="1" s="1"/>
  <c r="AS956" i="1"/>
  <c r="AA956" i="1" s="1"/>
  <c r="AO956" i="1"/>
  <c r="AN956" i="1"/>
  <c r="AM956" i="1"/>
  <c r="AL956" i="1"/>
  <c r="AK956" i="1"/>
  <c r="AJ956" i="1"/>
  <c r="AI956" i="1"/>
  <c r="AH956" i="1"/>
  <c r="AG956" i="1"/>
  <c r="AF956" i="1"/>
  <c r="AE956" i="1"/>
  <c r="AD956" i="1"/>
  <c r="AC956" i="1"/>
  <c r="AB956" i="1"/>
  <c r="Z956" i="1"/>
  <c r="W956" i="1"/>
  <c r="X956" i="1" s="1"/>
  <c r="V956" i="1"/>
  <c r="T956" i="1"/>
  <c r="R956" i="1"/>
  <c r="Q956" i="1" a="1"/>
  <c r="Q956" i="1" s="1"/>
  <c r="P956" i="1"/>
  <c r="N956" i="1"/>
  <c r="L956" i="1"/>
  <c r="K956" i="1" a="1"/>
  <c r="K956" i="1" s="1"/>
  <c r="U956" i="1" s="1"/>
  <c r="J956" i="1" a="1"/>
  <c r="J956" i="1" s="1"/>
  <c r="H956" i="1" a="1"/>
  <c r="H956" i="1" s="1"/>
  <c r="I956" i="1" s="1"/>
  <c r="S956" i="1" s="1"/>
  <c r="AS955" i="1"/>
  <c r="AA955" i="1" s="1"/>
  <c r="AO955" i="1"/>
  <c r="AN955" i="1"/>
  <c r="AM955" i="1"/>
  <c r="AL955" i="1"/>
  <c r="AK955" i="1"/>
  <c r="AJ955" i="1"/>
  <c r="AI955" i="1"/>
  <c r="AH955" i="1"/>
  <c r="AG955" i="1"/>
  <c r="AF955" i="1"/>
  <c r="AE955" i="1"/>
  <c r="AD955" i="1"/>
  <c r="AC955" i="1"/>
  <c r="AB955" i="1"/>
  <c r="Z955" i="1"/>
  <c r="W955" i="1"/>
  <c r="Y955" i="1" s="1"/>
  <c r="V955" i="1"/>
  <c r="T955" i="1"/>
  <c r="R955" i="1"/>
  <c r="Q955" i="1" a="1"/>
  <c r="Q955" i="1" s="1"/>
  <c r="P955" i="1"/>
  <c r="N955" i="1"/>
  <c r="L955" i="1"/>
  <c r="K955" i="1" a="1"/>
  <c r="K955" i="1" s="1"/>
  <c r="U955" i="1" s="1"/>
  <c r="J955" i="1" a="1"/>
  <c r="J955" i="1" s="1"/>
  <c r="H955" i="1" a="1"/>
  <c r="H955" i="1" s="1"/>
  <c r="AS954" i="1"/>
  <c r="AA954" i="1" s="1"/>
  <c r="AO954" i="1"/>
  <c r="AN954" i="1"/>
  <c r="AM954" i="1"/>
  <c r="AL954" i="1"/>
  <c r="AK954" i="1"/>
  <c r="AJ954" i="1"/>
  <c r="AI954" i="1"/>
  <c r="AH954" i="1"/>
  <c r="AG954" i="1"/>
  <c r="AF954" i="1"/>
  <c r="AE954" i="1"/>
  <c r="AD954" i="1"/>
  <c r="AC954" i="1"/>
  <c r="AB954" i="1"/>
  <c r="Z954" i="1"/>
  <c r="W954" i="1"/>
  <c r="X954" i="1" s="1"/>
  <c r="V954" i="1"/>
  <c r="T954" i="1"/>
  <c r="R954" i="1"/>
  <c r="Q954" i="1" a="1"/>
  <c r="Q954" i="1" s="1"/>
  <c r="P954" i="1"/>
  <c r="N954" i="1"/>
  <c r="L954" i="1"/>
  <c r="K954" i="1" a="1"/>
  <c r="K954" i="1" s="1"/>
  <c r="U954" i="1" s="1"/>
  <c r="J954" i="1" a="1"/>
  <c r="J954" i="1" s="1"/>
  <c r="H954" i="1" a="1"/>
  <c r="H954" i="1" s="1"/>
  <c r="AS953" i="1"/>
  <c r="AA953" i="1" s="1"/>
  <c r="AO953" i="1"/>
  <c r="AN953" i="1"/>
  <c r="AM953" i="1"/>
  <c r="AL953" i="1"/>
  <c r="AK953" i="1"/>
  <c r="AJ953" i="1"/>
  <c r="AI953" i="1"/>
  <c r="AH953" i="1"/>
  <c r="AG953" i="1"/>
  <c r="AF953" i="1"/>
  <c r="AE953" i="1"/>
  <c r="AD953" i="1"/>
  <c r="AC953" i="1"/>
  <c r="AB953" i="1"/>
  <c r="Z953" i="1"/>
  <c r="W953" i="1"/>
  <c r="V953" i="1"/>
  <c r="T953" i="1"/>
  <c r="R953" i="1"/>
  <c r="Q953" i="1" a="1"/>
  <c r="Q953" i="1" s="1"/>
  <c r="P953" i="1"/>
  <c r="N953" i="1"/>
  <c r="L953" i="1"/>
  <c r="K953" i="1" a="1"/>
  <c r="K953" i="1" s="1"/>
  <c r="U953" i="1" s="1"/>
  <c r="J953" i="1" a="1"/>
  <c r="J953" i="1" s="1"/>
  <c r="H953" i="1" a="1"/>
  <c r="H953" i="1" s="1"/>
  <c r="I953" i="1" s="1"/>
  <c r="S953" i="1" s="1"/>
  <c r="AS952" i="1"/>
  <c r="AA952" i="1" s="1"/>
  <c r="AO952" i="1"/>
  <c r="AN952" i="1"/>
  <c r="AM952" i="1"/>
  <c r="AL952" i="1"/>
  <c r="AK952" i="1"/>
  <c r="AJ952" i="1"/>
  <c r="AI952" i="1"/>
  <c r="AH952" i="1"/>
  <c r="AG952" i="1"/>
  <c r="AF952" i="1"/>
  <c r="AE952" i="1"/>
  <c r="AD952" i="1"/>
  <c r="AC952" i="1"/>
  <c r="AB952" i="1"/>
  <c r="Z952" i="1"/>
  <c r="W952" i="1"/>
  <c r="Y952" i="1" s="1"/>
  <c r="V952" i="1"/>
  <c r="T952" i="1"/>
  <c r="R952" i="1"/>
  <c r="Q952" i="1" a="1"/>
  <c r="Q952" i="1" s="1"/>
  <c r="P952" i="1"/>
  <c r="N952" i="1"/>
  <c r="L952" i="1"/>
  <c r="K952" i="1" a="1"/>
  <c r="K952" i="1" s="1"/>
  <c r="U952" i="1" s="1"/>
  <c r="J952" i="1" a="1"/>
  <c r="J952" i="1" s="1"/>
  <c r="H952" i="1" a="1"/>
  <c r="H952" i="1" s="1"/>
  <c r="I952" i="1" s="1"/>
  <c r="S952" i="1" s="1"/>
  <c r="AS951" i="1"/>
  <c r="AA951" i="1" s="1"/>
  <c r="AO951" i="1"/>
  <c r="AN951" i="1"/>
  <c r="AM951" i="1"/>
  <c r="AL951" i="1"/>
  <c r="AK951" i="1"/>
  <c r="AJ951" i="1"/>
  <c r="AI951" i="1"/>
  <c r="AH951" i="1"/>
  <c r="AG951" i="1"/>
  <c r="AF951" i="1"/>
  <c r="AE951" i="1"/>
  <c r="AD951" i="1"/>
  <c r="AC951" i="1"/>
  <c r="AB951" i="1"/>
  <c r="Z951" i="1"/>
  <c r="W951" i="1"/>
  <c r="V951" i="1"/>
  <c r="T951" i="1"/>
  <c r="R951" i="1"/>
  <c r="Q951" i="1" a="1"/>
  <c r="Q951" i="1" s="1"/>
  <c r="P951" i="1"/>
  <c r="N951" i="1"/>
  <c r="L951" i="1"/>
  <c r="K951" i="1" a="1"/>
  <c r="K951" i="1" s="1"/>
  <c r="U951" i="1" s="1"/>
  <c r="J951" i="1" a="1"/>
  <c r="J951" i="1" s="1"/>
  <c r="H951" i="1" a="1"/>
  <c r="H951" i="1" s="1"/>
  <c r="AS950" i="1"/>
  <c r="AA950" i="1" s="1"/>
  <c r="AO950" i="1"/>
  <c r="AN950" i="1"/>
  <c r="AM950" i="1"/>
  <c r="AL950" i="1"/>
  <c r="AK950" i="1"/>
  <c r="AJ950" i="1"/>
  <c r="AI950" i="1"/>
  <c r="AH950" i="1"/>
  <c r="AG950" i="1"/>
  <c r="AF950" i="1"/>
  <c r="AE950" i="1"/>
  <c r="AD950" i="1"/>
  <c r="AC950" i="1"/>
  <c r="AB950" i="1"/>
  <c r="Z950" i="1"/>
  <c r="W950" i="1"/>
  <c r="X950" i="1" s="1"/>
  <c r="V950" i="1"/>
  <c r="AS949" i="1"/>
  <c r="AA949" i="1" s="1"/>
  <c r="AO949" i="1"/>
  <c r="AN949" i="1"/>
  <c r="AM949" i="1"/>
  <c r="AL949" i="1"/>
  <c r="AK949" i="1"/>
  <c r="AJ949" i="1"/>
  <c r="AI949" i="1"/>
  <c r="AH949" i="1"/>
  <c r="AG949" i="1"/>
  <c r="AF949" i="1"/>
  <c r="AE949" i="1"/>
  <c r="AD949" i="1"/>
  <c r="AC949" i="1"/>
  <c r="AB949" i="1"/>
  <c r="Z949" i="1"/>
  <c r="W949" i="1"/>
  <c r="V949" i="1"/>
  <c r="T949" i="1"/>
  <c r="R949" i="1"/>
  <c r="Q949" i="1" a="1"/>
  <c r="Q949" i="1" s="1"/>
  <c r="P949" i="1"/>
  <c r="N949" i="1"/>
  <c r="L949" i="1"/>
  <c r="K949" i="1" a="1"/>
  <c r="K949" i="1" s="1"/>
  <c r="U949" i="1" s="1"/>
  <c r="J949" i="1" a="1"/>
  <c r="J949" i="1" s="1"/>
  <c r="H949" i="1" a="1"/>
  <c r="H949" i="1" s="1"/>
  <c r="AS948" i="1"/>
  <c r="AA948" i="1" s="1"/>
  <c r="AO948" i="1"/>
  <c r="AN948" i="1"/>
  <c r="AM948" i="1"/>
  <c r="AL948" i="1"/>
  <c r="AK948" i="1"/>
  <c r="AJ948" i="1"/>
  <c r="AI948" i="1"/>
  <c r="AH948" i="1"/>
  <c r="AG948" i="1"/>
  <c r="AF948" i="1"/>
  <c r="AE948" i="1"/>
  <c r="AD948" i="1"/>
  <c r="AC948" i="1"/>
  <c r="AB948" i="1"/>
  <c r="Z948" i="1"/>
  <c r="W948" i="1"/>
  <c r="X948" i="1" s="1"/>
  <c r="V948" i="1"/>
  <c r="T948" i="1"/>
  <c r="R948" i="1"/>
  <c r="Q948" i="1" a="1"/>
  <c r="Q948" i="1" s="1"/>
  <c r="P948" i="1"/>
  <c r="N948" i="1"/>
  <c r="L948" i="1"/>
  <c r="K948" i="1" a="1"/>
  <c r="K948" i="1" s="1"/>
  <c r="U948" i="1" s="1"/>
  <c r="J948" i="1" a="1"/>
  <c r="J948" i="1" s="1"/>
  <c r="H948" i="1" a="1"/>
  <c r="H948" i="1" s="1"/>
  <c r="AS947" i="1"/>
  <c r="AA947" i="1" s="1"/>
  <c r="AO947" i="1"/>
  <c r="AN947" i="1"/>
  <c r="AM947" i="1"/>
  <c r="AL947" i="1"/>
  <c r="AK947" i="1"/>
  <c r="AJ947" i="1"/>
  <c r="AI947" i="1"/>
  <c r="AH947" i="1"/>
  <c r="AG947" i="1"/>
  <c r="AF947" i="1"/>
  <c r="AE947" i="1"/>
  <c r="AD947" i="1"/>
  <c r="AC947" i="1"/>
  <c r="AB947" i="1"/>
  <c r="Z947" i="1"/>
  <c r="W947" i="1"/>
  <c r="Y947" i="1" s="1"/>
  <c r="V947" i="1"/>
  <c r="T947" i="1"/>
  <c r="R947" i="1"/>
  <c r="Q947" i="1" a="1"/>
  <c r="Q947" i="1" s="1"/>
  <c r="P947" i="1"/>
  <c r="N947" i="1"/>
  <c r="L947" i="1"/>
  <c r="K947" i="1" a="1"/>
  <c r="K947" i="1" s="1"/>
  <c r="U947" i="1" s="1"/>
  <c r="J947" i="1" a="1"/>
  <c r="J947" i="1" s="1"/>
  <c r="H947" i="1" a="1"/>
  <c r="H947" i="1" s="1"/>
  <c r="I947" i="1" s="1"/>
  <c r="S947" i="1" s="1"/>
  <c r="AS946" i="1"/>
  <c r="AA946" i="1" s="1"/>
  <c r="AO946" i="1"/>
  <c r="AN946" i="1"/>
  <c r="AM946" i="1"/>
  <c r="AL946" i="1"/>
  <c r="AK946" i="1"/>
  <c r="AJ946" i="1"/>
  <c r="AI946" i="1"/>
  <c r="AH946" i="1"/>
  <c r="AG946" i="1"/>
  <c r="AF946" i="1"/>
  <c r="AE946" i="1"/>
  <c r="AD946" i="1"/>
  <c r="AC946" i="1"/>
  <c r="AB946" i="1"/>
  <c r="Z946" i="1"/>
  <c r="W946" i="1"/>
  <c r="Y946" i="1" s="1"/>
  <c r="V946" i="1"/>
  <c r="T946" i="1"/>
  <c r="R946" i="1"/>
  <c r="Q946" i="1" a="1"/>
  <c r="Q946" i="1" s="1"/>
  <c r="P946" i="1"/>
  <c r="N946" i="1"/>
  <c r="L946" i="1"/>
  <c r="K946" i="1" a="1"/>
  <c r="K946" i="1" s="1"/>
  <c r="U946" i="1" s="1"/>
  <c r="J946" i="1" a="1"/>
  <c r="J946" i="1" s="1"/>
  <c r="H946" i="1" a="1"/>
  <c r="H946" i="1" s="1"/>
  <c r="I946" i="1" s="1"/>
  <c r="S946" i="1" s="1"/>
  <c r="AZ945" i="1"/>
  <c r="AH945" i="1" s="1"/>
  <c r="AY945" i="1"/>
  <c r="AG945" i="1" s="1"/>
  <c r="AX945" i="1"/>
  <c r="AF945" i="1" s="1"/>
  <c r="AW945" i="1"/>
  <c r="AV945" i="1"/>
  <c r="AD945" i="1" s="1"/>
  <c r="AU945" i="1"/>
  <c r="AC945" i="1" s="1"/>
  <c r="AT945" i="1"/>
  <c r="AB945" i="1" s="1"/>
  <c r="AS945" i="1"/>
  <c r="AA945" i="1" s="1"/>
  <c r="AO945" i="1"/>
  <c r="AN945" i="1"/>
  <c r="AM945" i="1"/>
  <c r="AL945" i="1"/>
  <c r="AK945" i="1"/>
  <c r="AJ945" i="1"/>
  <c r="AI945" i="1"/>
  <c r="AE945" i="1"/>
  <c r="Z945" i="1"/>
  <c r="W945" i="1"/>
  <c r="X945" i="1" s="1"/>
  <c r="V945" i="1"/>
  <c r="T945" i="1"/>
  <c r="R945" i="1"/>
  <c r="Q945" i="1" a="1"/>
  <c r="Q945" i="1" s="1"/>
  <c r="P945" i="1"/>
  <c r="N945" i="1"/>
  <c r="L945" i="1"/>
  <c r="K945" i="1" a="1"/>
  <c r="K945" i="1" s="1"/>
  <c r="U945" i="1" s="1"/>
  <c r="J945" i="1" a="1"/>
  <c r="J945" i="1" s="1"/>
  <c r="H945" i="1" a="1"/>
  <c r="H945" i="1" s="1"/>
  <c r="AS944" i="1"/>
  <c r="AA944" i="1" s="1"/>
  <c r="AO944" i="1"/>
  <c r="AN944" i="1"/>
  <c r="AM944" i="1"/>
  <c r="AL944" i="1"/>
  <c r="AK944" i="1"/>
  <c r="AJ944" i="1"/>
  <c r="AI944" i="1"/>
  <c r="AH944" i="1"/>
  <c r="AG944" i="1"/>
  <c r="AF944" i="1"/>
  <c r="AE944" i="1"/>
  <c r="AD944" i="1"/>
  <c r="AC944" i="1"/>
  <c r="AB944" i="1"/>
  <c r="Z944" i="1"/>
  <c r="W944" i="1"/>
  <c r="X944" i="1" s="1"/>
  <c r="V944" i="1"/>
  <c r="T944" i="1"/>
  <c r="R944" i="1"/>
  <c r="Q944" i="1" a="1"/>
  <c r="Q944" i="1" s="1"/>
  <c r="P944" i="1"/>
  <c r="N944" i="1"/>
  <c r="L944" i="1"/>
  <c r="K944" i="1" a="1"/>
  <c r="K944" i="1" s="1"/>
  <c r="U944" i="1" s="1"/>
  <c r="J944" i="1" a="1"/>
  <c r="J944" i="1" s="1"/>
  <c r="H944" i="1" a="1"/>
  <c r="H944" i="1" s="1"/>
  <c r="I944" i="1" s="1"/>
  <c r="S944" i="1" s="1"/>
  <c r="AS943" i="1"/>
  <c r="AA943" i="1" s="1"/>
  <c r="AO943" i="1"/>
  <c r="AN943" i="1"/>
  <c r="AM943" i="1"/>
  <c r="AL943" i="1"/>
  <c r="AK943" i="1"/>
  <c r="AJ943" i="1"/>
  <c r="AI943" i="1"/>
  <c r="AH943" i="1"/>
  <c r="AG943" i="1"/>
  <c r="AF943" i="1"/>
  <c r="AE943" i="1"/>
  <c r="AD943" i="1"/>
  <c r="AC943" i="1"/>
  <c r="AB943" i="1"/>
  <c r="Z943" i="1"/>
  <c r="W943" i="1"/>
  <c r="Y943" i="1" s="1"/>
  <c r="V943" i="1"/>
  <c r="T943" i="1"/>
  <c r="R943" i="1"/>
  <c r="Q943" i="1" a="1"/>
  <c r="Q943" i="1" s="1"/>
  <c r="P943" i="1"/>
  <c r="N943" i="1"/>
  <c r="L943" i="1"/>
  <c r="K943" i="1" a="1"/>
  <c r="K943" i="1" s="1"/>
  <c r="U943" i="1" s="1"/>
  <c r="J943" i="1" a="1"/>
  <c r="J943" i="1" s="1"/>
  <c r="H943" i="1" a="1"/>
  <c r="H943" i="1" s="1"/>
  <c r="I943" i="1" s="1"/>
  <c r="S943" i="1" s="1"/>
  <c r="AS942" i="1"/>
  <c r="AA942" i="1" s="1"/>
  <c r="AO942" i="1"/>
  <c r="AN942" i="1"/>
  <c r="AM942" i="1"/>
  <c r="AL942" i="1"/>
  <c r="AK942" i="1"/>
  <c r="AJ942" i="1"/>
  <c r="AI942" i="1"/>
  <c r="AH942" i="1"/>
  <c r="AG942" i="1"/>
  <c r="AF942" i="1"/>
  <c r="AE942" i="1"/>
  <c r="AD942" i="1"/>
  <c r="AC942" i="1"/>
  <c r="AB942" i="1"/>
  <c r="Z942" i="1"/>
  <c r="W942" i="1"/>
  <c r="Y942" i="1" s="1"/>
  <c r="V942" i="1"/>
  <c r="T942" i="1"/>
  <c r="R942" i="1"/>
  <c r="Q942" i="1" a="1"/>
  <c r="Q942" i="1" s="1"/>
  <c r="P942" i="1"/>
  <c r="N942" i="1"/>
  <c r="L942" i="1"/>
  <c r="K942" i="1" a="1"/>
  <c r="K942" i="1" s="1"/>
  <c r="U942" i="1" s="1"/>
  <c r="J942" i="1" a="1"/>
  <c r="J942" i="1" s="1"/>
  <c r="H942" i="1" a="1"/>
  <c r="H942" i="1" s="1"/>
  <c r="AW941" i="1"/>
  <c r="AE941" i="1" s="1"/>
  <c r="AV941" i="1"/>
  <c r="AD941" i="1" s="1"/>
  <c r="AU941" i="1"/>
  <c r="AC941" i="1" s="1"/>
  <c r="AT941" i="1"/>
  <c r="AB941" i="1" s="1"/>
  <c r="AS941" i="1"/>
  <c r="AA941" i="1" s="1"/>
  <c r="AO941" i="1"/>
  <c r="AN941" i="1"/>
  <c r="AM941" i="1"/>
  <c r="AL941" i="1"/>
  <c r="AK941" i="1"/>
  <c r="AJ941" i="1"/>
  <c r="AI941" i="1"/>
  <c r="AH941" i="1"/>
  <c r="AG941" i="1"/>
  <c r="AF941" i="1"/>
  <c r="Z941" i="1"/>
  <c r="W941" i="1"/>
  <c r="X941" i="1" s="1"/>
  <c r="V941" i="1"/>
  <c r="T941" i="1"/>
  <c r="R941" i="1"/>
  <c r="Q941" i="1" a="1"/>
  <c r="Q941" i="1" s="1"/>
  <c r="P941" i="1"/>
  <c r="N941" i="1"/>
  <c r="L941" i="1"/>
  <c r="K941" i="1" a="1"/>
  <c r="K941" i="1" s="1"/>
  <c r="U941" i="1" s="1"/>
  <c r="J941" i="1" a="1"/>
  <c r="J941" i="1" s="1"/>
  <c r="H941" i="1" a="1"/>
  <c r="H941" i="1" s="1"/>
  <c r="AS940" i="1"/>
  <c r="AA940" i="1" s="1"/>
  <c r="AO940" i="1"/>
  <c r="AN940" i="1"/>
  <c r="AM940" i="1"/>
  <c r="AL940" i="1"/>
  <c r="AK940" i="1"/>
  <c r="AJ940" i="1"/>
  <c r="AI940" i="1"/>
  <c r="AH940" i="1"/>
  <c r="AG940" i="1"/>
  <c r="AF940" i="1"/>
  <c r="AE940" i="1"/>
  <c r="AD940" i="1"/>
  <c r="AC940" i="1"/>
  <c r="AB940" i="1"/>
  <c r="Z940" i="1"/>
  <c r="W940" i="1"/>
  <c r="V940" i="1"/>
  <c r="T940" i="1"/>
  <c r="R940" i="1"/>
  <c r="Q940" i="1" a="1"/>
  <c r="Q940" i="1" s="1"/>
  <c r="P940" i="1"/>
  <c r="N940" i="1"/>
  <c r="L940" i="1"/>
  <c r="K940" i="1" a="1"/>
  <c r="K940" i="1" s="1"/>
  <c r="U940" i="1" s="1"/>
  <c r="J940" i="1" a="1"/>
  <c r="J940" i="1" s="1"/>
  <c r="H940" i="1" a="1"/>
  <c r="H940" i="1" s="1"/>
  <c r="I940" i="1" s="1"/>
  <c r="S940" i="1" s="1"/>
  <c r="AS939" i="1"/>
  <c r="AA939" i="1" s="1"/>
  <c r="AO939" i="1"/>
  <c r="AN939" i="1"/>
  <c r="AM939" i="1"/>
  <c r="AL939" i="1"/>
  <c r="AK939" i="1"/>
  <c r="AJ939" i="1"/>
  <c r="AI939" i="1"/>
  <c r="AH939" i="1"/>
  <c r="AG939" i="1"/>
  <c r="AF939" i="1"/>
  <c r="AE939" i="1"/>
  <c r="AD939" i="1"/>
  <c r="AC939" i="1"/>
  <c r="AB939" i="1"/>
  <c r="Z939" i="1"/>
  <c r="W939" i="1"/>
  <c r="Y939" i="1" s="1"/>
  <c r="V939" i="1"/>
  <c r="T939" i="1"/>
  <c r="R939" i="1"/>
  <c r="Q939" i="1" a="1"/>
  <c r="Q939" i="1" s="1"/>
  <c r="P939" i="1"/>
  <c r="N939" i="1"/>
  <c r="L939" i="1"/>
  <c r="K939" i="1" a="1"/>
  <c r="K939" i="1" s="1"/>
  <c r="U939" i="1" s="1"/>
  <c r="J939" i="1" a="1"/>
  <c r="J939" i="1" s="1"/>
  <c r="H939" i="1" a="1"/>
  <c r="H939" i="1" s="1"/>
  <c r="I939" i="1" s="1"/>
  <c r="S939" i="1" s="1"/>
  <c r="AS938" i="1"/>
  <c r="AA938" i="1" s="1"/>
  <c r="AO938" i="1"/>
  <c r="AN938" i="1"/>
  <c r="AM938" i="1"/>
  <c r="AL938" i="1"/>
  <c r="AK938" i="1"/>
  <c r="AJ938" i="1"/>
  <c r="AI938" i="1"/>
  <c r="AH938" i="1"/>
  <c r="AG938" i="1"/>
  <c r="AF938" i="1"/>
  <c r="AE938" i="1"/>
  <c r="AD938" i="1"/>
  <c r="AC938" i="1"/>
  <c r="AB938" i="1"/>
  <c r="Z938" i="1"/>
  <c r="W938" i="1"/>
  <c r="V938" i="1"/>
  <c r="T938" i="1"/>
  <c r="R938" i="1"/>
  <c r="Q938" i="1" a="1"/>
  <c r="Q938" i="1" s="1"/>
  <c r="P938" i="1"/>
  <c r="N938" i="1"/>
  <c r="L938" i="1"/>
  <c r="K938" i="1" a="1"/>
  <c r="K938" i="1" s="1"/>
  <c r="U938" i="1" s="1"/>
  <c r="J938" i="1" a="1"/>
  <c r="J938" i="1" s="1"/>
  <c r="H938" i="1" a="1"/>
  <c r="H938" i="1" s="1"/>
  <c r="AS937" i="1"/>
  <c r="AA937" i="1" s="1"/>
  <c r="AO937" i="1"/>
  <c r="AN937" i="1"/>
  <c r="AM937" i="1"/>
  <c r="AL937" i="1"/>
  <c r="AK937" i="1"/>
  <c r="AJ937" i="1"/>
  <c r="AI937" i="1"/>
  <c r="AH937" i="1"/>
  <c r="AG937" i="1"/>
  <c r="AF937" i="1"/>
  <c r="AE937" i="1"/>
  <c r="AD937" i="1"/>
  <c r="AC937" i="1"/>
  <c r="AB937" i="1"/>
  <c r="Z937" i="1"/>
  <c r="W937" i="1"/>
  <c r="X937" i="1" s="1"/>
  <c r="V937" i="1"/>
  <c r="T937" i="1"/>
  <c r="R937" i="1"/>
  <c r="Q937" i="1" a="1"/>
  <c r="Q937" i="1" s="1"/>
  <c r="P937" i="1"/>
  <c r="N937" i="1"/>
  <c r="L937" i="1"/>
  <c r="K937" i="1" a="1"/>
  <c r="K937" i="1" s="1"/>
  <c r="U937" i="1" s="1"/>
  <c r="J937" i="1" a="1"/>
  <c r="J937" i="1" s="1"/>
  <c r="H937" i="1" a="1"/>
  <c r="H937" i="1" s="1"/>
  <c r="AU936" i="1"/>
  <c r="AC936" i="1" s="1"/>
  <c r="AT936" i="1"/>
  <c r="AB936" i="1" s="1"/>
  <c r="AS936" i="1"/>
  <c r="AA936" i="1" s="1"/>
  <c r="AO936" i="1"/>
  <c r="AN936" i="1"/>
  <c r="AM936" i="1"/>
  <c r="AL936" i="1"/>
  <c r="AK936" i="1"/>
  <c r="AJ936" i="1"/>
  <c r="AI936" i="1"/>
  <c r="AH936" i="1"/>
  <c r="AG936" i="1"/>
  <c r="AF936" i="1"/>
  <c r="AE936" i="1"/>
  <c r="AD936" i="1"/>
  <c r="Z936" i="1"/>
  <c r="W936" i="1"/>
  <c r="Y936" i="1" s="1"/>
  <c r="V936" i="1"/>
  <c r="T936" i="1"/>
  <c r="R936" i="1"/>
  <c r="Q936" i="1" a="1"/>
  <c r="Q936" i="1" s="1"/>
  <c r="P936" i="1"/>
  <c r="N936" i="1"/>
  <c r="L936" i="1"/>
  <c r="K936" i="1" a="1"/>
  <c r="K936" i="1" s="1"/>
  <c r="U936" i="1" s="1"/>
  <c r="J936" i="1" a="1"/>
  <c r="J936" i="1" s="1"/>
  <c r="H936" i="1" a="1"/>
  <c r="H936" i="1" s="1"/>
  <c r="AS935" i="1"/>
  <c r="AA935" i="1" s="1"/>
  <c r="AO935" i="1"/>
  <c r="AN935" i="1"/>
  <c r="AM935" i="1"/>
  <c r="AL935" i="1"/>
  <c r="AK935" i="1"/>
  <c r="AJ935" i="1"/>
  <c r="AI935" i="1"/>
  <c r="AH935" i="1"/>
  <c r="AG935" i="1"/>
  <c r="AF935" i="1"/>
  <c r="AE935" i="1"/>
  <c r="AD935" i="1"/>
  <c r="AC935" i="1"/>
  <c r="AB935" i="1"/>
  <c r="Z935" i="1"/>
  <c r="W935" i="1"/>
  <c r="X935" i="1" s="1"/>
  <c r="V935" i="1"/>
  <c r="T935" i="1"/>
  <c r="R935" i="1"/>
  <c r="Q935" i="1" a="1"/>
  <c r="Q935" i="1" s="1"/>
  <c r="P935" i="1"/>
  <c r="N935" i="1"/>
  <c r="L935" i="1"/>
  <c r="K935" i="1" a="1"/>
  <c r="K935" i="1" s="1"/>
  <c r="U935" i="1" s="1"/>
  <c r="J935" i="1" a="1"/>
  <c r="J935" i="1" s="1"/>
  <c r="H935" i="1" a="1"/>
  <c r="H935" i="1" s="1"/>
  <c r="I935" i="1" s="1"/>
  <c r="S935" i="1" s="1"/>
  <c r="AS934" i="1"/>
  <c r="AA934" i="1" s="1"/>
  <c r="AO934" i="1"/>
  <c r="AN934" i="1"/>
  <c r="AM934" i="1"/>
  <c r="AL934" i="1"/>
  <c r="AK934" i="1"/>
  <c r="AJ934" i="1"/>
  <c r="AI934" i="1"/>
  <c r="AH934" i="1"/>
  <c r="AG934" i="1"/>
  <c r="AF934" i="1"/>
  <c r="AE934" i="1"/>
  <c r="AD934" i="1"/>
  <c r="AC934" i="1"/>
  <c r="AB934" i="1"/>
  <c r="Z934" i="1"/>
  <c r="W934" i="1"/>
  <c r="Y934" i="1" s="1"/>
  <c r="V934" i="1"/>
  <c r="T934" i="1"/>
  <c r="R934" i="1"/>
  <c r="Q934" i="1" a="1"/>
  <c r="Q934" i="1" s="1"/>
  <c r="P934" i="1"/>
  <c r="N934" i="1"/>
  <c r="L934" i="1"/>
  <c r="K934" i="1" a="1"/>
  <c r="K934" i="1" s="1"/>
  <c r="U934" i="1" s="1"/>
  <c r="J934" i="1" a="1"/>
  <c r="J934" i="1" s="1"/>
  <c r="H934" i="1" a="1"/>
  <c r="H934" i="1" s="1"/>
  <c r="AS933" i="1"/>
  <c r="AA933" i="1" s="1"/>
  <c r="AO933" i="1"/>
  <c r="AN933" i="1"/>
  <c r="AM933" i="1"/>
  <c r="AL933" i="1"/>
  <c r="AK933" i="1"/>
  <c r="AJ933" i="1"/>
  <c r="AI933" i="1"/>
  <c r="AH933" i="1"/>
  <c r="AG933" i="1"/>
  <c r="AF933" i="1"/>
  <c r="AE933" i="1"/>
  <c r="AD933" i="1"/>
  <c r="AC933" i="1"/>
  <c r="AB933" i="1"/>
  <c r="Z933" i="1"/>
  <c r="W933" i="1"/>
  <c r="V933" i="1"/>
  <c r="T933" i="1"/>
  <c r="R933" i="1"/>
  <c r="Q933" i="1" a="1"/>
  <c r="Q933" i="1" s="1"/>
  <c r="P933" i="1"/>
  <c r="N933" i="1"/>
  <c r="L933" i="1"/>
  <c r="K933" i="1" a="1"/>
  <c r="K933" i="1" s="1"/>
  <c r="U933" i="1" s="1"/>
  <c r="J933" i="1" a="1"/>
  <c r="J933" i="1" s="1"/>
  <c r="H933" i="1" a="1"/>
  <c r="H933" i="1" s="1"/>
  <c r="I933" i="1" s="1"/>
  <c r="S933" i="1" s="1"/>
  <c r="AS932" i="1"/>
  <c r="AA932" i="1" s="1"/>
  <c r="AO932" i="1"/>
  <c r="AN932" i="1"/>
  <c r="AM932" i="1"/>
  <c r="AL932" i="1"/>
  <c r="AK932" i="1"/>
  <c r="AJ932" i="1"/>
  <c r="AI932" i="1"/>
  <c r="AH932" i="1"/>
  <c r="AG932" i="1"/>
  <c r="AF932" i="1"/>
  <c r="AE932" i="1"/>
  <c r="AD932" i="1"/>
  <c r="AC932" i="1"/>
  <c r="AB932" i="1"/>
  <c r="Z932" i="1"/>
  <c r="W932" i="1"/>
  <c r="Y932" i="1" s="1"/>
  <c r="V932" i="1"/>
  <c r="T932" i="1"/>
  <c r="R932" i="1"/>
  <c r="Q932" i="1" a="1"/>
  <c r="Q932" i="1" s="1"/>
  <c r="P932" i="1"/>
  <c r="N932" i="1"/>
  <c r="L932" i="1"/>
  <c r="K932" i="1" a="1"/>
  <c r="K932" i="1" s="1"/>
  <c r="U932" i="1" s="1"/>
  <c r="J932" i="1" a="1"/>
  <c r="J932" i="1" s="1"/>
  <c r="H932" i="1" a="1"/>
  <c r="H932" i="1" s="1"/>
  <c r="AS931" i="1"/>
  <c r="AA931" i="1" s="1"/>
  <c r="AO931" i="1"/>
  <c r="AN931" i="1"/>
  <c r="AM931" i="1"/>
  <c r="AL931" i="1"/>
  <c r="AK931" i="1"/>
  <c r="AJ931" i="1"/>
  <c r="AI931" i="1"/>
  <c r="AH931" i="1"/>
  <c r="AG931" i="1"/>
  <c r="AF931" i="1"/>
  <c r="AE931" i="1"/>
  <c r="AD931" i="1"/>
  <c r="AC931" i="1"/>
  <c r="AB931" i="1"/>
  <c r="Z931" i="1"/>
  <c r="W931" i="1"/>
  <c r="X931" i="1" s="1"/>
  <c r="V931" i="1"/>
  <c r="T931" i="1"/>
  <c r="R931" i="1"/>
  <c r="Q931" i="1" a="1"/>
  <c r="Q931" i="1" s="1"/>
  <c r="P931" i="1"/>
  <c r="N931" i="1"/>
  <c r="L931" i="1"/>
  <c r="K931" i="1" a="1"/>
  <c r="K931" i="1" s="1"/>
  <c r="U931" i="1" s="1"/>
  <c r="J931" i="1" a="1"/>
  <c r="J931" i="1" s="1"/>
  <c r="H931" i="1" a="1"/>
  <c r="H931" i="1" s="1"/>
  <c r="AW930" i="1"/>
  <c r="AE930" i="1" s="1"/>
  <c r="AV930" i="1"/>
  <c r="AD930" i="1" s="1"/>
  <c r="AU930" i="1"/>
  <c r="AC930" i="1" s="1"/>
  <c r="AT930" i="1"/>
  <c r="AB930" i="1" s="1"/>
  <c r="AS930" i="1"/>
  <c r="AA930" i="1" s="1"/>
  <c r="AO930" i="1"/>
  <c r="AN930" i="1"/>
  <c r="AM930" i="1"/>
  <c r="AL930" i="1"/>
  <c r="AK930" i="1"/>
  <c r="AJ930" i="1"/>
  <c r="AI930" i="1"/>
  <c r="AH930" i="1"/>
  <c r="AG930" i="1"/>
  <c r="AF930" i="1"/>
  <c r="Z930" i="1"/>
  <c r="W930" i="1"/>
  <c r="V930" i="1"/>
  <c r="T930" i="1"/>
  <c r="R930" i="1"/>
  <c r="Q930" i="1" a="1"/>
  <c r="Q930" i="1" s="1"/>
  <c r="P930" i="1"/>
  <c r="N930" i="1"/>
  <c r="L930" i="1"/>
  <c r="K930" i="1" a="1"/>
  <c r="K930" i="1" s="1"/>
  <c r="U930" i="1" s="1"/>
  <c r="J930" i="1" a="1"/>
  <c r="J930" i="1" s="1"/>
  <c r="H930" i="1" a="1"/>
  <c r="H930" i="1" s="1"/>
  <c r="I930" i="1" s="1"/>
  <c r="S930" i="1" s="1"/>
  <c r="AS929" i="1"/>
  <c r="AA929" i="1" s="1"/>
  <c r="AO929" i="1"/>
  <c r="AN929" i="1"/>
  <c r="AM929" i="1"/>
  <c r="AL929" i="1"/>
  <c r="AK929" i="1"/>
  <c r="AJ929" i="1"/>
  <c r="AI929" i="1"/>
  <c r="AH929" i="1"/>
  <c r="AG929" i="1"/>
  <c r="AF929" i="1"/>
  <c r="AE929" i="1"/>
  <c r="AD929" i="1"/>
  <c r="AC929" i="1"/>
  <c r="AB929" i="1"/>
  <c r="Z929" i="1"/>
  <c r="W929" i="1"/>
  <c r="Y929" i="1" s="1"/>
  <c r="V929" i="1"/>
  <c r="T929" i="1"/>
  <c r="R929" i="1"/>
  <c r="Q929" i="1" a="1"/>
  <c r="Q929" i="1" s="1"/>
  <c r="P929" i="1"/>
  <c r="N929" i="1"/>
  <c r="L929" i="1"/>
  <c r="K929" i="1" a="1"/>
  <c r="K929" i="1" s="1"/>
  <c r="U929" i="1" s="1"/>
  <c r="J929" i="1" a="1"/>
  <c r="J929" i="1" s="1"/>
  <c r="H929" i="1" a="1"/>
  <c r="H929" i="1" s="1"/>
  <c r="I929" i="1" s="1"/>
  <c r="S929" i="1" s="1"/>
  <c r="AS928" i="1"/>
  <c r="AA928" i="1" s="1"/>
  <c r="AO928" i="1"/>
  <c r="AN928" i="1"/>
  <c r="AM928" i="1"/>
  <c r="AL928" i="1"/>
  <c r="AK928" i="1"/>
  <c r="AJ928" i="1"/>
  <c r="AI928" i="1"/>
  <c r="AH928" i="1"/>
  <c r="AG928" i="1"/>
  <c r="AF928" i="1"/>
  <c r="AE928" i="1"/>
  <c r="AD928" i="1"/>
  <c r="AC928" i="1"/>
  <c r="AB928" i="1"/>
  <c r="Z928" i="1"/>
  <c r="W928" i="1"/>
  <c r="Y928" i="1" s="1"/>
  <c r="V928" i="1"/>
  <c r="T928" i="1"/>
  <c r="R928" i="1"/>
  <c r="Q928" i="1" a="1"/>
  <c r="Q928" i="1" s="1"/>
  <c r="P928" i="1"/>
  <c r="N928" i="1"/>
  <c r="L928" i="1"/>
  <c r="K928" i="1" a="1"/>
  <c r="K928" i="1" s="1"/>
  <c r="U928" i="1" s="1"/>
  <c r="J928" i="1" a="1"/>
  <c r="J928" i="1" s="1"/>
  <c r="H928" i="1" a="1"/>
  <c r="H928" i="1" s="1"/>
  <c r="AS927" i="1"/>
  <c r="AA927" i="1" s="1"/>
  <c r="AO927" i="1"/>
  <c r="AN927" i="1"/>
  <c r="AM927" i="1"/>
  <c r="AL927" i="1"/>
  <c r="AK927" i="1"/>
  <c r="AJ927" i="1"/>
  <c r="AI927" i="1"/>
  <c r="AH927" i="1"/>
  <c r="AG927" i="1"/>
  <c r="AF927" i="1"/>
  <c r="AE927" i="1"/>
  <c r="AD927" i="1"/>
  <c r="AC927" i="1"/>
  <c r="AB927" i="1"/>
  <c r="Z927" i="1"/>
  <c r="W927" i="1"/>
  <c r="X927" i="1" s="1"/>
  <c r="V927" i="1"/>
  <c r="T927" i="1"/>
  <c r="R927" i="1"/>
  <c r="Q927" i="1" a="1"/>
  <c r="Q927" i="1" s="1"/>
  <c r="P927" i="1"/>
  <c r="N927" i="1"/>
  <c r="L927" i="1"/>
  <c r="K927" i="1" a="1"/>
  <c r="K927" i="1" s="1"/>
  <c r="U927" i="1" s="1"/>
  <c r="J927" i="1" a="1"/>
  <c r="J927" i="1" s="1"/>
  <c r="H927" i="1" a="1"/>
  <c r="H927" i="1" s="1"/>
  <c r="I927" i="1" s="1"/>
  <c r="S927" i="1" s="1"/>
  <c r="AS926" i="1"/>
  <c r="AA926" i="1" s="1"/>
  <c r="AO926" i="1"/>
  <c r="AN926" i="1"/>
  <c r="AM926" i="1"/>
  <c r="AL926" i="1"/>
  <c r="AK926" i="1"/>
  <c r="AJ926" i="1"/>
  <c r="AI926" i="1"/>
  <c r="AH926" i="1"/>
  <c r="AG926" i="1"/>
  <c r="AF926" i="1"/>
  <c r="AE926" i="1"/>
  <c r="AD926" i="1"/>
  <c r="AC926" i="1"/>
  <c r="AB926" i="1"/>
  <c r="Z926" i="1"/>
  <c r="W926" i="1"/>
  <c r="Y926" i="1" s="1"/>
  <c r="V926" i="1"/>
  <c r="T926" i="1"/>
  <c r="R926" i="1"/>
  <c r="Q926" i="1" a="1"/>
  <c r="Q926" i="1" s="1"/>
  <c r="P926" i="1"/>
  <c r="N926" i="1"/>
  <c r="L926" i="1"/>
  <c r="K926" i="1" a="1"/>
  <c r="K926" i="1" s="1"/>
  <c r="U926" i="1" s="1"/>
  <c r="J926" i="1" a="1"/>
  <c r="J926" i="1" s="1"/>
  <c r="H926" i="1" a="1"/>
  <c r="H926" i="1" s="1"/>
  <c r="AS925" i="1"/>
  <c r="AA925" i="1" s="1"/>
  <c r="AO925" i="1"/>
  <c r="AN925" i="1"/>
  <c r="AM925" i="1"/>
  <c r="AL925" i="1"/>
  <c r="AK925" i="1"/>
  <c r="AJ925" i="1"/>
  <c r="AI925" i="1"/>
  <c r="AH925" i="1"/>
  <c r="AG925" i="1"/>
  <c r="AF925" i="1"/>
  <c r="AE925" i="1"/>
  <c r="AD925" i="1"/>
  <c r="AC925" i="1"/>
  <c r="AB925" i="1"/>
  <c r="Z925" i="1"/>
  <c r="W925" i="1"/>
  <c r="X925" i="1" s="1"/>
  <c r="V925" i="1"/>
  <c r="T925" i="1"/>
  <c r="R925" i="1"/>
  <c r="Q925" i="1" a="1"/>
  <c r="Q925" i="1" s="1"/>
  <c r="P925" i="1"/>
  <c r="N925" i="1"/>
  <c r="L925" i="1"/>
  <c r="K925" i="1" a="1"/>
  <c r="K925" i="1" s="1"/>
  <c r="U925" i="1" s="1"/>
  <c r="J925" i="1" a="1"/>
  <c r="J925" i="1" s="1"/>
  <c r="H925" i="1" a="1"/>
  <c r="H925" i="1" s="1"/>
  <c r="I925" i="1" s="1"/>
  <c r="S925" i="1" s="1"/>
  <c r="Z924" i="1"/>
  <c r="W924" i="1"/>
  <c r="V924" i="1"/>
  <c r="L924" i="1"/>
  <c r="K924" i="1" a="1"/>
  <c r="K924" i="1" s="1"/>
  <c r="J924" i="1" a="1"/>
  <c r="J924" i="1" s="1"/>
  <c r="H924" i="1" a="1"/>
  <c r="H924" i="1" s="1"/>
  <c r="I924" i="1" s="1"/>
  <c r="AS923" i="1"/>
  <c r="AA923" i="1" s="1"/>
  <c r="AO923" i="1"/>
  <c r="AN923" i="1"/>
  <c r="AM923" i="1"/>
  <c r="AL923" i="1"/>
  <c r="AK923" i="1"/>
  <c r="AJ923" i="1"/>
  <c r="AI923" i="1"/>
  <c r="AH923" i="1"/>
  <c r="AG923" i="1"/>
  <c r="AF923" i="1"/>
  <c r="AE923" i="1"/>
  <c r="AD923" i="1"/>
  <c r="AC923" i="1"/>
  <c r="AB923" i="1"/>
  <c r="Z923" i="1"/>
  <c r="W923" i="1"/>
  <c r="Y923" i="1" s="1"/>
  <c r="V923" i="1"/>
  <c r="T923" i="1"/>
  <c r="R923" i="1"/>
  <c r="Q923" i="1" a="1"/>
  <c r="Q923" i="1" s="1"/>
  <c r="P923" i="1"/>
  <c r="N923" i="1"/>
  <c r="L923" i="1"/>
  <c r="K923" i="1" a="1"/>
  <c r="K923" i="1" s="1"/>
  <c r="U923" i="1" s="1"/>
  <c r="J923" i="1" a="1"/>
  <c r="J923" i="1" s="1"/>
  <c r="H923" i="1" a="1"/>
  <c r="H923" i="1" s="1"/>
  <c r="I923" i="1" s="1"/>
  <c r="S923" i="1" s="1"/>
  <c r="AS922" i="1"/>
  <c r="AA922" i="1" s="1"/>
  <c r="AO922" i="1"/>
  <c r="AN922" i="1"/>
  <c r="AM922" i="1"/>
  <c r="AL922" i="1"/>
  <c r="AK922" i="1"/>
  <c r="AJ922" i="1"/>
  <c r="AI922" i="1"/>
  <c r="AH922" i="1"/>
  <c r="AG922" i="1"/>
  <c r="AF922" i="1"/>
  <c r="AE922" i="1"/>
  <c r="AD922" i="1"/>
  <c r="AC922" i="1"/>
  <c r="AB922" i="1"/>
  <c r="Z922" i="1"/>
  <c r="W922" i="1"/>
  <c r="Y922" i="1" s="1"/>
  <c r="V922" i="1"/>
  <c r="T922" i="1"/>
  <c r="R922" i="1"/>
  <c r="Q922" i="1" a="1"/>
  <c r="Q922" i="1" s="1"/>
  <c r="P922" i="1"/>
  <c r="N922" i="1"/>
  <c r="L922" i="1"/>
  <c r="K922" i="1" a="1"/>
  <c r="K922" i="1" s="1"/>
  <c r="U922" i="1" s="1"/>
  <c r="J922" i="1" a="1"/>
  <c r="J922" i="1" s="1"/>
  <c r="H922" i="1" a="1"/>
  <c r="H922" i="1" s="1"/>
  <c r="AU921" i="1"/>
  <c r="AC921" i="1" s="1"/>
  <c r="AT921" i="1"/>
  <c r="AB921" i="1" s="1"/>
  <c r="AS921" i="1"/>
  <c r="AA921" i="1" s="1"/>
  <c r="AO921" i="1"/>
  <c r="AN921" i="1"/>
  <c r="AM921" i="1"/>
  <c r="AL921" i="1"/>
  <c r="AK921" i="1"/>
  <c r="AJ921" i="1"/>
  <c r="AI921" i="1"/>
  <c r="AH921" i="1"/>
  <c r="AG921" i="1"/>
  <c r="AF921" i="1"/>
  <c r="AE921" i="1"/>
  <c r="AD921" i="1"/>
  <c r="Z921" i="1"/>
  <c r="W921" i="1"/>
  <c r="Y921" i="1" s="1"/>
  <c r="V921" i="1"/>
  <c r="T921" i="1"/>
  <c r="R921" i="1"/>
  <c r="Q921" i="1" a="1"/>
  <c r="Q921" i="1" s="1"/>
  <c r="P921" i="1"/>
  <c r="N921" i="1"/>
  <c r="L921" i="1"/>
  <c r="K921" i="1" a="1"/>
  <c r="K921" i="1" s="1"/>
  <c r="U921" i="1" s="1"/>
  <c r="J921" i="1" a="1"/>
  <c r="J921" i="1" s="1"/>
  <c r="H921" i="1" a="1"/>
  <c r="H921" i="1" s="1"/>
  <c r="I921" i="1" s="1"/>
  <c r="S921" i="1" s="1"/>
  <c r="AS920" i="1"/>
  <c r="AA920" i="1" s="1"/>
  <c r="AO920" i="1"/>
  <c r="AN920" i="1"/>
  <c r="AM920" i="1"/>
  <c r="AL920" i="1"/>
  <c r="AK920" i="1"/>
  <c r="AJ920" i="1"/>
  <c r="AI920" i="1"/>
  <c r="AH920" i="1"/>
  <c r="AG920" i="1"/>
  <c r="AF920" i="1"/>
  <c r="AE920" i="1"/>
  <c r="AD920" i="1"/>
  <c r="AC920" i="1"/>
  <c r="AB920" i="1"/>
  <c r="Z920" i="1"/>
  <c r="W920" i="1"/>
  <c r="V920" i="1"/>
  <c r="T920" i="1"/>
  <c r="R920" i="1"/>
  <c r="Q920" i="1" a="1"/>
  <c r="Q920" i="1" s="1"/>
  <c r="P920" i="1"/>
  <c r="N920" i="1"/>
  <c r="L920" i="1"/>
  <c r="K920" i="1" a="1"/>
  <c r="K920" i="1" s="1"/>
  <c r="U920" i="1" s="1"/>
  <c r="J920" i="1" a="1"/>
  <c r="J920" i="1" s="1"/>
  <c r="H920" i="1" a="1"/>
  <c r="H920" i="1" s="1"/>
  <c r="AT919" i="1"/>
  <c r="AB919" i="1" s="1"/>
  <c r="AS919" i="1"/>
  <c r="AA919" i="1" s="1"/>
  <c r="AO919" i="1"/>
  <c r="AN919" i="1"/>
  <c r="AM919" i="1"/>
  <c r="AL919" i="1"/>
  <c r="AK919" i="1"/>
  <c r="AJ919" i="1"/>
  <c r="AI919" i="1"/>
  <c r="AH919" i="1"/>
  <c r="AG919" i="1"/>
  <c r="AF919" i="1"/>
  <c r="AE919" i="1"/>
  <c r="AD919" i="1"/>
  <c r="AC919" i="1"/>
  <c r="Z919" i="1"/>
  <c r="W919" i="1"/>
  <c r="Y919" i="1" s="1"/>
  <c r="V919" i="1"/>
  <c r="T919" i="1"/>
  <c r="R919" i="1"/>
  <c r="Q919" i="1" a="1"/>
  <c r="Q919" i="1" s="1"/>
  <c r="P919" i="1"/>
  <c r="N919" i="1"/>
  <c r="L919" i="1"/>
  <c r="K919" i="1" a="1"/>
  <c r="K919" i="1" s="1"/>
  <c r="U919" i="1" s="1"/>
  <c r="J919" i="1" a="1"/>
  <c r="J919" i="1" s="1"/>
  <c r="H919" i="1" a="1"/>
  <c r="H919" i="1" s="1"/>
  <c r="AS918" i="1"/>
  <c r="AA918" i="1" s="1"/>
  <c r="AO918" i="1"/>
  <c r="AN918" i="1"/>
  <c r="AM918" i="1"/>
  <c r="AL918" i="1"/>
  <c r="AK918" i="1"/>
  <c r="AJ918" i="1"/>
  <c r="AI918" i="1"/>
  <c r="AH918" i="1"/>
  <c r="AG918" i="1"/>
  <c r="AF918" i="1"/>
  <c r="AE918" i="1"/>
  <c r="AD918" i="1"/>
  <c r="AC918" i="1"/>
  <c r="AB918" i="1"/>
  <c r="Z918" i="1"/>
  <c r="W918" i="1"/>
  <c r="X918" i="1" s="1"/>
  <c r="V918" i="1"/>
  <c r="T918" i="1"/>
  <c r="R918" i="1"/>
  <c r="Q918" i="1" a="1"/>
  <c r="Q918" i="1" s="1"/>
  <c r="P918" i="1"/>
  <c r="N918" i="1"/>
  <c r="L918" i="1"/>
  <c r="K918" i="1" a="1"/>
  <c r="K918" i="1" s="1"/>
  <c r="U918" i="1" s="1"/>
  <c r="J918" i="1" a="1"/>
  <c r="J918" i="1" s="1"/>
  <c r="H918" i="1" a="1"/>
  <c r="H918" i="1" s="1"/>
  <c r="I918" i="1" s="1"/>
  <c r="S918" i="1" s="1"/>
  <c r="AS917" i="1"/>
  <c r="AA917" i="1" s="1"/>
  <c r="AO917" i="1"/>
  <c r="AN917" i="1"/>
  <c r="AM917" i="1"/>
  <c r="AL917" i="1"/>
  <c r="AK917" i="1"/>
  <c r="AJ917" i="1"/>
  <c r="AI917" i="1"/>
  <c r="AH917" i="1"/>
  <c r="AG917" i="1"/>
  <c r="AF917" i="1"/>
  <c r="AE917" i="1"/>
  <c r="AD917" i="1"/>
  <c r="AC917" i="1"/>
  <c r="AB917" i="1"/>
  <c r="Z917" i="1"/>
  <c r="W917" i="1"/>
  <c r="Y917" i="1" s="1"/>
  <c r="V917" i="1"/>
  <c r="T917" i="1"/>
  <c r="R917" i="1"/>
  <c r="Q917" i="1" a="1"/>
  <c r="Q917" i="1" s="1"/>
  <c r="P917" i="1"/>
  <c r="N917" i="1"/>
  <c r="L917" i="1"/>
  <c r="K917" i="1" a="1"/>
  <c r="K917" i="1" s="1"/>
  <c r="U917" i="1" s="1"/>
  <c r="J917" i="1" a="1"/>
  <c r="J917" i="1" s="1"/>
  <c r="H917" i="1" a="1"/>
  <c r="H917" i="1" s="1"/>
  <c r="AS916" i="1"/>
  <c r="AA916" i="1" s="1"/>
  <c r="AO916" i="1"/>
  <c r="AN916" i="1"/>
  <c r="AM916" i="1"/>
  <c r="AL916" i="1"/>
  <c r="AK916" i="1"/>
  <c r="AJ916" i="1"/>
  <c r="AI916" i="1"/>
  <c r="AH916" i="1"/>
  <c r="AG916" i="1"/>
  <c r="AF916" i="1"/>
  <c r="AE916" i="1"/>
  <c r="AD916" i="1"/>
  <c r="AC916" i="1"/>
  <c r="AB916" i="1"/>
  <c r="Z916" i="1"/>
  <c r="W916" i="1"/>
  <c r="V916" i="1"/>
  <c r="T916" i="1"/>
  <c r="R916" i="1"/>
  <c r="Q916" i="1" a="1"/>
  <c r="Q916" i="1" s="1"/>
  <c r="P916" i="1"/>
  <c r="N916" i="1"/>
  <c r="L916" i="1"/>
  <c r="K916" i="1" a="1"/>
  <c r="K916" i="1" s="1"/>
  <c r="U916" i="1" s="1"/>
  <c r="J916" i="1" a="1"/>
  <c r="J916" i="1" s="1"/>
  <c r="H916" i="1" a="1"/>
  <c r="H916" i="1" s="1"/>
  <c r="I916" i="1" s="1"/>
  <c r="S916" i="1" s="1"/>
  <c r="AS915" i="1"/>
  <c r="AA915" i="1" s="1"/>
  <c r="AO915" i="1"/>
  <c r="AN915" i="1"/>
  <c r="AM915" i="1"/>
  <c r="AL915" i="1"/>
  <c r="AK915" i="1"/>
  <c r="AJ915" i="1"/>
  <c r="AI915" i="1"/>
  <c r="AH915" i="1"/>
  <c r="AG915" i="1"/>
  <c r="AF915" i="1"/>
  <c r="AE915" i="1"/>
  <c r="AD915" i="1"/>
  <c r="AC915" i="1"/>
  <c r="AB915" i="1"/>
  <c r="Z915" i="1"/>
  <c r="W915" i="1"/>
  <c r="Y915" i="1" s="1"/>
  <c r="V915" i="1"/>
  <c r="T915" i="1"/>
  <c r="R915" i="1"/>
  <c r="Q915" i="1" a="1"/>
  <c r="Q915" i="1" s="1"/>
  <c r="P915" i="1"/>
  <c r="N915" i="1"/>
  <c r="L915" i="1"/>
  <c r="K915" i="1" a="1"/>
  <c r="K915" i="1" s="1"/>
  <c r="U915" i="1" s="1"/>
  <c r="J915" i="1" a="1"/>
  <c r="J915" i="1" s="1"/>
  <c r="H915" i="1" a="1"/>
  <c r="H915" i="1" s="1"/>
  <c r="AS914" i="1"/>
  <c r="AA914" i="1" s="1"/>
  <c r="AO914" i="1"/>
  <c r="AN914" i="1"/>
  <c r="AM914" i="1"/>
  <c r="AL914" i="1"/>
  <c r="AK914" i="1"/>
  <c r="AJ914" i="1"/>
  <c r="AI914" i="1"/>
  <c r="AH914" i="1"/>
  <c r="AG914" i="1"/>
  <c r="AF914" i="1"/>
  <c r="AE914" i="1"/>
  <c r="AD914" i="1"/>
  <c r="AC914" i="1"/>
  <c r="AB914" i="1"/>
  <c r="Z914" i="1"/>
  <c r="W914" i="1"/>
  <c r="X914" i="1" s="1"/>
  <c r="V914" i="1"/>
  <c r="T914" i="1"/>
  <c r="R914" i="1"/>
  <c r="Q914" i="1" a="1"/>
  <c r="Q914" i="1" s="1"/>
  <c r="P914" i="1"/>
  <c r="N914" i="1"/>
  <c r="L914" i="1"/>
  <c r="K914" i="1" a="1"/>
  <c r="K914" i="1" s="1"/>
  <c r="U914" i="1" s="1"/>
  <c r="J914" i="1" a="1"/>
  <c r="J914" i="1" s="1"/>
  <c r="H914" i="1" a="1"/>
  <c r="H914" i="1" s="1"/>
  <c r="I914" i="1" s="1"/>
  <c r="S914" i="1" s="1"/>
  <c r="AT913" i="1"/>
  <c r="AB913" i="1" s="1"/>
  <c r="AS913" i="1"/>
  <c r="AA913" i="1" s="1"/>
  <c r="AO913" i="1"/>
  <c r="AN913" i="1"/>
  <c r="AM913" i="1"/>
  <c r="AL913" i="1"/>
  <c r="AK913" i="1"/>
  <c r="AJ913" i="1"/>
  <c r="AI913" i="1"/>
  <c r="AH913" i="1"/>
  <c r="AG913" i="1"/>
  <c r="AF913" i="1"/>
  <c r="AE913" i="1"/>
  <c r="AD913" i="1"/>
  <c r="AC913" i="1"/>
  <c r="Z913" i="1"/>
  <c r="W913" i="1"/>
  <c r="X913" i="1" s="1"/>
  <c r="V913" i="1"/>
  <c r="T913" i="1"/>
  <c r="R913" i="1"/>
  <c r="Q913" i="1" a="1"/>
  <c r="Q913" i="1" s="1"/>
  <c r="P913" i="1"/>
  <c r="N913" i="1"/>
  <c r="L913" i="1"/>
  <c r="K913" i="1" a="1"/>
  <c r="K913" i="1" s="1"/>
  <c r="U913" i="1" s="1"/>
  <c r="J913" i="1" a="1"/>
  <c r="J913" i="1" s="1"/>
  <c r="H913" i="1" a="1"/>
  <c r="H913" i="1" s="1"/>
  <c r="I913" i="1" s="1"/>
  <c r="S913" i="1" s="1"/>
  <c r="AS912" i="1"/>
  <c r="AA912" i="1" s="1"/>
  <c r="AO912" i="1"/>
  <c r="AN912" i="1"/>
  <c r="AM912" i="1"/>
  <c r="AL912" i="1"/>
  <c r="AK912" i="1"/>
  <c r="AJ912" i="1"/>
  <c r="AI912" i="1"/>
  <c r="AH912" i="1"/>
  <c r="AG912" i="1"/>
  <c r="AF912" i="1"/>
  <c r="AE912" i="1"/>
  <c r="AD912" i="1"/>
  <c r="AC912" i="1"/>
  <c r="AB912" i="1"/>
  <c r="Z912" i="1"/>
  <c r="W912" i="1"/>
  <c r="Y912" i="1" s="1"/>
  <c r="V912" i="1"/>
  <c r="T912" i="1"/>
  <c r="R912" i="1"/>
  <c r="Q912" i="1" a="1"/>
  <c r="Q912" i="1" s="1"/>
  <c r="P912" i="1"/>
  <c r="N912" i="1"/>
  <c r="L912" i="1"/>
  <c r="K912" i="1" a="1"/>
  <c r="K912" i="1" s="1"/>
  <c r="U912" i="1" s="1"/>
  <c r="J912" i="1" a="1"/>
  <c r="J912" i="1" s="1"/>
  <c r="H912" i="1" a="1"/>
  <c r="H912" i="1" s="1"/>
  <c r="AS911" i="1"/>
  <c r="AA911" i="1" s="1"/>
  <c r="AO911" i="1"/>
  <c r="AN911" i="1"/>
  <c r="AM911" i="1"/>
  <c r="AL911" i="1"/>
  <c r="AK911" i="1"/>
  <c r="AJ911" i="1"/>
  <c r="AI911" i="1"/>
  <c r="AH911" i="1"/>
  <c r="AG911" i="1"/>
  <c r="AF911" i="1"/>
  <c r="AE911" i="1"/>
  <c r="AD911" i="1"/>
  <c r="AC911" i="1"/>
  <c r="AB911" i="1"/>
  <c r="Z911" i="1"/>
  <c r="W911" i="1"/>
  <c r="V911" i="1"/>
  <c r="T911" i="1"/>
  <c r="R911" i="1"/>
  <c r="Q911" i="1" a="1"/>
  <c r="Q911" i="1" s="1"/>
  <c r="P911" i="1"/>
  <c r="N911" i="1"/>
  <c r="L911" i="1"/>
  <c r="K911" i="1" a="1"/>
  <c r="K911" i="1" s="1"/>
  <c r="U911" i="1" s="1"/>
  <c r="J911" i="1" a="1"/>
  <c r="J911" i="1" s="1"/>
  <c r="H911" i="1" a="1"/>
  <c r="H911" i="1" s="1"/>
  <c r="I911" i="1" s="1"/>
  <c r="S911" i="1" s="1"/>
  <c r="AU910" i="1"/>
  <c r="AC910" i="1" s="1"/>
  <c r="AT910" i="1"/>
  <c r="AB910" i="1" s="1"/>
  <c r="AS910" i="1"/>
  <c r="AA910" i="1" s="1"/>
  <c r="AO910" i="1"/>
  <c r="AN910" i="1"/>
  <c r="AM910" i="1"/>
  <c r="AL910" i="1"/>
  <c r="AK910" i="1"/>
  <c r="AJ910" i="1"/>
  <c r="AI910" i="1"/>
  <c r="AH910" i="1"/>
  <c r="AG910" i="1"/>
  <c r="AF910" i="1"/>
  <c r="AE910" i="1"/>
  <c r="AD910" i="1"/>
  <c r="Z910" i="1"/>
  <c r="W910" i="1"/>
  <c r="X910" i="1" s="1"/>
  <c r="V910" i="1"/>
  <c r="T910" i="1"/>
  <c r="R910" i="1"/>
  <c r="Q910" i="1" a="1"/>
  <c r="Q910" i="1" s="1"/>
  <c r="P910" i="1"/>
  <c r="N910" i="1"/>
  <c r="L910" i="1"/>
  <c r="K910" i="1" a="1"/>
  <c r="K910" i="1" s="1"/>
  <c r="U910" i="1" s="1"/>
  <c r="J910" i="1" a="1"/>
  <c r="J910" i="1" s="1"/>
  <c r="H910" i="1" a="1"/>
  <c r="H910" i="1" s="1"/>
  <c r="I910" i="1" s="1"/>
  <c r="S910" i="1" s="1"/>
  <c r="AT909" i="1"/>
  <c r="AB909" i="1" s="1"/>
  <c r="AS909" i="1"/>
  <c r="AA909" i="1" s="1"/>
  <c r="AO909" i="1"/>
  <c r="AN909" i="1"/>
  <c r="AM909" i="1"/>
  <c r="AL909" i="1"/>
  <c r="AK909" i="1"/>
  <c r="AJ909" i="1"/>
  <c r="AI909" i="1"/>
  <c r="AH909" i="1"/>
  <c r="AG909" i="1"/>
  <c r="AF909" i="1"/>
  <c r="AE909" i="1"/>
  <c r="AD909" i="1"/>
  <c r="AC909" i="1"/>
  <c r="Z909" i="1"/>
  <c r="W909" i="1"/>
  <c r="X909" i="1" s="1"/>
  <c r="V909" i="1"/>
  <c r="T909" i="1"/>
  <c r="R909" i="1"/>
  <c r="Q909" i="1" a="1"/>
  <c r="Q909" i="1" s="1"/>
  <c r="P909" i="1"/>
  <c r="N909" i="1"/>
  <c r="L909" i="1"/>
  <c r="K909" i="1" a="1"/>
  <c r="K909" i="1" s="1"/>
  <c r="U909" i="1" s="1"/>
  <c r="J909" i="1" a="1"/>
  <c r="J909" i="1" s="1"/>
  <c r="H909" i="1" a="1"/>
  <c r="H909" i="1" s="1"/>
  <c r="I909" i="1" s="1"/>
  <c r="S909" i="1" s="1"/>
  <c r="AS908" i="1"/>
  <c r="AA908" i="1" s="1"/>
  <c r="AO908" i="1"/>
  <c r="AN908" i="1"/>
  <c r="AM908" i="1"/>
  <c r="AL908" i="1"/>
  <c r="AK908" i="1"/>
  <c r="AJ908" i="1"/>
  <c r="AI908" i="1"/>
  <c r="AH908" i="1"/>
  <c r="AG908" i="1"/>
  <c r="AF908" i="1"/>
  <c r="AE908" i="1"/>
  <c r="AD908" i="1"/>
  <c r="AC908" i="1"/>
  <c r="AB908" i="1"/>
  <c r="Z908" i="1"/>
  <c r="W908" i="1"/>
  <c r="X908" i="1" s="1"/>
  <c r="V908" i="1"/>
  <c r="T908" i="1"/>
  <c r="R908" i="1"/>
  <c r="Q908" i="1" a="1"/>
  <c r="Q908" i="1" s="1"/>
  <c r="P908" i="1"/>
  <c r="N908" i="1"/>
  <c r="L908" i="1"/>
  <c r="K908" i="1" a="1"/>
  <c r="K908" i="1" s="1"/>
  <c r="U908" i="1" s="1"/>
  <c r="J908" i="1" a="1"/>
  <c r="J908" i="1" s="1"/>
  <c r="H908" i="1" a="1"/>
  <c r="H908" i="1" s="1"/>
  <c r="I908" i="1" s="1"/>
  <c r="S908" i="1" s="1"/>
  <c r="AS907" i="1"/>
  <c r="AA907" i="1" s="1"/>
  <c r="AO907" i="1"/>
  <c r="AN907" i="1"/>
  <c r="AM907" i="1"/>
  <c r="AL907" i="1"/>
  <c r="AK907" i="1"/>
  <c r="AJ907" i="1"/>
  <c r="AI907" i="1"/>
  <c r="AH907" i="1"/>
  <c r="AG907" i="1"/>
  <c r="AF907" i="1"/>
  <c r="AE907" i="1"/>
  <c r="AD907" i="1"/>
  <c r="AC907" i="1"/>
  <c r="AB907" i="1"/>
  <c r="Z907" i="1"/>
  <c r="W907" i="1"/>
  <c r="Y907" i="1" s="1"/>
  <c r="V907" i="1"/>
  <c r="T907" i="1"/>
  <c r="R907" i="1"/>
  <c r="Q907" i="1" a="1"/>
  <c r="Q907" i="1" s="1"/>
  <c r="P907" i="1"/>
  <c r="N907" i="1"/>
  <c r="L907" i="1"/>
  <c r="K907" i="1" a="1"/>
  <c r="K907" i="1" s="1"/>
  <c r="U907" i="1" s="1"/>
  <c r="J907" i="1" a="1"/>
  <c r="J907" i="1" s="1"/>
  <c r="H907" i="1" a="1"/>
  <c r="H907" i="1" s="1"/>
  <c r="AS906" i="1"/>
  <c r="AA906" i="1" s="1"/>
  <c r="AO906" i="1"/>
  <c r="AN906" i="1"/>
  <c r="AM906" i="1"/>
  <c r="AL906" i="1"/>
  <c r="AK906" i="1"/>
  <c r="AJ906" i="1"/>
  <c r="AI906" i="1"/>
  <c r="AH906" i="1"/>
  <c r="AG906" i="1"/>
  <c r="AF906" i="1"/>
  <c r="AE906" i="1"/>
  <c r="AD906" i="1"/>
  <c r="AC906" i="1"/>
  <c r="AB906" i="1"/>
  <c r="Z906" i="1"/>
  <c r="W906" i="1"/>
  <c r="X906" i="1" s="1"/>
  <c r="V906" i="1"/>
  <c r="T906" i="1"/>
  <c r="R906" i="1"/>
  <c r="Q906" i="1" a="1"/>
  <c r="Q906" i="1" s="1"/>
  <c r="P906" i="1"/>
  <c r="N906" i="1"/>
  <c r="L906" i="1"/>
  <c r="K906" i="1" a="1"/>
  <c r="K906" i="1" s="1"/>
  <c r="U906" i="1" s="1"/>
  <c r="J906" i="1" a="1"/>
  <c r="J906" i="1" s="1"/>
  <c r="H906" i="1" a="1"/>
  <c r="H906" i="1" s="1"/>
  <c r="AS905" i="1"/>
  <c r="AA905" i="1" s="1"/>
  <c r="AO905" i="1"/>
  <c r="AN905" i="1"/>
  <c r="AM905" i="1"/>
  <c r="AL905" i="1"/>
  <c r="AK905" i="1"/>
  <c r="AJ905" i="1"/>
  <c r="AI905" i="1"/>
  <c r="AH905" i="1"/>
  <c r="AG905" i="1"/>
  <c r="AF905" i="1"/>
  <c r="AE905" i="1"/>
  <c r="AD905" i="1"/>
  <c r="AC905" i="1"/>
  <c r="AB905" i="1"/>
  <c r="Z905" i="1"/>
  <c r="W905" i="1"/>
  <c r="X905" i="1" s="1"/>
  <c r="V905" i="1"/>
  <c r="T905" i="1"/>
  <c r="R905" i="1"/>
  <c r="Q905" i="1" a="1"/>
  <c r="Q905" i="1" s="1"/>
  <c r="P905" i="1"/>
  <c r="N905" i="1"/>
  <c r="L905" i="1"/>
  <c r="K905" i="1" a="1"/>
  <c r="K905" i="1" s="1"/>
  <c r="U905" i="1" s="1"/>
  <c r="J905" i="1" a="1"/>
  <c r="J905" i="1" s="1"/>
  <c r="H905" i="1" a="1"/>
  <c r="H905" i="1" s="1"/>
  <c r="I905" i="1" s="1"/>
  <c r="S905" i="1" s="1"/>
  <c r="AS904" i="1"/>
  <c r="AA904" i="1" s="1"/>
  <c r="AO904" i="1"/>
  <c r="AN904" i="1"/>
  <c r="AM904" i="1"/>
  <c r="AL904" i="1"/>
  <c r="AK904" i="1"/>
  <c r="AJ904" i="1"/>
  <c r="AI904" i="1"/>
  <c r="AH904" i="1"/>
  <c r="AG904" i="1"/>
  <c r="AF904" i="1"/>
  <c r="AE904" i="1"/>
  <c r="AD904" i="1"/>
  <c r="AC904" i="1"/>
  <c r="AB904" i="1"/>
  <c r="Z904" i="1"/>
  <c r="W904" i="1"/>
  <c r="V904" i="1"/>
  <c r="T904" i="1"/>
  <c r="R904" i="1"/>
  <c r="Q904" i="1" a="1"/>
  <c r="Q904" i="1" s="1"/>
  <c r="P904" i="1"/>
  <c r="N904" i="1"/>
  <c r="L904" i="1"/>
  <c r="K904" i="1" a="1"/>
  <c r="K904" i="1" s="1"/>
  <c r="U904" i="1" s="1"/>
  <c r="J904" i="1" a="1"/>
  <c r="J904" i="1" s="1"/>
  <c r="H904" i="1" a="1"/>
  <c r="H904" i="1" s="1"/>
  <c r="AS903" i="1"/>
  <c r="AA903" i="1" s="1"/>
  <c r="AO903" i="1"/>
  <c r="AN903" i="1"/>
  <c r="AM903" i="1"/>
  <c r="AL903" i="1"/>
  <c r="AK903" i="1"/>
  <c r="AJ903" i="1"/>
  <c r="AI903" i="1"/>
  <c r="AH903" i="1"/>
  <c r="AG903" i="1"/>
  <c r="AF903" i="1"/>
  <c r="AE903" i="1"/>
  <c r="AD903" i="1"/>
  <c r="AC903" i="1"/>
  <c r="AB903" i="1"/>
  <c r="Z903" i="1"/>
  <c r="X903" i="1"/>
  <c r="W903" i="1"/>
  <c r="Y903" i="1" s="1"/>
  <c r="V903" i="1"/>
  <c r="T903" i="1"/>
  <c r="R903" i="1"/>
  <c r="Q903" i="1" a="1"/>
  <c r="Q903" i="1" s="1"/>
  <c r="P903" i="1"/>
  <c r="N903" i="1"/>
  <c r="L903" i="1"/>
  <c r="K903" i="1" a="1"/>
  <c r="K903" i="1" s="1"/>
  <c r="U903" i="1" s="1"/>
  <c r="J903" i="1" a="1"/>
  <c r="J903" i="1" s="1"/>
  <c r="H903" i="1" a="1"/>
  <c r="H903" i="1" s="1"/>
  <c r="I903" i="1" s="1"/>
  <c r="S903" i="1" s="1"/>
  <c r="AU902" i="1"/>
  <c r="AC902" i="1" s="1"/>
  <c r="AT902" i="1"/>
  <c r="AB902" i="1" s="1"/>
  <c r="AS902" i="1"/>
  <c r="AA902" i="1" s="1"/>
  <c r="AO902" i="1"/>
  <c r="AN902" i="1"/>
  <c r="AM902" i="1"/>
  <c r="AL902" i="1"/>
  <c r="AK902" i="1"/>
  <c r="AJ902" i="1"/>
  <c r="AI902" i="1"/>
  <c r="AH902" i="1"/>
  <c r="AG902" i="1"/>
  <c r="AF902" i="1"/>
  <c r="AE902" i="1"/>
  <c r="AD902" i="1"/>
  <c r="Z902" i="1"/>
  <c r="Y902" i="1"/>
  <c r="W902" i="1"/>
  <c r="X902" i="1" s="1"/>
  <c r="V902" i="1"/>
  <c r="T902" i="1"/>
  <c r="R902" i="1"/>
  <c r="Q902" i="1" a="1"/>
  <c r="Q902" i="1" s="1"/>
  <c r="P902" i="1"/>
  <c r="N902" i="1"/>
  <c r="L902" i="1"/>
  <c r="K902" i="1" a="1"/>
  <c r="K902" i="1" s="1"/>
  <c r="U902" i="1" s="1"/>
  <c r="J902" i="1" a="1"/>
  <c r="J902" i="1" s="1"/>
  <c r="H902" i="1" a="1"/>
  <c r="H902" i="1" s="1"/>
  <c r="AS901" i="1"/>
  <c r="AA901" i="1" s="1"/>
  <c r="AO901" i="1"/>
  <c r="AN901" i="1"/>
  <c r="AM901" i="1"/>
  <c r="AL901" i="1"/>
  <c r="AK901" i="1"/>
  <c r="AJ901" i="1"/>
  <c r="AI901" i="1"/>
  <c r="AH901" i="1"/>
  <c r="AG901" i="1"/>
  <c r="AF901" i="1"/>
  <c r="AE901" i="1"/>
  <c r="AD901" i="1"/>
  <c r="AC901" i="1"/>
  <c r="AB901" i="1"/>
  <c r="Z901" i="1"/>
  <c r="W901" i="1"/>
  <c r="Y901" i="1" s="1"/>
  <c r="V901" i="1"/>
  <c r="T901" i="1"/>
  <c r="R901" i="1"/>
  <c r="Q901" i="1" a="1"/>
  <c r="Q901" i="1" s="1"/>
  <c r="P901" i="1"/>
  <c r="N901" i="1"/>
  <c r="L901" i="1"/>
  <c r="K901" i="1" a="1"/>
  <c r="K901" i="1" s="1"/>
  <c r="U901" i="1" s="1"/>
  <c r="J901" i="1" a="1"/>
  <c r="J901" i="1" s="1"/>
  <c r="H901" i="1" a="1"/>
  <c r="H901" i="1" s="1"/>
  <c r="I901" i="1" s="1"/>
  <c r="S901" i="1" s="1"/>
  <c r="AS900" i="1"/>
  <c r="AA900" i="1" s="1"/>
  <c r="AO900" i="1"/>
  <c r="AN900" i="1"/>
  <c r="AM900" i="1"/>
  <c r="AL900" i="1"/>
  <c r="AK900" i="1"/>
  <c r="AJ900" i="1"/>
  <c r="AI900" i="1"/>
  <c r="AH900" i="1"/>
  <c r="AG900" i="1"/>
  <c r="AF900" i="1"/>
  <c r="AE900" i="1"/>
  <c r="AD900" i="1"/>
  <c r="AC900" i="1"/>
  <c r="AB900" i="1"/>
  <c r="Z900" i="1"/>
  <c r="W900" i="1"/>
  <c r="V900" i="1"/>
  <c r="T900" i="1"/>
  <c r="R900" i="1"/>
  <c r="Q900" i="1" a="1"/>
  <c r="Q900" i="1" s="1"/>
  <c r="P900" i="1"/>
  <c r="N900" i="1"/>
  <c r="L900" i="1"/>
  <c r="K900" i="1" a="1"/>
  <c r="K900" i="1" s="1"/>
  <c r="U900" i="1" s="1"/>
  <c r="J900" i="1" a="1"/>
  <c r="J900" i="1" s="1"/>
  <c r="H900" i="1" a="1"/>
  <c r="H900" i="1" s="1"/>
  <c r="AS899" i="1"/>
  <c r="AA899" i="1" s="1"/>
  <c r="AO899" i="1"/>
  <c r="AN899" i="1"/>
  <c r="AM899" i="1"/>
  <c r="AL899" i="1"/>
  <c r="AK899" i="1"/>
  <c r="AJ899" i="1"/>
  <c r="AI899" i="1"/>
  <c r="AH899" i="1"/>
  <c r="AG899" i="1"/>
  <c r="AF899" i="1"/>
  <c r="AE899" i="1"/>
  <c r="AD899" i="1"/>
  <c r="AC899" i="1"/>
  <c r="AB899" i="1"/>
  <c r="Z899" i="1"/>
  <c r="W899" i="1"/>
  <c r="X899" i="1" s="1"/>
  <c r="V899" i="1"/>
  <c r="T899" i="1"/>
  <c r="R899" i="1"/>
  <c r="Q899" i="1" a="1"/>
  <c r="Q899" i="1" s="1"/>
  <c r="P899" i="1"/>
  <c r="N899" i="1"/>
  <c r="L899" i="1"/>
  <c r="K899" i="1" a="1"/>
  <c r="K899" i="1" s="1"/>
  <c r="U899" i="1" s="1"/>
  <c r="J899" i="1" a="1"/>
  <c r="J899" i="1" s="1"/>
  <c r="H899" i="1" a="1"/>
  <c r="H899" i="1" s="1"/>
  <c r="I899" i="1" s="1"/>
  <c r="S899" i="1" s="1"/>
  <c r="AS898" i="1"/>
  <c r="AA898" i="1" s="1"/>
  <c r="AO898" i="1"/>
  <c r="AN898" i="1"/>
  <c r="AM898" i="1"/>
  <c r="AL898" i="1"/>
  <c r="AK898" i="1"/>
  <c r="AJ898" i="1"/>
  <c r="AI898" i="1"/>
  <c r="AH898" i="1"/>
  <c r="AG898" i="1"/>
  <c r="AF898" i="1"/>
  <c r="AE898" i="1"/>
  <c r="AD898" i="1"/>
  <c r="AC898" i="1"/>
  <c r="AB898" i="1"/>
  <c r="Z898" i="1"/>
  <c r="W898" i="1"/>
  <c r="Y898" i="1" s="1"/>
  <c r="V898" i="1"/>
  <c r="T898" i="1"/>
  <c r="R898" i="1"/>
  <c r="Q898" i="1" a="1"/>
  <c r="Q898" i="1" s="1"/>
  <c r="P898" i="1"/>
  <c r="N898" i="1"/>
  <c r="L898" i="1"/>
  <c r="K898" i="1" a="1"/>
  <c r="K898" i="1" s="1"/>
  <c r="U898" i="1" s="1"/>
  <c r="J898" i="1" a="1"/>
  <c r="J898" i="1" s="1"/>
  <c r="H898" i="1" a="1"/>
  <c r="H898" i="1" s="1"/>
  <c r="AS897" i="1"/>
  <c r="AA897" i="1" s="1"/>
  <c r="AO897" i="1"/>
  <c r="AN897" i="1"/>
  <c r="AM897" i="1"/>
  <c r="AL897" i="1"/>
  <c r="AK897" i="1"/>
  <c r="AJ897" i="1"/>
  <c r="AI897" i="1"/>
  <c r="AH897" i="1"/>
  <c r="AG897" i="1"/>
  <c r="AF897" i="1"/>
  <c r="AE897" i="1"/>
  <c r="AD897" i="1"/>
  <c r="AC897" i="1"/>
  <c r="AB897" i="1"/>
  <c r="Z897" i="1"/>
  <c r="W897" i="1"/>
  <c r="Y897" i="1" s="1"/>
  <c r="V897" i="1"/>
  <c r="T897" i="1"/>
  <c r="R897" i="1"/>
  <c r="Q897" i="1" a="1"/>
  <c r="Q897" i="1" s="1"/>
  <c r="P897" i="1"/>
  <c r="N897" i="1"/>
  <c r="L897" i="1"/>
  <c r="K897" i="1" a="1"/>
  <c r="K897" i="1" s="1"/>
  <c r="U897" i="1" s="1"/>
  <c r="J897" i="1" a="1"/>
  <c r="J897" i="1" s="1"/>
  <c r="H897" i="1" a="1"/>
  <c r="H897" i="1" s="1"/>
  <c r="I897" i="1" s="1"/>
  <c r="S897" i="1" s="1"/>
  <c r="AS896" i="1"/>
  <c r="AA896" i="1" s="1"/>
  <c r="AO896" i="1"/>
  <c r="AN896" i="1"/>
  <c r="AM896" i="1"/>
  <c r="AL896" i="1"/>
  <c r="AK896" i="1"/>
  <c r="AJ896" i="1"/>
  <c r="AI896" i="1"/>
  <c r="AH896" i="1"/>
  <c r="AG896" i="1"/>
  <c r="AF896" i="1"/>
  <c r="AE896" i="1"/>
  <c r="AD896" i="1"/>
  <c r="AC896" i="1"/>
  <c r="AB896" i="1"/>
  <c r="Z896" i="1"/>
  <c r="W896" i="1"/>
  <c r="V896" i="1"/>
  <c r="T896" i="1"/>
  <c r="R896" i="1"/>
  <c r="Q896" i="1" a="1"/>
  <c r="Q896" i="1" s="1"/>
  <c r="P896" i="1"/>
  <c r="N896" i="1"/>
  <c r="L896" i="1"/>
  <c r="K896" i="1" a="1"/>
  <c r="K896" i="1" s="1"/>
  <c r="U896" i="1" s="1"/>
  <c r="J896" i="1" a="1"/>
  <c r="J896" i="1" s="1"/>
  <c r="H896" i="1" a="1"/>
  <c r="H896" i="1" s="1"/>
  <c r="AS895" i="1"/>
  <c r="AA895" i="1" s="1"/>
  <c r="AO895" i="1"/>
  <c r="AN895" i="1"/>
  <c r="AM895" i="1"/>
  <c r="AL895" i="1"/>
  <c r="AK895" i="1"/>
  <c r="AJ895" i="1"/>
  <c r="AI895" i="1"/>
  <c r="AH895" i="1"/>
  <c r="AG895" i="1"/>
  <c r="AF895" i="1"/>
  <c r="AE895" i="1"/>
  <c r="AD895" i="1"/>
  <c r="AC895" i="1"/>
  <c r="AB895" i="1"/>
  <c r="Z895" i="1"/>
  <c r="W895" i="1"/>
  <c r="X895" i="1" s="1"/>
  <c r="V895" i="1"/>
  <c r="T895" i="1"/>
  <c r="R895" i="1"/>
  <c r="Q895" i="1" a="1"/>
  <c r="Q895" i="1" s="1"/>
  <c r="P895" i="1"/>
  <c r="N895" i="1"/>
  <c r="L895" i="1"/>
  <c r="K895" i="1" a="1"/>
  <c r="K895" i="1" s="1"/>
  <c r="U895" i="1" s="1"/>
  <c r="J895" i="1" a="1"/>
  <c r="J895" i="1" s="1"/>
  <c r="H895" i="1" a="1"/>
  <c r="H895" i="1" s="1"/>
  <c r="I895" i="1" s="1"/>
  <c r="S895" i="1" s="1"/>
  <c r="AS894" i="1"/>
  <c r="AA894" i="1" s="1"/>
  <c r="AO894" i="1"/>
  <c r="AN894" i="1"/>
  <c r="AM894" i="1"/>
  <c r="AL894" i="1"/>
  <c r="AK894" i="1"/>
  <c r="AJ894" i="1"/>
  <c r="AI894" i="1"/>
  <c r="AH894" i="1"/>
  <c r="AG894" i="1"/>
  <c r="AF894" i="1"/>
  <c r="AE894" i="1"/>
  <c r="AD894" i="1"/>
  <c r="AC894" i="1"/>
  <c r="AB894" i="1"/>
  <c r="Z894" i="1"/>
  <c r="W894" i="1"/>
  <c r="X894" i="1" s="1"/>
  <c r="V894" i="1"/>
  <c r="T894" i="1"/>
  <c r="R894" i="1"/>
  <c r="Q894" i="1" a="1"/>
  <c r="Q894" i="1" s="1"/>
  <c r="P894" i="1"/>
  <c r="N894" i="1"/>
  <c r="L894" i="1"/>
  <c r="K894" i="1" a="1"/>
  <c r="K894" i="1" s="1"/>
  <c r="U894" i="1" s="1"/>
  <c r="J894" i="1" a="1"/>
  <c r="J894" i="1" s="1"/>
  <c r="H894" i="1" a="1"/>
  <c r="H894" i="1" s="1"/>
  <c r="AS893" i="1"/>
  <c r="AA893" i="1" s="1"/>
  <c r="AO893" i="1"/>
  <c r="AN893" i="1"/>
  <c r="AM893" i="1"/>
  <c r="AL893" i="1"/>
  <c r="AK893" i="1"/>
  <c r="AJ893" i="1"/>
  <c r="AI893" i="1"/>
  <c r="AH893" i="1"/>
  <c r="AG893" i="1"/>
  <c r="AF893" i="1"/>
  <c r="AE893" i="1"/>
  <c r="AD893" i="1"/>
  <c r="AC893" i="1"/>
  <c r="AB893" i="1"/>
  <c r="Z893" i="1"/>
  <c r="W893" i="1"/>
  <c r="Y893" i="1" s="1"/>
  <c r="V893" i="1"/>
  <c r="T893" i="1"/>
  <c r="R893" i="1"/>
  <c r="Q893" i="1" a="1"/>
  <c r="Q893" i="1" s="1"/>
  <c r="P893" i="1"/>
  <c r="N893" i="1"/>
  <c r="L893" i="1"/>
  <c r="K893" i="1" a="1"/>
  <c r="K893" i="1" s="1"/>
  <c r="U893" i="1" s="1"/>
  <c r="J893" i="1" a="1"/>
  <c r="J893" i="1" s="1"/>
  <c r="H893" i="1" a="1"/>
  <c r="H893" i="1" s="1"/>
  <c r="I893" i="1" s="1"/>
  <c r="S893" i="1" s="1"/>
  <c r="AS892" i="1"/>
  <c r="AA892" i="1" s="1"/>
  <c r="AO892" i="1"/>
  <c r="AN892" i="1"/>
  <c r="AM892" i="1"/>
  <c r="AL892" i="1"/>
  <c r="AK892" i="1"/>
  <c r="AJ892" i="1"/>
  <c r="AI892" i="1"/>
  <c r="AH892" i="1"/>
  <c r="AG892" i="1"/>
  <c r="AF892" i="1"/>
  <c r="AE892" i="1"/>
  <c r="AD892" i="1"/>
  <c r="AC892" i="1"/>
  <c r="AB892" i="1"/>
  <c r="Z892" i="1"/>
  <c r="W892" i="1"/>
  <c r="V892" i="1"/>
  <c r="T892" i="1"/>
  <c r="R892" i="1"/>
  <c r="Q892" i="1" a="1"/>
  <c r="Q892" i="1" s="1"/>
  <c r="P892" i="1"/>
  <c r="N892" i="1"/>
  <c r="L892" i="1"/>
  <c r="K892" i="1" a="1"/>
  <c r="K892" i="1" s="1"/>
  <c r="U892" i="1" s="1"/>
  <c r="J892" i="1" a="1"/>
  <c r="J892" i="1" s="1"/>
  <c r="H892" i="1" a="1"/>
  <c r="H892" i="1" s="1"/>
  <c r="I892" i="1" s="1"/>
  <c r="S892" i="1" s="1"/>
  <c r="AV891" i="1"/>
  <c r="AD891" i="1" s="1"/>
  <c r="AU891" i="1"/>
  <c r="AC891" i="1" s="1"/>
  <c r="AT891" i="1"/>
  <c r="AB891" i="1" s="1"/>
  <c r="AS891" i="1"/>
  <c r="AA891" i="1" s="1"/>
  <c r="AO891" i="1"/>
  <c r="AN891" i="1"/>
  <c r="AM891" i="1"/>
  <c r="AL891" i="1"/>
  <c r="AK891" i="1"/>
  <c r="AJ891" i="1"/>
  <c r="AI891" i="1"/>
  <c r="AH891" i="1"/>
  <c r="AG891" i="1"/>
  <c r="AF891" i="1"/>
  <c r="AE891" i="1"/>
  <c r="Z891" i="1"/>
  <c r="W891" i="1"/>
  <c r="Y891" i="1" s="1"/>
  <c r="V891" i="1"/>
  <c r="T891" i="1"/>
  <c r="R891" i="1"/>
  <c r="Q891" i="1" a="1"/>
  <c r="Q891" i="1" s="1"/>
  <c r="P891" i="1"/>
  <c r="N891" i="1"/>
  <c r="L891" i="1"/>
  <c r="K891" i="1" a="1"/>
  <c r="K891" i="1" s="1"/>
  <c r="U891" i="1" s="1"/>
  <c r="J891" i="1" a="1"/>
  <c r="J891" i="1" s="1"/>
  <c r="H891" i="1" a="1"/>
  <c r="H891" i="1" s="1"/>
  <c r="AS890" i="1"/>
  <c r="AA890" i="1" s="1"/>
  <c r="AO890" i="1"/>
  <c r="AN890" i="1"/>
  <c r="AM890" i="1"/>
  <c r="AL890" i="1"/>
  <c r="AK890" i="1"/>
  <c r="AJ890" i="1"/>
  <c r="AI890" i="1"/>
  <c r="AH890" i="1"/>
  <c r="AG890" i="1"/>
  <c r="AF890" i="1"/>
  <c r="AE890" i="1"/>
  <c r="AD890" i="1"/>
  <c r="AC890" i="1"/>
  <c r="AB890" i="1"/>
  <c r="Z890" i="1"/>
  <c r="W890" i="1"/>
  <c r="X890" i="1" s="1"/>
  <c r="V890" i="1"/>
  <c r="T890" i="1"/>
  <c r="R890" i="1"/>
  <c r="Q890" i="1" a="1"/>
  <c r="Q890" i="1" s="1"/>
  <c r="P890" i="1"/>
  <c r="N890" i="1"/>
  <c r="L890" i="1"/>
  <c r="K890" i="1" a="1"/>
  <c r="K890" i="1" s="1"/>
  <c r="U890" i="1" s="1"/>
  <c r="J890" i="1" a="1"/>
  <c r="J890" i="1" s="1"/>
  <c r="H890" i="1" a="1"/>
  <c r="H890" i="1" s="1"/>
  <c r="AS889" i="1"/>
  <c r="AA889" i="1" s="1"/>
  <c r="AO889" i="1"/>
  <c r="AN889" i="1"/>
  <c r="AM889" i="1"/>
  <c r="AL889" i="1"/>
  <c r="AK889" i="1"/>
  <c r="AJ889" i="1"/>
  <c r="AI889" i="1"/>
  <c r="AH889" i="1"/>
  <c r="AG889" i="1"/>
  <c r="AF889" i="1"/>
  <c r="AE889" i="1"/>
  <c r="AD889" i="1"/>
  <c r="AC889" i="1"/>
  <c r="AB889" i="1"/>
  <c r="Z889" i="1"/>
  <c r="W889" i="1"/>
  <c r="X889" i="1" s="1"/>
  <c r="V889" i="1"/>
  <c r="T889" i="1"/>
  <c r="R889" i="1"/>
  <c r="Q889" i="1" a="1"/>
  <c r="Q889" i="1" s="1"/>
  <c r="P889" i="1"/>
  <c r="N889" i="1"/>
  <c r="L889" i="1"/>
  <c r="K889" i="1" a="1"/>
  <c r="K889" i="1" s="1"/>
  <c r="U889" i="1" s="1"/>
  <c r="J889" i="1" a="1"/>
  <c r="J889" i="1" s="1"/>
  <c r="H889" i="1" a="1"/>
  <c r="H889" i="1" s="1"/>
  <c r="I889" i="1" s="1"/>
  <c r="S889" i="1" s="1"/>
  <c r="AS888" i="1"/>
  <c r="AA888" i="1" s="1"/>
  <c r="AO888" i="1"/>
  <c r="AN888" i="1"/>
  <c r="AM888" i="1"/>
  <c r="AL888" i="1"/>
  <c r="AK888" i="1"/>
  <c r="AJ888" i="1"/>
  <c r="AI888" i="1"/>
  <c r="AH888" i="1"/>
  <c r="AG888" i="1"/>
  <c r="AF888" i="1"/>
  <c r="AE888" i="1"/>
  <c r="AD888" i="1"/>
  <c r="AC888" i="1"/>
  <c r="AB888" i="1"/>
  <c r="Z888" i="1"/>
  <c r="W888" i="1"/>
  <c r="Y888" i="1" s="1"/>
  <c r="V888" i="1"/>
  <c r="T888" i="1"/>
  <c r="R888" i="1"/>
  <c r="Q888" i="1" a="1"/>
  <c r="Q888" i="1" s="1"/>
  <c r="P888" i="1"/>
  <c r="N888" i="1"/>
  <c r="L888" i="1"/>
  <c r="K888" i="1" a="1"/>
  <c r="K888" i="1" s="1"/>
  <c r="U888" i="1" s="1"/>
  <c r="J888" i="1" a="1"/>
  <c r="J888" i="1" s="1"/>
  <c r="H888" i="1" a="1"/>
  <c r="H888" i="1" s="1"/>
  <c r="AS887" i="1"/>
  <c r="AA887" i="1" s="1"/>
  <c r="AO887" i="1"/>
  <c r="AN887" i="1"/>
  <c r="AM887" i="1"/>
  <c r="AL887" i="1"/>
  <c r="AK887" i="1"/>
  <c r="AJ887" i="1"/>
  <c r="AI887" i="1"/>
  <c r="AH887" i="1"/>
  <c r="AG887" i="1"/>
  <c r="AF887" i="1"/>
  <c r="AE887" i="1"/>
  <c r="AD887" i="1"/>
  <c r="AC887" i="1"/>
  <c r="AB887" i="1"/>
  <c r="Z887" i="1"/>
  <c r="W887" i="1"/>
  <c r="X887" i="1" s="1"/>
  <c r="V887" i="1"/>
  <c r="T887" i="1"/>
  <c r="R887" i="1"/>
  <c r="Q887" i="1" a="1"/>
  <c r="Q887" i="1" s="1"/>
  <c r="P887" i="1"/>
  <c r="N887" i="1"/>
  <c r="L887" i="1"/>
  <c r="K887" i="1" a="1"/>
  <c r="K887" i="1" s="1"/>
  <c r="U887" i="1" s="1"/>
  <c r="J887" i="1" a="1"/>
  <c r="J887" i="1" s="1"/>
  <c r="H887" i="1" a="1"/>
  <c r="H887" i="1" s="1"/>
  <c r="AS886" i="1"/>
  <c r="AA886" i="1" s="1"/>
  <c r="AO886" i="1"/>
  <c r="AN886" i="1"/>
  <c r="AM886" i="1"/>
  <c r="AL886" i="1"/>
  <c r="AK886" i="1"/>
  <c r="AJ886" i="1"/>
  <c r="AI886" i="1"/>
  <c r="AH886" i="1"/>
  <c r="AG886" i="1"/>
  <c r="AF886" i="1"/>
  <c r="AE886" i="1"/>
  <c r="AD886" i="1"/>
  <c r="AC886" i="1"/>
  <c r="AB886" i="1"/>
  <c r="Z886" i="1"/>
  <c r="W886" i="1"/>
  <c r="X886" i="1" s="1"/>
  <c r="V886" i="1"/>
  <c r="T886" i="1"/>
  <c r="R886" i="1"/>
  <c r="Q886" i="1" a="1"/>
  <c r="Q886" i="1" s="1"/>
  <c r="P886" i="1"/>
  <c r="N886" i="1"/>
  <c r="L886" i="1"/>
  <c r="K886" i="1" a="1"/>
  <c r="K886" i="1" s="1"/>
  <c r="U886" i="1" s="1"/>
  <c r="J886" i="1" a="1"/>
  <c r="J886" i="1" s="1"/>
  <c r="H886" i="1" a="1"/>
  <c r="H886" i="1" s="1"/>
  <c r="I886" i="1" s="1"/>
  <c r="S886" i="1" s="1"/>
  <c r="AS885" i="1"/>
  <c r="AA885" i="1" s="1"/>
  <c r="AO885" i="1"/>
  <c r="AN885" i="1"/>
  <c r="AM885" i="1"/>
  <c r="AL885" i="1"/>
  <c r="AK885" i="1"/>
  <c r="AJ885" i="1"/>
  <c r="AI885" i="1"/>
  <c r="AH885" i="1"/>
  <c r="AG885" i="1"/>
  <c r="AF885" i="1"/>
  <c r="AE885" i="1"/>
  <c r="AD885" i="1"/>
  <c r="AC885" i="1"/>
  <c r="AB885" i="1"/>
  <c r="Z885" i="1"/>
  <c r="W885" i="1"/>
  <c r="Y885" i="1" s="1"/>
  <c r="V885" i="1"/>
  <c r="T885" i="1"/>
  <c r="R885" i="1"/>
  <c r="Q885" i="1" a="1"/>
  <c r="Q885" i="1" s="1"/>
  <c r="P885" i="1"/>
  <c r="N885" i="1"/>
  <c r="L885" i="1"/>
  <c r="K885" i="1" a="1"/>
  <c r="K885" i="1" s="1"/>
  <c r="U885" i="1" s="1"/>
  <c r="J885" i="1" a="1"/>
  <c r="J885" i="1" s="1"/>
  <c r="H885" i="1" a="1"/>
  <c r="H885" i="1" s="1"/>
  <c r="I885" i="1" s="1"/>
  <c r="S885" i="1" s="1"/>
  <c r="AS884" i="1"/>
  <c r="AA884" i="1" s="1"/>
  <c r="AO884" i="1"/>
  <c r="AN884" i="1"/>
  <c r="AM884" i="1"/>
  <c r="AL884" i="1"/>
  <c r="AK884" i="1"/>
  <c r="AJ884" i="1"/>
  <c r="AI884" i="1"/>
  <c r="AH884" i="1"/>
  <c r="AG884" i="1"/>
  <c r="AF884" i="1"/>
  <c r="AE884" i="1"/>
  <c r="AD884" i="1"/>
  <c r="AC884" i="1"/>
  <c r="AB884" i="1"/>
  <c r="Z884" i="1"/>
  <c r="W884" i="1"/>
  <c r="Y884" i="1" s="1"/>
  <c r="V884" i="1"/>
  <c r="T884" i="1"/>
  <c r="R884" i="1"/>
  <c r="Q884" i="1" a="1"/>
  <c r="Q884" i="1" s="1"/>
  <c r="P884" i="1"/>
  <c r="N884" i="1"/>
  <c r="L884" i="1"/>
  <c r="K884" i="1" a="1"/>
  <c r="K884" i="1" s="1"/>
  <c r="U884" i="1" s="1"/>
  <c r="J884" i="1" a="1"/>
  <c r="J884" i="1" s="1"/>
  <c r="H884" i="1" a="1"/>
  <c r="H884" i="1" s="1"/>
  <c r="AS883" i="1"/>
  <c r="AA883" i="1" s="1"/>
  <c r="AO883" i="1"/>
  <c r="AN883" i="1"/>
  <c r="AM883" i="1"/>
  <c r="AL883" i="1"/>
  <c r="AK883" i="1"/>
  <c r="AJ883" i="1"/>
  <c r="AI883" i="1"/>
  <c r="AH883" i="1"/>
  <c r="AG883" i="1"/>
  <c r="AF883" i="1"/>
  <c r="AE883" i="1"/>
  <c r="AD883" i="1"/>
  <c r="AC883" i="1"/>
  <c r="AB883" i="1"/>
  <c r="Z883" i="1"/>
  <c r="W883" i="1"/>
  <c r="X883" i="1" s="1"/>
  <c r="V883" i="1"/>
  <c r="T883" i="1"/>
  <c r="R883" i="1"/>
  <c r="Q883" i="1" a="1"/>
  <c r="Q883" i="1" s="1"/>
  <c r="P883" i="1"/>
  <c r="N883" i="1"/>
  <c r="L883" i="1"/>
  <c r="K883" i="1" a="1"/>
  <c r="K883" i="1" s="1"/>
  <c r="U883" i="1" s="1"/>
  <c r="J883" i="1" a="1"/>
  <c r="J883" i="1" s="1"/>
  <c r="H883" i="1" a="1"/>
  <c r="H883" i="1" s="1"/>
  <c r="AS882" i="1"/>
  <c r="AA882" i="1" s="1"/>
  <c r="AO882" i="1"/>
  <c r="AN882" i="1"/>
  <c r="AM882" i="1"/>
  <c r="AL882" i="1"/>
  <c r="AK882" i="1"/>
  <c r="AJ882" i="1"/>
  <c r="AI882" i="1"/>
  <c r="AH882" i="1"/>
  <c r="AG882" i="1"/>
  <c r="AF882" i="1"/>
  <c r="AE882" i="1"/>
  <c r="AD882" i="1"/>
  <c r="AC882" i="1"/>
  <c r="AB882" i="1"/>
  <c r="Z882" i="1"/>
  <c r="W882" i="1"/>
  <c r="X882" i="1" s="1"/>
  <c r="V882" i="1"/>
  <c r="T882" i="1"/>
  <c r="R882" i="1"/>
  <c r="Q882" i="1" a="1"/>
  <c r="Q882" i="1" s="1"/>
  <c r="P882" i="1"/>
  <c r="N882" i="1"/>
  <c r="L882" i="1"/>
  <c r="K882" i="1" a="1"/>
  <c r="K882" i="1" s="1"/>
  <c r="U882" i="1" s="1"/>
  <c r="J882" i="1" a="1"/>
  <c r="J882" i="1" s="1"/>
  <c r="H882" i="1" a="1"/>
  <c r="H882" i="1" s="1"/>
  <c r="I882" i="1" s="1"/>
  <c r="S882" i="1" s="1"/>
  <c r="AT881" i="1"/>
  <c r="AB881" i="1" s="1"/>
  <c r="AS881" i="1"/>
  <c r="AA881" i="1" s="1"/>
  <c r="AO881" i="1"/>
  <c r="AN881" i="1"/>
  <c r="AM881" i="1"/>
  <c r="AL881" i="1"/>
  <c r="AK881" i="1"/>
  <c r="AJ881" i="1"/>
  <c r="AI881" i="1"/>
  <c r="AH881" i="1"/>
  <c r="AG881" i="1"/>
  <c r="AF881" i="1"/>
  <c r="AE881" i="1"/>
  <c r="AD881" i="1"/>
  <c r="AC881" i="1"/>
  <c r="Z881" i="1"/>
  <c r="W881" i="1"/>
  <c r="X881" i="1" s="1"/>
  <c r="V881" i="1"/>
  <c r="T881" i="1"/>
  <c r="R881" i="1"/>
  <c r="Q881" i="1" a="1"/>
  <c r="Q881" i="1" s="1"/>
  <c r="P881" i="1"/>
  <c r="N881" i="1"/>
  <c r="L881" i="1"/>
  <c r="K881" i="1" a="1"/>
  <c r="K881" i="1" s="1"/>
  <c r="U881" i="1" s="1"/>
  <c r="J881" i="1" a="1"/>
  <c r="J881" i="1" s="1"/>
  <c r="H881" i="1" a="1"/>
  <c r="H881" i="1" s="1"/>
  <c r="I881" i="1" s="1"/>
  <c r="S881" i="1" s="1"/>
  <c r="AU880" i="1"/>
  <c r="AC880" i="1" s="1"/>
  <c r="AT880" i="1"/>
  <c r="AB880" i="1" s="1"/>
  <c r="AS880" i="1"/>
  <c r="AA880" i="1" s="1"/>
  <c r="AO880" i="1"/>
  <c r="AN880" i="1"/>
  <c r="AM880" i="1"/>
  <c r="AL880" i="1"/>
  <c r="AK880" i="1"/>
  <c r="AJ880" i="1"/>
  <c r="AI880" i="1"/>
  <c r="AH880" i="1"/>
  <c r="AG880" i="1"/>
  <c r="AF880" i="1"/>
  <c r="AE880" i="1"/>
  <c r="AD880" i="1"/>
  <c r="Z880" i="1"/>
  <c r="W880" i="1"/>
  <c r="X880" i="1" s="1"/>
  <c r="V880" i="1"/>
  <c r="T880" i="1"/>
  <c r="R880" i="1"/>
  <c r="Q880" i="1" a="1"/>
  <c r="Q880" i="1" s="1"/>
  <c r="P880" i="1"/>
  <c r="N880" i="1"/>
  <c r="L880" i="1"/>
  <c r="K880" i="1" a="1"/>
  <c r="K880" i="1" s="1"/>
  <c r="U880" i="1" s="1"/>
  <c r="J880" i="1" a="1"/>
  <c r="J880" i="1" s="1"/>
  <c r="H880" i="1" a="1"/>
  <c r="H880" i="1" s="1"/>
  <c r="AU879" i="1"/>
  <c r="AC879" i="1" s="1"/>
  <c r="AT879" i="1"/>
  <c r="AB879" i="1" s="1"/>
  <c r="AS879" i="1"/>
  <c r="AA879" i="1" s="1"/>
  <c r="AO879" i="1"/>
  <c r="AN879" i="1"/>
  <c r="AM879" i="1"/>
  <c r="AL879" i="1"/>
  <c r="AK879" i="1"/>
  <c r="AJ879" i="1"/>
  <c r="AI879" i="1"/>
  <c r="AH879" i="1"/>
  <c r="AG879" i="1"/>
  <c r="AF879" i="1"/>
  <c r="AE879" i="1"/>
  <c r="AD879" i="1"/>
  <c r="Z879" i="1"/>
  <c r="W879" i="1"/>
  <c r="Y879" i="1" s="1"/>
  <c r="V879" i="1"/>
  <c r="T879" i="1"/>
  <c r="R879" i="1"/>
  <c r="Q879" i="1" a="1"/>
  <c r="Q879" i="1" s="1"/>
  <c r="P879" i="1"/>
  <c r="N879" i="1"/>
  <c r="L879" i="1"/>
  <c r="K879" i="1" a="1"/>
  <c r="K879" i="1" s="1"/>
  <c r="U879" i="1" s="1"/>
  <c r="J879" i="1" a="1"/>
  <c r="J879" i="1" s="1"/>
  <c r="H879" i="1" a="1"/>
  <c r="H879" i="1" s="1"/>
  <c r="AT878" i="1"/>
  <c r="AB878" i="1" s="1"/>
  <c r="AS878" i="1"/>
  <c r="AA878" i="1" s="1"/>
  <c r="AO878" i="1"/>
  <c r="AN878" i="1"/>
  <c r="AM878" i="1"/>
  <c r="AL878" i="1"/>
  <c r="AK878" i="1"/>
  <c r="AJ878" i="1"/>
  <c r="AI878" i="1"/>
  <c r="AH878" i="1"/>
  <c r="AG878" i="1"/>
  <c r="AF878" i="1"/>
  <c r="AE878" i="1"/>
  <c r="AD878" i="1"/>
  <c r="AC878" i="1"/>
  <c r="Z878" i="1"/>
  <c r="X878" i="1"/>
  <c r="W878" i="1"/>
  <c r="Y878" i="1" s="1"/>
  <c r="V878" i="1"/>
  <c r="T878" i="1"/>
  <c r="R878" i="1"/>
  <c r="Q878" i="1" a="1"/>
  <c r="Q878" i="1" s="1"/>
  <c r="P878" i="1"/>
  <c r="N878" i="1"/>
  <c r="L878" i="1"/>
  <c r="K878" i="1" a="1"/>
  <c r="K878" i="1" s="1"/>
  <c r="U878" i="1" s="1"/>
  <c r="J878" i="1" a="1"/>
  <c r="J878" i="1" s="1"/>
  <c r="H878" i="1" a="1"/>
  <c r="H878" i="1" s="1"/>
  <c r="Z877" i="1"/>
  <c r="W877" i="1"/>
  <c r="X877" i="1" s="1"/>
  <c r="V877" i="1"/>
  <c r="AS876" i="1"/>
  <c r="AA876" i="1" s="1"/>
  <c r="AO876" i="1"/>
  <c r="AN876" i="1"/>
  <c r="AM876" i="1"/>
  <c r="AL876" i="1"/>
  <c r="AK876" i="1"/>
  <c r="AJ876" i="1"/>
  <c r="AI876" i="1"/>
  <c r="AH876" i="1"/>
  <c r="AG876" i="1"/>
  <c r="AF876" i="1"/>
  <c r="AE876" i="1"/>
  <c r="AD876" i="1"/>
  <c r="AC876" i="1"/>
  <c r="AB876" i="1"/>
  <c r="Z876" i="1"/>
  <c r="W876" i="1"/>
  <c r="Y876" i="1" s="1"/>
  <c r="V876" i="1"/>
  <c r="T876" i="1"/>
  <c r="R876" i="1"/>
  <c r="Q876" i="1" a="1"/>
  <c r="Q876" i="1" s="1"/>
  <c r="P876" i="1"/>
  <c r="N876" i="1"/>
  <c r="L876" i="1"/>
  <c r="K876" i="1" a="1"/>
  <c r="K876" i="1" s="1"/>
  <c r="U876" i="1" s="1"/>
  <c r="J876" i="1" a="1"/>
  <c r="J876" i="1" s="1"/>
  <c r="H876" i="1" a="1"/>
  <c r="H876" i="1" s="1"/>
  <c r="AS875" i="1"/>
  <c r="AA875" i="1" s="1"/>
  <c r="AO875" i="1"/>
  <c r="AN875" i="1"/>
  <c r="AM875" i="1"/>
  <c r="AL875" i="1"/>
  <c r="AK875" i="1"/>
  <c r="AJ875" i="1"/>
  <c r="AI875" i="1"/>
  <c r="AH875" i="1"/>
  <c r="AG875" i="1"/>
  <c r="AF875" i="1"/>
  <c r="AE875" i="1"/>
  <c r="AD875" i="1"/>
  <c r="AC875" i="1"/>
  <c r="AB875" i="1"/>
  <c r="Z875" i="1"/>
  <c r="W875" i="1"/>
  <c r="X875" i="1" s="1"/>
  <c r="V875" i="1"/>
  <c r="T875" i="1"/>
  <c r="R875" i="1"/>
  <c r="Q875" i="1" a="1"/>
  <c r="Q875" i="1" s="1"/>
  <c r="P875" i="1"/>
  <c r="N875" i="1"/>
  <c r="L875" i="1"/>
  <c r="K875" i="1" a="1"/>
  <c r="K875" i="1" s="1"/>
  <c r="U875" i="1" s="1"/>
  <c r="J875" i="1" a="1"/>
  <c r="J875" i="1" s="1"/>
  <c r="H875" i="1" a="1"/>
  <c r="H875" i="1" s="1"/>
  <c r="AS874" i="1"/>
  <c r="AA874" i="1" s="1"/>
  <c r="AO874" i="1"/>
  <c r="AN874" i="1"/>
  <c r="AM874" i="1"/>
  <c r="AL874" i="1"/>
  <c r="AK874" i="1"/>
  <c r="AJ874" i="1"/>
  <c r="AI874" i="1"/>
  <c r="AH874" i="1"/>
  <c r="AG874" i="1"/>
  <c r="AF874" i="1"/>
  <c r="AE874" i="1"/>
  <c r="AD874" i="1"/>
  <c r="AC874" i="1"/>
  <c r="AB874" i="1"/>
  <c r="Z874" i="1"/>
  <c r="W874" i="1"/>
  <c r="X874" i="1" s="1"/>
  <c r="V874" i="1"/>
  <c r="T874" i="1"/>
  <c r="R874" i="1"/>
  <c r="Q874" i="1" a="1"/>
  <c r="Q874" i="1" s="1"/>
  <c r="P874" i="1"/>
  <c r="N874" i="1"/>
  <c r="L874" i="1"/>
  <c r="K874" i="1" a="1"/>
  <c r="K874" i="1" s="1"/>
  <c r="U874" i="1" s="1"/>
  <c r="J874" i="1" a="1"/>
  <c r="J874" i="1" s="1"/>
  <c r="H874" i="1" a="1"/>
  <c r="H874" i="1" s="1"/>
  <c r="AS873" i="1"/>
  <c r="AA873" i="1" s="1"/>
  <c r="AO873" i="1"/>
  <c r="AN873" i="1"/>
  <c r="AM873" i="1"/>
  <c r="AL873" i="1"/>
  <c r="AK873" i="1"/>
  <c r="AJ873" i="1"/>
  <c r="AI873" i="1"/>
  <c r="AH873" i="1"/>
  <c r="AG873" i="1"/>
  <c r="AF873" i="1"/>
  <c r="AE873" i="1"/>
  <c r="AD873" i="1"/>
  <c r="AC873" i="1"/>
  <c r="AB873" i="1"/>
  <c r="Z873" i="1"/>
  <c r="W873" i="1"/>
  <c r="Y873" i="1" s="1"/>
  <c r="V873" i="1"/>
  <c r="T873" i="1"/>
  <c r="R873" i="1"/>
  <c r="Q873" i="1" a="1"/>
  <c r="Q873" i="1" s="1"/>
  <c r="P873" i="1"/>
  <c r="N873" i="1"/>
  <c r="L873" i="1"/>
  <c r="K873" i="1" a="1"/>
  <c r="K873" i="1" s="1"/>
  <c r="U873" i="1" s="1"/>
  <c r="J873" i="1" a="1"/>
  <c r="J873" i="1" s="1"/>
  <c r="H873" i="1" a="1"/>
  <c r="H873" i="1" s="1"/>
  <c r="I873" i="1" s="1"/>
  <c r="S873" i="1" s="1"/>
  <c r="AS872" i="1"/>
  <c r="AA872" i="1" s="1"/>
  <c r="AO872" i="1"/>
  <c r="AN872" i="1"/>
  <c r="AM872" i="1"/>
  <c r="AL872" i="1"/>
  <c r="AK872" i="1"/>
  <c r="AJ872" i="1"/>
  <c r="AI872" i="1"/>
  <c r="AH872" i="1"/>
  <c r="AG872" i="1"/>
  <c r="AF872" i="1"/>
  <c r="AE872" i="1"/>
  <c r="AD872" i="1"/>
  <c r="AC872" i="1"/>
  <c r="AB872" i="1"/>
  <c r="Z872" i="1"/>
  <c r="W872" i="1"/>
  <c r="Y872" i="1" s="1"/>
  <c r="V872" i="1"/>
  <c r="T872" i="1"/>
  <c r="R872" i="1"/>
  <c r="Q872" i="1" a="1"/>
  <c r="Q872" i="1" s="1"/>
  <c r="P872" i="1"/>
  <c r="N872" i="1"/>
  <c r="L872" i="1"/>
  <c r="K872" i="1" a="1"/>
  <c r="K872" i="1" s="1"/>
  <c r="U872" i="1" s="1"/>
  <c r="J872" i="1" a="1"/>
  <c r="J872" i="1" s="1"/>
  <c r="H872" i="1" a="1"/>
  <c r="H872" i="1" s="1"/>
  <c r="AS871" i="1"/>
  <c r="AA871" i="1" s="1"/>
  <c r="AO871" i="1"/>
  <c r="AN871" i="1"/>
  <c r="AM871" i="1"/>
  <c r="AL871" i="1"/>
  <c r="AK871" i="1"/>
  <c r="AJ871" i="1"/>
  <c r="AI871" i="1"/>
  <c r="AH871" i="1"/>
  <c r="AG871" i="1"/>
  <c r="AF871" i="1"/>
  <c r="AE871" i="1"/>
  <c r="AD871" i="1"/>
  <c r="AC871" i="1"/>
  <c r="AB871" i="1"/>
  <c r="Z871" i="1"/>
  <c r="W871" i="1"/>
  <c r="X871" i="1" s="1"/>
  <c r="V871" i="1"/>
  <c r="T871" i="1"/>
  <c r="R871" i="1"/>
  <c r="Q871" i="1" a="1"/>
  <c r="Q871" i="1" s="1"/>
  <c r="P871" i="1"/>
  <c r="N871" i="1"/>
  <c r="L871" i="1"/>
  <c r="K871" i="1" a="1"/>
  <c r="K871" i="1" s="1"/>
  <c r="U871" i="1" s="1"/>
  <c r="J871" i="1" a="1"/>
  <c r="J871" i="1" s="1"/>
  <c r="H871" i="1" a="1"/>
  <c r="H871" i="1" s="1"/>
  <c r="I871" i="1" s="1"/>
  <c r="S871" i="1" s="1"/>
  <c r="AS870" i="1"/>
  <c r="AA870" i="1" s="1"/>
  <c r="AO870" i="1"/>
  <c r="AN870" i="1"/>
  <c r="AM870" i="1"/>
  <c r="AL870" i="1"/>
  <c r="AK870" i="1"/>
  <c r="AJ870" i="1"/>
  <c r="AI870" i="1"/>
  <c r="AH870" i="1"/>
  <c r="AG870" i="1"/>
  <c r="AF870" i="1"/>
  <c r="AE870" i="1"/>
  <c r="AD870" i="1"/>
  <c r="AC870" i="1"/>
  <c r="AB870" i="1"/>
  <c r="Z870" i="1"/>
  <c r="W870" i="1"/>
  <c r="Y870" i="1" s="1"/>
  <c r="V870" i="1"/>
  <c r="T870" i="1"/>
  <c r="R870" i="1"/>
  <c r="Q870" i="1" a="1"/>
  <c r="Q870" i="1" s="1"/>
  <c r="P870" i="1"/>
  <c r="N870" i="1"/>
  <c r="L870" i="1"/>
  <c r="K870" i="1" a="1"/>
  <c r="K870" i="1" s="1"/>
  <c r="U870" i="1" s="1"/>
  <c r="J870" i="1" a="1"/>
  <c r="J870" i="1" s="1"/>
  <c r="H870" i="1" a="1"/>
  <c r="H870" i="1" s="1"/>
  <c r="AS869" i="1"/>
  <c r="AA869" i="1" s="1"/>
  <c r="AO869" i="1"/>
  <c r="AN869" i="1"/>
  <c r="AM869" i="1"/>
  <c r="AL869" i="1"/>
  <c r="AK869" i="1"/>
  <c r="AJ869" i="1"/>
  <c r="AI869" i="1"/>
  <c r="AH869" i="1"/>
  <c r="AG869" i="1"/>
  <c r="AF869" i="1"/>
  <c r="AE869" i="1"/>
  <c r="AD869" i="1"/>
  <c r="AC869" i="1"/>
  <c r="AB869" i="1"/>
  <c r="Z869" i="1"/>
  <c r="W869" i="1"/>
  <c r="Y869" i="1" s="1"/>
  <c r="V869" i="1"/>
  <c r="T869" i="1"/>
  <c r="R869" i="1"/>
  <c r="Q869" i="1" a="1"/>
  <c r="Q869" i="1" s="1"/>
  <c r="P869" i="1"/>
  <c r="N869" i="1"/>
  <c r="L869" i="1"/>
  <c r="K869" i="1" a="1"/>
  <c r="K869" i="1" s="1"/>
  <c r="U869" i="1" s="1"/>
  <c r="J869" i="1" a="1"/>
  <c r="J869" i="1" s="1"/>
  <c r="H869" i="1" a="1"/>
  <c r="H869" i="1" s="1"/>
  <c r="I869" i="1" s="1"/>
  <c r="S869" i="1" s="1"/>
  <c r="AS868" i="1"/>
  <c r="AA868" i="1" s="1"/>
  <c r="AO868" i="1"/>
  <c r="AN868" i="1"/>
  <c r="AM868" i="1"/>
  <c r="AL868" i="1"/>
  <c r="AK868" i="1"/>
  <c r="AJ868" i="1"/>
  <c r="AI868" i="1"/>
  <c r="AH868" i="1"/>
  <c r="AG868" i="1"/>
  <c r="AF868" i="1"/>
  <c r="AE868" i="1"/>
  <c r="AD868" i="1"/>
  <c r="AC868" i="1"/>
  <c r="AB868" i="1"/>
  <c r="Z868" i="1"/>
  <c r="W868" i="1"/>
  <c r="Y868" i="1" s="1"/>
  <c r="V868" i="1"/>
  <c r="T868" i="1"/>
  <c r="R868" i="1"/>
  <c r="Q868" i="1" a="1"/>
  <c r="Q868" i="1" s="1"/>
  <c r="P868" i="1"/>
  <c r="N868" i="1"/>
  <c r="L868" i="1"/>
  <c r="K868" i="1" a="1"/>
  <c r="K868" i="1" s="1"/>
  <c r="U868" i="1" s="1"/>
  <c r="J868" i="1" a="1"/>
  <c r="J868" i="1" s="1"/>
  <c r="H868" i="1" a="1"/>
  <c r="H868" i="1" s="1"/>
  <c r="AS867" i="1"/>
  <c r="AA867" i="1" s="1"/>
  <c r="AO867" i="1"/>
  <c r="AN867" i="1"/>
  <c r="AM867" i="1"/>
  <c r="AL867" i="1"/>
  <c r="AK867" i="1"/>
  <c r="AJ867" i="1"/>
  <c r="AI867" i="1"/>
  <c r="AH867" i="1"/>
  <c r="AG867" i="1"/>
  <c r="AF867" i="1"/>
  <c r="AE867" i="1"/>
  <c r="AD867" i="1"/>
  <c r="AC867" i="1"/>
  <c r="AB867" i="1"/>
  <c r="Z867" i="1"/>
  <c r="W867" i="1"/>
  <c r="X867" i="1" s="1"/>
  <c r="V867" i="1"/>
  <c r="T867" i="1"/>
  <c r="R867" i="1"/>
  <c r="Q867" i="1" a="1"/>
  <c r="Q867" i="1" s="1"/>
  <c r="P867" i="1"/>
  <c r="N867" i="1"/>
  <c r="L867" i="1"/>
  <c r="K867" i="1" a="1"/>
  <c r="K867" i="1" s="1"/>
  <c r="U867" i="1" s="1"/>
  <c r="J867" i="1" a="1"/>
  <c r="J867" i="1" s="1"/>
  <c r="H867" i="1" a="1"/>
  <c r="H867" i="1" s="1"/>
  <c r="AS866" i="1"/>
  <c r="AA866" i="1" s="1"/>
  <c r="AO866" i="1"/>
  <c r="AN866" i="1"/>
  <c r="AM866" i="1"/>
  <c r="AL866" i="1"/>
  <c r="AK866" i="1"/>
  <c r="AJ866" i="1"/>
  <c r="AI866" i="1"/>
  <c r="AH866" i="1"/>
  <c r="AG866" i="1"/>
  <c r="AF866" i="1"/>
  <c r="AE866" i="1"/>
  <c r="AD866" i="1"/>
  <c r="AC866" i="1"/>
  <c r="AB866" i="1"/>
  <c r="Z866" i="1"/>
  <c r="W866" i="1"/>
  <c r="X866" i="1" s="1"/>
  <c r="V866" i="1"/>
  <c r="T866" i="1"/>
  <c r="R866" i="1"/>
  <c r="Q866" i="1" a="1"/>
  <c r="Q866" i="1" s="1"/>
  <c r="P866" i="1"/>
  <c r="N866" i="1"/>
  <c r="L866" i="1"/>
  <c r="K866" i="1" a="1"/>
  <c r="K866" i="1" s="1"/>
  <c r="U866" i="1" s="1"/>
  <c r="J866" i="1" a="1"/>
  <c r="J866" i="1" s="1"/>
  <c r="H866" i="1" a="1"/>
  <c r="H866" i="1" s="1"/>
  <c r="I866" i="1" s="1"/>
  <c r="S866" i="1" s="1"/>
  <c r="AS865" i="1"/>
  <c r="AA865" i="1" s="1"/>
  <c r="AO865" i="1"/>
  <c r="AN865" i="1"/>
  <c r="AM865" i="1"/>
  <c r="AL865" i="1"/>
  <c r="AK865" i="1"/>
  <c r="AJ865" i="1"/>
  <c r="AI865" i="1"/>
  <c r="AH865" i="1"/>
  <c r="AG865" i="1"/>
  <c r="AF865" i="1"/>
  <c r="AE865" i="1"/>
  <c r="AD865" i="1"/>
  <c r="AC865" i="1"/>
  <c r="AB865" i="1"/>
  <c r="Z865" i="1"/>
  <c r="W865" i="1"/>
  <c r="Y865" i="1" s="1"/>
  <c r="V865" i="1"/>
  <c r="AS864" i="1"/>
  <c r="AA864" i="1" s="1"/>
  <c r="AO864" i="1"/>
  <c r="AN864" i="1"/>
  <c r="AM864" i="1"/>
  <c r="AL864" i="1"/>
  <c r="AK864" i="1"/>
  <c r="AJ864" i="1"/>
  <c r="AI864" i="1"/>
  <c r="AH864" i="1"/>
  <c r="AG864" i="1"/>
  <c r="AF864" i="1"/>
  <c r="AE864" i="1"/>
  <c r="AD864" i="1"/>
  <c r="AC864" i="1"/>
  <c r="AB864" i="1"/>
  <c r="Z864" i="1"/>
  <c r="W864" i="1"/>
  <c r="Y864" i="1" s="1"/>
  <c r="V864" i="1"/>
  <c r="T864" i="1"/>
  <c r="R864" i="1"/>
  <c r="Q864" i="1" a="1"/>
  <c r="Q864" i="1" s="1"/>
  <c r="P864" i="1"/>
  <c r="N864" i="1"/>
  <c r="L864" i="1"/>
  <c r="K864" i="1" a="1"/>
  <c r="K864" i="1" s="1"/>
  <c r="U864" i="1" s="1"/>
  <c r="J864" i="1" a="1"/>
  <c r="J864" i="1" s="1"/>
  <c r="H864" i="1" a="1"/>
  <c r="H864" i="1" s="1"/>
  <c r="AS863" i="1"/>
  <c r="AA863" i="1" s="1"/>
  <c r="AO863" i="1"/>
  <c r="AN863" i="1"/>
  <c r="AM863" i="1"/>
  <c r="AL863" i="1"/>
  <c r="AK863" i="1"/>
  <c r="AJ863" i="1"/>
  <c r="AI863" i="1"/>
  <c r="AH863" i="1"/>
  <c r="AG863" i="1"/>
  <c r="AF863" i="1"/>
  <c r="AE863" i="1"/>
  <c r="AD863" i="1"/>
  <c r="AC863" i="1"/>
  <c r="AB863" i="1"/>
  <c r="Z863" i="1"/>
  <c r="W863" i="1"/>
  <c r="Y863" i="1" s="1"/>
  <c r="V863" i="1"/>
  <c r="T863" i="1"/>
  <c r="R863" i="1"/>
  <c r="Q863" i="1" a="1"/>
  <c r="Q863" i="1" s="1"/>
  <c r="P863" i="1"/>
  <c r="N863" i="1"/>
  <c r="L863" i="1"/>
  <c r="K863" i="1" a="1"/>
  <c r="K863" i="1" s="1"/>
  <c r="U863" i="1" s="1"/>
  <c r="J863" i="1" a="1"/>
  <c r="J863" i="1" s="1"/>
  <c r="H863" i="1" a="1"/>
  <c r="H863" i="1" s="1"/>
  <c r="I863" i="1" s="1"/>
  <c r="S863" i="1" s="1"/>
  <c r="AT862" i="1"/>
  <c r="AB862" i="1" s="1"/>
  <c r="AS862" i="1"/>
  <c r="AA862" i="1" s="1"/>
  <c r="AO862" i="1"/>
  <c r="AN862" i="1"/>
  <c r="AM862" i="1"/>
  <c r="AL862" i="1"/>
  <c r="AK862" i="1"/>
  <c r="AJ862" i="1"/>
  <c r="AI862" i="1"/>
  <c r="AH862" i="1"/>
  <c r="AG862" i="1"/>
  <c r="AF862" i="1"/>
  <c r="AE862" i="1"/>
  <c r="AD862" i="1"/>
  <c r="AC862" i="1"/>
  <c r="Z862" i="1"/>
  <c r="W862" i="1"/>
  <c r="Y862" i="1" s="1"/>
  <c r="V862" i="1"/>
  <c r="T862" i="1"/>
  <c r="R862" i="1"/>
  <c r="Q862" i="1" a="1"/>
  <c r="Q862" i="1" s="1"/>
  <c r="P862" i="1"/>
  <c r="N862" i="1"/>
  <c r="L862" i="1"/>
  <c r="K862" i="1" a="1"/>
  <c r="K862" i="1" s="1"/>
  <c r="U862" i="1" s="1"/>
  <c r="J862" i="1" a="1"/>
  <c r="J862" i="1" s="1"/>
  <c r="H862" i="1" a="1"/>
  <c r="H862" i="1" s="1"/>
  <c r="I862" i="1" s="1"/>
  <c r="S862" i="1" s="1"/>
  <c r="AS861" i="1"/>
  <c r="AA861" i="1" s="1"/>
  <c r="AO861" i="1"/>
  <c r="AN861" i="1"/>
  <c r="AM861" i="1"/>
  <c r="AL861" i="1"/>
  <c r="AK861" i="1"/>
  <c r="AJ861" i="1"/>
  <c r="AI861" i="1"/>
  <c r="AH861" i="1"/>
  <c r="AG861" i="1"/>
  <c r="AF861" i="1"/>
  <c r="AE861" i="1"/>
  <c r="AD861" i="1"/>
  <c r="AC861" i="1"/>
  <c r="AB861" i="1"/>
  <c r="Z861" i="1"/>
  <c r="W861" i="1"/>
  <c r="V861" i="1"/>
  <c r="AS860" i="1"/>
  <c r="AA860" i="1" s="1"/>
  <c r="AO860" i="1"/>
  <c r="AN860" i="1"/>
  <c r="AM860" i="1"/>
  <c r="AL860" i="1"/>
  <c r="AK860" i="1"/>
  <c r="AJ860" i="1"/>
  <c r="AI860" i="1"/>
  <c r="AH860" i="1"/>
  <c r="AG860" i="1"/>
  <c r="AF860" i="1"/>
  <c r="AE860" i="1"/>
  <c r="AD860" i="1"/>
  <c r="AC860" i="1"/>
  <c r="AB860" i="1"/>
  <c r="Z860" i="1"/>
  <c r="W860" i="1"/>
  <c r="V860" i="1"/>
  <c r="T860" i="1"/>
  <c r="R860" i="1"/>
  <c r="Q860" i="1" a="1"/>
  <c r="Q860" i="1" s="1"/>
  <c r="P860" i="1"/>
  <c r="N860" i="1"/>
  <c r="L860" i="1"/>
  <c r="K860" i="1" a="1"/>
  <c r="K860" i="1" s="1"/>
  <c r="U860" i="1" s="1"/>
  <c r="J860" i="1" a="1"/>
  <c r="J860" i="1" s="1"/>
  <c r="H860" i="1" a="1"/>
  <c r="H860" i="1" s="1"/>
  <c r="I860" i="1" s="1"/>
  <c r="S860" i="1" s="1"/>
  <c r="AW859" i="1"/>
  <c r="AE859" i="1" s="1"/>
  <c r="AV859" i="1"/>
  <c r="AD859" i="1" s="1"/>
  <c r="AU859" i="1"/>
  <c r="AC859" i="1" s="1"/>
  <c r="AT859" i="1"/>
  <c r="AB859" i="1" s="1"/>
  <c r="AS859" i="1"/>
  <c r="AA859" i="1" s="1"/>
  <c r="AO859" i="1"/>
  <c r="AN859" i="1"/>
  <c r="AM859" i="1"/>
  <c r="AL859" i="1"/>
  <c r="AK859" i="1"/>
  <c r="AJ859" i="1"/>
  <c r="AI859" i="1"/>
  <c r="AH859" i="1"/>
  <c r="AG859" i="1"/>
  <c r="AF859" i="1"/>
  <c r="Z859" i="1"/>
  <c r="W859" i="1"/>
  <c r="Y859" i="1" s="1"/>
  <c r="V859" i="1"/>
  <c r="T859" i="1"/>
  <c r="R859" i="1"/>
  <c r="Q859" i="1" a="1"/>
  <c r="Q859" i="1" s="1"/>
  <c r="P859" i="1"/>
  <c r="N859" i="1"/>
  <c r="L859" i="1"/>
  <c r="K859" i="1" a="1"/>
  <c r="K859" i="1" s="1"/>
  <c r="U859" i="1" s="1"/>
  <c r="J859" i="1" a="1"/>
  <c r="J859" i="1" s="1"/>
  <c r="H859" i="1" a="1"/>
  <c r="H859" i="1" s="1"/>
  <c r="AV858" i="1"/>
  <c r="AD858" i="1" s="1"/>
  <c r="AU858" i="1"/>
  <c r="AC858" i="1" s="1"/>
  <c r="AT858" i="1"/>
  <c r="AB858" i="1" s="1"/>
  <c r="AS858" i="1"/>
  <c r="AA858" i="1" s="1"/>
  <c r="AO858" i="1"/>
  <c r="AN858" i="1"/>
  <c r="AM858" i="1"/>
  <c r="AL858" i="1"/>
  <c r="AK858" i="1"/>
  <c r="AJ858" i="1"/>
  <c r="AI858" i="1"/>
  <c r="AH858" i="1"/>
  <c r="AG858" i="1"/>
  <c r="AF858" i="1"/>
  <c r="AE858" i="1"/>
  <c r="Z858" i="1"/>
  <c r="W858" i="1"/>
  <c r="X858" i="1" s="1"/>
  <c r="V858" i="1"/>
  <c r="T858" i="1"/>
  <c r="R858" i="1"/>
  <c r="Q858" i="1" a="1"/>
  <c r="Q858" i="1" s="1"/>
  <c r="P858" i="1"/>
  <c r="N858" i="1"/>
  <c r="L858" i="1"/>
  <c r="K858" i="1" a="1"/>
  <c r="K858" i="1" s="1"/>
  <c r="U858" i="1" s="1"/>
  <c r="J858" i="1" a="1"/>
  <c r="J858" i="1" s="1"/>
  <c r="H858" i="1" a="1"/>
  <c r="H858" i="1" s="1"/>
  <c r="AV857" i="1"/>
  <c r="AD857" i="1" s="1"/>
  <c r="AU857" i="1"/>
  <c r="AC857" i="1" s="1"/>
  <c r="AT857" i="1"/>
  <c r="AB857" i="1" s="1"/>
  <c r="AS857" i="1"/>
  <c r="AA857" i="1" s="1"/>
  <c r="AO857" i="1"/>
  <c r="AN857" i="1"/>
  <c r="AM857" i="1"/>
  <c r="AL857" i="1"/>
  <c r="AK857" i="1"/>
  <c r="AJ857" i="1"/>
  <c r="AI857" i="1"/>
  <c r="AH857" i="1"/>
  <c r="AG857" i="1"/>
  <c r="AF857" i="1"/>
  <c r="AE857" i="1"/>
  <c r="Z857" i="1"/>
  <c r="W857" i="1"/>
  <c r="Y857" i="1" s="1"/>
  <c r="V857" i="1"/>
  <c r="T857" i="1"/>
  <c r="R857" i="1"/>
  <c r="Q857" i="1" a="1"/>
  <c r="Q857" i="1" s="1"/>
  <c r="P857" i="1"/>
  <c r="N857" i="1"/>
  <c r="L857" i="1"/>
  <c r="K857" i="1" a="1"/>
  <c r="K857" i="1" s="1"/>
  <c r="U857" i="1" s="1"/>
  <c r="J857" i="1" a="1"/>
  <c r="J857" i="1" s="1"/>
  <c r="H857" i="1" a="1"/>
  <c r="H857" i="1" s="1"/>
  <c r="AS856" i="1"/>
  <c r="AA856" i="1" s="1"/>
  <c r="AO856" i="1"/>
  <c r="AN856" i="1"/>
  <c r="AM856" i="1"/>
  <c r="AL856" i="1"/>
  <c r="AK856" i="1"/>
  <c r="AJ856" i="1"/>
  <c r="AI856" i="1"/>
  <c r="AH856" i="1"/>
  <c r="AG856" i="1"/>
  <c r="AF856" i="1"/>
  <c r="AE856" i="1"/>
  <c r="AD856" i="1"/>
  <c r="AC856" i="1"/>
  <c r="AB856" i="1"/>
  <c r="Z856" i="1"/>
  <c r="W856" i="1"/>
  <c r="X856" i="1" s="1"/>
  <c r="V856" i="1"/>
  <c r="T856" i="1"/>
  <c r="R856" i="1"/>
  <c r="Q856" i="1" a="1"/>
  <c r="Q856" i="1" s="1"/>
  <c r="P856" i="1"/>
  <c r="N856" i="1"/>
  <c r="L856" i="1"/>
  <c r="K856" i="1" a="1"/>
  <c r="K856" i="1" s="1"/>
  <c r="U856" i="1" s="1"/>
  <c r="J856" i="1" a="1"/>
  <c r="J856" i="1" s="1"/>
  <c r="H856" i="1" a="1"/>
  <c r="H856" i="1" s="1"/>
  <c r="AS855" i="1"/>
  <c r="AA855" i="1" s="1"/>
  <c r="AO855" i="1"/>
  <c r="AN855" i="1"/>
  <c r="AM855" i="1"/>
  <c r="AL855" i="1"/>
  <c r="AK855" i="1"/>
  <c r="AJ855" i="1"/>
  <c r="AI855" i="1"/>
  <c r="AH855" i="1"/>
  <c r="AG855" i="1"/>
  <c r="AF855" i="1"/>
  <c r="AE855" i="1"/>
  <c r="AD855" i="1"/>
  <c r="AC855" i="1"/>
  <c r="AB855" i="1"/>
  <c r="Z855" i="1"/>
  <c r="W855" i="1"/>
  <c r="X855" i="1" s="1"/>
  <c r="V855" i="1"/>
  <c r="T855" i="1"/>
  <c r="R855" i="1"/>
  <c r="Q855" i="1" a="1"/>
  <c r="Q855" i="1" s="1"/>
  <c r="P855" i="1"/>
  <c r="N855" i="1"/>
  <c r="L855" i="1"/>
  <c r="K855" i="1" a="1"/>
  <c r="K855" i="1" s="1"/>
  <c r="U855" i="1" s="1"/>
  <c r="J855" i="1" a="1"/>
  <c r="J855" i="1" s="1"/>
  <c r="H855" i="1" a="1"/>
  <c r="H855" i="1" s="1"/>
  <c r="AS854" i="1"/>
  <c r="AA854" i="1" s="1"/>
  <c r="AO854" i="1"/>
  <c r="AN854" i="1"/>
  <c r="AM854" i="1"/>
  <c r="AL854" i="1"/>
  <c r="AK854" i="1"/>
  <c r="AJ854" i="1"/>
  <c r="AI854" i="1"/>
  <c r="AH854" i="1"/>
  <c r="AG854" i="1"/>
  <c r="AF854" i="1"/>
  <c r="AE854" i="1"/>
  <c r="AD854" i="1"/>
  <c r="AC854" i="1"/>
  <c r="AB854" i="1"/>
  <c r="Z854" i="1"/>
  <c r="W854" i="1"/>
  <c r="V854" i="1"/>
  <c r="T854" i="1"/>
  <c r="R854" i="1"/>
  <c r="Q854" i="1" a="1"/>
  <c r="Q854" i="1" s="1"/>
  <c r="P854" i="1"/>
  <c r="N854" i="1"/>
  <c r="L854" i="1"/>
  <c r="K854" i="1" a="1"/>
  <c r="K854" i="1" s="1"/>
  <c r="U854" i="1" s="1"/>
  <c r="J854" i="1" a="1"/>
  <c r="J854" i="1" s="1"/>
  <c r="H854" i="1" a="1"/>
  <c r="H854" i="1" s="1"/>
  <c r="I854" i="1" s="1"/>
  <c r="S854" i="1" s="1"/>
  <c r="AS853" i="1"/>
  <c r="AA853" i="1" s="1"/>
  <c r="AO853" i="1"/>
  <c r="AN853" i="1"/>
  <c r="AM853" i="1"/>
  <c r="AL853" i="1"/>
  <c r="AK853" i="1"/>
  <c r="AJ853" i="1"/>
  <c r="AI853" i="1"/>
  <c r="AH853" i="1"/>
  <c r="AG853" i="1"/>
  <c r="AF853" i="1"/>
  <c r="AE853" i="1"/>
  <c r="AD853" i="1"/>
  <c r="AC853" i="1"/>
  <c r="AB853" i="1"/>
  <c r="Z853" i="1"/>
  <c r="W853" i="1"/>
  <c r="Y853" i="1" s="1"/>
  <c r="V853" i="1"/>
  <c r="T853" i="1"/>
  <c r="R853" i="1"/>
  <c r="Q853" i="1" a="1"/>
  <c r="Q853" i="1" s="1"/>
  <c r="P853" i="1"/>
  <c r="N853" i="1"/>
  <c r="L853" i="1"/>
  <c r="K853" i="1" a="1"/>
  <c r="K853" i="1" s="1"/>
  <c r="U853" i="1" s="1"/>
  <c r="J853" i="1" a="1"/>
  <c r="J853" i="1" s="1"/>
  <c r="H853" i="1" a="1"/>
  <c r="H853" i="1" s="1"/>
  <c r="AS852" i="1"/>
  <c r="AA852" i="1" s="1"/>
  <c r="AO852" i="1"/>
  <c r="AN852" i="1"/>
  <c r="AM852" i="1"/>
  <c r="AL852" i="1"/>
  <c r="AK852" i="1"/>
  <c r="AJ852" i="1"/>
  <c r="AI852" i="1"/>
  <c r="AH852" i="1"/>
  <c r="AG852" i="1"/>
  <c r="AF852" i="1"/>
  <c r="AE852" i="1"/>
  <c r="AD852" i="1"/>
  <c r="AC852" i="1"/>
  <c r="AB852" i="1"/>
  <c r="Z852" i="1"/>
  <c r="W852" i="1"/>
  <c r="X852" i="1" s="1"/>
  <c r="V852" i="1"/>
  <c r="T852" i="1"/>
  <c r="R852" i="1"/>
  <c r="Q852" i="1" a="1"/>
  <c r="Q852" i="1" s="1"/>
  <c r="P852" i="1"/>
  <c r="N852" i="1"/>
  <c r="L852" i="1"/>
  <c r="K852" i="1" a="1"/>
  <c r="K852" i="1" s="1"/>
  <c r="U852" i="1" s="1"/>
  <c r="J852" i="1" a="1"/>
  <c r="J852" i="1" s="1"/>
  <c r="H852" i="1" a="1"/>
  <c r="H852" i="1" s="1"/>
  <c r="AU851" i="1"/>
  <c r="AC851" i="1" s="1"/>
  <c r="AT851" i="1"/>
  <c r="AB851" i="1" s="1"/>
  <c r="AS851" i="1"/>
  <c r="AA851" i="1" s="1"/>
  <c r="AO851" i="1"/>
  <c r="AN851" i="1"/>
  <c r="AM851" i="1"/>
  <c r="AL851" i="1"/>
  <c r="AK851" i="1"/>
  <c r="AJ851" i="1"/>
  <c r="AI851" i="1"/>
  <c r="AH851" i="1"/>
  <c r="AG851" i="1"/>
  <c r="AF851" i="1"/>
  <c r="AE851" i="1"/>
  <c r="AD851" i="1"/>
  <c r="Z851" i="1"/>
  <c r="W851" i="1"/>
  <c r="Y851" i="1" s="1"/>
  <c r="V851" i="1"/>
  <c r="T851" i="1"/>
  <c r="R851" i="1"/>
  <c r="Q851" i="1" a="1"/>
  <c r="Q851" i="1" s="1"/>
  <c r="P851" i="1"/>
  <c r="N851" i="1"/>
  <c r="L851" i="1"/>
  <c r="K851" i="1" a="1"/>
  <c r="K851" i="1" s="1"/>
  <c r="U851" i="1" s="1"/>
  <c r="J851" i="1" a="1"/>
  <c r="J851" i="1" s="1"/>
  <c r="H851" i="1" a="1"/>
  <c r="H851" i="1" s="1"/>
  <c r="AU850" i="1"/>
  <c r="AC850" i="1" s="1"/>
  <c r="AT850" i="1"/>
  <c r="AB850" i="1" s="1"/>
  <c r="AS850" i="1"/>
  <c r="AA850" i="1" s="1"/>
  <c r="AO850" i="1"/>
  <c r="AN850" i="1"/>
  <c r="AM850" i="1"/>
  <c r="AL850" i="1"/>
  <c r="AK850" i="1"/>
  <c r="AJ850" i="1"/>
  <c r="AI850" i="1"/>
  <c r="AH850" i="1"/>
  <c r="AG850" i="1"/>
  <c r="AF850" i="1"/>
  <c r="AE850" i="1"/>
  <c r="AD850" i="1"/>
  <c r="Z850" i="1"/>
  <c r="W850" i="1"/>
  <c r="X850" i="1" s="1"/>
  <c r="V850" i="1"/>
  <c r="T850" i="1"/>
  <c r="R850" i="1"/>
  <c r="Q850" i="1" a="1"/>
  <c r="Q850" i="1" s="1"/>
  <c r="P850" i="1"/>
  <c r="N850" i="1"/>
  <c r="L850" i="1"/>
  <c r="K850" i="1" a="1"/>
  <c r="K850" i="1" s="1"/>
  <c r="U850" i="1" s="1"/>
  <c r="J850" i="1" a="1"/>
  <c r="J850" i="1" s="1"/>
  <c r="H850" i="1" a="1"/>
  <c r="H850" i="1" s="1"/>
  <c r="I850" i="1" s="1"/>
  <c r="S850" i="1" s="1"/>
  <c r="AS849" i="1"/>
  <c r="AA849" i="1" s="1"/>
  <c r="AO849" i="1"/>
  <c r="AN849" i="1"/>
  <c r="AM849" i="1"/>
  <c r="AL849" i="1"/>
  <c r="AK849" i="1"/>
  <c r="AJ849" i="1"/>
  <c r="AI849" i="1"/>
  <c r="AH849" i="1"/>
  <c r="AG849" i="1"/>
  <c r="AF849" i="1"/>
  <c r="AE849" i="1"/>
  <c r="AD849" i="1"/>
  <c r="AC849" i="1"/>
  <c r="AB849" i="1"/>
  <c r="Z849" i="1"/>
  <c r="W849" i="1"/>
  <c r="Y849" i="1" s="1"/>
  <c r="V849" i="1"/>
  <c r="T849" i="1"/>
  <c r="R849" i="1"/>
  <c r="Q849" i="1" a="1"/>
  <c r="Q849" i="1" s="1"/>
  <c r="P849" i="1"/>
  <c r="N849" i="1"/>
  <c r="L849" i="1"/>
  <c r="K849" i="1" a="1"/>
  <c r="K849" i="1" s="1"/>
  <c r="U849" i="1" s="1"/>
  <c r="J849" i="1" a="1"/>
  <c r="J849" i="1" s="1"/>
  <c r="H849" i="1" a="1"/>
  <c r="H849" i="1" s="1"/>
  <c r="AS848" i="1"/>
  <c r="AA848" i="1" s="1"/>
  <c r="AO848" i="1"/>
  <c r="AN848" i="1"/>
  <c r="AM848" i="1"/>
  <c r="AL848" i="1"/>
  <c r="AK848" i="1"/>
  <c r="AJ848" i="1"/>
  <c r="AI848" i="1"/>
  <c r="AH848" i="1"/>
  <c r="AG848" i="1"/>
  <c r="AF848" i="1"/>
  <c r="AE848" i="1"/>
  <c r="AD848" i="1"/>
  <c r="AC848" i="1"/>
  <c r="AB848" i="1"/>
  <c r="Z848" i="1"/>
  <c r="W848" i="1"/>
  <c r="X848" i="1" s="1"/>
  <c r="V848" i="1"/>
  <c r="T848" i="1"/>
  <c r="R848" i="1"/>
  <c r="Q848" i="1" a="1"/>
  <c r="Q848" i="1" s="1"/>
  <c r="P848" i="1"/>
  <c r="N848" i="1"/>
  <c r="L848" i="1"/>
  <c r="K848" i="1" a="1"/>
  <c r="K848" i="1" s="1"/>
  <c r="U848" i="1" s="1"/>
  <c r="J848" i="1" a="1"/>
  <c r="J848" i="1" s="1"/>
  <c r="H848" i="1" a="1"/>
  <c r="H848" i="1" s="1"/>
  <c r="AT847" i="1"/>
  <c r="AB847" i="1" s="1"/>
  <c r="AS847" i="1"/>
  <c r="AA847" i="1" s="1"/>
  <c r="AO847" i="1"/>
  <c r="AN847" i="1"/>
  <c r="AM847" i="1"/>
  <c r="AL847" i="1"/>
  <c r="AK847" i="1"/>
  <c r="AJ847" i="1"/>
  <c r="AI847" i="1"/>
  <c r="AH847" i="1"/>
  <c r="AG847" i="1"/>
  <c r="AF847" i="1"/>
  <c r="AE847" i="1"/>
  <c r="AD847" i="1"/>
  <c r="AC847" i="1"/>
  <c r="Z847" i="1"/>
  <c r="W847" i="1"/>
  <c r="X847" i="1" s="1"/>
  <c r="V847" i="1"/>
  <c r="T847" i="1"/>
  <c r="R847" i="1"/>
  <c r="Q847" i="1" a="1"/>
  <c r="Q847" i="1" s="1"/>
  <c r="P847" i="1"/>
  <c r="N847" i="1"/>
  <c r="L847" i="1"/>
  <c r="K847" i="1" a="1"/>
  <c r="K847" i="1" s="1"/>
  <c r="U847" i="1" s="1"/>
  <c r="J847" i="1" a="1"/>
  <c r="J847" i="1" s="1"/>
  <c r="H847" i="1" a="1"/>
  <c r="H847" i="1" s="1"/>
  <c r="AT846" i="1"/>
  <c r="AB846" i="1" s="1"/>
  <c r="AS846" i="1"/>
  <c r="AA846" i="1" s="1"/>
  <c r="AO846" i="1"/>
  <c r="AN846" i="1"/>
  <c r="AM846" i="1"/>
  <c r="AL846" i="1"/>
  <c r="AK846" i="1"/>
  <c r="AJ846" i="1"/>
  <c r="AI846" i="1"/>
  <c r="AH846" i="1"/>
  <c r="AG846" i="1"/>
  <c r="AF846" i="1"/>
  <c r="AE846" i="1"/>
  <c r="AD846" i="1"/>
  <c r="AC846" i="1"/>
  <c r="Z846" i="1"/>
  <c r="W846" i="1"/>
  <c r="X846" i="1" s="1"/>
  <c r="V846" i="1"/>
  <c r="T846" i="1"/>
  <c r="R846" i="1"/>
  <c r="Q846" i="1" a="1"/>
  <c r="Q846" i="1" s="1"/>
  <c r="P846" i="1"/>
  <c r="N846" i="1"/>
  <c r="L846" i="1"/>
  <c r="K846" i="1" a="1"/>
  <c r="K846" i="1" s="1"/>
  <c r="U846" i="1" s="1"/>
  <c r="J846" i="1" a="1"/>
  <c r="J846" i="1" s="1"/>
  <c r="H846" i="1" a="1"/>
  <c r="H846" i="1" s="1"/>
  <c r="I846" i="1" s="1"/>
  <c r="S846" i="1" s="1"/>
  <c r="AS845" i="1"/>
  <c r="AA845" i="1" s="1"/>
  <c r="AO845" i="1"/>
  <c r="AN845" i="1"/>
  <c r="AM845" i="1"/>
  <c r="AL845" i="1"/>
  <c r="AK845" i="1"/>
  <c r="AJ845" i="1"/>
  <c r="AI845" i="1"/>
  <c r="AH845" i="1"/>
  <c r="AG845" i="1"/>
  <c r="AF845" i="1"/>
  <c r="AE845" i="1"/>
  <c r="AD845" i="1"/>
  <c r="AC845" i="1"/>
  <c r="AB845" i="1"/>
  <c r="Z845" i="1"/>
  <c r="W845" i="1"/>
  <c r="X845" i="1" s="1"/>
  <c r="V845" i="1"/>
  <c r="T845" i="1"/>
  <c r="R845" i="1"/>
  <c r="Q845" i="1" a="1"/>
  <c r="Q845" i="1" s="1"/>
  <c r="P845" i="1"/>
  <c r="N845" i="1"/>
  <c r="L845" i="1"/>
  <c r="K845" i="1" a="1"/>
  <c r="K845" i="1" s="1"/>
  <c r="U845" i="1" s="1"/>
  <c r="J845" i="1" a="1"/>
  <c r="J845" i="1" s="1"/>
  <c r="H845" i="1" a="1"/>
  <c r="H845" i="1" s="1"/>
  <c r="I845" i="1" s="1"/>
  <c r="S845" i="1" s="1"/>
  <c r="AS844" i="1"/>
  <c r="AA844" i="1" s="1"/>
  <c r="AO844" i="1"/>
  <c r="AN844" i="1"/>
  <c r="AM844" i="1"/>
  <c r="AL844" i="1"/>
  <c r="AK844" i="1"/>
  <c r="AJ844" i="1"/>
  <c r="AI844" i="1"/>
  <c r="AH844" i="1"/>
  <c r="AG844" i="1"/>
  <c r="AF844" i="1"/>
  <c r="AE844" i="1"/>
  <c r="AD844" i="1"/>
  <c r="AC844" i="1"/>
  <c r="AB844" i="1"/>
  <c r="Z844" i="1"/>
  <c r="W844" i="1"/>
  <c r="X844" i="1" s="1"/>
  <c r="V844" i="1"/>
  <c r="T844" i="1"/>
  <c r="R844" i="1"/>
  <c r="Q844" i="1" a="1"/>
  <c r="Q844" i="1" s="1"/>
  <c r="P844" i="1"/>
  <c r="N844" i="1"/>
  <c r="L844" i="1"/>
  <c r="K844" i="1" a="1"/>
  <c r="K844" i="1" s="1"/>
  <c r="U844" i="1" s="1"/>
  <c r="J844" i="1" a="1"/>
  <c r="J844" i="1" s="1"/>
  <c r="H844" i="1" a="1"/>
  <c r="H844" i="1" s="1"/>
  <c r="AS843" i="1"/>
  <c r="AA843" i="1" s="1"/>
  <c r="AO843" i="1"/>
  <c r="AN843" i="1"/>
  <c r="AM843" i="1"/>
  <c r="AL843" i="1"/>
  <c r="AK843" i="1"/>
  <c r="AJ843" i="1"/>
  <c r="AI843" i="1"/>
  <c r="AH843" i="1"/>
  <c r="AG843" i="1"/>
  <c r="AF843" i="1"/>
  <c r="AE843" i="1"/>
  <c r="AD843" i="1"/>
  <c r="AC843" i="1"/>
  <c r="AB843" i="1"/>
  <c r="Z843" i="1"/>
  <c r="W843" i="1"/>
  <c r="Y843" i="1" s="1"/>
  <c r="V843" i="1"/>
  <c r="T843" i="1"/>
  <c r="R843" i="1"/>
  <c r="Q843" i="1" a="1"/>
  <c r="Q843" i="1" s="1"/>
  <c r="P843" i="1"/>
  <c r="N843" i="1"/>
  <c r="L843" i="1"/>
  <c r="K843" i="1" a="1"/>
  <c r="K843" i="1" s="1"/>
  <c r="U843" i="1" s="1"/>
  <c r="J843" i="1" a="1"/>
  <c r="J843" i="1" s="1"/>
  <c r="H843" i="1" a="1"/>
  <c r="H843" i="1" s="1"/>
  <c r="AS842" i="1"/>
  <c r="AA842" i="1" s="1"/>
  <c r="AO842" i="1"/>
  <c r="AN842" i="1"/>
  <c r="AM842" i="1"/>
  <c r="AL842" i="1"/>
  <c r="AK842" i="1"/>
  <c r="AJ842" i="1"/>
  <c r="AI842" i="1"/>
  <c r="AH842" i="1"/>
  <c r="AG842" i="1"/>
  <c r="AF842" i="1"/>
  <c r="AE842" i="1"/>
  <c r="AD842" i="1"/>
  <c r="AC842" i="1"/>
  <c r="AB842" i="1"/>
  <c r="Z842" i="1"/>
  <c r="W842" i="1"/>
  <c r="X842" i="1" s="1"/>
  <c r="V842" i="1"/>
  <c r="T842" i="1"/>
  <c r="R842" i="1"/>
  <c r="Q842" i="1" a="1"/>
  <c r="Q842" i="1" s="1"/>
  <c r="P842" i="1"/>
  <c r="N842" i="1"/>
  <c r="L842" i="1"/>
  <c r="K842" i="1" a="1"/>
  <c r="K842" i="1" s="1"/>
  <c r="U842" i="1" s="1"/>
  <c r="J842" i="1" a="1"/>
  <c r="J842" i="1" s="1"/>
  <c r="H842" i="1" a="1"/>
  <c r="H842" i="1" s="1"/>
  <c r="I842" i="1" s="1"/>
  <c r="S842" i="1" s="1"/>
  <c r="AS841" i="1"/>
  <c r="AA841" i="1" s="1"/>
  <c r="AO841" i="1"/>
  <c r="AN841" i="1"/>
  <c r="AM841" i="1"/>
  <c r="AL841" i="1"/>
  <c r="AK841" i="1"/>
  <c r="AJ841" i="1"/>
  <c r="AI841" i="1"/>
  <c r="AH841" i="1"/>
  <c r="AG841" i="1"/>
  <c r="AF841" i="1"/>
  <c r="AE841" i="1"/>
  <c r="AD841" i="1"/>
  <c r="AC841" i="1"/>
  <c r="AB841" i="1"/>
  <c r="Z841" i="1"/>
  <c r="W841" i="1"/>
  <c r="Y841" i="1" s="1"/>
  <c r="V841" i="1"/>
  <c r="T841" i="1"/>
  <c r="R841" i="1"/>
  <c r="Q841" i="1" a="1"/>
  <c r="Q841" i="1" s="1"/>
  <c r="P841" i="1"/>
  <c r="N841" i="1"/>
  <c r="L841" i="1"/>
  <c r="K841" i="1" a="1"/>
  <c r="K841" i="1" s="1"/>
  <c r="U841" i="1" s="1"/>
  <c r="J841" i="1" a="1"/>
  <c r="J841" i="1" s="1"/>
  <c r="H841" i="1" a="1"/>
  <c r="H841" i="1" s="1"/>
  <c r="I841" i="1" s="1"/>
  <c r="S841" i="1" s="1"/>
  <c r="AS840" i="1"/>
  <c r="AA840" i="1" s="1"/>
  <c r="AO840" i="1"/>
  <c r="AN840" i="1"/>
  <c r="AM840" i="1"/>
  <c r="AL840" i="1"/>
  <c r="AK840" i="1"/>
  <c r="AJ840" i="1"/>
  <c r="AI840" i="1"/>
  <c r="AH840" i="1"/>
  <c r="AG840" i="1"/>
  <c r="AF840" i="1"/>
  <c r="AE840" i="1"/>
  <c r="AD840" i="1"/>
  <c r="AC840" i="1"/>
  <c r="AB840" i="1"/>
  <c r="Z840" i="1"/>
  <c r="W840" i="1"/>
  <c r="Y840" i="1" s="1"/>
  <c r="V840" i="1"/>
  <c r="T840" i="1"/>
  <c r="R840" i="1"/>
  <c r="Q840" i="1" a="1"/>
  <c r="Q840" i="1" s="1"/>
  <c r="P840" i="1"/>
  <c r="N840" i="1"/>
  <c r="L840" i="1"/>
  <c r="K840" i="1" a="1"/>
  <c r="K840" i="1" s="1"/>
  <c r="U840" i="1" s="1"/>
  <c r="J840" i="1" a="1"/>
  <c r="J840" i="1" s="1"/>
  <c r="H840" i="1" a="1"/>
  <c r="H840" i="1" s="1"/>
  <c r="AS839" i="1"/>
  <c r="AA839" i="1" s="1"/>
  <c r="AO839" i="1"/>
  <c r="AN839" i="1"/>
  <c r="AM839" i="1"/>
  <c r="AL839" i="1"/>
  <c r="AK839" i="1"/>
  <c r="AJ839" i="1"/>
  <c r="AI839" i="1"/>
  <c r="AH839" i="1"/>
  <c r="AG839" i="1"/>
  <c r="AF839" i="1"/>
  <c r="AE839" i="1"/>
  <c r="AD839" i="1"/>
  <c r="AC839" i="1"/>
  <c r="AB839" i="1"/>
  <c r="Z839" i="1"/>
  <c r="W839" i="1"/>
  <c r="Y839" i="1" s="1"/>
  <c r="V839" i="1"/>
  <c r="T839" i="1"/>
  <c r="R839" i="1"/>
  <c r="Q839" i="1" a="1"/>
  <c r="Q839" i="1" s="1"/>
  <c r="P839" i="1"/>
  <c r="N839" i="1"/>
  <c r="L839" i="1"/>
  <c r="K839" i="1" a="1"/>
  <c r="K839" i="1" s="1"/>
  <c r="U839" i="1" s="1"/>
  <c r="J839" i="1" a="1"/>
  <c r="J839" i="1" s="1"/>
  <c r="H839" i="1" a="1"/>
  <c r="H839" i="1" s="1"/>
  <c r="AS838" i="1"/>
  <c r="AA838" i="1" s="1"/>
  <c r="AO838" i="1"/>
  <c r="AN838" i="1"/>
  <c r="AM838" i="1"/>
  <c r="AL838" i="1"/>
  <c r="AK838" i="1"/>
  <c r="AJ838" i="1"/>
  <c r="AI838" i="1"/>
  <c r="AH838" i="1"/>
  <c r="AG838" i="1"/>
  <c r="AF838" i="1"/>
  <c r="AE838" i="1"/>
  <c r="AD838" i="1"/>
  <c r="AC838" i="1"/>
  <c r="AB838" i="1"/>
  <c r="Z838" i="1"/>
  <c r="Y838" i="1"/>
  <c r="W838" i="1"/>
  <c r="X838" i="1" s="1"/>
  <c r="V838" i="1"/>
  <c r="T838" i="1"/>
  <c r="R838" i="1"/>
  <c r="Q838" i="1" a="1"/>
  <c r="Q838" i="1" s="1"/>
  <c r="P838" i="1"/>
  <c r="N838" i="1"/>
  <c r="L838" i="1"/>
  <c r="K838" i="1" a="1"/>
  <c r="K838" i="1" s="1"/>
  <c r="U838" i="1" s="1"/>
  <c r="J838" i="1" a="1"/>
  <c r="J838" i="1" s="1"/>
  <c r="H838" i="1" a="1"/>
  <c r="H838" i="1" s="1"/>
  <c r="AS837" i="1"/>
  <c r="AA837" i="1" s="1"/>
  <c r="AO837" i="1"/>
  <c r="AN837" i="1"/>
  <c r="AM837" i="1"/>
  <c r="AL837" i="1"/>
  <c r="AK837" i="1"/>
  <c r="AJ837" i="1"/>
  <c r="AI837" i="1"/>
  <c r="AH837" i="1"/>
  <c r="AG837" i="1"/>
  <c r="AF837" i="1"/>
  <c r="AE837" i="1"/>
  <c r="AD837" i="1"/>
  <c r="AC837" i="1"/>
  <c r="AB837" i="1"/>
  <c r="Z837" i="1"/>
  <c r="Y837" i="1"/>
  <c r="W837" i="1"/>
  <c r="X837" i="1" s="1"/>
  <c r="V837" i="1"/>
  <c r="T837" i="1"/>
  <c r="R837" i="1"/>
  <c r="Q837" i="1" a="1"/>
  <c r="Q837" i="1" s="1"/>
  <c r="P837" i="1"/>
  <c r="N837" i="1"/>
  <c r="L837" i="1"/>
  <c r="K837" i="1" a="1"/>
  <c r="K837" i="1" s="1"/>
  <c r="U837" i="1" s="1"/>
  <c r="J837" i="1" a="1"/>
  <c r="J837" i="1" s="1"/>
  <c r="H837" i="1" a="1"/>
  <c r="H837" i="1" s="1"/>
  <c r="I837" i="1" s="1"/>
  <c r="S837" i="1" s="1"/>
  <c r="AS836" i="1"/>
  <c r="AA836" i="1" s="1"/>
  <c r="AO836" i="1"/>
  <c r="AN836" i="1"/>
  <c r="AM836" i="1"/>
  <c r="AL836" i="1"/>
  <c r="AK836" i="1"/>
  <c r="AJ836" i="1"/>
  <c r="AI836" i="1"/>
  <c r="AH836" i="1"/>
  <c r="AG836" i="1"/>
  <c r="AF836" i="1"/>
  <c r="AE836" i="1"/>
  <c r="AD836" i="1"/>
  <c r="AC836" i="1"/>
  <c r="AB836" i="1"/>
  <c r="Z836" i="1"/>
  <c r="Y836" i="1"/>
  <c r="W836" i="1"/>
  <c r="X836" i="1" s="1"/>
  <c r="V836" i="1"/>
  <c r="T836" i="1"/>
  <c r="R836" i="1"/>
  <c r="Q836" i="1" a="1"/>
  <c r="Q836" i="1" s="1"/>
  <c r="P836" i="1"/>
  <c r="N836" i="1"/>
  <c r="L836" i="1"/>
  <c r="K836" i="1" a="1"/>
  <c r="K836" i="1" s="1"/>
  <c r="U836" i="1" s="1"/>
  <c r="J836" i="1" a="1"/>
  <c r="J836" i="1" s="1"/>
  <c r="H836" i="1" a="1"/>
  <c r="H836" i="1" s="1"/>
  <c r="AS835" i="1"/>
  <c r="AA835" i="1" s="1"/>
  <c r="AO835" i="1"/>
  <c r="AN835" i="1"/>
  <c r="AM835" i="1"/>
  <c r="AL835" i="1"/>
  <c r="AK835" i="1"/>
  <c r="AJ835" i="1"/>
  <c r="AI835" i="1"/>
  <c r="AH835" i="1"/>
  <c r="AG835" i="1"/>
  <c r="AF835" i="1"/>
  <c r="AE835" i="1"/>
  <c r="AD835" i="1"/>
  <c r="AC835" i="1"/>
  <c r="AB835" i="1"/>
  <c r="Z835" i="1"/>
  <c r="W835" i="1"/>
  <c r="Y835" i="1" s="1"/>
  <c r="V835" i="1"/>
  <c r="T835" i="1"/>
  <c r="R835" i="1"/>
  <c r="Q835" i="1" a="1"/>
  <c r="Q835" i="1" s="1"/>
  <c r="P835" i="1"/>
  <c r="N835" i="1"/>
  <c r="L835" i="1"/>
  <c r="K835" i="1" a="1"/>
  <c r="K835" i="1" s="1"/>
  <c r="U835" i="1" s="1"/>
  <c r="J835" i="1" a="1"/>
  <c r="J835" i="1" s="1"/>
  <c r="H835" i="1" a="1"/>
  <c r="H835" i="1" s="1"/>
  <c r="AS834" i="1"/>
  <c r="AA834" i="1" s="1"/>
  <c r="AO834" i="1"/>
  <c r="AN834" i="1"/>
  <c r="AM834" i="1"/>
  <c r="AL834" i="1"/>
  <c r="AK834" i="1"/>
  <c r="AJ834" i="1"/>
  <c r="AI834" i="1"/>
  <c r="AH834" i="1"/>
  <c r="AG834" i="1"/>
  <c r="AF834" i="1"/>
  <c r="AE834" i="1"/>
  <c r="AD834" i="1"/>
  <c r="AC834" i="1"/>
  <c r="AB834" i="1"/>
  <c r="Z834" i="1"/>
  <c r="W834" i="1"/>
  <c r="X834" i="1" s="1"/>
  <c r="V834" i="1"/>
  <c r="T834" i="1"/>
  <c r="R834" i="1"/>
  <c r="Q834" i="1" a="1"/>
  <c r="Q834" i="1" s="1"/>
  <c r="P834" i="1"/>
  <c r="N834" i="1"/>
  <c r="L834" i="1"/>
  <c r="K834" i="1" a="1"/>
  <c r="K834" i="1" s="1"/>
  <c r="U834" i="1" s="1"/>
  <c r="J834" i="1" a="1"/>
  <c r="J834" i="1" s="1"/>
  <c r="H834" i="1" a="1"/>
  <c r="H834" i="1" s="1"/>
  <c r="I834" i="1" s="1"/>
  <c r="S834" i="1" s="1"/>
  <c r="AS833" i="1"/>
  <c r="AA833" i="1" s="1"/>
  <c r="AO833" i="1"/>
  <c r="AN833" i="1"/>
  <c r="AM833" i="1"/>
  <c r="AL833" i="1"/>
  <c r="AK833" i="1"/>
  <c r="AJ833" i="1"/>
  <c r="AI833" i="1"/>
  <c r="AH833" i="1"/>
  <c r="AG833" i="1"/>
  <c r="AF833" i="1"/>
  <c r="AE833" i="1"/>
  <c r="AD833" i="1"/>
  <c r="AC833" i="1"/>
  <c r="AB833" i="1"/>
  <c r="Z833" i="1"/>
  <c r="W833" i="1"/>
  <c r="V833" i="1"/>
  <c r="T833" i="1"/>
  <c r="R833" i="1"/>
  <c r="Q833" i="1" a="1"/>
  <c r="Q833" i="1" s="1"/>
  <c r="P833" i="1"/>
  <c r="N833" i="1"/>
  <c r="L833" i="1"/>
  <c r="K833" i="1" a="1"/>
  <c r="K833" i="1" s="1"/>
  <c r="U833" i="1" s="1"/>
  <c r="J833" i="1" a="1"/>
  <c r="J833" i="1" s="1"/>
  <c r="H833" i="1" a="1"/>
  <c r="H833" i="1" s="1"/>
  <c r="I833" i="1" s="1"/>
  <c r="S833" i="1" s="1"/>
  <c r="AS832" i="1"/>
  <c r="AA832" i="1" s="1"/>
  <c r="AO832" i="1"/>
  <c r="AN832" i="1"/>
  <c r="AM832" i="1"/>
  <c r="AL832" i="1"/>
  <c r="AK832" i="1"/>
  <c r="AJ832" i="1"/>
  <c r="AI832" i="1"/>
  <c r="AH832" i="1"/>
  <c r="AG832" i="1"/>
  <c r="AF832" i="1"/>
  <c r="AE832" i="1"/>
  <c r="AD832" i="1"/>
  <c r="AC832" i="1"/>
  <c r="AB832" i="1"/>
  <c r="Z832" i="1"/>
  <c r="W832" i="1"/>
  <c r="Y832" i="1" s="1"/>
  <c r="V832" i="1"/>
  <c r="T832" i="1"/>
  <c r="R832" i="1"/>
  <c r="Q832" i="1" a="1"/>
  <c r="Q832" i="1" s="1"/>
  <c r="P832" i="1"/>
  <c r="N832" i="1"/>
  <c r="L832" i="1"/>
  <c r="K832" i="1" a="1"/>
  <c r="K832" i="1" s="1"/>
  <c r="U832" i="1" s="1"/>
  <c r="J832" i="1" a="1"/>
  <c r="J832" i="1" s="1"/>
  <c r="H832" i="1" a="1"/>
  <c r="H832" i="1" s="1"/>
  <c r="AS831" i="1"/>
  <c r="AA831" i="1" s="1"/>
  <c r="AO831" i="1"/>
  <c r="AN831" i="1"/>
  <c r="AM831" i="1"/>
  <c r="AL831" i="1"/>
  <c r="AK831" i="1"/>
  <c r="AJ831" i="1"/>
  <c r="AI831" i="1"/>
  <c r="AH831" i="1"/>
  <c r="AG831" i="1"/>
  <c r="AF831" i="1"/>
  <c r="AE831" i="1"/>
  <c r="AD831" i="1"/>
  <c r="AC831" i="1"/>
  <c r="AB831" i="1"/>
  <c r="Z831" i="1"/>
  <c r="W831" i="1"/>
  <c r="Y831" i="1" s="1"/>
  <c r="V831" i="1"/>
  <c r="T831" i="1"/>
  <c r="R831" i="1"/>
  <c r="Q831" i="1" a="1"/>
  <c r="Q831" i="1" s="1"/>
  <c r="P831" i="1"/>
  <c r="N831" i="1"/>
  <c r="L831" i="1"/>
  <c r="K831" i="1" a="1"/>
  <c r="K831" i="1" s="1"/>
  <c r="U831" i="1" s="1"/>
  <c r="J831" i="1" a="1"/>
  <c r="J831" i="1" s="1"/>
  <c r="H831" i="1" a="1"/>
  <c r="H831" i="1" s="1"/>
  <c r="AS830" i="1"/>
  <c r="AA830" i="1" s="1"/>
  <c r="AO830" i="1"/>
  <c r="AN830" i="1"/>
  <c r="AM830" i="1"/>
  <c r="AL830" i="1"/>
  <c r="AK830" i="1"/>
  <c r="AJ830" i="1"/>
  <c r="AI830" i="1"/>
  <c r="AH830" i="1"/>
  <c r="AG830" i="1"/>
  <c r="AF830" i="1"/>
  <c r="AE830" i="1"/>
  <c r="AD830" i="1"/>
  <c r="AC830" i="1"/>
  <c r="AB830" i="1"/>
  <c r="Z830" i="1"/>
  <c r="W830" i="1"/>
  <c r="X830" i="1" s="1"/>
  <c r="V830" i="1"/>
  <c r="T830" i="1"/>
  <c r="R830" i="1"/>
  <c r="Q830" i="1" a="1"/>
  <c r="Q830" i="1" s="1"/>
  <c r="P830" i="1"/>
  <c r="N830" i="1"/>
  <c r="L830" i="1"/>
  <c r="K830" i="1" a="1"/>
  <c r="K830" i="1" s="1"/>
  <c r="U830" i="1" s="1"/>
  <c r="J830" i="1" a="1"/>
  <c r="J830" i="1" s="1"/>
  <c r="H830" i="1" a="1"/>
  <c r="H830" i="1" s="1"/>
  <c r="I830" i="1" s="1"/>
  <c r="S830" i="1" s="1"/>
  <c r="AT829" i="1"/>
  <c r="AB829" i="1" s="1"/>
  <c r="AS829" i="1"/>
  <c r="AA829" i="1" s="1"/>
  <c r="AO829" i="1"/>
  <c r="AN829" i="1"/>
  <c r="AM829" i="1"/>
  <c r="AL829" i="1"/>
  <c r="AK829" i="1"/>
  <c r="AJ829" i="1"/>
  <c r="AI829" i="1"/>
  <c r="AH829" i="1"/>
  <c r="AG829" i="1"/>
  <c r="AF829" i="1"/>
  <c r="AE829" i="1"/>
  <c r="AD829" i="1"/>
  <c r="AC829" i="1"/>
  <c r="Z829" i="1"/>
  <c r="W829" i="1"/>
  <c r="X829" i="1" s="1"/>
  <c r="V829" i="1"/>
  <c r="T829" i="1"/>
  <c r="R829" i="1"/>
  <c r="Q829" i="1" a="1"/>
  <c r="Q829" i="1" s="1"/>
  <c r="P829" i="1"/>
  <c r="N829" i="1"/>
  <c r="L829" i="1"/>
  <c r="K829" i="1" a="1"/>
  <c r="K829" i="1" s="1"/>
  <c r="U829" i="1" s="1"/>
  <c r="J829" i="1" a="1"/>
  <c r="J829" i="1" s="1"/>
  <c r="H829" i="1" a="1"/>
  <c r="H829" i="1" s="1"/>
  <c r="I829" i="1" s="1"/>
  <c r="S829" i="1" s="1"/>
  <c r="AS828" i="1"/>
  <c r="AA828" i="1" s="1"/>
  <c r="AO828" i="1"/>
  <c r="AN828" i="1"/>
  <c r="AM828" i="1"/>
  <c r="AL828" i="1"/>
  <c r="AK828" i="1"/>
  <c r="AJ828" i="1"/>
  <c r="AI828" i="1"/>
  <c r="AH828" i="1"/>
  <c r="AG828" i="1"/>
  <c r="AF828" i="1"/>
  <c r="AE828" i="1"/>
  <c r="AD828" i="1"/>
  <c r="AC828" i="1"/>
  <c r="AB828" i="1"/>
  <c r="Z828" i="1"/>
  <c r="W828" i="1"/>
  <c r="X828" i="1" s="1"/>
  <c r="V828" i="1"/>
  <c r="T828" i="1"/>
  <c r="R828" i="1"/>
  <c r="Q828" i="1" a="1"/>
  <c r="Q828" i="1" s="1"/>
  <c r="P828" i="1"/>
  <c r="N828" i="1"/>
  <c r="L828" i="1"/>
  <c r="K828" i="1" a="1"/>
  <c r="K828" i="1" s="1"/>
  <c r="U828" i="1" s="1"/>
  <c r="J828" i="1" a="1"/>
  <c r="J828" i="1" s="1"/>
  <c r="H828" i="1" a="1"/>
  <c r="H828" i="1" s="1"/>
  <c r="I828" i="1" s="1"/>
  <c r="S828" i="1" s="1"/>
  <c r="AS827" i="1"/>
  <c r="AA827" i="1" s="1"/>
  <c r="AO827" i="1"/>
  <c r="AN827" i="1"/>
  <c r="AM827" i="1"/>
  <c r="AL827" i="1"/>
  <c r="AK827" i="1"/>
  <c r="AJ827" i="1"/>
  <c r="AI827" i="1"/>
  <c r="AH827" i="1"/>
  <c r="AG827" i="1"/>
  <c r="AF827" i="1"/>
  <c r="AE827" i="1"/>
  <c r="AD827" i="1"/>
  <c r="AC827" i="1"/>
  <c r="AB827" i="1"/>
  <c r="Z827" i="1"/>
  <c r="W827" i="1"/>
  <c r="Y827" i="1" s="1"/>
  <c r="V827" i="1"/>
  <c r="T827" i="1"/>
  <c r="R827" i="1"/>
  <c r="Q827" i="1" a="1"/>
  <c r="Q827" i="1" s="1"/>
  <c r="P827" i="1"/>
  <c r="N827" i="1"/>
  <c r="L827" i="1"/>
  <c r="K827" i="1" a="1"/>
  <c r="K827" i="1" s="1"/>
  <c r="U827" i="1" s="1"/>
  <c r="J827" i="1" a="1"/>
  <c r="J827" i="1" s="1"/>
  <c r="H827" i="1" a="1"/>
  <c r="H827" i="1" s="1"/>
  <c r="AS826" i="1"/>
  <c r="AA826" i="1" s="1"/>
  <c r="AO826" i="1"/>
  <c r="AN826" i="1"/>
  <c r="AM826" i="1"/>
  <c r="AL826" i="1"/>
  <c r="AK826" i="1"/>
  <c r="AJ826" i="1"/>
  <c r="AI826" i="1"/>
  <c r="AH826" i="1"/>
  <c r="AG826" i="1"/>
  <c r="AF826" i="1"/>
  <c r="AE826" i="1"/>
  <c r="AD826" i="1"/>
  <c r="AC826" i="1"/>
  <c r="AB826" i="1"/>
  <c r="Z826" i="1"/>
  <c r="W826" i="1"/>
  <c r="Y826" i="1" s="1"/>
  <c r="V826" i="1"/>
  <c r="T826" i="1"/>
  <c r="R826" i="1"/>
  <c r="Q826" i="1" a="1"/>
  <c r="Q826" i="1" s="1"/>
  <c r="P826" i="1"/>
  <c r="N826" i="1"/>
  <c r="L826" i="1"/>
  <c r="K826" i="1" a="1"/>
  <c r="K826" i="1" s="1"/>
  <c r="U826" i="1" s="1"/>
  <c r="J826" i="1" a="1"/>
  <c r="J826" i="1" s="1"/>
  <c r="H826" i="1" a="1"/>
  <c r="H826" i="1" s="1"/>
  <c r="AT825" i="1"/>
  <c r="AB825" i="1" s="1"/>
  <c r="AS825" i="1"/>
  <c r="AA825" i="1" s="1"/>
  <c r="AO825" i="1"/>
  <c r="AN825" i="1"/>
  <c r="AM825" i="1"/>
  <c r="AL825" i="1"/>
  <c r="AK825" i="1"/>
  <c r="AJ825" i="1"/>
  <c r="AI825" i="1"/>
  <c r="AH825" i="1"/>
  <c r="AG825" i="1"/>
  <c r="AF825" i="1"/>
  <c r="AE825" i="1"/>
  <c r="AD825" i="1"/>
  <c r="AC825" i="1"/>
  <c r="Z825" i="1"/>
  <c r="W825" i="1"/>
  <c r="Y825" i="1" s="1"/>
  <c r="V825" i="1"/>
  <c r="T825" i="1"/>
  <c r="R825" i="1"/>
  <c r="Q825" i="1" a="1"/>
  <c r="Q825" i="1" s="1"/>
  <c r="P825" i="1"/>
  <c r="N825" i="1"/>
  <c r="L825" i="1"/>
  <c r="K825" i="1" a="1"/>
  <c r="K825" i="1" s="1"/>
  <c r="U825" i="1" s="1"/>
  <c r="J825" i="1" a="1"/>
  <c r="J825" i="1" s="1"/>
  <c r="H825" i="1" a="1"/>
  <c r="H825" i="1" s="1"/>
  <c r="AS824" i="1"/>
  <c r="AA824" i="1" s="1"/>
  <c r="AO824" i="1"/>
  <c r="AN824" i="1"/>
  <c r="AM824" i="1"/>
  <c r="AL824" i="1"/>
  <c r="AK824" i="1"/>
  <c r="AJ824" i="1"/>
  <c r="AI824" i="1"/>
  <c r="AH824" i="1"/>
  <c r="AG824" i="1"/>
  <c r="AF824" i="1"/>
  <c r="AE824" i="1"/>
  <c r="AD824" i="1"/>
  <c r="AC824" i="1"/>
  <c r="AB824" i="1"/>
  <c r="Z824" i="1"/>
  <c r="W824" i="1"/>
  <c r="X824" i="1" s="1"/>
  <c r="V824" i="1"/>
  <c r="T824" i="1"/>
  <c r="R824" i="1"/>
  <c r="Q824" i="1" a="1"/>
  <c r="Q824" i="1" s="1"/>
  <c r="P824" i="1"/>
  <c r="N824" i="1"/>
  <c r="L824" i="1"/>
  <c r="K824" i="1" a="1"/>
  <c r="K824" i="1" s="1"/>
  <c r="U824" i="1" s="1"/>
  <c r="J824" i="1" a="1"/>
  <c r="J824" i="1" s="1"/>
  <c r="H824" i="1" a="1"/>
  <c r="H824" i="1" s="1"/>
  <c r="I824" i="1" s="1"/>
  <c r="S824" i="1" s="1"/>
  <c r="AS823" i="1"/>
  <c r="AA823" i="1" s="1"/>
  <c r="AO823" i="1"/>
  <c r="AN823" i="1"/>
  <c r="AM823" i="1"/>
  <c r="AL823" i="1"/>
  <c r="AK823" i="1"/>
  <c r="AJ823" i="1"/>
  <c r="AI823" i="1"/>
  <c r="AH823" i="1"/>
  <c r="AG823" i="1"/>
  <c r="AF823" i="1"/>
  <c r="AE823" i="1"/>
  <c r="AD823" i="1"/>
  <c r="AC823" i="1"/>
  <c r="AB823" i="1"/>
  <c r="Z823" i="1"/>
  <c r="X823" i="1"/>
  <c r="W823" i="1"/>
  <c r="Y823" i="1" s="1"/>
  <c r="V823" i="1"/>
  <c r="T823" i="1"/>
  <c r="R823" i="1"/>
  <c r="Q823" i="1" a="1"/>
  <c r="Q823" i="1" s="1"/>
  <c r="P823" i="1"/>
  <c r="N823" i="1"/>
  <c r="L823" i="1"/>
  <c r="K823" i="1" a="1"/>
  <c r="K823" i="1" s="1"/>
  <c r="U823" i="1" s="1"/>
  <c r="J823" i="1" a="1"/>
  <c r="J823" i="1" s="1"/>
  <c r="H823" i="1" a="1"/>
  <c r="H823" i="1" s="1"/>
  <c r="I823" i="1" s="1"/>
  <c r="S823" i="1" s="1"/>
  <c r="AU822" i="1"/>
  <c r="AC822" i="1" s="1"/>
  <c r="AT822" i="1"/>
  <c r="AB822" i="1" s="1"/>
  <c r="AS822" i="1"/>
  <c r="AA822" i="1" s="1"/>
  <c r="AO822" i="1"/>
  <c r="AN822" i="1"/>
  <c r="AM822" i="1"/>
  <c r="AL822" i="1"/>
  <c r="AK822" i="1"/>
  <c r="AJ822" i="1"/>
  <c r="AI822" i="1"/>
  <c r="AH822" i="1"/>
  <c r="AG822" i="1"/>
  <c r="AF822" i="1"/>
  <c r="AE822" i="1"/>
  <c r="AD822" i="1"/>
  <c r="Z822" i="1"/>
  <c r="W822" i="1"/>
  <c r="X822" i="1" s="1"/>
  <c r="V822" i="1"/>
  <c r="T822" i="1"/>
  <c r="R822" i="1"/>
  <c r="Q822" i="1" a="1"/>
  <c r="Q822" i="1" s="1"/>
  <c r="P822" i="1"/>
  <c r="N822" i="1"/>
  <c r="L822" i="1"/>
  <c r="K822" i="1" a="1"/>
  <c r="K822" i="1" s="1"/>
  <c r="U822" i="1" s="1"/>
  <c r="J822" i="1" a="1"/>
  <c r="J822" i="1" s="1"/>
  <c r="H822" i="1" a="1"/>
  <c r="H822" i="1" s="1"/>
  <c r="I822" i="1" s="1"/>
  <c r="S822" i="1" s="1"/>
  <c r="AS821" i="1"/>
  <c r="AA821" i="1" s="1"/>
  <c r="AO821" i="1"/>
  <c r="AN821" i="1"/>
  <c r="AM821" i="1"/>
  <c r="AL821" i="1"/>
  <c r="AK821" i="1"/>
  <c r="AJ821" i="1"/>
  <c r="AI821" i="1"/>
  <c r="AH821" i="1"/>
  <c r="AG821" i="1"/>
  <c r="AF821" i="1"/>
  <c r="AE821" i="1"/>
  <c r="AD821" i="1"/>
  <c r="AC821" i="1"/>
  <c r="AB821" i="1"/>
  <c r="Z821" i="1"/>
  <c r="X821" i="1"/>
  <c r="W821" i="1"/>
  <c r="Y821" i="1" s="1"/>
  <c r="V821" i="1"/>
  <c r="T821" i="1"/>
  <c r="R821" i="1"/>
  <c r="Q821" i="1" a="1"/>
  <c r="Q821" i="1" s="1"/>
  <c r="P821" i="1"/>
  <c r="N821" i="1"/>
  <c r="L821" i="1"/>
  <c r="K821" i="1" a="1"/>
  <c r="K821" i="1" s="1"/>
  <c r="U821" i="1" s="1"/>
  <c r="J821" i="1" a="1"/>
  <c r="J821" i="1" s="1"/>
  <c r="H821" i="1" a="1"/>
  <c r="H821" i="1" s="1"/>
  <c r="I821" i="1" s="1"/>
  <c r="S821" i="1" s="1"/>
  <c r="AV820" i="1"/>
  <c r="AD820" i="1" s="1"/>
  <c r="AU820" i="1"/>
  <c r="AC820" i="1" s="1"/>
  <c r="AT820" i="1"/>
  <c r="AB820" i="1" s="1"/>
  <c r="AS820" i="1"/>
  <c r="AA820" i="1" s="1"/>
  <c r="AO820" i="1"/>
  <c r="AN820" i="1"/>
  <c r="AM820" i="1"/>
  <c r="AL820" i="1"/>
  <c r="AK820" i="1"/>
  <c r="AJ820" i="1"/>
  <c r="AI820" i="1"/>
  <c r="AH820" i="1"/>
  <c r="AG820" i="1"/>
  <c r="AF820" i="1"/>
  <c r="AE820" i="1"/>
  <c r="Z820" i="1"/>
  <c r="W820" i="1"/>
  <c r="Y820" i="1" s="1"/>
  <c r="V820" i="1"/>
  <c r="T820" i="1"/>
  <c r="R820" i="1"/>
  <c r="Q820" i="1" a="1"/>
  <c r="Q820" i="1" s="1"/>
  <c r="P820" i="1"/>
  <c r="N820" i="1"/>
  <c r="L820" i="1"/>
  <c r="K820" i="1" a="1"/>
  <c r="K820" i="1" s="1"/>
  <c r="U820" i="1" s="1"/>
  <c r="J820" i="1" a="1"/>
  <c r="J820" i="1" s="1"/>
  <c r="H820" i="1" a="1"/>
  <c r="H820" i="1" s="1"/>
  <c r="AS819" i="1"/>
  <c r="AA819" i="1" s="1"/>
  <c r="AO819" i="1"/>
  <c r="AN819" i="1"/>
  <c r="AM819" i="1"/>
  <c r="AL819" i="1"/>
  <c r="AK819" i="1"/>
  <c r="AJ819" i="1"/>
  <c r="AI819" i="1"/>
  <c r="AH819" i="1"/>
  <c r="AG819" i="1"/>
  <c r="AF819" i="1"/>
  <c r="AE819" i="1"/>
  <c r="AD819" i="1"/>
  <c r="AC819" i="1"/>
  <c r="AB819" i="1"/>
  <c r="Z819" i="1"/>
  <c r="W819" i="1"/>
  <c r="X819" i="1" s="1"/>
  <c r="V819" i="1"/>
  <c r="T819" i="1"/>
  <c r="R819" i="1"/>
  <c r="Q819" i="1" a="1"/>
  <c r="Q819" i="1" s="1"/>
  <c r="P819" i="1"/>
  <c r="N819" i="1"/>
  <c r="L819" i="1"/>
  <c r="K819" i="1" a="1"/>
  <c r="K819" i="1" s="1"/>
  <c r="U819" i="1" s="1"/>
  <c r="J819" i="1" a="1"/>
  <c r="J819" i="1" s="1"/>
  <c r="H819" i="1" a="1"/>
  <c r="H819" i="1" s="1"/>
  <c r="I819" i="1" s="1"/>
  <c r="S819" i="1" s="1"/>
  <c r="AS818" i="1"/>
  <c r="AA818" i="1" s="1"/>
  <c r="AO818" i="1"/>
  <c r="AN818" i="1"/>
  <c r="AM818" i="1"/>
  <c r="AL818" i="1"/>
  <c r="AK818" i="1"/>
  <c r="AJ818" i="1"/>
  <c r="AI818" i="1"/>
  <c r="AH818" i="1"/>
  <c r="AG818" i="1"/>
  <c r="AF818" i="1"/>
  <c r="AE818" i="1"/>
  <c r="AD818" i="1"/>
  <c r="AC818" i="1"/>
  <c r="AB818" i="1"/>
  <c r="Z818" i="1"/>
  <c r="W818" i="1"/>
  <c r="X818" i="1" s="1"/>
  <c r="V818" i="1"/>
  <c r="T818" i="1"/>
  <c r="R818" i="1"/>
  <c r="Q818" i="1" a="1"/>
  <c r="Q818" i="1" s="1"/>
  <c r="P818" i="1"/>
  <c r="N818" i="1"/>
  <c r="L818" i="1"/>
  <c r="K818" i="1" a="1"/>
  <c r="K818" i="1" s="1"/>
  <c r="U818" i="1" s="1"/>
  <c r="J818" i="1" a="1"/>
  <c r="J818" i="1" s="1"/>
  <c r="H818" i="1" a="1"/>
  <c r="H818" i="1" s="1"/>
  <c r="I818" i="1" s="1"/>
  <c r="S818" i="1" s="1"/>
  <c r="AS817" i="1"/>
  <c r="AA817" i="1" s="1"/>
  <c r="AO817" i="1"/>
  <c r="AN817" i="1"/>
  <c r="AM817" i="1"/>
  <c r="AL817" i="1"/>
  <c r="AK817" i="1"/>
  <c r="AJ817" i="1"/>
  <c r="AI817" i="1"/>
  <c r="AH817" i="1"/>
  <c r="AG817" i="1"/>
  <c r="AF817" i="1"/>
  <c r="AE817" i="1"/>
  <c r="AD817" i="1"/>
  <c r="AC817" i="1"/>
  <c r="AB817" i="1"/>
  <c r="Z817" i="1"/>
  <c r="W817" i="1"/>
  <c r="Y817" i="1" s="1"/>
  <c r="V817" i="1"/>
  <c r="T817" i="1"/>
  <c r="R817" i="1"/>
  <c r="Q817" i="1" a="1"/>
  <c r="Q817" i="1" s="1"/>
  <c r="P817" i="1"/>
  <c r="N817" i="1"/>
  <c r="L817" i="1"/>
  <c r="K817" i="1" a="1"/>
  <c r="K817" i="1" s="1"/>
  <c r="U817" i="1" s="1"/>
  <c r="J817" i="1" a="1"/>
  <c r="J817" i="1" s="1"/>
  <c r="H817" i="1" a="1"/>
  <c r="H817" i="1" s="1"/>
  <c r="AS816" i="1"/>
  <c r="AA816" i="1" s="1"/>
  <c r="AO816" i="1"/>
  <c r="AN816" i="1"/>
  <c r="AM816" i="1"/>
  <c r="AL816" i="1"/>
  <c r="AK816" i="1"/>
  <c r="AJ816" i="1"/>
  <c r="AI816" i="1"/>
  <c r="AH816" i="1"/>
  <c r="AG816" i="1"/>
  <c r="AF816" i="1"/>
  <c r="AE816" i="1"/>
  <c r="AD816" i="1"/>
  <c r="AC816" i="1"/>
  <c r="AB816" i="1"/>
  <c r="Z816" i="1"/>
  <c r="W816" i="1"/>
  <c r="Y816" i="1" s="1"/>
  <c r="V816" i="1"/>
  <c r="T816" i="1"/>
  <c r="R816" i="1"/>
  <c r="Q816" i="1" a="1"/>
  <c r="Q816" i="1" s="1"/>
  <c r="P816" i="1"/>
  <c r="N816" i="1"/>
  <c r="L816" i="1"/>
  <c r="K816" i="1" a="1"/>
  <c r="K816" i="1" s="1"/>
  <c r="U816" i="1" s="1"/>
  <c r="J816" i="1" a="1"/>
  <c r="J816" i="1" s="1"/>
  <c r="H816" i="1" a="1"/>
  <c r="H816" i="1" s="1"/>
  <c r="AS815" i="1"/>
  <c r="AA815" i="1" s="1"/>
  <c r="AO815" i="1"/>
  <c r="AN815" i="1"/>
  <c r="AM815" i="1"/>
  <c r="AL815" i="1"/>
  <c r="AK815" i="1"/>
  <c r="AJ815" i="1"/>
  <c r="AI815" i="1"/>
  <c r="AH815" i="1"/>
  <c r="AG815" i="1"/>
  <c r="AF815" i="1"/>
  <c r="AE815" i="1"/>
  <c r="AD815" i="1"/>
  <c r="AC815" i="1"/>
  <c r="AB815" i="1"/>
  <c r="Z815" i="1"/>
  <c r="W815" i="1"/>
  <c r="X815" i="1" s="1"/>
  <c r="V815" i="1"/>
  <c r="T815" i="1"/>
  <c r="R815" i="1"/>
  <c r="Q815" i="1" a="1"/>
  <c r="Q815" i="1" s="1"/>
  <c r="P815" i="1"/>
  <c r="N815" i="1"/>
  <c r="L815" i="1"/>
  <c r="K815" i="1" a="1"/>
  <c r="K815" i="1" s="1"/>
  <c r="U815" i="1" s="1"/>
  <c r="J815" i="1" a="1"/>
  <c r="J815" i="1" s="1"/>
  <c r="H815" i="1" a="1"/>
  <c r="H815" i="1" s="1"/>
  <c r="AS814" i="1"/>
  <c r="AA814" i="1" s="1"/>
  <c r="AO814" i="1"/>
  <c r="AN814" i="1"/>
  <c r="AM814" i="1"/>
  <c r="AL814" i="1"/>
  <c r="AK814" i="1"/>
  <c r="AJ814" i="1"/>
  <c r="AI814" i="1"/>
  <c r="AH814" i="1"/>
  <c r="AG814" i="1"/>
  <c r="AF814" i="1"/>
  <c r="AE814" i="1"/>
  <c r="AD814" i="1"/>
  <c r="AC814" i="1"/>
  <c r="AB814" i="1"/>
  <c r="Z814" i="1"/>
  <c r="W814" i="1"/>
  <c r="X814" i="1" s="1"/>
  <c r="V814" i="1"/>
  <c r="T814" i="1"/>
  <c r="R814" i="1"/>
  <c r="Q814" i="1" a="1"/>
  <c r="Q814" i="1" s="1"/>
  <c r="P814" i="1"/>
  <c r="N814" i="1"/>
  <c r="L814" i="1"/>
  <c r="K814" i="1" a="1"/>
  <c r="K814" i="1" s="1"/>
  <c r="U814" i="1" s="1"/>
  <c r="J814" i="1" a="1"/>
  <c r="J814" i="1" s="1"/>
  <c r="H814" i="1" a="1"/>
  <c r="H814" i="1" s="1"/>
  <c r="I814" i="1" s="1"/>
  <c r="S814" i="1" s="1"/>
  <c r="AS813" i="1"/>
  <c r="AA813" i="1" s="1"/>
  <c r="AO813" i="1"/>
  <c r="AN813" i="1"/>
  <c r="AM813" i="1"/>
  <c r="AL813" i="1"/>
  <c r="AK813" i="1"/>
  <c r="AJ813" i="1"/>
  <c r="AI813" i="1"/>
  <c r="AH813" i="1"/>
  <c r="AG813" i="1"/>
  <c r="AF813" i="1"/>
  <c r="AE813" i="1"/>
  <c r="AD813" i="1"/>
  <c r="AC813" i="1"/>
  <c r="AB813" i="1"/>
  <c r="Z813" i="1"/>
  <c r="W813" i="1"/>
  <c r="Y813" i="1" s="1"/>
  <c r="V813" i="1"/>
  <c r="T813" i="1"/>
  <c r="R813" i="1"/>
  <c r="Q813" i="1" a="1"/>
  <c r="Q813" i="1" s="1"/>
  <c r="P813" i="1"/>
  <c r="N813" i="1"/>
  <c r="L813" i="1"/>
  <c r="K813" i="1" a="1"/>
  <c r="K813" i="1" s="1"/>
  <c r="U813" i="1" s="1"/>
  <c r="J813" i="1" a="1"/>
  <c r="J813" i="1" s="1"/>
  <c r="H813" i="1" a="1"/>
  <c r="H813" i="1" s="1"/>
  <c r="AS812" i="1"/>
  <c r="AA812" i="1" s="1"/>
  <c r="AO812" i="1"/>
  <c r="AN812" i="1"/>
  <c r="AM812" i="1"/>
  <c r="AL812" i="1"/>
  <c r="AK812" i="1"/>
  <c r="AJ812" i="1"/>
  <c r="AI812" i="1"/>
  <c r="AH812" i="1"/>
  <c r="AG812" i="1"/>
  <c r="AF812" i="1"/>
  <c r="AE812" i="1"/>
  <c r="AD812" i="1"/>
  <c r="AC812" i="1"/>
  <c r="AB812" i="1"/>
  <c r="Z812" i="1"/>
  <c r="W812" i="1"/>
  <c r="Y812" i="1" s="1"/>
  <c r="V812" i="1"/>
  <c r="T812" i="1"/>
  <c r="R812" i="1"/>
  <c r="Q812" i="1" a="1"/>
  <c r="Q812" i="1" s="1"/>
  <c r="P812" i="1"/>
  <c r="N812" i="1"/>
  <c r="L812" i="1"/>
  <c r="K812" i="1" a="1"/>
  <c r="K812" i="1" s="1"/>
  <c r="U812" i="1" s="1"/>
  <c r="J812" i="1" a="1"/>
  <c r="J812" i="1" s="1"/>
  <c r="H812" i="1" a="1"/>
  <c r="H812" i="1" s="1"/>
  <c r="AS811" i="1"/>
  <c r="AA811" i="1" s="1"/>
  <c r="AO811" i="1"/>
  <c r="AN811" i="1"/>
  <c r="AM811" i="1"/>
  <c r="AL811" i="1"/>
  <c r="AK811" i="1"/>
  <c r="AJ811" i="1"/>
  <c r="AI811" i="1"/>
  <c r="AH811" i="1"/>
  <c r="AG811" i="1"/>
  <c r="AF811" i="1"/>
  <c r="AE811" i="1"/>
  <c r="AD811" i="1"/>
  <c r="AC811" i="1"/>
  <c r="AB811" i="1"/>
  <c r="Z811" i="1"/>
  <c r="W811" i="1"/>
  <c r="X811" i="1" s="1"/>
  <c r="V811" i="1"/>
  <c r="T811" i="1"/>
  <c r="R811" i="1"/>
  <c r="Q811" i="1" a="1"/>
  <c r="Q811" i="1" s="1"/>
  <c r="P811" i="1"/>
  <c r="N811" i="1"/>
  <c r="L811" i="1"/>
  <c r="K811" i="1" a="1"/>
  <c r="K811" i="1" s="1"/>
  <c r="U811" i="1" s="1"/>
  <c r="J811" i="1" a="1"/>
  <c r="J811" i="1" s="1"/>
  <c r="H811" i="1" a="1"/>
  <c r="H811" i="1" s="1"/>
  <c r="I811" i="1" s="1"/>
  <c r="S811" i="1" s="1"/>
  <c r="AT810" i="1"/>
  <c r="AB810" i="1" s="1"/>
  <c r="AS810" i="1"/>
  <c r="AA810" i="1" s="1"/>
  <c r="AO810" i="1"/>
  <c r="AN810" i="1"/>
  <c r="AM810" i="1"/>
  <c r="AL810" i="1"/>
  <c r="AK810" i="1"/>
  <c r="AJ810" i="1"/>
  <c r="AI810" i="1"/>
  <c r="AH810" i="1"/>
  <c r="AG810" i="1"/>
  <c r="AF810" i="1"/>
  <c r="AE810" i="1"/>
  <c r="AD810" i="1"/>
  <c r="AC810" i="1"/>
  <c r="Z810" i="1"/>
  <c r="W810" i="1"/>
  <c r="X810" i="1" s="1"/>
  <c r="V810" i="1"/>
  <c r="T810" i="1"/>
  <c r="R810" i="1"/>
  <c r="Q810" i="1" a="1"/>
  <c r="Q810" i="1" s="1"/>
  <c r="P810" i="1"/>
  <c r="N810" i="1"/>
  <c r="L810" i="1"/>
  <c r="K810" i="1" a="1"/>
  <c r="K810" i="1" s="1"/>
  <c r="U810" i="1" s="1"/>
  <c r="J810" i="1" a="1"/>
  <c r="J810" i="1" s="1"/>
  <c r="H810" i="1" a="1"/>
  <c r="H810" i="1" s="1"/>
  <c r="I810" i="1" s="1"/>
  <c r="S810" i="1" s="1"/>
  <c r="AS809" i="1"/>
  <c r="AA809" i="1" s="1"/>
  <c r="AO809" i="1"/>
  <c r="AN809" i="1"/>
  <c r="AM809" i="1"/>
  <c r="AL809" i="1"/>
  <c r="AK809" i="1"/>
  <c r="AJ809" i="1"/>
  <c r="AI809" i="1"/>
  <c r="AH809" i="1"/>
  <c r="AG809" i="1"/>
  <c r="AF809" i="1"/>
  <c r="AE809" i="1"/>
  <c r="AD809" i="1"/>
  <c r="AC809" i="1"/>
  <c r="AB809" i="1"/>
  <c r="Z809" i="1"/>
  <c r="W809" i="1"/>
  <c r="V809" i="1"/>
  <c r="T809" i="1"/>
  <c r="R809" i="1"/>
  <c r="Q809" i="1" a="1"/>
  <c r="Q809" i="1" s="1"/>
  <c r="P809" i="1"/>
  <c r="N809" i="1"/>
  <c r="L809" i="1"/>
  <c r="K809" i="1" a="1"/>
  <c r="K809" i="1" s="1"/>
  <c r="U809" i="1" s="1"/>
  <c r="J809" i="1" a="1"/>
  <c r="J809" i="1" s="1"/>
  <c r="H809" i="1" a="1"/>
  <c r="H809" i="1" s="1"/>
  <c r="I809" i="1" s="1"/>
  <c r="S809" i="1" s="1"/>
  <c r="AW808" i="1"/>
  <c r="AE808" i="1" s="1"/>
  <c r="AV808" i="1"/>
  <c r="AD808" i="1" s="1"/>
  <c r="AU808" i="1"/>
  <c r="AC808" i="1" s="1"/>
  <c r="AT808" i="1"/>
  <c r="AB808" i="1" s="1"/>
  <c r="AS808" i="1"/>
  <c r="AA808" i="1" s="1"/>
  <c r="AO808" i="1"/>
  <c r="AN808" i="1"/>
  <c r="AM808" i="1"/>
  <c r="AL808" i="1"/>
  <c r="AK808" i="1"/>
  <c r="AJ808" i="1"/>
  <c r="AI808" i="1"/>
  <c r="AH808" i="1"/>
  <c r="AG808" i="1"/>
  <c r="AF808" i="1"/>
  <c r="Z808" i="1"/>
  <c r="W808" i="1"/>
  <c r="Y808" i="1" s="1"/>
  <c r="V808" i="1"/>
  <c r="T808" i="1"/>
  <c r="R808" i="1"/>
  <c r="Q808" i="1" a="1"/>
  <c r="Q808" i="1" s="1"/>
  <c r="P808" i="1"/>
  <c r="N808" i="1"/>
  <c r="L808" i="1"/>
  <c r="K808" i="1" a="1"/>
  <c r="K808" i="1" s="1"/>
  <c r="U808" i="1" s="1"/>
  <c r="J808" i="1" a="1"/>
  <c r="J808" i="1" s="1"/>
  <c r="H808" i="1" a="1"/>
  <c r="H808" i="1" s="1"/>
  <c r="AS807" i="1"/>
  <c r="AA807" i="1" s="1"/>
  <c r="AO807" i="1"/>
  <c r="AN807" i="1"/>
  <c r="AM807" i="1"/>
  <c r="AL807" i="1"/>
  <c r="AK807" i="1"/>
  <c r="AJ807" i="1"/>
  <c r="AI807" i="1"/>
  <c r="AH807" i="1"/>
  <c r="AG807" i="1"/>
  <c r="AF807" i="1"/>
  <c r="AE807" i="1"/>
  <c r="AD807" i="1"/>
  <c r="AC807" i="1"/>
  <c r="AB807" i="1"/>
  <c r="Z807" i="1"/>
  <c r="W807" i="1"/>
  <c r="Y807" i="1" s="1"/>
  <c r="V807" i="1"/>
  <c r="T807" i="1"/>
  <c r="R807" i="1"/>
  <c r="Q807" i="1" a="1"/>
  <c r="Q807" i="1" s="1"/>
  <c r="P807" i="1"/>
  <c r="N807" i="1"/>
  <c r="L807" i="1"/>
  <c r="K807" i="1" a="1"/>
  <c r="K807" i="1" s="1"/>
  <c r="U807" i="1" s="1"/>
  <c r="J807" i="1" a="1"/>
  <c r="J807" i="1" s="1"/>
  <c r="H807" i="1" a="1"/>
  <c r="H807" i="1" s="1"/>
  <c r="AS806" i="1"/>
  <c r="AA806" i="1" s="1"/>
  <c r="AO806" i="1"/>
  <c r="AN806" i="1"/>
  <c r="AM806" i="1"/>
  <c r="AL806" i="1"/>
  <c r="AK806" i="1"/>
  <c r="AJ806" i="1"/>
  <c r="AI806" i="1"/>
  <c r="AH806" i="1"/>
  <c r="AG806" i="1"/>
  <c r="AF806" i="1"/>
  <c r="AE806" i="1"/>
  <c r="AD806" i="1"/>
  <c r="AC806" i="1"/>
  <c r="AB806" i="1"/>
  <c r="Z806" i="1"/>
  <c r="W806" i="1"/>
  <c r="X806" i="1" s="1"/>
  <c r="V806" i="1"/>
  <c r="T806" i="1"/>
  <c r="R806" i="1"/>
  <c r="Q806" i="1" a="1"/>
  <c r="Q806" i="1" s="1"/>
  <c r="P806" i="1"/>
  <c r="N806" i="1"/>
  <c r="L806" i="1"/>
  <c r="K806" i="1" a="1"/>
  <c r="K806" i="1" s="1"/>
  <c r="U806" i="1" s="1"/>
  <c r="J806" i="1" a="1"/>
  <c r="J806" i="1" s="1"/>
  <c r="H806" i="1" a="1"/>
  <c r="H806" i="1" s="1"/>
  <c r="AS805" i="1"/>
  <c r="AA805" i="1" s="1"/>
  <c r="AO805" i="1"/>
  <c r="AN805" i="1"/>
  <c r="AM805" i="1"/>
  <c r="AL805" i="1"/>
  <c r="AK805" i="1"/>
  <c r="AJ805" i="1"/>
  <c r="AI805" i="1"/>
  <c r="AH805" i="1"/>
  <c r="AG805" i="1"/>
  <c r="AF805" i="1"/>
  <c r="AE805" i="1"/>
  <c r="AD805" i="1"/>
  <c r="AC805" i="1"/>
  <c r="AB805" i="1"/>
  <c r="Z805" i="1"/>
  <c r="W805" i="1"/>
  <c r="X805" i="1" s="1"/>
  <c r="V805" i="1"/>
  <c r="T805" i="1"/>
  <c r="R805" i="1"/>
  <c r="Q805" i="1" a="1"/>
  <c r="Q805" i="1" s="1"/>
  <c r="P805" i="1"/>
  <c r="N805" i="1"/>
  <c r="L805" i="1"/>
  <c r="K805" i="1" a="1"/>
  <c r="K805" i="1" s="1"/>
  <c r="U805" i="1" s="1"/>
  <c r="J805" i="1" a="1"/>
  <c r="J805" i="1" s="1"/>
  <c r="H805" i="1" a="1"/>
  <c r="H805" i="1" s="1"/>
  <c r="I805" i="1" s="1"/>
  <c r="S805" i="1" s="1"/>
  <c r="AS804" i="1"/>
  <c r="AA804" i="1" s="1"/>
  <c r="AO804" i="1"/>
  <c r="AN804" i="1"/>
  <c r="AM804" i="1"/>
  <c r="AL804" i="1"/>
  <c r="AK804" i="1"/>
  <c r="AJ804" i="1"/>
  <c r="AI804" i="1"/>
  <c r="AH804" i="1"/>
  <c r="AG804" i="1"/>
  <c r="AF804" i="1"/>
  <c r="AE804" i="1"/>
  <c r="AD804" i="1"/>
  <c r="AC804" i="1"/>
  <c r="AB804" i="1"/>
  <c r="Z804" i="1"/>
  <c r="W804" i="1"/>
  <c r="Y804" i="1" s="1"/>
  <c r="V804" i="1"/>
  <c r="T804" i="1"/>
  <c r="R804" i="1"/>
  <c r="Q804" i="1" a="1"/>
  <c r="Q804" i="1" s="1"/>
  <c r="P804" i="1"/>
  <c r="N804" i="1"/>
  <c r="L804" i="1"/>
  <c r="K804" i="1" a="1"/>
  <c r="K804" i="1" s="1"/>
  <c r="U804" i="1" s="1"/>
  <c r="J804" i="1" a="1"/>
  <c r="J804" i="1" s="1"/>
  <c r="H804" i="1" a="1"/>
  <c r="H804" i="1" s="1"/>
  <c r="AS803" i="1"/>
  <c r="AA803" i="1" s="1"/>
  <c r="AO803" i="1"/>
  <c r="AN803" i="1"/>
  <c r="AM803" i="1"/>
  <c r="AL803" i="1"/>
  <c r="AK803" i="1"/>
  <c r="AJ803" i="1"/>
  <c r="AI803" i="1"/>
  <c r="AH803" i="1"/>
  <c r="AG803" i="1"/>
  <c r="AF803" i="1"/>
  <c r="AE803" i="1"/>
  <c r="AD803" i="1"/>
  <c r="AC803" i="1"/>
  <c r="AB803" i="1"/>
  <c r="Z803" i="1"/>
  <c r="W803" i="1"/>
  <c r="Y803" i="1" s="1"/>
  <c r="V803" i="1"/>
  <c r="T803" i="1"/>
  <c r="R803" i="1"/>
  <c r="Q803" i="1" a="1"/>
  <c r="Q803" i="1" s="1"/>
  <c r="P803" i="1"/>
  <c r="N803" i="1"/>
  <c r="L803" i="1"/>
  <c r="K803" i="1" a="1"/>
  <c r="K803" i="1" s="1"/>
  <c r="U803" i="1" s="1"/>
  <c r="J803" i="1" a="1"/>
  <c r="J803" i="1" s="1"/>
  <c r="H803" i="1" a="1"/>
  <c r="H803" i="1" s="1"/>
  <c r="AW802" i="1"/>
  <c r="AE802" i="1" s="1"/>
  <c r="AV802" i="1"/>
  <c r="AD802" i="1" s="1"/>
  <c r="AU802" i="1"/>
  <c r="AC802" i="1" s="1"/>
  <c r="AT802" i="1"/>
  <c r="AB802" i="1" s="1"/>
  <c r="AS802" i="1"/>
  <c r="AA802" i="1" s="1"/>
  <c r="AO802" i="1"/>
  <c r="AN802" i="1"/>
  <c r="AM802" i="1"/>
  <c r="AL802" i="1"/>
  <c r="AK802" i="1"/>
  <c r="AJ802" i="1"/>
  <c r="AI802" i="1"/>
  <c r="AH802" i="1"/>
  <c r="AG802" i="1"/>
  <c r="AF802" i="1"/>
  <c r="Z802" i="1"/>
  <c r="W802" i="1"/>
  <c r="X802" i="1" s="1"/>
  <c r="V802" i="1"/>
  <c r="T802" i="1"/>
  <c r="R802" i="1"/>
  <c r="Q802" i="1" a="1"/>
  <c r="Q802" i="1" s="1"/>
  <c r="P802" i="1"/>
  <c r="N802" i="1"/>
  <c r="L802" i="1"/>
  <c r="K802" i="1" a="1"/>
  <c r="K802" i="1" s="1"/>
  <c r="U802" i="1" s="1"/>
  <c r="J802" i="1" a="1"/>
  <c r="J802" i="1" s="1"/>
  <c r="H802" i="1" a="1"/>
  <c r="H802" i="1" s="1"/>
  <c r="I802" i="1" s="1"/>
  <c r="S802" i="1" s="1"/>
  <c r="AS801" i="1"/>
  <c r="AA801" i="1" s="1"/>
  <c r="AO801" i="1"/>
  <c r="AN801" i="1"/>
  <c r="AM801" i="1"/>
  <c r="AL801" i="1"/>
  <c r="AK801" i="1"/>
  <c r="AJ801" i="1"/>
  <c r="AI801" i="1"/>
  <c r="AH801" i="1"/>
  <c r="AG801" i="1"/>
  <c r="AF801" i="1"/>
  <c r="AE801" i="1"/>
  <c r="AD801" i="1"/>
  <c r="AC801" i="1"/>
  <c r="AB801" i="1"/>
  <c r="Z801" i="1"/>
  <c r="W801" i="1"/>
  <c r="X801" i="1" s="1"/>
  <c r="V801" i="1"/>
  <c r="T801" i="1"/>
  <c r="R801" i="1"/>
  <c r="Q801" i="1" a="1"/>
  <c r="Q801" i="1" s="1"/>
  <c r="P801" i="1"/>
  <c r="N801" i="1"/>
  <c r="L801" i="1"/>
  <c r="K801" i="1" a="1"/>
  <c r="K801" i="1" s="1"/>
  <c r="U801" i="1" s="1"/>
  <c r="J801" i="1" a="1"/>
  <c r="J801" i="1" s="1"/>
  <c r="H801" i="1" a="1"/>
  <c r="H801" i="1" s="1"/>
  <c r="I801" i="1" s="1"/>
  <c r="S801" i="1" s="1"/>
  <c r="AS800" i="1"/>
  <c r="AA800" i="1" s="1"/>
  <c r="AO800" i="1"/>
  <c r="AN800" i="1"/>
  <c r="AM800" i="1"/>
  <c r="AL800" i="1"/>
  <c r="AK800" i="1"/>
  <c r="AJ800" i="1"/>
  <c r="AI800" i="1"/>
  <c r="AH800" i="1"/>
  <c r="AG800" i="1"/>
  <c r="AF800" i="1"/>
  <c r="AE800" i="1"/>
  <c r="AD800" i="1"/>
  <c r="AC800" i="1"/>
  <c r="AB800" i="1"/>
  <c r="Z800" i="1"/>
  <c r="W800" i="1"/>
  <c r="Y800" i="1" s="1"/>
  <c r="V800" i="1"/>
  <c r="T800" i="1"/>
  <c r="R800" i="1"/>
  <c r="Q800" i="1" a="1"/>
  <c r="Q800" i="1" s="1"/>
  <c r="P800" i="1"/>
  <c r="N800" i="1"/>
  <c r="L800" i="1"/>
  <c r="K800" i="1" a="1"/>
  <c r="K800" i="1" s="1"/>
  <c r="U800" i="1" s="1"/>
  <c r="J800" i="1" a="1"/>
  <c r="J800" i="1" s="1"/>
  <c r="H800" i="1" a="1"/>
  <c r="H800" i="1" s="1"/>
  <c r="AS799" i="1"/>
  <c r="AA799" i="1" s="1"/>
  <c r="AO799" i="1"/>
  <c r="AN799" i="1"/>
  <c r="AM799" i="1"/>
  <c r="AL799" i="1"/>
  <c r="AK799" i="1"/>
  <c r="AJ799" i="1"/>
  <c r="AI799" i="1"/>
  <c r="AH799" i="1"/>
  <c r="AG799" i="1"/>
  <c r="AF799" i="1"/>
  <c r="AE799" i="1"/>
  <c r="AD799" i="1"/>
  <c r="AC799" i="1"/>
  <c r="AB799" i="1"/>
  <c r="Z799" i="1"/>
  <c r="W799" i="1"/>
  <c r="Y799" i="1" s="1"/>
  <c r="V799" i="1"/>
  <c r="T799" i="1"/>
  <c r="R799" i="1"/>
  <c r="Q799" i="1" a="1"/>
  <c r="Q799" i="1" s="1"/>
  <c r="P799" i="1"/>
  <c r="N799" i="1"/>
  <c r="L799" i="1"/>
  <c r="K799" i="1" a="1"/>
  <c r="K799" i="1" s="1"/>
  <c r="U799" i="1" s="1"/>
  <c r="J799" i="1" a="1"/>
  <c r="J799" i="1" s="1"/>
  <c r="H799" i="1" a="1"/>
  <c r="H799" i="1" s="1"/>
  <c r="AS798" i="1"/>
  <c r="AA798" i="1" s="1"/>
  <c r="AO798" i="1"/>
  <c r="AN798" i="1"/>
  <c r="AM798" i="1"/>
  <c r="AL798" i="1"/>
  <c r="AK798" i="1"/>
  <c r="AJ798" i="1"/>
  <c r="AI798" i="1"/>
  <c r="AH798" i="1"/>
  <c r="AG798" i="1"/>
  <c r="AF798" i="1"/>
  <c r="AE798" i="1"/>
  <c r="AD798" i="1"/>
  <c r="AC798" i="1"/>
  <c r="AB798" i="1"/>
  <c r="Z798" i="1"/>
  <c r="W798" i="1"/>
  <c r="X798" i="1" s="1"/>
  <c r="V798" i="1"/>
  <c r="T798" i="1"/>
  <c r="R798" i="1"/>
  <c r="Q798" i="1" a="1"/>
  <c r="Q798" i="1" s="1"/>
  <c r="P798" i="1"/>
  <c r="N798" i="1"/>
  <c r="L798" i="1"/>
  <c r="K798" i="1" a="1"/>
  <c r="K798" i="1" s="1"/>
  <c r="U798" i="1" s="1"/>
  <c r="J798" i="1" a="1"/>
  <c r="J798" i="1" s="1"/>
  <c r="H798" i="1" a="1"/>
  <c r="H798" i="1" s="1"/>
  <c r="I798" i="1" s="1"/>
  <c r="S798" i="1" s="1"/>
  <c r="AT797" i="1"/>
  <c r="AB797" i="1" s="1"/>
  <c r="AS797" i="1"/>
  <c r="AA797" i="1" s="1"/>
  <c r="AO797" i="1"/>
  <c r="AN797" i="1"/>
  <c r="AM797" i="1"/>
  <c r="AL797" i="1"/>
  <c r="AK797" i="1"/>
  <c r="AJ797" i="1"/>
  <c r="AI797" i="1"/>
  <c r="AH797" i="1"/>
  <c r="AG797" i="1"/>
  <c r="AF797" i="1"/>
  <c r="AE797" i="1"/>
  <c r="AD797" i="1"/>
  <c r="AC797" i="1"/>
  <c r="Z797" i="1"/>
  <c r="W797" i="1"/>
  <c r="X797" i="1" s="1"/>
  <c r="V797" i="1"/>
  <c r="T797" i="1"/>
  <c r="R797" i="1"/>
  <c r="Q797" i="1" a="1"/>
  <c r="Q797" i="1" s="1"/>
  <c r="P797" i="1"/>
  <c r="N797" i="1"/>
  <c r="L797" i="1"/>
  <c r="K797" i="1" a="1"/>
  <c r="K797" i="1" s="1"/>
  <c r="U797" i="1" s="1"/>
  <c r="J797" i="1" a="1"/>
  <c r="J797" i="1" s="1"/>
  <c r="H797" i="1" a="1"/>
  <c r="H797" i="1" s="1"/>
  <c r="I797" i="1" s="1"/>
  <c r="S797" i="1" s="1"/>
  <c r="AS796" i="1"/>
  <c r="AA796" i="1" s="1"/>
  <c r="AO796" i="1"/>
  <c r="AN796" i="1"/>
  <c r="AM796" i="1"/>
  <c r="AL796" i="1"/>
  <c r="AK796" i="1"/>
  <c r="AJ796" i="1"/>
  <c r="AI796" i="1"/>
  <c r="AH796" i="1"/>
  <c r="AG796" i="1"/>
  <c r="AF796" i="1"/>
  <c r="AE796" i="1"/>
  <c r="AD796" i="1"/>
  <c r="AC796" i="1"/>
  <c r="AB796" i="1"/>
  <c r="Z796" i="1"/>
  <c r="W796" i="1"/>
  <c r="Y796" i="1" s="1"/>
  <c r="V796" i="1"/>
  <c r="T796" i="1"/>
  <c r="R796" i="1"/>
  <c r="Q796" i="1" a="1"/>
  <c r="Q796" i="1" s="1"/>
  <c r="P796" i="1"/>
  <c r="N796" i="1"/>
  <c r="L796" i="1"/>
  <c r="K796" i="1" a="1"/>
  <c r="K796" i="1" s="1"/>
  <c r="U796" i="1" s="1"/>
  <c r="J796" i="1" a="1"/>
  <c r="J796" i="1" s="1"/>
  <c r="H796" i="1" a="1"/>
  <c r="H796" i="1" s="1"/>
  <c r="I796" i="1" s="1"/>
  <c r="S796" i="1" s="1"/>
  <c r="AS795" i="1"/>
  <c r="AA795" i="1" s="1"/>
  <c r="AO795" i="1"/>
  <c r="AN795" i="1"/>
  <c r="AM795" i="1"/>
  <c r="AL795" i="1"/>
  <c r="AK795" i="1"/>
  <c r="AJ795" i="1"/>
  <c r="AI795" i="1"/>
  <c r="AH795" i="1"/>
  <c r="AG795" i="1"/>
  <c r="AF795" i="1"/>
  <c r="AE795" i="1"/>
  <c r="AD795" i="1"/>
  <c r="AC795" i="1"/>
  <c r="AB795" i="1"/>
  <c r="Z795" i="1"/>
  <c r="W795" i="1"/>
  <c r="Y795" i="1" s="1"/>
  <c r="V795" i="1"/>
  <c r="T795" i="1"/>
  <c r="R795" i="1"/>
  <c r="Q795" i="1" a="1"/>
  <c r="Q795" i="1" s="1"/>
  <c r="P795" i="1"/>
  <c r="N795" i="1"/>
  <c r="L795" i="1"/>
  <c r="K795" i="1" a="1"/>
  <c r="K795" i="1" s="1"/>
  <c r="U795" i="1" s="1"/>
  <c r="J795" i="1" a="1"/>
  <c r="J795" i="1" s="1"/>
  <c r="H795" i="1" a="1"/>
  <c r="H795" i="1" s="1"/>
  <c r="AT794" i="1"/>
  <c r="AB794" i="1" s="1"/>
  <c r="AS794" i="1"/>
  <c r="AA794" i="1" s="1"/>
  <c r="AO794" i="1"/>
  <c r="AN794" i="1"/>
  <c r="AM794" i="1"/>
  <c r="AL794" i="1"/>
  <c r="AK794" i="1"/>
  <c r="AJ794" i="1"/>
  <c r="AI794" i="1"/>
  <c r="AH794" i="1"/>
  <c r="AG794" i="1"/>
  <c r="AF794" i="1"/>
  <c r="AE794" i="1"/>
  <c r="AD794" i="1"/>
  <c r="AC794" i="1"/>
  <c r="Z794" i="1"/>
  <c r="W794" i="1"/>
  <c r="Y794" i="1" s="1"/>
  <c r="V794" i="1"/>
  <c r="T794" i="1"/>
  <c r="R794" i="1"/>
  <c r="Q794" i="1" a="1"/>
  <c r="Q794" i="1" s="1"/>
  <c r="P794" i="1"/>
  <c r="N794" i="1"/>
  <c r="L794" i="1"/>
  <c r="K794" i="1" a="1"/>
  <c r="K794" i="1" s="1"/>
  <c r="U794" i="1" s="1"/>
  <c r="J794" i="1" a="1"/>
  <c r="J794" i="1" s="1"/>
  <c r="H794" i="1" a="1"/>
  <c r="H794" i="1" s="1"/>
  <c r="AS793" i="1"/>
  <c r="AA793" i="1" s="1"/>
  <c r="AO793" i="1"/>
  <c r="AN793" i="1"/>
  <c r="AM793" i="1"/>
  <c r="AL793" i="1"/>
  <c r="AK793" i="1"/>
  <c r="AJ793" i="1"/>
  <c r="AI793" i="1"/>
  <c r="AH793" i="1"/>
  <c r="AG793" i="1"/>
  <c r="AF793" i="1"/>
  <c r="AE793" i="1"/>
  <c r="AD793" i="1"/>
  <c r="AC793" i="1"/>
  <c r="AB793" i="1"/>
  <c r="Z793" i="1"/>
  <c r="W793" i="1"/>
  <c r="Y793" i="1" s="1"/>
  <c r="V793" i="1"/>
  <c r="T793" i="1"/>
  <c r="R793" i="1"/>
  <c r="Q793" i="1" a="1"/>
  <c r="Q793" i="1" s="1"/>
  <c r="P793" i="1"/>
  <c r="N793" i="1"/>
  <c r="L793" i="1"/>
  <c r="K793" i="1" a="1"/>
  <c r="K793" i="1" s="1"/>
  <c r="U793" i="1" s="1"/>
  <c r="J793" i="1" a="1"/>
  <c r="J793" i="1" s="1"/>
  <c r="H793" i="1" a="1"/>
  <c r="H793" i="1" s="1"/>
  <c r="AS792" i="1"/>
  <c r="AA792" i="1" s="1"/>
  <c r="AO792" i="1"/>
  <c r="AN792" i="1"/>
  <c r="AM792" i="1"/>
  <c r="AL792" i="1"/>
  <c r="AK792" i="1"/>
  <c r="AJ792" i="1"/>
  <c r="AI792" i="1"/>
  <c r="AH792" i="1"/>
  <c r="AG792" i="1"/>
  <c r="AF792" i="1"/>
  <c r="AE792" i="1"/>
  <c r="AD792" i="1"/>
  <c r="AC792" i="1"/>
  <c r="AB792" i="1"/>
  <c r="Z792" i="1"/>
  <c r="W792" i="1"/>
  <c r="X792" i="1" s="1"/>
  <c r="V792" i="1"/>
  <c r="T792" i="1"/>
  <c r="R792" i="1"/>
  <c r="Q792" i="1" a="1"/>
  <c r="Q792" i="1" s="1"/>
  <c r="P792" i="1"/>
  <c r="N792" i="1"/>
  <c r="L792" i="1"/>
  <c r="K792" i="1" a="1"/>
  <c r="K792" i="1" s="1"/>
  <c r="U792" i="1" s="1"/>
  <c r="J792" i="1" a="1"/>
  <c r="J792" i="1" s="1"/>
  <c r="H792" i="1" a="1"/>
  <c r="H792" i="1" s="1"/>
  <c r="I792" i="1" s="1"/>
  <c r="S792" i="1" s="1"/>
  <c r="AS791" i="1"/>
  <c r="AA791" i="1" s="1"/>
  <c r="AO791" i="1"/>
  <c r="AN791" i="1"/>
  <c r="AM791" i="1"/>
  <c r="AL791" i="1"/>
  <c r="AK791" i="1"/>
  <c r="AJ791" i="1"/>
  <c r="AI791" i="1"/>
  <c r="AH791" i="1"/>
  <c r="AG791" i="1"/>
  <c r="AF791" i="1"/>
  <c r="AE791" i="1"/>
  <c r="AD791" i="1"/>
  <c r="AC791" i="1"/>
  <c r="AB791" i="1"/>
  <c r="Z791" i="1"/>
  <c r="W791" i="1"/>
  <c r="Y791" i="1" s="1"/>
  <c r="V791" i="1"/>
  <c r="T791" i="1"/>
  <c r="R791" i="1"/>
  <c r="Q791" i="1" a="1"/>
  <c r="Q791" i="1" s="1"/>
  <c r="P791" i="1"/>
  <c r="N791" i="1"/>
  <c r="L791" i="1"/>
  <c r="K791" i="1" a="1"/>
  <c r="K791" i="1" s="1"/>
  <c r="U791" i="1" s="1"/>
  <c r="J791" i="1" a="1"/>
  <c r="J791" i="1" s="1"/>
  <c r="H791" i="1" a="1"/>
  <c r="H791" i="1" s="1"/>
  <c r="I791" i="1" s="1"/>
  <c r="S791" i="1" s="1"/>
  <c r="AS790" i="1"/>
  <c r="AA790" i="1" s="1"/>
  <c r="AO790" i="1"/>
  <c r="AN790" i="1"/>
  <c r="AM790" i="1"/>
  <c r="AL790" i="1"/>
  <c r="AK790" i="1"/>
  <c r="AJ790" i="1"/>
  <c r="AI790" i="1"/>
  <c r="AH790" i="1"/>
  <c r="AG790" i="1"/>
  <c r="AF790" i="1"/>
  <c r="AE790" i="1"/>
  <c r="AD790" i="1"/>
  <c r="AC790" i="1"/>
  <c r="AB790" i="1"/>
  <c r="Z790" i="1"/>
  <c r="W790" i="1"/>
  <c r="Y790" i="1" s="1"/>
  <c r="V790" i="1"/>
  <c r="T790" i="1"/>
  <c r="R790" i="1"/>
  <c r="Q790" i="1" a="1"/>
  <c r="Q790" i="1" s="1"/>
  <c r="P790" i="1"/>
  <c r="N790" i="1"/>
  <c r="L790" i="1"/>
  <c r="K790" i="1" a="1"/>
  <c r="K790" i="1" s="1"/>
  <c r="U790" i="1" s="1"/>
  <c r="J790" i="1" a="1"/>
  <c r="J790" i="1" s="1"/>
  <c r="H790" i="1" a="1"/>
  <c r="H790" i="1" s="1"/>
  <c r="AS789" i="1"/>
  <c r="AA789" i="1" s="1"/>
  <c r="AO789" i="1"/>
  <c r="AN789" i="1"/>
  <c r="AM789" i="1"/>
  <c r="AL789" i="1"/>
  <c r="AK789" i="1"/>
  <c r="AJ789" i="1"/>
  <c r="AI789" i="1"/>
  <c r="AH789" i="1"/>
  <c r="AG789" i="1"/>
  <c r="AF789" i="1"/>
  <c r="AE789" i="1"/>
  <c r="AD789" i="1"/>
  <c r="AC789" i="1"/>
  <c r="AB789" i="1"/>
  <c r="Z789" i="1"/>
  <c r="W789" i="1"/>
  <c r="Y789" i="1" s="1"/>
  <c r="V789" i="1"/>
  <c r="T789" i="1"/>
  <c r="R789" i="1"/>
  <c r="Q789" i="1" a="1"/>
  <c r="Q789" i="1" s="1"/>
  <c r="P789" i="1"/>
  <c r="N789" i="1"/>
  <c r="L789" i="1"/>
  <c r="K789" i="1" a="1"/>
  <c r="K789" i="1" s="1"/>
  <c r="U789" i="1" s="1"/>
  <c r="J789" i="1" a="1"/>
  <c r="J789" i="1" s="1"/>
  <c r="H789" i="1" a="1"/>
  <c r="H789" i="1" s="1"/>
  <c r="AS788" i="1"/>
  <c r="AA788" i="1" s="1"/>
  <c r="AO788" i="1"/>
  <c r="AN788" i="1"/>
  <c r="AM788" i="1"/>
  <c r="AL788" i="1"/>
  <c r="AK788" i="1"/>
  <c r="AJ788" i="1"/>
  <c r="AI788" i="1"/>
  <c r="AH788" i="1"/>
  <c r="AG788" i="1"/>
  <c r="AF788" i="1"/>
  <c r="AE788" i="1"/>
  <c r="AD788" i="1"/>
  <c r="AC788" i="1"/>
  <c r="AB788" i="1"/>
  <c r="Z788" i="1"/>
  <c r="W788" i="1"/>
  <c r="X788" i="1" s="1"/>
  <c r="V788" i="1"/>
  <c r="T788" i="1"/>
  <c r="R788" i="1"/>
  <c r="Q788" i="1" a="1"/>
  <c r="Q788" i="1" s="1"/>
  <c r="P788" i="1"/>
  <c r="N788" i="1"/>
  <c r="L788" i="1"/>
  <c r="K788" i="1" a="1"/>
  <c r="K788" i="1" s="1"/>
  <c r="U788" i="1" s="1"/>
  <c r="J788" i="1" a="1"/>
  <c r="J788" i="1" s="1"/>
  <c r="H788" i="1" a="1"/>
  <c r="H788" i="1" s="1"/>
  <c r="I788" i="1" s="1"/>
  <c r="S788" i="1" s="1"/>
  <c r="AS787" i="1"/>
  <c r="AA787" i="1" s="1"/>
  <c r="AO787" i="1"/>
  <c r="AN787" i="1"/>
  <c r="AM787" i="1"/>
  <c r="AL787" i="1"/>
  <c r="AK787" i="1"/>
  <c r="AJ787" i="1"/>
  <c r="AI787" i="1"/>
  <c r="AH787" i="1"/>
  <c r="AG787" i="1"/>
  <c r="AF787" i="1"/>
  <c r="AE787" i="1"/>
  <c r="AD787" i="1"/>
  <c r="AC787" i="1"/>
  <c r="AB787" i="1"/>
  <c r="Z787" i="1"/>
  <c r="W787" i="1"/>
  <c r="X787" i="1" s="1"/>
  <c r="V787" i="1"/>
  <c r="T787" i="1"/>
  <c r="R787" i="1"/>
  <c r="Q787" i="1" a="1"/>
  <c r="Q787" i="1" s="1"/>
  <c r="P787" i="1"/>
  <c r="N787" i="1"/>
  <c r="L787" i="1"/>
  <c r="K787" i="1" a="1"/>
  <c r="K787" i="1" s="1"/>
  <c r="U787" i="1" s="1"/>
  <c r="J787" i="1" a="1"/>
  <c r="J787" i="1" s="1"/>
  <c r="H787" i="1" a="1"/>
  <c r="H787" i="1" s="1"/>
  <c r="I787" i="1" s="1"/>
  <c r="S787" i="1" s="1"/>
  <c r="AV786" i="1"/>
  <c r="AD786" i="1" s="1"/>
  <c r="AU786" i="1"/>
  <c r="AC786" i="1" s="1"/>
  <c r="AT786" i="1"/>
  <c r="AB786" i="1" s="1"/>
  <c r="AS786" i="1"/>
  <c r="AA786" i="1" s="1"/>
  <c r="AO786" i="1"/>
  <c r="AN786" i="1"/>
  <c r="AM786" i="1"/>
  <c r="AL786" i="1"/>
  <c r="AK786" i="1"/>
  <c r="AJ786" i="1"/>
  <c r="AI786" i="1"/>
  <c r="AH786" i="1"/>
  <c r="AG786" i="1"/>
  <c r="AF786" i="1"/>
  <c r="AE786" i="1"/>
  <c r="Z786" i="1"/>
  <c r="W786" i="1"/>
  <c r="Y786" i="1" s="1"/>
  <c r="V786" i="1"/>
  <c r="T786" i="1"/>
  <c r="R786" i="1"/>
  <c r="Q786" i="1" a="1"/>
  <c r="Q786" i="1" s="1"/>
  <c r="P786" i="1"/>
  <c r="N786" i="1"/>
  <c r="L786" i="1"/>
  <c r="K786" i="1" a="1"/>
  <c r="K786" i="1" s="1"/>
  <c r="U786" i="1" s="1"/>
  <c r="J786" i="1" a="1"/>
  <c r="J786" i="1" s="1"/>
  <c r="H786" i="1" a="1"/>
  <c r="H786" i="1" s="1"/>
  <c r="AS785" i="1"/>
  <c r="AA785" i="1" s="1"/>
  <c r="AO785" i="1"/>
  <c r="AN785" i="1"/>
  <c r="AM785" i="1"/>
  <c r="AL785" i="1"/>
  <c r="AK785" i="1"/>
  <c r="AJ785" i="1"/>
  <c r="AI785" i="1"/>
  <c r="AH785" i="1"/>
  <c r="AG785" i="1"/>
  <c r="AF785" i="1"/>
  <c r="AE785" i="1"/>
  <c r="AD785" i="1"/>
  <c r="AC785" i="1"/>
  <c r="AB785" i="1"/>
  <c r="Z785" i="1"/>
  <c r="W785" i="1"/>
  <c r="X785" i="1" s="1"/>
  <c r="V785" i="1"/>
  <c r="T785" i="1"/>
  <c r="R785" i="1"/>
  <c r="Q785" i="1" a="1"/>
  <c r="Q785" i="1" s="1"/>
  <c r="P785" i="1"/>
  <c r="N785" i="1"/>
  <c r="L785" i="1"/>
  <c r="K785" i="1" a="1"/>
  <c r="K785" i="1" s="1"/>
  <c r="U785" i="1" s="1"/>
  <c r="J785" i="1" a="1"/>
  <c r="J785" i="1" s="1"/>
  <c r="H785" i="1" a="1"/>
  <c r="H785" i="1" s="1"/>
  <c r="I785" i="1" s="1"/>
  <c r="S785" i="1" s="1"/>
  <c r="AS784" i="1"/>
  <c r="AA784" i="1" s="1"/>
  <c r="AO784" i="1"/>
  <c r="AN784" i="1"/>
  <c r="AM784" i="1"/>
  <c r="AL784" i="1"/>
  <c r="AK784" i="1"/>
  <c r="AJ784" i="1"/>
  <c r="AI784" i="1"/>
  <c r="AH784" i="1"/>
  <c r="AG784" i="1"/>
  <c r="AF784" i="1"/>
  <c r="AE784" i="1"/>
  <c r="AD784" i="1"/>
  <c r="AC784" i="1"/>
  <c r="AB784" i="1"/>
  <c r="Z784" i="1"/>
  <c r="W784" i="1"/>
  <c r="Y784" i="1" s="1"/>
  <c r="V784" i="1"/>
  <c r="T784" i="1"/>
  <c r="R784" i="1"/>
  <c r="Q784" i="1" a="1"/>
  <c r="Q784" i="1" s="1"/>
  <c r="P784" i="1"/>
  <c r="N784" i="1"/>
  <c r="L784" i="1"/>
  <c r="K784" i="1" a="1"/>
  <c r="K784" i="1" s="1"/>
  <c r="U784" i="1" s="1"/>
  <c r="J784" i="1" a="1"/>
  <c r="J784" i="1" s="1"/>
  <c r="H784" i="1" a="1"/>
  <c r="H784" i="1" s="1"/>
  <c r="I784" i="1" s="1"/>
  <c r="S784" i="1" s="1"/>
  <c r="AS783" i="1"/>
  <c r="AA783" i="1" s="1"/>
  <c r="AO783" i="1"/>
  <c r="AN783" i="1"/>
  <c r="AM783" i="1"/>
  <c r="AL783" i="1"/>
  <c r="AK783" i="1"/>
  <c r="AJ783" i="1"/>
  <c r="AI783" i="1"/>
  <c r="AH783" i="1"/>
  <c r="AG783" i="1"/>
  <c r="AF783" i="1"/>
  <c r="AE783" i="1"/>
  <c r="AD783" i="1"/>
  <c r="AC783" i="1"/>
  <c r="AB783" i="1"/>
  <c r="Z783" i="1"/>
  <c r="W783" i="1"/>
  <c r="Y783" i="1" s="1"/>
  <c r="V783" i="1"/>
  <c r="T783" i="1"/>
  <c r="R783" i="1"/>
  <c r="Q783" i="1" a="1"/>
  <c r="Q783" i="1" s="1"/>
  <c r="P783" i="1"/>
  <c r="N783" i="1"/>
  <c r="L783" i="1"/>
  <c r="K783" i="1" a="1"/>
  <c r="K783" i="1" s="1"/>
  <c r="U783" i="1" s="1"/>
  <c r="J783" i="1" a="1"/>
  <c r="J783" i="1" s="1"/>
  <c r="H783" i="1" a="1"/>
  <c r="H783" i="1" s="1"/>
  <c r="AS782" i="1"/>
  <c r="AA782" i="1" s="1"/>
  <c r="AO782" i="1"/>
  <c r="AN782" i="1"/>
  <c r="AM782" i="1"/>
  <c r="AL782" i="1"/>
  <c r="AK782" i="1"/>
  <c r="AJ782" i="1"/>
  <c r="AI782" i="1"/>
  <c r="AH782" i="1"/>
  <c r="AG782" i="1"/>
  <c r="AF782" i="1"/>
  <c r="AE782" i="1"/>
  <c r="AD782" i="1"/>
  <c r="AC782" i="1"/>
  <c r="AB782" i="1"/>
  <c r="Z782" i="1"/>
  <c r="W782" i="1"/>
  <c r="Y782" i="1" s="1"/>
  <c r="V782" i="1"/>
  <c r="T782" i="1"/>
  <c r="R782" i="1"/>
  <c r="Q782" i="1" a="1"/>
  <c r="Q782" i="1" s="1"/>
  <c r="P782" i="1"/>
  <c r="N782" i="1"/>
  <c r="L782" i="1"/>
  <c r="K782" i="1" a="1"/>
  <c r="K782" i="1" s="1"/>
  <c r="U782" i="1" s="1"/>
  <c r="J782" i="1" a="1"/>
  <c r="J782" i="1" s="1"/>
  <c r="H782" i="1" a="1"/>
  <c r="H782" i="1" s="1"/>
  <c r="AS781" i="1"/>
  <c r="AA781" i="1" s="1"/>
  <c r="AO781" i="1"/>
  <c r="AN781" i="1"/>
  <c r="AM781" i="1"/>
  <c r="AL781" i="1"/>
  <c r="AK781" i="1"/>
  <c r="AJ781" i="1"/>
  <c r="AI781" i="1"/>
  <c r="AH781" i="1"/>
  <c r="AG781" i="1"/>
  <c r="AF781" i="1"/>
  <c r="AE781" i="1"/>
  <c r="AD781" i="1"/>
  <c r="AC781" i="1"/>
  <c r="AB781" i="1"/>
  <c r="Z781" i="1"/>
  <c r="W781" i="1"/>
  <c r="X781" i="1" s="1"/>
  <c r="V781" i="1"/>
  <c r="T781" i="1"/>
  <c r="R781" i="1"/>
  <c r="Q781" i="1" a="1"/>
  <c r="Q781" i="1" s="1"/>
  <c r="P781" i="1"/>
  <c r="N781" i="1"/>
  <c r="L781" i="1"/>
  <c r="K781" i="1" a="1"/>
  <c r="K781" i="1" s="1"/>
  <c r="U781" i="1" s="1"/>
  <c r="J781" i="1" a="1"/>
  <c r="J781" i="1" s="1"/>
  <c r="H781" i="1" a="1"/>
  <c r="H781" i="1" s="1"/>
  <c r="I781" i="1" s="1"/>
  <c r="S781" i="1" s="1"/>
  <c r="AS780" i="1"/>
  <c r="AA780" i="1" s="1"/>
  <c r="AO780" i="1"/>
  <c r="AN780" i="1"/>
  <c r="AM780" i="1"/>
  <c r="AL780" i="1"/>
  <c r="AK780" i="1"/>
  <c r="AJ780" i="1"/>
  <c r="AI780" i="1"/>
  <c r="AH780" i="1"/>
  <c r="AG780" i="1"/>
  <c r="AF780" i="1"/>
  <c r="AE780" i="1"/>
  <c r="AD780" i="1"/>
  <c r="AC780" i="1"/>
  <c r="AB780" i="1"/>
  <c r="Z780" i="1"/>
  <c r="W780" i="1"/>
  <c r="Y780" i="1" s="1"/>
  <c r="V780" i="1"/>
  <c r="T780" i="1"/>
  <c r="R780" i="1"/>
  <c r="Q780" i="1" a="1"/>
  <c r="Q780" i="1" s="1"/>
  <c r="P780" i="1"/>
  <c r="N780" i="1"/>
  <c r="L780" i="1"/>
  <c r="K780" i="1" a="1"/>
  <c r="K780" i="1" s="1"/>
  <c r="U780" i="1" s="1"/>
  <c r="J780" i="1" a="1"/>
  <c r="J780" i="1" s="1"/>
  <c r="H780" i="1" a="1"/>
  <c r="H780" i="1" s="1"/>
  <c r="I780" i="1" s="1"/>
  <c r="S780" i="1" s="1"/>
  <c r="AS779" i="1"/>
  <c r="AA779" i="1" s="1"/>
  <c r="AO779" i="1"/>
  <c r="AN779" i="1"/>
  <c r="AM779" i="1"/>
  <c r="AL779" i="1"/>
  <c r="AK779" i="1"/>
  <c r="AJ779" i="1"/>
  <c r="AI779" i="1"/>
  <c r="AH779" i="1"/>
  <c r="AG779" i="1"/>
  <c r="AF779" i="1"/>
  <c r="AE779" i="1"/>
  <c r="AD779" i="1"/>
  <c r="AC779" i="1"/>
  <c r="AB779" i="1"/>
  <c r="Z779" i="1"/>
  <c r="W779" i="1"/>
  <c r="Y779" i="1" s="1"/>
  <c r="V779" i="1"/>
  <c r="T779" i="1"/>
  <c r="R779" i="1"/>
  <c r="Q779" i="1" a="1"/>
  <c r="Q779" i="1" s="1"/>
  <c r="P779" i="1"/>
  <c r="N779" i="1"/>
  <c r="L779" i="1"/>
  <c r="K779" i="1" a="1"/>
  <c r="K779" i="1" s="1"/>
  <c r="U779" i="1" s="1"/>
  <c r="J779" i="1" a="1"/>
  <c r="J779" i="1" s="1"/>
  <c r="H779" i="1" a="1"/>
  <c r="H779" i="1" s="1"/>
  <c r="AS778" i="1"/>
  <c r="AA778" i="1" s="1"/>
  <c r="AO778" i="1"/>
  <c r="AN778" i="1"/>
  <c r="AM778" i="1"/>
  <c r="AL778" i="1"/>
  <c r="AK778" i="1"/>
  <c r="AJ778" i="1"/>
  <c r="AI778" i="1"/>
  <c r="AH778" i="1"/>
  <c r="AG778" i="1"/>
  <c r="AF778" i="1"/>
  <c r="AE778" i="1"/>
  <c r="AD778" i="1"/>
  <c r="AC778" i="1"/>
  <c r="AB778" i="1"/>
  <c r="Z778" i="1"/>
  <c r="W778" i="1"/>
  <c r="Y778" i="1" s="1"/>
  <c r="V778" i="1"/>
  <c r="T778" i="1"/>
  <c r="R778" i="1"/>
  <c r="Q778" i="1" a="1"/>
  <c r="Q778" i="1" s="1"/>
  <c r="P778" i="1"/>
  <c r="N778" i="1"/>
  <c r="L778" i="1"/>
  <c r="K778" i="1" a="1"/>
  <c r="K778" i="1" s="1"/>
  <c r="U778" i="1" s="1"/>
  <c r="J778" i="1" a="1"/>
  <c r="J778" i="1" s="1"/>
  <c r="H778" i="1" a="1"/>
  <c r="H778" i="1" s="1"/>
  <c r="AS777" i="1"/>
  <c r="AA777" i="1" s="1"/>
  <c r="AO777" i="1"/>
  <c r="AN777" i="1"/>
  <c r="AM777" i="1"/>
  <c r="AL777" i="1"/>
  <c r="AK777" i="1"/>
  <c r="AJ777" i="1"/>
  <c r="AI777" i="1"/>
  <c r="AH777" i="1"/>
  <c r="AG777" i="1"/>
  <c r="AF777" i="1"/>
  <c r="AE777" i="1"/>
  <c r="AD777" i="1"/>
  <c r="AC777" i="1"/>
  <c r="AB777" i="1"/>
  <c r="Z777" i="1"/>
  <c r="W777" i="1"/>
  <c r="X777" i="1" s="1"/>
  <c r="V777" i="1"/>
  <c r="T777" i="1"/>
  <c r="R777" i="1"/>
  <c r="Q777" i="1" a="1"/>
  <c r="Q777" i="1" s="1"/>
  <c r="P777" i="1"/>
  <c r="N777" i="1"/>
  <c r="L777" i="1"/>
  <c r="K777" i="1" a="1"/>
  <c r="K777" i="1" s="1"/>
  <c r="U777" i="1" s="1"/>
  <c r="J777" i="1" a="1"/>
  <c r="J777" i="1" s="1"/>
  <c r="H777" i="1" a="1"/>
  <c r="H777" i="1" s="1"/>
  <c r="I777" i="1" s="1"/>
  <c r="S777" i="1" s="1"/>
  <c r="AS776" i="1"/>
  <c r="AA776" i="1" s="1"/>
  <c r="AO776" i="1"/>
  <c r="AN776" i="1"/>
  <c r="AM776" i="1"/>
  <c r="AL776" i="1"/>
  <c r="AK776" i="1"/>
  <c r="AJ776" i="1"/>
  <c r="AI776" i="1"/>
  <c r="AH776" i="1"/>
  <c r="AG776" i="1"/>
  <c r="AF776" i="1"/>
  <c r="AE776" i="1"/>
  <c r="AD776" i="1"/>
  <c r="AC776" i="1"/>
  <c r="AB776" i="1"/>
  <c r="Z776" i="1"/>
  <c r="W776" i="1"/>
  <c r="Y776" i="1" s="1"/>
  <c r="V776" i="1"/>
  <c r="T776" i="1"/>
  <c r="R776" i="1"/>
  <c r="Q776" i="1" a="1"/>
  <c r="Q776" i="1" s="1"/>
  <c r="P776" i="1"/>
  <c r="N776" i="1"/>
  <c r="L776" i="1"/>
  <c r="K776" i="1" a="1"/>
  <c r="K776" i="1" s="1"/>
  <c r="U776" i="1" s="1"/>
  <c r="J776" i="1" a="1"/>
  <c r="J776" i="1" s="1"/>
  <c r="H776" i="1" a="1"/>
  <c r="H776" i="1" s="1"/>
  <c r="I776" i="1" s="1"/>
  <c r="S776" i="1" s="1"/>
  <c r="AS775" i="1"/>
  <c r="AA775" i="1" s="1"/>
  <c r="AO775" i="1"/>
  <c r="AN775" i="1"/>
  <c r="AM775" i="1"/>
  <c r="AL775" i="1"/>
  <c r="AK775" i="1"/>
  <c r="AJ775" i="1"/>
  <c r="AI775" i="1"/>
  <c r="AH775" i="1"/>
  <c r="AG775" i="1"/>
  <c r="AF775" i="1"/>
  <c r="AE775" i="1"/>
  <c r="AD775" i="1"/>
  <c r="AC775" i="1"/>
  <c r="AB775" i="1"/>
  <c r="Z775" i="1"/>
  <c r="W775" i="1"/>
  <c r="Y775" i="1" s="1"/>
  <c r="V775" i="1"/>
  <c r="T775" i="1"/>
  <c r="R775" i="1"/>
  <c r="Q775" i="1" a="1"/>
  <c r="Q775" i="1" s="1"/>
  <c r="P775" i="1"/>
  <c r="N775" i="1"/>
  <c r="L775" i="1"/>
  <c r="K775" i="1" a="1"/>
  <c r="K775" i="1" s="1"/>
  <c r="U775" i="1" s="1"/>
  <c r="J775" i="1" a="1"/>
  <c r="J775" i="1" s="1"/>
  <c r="H775" i="1" a="1"/>
  <c r="H775" i="1" s="1"/>
  <c r="AS774" i="1"/>
  <c r="AA774" i="1" s="1"/>
  <c r="AO774" i="1"/>
  <c r="AN774" i="1"/>
  <c r="AM774" i="1"/>
  <c r="AL774" i="1"/>
  <c r="AK774" i="1"/>
  <c r="AJ774" i="1"/>
  <c r="AI774" i="1"/>
  <c r="AH774" i="1"/>
  <c r="AG774" i="1"/>
  <c r="AF774" i="1"/>
  <c r="AE774" i="1"/>
  <c r="AD774" i="1"/>
  <c r="AC774" i="1"/>
  <c r="AB774" i="1"/>
  <c r="Z774" i="1"/>
  <c r="W774" i="1"/>
  <c r="Y774" i="1" s="1"/>
  <c r="V774" i="1"/>
  <c r="T774" i="1"/>
  <c r="R774" i="1"/>
  <c r="Q774" i="1" a="1"/>
  <c r="Q774" i="1" s="1"/>
  <c r="P774" i="1"/>
  <c r="N774" i="1"/>
  <c r="L774" i="1"/>
  <c r="K774" i="1" a="1"/>
  <c r="K774" i="1" s="1"/>
  <c r="U774" i="1" s="1"/>
  <c r="J774" i="1" a="1"/>
  <c r="J774" i="1" s="1"/>
  <c r="H774" i="1" a="1"/>
  <c r="H774" i="1" s="1"/>
  <c r="AS773" i="1"/>
  <c r="AA773" i="1" s="1"/>
  <c r="AO773" i="1"/>
  <c r="AN773" i="1"/>
  <c r="AM773" i="1"/>
  <c r="AL773" i="1"/>
  <c r="AK773" i="1"/>
  <c r="AJ773" i="1"/>
  <c r="AI773" i="1"/>
  <c r="AH773" i="1"/>
  <c r="AG773" i="1"/>
  <c r="AF773" i="1"/>
  <c r="AE773" i="1"/>
  <c r="AD773" i="1"/>
  <c r="AC773" i="1"/>
  <c r="AB773" i="1"/>
  <c r="Z773" i="1"/>
  <c r="W773" i="1"/>
  <c r="X773" i="1" s="1"/>
  <c r="V773" i="1"/>
  <c r="T773" i="1"/>
  <c r="R773" i="1"/>
  <c r="Q773" i="1" a="1"/>
  <c r="Q773" i="1" s="1"/>
  <c r="P773" i="1"/>
  <c r="N773" i="1"/>
  <c r="L773" i="1"/>
  <c r="K773" i="1" a="1"/>
  <c r="K773" i="1" s="1"/>
  <c r="U773" i="1" s="1"/>
  <c r="J773" i="1" a="1"/>
  <c r="J773" i="1" s="1"/>
  <c r="H773" i="1" a="1"/>
  <c r="H773" i="1" s="1"/>
  <c r="AS772" i="1"/>
  <c r="AA772" i="1" s="1"/>
  <c r="AO772" i="1"/>
  <c r="AN772" i="1"/>
  <c r="AM772" i="1"/>
  <c r="AL772" i="1"/>
  <c r="AK772" i="1"/>
  <c r="AJ772" i="1"/>
  <c r="AI772" i="1"/>
  <c r="AH772" i="1"/>
  <c r="AG772" i="1"/>
  <c r="AF772" i="1"/>
  <c r="AE772" i="1"/>
  <c r="AD772" i="1"/>
  <c r="AC772" i="1"/>
  <c r="AB772" i="1"/>
  <c r="Z772" i="1"/>
  <c r="W772" i="1"/>
  <c r="Y772" i="1" s="1"/>
  <c r="V772" i="1"/>
  <c r="T772" i="1"/>
  <c r="R772" i="1"/>
  <c r="Q772" i="1" a="1"/>
  <c r="Q772" i="1" s="1"/>
  <c r="P772" i="1"/>
  <c r="N772" i="1"/>
  <c r="L772" i="1"/>
  <c r="K772" i="1" a="1"/>
  <c r="K772" i="1" s="1"/>
  <c r="U772" i="1" s="1"/>
  <c r="J772" i="1" a="1"/>
  <c r="J772" i="1" s="1"/>
  <c r="H772" i="1" a="1"/>
  <c r="H772" i="1" s="1"/>
  <c r="I772" i="1" s="1"/>
  <c r="S772" i="1" s="1"/>
  <c r="AW771" i="1"/>
  <c r="AE771" i="1" s="1"/>
  <c r="AV771" i="1"/>
  <c r="AD771" i="1" s="1"/>
  <c r="AU771" i="1"/>
  <c r="AC771" i="1" s="1"/>
  <c r="AT771" i="1"/>
  <c r="AB771" i="1" s="1"/>
  <c r="AS771" i="1"/>
  <c r="AA771" i="1" s="1"/>
  <c r="AO771" i="1"/>
  <c r="AN771" i="1"/>
  <c r="AM771" i="1"/>
  <c r="AL771" i="1"/>
  <c r="AK771" i="1"/>
  <c r="AJ771" i="1"/>
  <c r="AI771" i="1"/>
  <c r="AH771" i="1"/>
  <c r="AG771" i="1"/>
  <c r="AF771" i="1"/>
  <c r="Z771" i="1"/>
  <c r="W771" i="1"/>
  <c r="Y771" i="1" s="1"/>
  <c r="V771" i="1"/>
  <c r="T771" i="1"/>
  <c r="R771" i="1"/>
  <c r="Q771" i="1" a="1"/>
  <c r="Q771" i="1" s="1"/>
  <c r="P771" i="1"/>
  <c r="N771" i="1"/>
  <c r="L771" i="1"/>
  <c r="K771" i="1" a="1"/>
  <c r="K771" i="1" s="1"/>
  <c r="U771" i="1" s="1"/>
  <c r="J771" i="1" a="1"/>
  <c r="J771" i="1" s="1"/>
  <c r="H771" i="1" a="1"/>
  <c r="H771" i="1" s="1"/>
  <c r="AS770" i="1"/>
  <c r="AA770" i="1" s="1"/>
  <c r="AO770" i="1"/>
  <c r="AN770" i="1"/>
  <c r="AM770" i="1"/>
  <c r="AL770" i="1"/>
  <c r="AK770" i="1"/>
  <c r="AJ770" i="1"/>
  <c r="AI770" i="1"/>
  <c r="AH770" i="1"/>
  <c r="AG770" i="1"/>
  <c r="AF770" i="1"/>
  <c r="AE770" i="1"/>
  <c r="AD770" i="1"/>
  <c r="AC770" i="1"/>
  <c r="AB770" i="1"/>
  <c r="Z770" i="1"/>
  <c r="W770" i="1"/>
  <c r="Y770" i="1" s="1"/>
  <c r="V770" i="1"/>
  <c r="T770" i="1"/>
  <c r="R770" i="1"/>
  <c r="Q770" i="1" a="1"/>
  <c r="Q770" i="1" s="1"/>
  <c r="P770" i="1"/>
  <c r="N770" i="1"/>
  <c r="L770" i="1"/>
  <c r="K770" i="1" a="1"/>
  <c r="K770" i="1" s="1"/>
  <c r="U770" i="1" s="1"/>
  <c r="J770" i="1" a="1"/>
  <c r="J770" i="1" s="1"/>
  <c r="H770" i="1" a="1"/>
  <c r="H770" i="1" s="1"/>
  <c r="AS769" i="1"/>
  <c r="AA769" i="1" s="1"/>
  <c r="AO769" i="1"/>
  <c r="AN769" i="1"/>
  <c r="AM769" i="1"/>
  <c r="AL769" i="1"/>
  <c r="AK769" i="1"/>
  <c r="AJ769" i="1"/>
  <c r="AI769" i="1"/>
  <c r="AH769" i="1"/>
  <c r="AG769" i="1"/>
  <c r="AF769" i="1"/>
  <c r="AE769" i="1"/>
  <c r="AD769" i="1"/>
  <c r="AC769" i="1"/>
  <c r="AB769" i="1"/>
  <c r="Z769" i="1"/>
  <c r="W769" i="1"/>
  <c r="X769" i="1" s="1"/>
  <c r="V769" i="1"/>
  <c r="T769" i="1"/>
  <c r="R769" i="1"/>
  <c r="Q769" i="1" a="1"/>
  <c r="Q769" i="1" s="1"/>
  <c r="P769" i="1"/>
  <c r="N769" i="1"/>
  <c r="L769" i="1"/>
  <c r="K769" i="1" a="1"/>
  <c r="K769" i="1" s="1"/>
  <c r="U769" i="1" s="1"/>
  <c r="J769" i="1" a="1"/>
  <c r="J769" i="1" s="1"/>
  <c r="H769" i="1" a="1"/>
  <c r="H769" i="1" s="1"/>
  <c r="I769" i="1" s="1"/>
  <c r="S769" i="1" s="1"/>
  <c r="AS768" i="1"/>
  <c r="AA768" i="1" s="1"/>
  <c r="AO768" i="1"/>
  <c r="AN768" i="1"/>
  <c r="AM768" i="1"/>
  <c r="AL768" i="1"/>
  <c r="AK768" i="1"/>
  <c r="AJ768" i="1"/>
  <c r="AI768" i="1"/>
  <c r="AH768" i="1"/>
  <c r="AG768" i="1"/>
  <c r="AF768" i="1"/>
  <c r="AE768" i="1"/>
  <c r="AD768" i="1"/>
  <c r="AC768" i="1"/>
  <c r="AB768" i="1"/>
  <c r="Z768" i="1"/>
  <c r="W768" i="1"/>
  <c r="Y768" i="1" s="1"/>
  <c r="V768" i="1"/>
  <c r="T768" i="1"/>
  <c r="R768" i="1"/>
  <c r="Q768" i="1" a="1"/>
  <c r="Q768" i="1" s="1"/>
  <c r="P768" i="1"/>
  <c r="N768" i="1"/>
  <c r="L768" i="1"/>
  <c r="K768" i="1" a="1"/>
  <c r="K768" i="1" s="1"/>
  <c r="U768" i="1" s="1"/>
  <c r="J768" i="1" a="1"/>
  <c r="J768" i="1" s="1"/>
  <c r="H768" i="1" a="1"/>
  <c r="H768" i="1" s="1"/>
  <c r="I768" i="1" s="1"/>
  <c r="S768" i="1" s="1"/>
  <c r="AS767" i="1"/>
  <c r="AA767" i="1" s="1"/>
  <c r="AO767" i="1"/>
  <c r="AN767" i="1"/>
  <c r="AM767" i="1"/>
  <c r="AL767" i="1"/>
  <c r="AK767" i="1"/>
  <c r="AJ767" i="1"/>
  <c r="AI767" i="1"/>
  <c r="AH767" i="1"/>
  <c r="AG767" i="1"/>
  <c r="AF767" i="1"/>
  <c r="AE767" i="1"/>
  <c r="AD767" i="1"/>
  <c r="AC767" i="1"/>
  <c r="AB767" i="1"/>
  <c r="Z767" i="1"/>
  <c r="W767" i="1"/>
  <c r="V767" i="1"/>
  <c r="T767" i="1"/>
  <c r="R767" i="1"/>
  <c r="Q767" i="1" a="1"/>
  <c r="Q767" i="1" s="1"/>
  <c r="P767" i="1"/>
  <c r="N767" i="1"/>
  <c r="L767" i="1"/>
  <c r="K767" i="1" a="1"/>
  <c r="K767" i="1" s="1"/>
  <c r="U767" i="1" s="1"/>
  <c r="J767" i="1" a="1"/>
  <c r="J767" i="1" s="1"/>
  <c r="H767" i="1" a="1"/>
  <c r="H767" i="1" s="1"/>
  <c r="AS766" i="1"/>
  <c r="AA766" i="1" s="1"/>
  <c r="AO766" i="1"/>
  <c r="AN766" i="1"/>
  <c r="AM766" i="1"/>
  <c r="AL766" i="1"/>
  <c r="AK766" i="1"/>
  <c r="AJ766" i="1"/>
  <c r="AI766" i="1"/>
  <c r="AH766" i="1"/>
  <c r="AG766" i="1"/>
  <c r="AF766" i="1"/>
  <c r="AE766" i="1"/>
  <c r="AD766" i="1"/>
  <c r="AC766" i="1"/>
  <c r="AB766" i="1"/>
  <c r="Z766" i="1"/>
  <c r="W766" i="1"/>
  <c r="Y766" i="1" s="1"/>
  <c r="V766" i="1"/>
  <c r="T766" i="1"/>
  <c r="R766" i="1"/>
  <c r="Q766" i="1" a="1"/>
  <c r="Q766" i="1" s="1"/>
  <c r="P766" i="1"/>
  <c r="N766" i="1"/>
  <c r="L766" i="1"/>
  <c r="K766" i="1" a="1"/>
  <c r="K766" i="1" s="1"/>
  <c r="U766" i="1" s="1"/>
  <c r="J766" i="1" a="1"/>
  <c r="J766" i="1" s="1"/>
  <c r="H766" i="1" a="1"/>
  <c r="H766" i="1" s="1"/>
  <c r="AS765" i="1"/>
  <c r="AA765" i="1" s="1"/>
  <c r="AO765" i="1"/>
  <c r="AN765" i="1"/>
  <c r="AM765" i="1"/>
  <c r="AL765" i="1"/>
  <c r="AK765" i="1"/>
  <c r="AJ765" i="1"/>
  <c r="AI765" i="1"/>
  <c r="AH765" i="1"/>
  <c r="AG765" i="1"/>
  <c r="AF765" i="1"/>
  <c r="AE765" i="1"/>
  <c r="AD765" i="1"/>
  <c r="AC765" i="1"/>
  <c r="AB765" i="1"/>
  <c r="Z765" i="1"/>
  <c r="W765" i="1"/>
  <c r="X765" i="1" s="1"/>
  <c r="V765" i="1"/>
  <c r="T765" i="1"/>
  <c r="R765" i="1"/>
  <c r="Q765" i="1" a="1"/>
  <c r="Q765" i="1" s="1"/>
  <c r="P765" i="1"/>
  <c r="N765" i="1"/>
  <c r="L765" i="1"/>
  <c r="K765" i="1" a="1"/>
  <c r="K765" i="1" s="1"/>
  <c r="U765" i="1" s="1"/>
  <c r="J765" i="1" a="1"/>
  <c r="J765" i="1" s="1"/>
  <c r="H765" i="1" a="1"/>
  <c r="H765" i="1" s="1"/>
  <c r="AS764" i="1"/>
  <c r="AA764" i="1" s="1"/>
  <c r="AO764" i="1"/>
  <c r="AN764" i="1"/>
  <c r="AM764" i="1"/>
  <c r="AL764" i="1"/>
  <c r="AK764" i="1"/>
  <c r="AJ764" i="1"/>
  <c r="AI764" i="1"/>
  <c r="AH764" i="1"/>
  <c r="AG764" i="1"/>
  <c r="AF764" i="1"/>
  <c r="AE764" i="1"/>
  <c r="AD764" i="1"/>
  <c r="AC764" i="1"/>
  <c r="AB764" i="1"/>
  <c r="Z764" i="1"/>
  <c r="W764" i="1"/>
  <c r="X764" i="1" s="1"/>
  <c r="V764" i="1"/>
  <c r="T764" i="1"/>
  <c r="R764" i="1"/>
  <c r="Q764" i="1" a="1"/>
  <c r="Q764" i="1" s="1"/>
  <c r="P764" i="1"/>
  <c r="N764" i="1"/>
  <c r="L764" i="1"/>
  <c r="K764" i="1" a="1"/>
  <c r="K764" i="1" s="1"/>
  <c r="U764" i="1" s="1"/>
  <c r="J764" i="1" a="1"/>
  <c r="J764" i="1" s="1"/>
  <c r="H764" i="1" a="1"/>
  <c r="H764" i="1" s="1"/>
  <c r="I764" i="1" s="1"/>
  <c r="S764" i="1" s="1"/>
  <c r="AS763" i="1"/>
  <c r="AA763" i="1" s="1"/>
  <c r="AO763" i="1"/>
  <c r="AN763" i="1"/>
  <c r="AM763" i="1"/>
  <c r="AL763" i="1"/>
  <c r="AK763" i="1"/>
  <c r="AJ763" i="1"/>
  <c r="AI763" i="1"/>
  <c r="AH763" i="1"/>
  <c r="AG763" i="1"/>
  <c r="AF763" i="1"/>
  <c r="AE763" i="1"/>
  <c r="AD763" i="1"/>
  <c r="AC763" i="1"/>
  <c r="AB763" i="1"/>
  <c r="Z763" i="1"/>
  <c r="W763" i="1"/>
  <c r="Y763" i="1" s="1"/>
  <c r="V763" i="1"/>
  <c r="T763" i="1"/>
  <c r="R763" i="1"/>
  <c r="Q763" i="1" a="1"/>
  <c r="Q763" i="1" s="1"/>
  <c r="P763" i="1"/>
  <c r="N763" i="1"/>
  <c r="L763" i="1"/>
  <c r="K763" i="1" a="1"/>
  <c r="K763" i="1" s="1"/>
  <c r="U763" i="1" s="1"/>
  <c r="J763" i="1" a="1"/>
  <c r="J763" i="1" s="1"/>
  <c r="H763" i="1" a="1"/>
  <c r="H763" i="1" s="1"/>
  <c r="AS762" i="1"/>
  <c r="AA762" i="1" s="1"/>
  <c r="AO762" i="1"/>
  <c r="AN762" i="1"/>
  <c r="AM762" i="1"/>
  <c r="AL762" i="1"/>
  <c r="AK762" i="1"/>
  <c r="AJ762" i="1"/>
  <c r="AI762" i="1"/>
  <c r="AH762" i="1"/>
  <c r="AG762" i="1"/>
  <c r="AF762" i="1"/>
  <c r="AE762" i="1"/>
  <c r="AD762" i="1"/>
  <c r="AC762" i="1"/>
  <c r="AB762" i="1"/>
  <c r="Z762" i="1"/>
  <c r="W762" i="1"/>
  <c r="Y762" i="1" s="1"/>
  <c r="V762" i="1"/>
  <c r="T762" i="1"/>
  <c r="R762" i="1"/>
  <c r="Q762" i="1" a="1"/>
  <c r="Q762" i="1" s="1"/>
  <c r="P762" i="1"/>
  <c r="N762" i="1"/>
  <c r="L762" i="1"/>
  <c r="K762" i="1" a="1"/>
  <c r="K762" i="1" s="1"/>
  <c r="U762" i="1" s="1"/>
  <c r="J762" i="1" a="1"/>
  <c r="J762" i="1" s="1"/>
  <c r="H762" i="1" a="1"/>
  <c r="H762" i="1" s="1"/>
  <c r="AS761" i="1"/>
  <c r="AA761" i="1" s="1"/>
  <c r="AO761" i="1"/>
  <c r="AN761" i="1"/>
  <c r="AM761" i="1"/>
  <c r="AL761" i="1"/>
  <c r="AK761" i="1"/>
  <c r="AJ761" i="1"/>
  <c r="AI761" i="1"/>
  <c r="AH761" i="1"/>
  <c r="AG761" i="1"/>
  <c r="AF761" i="1"/>
  <c r="AE761" i="1"/>
  <c r="AD761" i="1"/>
  <c r="AC761" i="1"/>
  <c r="AB761" i="1"/>
  <c r="Z761" i="1"/>
  <c r="W761" i="1"/>
  <c r="X761" i="1" s="1"/>
  <c r="V761" i="1"/>
  <c r="T761" i="1"/>
  <c r="R761" i="1"/>
  <c r="Q761" i="1" a="1"/>
  <c r="Q761" i="1" s="1"/>
  <c r="P761" i="1"/>
  <c r="N761" i="1"/>
  <c r="L761" i="1"/>
  <c r="K761" i="1" a="1"/>
  <c r="K761" i="1" s="1"/>
  <c r="U761" i="1" s="1"/>
  <c r="J761" i="1" a="1"/>
  <c r="J761" i="1" s="1"/>
  <c r="H761" i="1" a="1"/>
  <c r="H761" i="1" s="1"/>
  <c r="AS760" i="1"/>
  <c r="AA760" i="1" s="1"/>
  <c r="AO760" i="1"/>
  <c r="AN760" i="1"/>
  <c r="AM760" i="1"/>
  <c r="AL760" i="1"/>
  <c r="AK760" i="1"/>
  <c r="AJ760" i="1"/>
  <c r="AI760" i="1"/>
  <c r="AH760" i="1"/>
  <c r="AG760" i="1"/>
  <c r="AF760" i="1"/>
  <c r="AE760" i="1"/>
  <c r="AD760" i="1"/>
  <c r="AC760" i="1"/>
  <c r="AB760" i="1"/>
  <c r="Z760" i="1"/>
  <c r="W760" i="1"/>
  <c r="V760" i="1"/>
  <c r="T760" i="1"/>
  <c r="R760" i="1"/>
  <c r="Q760" i="1" a="1"/>
  <c r="Q760" i="1" s="1"/>
  <c r="P760" i="1"/>
  <c r="N760" i="1"/>
  <c r="L760" i="1"/>
  <c r="K760" i="1" a="1"/>
  <c r="K760" i="1" s="1"/>
  <c r="U760" i="1" s="1"/>
  <c r="J760" i="1" a="1"/>
  <c r="J760" i="1" s="1"/>
  <c r="H760" i="1" a="1"/>
  <c r="H760" i="1" s="1"/>
  <c r="AS759" i="1"/>
  <c r="AA759" i="1" s="1"/>
  <c r="AO759" i="1"/>
  <c r="AN759" i="1"/>
  <c r="AM759" i="1"/>
  <c r="AL759" i="1"/>
  <c r="AK759" i="1"/>
  <c r="AJ759" i="1"/>
  <c r="AI759" i="1"/>
  <c r="AH759" i="1"/>
  <c r="AG759" i="1"/>
  <c r="AF759" i="1"/>
  <c r="AE759" i="1"/>
  <c r="AD759" i="1"/>
  <c r="AC759" i="1"/>
  <c r="AB759" i="1"/>
  <c r="Z759" i="1"/>
  <c r="W759" i="1"/>
  <c r="Y759" i="1" s="1"/>
  <c r="V759" i="1"/>
  <c r="T759" i="1"/>
  <c r="R759" i="1"/>
  <c r="Q759" i="1" a="1"/>
  <c r="Q759" i="1" s="1"/>
  <c r="P759" i="1"/>
  <c r="N759" i="1"/>
  <c r="L759" i="1"/>
  <c r="K759" i="1" a="1"/>
  <c r="K759" i="1" s="1"/>
  <c r="U759" i="1" s="1"/>
  <c r="J759" i="1" a="1"/>
  <c r="J759" i="1" s="1"/>
  <c r="H759" i="1" a="1"/>
  <c r="H759" i="1" s="1"/>
  <c r="I759" i="1" s="1"/>
  <c r="S759" i="1" s="1"/>
  <c r="AS758" i="1"/>
  <c r="AA758" i="1" s="1"/>
  <c r="AO758" i="1"/>
  <c r="AN758" i="1"/>
  <c r="AM758" i="1"/>
  <c r="AL758" i="1"/>
  <c r="AK758" i="1"/>
  <c r="AJ758" i="1"/>
  <c r="AI758" i="1"/>
  <c r="AH758" i="1"/>
  <c r="AG758" i="1"/>
  <c r="AF758" i="1"/>
  <c r="AE758" i="1"/>
  <c r="AD758" i="1"/>
  <c r="AC758" i="1"/>
  <c r="AB758" i="1"/>
  <c r="Z758" i="1"/>
  <c r="W758" i="1"/>
  <c r="V758" i="1"/>
  <c r="T758" i="1"/>
  <c r="R758" i="1"/>
  <c r="Q758" i="1" a="1"/>
  <c r="Q758" i="1" s="1"/>
  <c r="P758" i="1"/>
  <c r="N758" i="1"/>
  <c r="L758" i="1"/>
  <c r="K758" i="1" a="1"/>
  <c r="K758" i="1" s="1"/>
  <c r="U758" i="1" s="1"/>
  <c r="J758" i="1" a="1"/>
  <c r="J758" i="1" s="1"/>
  <c r="H758" i="1" a="1"/>
  <c r="H758" i="1" s="1"/>
  <c r="AS757" i="1"/>
  <c r="AA757" i="1" s="1"/>
  <c r="AO757" i="1"/>
  <c r="AN757" i="1"/>
  <c r="AM757" i="1"/>
  <c r="AL757" i="1"/>
  <c r="AK757" i="1"/>
  <c r="AJ757" i="1"/>
  <c r="AI757" i="1"/>
  <c r="AH757" i="1"/>
  <c r="AG757" i="1"/>
  <c r="AF757" i="1"/>
  <c r="AE757" i="1"/>
  <c r="AD757" i="1"/>
  <c r="AC757" i="1"/>
  <c r="AB757" i="1"/>
  <c r="Z757" i="1"/>
  <c r="W757" i="1"/>
  <c r="X757" i="1" s="1"/>
  <c r="V757" i="1"/>
  <c r="R757" i="1"/>
  <c r="Q757" i="1" a="1"/>
  <c r="Q757" i="1" s="1"/>
  <c r="P757" i="1"/>
  <c r="N757" i="1"/>
  <c r="L757" i="1"/>
  <c r="K757" i="1" a="1"/>
  <c r="K757" i="1" s="1"/>
  <c r="J757" i="1" a="1"/>
  <c r="J757" i="1" s="1"/>
  <c r="H757" i="1" a="1"/>
  <c r="H757" i="1" s="1"/>
  <c r="AS756" i="1"/>
  <c r="AA756" i="1" s="1"/>
  <c r="AO756" i="1"/>
  <c r="AN756" i="1"/>
  <c r="AM756" i="1"/>
  <c r="AL756" i="1"/>
  <c r="AK756" i="1"/>
  <c r="AJ756" i="1"/>
  <c r="AI756" i="1"/>
  <c r="AH756" i="1"/>
  <c r="AG756" i="1"/>
  <c r="AF756" i="1"/>
  <c r="AE756" i="1"/>
  <c r="AD756" i="1"/>
  <c r="AC756" i="1"/>
  <c r="AB756" i="1"/>
  <c r="Z756" i="1"/>
  <c r="W756" i="1"/>
  <c r="V756" i="1"/>
  <c r="T756" i="1"/>
  <c r="R756" i="1"/>
  <c r="Q756" i="1" a="1"/>
  <c r="Q756" i="1" s="1"/>
  <c r="P756" i="1"/>
  <c r="N756" i="1"/>
  <c r="L756" i="1"/>
  <c r="K756" i="1" a="1"/>
  <c r="K756" i="1" s="1"/>
  <c r="U756" i="1" s="1"/>
  <c r="J756" i="1" a="1"/>
  <c r="J756" i="1" s="1"/>
  <c r="H756" i="1" a="1"/>
  <c r="H756" i="1" s="1"/>
  <c r="I756" i="1" s="1"/>
  <c r="S756" i="1" s="1"/>
  <c r="AS755" i="1"/>
  <c r="AA755" i="1" s="1"/>
  <c r="AO755" i="1"/>
  <c r="AN755" i="1"/>
  <c r="AM755" i="1"/>
  <c r="AL755" i="1"/>
  <c r="AK755" i="1"/>
  <c r="AJ755" i="1"/>
  <c r="AI755" i="1"/>
  <c r="AH755" i="1"/>
  <c r="AG755" i="1"/>
  <c r="AF755" i="1"/>
  <c r="AE755" i="1"/>
  <c r="AD755" i="1"/>
  <c r="AC755" i="1"/>
  <c r="AB755" i="1"/>
  <c r="Z755" i="1"/>
  <c r="W755" i="1"/>
  <c r="X755" i="1" s="1"/>
  <c r="V755" i="1"/>
  <c r="T755" i="1"/>
  <c r="R755" i="1"/>
  <c r="Q755" i="1" a="1"/>
  <c r="Q755" i="1" s="1"/>
  <c r="P755" i="1"/>
  <c r="N755" i="1"/>
  <c r="L755" i="1"/>
  <c r="K755" i="1" a="1"/>
  <c r="K755" i="1" s="1"/>
  <c r="U755" i="1" s="1"/>
  <c r="J755" i="1" a="1"/>
  <c r="J755" i="1" s="1"/>
  <c r="H755" i="1" a="1"/>
  <c r="H755" i="1" s="1"/>
  <c r="AT754" i="1"/>
  <c r="AB754" i="1" s="1"/>
  <c r="AS754" i="1"/>
  <c r="AA754" i="1" s="1"/>
  <c r="AO754" i="1"/>
  <c r="AN754" i="1"/>
  <c r="AM754" i="1"/>
  <c r="AL754" i="1"/>
  <c r="AK754" i="1"/>
  <c r="AJ754" i="1"/>
  <c r="AI754" i="1"/>
  <c r="AH754" i="1"/>
  <c r="AG754" i="1"/>
  <c r="AF754" i="1"/>
  <c r="AE754" i="1"/>
  <c r="AD754" i="1"/>
  <c r="AC754" i="1"/>
  <c r="Z754" i="1"/>
  <c r="W754" i="1"/>
  <c r="Y754" i="1" s="1"/>
  <c r="V754" i="1"/>
  <c r="T754" i="1"/>
  <c r="R754" i="1"/>
  <c r="Q754" i="1" a="1"/>
  <c r="Q754" i="1" s="1"/>
  <c r="P754" i="1"/>
  <c r="N754" i="1"/>
  <c r="L754" i="1"/>
  <c r="K754" i="1" a="1"/>
  <c r="K754" i="1" s="1"/>
  <c r="U754" i="1" s="1"/>
  <c r="J754" i="1" a="1"/>
  <c r="J754" i="1" s="1"/>
  <c r="H754" i="1" a="1"/>
  <c r="H754" i="1" s="1"/>
  <c r="AW753" i="1"/>
  <c r="AE753" i="1" s="1"/>
  <c r="AV753" i="1"/>
  <c r="AD753" i="1" s="1"/>
  <c r="AU753" i="1"/>
  <c r="AC753" i="1" s="1"/>
  <c r="AT753" i="1"/>
  <c r="AB753" i="1" s="1"/>
  <c r="AS753" i="1"/>
  <c r="AA753" i="1" s="1"/>
  <c r="AO753" i="1"/>
  <c r="AN753" i="1"/>
  <c r="AM753" i="1"/>
  <c r="AL753" i="1"/>
  <c r="AK753" i="1"/>
  <c r="AJ753" i="1"/>
  <c r="AI753" i="1"/>
  <c r="AH753" i="1"/>
  <c r="AG753" i="1"/>
  <c r="AF753" i="1"/>
  <c r="Z753" i="1"/>
  <c r="W753" i="1"/>
  <c r="Y753" i="1" s="1"/>
  <c r="V753" i="1"/>
  <c r="T753" i="1"/>
  <c r="R753" i="1"/>
  <c r="Q753" i="1" a="1"/>
  <c r="Q753" i="1" s="1"/>
  <c r="P753" i="1"/>
  <c r="N753" i="1"/>
  <c r="L753" i="1"/>
  <c r="K753" i="1" a="1"/>
  <c r="K753" i="1" s="1"/>
  <c r="U753" i="1" s="1"/>
  <c r="J753" i="1" a="1"/>
  <c r="J753" i="1" s="1"/>
  <c r="H753" i="1" a="1"/>
  <c r="H753" i="1" s="1"/>
  <c r="I753" i="1" s="1"/>
  <c r="S753" i="1" s="1"/>
  <c r="AU752" i="1"/>
  <c r="AC752" i="1" s="1"/>
  <c r="AT752" i="1"/>
  <c r="AB752" i="1" s="1"/>
  <c r="AS752" i="1"/>
  <c r="AA752" i="1" s="1"/>
  <c r="AO752" i="1"/>
  <c r="AN752" i="1"/>
  <c r="AM752" i="1"/>
  <c r="AL752" i="1"/>
  <c r="AK752" i="1"/>
  <c r="AJ752" i="1"/>
  <c r="AI752" i="1"/>
  <c r="AH752" i="1"/>
  <c r="AG752" i="1"/>
  <c r="AF752" i="1"/>
  <c r="AE752" i="1"/>
  <c r="AD752" i="1"/>
  <c r="Z752" i="1"/>
  <c r="W752" i="1"/>
  <c r="Y752" i="1" s="1"/>
  <c r="V752" i="1"/>
  <c r="T752" i="1"/>
  <c r="R752" i="1"/>
  <c r="Q752" i="1" a="1"/>
  <c r="Q752" i="1" s="1"/>
  <c r="P752" i="1"/>
  <c r="N752" i="1"/>
  <c r="L752" i="1"/>
  <c r="K752" i="1" a="1"/>
  <c r="K752" i="1" s="1"/>
  <c r="U752" i="1" s="1"/>
  <c r="J752" i="1" a="1"/>
  <c r="J752" i="1" s="1"/>
  <c r="H752" i="1" a="1"/>
  <c r="H752" i="1" s="1"/>
  <c r="AT751" i="1"/>
  <c r="AB751" i="1" s="1"/>
  <c r="AS751" i="1"/>
  <c r="AA751" i="1" s="1"/>
  <c r="AO751" i="1"/>
  <c r="AN751" i="1"/>
  <c r="AM751" i="1"/>
  <c r="AL751" i="1"/>
  <c r="AK751" i="1"/>
  <c r="AJ751" i="1"/>
  <c r="AI751" i="1"/>
  <c r="AH751" i="1"/>
  <c r="AG751" i="1"/>
  <c r="AF751" i="1"/>
  <c r="AE751" i="1"/>
  <c r="AD751" i="1"/>
  <c r="AC751" i="1"/>
  <c r="Z751" i="1"/>
  <c r="W751" i="1"/>
  <c r="X751" i="1" s="1"/>
  <c r="V751" i="1"/>
  <c r="T751" i="1"/>
  <c r="R751" i="1"/>
  <c r="Q751" i="1" a="1"/>
  <c r="Q751" i="1" s="1"/>
  <c r="P751" i="1"/>
  <c r="N751" i="1"/>
  <c r="L751" i="1"/>
  <c r="K751" i="1" a="1"/>
  <c r="K751" i="1" s="1"/>
  <c r="U751" i="1" s="1"/>
  <c r="J751" i="1" a="1"/>
  <c r="J751" i="1" s="1"/>
  <c r="H751" i="1" a="1"/>
  <c r="H751" i="1" s="1"/>
  <c r="I751" i="1" s="1"/>
  <c r="S751" i="1" s="1"/>
  <c r="AS750" i="1"/>
  <c r="AA750" i="1" s="1"/>
  <c r="AO750" i="1"/>
  <c r="AN750" i="1"/>
  <c r="AM750" i="1"/>
  <c r="AL750" i="1"/>
  <c r="AK750" i="1"/>
  <c r="AJ750" i="1"/>
  <c r="AI750" i="1"/>
  <c r="AH750" i="1"/>
  <c r="AG750" i="1"/>
  <c r="AF750" i="1"/>
  <c r="AE750" i="1"/>
  <c r="AD750" i="1"/>
  <c r="AC750" i="1"/>
  <c r="AB750" i="1"/>
  <c r="Z750" i="1"/>
  <c r="W750" i="1"/>
  <c r="Y750" i="1" s="1"/>
  <c r="V750" i="1"/>
  <c r="T750" i="1"/>
  <c r="R750" i="1"/>
  <c r="Q750" i="1" a="1"/>
  <c r="Q750" i="1" s="1"/>
  <c r="P750" i="1"/>
  <c r="N750" i="1"/>
  <c r="L750" i="1"/>
  <c r="K750" i="1" a="1"/>
  <c r="K750" i="1" s="1"/>
  <c r="U750" i="1" s="1"/>
  <c r="J750" i="1" a="1"/>
  <c r="J750" i="1" s="1"/>
  <c r="H750" i="1" a="1"/>
  <c r="H750" i="1" s="1"/>
  <c r="I750" i="1" s="1"/>
  <c r="S750" i="1" s="1"/>
  <c r="AS749" i="1"/>
  <c r="AA749" i="1" s="1"/>
  <c r="AO749" i="1"/>
  <c r="AN749" i="1"/>
  <c r="AM749" i="1"/>
  <c r="AL749" i="1"/>
  <c r="AK749" i="1"/>
  <c r="AJ749" i="1"/>
  <c r="AI749" i="1"/>
  <c r="AH749" i="1"/>
  <c r="AG749" i="1"/>
  <c r="AF749" i="1"/>
  <c r="AE749" i="1"/>
  <c r="AD749" i="1"/>
  <c r="AC749" i="1"/>
  <c r="AB749" i="1"/>
  <c r="Z749" i="1"/>
  <c r="W749" i="1"/>
  <c r="Y749" i="1" s="1"/>
  <c r="V749" i="1"/>
  <c r="T749" i="1"/>
  <c r="R749" i="1"/>
  <c r="Q749" i="1" a="1"/>
  <c r="Q749" i="1" s="1"/>
  <c r="P749" i="1"/>
  <c r="N749" i="1"/>
  <c r="L749" i="1"/>
  <c r="K749" i="1" a="1"/>
  <c r="K749" i="1" s="1"/>
  <c r="U749" i="1" s="1"/>
  <c r="J749" i="1" a="1"/>
  <c r="J749" i="1" s="1"/>
  <c r="H749" i="1" a="1"/>
  <c r="H749" i="1" s="1"/>
  <c r="I749" i="1" s="1"/>
  <c r="S749" i="1" s="1"/>
  <c r="AS748" i="1"/>
  <c r="AA748" i="1" s="1"/>
  <c r="AO748" i="1"/>
  <c r="AN748" i="1"/>
  <c r="AM748" i="1"/>
  <c r="AL748" i="1"/>
  <c r="AK748" i="1"/>
  <c r="AJ748" i="1"/>
  <c r="AI748" i="1"/>
  <c r="AH748" i="1"/>
  <c r="AG748" i="1"/>
  <c r="AF748" i="1"/>
  <c r="AE748" i="1"/>
  <c r="AD748" i="1"/>
  <c r="AC748" i="1"/>
  <c r="AB748" i="1"/>
  <c r="Z748" i="1"/>
  <c r="W748" i="1"/>
  <c r="X748" i="1" s="1"/>
  <c r="V748" i="1"/>
  <c r="T748" i="1"/>
  <c r="R748" i="1"/>
  <c r="Q748" i="1" a="1"/>
  <c r="Q748" i="1" s="1"/>
  <c r="P748" i="1"/>
  <c r="N748" i="1"/>
  <c r="L748" i="1"/>
  <c r="K748" i="1" a="1"/>
  <c r="K748" i="1" s="1"/>
  <c r="U748" i="1" s="1"/>
  <c r="J748" i="1" a="1"/>
  <c r="J748" i="1" s="1"/>
  <c r="H748" i="1" a="1"/>
  <c r="H748" i="1" s="1"/>
  <c r="I748" i="1" s="1"/>
  <c r="S748" i="1" s="1"/>
  <c r="AS747" i="1"/>
  <c r="AA747" i="1" s="1"/>
  <c r="AO747" i="1"/>
  <c r="AN747" i="1"/>
  <c r="AM747" i="1"/>
  <c r="AL747" i="1"/>
  <c r="AK747" i="1"/>
  <c r="AJ747" i="1"/>
  <c r="AI747" i="1"/>
  <c r="AH747" i="1"/>
  <c r="AG747" i="1"/>
  <c r="AF747" i="1"/>
  <c r="AE747" i="1"/>
  <c r="AD747" i="1"/>
  <c r="AC747" i="1"/>
  <c r="AB747" i="1"/>
  <c r="Z747" i="1"/>
  <c r="W747" i="1"/>
  <c r="X747" i="1" s="1"/>
  <c r="V747" i="1"/>
  <c r="T747" i="1"/>
  <c r="R747" i="1"/>
  <c r="Q747" i="1" a="1"/>
  <c r="Q747" i="1" s="1"/>
  <c r="P747" i="1"/>
  <c r="N747" i="1"/>
  <c r="L747" i="1"/>
  <c r="K747" i="1" a="1"/>
  <c r="K747" i="1" s="1"/>
  <c r="U747" i="1" s="1"/>
  <c r="J747" i="1" a="1"/>
  <c r="J747" i="1" s="1"/>
  <c r="H747" i="1" a="1"/>
  <c r="H747" i="1" s="1"/>
  <c r="I747" i="1" s="1"/>
  <c r="S747" i="1" s="1"/>
  <c r="AS746" i="1"/>
  <c r="AA746" i="1" s="1"/>
  <c r="AO746" i="1"/>
  <c r="AN746" i="1"/>
  <c r="AM746" i="1"/>
  <c r="AL746" i="1"/>
  <c r="AK746" i="1"/>
  <c r="AJ746" i="1"/>
  <c r="AI746" i="1"/>
  <c r="AH746" i="1"/>
  <c r="AG746" i="1"/>
  <c r="AF746" i="1"/>
  <c r="AE746" i="1"/>
  <c r="AD746" i="1"/>
  <c r="AC746" i="1"/>
  <c r="AB746" i="1"/>
  <c r="Z746" i="1"/>
  <c r="W746" i="1"/>
  <c r="V746" i="1"/>
  <c r="T746" i="1"/>
  <c r="R746" i="1"/>
  <c r="Q746" i="1" a="1"/>
  <c r="Q746" i="1" s="1"/>
  <c r="P746" i="1"/>
  <c r="N746" i="1"/>
  <c r="L746" i="1"/>
  <c r="K746" i="1" a="1"/>
  <c r="K746" i="1" s="1"/>
  <c r="U746" i="1" s="1"/>
  <c r="J746" i="1" a="1"/>
  <c r="J746" i="1" s="1"/>
  <c r="H746" i="1" a="1"/>
  <c r="H746" i="1" s="1"/>
  <c r="AT745" i="1"/>
  <c r="AB745" i="1" s="1"/>
  <c r="AS745" i="1"/>
  <c r="AA745" i="1" s="1"/>
  <c r="AO745" i="1"/>
  <c r="AN745" i="1"/>
  <c r="AM745" i="1"/>
  <c r="AL745" i="1"/>
  <c r="AK745" i="1"/>
  <c r="AJ745" i="1"/>
  <c r="AI745" i="1"/>
  <c r="AH745" i="1"/>
  <c r="AG745" i="1"/>
  <c r="AF745" i="1"/>
  <c r="AE745" i="1"/>
  <c r="AD745" i="1"/>
  <c r="AC745" i="1"/>
  <c r="Z745" i="1"/>
  <c r="W745" i="1"/>
  <c r="V745" i="1"/>
  <c r="T745" i="1"/>
  <c r="R745" i="1"/>
  <c r="Q745" i="1" a="1"/>
  <c r="Q745" i="1" s="1"/>
  <c r="P745" i="1"/>
  <c r="N745" i="1"/>
  <c r="L745" i="1"/>
  <c r="K745" i="1" a="1"/>
  <c r="K745" i="1" s="1"/>
  <c r="U745" i="1" s="1"/>
  <c r="J745" i="1" a="1"/>
  <c r="J745" i="1" s="1"/>
  <c r="H745" i="1" a="1"/>
  <c r="H745" i="1" s="1"/>
  <c r="AS744" i="1"/>
  <c r="AA744" i="1" s="1"/>
  <c r="AO744" i="1"/>
  <c r="AN744" i="1"/>
  <c r="AM744" i="1"/>
  <c r="AL744" i="1"/>
  <c r="AK744" i="1"/>
  <c r="AJ744" i="1"/>
  <c r="AI744" i="1"/>
  <c r="AH744" i="1"/>
  <c r="AG744" i="1"/>
  <c r="AF744" i="1"/>
  <c r="AE744" i="1"/>
  <c r="AD744" i="1"/>
  <c r="AC744" i="1"/>
  <c r="AB744" i="1"/>
  <c r="Z744" i="1"/>
  <c r="W744" i="1"/>
  <c r="V744" i="1"/>
  <c r="T744" i="1"/>
  <c r="R744" i="1"/>
  <c r="Q744" i="1" a="1"/>
  <c r="Q744" i="1" s="1"/>
  <c r="P744" i="1"/>
  <c r="N744" i="1"/>
  <c r="L744" i="1"/>
  <c r="K744" i="1" a="1"/>
  <c r="K744" i="1" s="1"/>
  <c r="U744" i="1" s="1"/>
  <c r="J744" i="1" a="1"/>
  <c r="J744" i="1" s="1"/>
  <c r="H744" i="1" a="1"/>
  <c r="H744" i="1" s="1"/>
  <c r="AS743" i="1"/>
  <c r="AA743" i="1" s="1"/>
  <c r="AO743" i="1"/>
  <c r="AN743" i="1"/>
  <c r="AM743" i="1"/>
  <c r="AL743" i="1"/>
  <c r="AK743" i="1"/>
  <c r="AJ743" i="1"/>
  <c r="AI743" i="1"/>
  <c r="AH743" i="1"/>
  <c r="AG743" i="1"/>
  <c r="AF743" i="1"/>
  <c r="AE743" i="1"/>
  <c r="AD743" i="1"/>
  <c r="AC743" i="1"/>
  <c r="AB743" i="1"/>
  <c r="Z743" i="1"/>
  <c r="W743" i="1"/>
  <c r="Y743" i="1" s="1"/>
  <c r="V743" i="1"/>
  <c r="T743" i="1"/>
  <c r="R743" i="1"/>
  <c r="Q743" i="1" a="1"/>
  <c r="Q743" i="1" s="1"/>
  <c r="P743" i="1"/>
  <c r="N743" i="1"/>
  <c r="L743" i="1"/>
  <c r="K743" i="1" a="1"/>
  <c r="K743" i="1" s="1"/>
  <c r="U743" i="1" s="1"/>
  <c r="J743" i="1" a="1"/>
  <c r="J743" i="1" s="1"/>
  <c r="H743" i="1" a="1"/>
  <c r="H743" i="1" s="1"/>
  <c r="AS742" i="1"/>
  <c r="AA742" i="1" s="1"/>
  <c r="AO742" i="1"/>
  <c r="AN742" i="1"/>
  <c r="AM742" i="1"/>
  <c r="AL742" i="1"/>
  <c r="AK742" i="1"/>
  <c r="AJ742" i="1"/>
  <c r="AI742" i="1"/>
  <c r="AH742" i="1"/>
  <c r="AG742" i="1"/>
  <c r="AF742" i="1"/>
  <c r="AE742" i="1"/>
  <c r="AD742" i="1"/>
  <c r="AC742" i="1"/>
  <c r="AB742" i="1"/>
  <c r="Z742" i="1"/>
  <c r="W742" i="1"/>
  <c r="X742" i="1" s="1"/>
  <c r="V742" i="1"/>
  <c r="T742" i="1"/>
  <c r="R742" i="1"/>
  <c r="Q742" i="1" a="1"/>
  <c r="Q742" i="1" s="1"/>
  <c r="P742" i="1"/>
  <c r="N742" i="1"/>
  <c r="L742" i="1"/>
  <c r="K742" i="1" a="1"/>
  <c r="K742" i="1" s="1"/>
  <c r="U742" i="1" s="1"/>
  <c r="J742" i="1" a="1"/>
  <c r="J742" i="1" s="1"/>
  <c r="H742" i="1" a="1"/>
  <c r="H742" i="1" s="1"/>
  <c r="I742" i="1" s="1"/>
  <c r="S742" i="1" s="1"/>
  <c r="AS741" i="1"/>
  <c r="AA741" i="1" s="1"/>
  <c r="AO741" i="1"/>
  <c r="AN741" i="1"/>
  <c r="AM741" i="1"/>
  <c r="AL741" i="1"/>
  <c r="AK741" i="1"/>
  <c r="AJ741" i="1"/>
  <c r="AI741" i="1"/>
  <c r="AH741" i="1"/>
  <c r="AG741" i="1"/>
  <c r="AF741" i="1"/>
  <c r="AE741" i="1"/>
  <c r="AD741" i="1"/>
  <c r="AC741" i="1"/>
  <c r="AB741" i="1"/>
  <c r="Z741" i="1"/>
  <c r="W741" i="1"/>
  <c r="Y741" i="1" s="1"/>
  <c r="V741" i="1"/>
  <c r="T741" i="1"/>
  <c r="R741" i="1"/>
  <c r="Q741" i="1" a="1"/>
  <c r="Q741" i="1" s="1"/>
  <c r="P741" i="1"/>
  <c r="N741" i="1"/>
  <c r="L741" i="1"/>
  <c r="K741" i="1" a="1"/>
  <c r="K741" i="1" s="1"/>
  <c r="U741" i="1" s="1"/>
  <c r="J741" i="1" a="1"/>
  <c r="J741" i="1" s="1"/>
  <c r="H741" i="1" a="1"/>
  <c r="H741" i="1" s="1"/>
  <c r="AS740" i="1"/>
  <c r="AA740" i="1" s="1"/>
  <c r="AO740" i="1"/>
  <c r="AN740" i="1"/>
  <c r="AM740" i="1"/>
  <c r="AL740" i="1"/>
  <c r="AK740" i="1"/>
  <c r="AJ740" i="1"/>
  <c r="AI740" i="1"/>
  <c r="AH740" i="1"/>
  <c r="AG740" i="1"/>
  <c r="AF740" i="1"/>
  <c r="AE740" i="1"/>
  <c r="AD740" i="1"/>
  <c r="AC740" i="1"/>
  <c r="AB740" i="1"/>
  <c r="Z740" i="1"/>
  <c r="W740" i="1"/>
  <c r="X740" i="1" s="1"/>
  <c r="V740" i="1"/>
  <c r="T740" i="1"/>
  <c r="R740" i="1"/>
  <c r="Q740" i="1" a="1"/>
  <c r="Q740" i="1" s="1"/>
  <c r="P740" i="1"/>
  <c r="N740" i="1"/>
  <c r="L740" i="1"/>
  <c r="K740" i="1" a="1"/>
  <c r="K740" i="1" s="1"/>
  <c r="U740" i="1" s="1"/>
  <c r="J740" i="1" a="1"/>
  <c r="J740" i="1" s="1"/>
  <c r="H740" i="1" a="1"/>
  <c r="H740" i="1" s="1"/>
  <c r="AS739" i="1"/>
  <c r="AA739" i="1" s="1"/>
  <c r="AO739" i="1"/>
  <c r="AN739" i="1"/>
  <c r="AM739" i="1"/>
  <c r="AL739" i="1"/>
  <c r="AK739" i="1"/>
  <c r="AJ739" i="1"/>
  <c r="AI739" i="1"/>
  <c r="AH739" i="1"/>
  <c r="AG739" i="1"/>
  <c r="AF739" i="1"/>
  <c r="AE739" i="1"/>
  <c r="AD739" i="1"/>
  <c r="AC739" i="1"/>
  <c r="AB739" i="1"/>
  <c r="Z739" i="1"/>
  <c r="W739" i="1"/>
  <c r="Y739" i="1" s="1"/>
  <c r="V739" i="1"/>
  <c r="T739" i="1"/>
  <c r="R739" i="1"/>
  <c r="Q739" i="1" a="1"/>
  <c r="Q739" i="1" s="1"/>
  <c r="P739" i="1"/>
  <c r="N739" i="1"/>
  <c r="L739" i="1"/>
  <c r="K739" i="1" a="1"/>
  <c r="K739" i="1" s="1"/>
  <c r="U739" i="1" s="1"/>
  <c r="J739" i="1" a="1"/>
  <c r="J739" i="1" s="1"/>
  <c r="H739" i="1" a="1"/>
  <c r="H739" i="1" s="1"/>
  <c r="AW738" i="1"/>
  <c r="AE738" i="1" s="1"/>
  <c r="AV738" i="1"/>
  <c r="AD738" i="1" s="1"/>
  <c r="AU738" i="1"/>
  <c r="AC738" i="1" s="1"/>
  <c r="AT738" i="1"/>
  <c r="AB738" i="1" s="1"/>
  <c r="AS738" i="1"/>
  <c r="AA738" i="1" s="1"/>
  <c r="AO738" i="1"/>
  <c r="AN738" i="1"/>
  <c r="AM738" i="1"/>
  <c r="AL738" i="1"/>
  <c r="AK738" i="1"/>
  <c r="AJ738" i="1"/>
  <c r="AI738" i="1"/>
  <c r="AH738" i="1"/>
  <c r="AG738" i="1"/>
  <c r="AF738" i="1"/>
  <c r="Z738" i="1"/>
  <c r="W738" i="1"/>
  <c r="V738" i="1"/>
  <c r="T738" i="1"/>
  <c r="R738" i="1"/>
  <c r="Q738" i="1" a="1"/>
  <c r="Q738" i="1" s="1"/>
  <c r="P738" i="1"/>
  <c r="N738" i="1"/>
  <c r="L738" i="1"/>
  <c r="K738" i="1" a="1"/>
  <c r="K738" i="1" s="1"/>
  <c r="U738" i="1" s="1"/>
  <c r="J738" i="1" a="1"/>
  <c r="J738" i="1" s="1"/>
  <c r="H738" i="1" a="1"/>
  <c r="H738" i="1" s="1"/>
  <c r="I738" i="1" s="1"/>
  <c r="S738" i="1" s="1"/>
  <c r="AX737" i="1"/>
  <c r="AF737" i="1" s="1"/>
  <c r="AW737" i="1"/>
  <c r="AE737" i="1" s="1"/>
  <c r="AV737" i="1"/>
  <c r="AD737" i="1" s="1"/>
  <c r="AU737" i="1"/>
  <c r="AC737" i="1" s="1"/>
  <c r="AT737" i="1"/>
  <c r="AB737" i="1" s="1"/>
  <c r="AS737" i="1"/>
  <c r="AA737" i="1" s="1"/>
  <c r="AO737" i="1"/>
  <c r="AN737" i="1"/>
  <c r="AM737" i="1"/>
  <c r="AL737" i="1"/>
  <c r="AK737" i="1"/>
  <c r="AJ737" i="1"/>
  <c r="AI737" i="1"/>
  <c r="AH737" i="1"/>
  <c r="AG737" i="1"/>
  <c r="Z737" i="1"/>
  <c r="W737" i="1"/>
  <c r="V737" i="1"/>
  <c r="T737" i="1"/>
  <c r="R737" i="1"/>
  <c r="Q737" i="1" a="1"/>
  <c r="Q737" i="1" s="1"/>
  <c r="P737" i="1"/>
  <c r="N737" i="1"/>
  <c r="L737" i="1"/>
  <c r="K737" i="1" a="1"/>
  <c r="K737" i="1" s="1"/>
  <c r="U737" i="1" s="1"/>
  <c r="J737" i="1" a="1"/>
  <c r="J737" i="1" s="1"/>
  <c r="H737" i="1" a="1"/>
  <c r="H737" i="1" s="1"/>
  <c r="I737" i="1" s="1"/>
  <c r="S737" i="1" s="1"/>
  <c r="AS736" i="1"/>
  <c r="AA736" i="1" s="1"/>
  <c r="AO736" i="1"/>
  <c r="AN736" i="1"/>
  <c r="AM736" i="1"/>
  <c r="AL736" i="1"/>
  <c r="AK736" i="1"/>
  <c r="AJ736" i="1"/>
  <c r="AI736" i="1"/>
  <c r="AH736" i="1"/>
  <c r="AG736" i="1"/>
  <c r="AF736" i="1"/>
  <c r="AE736" i="1"/>
  <c r="AD736" i="1"/>
  <c r="AC736" i="1"/>
  <c r="AB736" i="1"/>
  <c r="Z736" i="1"/>
  <c r="W736" i="1"/>
  <c r="X736" i="1" s="1"/>
  <c r="V736" i="1"/>
  <c r="T736" i="1"/>
  <c r="R736" i="1"/>
  <c r="Q736" i="1" a="1"/>
  <c r="Q736" i="1" s="1"/>
  <c r="P736" i="1"/>
  <c r="N736" i="1"/>
  <c r="L736" i="1"/>
  <c r="K736" i="1" a="1"/>
  <c r="K736" i="1" s="1"/>
  <c r="U736" i="1" s="1"/>
  <c r="J736" i="1" a="1"/>
  <c r="J736" i="1" s="1"/>
  <c r="H736" i="1" a="1"/>
  <c r="H736" i="1" s="1"/>
  <c r="AS735" i="1"/>
  <c r="AA735" i="1" s="1"/>
  <c r="AO735" i="1"/>
  <c r="AN735" i="1"/>
  <c r="AM735" i="1"/>
  <c r="AL735" i="1"/>
  <c r="AK735" i="1"/>
  <c r="AJ735" i="1"/>
  <c r="AI735" i="1"/>
  <c r="AH735" i="1"/>
  <c r="AG735" i="1"/>
  <c r="AF735" i="1"/>
  <c r="AE735" i="1"/>
  <c r="AD735" i="1"/>
  <c r="AC735" i="1"/>
  <c r="AB735" i="1"/>
  <c r="Z735" i="1"/>
  <c r="W735" i="1"/>
  <c r="X735" i="1" s="1"/>
  <c r="V735" i="1"/>
  <c r="T735" i="1"/>
  <c r="R735" i="1"/>
  <c r="Q735" i="1" a="1"/>
  <c r="Q735" i="1" s="1"/>
  <c r="P735" i="1"/>
  <c r="N735" i="1"/>
  <c r="L735" i="1"/>
  <c r="K735" i="1" a="1"/>
  <c r="K735" i="1" s="1"/>
  <c r="U735" i="1" s="1"/>
  <c r="J735" i="1" a="1"/>
  <c r="J735" i="1" s="1"/>
  <c r="H735" i="1" a="1"/>
  <c r="H735" i="1" s="1"/>
  <c r="AT734" i="1"/>
  <c r="AB734" i="1" s="1"/>
  <c r="AS734" i="1"/>
  <c r="AA734" i="1" s="1"/>
  <c r="AO734" i="1"/>
  <c r="AN734" i="1"/>
  <c r="AM734" i="1"/>
  <c r="AL734" i="1"/>
  <c r="AK734" i="1"/>
  <c r="AJ734" i="1"/>
  <c r="AI734" i="1"/>
  <c r="AH734" i="1"/>
  <c r="AG734" i="1"/>
  <c r="AF734" i="1"/>
  <c r="AE734" i="1"/>
  <c r="AD734" i="1"/>
  <c r="AC734" i="1"/>
  <c r="Z734" i="1"/>
  <c r="W734" i="1"/>
  <c r="X734" i="1" s="1"/>
  <c r="V734" i="1"/>
  <c r="T734" i="1"/>
  <c r="R734" i="1"/>
  <c r="Q734" i="1" a="1"/>
  <c r="Q734" i="1" s="1"/>
  <c r="P734" i="1"/>
  <c r="N734" i="1"/>
  <c r="L734" i="1"/>
  <c r="K734" i="1" a="1"/>
  <c r="K734" i="1" s="1"/>
  <c r="U734" i="1" s="1"/>
  <c r="J734" i="1" a="1"/>
  <c r="J734" i="1" s="1"/>
  <c r="H734" i="1" a="1"/>
  <c r="H734" i="1" s="1"/>
  <c r="AU733" i="1"/>
  <c r="AC733" i="1" s="1"/>
  <c r="AT733" i="1"/>
  <c r="AB733" i="1" s="1"/>
  <c r="AS733" i="1"/>
  <c r="AA733" i="1" s="1"/>
  <c r="AO733" i="1"/>
  <c r="AN733" i="1"/>
  <c r="AM733" i="1"/>
  <c r="AL733" i="1"/>
  <c r="AK733" i="1"/>
  <c r="AJ733" i="1"/>
  <c r="AI733" i="1"/>
  <c r="AH733" i="1"/>
  <c r="AG733" i="1"/>
  <c r="AF733" i="1"/>
  <c r="AE733" i="1"/>
  <c r="AD733" i="1"/>
  <c r="Z733" i="1"/>
  <c r="W733" i="1"/>
  <c r="Y733" i="1" s="1"/>
  <c r="V733" i="1"/>
  <c r="T733" i="1"/>
  <c r="R733" i="1"/>
  <c r="Q733" i="1" a="1"/>
  <c r="Q733" i="1" s="1"/>
  <c r="P733" i="1"/>
  <c r="N733" i="1"/>
  <c r="L733" i="1"/>
  <c r="K733" i="1" a="1"/>
  <c r="K733" i="1" s="1"/>
  <c r="U733" i="1" s="1"/>
  <c r="J733" i="1" a="1"/>
  <c r="J733" i="1" s="1"/>
  <c r="H733" i="1" a="1"/>
  <c r="H733" i="1" s="1"/>
  <c r="AS732" i="1"/>
  <c r="AA732" i="1" s="1"/>
  <c r="AO732" i="1"/>
  <c r="AN732" i="1"/>
  <c r="AM732" i="1"/>
  <c r="AL732" i="1"/>
  <c r="AK732" i="1"/>
  <c r="AJ732" i="1"/>
  <c r="AI732" i="1"/>
  <c r="AH732" i="1"/>
  <c r="AG732" i="1"/>
  <c r="AF732" i="1"/>
  <c r="AE732" i="1"/>
  <c r="AD732" i="1"/>
  <c r="AC732" i="1"/>
  <c r="AB732" i="1"/>
  <c r="Z732" i="1"/>
  <c r="W732" i="1"/>
  <c r="X732" i="1" s="1"/>
  <c r="V732" i="1"/>
  <c r="T732" i="1"/>
  <c r="R732" i="1"/>
  <c r="Q732" i="1" a="1"/>
  <c r="Q732" i="1" s="1"/>
  <c r="P732" i="1"/>
  <c r="N732" i="1"/>
  <c r="L732" i="1"/>
  <c r="K732" i="1" a="1"/>
  <c r="K732" i="1" s="1"/>
  <c r="U732" i="1" s="1"/>
  <c r="J732" i="1" a="1"/>
  <c r="J732" i="1" s="1"/>
  <c r="H732" i="1" a="1"/>
  <c r="H732" i="1" s="1"/>
  <c r="AS731" i="1"/>
  <c r="AA731" i="1" s="1"/>
  <c r="AO731" i="1"/>
  <c r="AN731" i="1"/>
  <c r="AM731" i="1"/>
  <c r="AL731" i="1"/>
  <c r="AK731" i="1"/>
  <c r="AJ731" i="1"/>
  <c r="AI731" i="1"/>
  <c r="AH731" i="1"/>
  <c r="AG731" i="1"/>
  <c r="AF731" i="1"/>
  <c r="AE731" i="1"/>
  <c r="AD731" i="1"/>
  <c r="AC731" i="1"/>
  <c r="AB731" i="1"/>
  <c r="Z731" i="1"/>
  <c r="X731" i="1"/>
  <c r="W731" i="1"/>
  <c r="Y731" i="1" s="1"/>
  <c r="V731" i="1"/>
  <c r="T731" i="1"/>
  <c r="R731" i="1"/>
  <c r="Q731" i="1" a="1"/>
  <c r="Q731" i="1" s="1"/>
  <c r="P731" i="1"/>
  <c r="N731" i="1"/>
  <c r="L731" i="1"/>
  <c r="K731" i="1" a="1"/>
  <c r="K731" i="1" s="1"/>
  <c r="U731" i="1" s="1"/>
  <c r="J731" i="1" a="1"/>
  <c r="J731" i="1" s="1"/>
  <c r="H731" i="1" a="1"/>
  <c r="H731" i="1" s="1"/>
  <c r="AS730" i="1"/>
  <c r="AA730" i="1" s="1"/>
  <c r="AO730" i="1"/>
  <c r="AN730" i="1"/>
  <c r="AM730" i="1"/>
  <c r="AL730" i="1"/>
  <c r="AK730" i="1"/>
  <c r="AJ730" i="1"/>
  <c r="AI730" i="1"/>
  <c r="AH730" i="1"/>
  <c r="AG730" i="1"/>
  <c r="AF730" i="1"/>
  <c r="AE730" i="1"/>
  <c r="AD730" i="1"/>
  <c r="AC730" i="1"/>
  <c r="AB730" i="1"/>
  <c r="Z730" i="1"/>
  <c r="W730" i="1"/>
  <c r="Y730" i="1" s="1"/>
  <c r="V730" i="1"/>
  <c r="T730" i="1"/>
  <c r="R730" i="1"/>
  <c r="Q730" i="1" a="1"/>
  <c r="Q730" i="1" s="1"/>
  <c r="P730" i="1"/>
  <c r="N730" i="1"/>
  <c r="L730" i="1"/>
  <c r="K730" i="1" a="1"/>
  <c r="K730" i="1" s="1"/>
  <c r="U730" i="1" s="1"/>
  <c r="J730" i="1" a="1"/>
  <c r="J730" i="1" s="1"/>
  <c r="H730" i="1" a="1"/>
  <c r="H730" i="1" s="1"/>
  <c r="I730" i="1" s="1"/>
  <c r="S730" i="1" s="1"/>
  <c r="AS729" i="1"/>
  <c r="AA729" i="1" s="1"/>
  <c r="AO729" i="1"/>
  <c r="AN729" i="1"/>
  <c r="AM729" i="1"/>
  <c r="AL729" i="1"/>
  <c r="AK729" i="1"/>
  <c r="AJ729" i="1"/>
  <c r="AI729" i="1"/>
  <c r="AH729" i="1"/>
  <c r="AG729" i="1"/>
  <c r="AF729" i="1"/>
  <c r="AE729" i="1"/>
  <c r="AD729" i="1"/>
  <c r="AC729" i="1"/>
  <c r="AB729" i="1"/>
  <c r="Z729" i="1"/>
  <c r="W729" i="1"/>
  <c r="Y729" i="1" s="1"/>
  <c r="V729" i="1"/>
  <c r="T729" i="1"/>
  <c r="R729" i="1"/>
  <c r="Q729" i="1" a="1"/>
  <c r="Q729" i="1" s="1"/>
  <c r="P729" i="1"/>
  <c r="N729" i="1"/>
  <c r="L729" i="1"/>
  <c r="K729" i="1" a="1"/>
  <c r="K729" i="1" s="1"/>
  <c r="U729" i="1" s="1"/>
  <c r="J729" i="1" a="1"/>
  <c r="J729" i="1" s="1"/>
  <c r="H729" i="1" a="1"/>
  <c r="H729" i="1" s="1"/>
  <c r="AS728" i="1"/>
  <c r="AA728" i="1" s="1"/>
  <c r="AO728" i="1"/>
  <c r="AN728" i="1"/>
  <c r="AM728" i="1"/>
  <c r="AL728" i="1"/>
  <c r="AK728" i="1"/>
  <c r="AJ728" i="1"/>
  <c r="AI728" i="1"/>
  <c r="AH728" i="1"/>
  <c r="AG728" i="1"/>
  <c r="AF728" i="1"/>
  <c r="AE728" i="1"/>
  <c r="AD728" i="1"/>
  <c r="AC728" i="1"/>
  <c r="AB728" i="1"/>
  <c r="Z728" i="1"/>
  <c r="W728" i="1"/>
  <c r="X728" i="1" s="1"/>
  <c r="V728" i="1"/>
  <c r="T728" i="1"/>
  <c r="R728" i="1"/>
  <c r="Q728" i="1" a="1"/>
  <c r="Q728" i="1" s="1"/>
  <c r="P728" i="1"/>
  <c r="N728" i="1"/>
  <c r="L728" i="1"/>
  <c r="K728" i="1" a="1"/>
  <c r="K728" i="1" s="1"/>
  <c r="U728" i="1" s="1"/>
  <c r="J728" i="1" a="1"/>
  <c r="J728" i="1" s="1"/>
  <c r="H728" i="1" a="1"/>
  <c r="H728" i="1" s="1"/>
  <c r="AS727" i="1"/>
  <c r="AA727" i="1" s="1"/>
  <c r="AO727" i="1"/>
  <c r="AN727" i="1"/>
  <c r="AM727" i="1"/>
  <c r="AL727" i="1"/>
  <c r="AK727" i="1"/>
  <c r="AJ727" i="1"/>
  <c r="AI727" i="1"/>
  <c r="AH727" i="1"/>
  <c r="AG727" i="1"/>
  <c r="AF727" i="1"/>
  <c r="AE727" i="1"/>
  <c r="AD727" i="1"/>
  <c r="AC727" i="1"/>
  <c r="AB727" i="1"/>
  <c r="Z727" i="1"/>
  <c r="W727" i="1"/>
  <c r="Y727" i="1" s="1"/>
  <c r="V727" i="1"/>
  <c r="T727" i="1"/>
  <c r="R727" i="1"/>
  <c r="Q727" i="1" a="1"/>
  <c r="Q727" i="1" s="1"/>
  <c r="P727" i="1"/>
  <c r="N727" i="1"/>
  <c r="L727" i="1"/>
  <c r="K727" i="1" a="1"/>
  <c r="K727" i="1" s="1"/>
  <c r="U727" i="1" s="1"/>
  <c r="J727" i="1" a="1"/>
  <c r="J727" i="1" s="1"/>
  <c r="H727" i="1" a="1"/>
  <c r="H727" i="1" s="1"/>
  <c r="AS726" i="1"/>
  <c r="AA726" i="1" s="1"/>
  <c r="AO726" i="1"/>
  <c r="AN726" i="1"/>
  <c r="AM726" i="1"/>
  <c r="AL726" i="1"/>
  <c r="AK726" i="1"/>
  <c r="AJ726" i="1"/>
  <c r="AI726" i="1"/>
  <c r="AH726" i="1"/>
  <c r="AG726" i="1"/>
  <c r="AF726" i="1"/>
  <c r="AE726" i="1"/>
  <c r="AD726" i="1"/>
  <c r="AC726" i="1"/>
  <c r="AB726" i="1"/>
  <c r="Z726" i="1"/>
  <c r="W726" i="1"/>
  <c r="Y726" i="1" s="1"/>
  <c r="V726" i="1"/>
  <c r="T726" i="1"/>
  <c r="R726" i="1"/>
  <c r="Q726" i="1" a="1"/>
  <c r="Q726" i="1" s="1"/>
  <c r="P726" i="1"/>
  <c r="N726" i="1"/>
  <c r="L726" i="1"/>
  <c r="K726" i="1" a="1"/>
  <c r="K726" i="1" s="1"/>
  <c r="U726" i="1" s="1"/>
  <c r="J726" i="1" a="1"/>
  <c r="J726" i="1" s="1"/>
  <c r="H726" i="1" a="1"/>
  <c r="H726" i="1" s="1"/>
  <c r="I726" i="1" s="1"/>
  <c r="S726" i="1" s="1"/>
  <c r="AS725" i="1"/>
  <c r="AA725" i="1" s="1"/>
  <c r="AO725" i="1"/>
  <c r="AN725" i="1"/>
  <c r="AM725" i="1"/>
  <c r="AL725" i="1"/>
  <c r="AK725" i="1"/>
  <c r="AJ725" i="1"/>
  <c r="AI725" i="1"/>
  <c r="AH725" i="1"/>
  <c r="AG725" i="1"/>
  <c r="AF725" i="1"/>
  <c r="AE725" i="1"/>
  <c r="AD725" i="1"/>
  <c r="AC725" i="1"/>
  <c r="AB725" i="1"/>
  <c r="Z725" i="1"/>
  <c r="W725" i="1"/>
  <c r="Y725" i="1" s="1"/>
  <c r="V725" i="1"/>
  <c r="T725" i="1"/>
  <c r="R725" i="1"/>
  <c r="Q725" i="1" a="1"/>
  <c r="Q725" i="1" s="1"/>
  <c r="P725" i="1"/>
  <c r="N725" i="1"/>
  <c r="L725" i="1"/>
  <c r="K725" i="1" a="1"/>
  <c r="K725" i="1" s="1"/>
  <c r="U725" i="1" s="1"/>
  <c r="J725" i="1" a="1"/>
  <c r="J725" i="1" s="1"/>
  <c r="H725" i="1" a="1"/>
  <c r="H725" i="1" s="1"/>
  <c r="AS724" i="1"/>
  <c r="AA724" i="1" s="1"/>
  <c r="AO724" i="1"/>
  <c r="AN724" i="1"/>
  <c r="AM724" i="1"/>
  <c r="AL724" i="1"/>
  <c r="AK724" i="1"/>
  <c r="AJ724" i="1"/>
  <c r="AI724" i="1"/>
  <c r="AH724" i="1"/>
  <c r="AG724" i="1"/>
  <c r="AF724" i="1"/>
  <c r="AE724" i="1"/>
  <c r="AD724" i="1"/>
  <c r="AC724" i="1"/>
  <c r="AB724" i="1"/>
  <c r="Z724" i="1"/>
  <c r="W724" i="1"/>
  <c r="X724" i="1" s="1"/>
  <c r="V724" i="1"/>
  <c r="T724" i="1"/>
  <c r="R724" i="1"/>
  <c r="Q724" i="1" a="1"/>
  <c r="Q724" i="1" s="1"/>
  <c r="P724" i="1"/>
  <c r="N724" i="1"/>
  <c r="L724" i="1"/>
  <c r="K724" i="1" a="1"/>
  <c r="K724" i="1" s="1"/>
  <c r="U724" i="1" s="1"/>
  <c r="J724" i="1" a="1"/>
  <c r="J724" i="1" s="1"/>
  <c r="H724" i="1" a="1"/>
  <c r="H724" i="1" s="1"/>
  <c r="AS723" i="1"/>
  <c r="AA723" i="1" s="1"/>
  <c r="AO723" i="1"/>
  <c r="AN723" i="1"/>
  <c r="AM723" i="1"/>
  <c r="AL723" i="1"/>
  <c r="AK723" i="1"/>
  <c r="AJ723" i="1"/>
  <c r="AI723" i="1"/>
  <c r="AH723" i="1"/>
  <c r="AG723" i="1"/>
  <c r="AF723" i="1"/>
  <c r="AE723" i="1"/>
  <c r="AD723" i="1"/>
  <c r="AC723" i="1"/>
  <c r="AB723" i="1"/>
  <c r="Z723" i="1"/>
  <c r="W723" i="1"/>
  <c r="Y723" i="1" s="1"/>
  <c r="V723" i="1"/>
  <c r="T723" i="1"/>
  <c r="R723" i="1"/>
  <c r="Q723" i="1" a="1"/>
  <c r="Q723" i="1" s="1"/>
  <c r="P723" i="1"/>
  <c r="N723" i="1"/>
  <c r="L723" i="1"/>
  <c r="K723" i="1" a="1"/>
  <c r="K723" i="1" s="1"/>
  <c r="U723" i="1" s="1"/>
  <c r="J723" i="1" a="1"/>
  <c r="J723" i="1" s="1"/>
  <c r="H723" i="1" a="1"/>
  <c r="H723" i="1" s="1"/>
  <c r="AS722" i="1"/>
  <c r="AA722" i="1" s="1"/>
  <c r="AO722" i="1"/>
  <c r="AN722" i="1"/>
  <c r="AM722" i="1"/>
  <c r="AL722" i="1"/>
  <c r="AK722" i="1"/>
  <c r="AJ722" i="1"/>
  <c r="AI722" i="1"/>
  <c r="AH722" i="1"/>
  <c r="AG722" i="1"/>
  <c r="AF722" i="1"/>
  <c r="AE722" i="1"/>
  <c r="AD722" i="1"/>
  <c r="AC722" i="1"/>
  <c r="AB722" i="1"/>
  <c r="Z722" i="1"/>
  <c r="W722" i="1"/>
  <c r="Y722" i="1" s="1"/>
  <c r="V722" i="1"/>
  <c r="AS721" i="1"/>
  <c r="AA721" i="1" s="1"/>
  <c r="AO721" i="1"/>
  <c r="AN721" i="1"/>
  <c r="AM721" i="1"/>
  <c r="AL721" i="1"/>
  <c r="AK721" i="1"/>
  <c r="AJ721" i="1"/>
  <c r="AI721" i="1"/>
  <c r="AH721" i="1"/>
  <c r="AG721" i="1"/>
  <c r="AF721" i="1"/>
  <c r="AE721" i="1"/>
  <c r="AD721" i="1"/>
  <c r="AC721" i="1"/>
  <c r="AB721" i="1"/>
  <c r="Z721" i="1"/>
  <c r="W721" i="1"/>
  <c r="X721" i="1" s="1"/>
  <c r="V721" i="1"/>
  <c r="T721" i="1"/>
  <c r="R721" i="1"/>
  <c r="Q721" i="1" a="1"/>
  <c r="Q721" i="1" s="1"/>
  <c r="P721" i="1"/>
  <c r="N721" i="1"/>
  <c r="L721" i="1"/>
  <c r="K721" i="1" a="1"/>
  <c r="K721" i="1" s="1"/>
  <c r="U721" i="1" s="1"/>
  <c r="J721" i="1" a="1"/>
  <c r="J721" i="1" s="1"/>
  <c r="H721" i="1" a="1"/>
  <c r="H721" i="1" s="1"/>
  <c r="AS720" i="1"/>
  <c r="AA720" i="1" s="1"/>
  <c r="AO720" i="1"/>
  <c r="AN720" i="1"/>
  <c r="AM720" i="1"/>
  <c r="AL720" i="1"/>
  <c r="AK720" i="1"/>
  <c r="AJ720" i="1"/>
  <c r="AI720" i="1"/>
  <c r="AH720" i="1"/>
  <c r="AG720" i="1"/>
  <c r="AF720" i="1"/>
  <c r="AE720" i="1"/>
  <c r="AD720" i="1"/>
  <c r="AC720" i="1"/>
  <c r="AB720" i="1"/>
  <c r="Z720" i="1"/>
  <c r="Y720" i="1"/>
  <c r="W720" i="1"/>
  <c r="X720" i="1" s="1"/>
  <c r="V720" i="1"/>
  <c r="T720" i="1"/>
  <c r="R720" i="1"/>
  <c r="Q720" i="1" a="1"/>
  <c r="Q720" i="1" s="1"/>
  <c r="P720" i="1"/>
  <c r="N720" i="1"/>
  <c r="L720" i="1"/>
  <c r="K720" i="1" a="1"/>
  <c r="K720" i="1" s="1"/>
  <c r="U720" i="1" s="1"/>
  <c r="J720" i="1" a="1"/>
  <c r="J720" i="1" s="1"/>
  <c r="H720" i="1" a="1"/>
  <c r="H720" i="1" s="1"/>
  <c r="I720" i="1" s="1"/>
  <c r="S720" i="1" s="1"/>
  <c r="AS719" i="1"/>
  <c r="AA719" i="1" s="1"/>
  <c r="AO719" i="1"/>
  <c r="AN719" i="1"/>
  <c r="AM719" i="1"/>
  <c r="AL719" i="1"/>
  <c r="AK719" i="1"/>
  <c r="AJ719" i="1"/>
  <c r="AI719" i="1"/>
  <c r="AH719" i="1"/>
  <c r="AG719" i="1"/>
  <c r="AF719" i="1"/>
  <c r="AE719" i="1"/>
  <c r="AD719" i="1"/>
  <c r="AC719" i="1"/>
  <c r="AB719" i="1"/>
  <c r="Z719" i="1"/>
  <c r="W719" i="1"/>
  <c r="Y719" i="1" s="1"/>
  <c r="V719" i="1"/>
  <c r="T719" i="1"/>
  <c r="R719" i="1"/>
  <c r="Q719" i="1" a="1"/>
  <c r="Q719" i="1" s="1"/>
  <c r="P719" i="1"/>
  <c r="N719" i="1"/>
  <c r="L719" i="1"/>
  <c r="K719" i="1" a="1"/>
  <c r="K719" i="1" s="1"/>
  <c r="U719" i="1" s="1"/>
  <c r="J719" i="1" a="1"/>
  <c r="J719" i="1" s="1"/>
  <c r="H719" i="1" a="1"/>
  <c r="H719" i="1" s="1"/>
  <c r="AS718" i="1"/>
  <c r="AA718" i="1" s="1"/>
  <c r="AO718" i="1"/>
  <c r="AN718" i="1"/>
  <c r="AM718" i="1"/>
  <c r="AL718" i="1"/>
  <c r="AK718" i="1"/>
  <c r="AJ718" i="1"/>
  <c r="AI718" i="1"/>
  <c r="AH718" i="1"/>
  <c r="AG718" i="1"/>
  <c r="AF718" i="1"/>
  <c r="AE718" i="1"/>
  <c r="AD718" i="1"/>
  <c r="AC718" i="1"/>
  <c r="AB718" i="1"/>
  <c r="Z718" i="1"/>
  <c r="W718" i="1"/>
  <c r="X718" i="1" s="1"/>
  <c r="V718" i="1"/>
  <c r="T718" i="1"/>
  <c r="R718" i="1"/>
  <c r="Q718" i="1" a="1"/>
  <c r="Q718" i="1" s="1"/>
  <c r="P718" i="1"/>
  <c r="N718" i="1"/>
  <c r="L718" i="1"/>
  <c r="K718" i="1" a="1"/>
  <c r="K718" i="1" s="1"/>
  <c r="U718" i="1" s="1"/>
  <c r="J718" i="1" a="1"/>
  <c r="J718" i="1" s="1"/>
  <c r="H718" i="1" a="1"/>
  <c r="H718" i="1" s="1"/>
  <c r="AS717" i="1"/>
  <c r="AA717" i="1" s="1"/>
  <c r="AO717" i="1"/>
  <c r="AN717" i="1"/>
  <c r="AM717" i="1"/>
  <c r="AL717" i="1"/>
  <c r="AK717" i="1"/>
  <c r="AJ717" i="1"/>
  <c r="AI717" i="1"/>
  <c r="AH717" i="1"/>
  <c r="AG717" i="1"/>
  <c r="AF717" i="1"/>
  <c r="AE717" i="1"/>
  <c r="AD717" i="1"/>
  <c r="AC717" i="1"/>
  <c r="AB717" i="1"/>
  <c r="Z717" i="1"/>
  <c r="W717" i="1"/>
  <c r="X717" i="1" s="1"/>
  <c r="V717" i="1"/>
  <c r="T717" i="1"/>
  <c r="R717" i="1"/>
  <c r="Q717" i="1" a="1"/>
  <c r="Q717" i="1" s="1"/>
  <c r="P717" i="1"/>
  <c r="N717" i="1"/>
  <c r="L717" i="1"/>
  <c r="K717" i="1" a="1"/>
  <c r="K717" i="1" s="1"/>
  <c r="U717" i="1" s="1"/>
  <c r="J717" i="1" a="1"/>
  <c r="J717" i="1" s="1"/>
  <c r="H717" i="1" a="1"/>
  <c r="H717" i="1" s="1"/>
  <c r="AS716" i="1"/>
  <c r="AA716" i="1" s="1"/>
  <c r="AO716" i="1"/>
  <c r="AN716" i="1"/>
  <c r="AM716" i="1"/>
  <c r="AL716" i="1"/>
  <c r="AK716" i="1"/>
  <c r="AJ716" i="1"/>
  <c r="AI716" i="1"/>
  <c r="AH716" i="1"/>
  <c r="AG716" i="1"/>
  <c r="AF716" i="1"/>
  <c r="AE716" i="1"/>
  <c r="AD716" i="1"/>
  <c r="AC716" i="1"/>
  <c r="AB716" i="1"/>
  <c r="Z716" i="1"/>
  <c r="W716" i="1"/>
  <c r="X716" i="1" s="1"/>
  <c r="V716" i="1"/>
  <c r="T716" i="1"/>
  <c r="R716" i="1"/>
  <c r="Q716" i="1" a="1"/>
  <c r="Q716" i="1" s="1"/>
  <c r="P716" i="1"/>
  <c r="N716" i="1"/>
  <c r="L716" i="1"/>
  <c r="K716" i="1" a="1"/>
  <c r="K716" i="1" s="1"/>
  <c r="U716" i="1" s="1"/>
  <c r="J716" i="1" a="1"/>
  <c r="J716" i="1" s="1"/>
  <c r="H716" i="1" a="1"/>
  <c r="H716" i="1" s="1"/>
  <c r="I716" i="1" s="1"/>
  <c r="S716" i="1" s="1"/>
  <c r="AS715" i="1"/>
  <c r="AA715" i="1" s="1"/>
  <c r="AO715" i="1"/>
  <c r="AN715" i="1"/>
  <c r="AM715" i="1"/>
  <c r="AL715" i="1"/>
  <c r="AK715" i="1"/>
  <c r="AJ715" i="1"/>
  <c r="AI715" i="1"/>
  <c r="AH715" i="1"/>
  <c r="AG715" i="1"/>
  <c r="AF715" i="1"/>
  <c r="AE715" i="1"/>
  <c r="AD715" i="1"/>
  <c r="AC715" i="1"/>
  <c r="AB715" i="1"/>
  <c r="Z715" i="1"/>
  <c r="W715" i="1"/>
  <c r="X715" i="1" s="1"/>
  <c r="V715" i="1"/>
  <c r="T715" i="1"/>
  <c r="R715" i="1"/>
  <c r="Q715" i="1" a="1"/>
  <c r="Q715" i="1" s="1"/>
  <c r="P715" i="1"/>
  <c r="N715" i="1"/>
  <c r="L715" i="1"/>
  <c r="K715" i="1" a="1"/>
  <c r="K715" i="1" s="1"/>
  <c r="U715" i="1" s="1"/>
  <c r="J715" i="1" a="1"/>
  <c r="J715" i="1" s="1"/>
  <c r="H715" i="1" a="1"/>
  <c r="H715" i="1" s="1"/>
  <c r="AS714" i="1"/>
  <c r="AA714" i="1" s="1"/>
  <c r="AO714" i="1"/>
  <c r="AN714" i="1"/>
  <c r="AM714" i="1"/>
  <c r="AL714" i="1"/>
  <c r="AK714" i="1"/>
  <c r="AJ714" i="1"/>
  <c r="AI714" i="1"/>
  <c r="AH714" i="1"/>
  <c r="AG714" i="1"/>
  <c r="AF714" i="1"/>
  <c r="AE714" i="1"/>
  <c r="AD714" i="1"/>
  <c r="AC714" i="1"/>
  <c r="AB714" i="1"/>
  <c r="Z714" i="1"/>
  <c r="W714" i="1"/>
  <c r="X714" i="1" s="1"/>
  <c r="V714" i="1"/>
  <c r="T714" i="1"/>
  <c r="R714" i="1"/>
  <c r="Q714" i="1" a="1"/>
  <c r="Q714" i="1" s="1"/>
  <c r="P714" i="1"/>
  <c r="N714" i="1"/>
  <c r="L714" i="1"/>
  <c r="K714" i="1" a="1"/>
  <c r="K714" i="1" s="1"/>
  <c r="U714" i="1" s="1"/>
  <c r="J714" i="1" a="1"/>
  <c r="J714" i="1" s="1"/>
  <c r="H714" i="1" a="1"/>
  <c r="H714" i="1" s="1"/>
  <c r="AS713" i="1"/>
  <c r="AA713" i="1" s="1"/>
  <c r="AO713" i="1"/>
  <c r="AN713" i="1"/>
  <c r="AM713" i="1"/>
  <c r="AL713" i="1"/>
  <c r="AK713" i="1"/>
  <c r="AJ713" i="1"/>
  <c r="AI713" i="1"/>
  <c r="AH713" i="1"/>
  <c r="AG713" i="1"/>
  <c r="AF713" i="1"/>
  <c r="AE713" i="1"/>
  <c r="AD713" i="1"/>
  <c r="AC713" i="1"/>
  <c r="AB713" i="1"/>
  <c r="Z713" i="1"/>
  <c r="W713" i="1"/>
  <c r="Y713" i="1" s="1"/>
  <c r="V713" i="1"/>
  <c r="T713" i="1"/>
  <c r="R713" i="1"/>
  <c r="Q713" i="1" a="1"/>
  <c r="Q713" i="1" s="1"/>
  <c r="P713" i="1"/>
  <c r="N713" i="1"/>
  <c r="L713" i="1"/>
  <c r="K713" i="1" a="1"/>
  <c r="K713" i="1" s="1"/>
  <c r="U713" i="1" s="1"/>
  <c r="J713" i="1" a="1"/>
  <c r="J713" i="1" s="1"/>
  <c r="H713" i="1" a="1"/>
  <c r="H713" i="1" s="1"/>
  <c r="AW712" i="1"/>
  <c r="AE712" i="1" s="1"/>
  <c r="AV712" i="1"/>
  <c r="AD712" i="1" s="1"/>
  <c r="AU712" i="1"/>
  <c r="AC712" i="1" s="1"/>
  <c r="AT712" i="1"/>
  <c r="AB712" i="1" s="1"/>
  <c r="AS712" i="1"/>
  <c r="AA712" i="1" s="1"/>
  <c r="AO712" i="1"/>
  <c r="AN712" i="1"/>
  <c r="AM712" i="1"/>
  <c r="AL712" i="1"/>
  <c r="AK712" i="1"/>
  <c r="AJ712" i="1"/>
  <c r="AI712" i="1"/>
  <c r="AH712" i="1"/>
  <c r="AG712" i="1"/>
  <c r="AF712" i="1"/>
  <c r="Z712" i="1"/>
  <c r="W712" i="1"/>
  <c r="X712" i="1" s="1"/>
  <c r="V712" i="1"/>
  <c r="T712" i="1"/>
  <c r="R712" i="1"/>
  <c r="Q712" i="1" a="1"/>
  <c r="Q712" i="1" s="1"/>
  <c r="P712" i="1"/>
  <c r="N712" i="1"/>
  <c r="L712" i="1"/>
  <c r="K712" i="1" a="1"/>
  <c r="K712" i="1" s="1"/>
  <c r="U712" i="1" s="1"/>
  <c r="J712" i="1" a="1"/>
  <c r="J712" i="1" s="1"/>
  <c r="H712" i="1" a="1"/>
  <c r="H712" i="1" s="1"/>
  <c r="I712" i="1" s="1"/>
  <c r="S712" i="1" s="1"/>
  <c r="AX711" i="1"/>
  <c r="AF711" i="1" s="1"/>
  <c r="AW711" i="1"/>
  <c r="AE711" i="1" s="1"/>
  <c r="AV711" i="1"/>
  <c r="AD711" i="1" s="1"/>
  <c r="AU711" i="1"/>
  <c r="AC711" i="1" s="1"/>
  <c r="AT711" i="1"/>
  <c r="AB711" i="1" s="1"/>
  <c r="AS711" i="1"/>
  <c r="AA711" i="1" s="1"/>
  <c r="AO711" i="1"/>
  <c r="AN711" i="1"/>
  <c r="AM711" i="1"/>
  <c r="AL711" i="1"/>
  <c r="AK711" i="1"/>
  <c r="AJ711" i="1"/>
  <c r="AI711" i="1"/>
  <c r="AH711" i="1"/>
  <c r="AG711" i="1"/>
  <c r="Z711" i="1"/>
  <c r="W711" i="1"/>
  <c r="X711" i="1" s="1"/>
  <c r="V711" i="1"/>
  <c r="T711" i="1"/>
  <c r="R711" i="1"/>
  <c r="Q711" i="1" a="1"/>
  <c r="Q711" i="1" s="1"/>
  <c r="P711" i="1"/>
  <c r="N711" i="1"/>
  <c r="L711" i="1"/>
  <c r="K711" i="1" a="1"/>
  <c r="K711" i="1" s="1"/>
  <c r="U711" i="1" s="1"/>
  <c r="J711" i="1" a="1"/>
  <c r="J711" i="1" s="1"/>
  <c r="H711" i="1" a="1"/>
  <c r="H711" i="1" s="1"/>
  <c r="I711" i="1" s="1"/>
  <c r="S711" i="1" s="1"/>
  <c r="AS710" i="1"/>
  <c r="AA710" i="1" s="1"/>
  <c r="AO710" i="1"/>
  <c r="AN710" i="1"/>
  <c r="AM710" i="1"/>
  <c r="AL710" i="1"/>
  <c r="AK710" i="1"/>
  <c r="AJ710" i="1"/>
  <c r="AI710" i="1"/>
  <c r="AH710" i="1"/>
  <c r="AG710" i="1"/>
  <c r="AF710" i="1"/>
  <c r="AE710" i="1"/>
  <c r="AD710" i="1"/>
  <c r="AC710" i="1"/>
  <c r="AB710" i="1"/>
  <c r="Z710" i="1"/>
  <c r="W710" i="1"/>
  <c r="X710" i="1" s="1"/>
  <c r="V710" i="1"/>
  <c r="T710" i="1"/>
  <c r="R710" i="1"/>
  <c r="Q710" i="1" a="1"/>
  <c r="Q710" i="1" s="1"/>
  <c r="P710" i="1"/>
  <c r="N710" i="1"/>
  <c r="L710" i="1"/>
  <c r="K710" i="1" a="1"/>
  <c r="K710" i="1" s="1"/>
  <c r="U710" i="1" s="1"/>
  <c r="J710" i="1" a="1"/>
  <c r="J710" i="1" s="1"/>
  <c r="H710" i="1" a="1"/>
  <c r="H710" i="1" s="1"/>
  <c r="AS709" i="1"/>
  <c r="AA709" i="1" s="1"/>
  <c r="AO709" i="1"/>
  <c r="AN709" i="1"/>
  <c r="AM709" i="1"/>
  <c r="AL709" i="1"/>
  <c r="AK709" i="1"/>
  <c r="AJ709" i="1"/>
  <c r="AI709" i="1"/>
  <c r="AH709" i="1"/>
  <c r="AG709" i="1"/>
  <c r="AF709" i="1"/>
  <c r="AE709" i="1"/>
  <c r="AD709" i="1"/>
  <c r="AC709" i="1"/>
  <c r="AB709" i="1"/>
  <c r="Z709" i="1"/>
  <c r="W709" i="1"/>
  <c r="X709" i="1" s="1"/>
  <c r="V709" i="1"/>
  <c r="AS708" i="1"/>
  <c r="AA708" i="1" s="1"/>
  <c r="AO708" i="1"/>
  <c r="AN708" i="1"/>
  <c r="AM708" i="1"/>
  <c r="AL708" i="1"/>
  <c r="AK708" i="1"/>
  <c r="AJ708" i="1"/>
  <c r="AI708" i="1"/>
  <c r="AH708" i="1"/>
  <c r="AG708" i="1"/>
  <c r="AF708" i="1"/>
  <c r="AE708" i="1"/>
  <c r="AD708" i="1"/>
  <c r="AC708" i="1"/>
  <c r="AB708" i="1"/>
  <c r="Z708" i="1"/>
  <c r="W708" i="1"/>
  <c r="X708" i="1" s="1"/>
  <c r="V708" i="1"/>
  <c r="T708" i="1"/>
  <c r="R708" i="1"/>
  <c r="Q708" i="1" a="1"/>
  <c r="Q708" i="1" s="1"/>
  <c r="P708" i="1"/>
  <c r="N708" i="1"/>
  <c r="L708" i="1"/>
  <c r="K708" i="1" a="1"/>
  <c r="K708" i="1" s="1"/>
  <c r="U708" i="1" s="1"/>
  <c r="J708" i="1" a="1"/>
  <c r="J708" i="1" s="1"/>
  <c r="H708" i="1" a="1"/>
  <c r="H708" i="1" s="1"/>
  <c r="AX707" i="1"/>
  <c r="AF707" i="1" s="1"/>
  <c r="AW707" i="1"/>
  <c r="AE707" i="1" s="1"/>
  <c r="AV707" i="1"/>
  <c r="AD707" i="1" s="1"/>
  <c r="AU707" i="1"/>
  <c r="AC707" i="1" s="1"/>
  <c r="AT707" i="1"/>
  <c r="AB707" i="1" s="1"/>
  <c r="AS707" i="1"/>
  <c r="AA707" i="1" s="1"/>
  <c r="AO707" i="1"/>
  <c r="AN707" i="1"/>
  <c r="AM707" i="1"/>
  <c r="AL707" i="1"/>
  <c r="AK707" i="1"/>
  <c r="AJ707" i="1"/>
  <c r="AI707" i="1"/>
  <c r="AH707" i="1"/>
  <c r="AG707" i="1"/>
  <c r="Z707" i="1"/>
  <c r="Y707" i="1"/>
  <c r="X707" i="1"/>
  <c r="W707" i="1"/>
  <c r="V707" i="1"/>
  <c r="T707" i="1"/>
  <c r="R707" i="1"/>
  <c r="Q707" i="1" a="1"/>
  <c r="Q707" i="1" s="1"/>
  <c r="P707" i="1"/>
  <c r="N707" i="1"/>
  <c r="L707" i="1"/>
  <c r="K707" i="1" a="1"/>
  <c r="K707" i="1" s="1"/>
  <c r="U707" i="1" s="1"/>
  <c r="J707" i="1" a="1"/>
  <c r="J707" i="1" s="1"/>
  <c r="H707" i="1" a="1"/>
  <c r="H707" i="1" s="1"/>
  <c r="AT706" i="1"/>
  <c r="AB706" i="1" s="1"/>
  <c r="AS706" i="1"/>
  <c r="AA706" i="1" s="1"/>
  <c r="AO706" i="1"/>
  <c r="AN706" i="1"/>
  <c r="AM706" i="1"/>
  <c r="AL706" i="1"/>
  <c r="AK706" i="1"/>
  <c r="AJ706" i="1"/>
  <c r="AI706" i="1"/>
  <c r="AH706" i="1"/>
  <c r="AG706" i="1"/>
  <c r="AF706" i="1"/>
  <c r="AE706" i="1"/>
  <c r="AD706" i="1"/>
  <c r="AC706" i="1"/>
  <c r="Z706" i="1"/>
  <c r="W706" i="1"/>
  <c r="X706" i="1" s="1"/>
  <c r="V706" i="1"/>
  <c r="T706" i="1"/>
  <c r="R706" i="1"/>
  <c r="Q706" i="1" a="1"/>
  <c r="Q706" i="1" s="1"/>
  <c r="P706" i="1"/>
  <c r="N706" i="1"/>
  <c r="L706" i="1"/>
  <c r="K706" i="1" a="1"/>
  <c r="K706" i="1" s="1"/>
  <c r="U706" i="1" s="1"/>
  <c r="J706" i="1" a="1"/>
  <c r="J706" i="1" s="1"/>
  <c r="H706" i="1" a="1"/>
  <c r="H706" i="1" s="1"/>
  <c r="AS705" i="1"/>
  <c r="AA705" i="1" s="1"/>
  <c r="AO705" i="1"/>
  <c r="AN705" i="1"/>
  <c r="AM705" i="1"/>
  <c r="AL705" i="1"/>
  <c r="AK705" i="1"/>
  <c r="AJ705" i="1"/>
  <c r="AI705" i="1"/>
  <c r="AH705" i="1"/>
  <c r="AG705" i="1"/>
  <c r="AF705" i="1"/>
  <c r="AE705" i="1"/>
  <c r="AD705" i="1"/>
  <c r="AC705" i="1"/>
  <c r="AB705" i="1"/>
  <c r="Z705" i="1"/>
  <c r="W705" i="1"/>
  <c r="X705" i="1" s="1"/>
  <c r="V705" i="1"/>
  <c r="T705" i="1"/>
  <c r="R705" i="1"/>
  <c r="Q705" i="1" a="1"/>
  <c r="Q705" i="1" s="1"/>
  <c r="P705" i="1"/>
  <c r="N705" i="1"/>
  <c r="L705" i="1"/>
  <c r="K705" i="1" a="1"/>
  <c r="K705" i="1" s="1"/>
  <c r="U705" i="1" s="1"/>
  <c r="J705" i="1" a="1"/>
  <c r="J705" i="1" s="1"/>
  <c r="H705" i="1" a="1"/>
  <c r="H705" i="1" s="1"/>
  <c r="AS704" i="1"/>
  <c r="AA704" i="1" s="1"/>
  <c r="AO704" i="1"/>
  <c r="AN704" i="1"/>
  <c r="AM704" i="1"/>
  <c r="AL704" i="1"/>
  <c r="AK704" i="1"/>
  <c r="AJ704" i="1"/>
  <c r="AI704" i="1"/>
  <c r="AH704" i="1"/>
  <c r="AG704" i="1"/>
  <c r="AF704" i="1"/>
  <c r="AE704" i="1"/>
  <c r="AD704" i="1"/>
  <c r="AC704" i="1"/>
  <c r="AB704" i="1"/>
  <c r="Z704" i="1"/>
  <c r="W704" i="1"/>
  <c r="Y704" i="1" s="1"/>
  <c r="V704" i="1"/>
  <c r="T704" i="1"/>
  <c r="R704" i="1"/>
  <c r="Q704" i="1" a="1"/>
  <c r="Q704" i="1" s="1"/>
  <c r="P704" i="1"/>
  <c r="N704" i="1"/>
  <c r="L704" i="1"/>
  <c r="K704" i="1" a="1"/>
  <c r="K704" i="1" s="1"/>
  <c r="U704" i="1" s="1"/>
  <c r="J704" i="1" a="1"/>
  <c r="J704" i="1" s="1"/>
  <c r="H704" i="1" a="1"/>
  <c r="H704" i="1" s="1"/>
  <c r="AU703" i="1"/>
  <c r="AC703" i="1" s="1"/>
  <c r="AT703" i="1"/>
  <c r="AB703" i="1" s="1"/>
  <c r="AS703" i="1"/>
  <c r="AA703" i="1" s="1"/>
  <c r="AO703" i="1"/>
  <c r="AN703" i="1"/>
  <c r="AM703" i="1"/>
  <c r="AL703" i="1"/>
  <c r="AK703" i="1"/>
  <c r="AJ703" i="1"/>
  <c r="AI703" i="1"/>
  <c r="AH703" i="1"/>
  <c r="AG703" i="1"/>
  <c r="AF703" i="1"/>
  <c r="AE703" i="1"/>
  <c r="AD703" i="1"/>
  <c r="Z703" i="1"/>
  <c r="W703" i="1"/>
  <c r="X703" i="1" s="1"/>
  <c r="V703" i="1"/>
  <c r="T703" i="1"/>
  <c r="R703" i="1"/>
  <c r="Q703" i="1" a="1"/>
  <c r="Q703" i="1" s="1"/>
  <c r="P703" i="1"/>
  <c r="N703" i="1"/>
  <c r="L703" i="1"/>
  <c r="K703" i="1" a="1"/>
  <c r="K703" i="1" s="1"/>
  <c r="U703" i="1" s="1"/>
  <c r="J703" i="1" a="1"/>
  <c r="J703" i="1" s="1"/>
  <c r="H703" i="1" a="1"/>
  <c r="H703" i="1" s="1"/>
  <c r="AU702" i="1"/>
  <c r="AC702" i="1" s="1"/>
  <c r="AT702" i="1"/>
  <c r="AB702" i="1" s="1"/>
  <c r="AS702" i="1"/>
  <c r="AA702" i="1" s="1"/>
  <c r="AO702" i="1"/>
  <c r="AN702" i="1"/>
  <c r="AM702" i="1"/>
  <c r="AL702" i="1"/>
  <c r="AK702" i="1"/>
  <c r="AJ702" i="1"/>
  <c r="AI702" i="1"/>
  <c r="AH702" i="1"/>
  <c r="AG702" i="1"/>
  <c r="AF702" i="1"/>
  <c r="AE702" i="1"/>
  <c r="AD702" i="1"/>
  <c r="Z702" i="1"/>
  <c r="W702" i="1"/>
  <c r="Y702" i="1" s="1"/>
  <c r="V702" i="1"/>
  <c r="T702" i="1"/>
  <c r="R702" i="1"/>
  <c r="Q702" i="1" a="1"/>
  <c r="Q702" i="1" s="1"/>
  <c r="P702" i="1"/>
  <c r="N702" i="1"/>
  <c r="L702" i="1"/>
  <c r="K702" i="1" a="1"/>
  <c r="K702" i="1" s="1"/>
  <c r="U702" i="1" s="1"/>
  <c r="J702" i="1" a="1"/>
  <c r="J702" i="1" s="1"/>
  <c r="H702" i="1" a="1"/>
  <c r="H702" i="1" s="1"/>
  <c r="AS701" i="1"/>
  <c r="AA701" i="1" s="1"/>
  <c r="AO701" i="1"/>
  <c r="AN701" i="1"/>
  <c r="AM701" i="1"/>
  <c r="AL701" i="1"/>
  <c r="AK701" i="1"/>
  <c r="AJ701" i="1"/>
  <c r="AI701" i="1"/>
  <c r="AH701" i="1"/>
  <c r="AG701" i="1"/>
  <c r="AF701" i="1"/>
  <c r="AE701" i="1"/>
  <c r="AD701" i="1"/>
  <c r="AC701" i="1"/>
  <c r="AB701" i="1"/>
  <c r="Z701" i="1"/>
  <c r="W701" i="1"/>
  <c r="X701" i="1" s="1"/>
  <c r="V701" i="1"/>
  <c r="T701" i="1"/>
  <c r="R701" i="1"/>
  <c r="Q701" i="1" a="1"/>
  <c r="Q701" i="1" s="1"/>
  <c r="P701" i="1"/>
  <c r="N701" i="1"/>
  <c r="L701" i="1"/>
  <c r="K701" i="1" a="1"/>
  <c r="K701" i="1" s="1"/>
  <c r="U701" i="1" s="1"/>
  <c r="J701" i="1" a="1"/>
  <c r="J701" i="1" s="1"/>
  <c r="H701" i="1" a="1"/>
  <c r="H701" i="1" s="1"/>
  <c r="AS700" i="1"/>
  <c r="AA700" i="1" s="1"/>
  <c r="AO700" i="1"/>
  <c r="AN700" i="1"/>
  <c r="AM700" i="1"/>
  <c r="AL700" i="1"/>
  <c r="AK700" i="1"/>
  <c r="AJ700" i="1"/>
  <c r="AI700" i="1"/>
  <c r="AH700" i="1"/>
  <c r="AG700" i="1"/>
  <c r="AF700" i="1"/>
  <c r="AE700" i="1"/>
  <c r="AD700" i="1"/>
  <c r="AC700" i="1"/>
  <c r="AB700" i="1"/>
  <c r="Z700" i="1"/>
  <c r="W700" i="1"/>
  <c r="Y700" i="1" s="1"/>
  <c r="V700" i="1"/>
  <c r="L700" i="1"/>
  <c r="K700" i="1" a="1"/>
  <c r="K700" i="1" s="1"/>
  <c r="J700" i="1" a="1"/>
  <c r="J700" i="1" s="1"/>
  <c r="H700" i="1" a="1"/>
  <c r="H700" i="1" s="1"/>
  <c r="AS699" i="1"/>
  <c r="AA699" i="1" s="1"/>
  <c r="AO699" i="1"/>
  <c r="AN699" i="1"/>
  <c r="AM699" i="1"/>
  <c r="AL699" i="1"/>
  <c r="AK699" i="1"/>
  <c r="AJ699" i="1"/>
  <c r="AI699" i="1"/>
  <c r="AH699" i="1"/>
  <c r="AG699" i="1"/>
  <c r="AF699" i="1"/>
  <c r="AE699" i="1"/>
  <c r="AD699" i="1"/>
  <c r="AC699" i="1"/>
  <c r="AB699" i="1"/>
  <c r="Z699" i="1"/>
  <c r="W699" i="1"/>
  <c r="Y699" i="1" s="1"/>
  <c r="V699" i="1"/>
  <c r="T699" i="1"/>
  <c r="R699" i="1"/>
  <c r="Q699" i="1" a="1"/>
  <c r="Q699" i="1" s="1"/>
  <c r="P699" i="1"/>
  <c r="N699" i="1"/>
  <c r="L699" i="1"/>
  <c r="K699" i="1" a="1"/>
  <c r="K699" i="1" s="1"/>
  <c r="U699" i="1" s="1"/>
  <c r="J699" i="1" a="1"/>
  <c r="J699" i="1" s="1"/>
  <c r="H699" i="1" a="1"/>
  <c r="H699" i="1" s="1"/>
  <c r="I699" i="1" s="1"/>
  <c r="S699" i="1" s="1"/>
  <c r="AS698" i="1"/>
  <c r="AA698" i="1" s="1"/>
  <c r="AO698" i="1"/>
  <c r="AN698" i="1"/>
  <c r="AM698" i="1"/>
  <c r="AL698" i="1"/>
  <c r="AK698" i="1"/>
  <c r="AJ698" i="1"/>
  <c r="AI698" i="1"/>
  <c r="AH698" i="1"/>
  <c r="AG698" i="1"/>
  <c r="AF698" i="1"/>
  <c r="AE698" i="1"/>
  <c r="AD698" i="1"/>
  <c r="AC698" i="1"/>
  <c r="AB698" i="1"/>
  <c r="Z698" i="1"/>
  <c r="W698" i="1"/>
  <c r="X698" i="1" s="1"/>
  <c r="V698" i="1"/>
  <c r="T698" i="1"/>
  <c r="R698" i="1"/>
  <c r="Q698" i="1" a="1"/>
  <c r="Q698" i="1" s="1"/>
  <c r="P698" i="1"/>
  <c r="N698" i="1"/>
  <c r="L698" i="1"/>
  <c r="K698" i="1" a="1"/>
  <c r="K698" i="1" s="1"/>
  <c r="U698" i="1" s="1"/>
  <c r="J698" i="1" a="1"/>
  <c r="J698" i="1" s="1"/>
  <c r="H698" i="1" a="1"/>
  <c r="H698" i="1" s="1"/>
  <c r="AS697" i="1"/>
  <c r="AA697" i="1" s="1"/>
  <c r="AO697" i="1"/>
  <c r="AN697" i="1"/>
  <c r="AM697" i="1"/>
  <c r="AL697" i="1"/>
  <c r="AK697" i="1"/>
  <c r="AJ697" i="1"/>
  <c r="AI697" i="1"/>
  <c r="AH697" i="1"/>
  <c r="AG697" i="1"/>
  <c r="AF697" i="1"/>
  <c r="AE697" i="1"/>
  <c r="AD697" i="1"/>
  <c r="AC697" i="1"/>
  <c r="AB697" i="1"/>
  <c r="Z697" i="1"/>
  <c r="W697" i="1"/>
  <c r="Y697" i="1" s="1"/>
  <c r="V697" i="1"/>
  <c r="T697" i="1"/>
  <c r="R697" i="1"/>
  <c r="Q697" i="1" a="1"/>
  <c r="Q697" i="1" s="1"/>
  <c r="P697" i="1"/>
  <c r="N697" i="1"/>
  <c r="L697" i="1"/>
  <c r="K697" i="1" a="1"/>
  <c r="K697" i="1" s="1"/>
  <c r="U697" i="1" s="1"/>
  <c r="J697" i="1" a="1"/>
  <c r="J697" i="1" s="1"/>
  <c r="H697" i="1" a="1"/>
  <c r="H697" i="1" s="1"/>
  <c r="I697" i="1" s="1"/>
  <c r="S697" i="1" s="1"/>
  <c r="AS696" i="1"/>
  <c r="AA696" i="1" s="1"/>
  <c r="AO696" i="1"/>
  <c r="AN696" i="1"/>
  <c r="AM696" i="1"/>
  <c r="AL696" i="1"/>
  <c r="AK696" i="1"/>
  <c r="AJ696" i="1"/>
  <c r="AI696" i="1"/>
  <c r="AH696" i="1"/>
  <c r="AG696" i="1"/>
  <c r="AF696" i="1"/>
  <c r="AE696" i="1"/>
  <c r="AD696" i="1"/>
  <c r="AC696" i="1"/>
  <c r="AB696" i="1"/>
  <c r="Z696" i="1"/>
  <c r="W696" i="1"/>
  <c r="V696" i="1"/>
  <c r="T696" i="1"/>
  <c r="R696" i="1"/>
  <c r="Q696" i="1" a="1"/>
  <c r="Q696" i="1" s="1"/>
  <c r="P696" i="1"/>
  <c r="N696" i="1"/>
  <c r="L696" i="1"/>
  <c r="K696" i="1" a="1"/>
  <c r="K696" i="1" s="1"/>
  <c r="U696" i="1" s="1"/>
  <c r="J696" i="1" a="1"/>
  <c r="J696" i="1" s="1"/>
  <c r="H696" i="1" a="1"/>
  <c r="H696" i="1" s="1"/>
  <c r="AS695" i="1"/>
  <c r="AA695" i="1" s="1"/>
  <c r="AO695" i="1"/>
  <c r="AN695" i="1"/>
  <c r="AM695" i="1"/>
  <c r="AL695" i="1"/>
  <c r="AK695" i="1"/>
  <c r="AJ695" i="1"/>
  <c r="AI695" i="1"/>
  <c r="AH695" i="1"/>
  <c r="AG695" i="1"/>
  <c r="AF695" i="1"/>
  <c r="AE695" i="1"/>
  <c r="AD695" i="1"/>
  <c r="AC695" i="1"/>
  <c r="AB695" i="1"/>
  <c r="Z695" i="1"/>
  <c r="W695" i="1"/>
  <c r="Y695" i="1" s="1"/>
  <c r="V695" i="1"/>
  <c r="T695" i="1"/>
  <c r="R695" i="1"/>
  <c r="Q695" i="1" a="1"/>
  <c r="Q695" i="1" s="1"/>
  <c r="P695" i="1"/>
  <c r="N695" i="1"/>
  <c r="L695" i="1"/>
  <c r="K695" i="1" a="1"/>
  <c r="K695" i="1" s="1"/>
  <c r="U695" i="1" s="1"/>
  <c r="J695" i="1" a="1"/>
  <c r="J695" i="1" s="1"/>
  <c r="H695" i="1" a="1"/>
  <c r="H695" i="1" s="1"/>
  <c r="I695" i="1" s="1"/>
  <c r="S695" i="1" s="1"/>
  <c r="AS694" i="1"/>
  <c r="AA694" i="1" s="1"/>
  <c r="AO694" i="1"/>
  <c r="AN694" i="1"/>
  <c r="AM694" i="1"/>
  <c r="AL694" i="1"/>
  <c r="AK694" i="1"/>
  <c r="AJ694" i="1"/>
  <c r="AI694" i="1"/>
  <c r="AH694" i="1"/>
  <c r="AG694" i="1"/>
  <c r="AF694" i="1"/>
  <c r="AE694" i="1"/>
  <c r="AD694" i="1"/>
  <c r="AC694" i="1"/>
  <c r="AB694" i="1"/>
  <c r="Z694" i="1"/>
  <c r="W694" i="1"/>
  <c r="X694" i="1" s="1"/>
  <c r="V694" i="1"/>
  <c r="T694" i="1"/>
  <c r="R694" i="1"/>
  <c r="Q694" i="1" a="1"/>
  <c r="Q694" i="1" s="1"/>
  <c r="P694" i="1"/>
  <c r="N694" i="1"/>
  <c r="L694" i="1"/>
  <c r="K694" i="1" a="1"/>
  <c r="K694" i="1" s="1"/>
  <c r="U694" i="1" s="1"/>
  <c r="J694" i="1" a="1"/>
  <c r="J694" i="1" s="1"/>
  <c r="H694" i="1" a="1"/>
  <c r="H694" i="1" s="1"/>
  <c r="I694" i="1" s="1"/>
  <c r="S694" i="1" s="1"/>
  <c r="AS693" i="1"/>
  <c r="AA693" i="1" s="1"/>
  <c r="AO693" i="1"/>
  <c r="AN693" i="1"/>
  <c r="AM693" i="1"/>
  <c r="AL693" i="1"/>
  <c r="AK693" i="1"/>
  <c r="AJ693" i="1"/>
  <c r="AI693" i="1"/>
  <c r="AH693" i="1"/>
  <c r="AG693" i="1"/>
  <c r="AF693" i="1"/>
  <c r="AE693" i="1"/>
  <c r="AD693" i="1"/>
  <c r="AC693" i="1"/>
  <c r="AB693" i="1"/>
  <c r="Z693" i="1"/>
  <c r="W693" i="1"/>
  <c r="X693" i="1" s="1"/>
  <c r="V693" i="1"/>
  <c r="T693" i="1"/>
  <c r="R693" i="1"/>
  <c r="Q693" i="1" a="1"/>
  <c r="Q693" i="1" s="1"/>
  <c r="P693" i="1"/>
  <c r="N693" i="1"/>
  <c r="L693" i="1"/>
  <c r="K693" i="1" a="1"/>
  <c r="K693" i="1" s="1"/>
  <c r="U693" i="1" s="1"/>
  <c r="J693" i="1" a="1"/>
  <c r="J693" i="1" s="1"/>
  <c r="H693" i="1" a="1"/>
  <c r="H693" i="1" s="1"/>
  <c r="AS692" i="1"/>
  <c r="AA692" i="1" s="1"/>
  <c r="AO692" i="1"/>
  <c r="AN692" i="1"/>
  <c r="AM692" i="1"/>
  <c r="AL692" i="1"/>
  <c r="AK692" i="1"/>
  <c r="AJ692" i="1"/>
  <c r="AI692" i="1"/>
  <c r="AH692" i="1"/>
  <c r="AG692" i="1"/>
  <c r="AF692" i="1"/>
  <c r="AE692" i="1"/>
  <c r="AD692" i="1"/>
  <c r="AC692" i="1"/>
  <c r="AB692" i="1"/>
  <c r="Z692" i="1"/>
  <c r="W692" i="1"/>
  <c r="X692" i="1" s="1"/>
  <c r="V692" i="1"/>
  <c r="T692" i="1"/>
  <c r="R692" i="1"/>
  <c r="Q692" i="1" a="1"/>
  <c r="Q692" i="1" s="1"/>
  <c r="P692" i="1"/>
  <c r="N692" i="1"/>
  <c r="L692" i="1"/>
  <c r="K692" i="1" a="1"/>
  <c r="K692" i="1" s="1"/>
  <c r="U692" i="1" s="1"/>
  <c r="J692" i="1" a="1"/>
  <c r="J692" i="1" s="1"/>
  <c r="H692" i="1" a="1"/>
  <c r="H692" i="1" s="1"/>
  <c r="I692" i="1" s="1"/>
  <c r="S692" i="1" s="1"/>
  <c r="AT691" i="1"/>
  <c r="AB691" i="1" s="1"/>
  <c r="AS691" i="1"/>
  <c r="AA691" i="1" s="1"/>
  <c r="AO691" i="1"/>
  <c r="AN691" i="1"/>
  <c r="AM691" i="1"/>
  <c r="AL691" i="1"/>
  <c r="AK691" i="1"/>
  <c r="AJ691" i="1"/>
  <c r="AI691" i="1"/>
  <c r="AH691" i="1"/>
  <c r="AG691" i="1"/>
  <c r="AF691" i="1"/>
  <c r="AE691" i="1"/>
  <c r="AD691" i="1"/>
  <c r="AC691" i="1"/>
  <c r="Z691" i="1"/>
  <c r="W691" i="1"/>
  <c r="X691" i="1" s="1"/>
  <c r="V691" i="1"/>
  <c r="T691" i="1"/>
  <c r="R691" i="1"/>
  <c r="Q691" i="1" a="1"/>
  <c r="Q691" i="1" s="1"/>
  <c r="P691" i="1"/>
  <c r="N691" i="1"/>
  <c r="L691" i="1"/>
  <c r="K691" i="1" a="1"/>
  <c r="K691" i="1" s="1"/>
  <c r="U691" i="1" s="1"/>
  <c r="J691" i="1" a="1"/>
  <c r="J691" i="1" s="1"/>
  <c r="H691" i="1" a="1"/>
  <c r="H691" i="1" s="1"/>
  <c r="I691" i="1" s="1"/>
  <c r="AT690" i="1"/>
  <c r="AB690" i="1" s="1"/>
  <c r="AS690" i="1"/>
  <c r="AA690" i="1" s="1"/>
  <c r="AO690" i="1"/>
  <c r="AN690" i="1"/>
  <c r="AM690" i="1"/>
  <c r="AL690" i="1"/>
  <c r="AK690" i="1"/>
  <c r="AJ690" i="1"/>
  <c r="AI690" i="1"/>
  <c r="AH690" i="1"/>
  <c r="AG690" i="1"/>
  <c r="AF690" i="1"/>
  <c r="AE690" i="1"/>
  <c r="AD690" i="1"/>
  <c r="AC690" i="1"/>
  <c r="Z690" i="1"/>
  <c r="W690" i="1"/>
  <c r="Y690" i="1" s="1"/>
  <c r="V690" i="1"/>
  <c r="T690" i="1"/>
  <c r="R690" i="1"/>
  <c r="Q690" i="1" a="1"/>
  <c r="Q690" i="1" s="1"/>
  <c r="P690" i="1"/>
  <c r="N690" i="1"/>
  <c r="L690" i="1"/>
  <c r="K690" i="1" a="1"/>
  <c r="K690" i="1" s="1"/>
  <c r="U690" i="1" s="1"/>
  <c r="J690" i="1" a="1"/>
  <c r="J690" i="1" s="1"/>
  <c r="H690" i="1" a="1"/>
  <c r="H690" i="1" s="1"/>
  <c r="AS689" i="1"/>
  <c r="AA689" i="1" s="1"/>
  <c r="AO689" i="1"/>
  <c r="AN689" i="1"/>
  <c r="AM689" i="1"/>
  <c r="AL689" i="1"/>
  <c r="AK689" i="1"/>
  <c r="AJ689" i="1"/>
  <c r="AI689" i="1"/>
  <c r="AH689" i="1"/>
  <c r="AG689" i="1"/>
  <c r="AF689" i="1"/>
  <c r="AE689" i="1"/>
  <c r="AD689" i="1"/>
  <c r="AC689" i="1"/>
  <c r="AB689" i="1"/>
  <c r="Z689" i="1"/>
  <c r="W689" i="1"/>
  <c r="X689" i="1" s="1"/>
  <c r="V689" i="1"/>
  <c r="T689" i="1"/>
  <c r="R689" i="1"/>
  <c r="Q689" i="1" a="1"/>
  <c r="Q689" i="1" s="1"/>
  <c r="P689" i="1"/>
  <c r="N689" i="1"/>
  <c r="L689" i="1"/>
  <c r="K689" i="1" a="1"/>
  <c r="K689" i="1" s="1"/>
  <c r="U689" i="1" s="1"/>
  <c r="J689" i="1" a="1"/>
  <c r="J689" i="1" s="1"/>
  <c r="H689" i="1" a="1"/>
  <c r="H689" i="1" s="1"/>
  <c r="AS688" i="1"/>
  <c r="AA688" i="1" s="1"/>
  <c r="AO688" i="1"/>
  <c r="AN688" i="1"/>
  <c r="AM688" i="1"/>
  <c r="AL688" i="1"/>
  <c r="AK688" i="1"/>
  <c r="AJ688" i="1"/>
  <c r="AI688" i="1"/>
  <c r="AH688" i="1"/>
  <c r="AG688" i="1"/>
  <c r="AF688" i="1"/>
  <c r="AE688" i="1"/>
  <c r="AD688" i="1"/>
  <c r="AC688" i="1"/>
  <c r="AB688" i="1"/>
  <c r="Z688" i="1"/>
  <c r="W688" i="1"/>
  <c r="Y688" i="1" s="1"/>
  <c r="V688" i="1"/>
  <c r="T688" i="1"/>
  <c r="R688" i="1"/>
  <c r="Q688" i="1" a="1"/>
  <c r="Q688" i="1" s="1"/>
  <c r="P688" i="1"/>
  <c r="N688" i="1"/>
  <c r="L688" i="1"/>
  <c r="K688" i="1" a="1"/>
  <c r="K688" i="1" s="1"/>
  <c r="U688" i="1" s="1"/>
  <c r="J688" i="1" a="1"/>
  <c r="J688" i="1" s="1"/>
  <c r="H688" i="1" a="1"/>
  <c r="H688" i="1" s="1"/>
  <c r="AS687" i="1"/>
  <c r="AA687" i="1" s="1"/>
  <c r="AO687" i="1"/>
  <c r="AN687" i="1"/>
  <c r="AM687" i="1"/>
  <c r="AL687" i="1"/>
  <c r="AK687" i="1"/>
  <c r="AJ687" i="1"/>
  <c r="AI687" i="1"/>
  <c r="AH687" i="1"/>
  <c r="AG687" i="1"/>
  <c r="AF687" i="1"/>
  <c r="AE687" i="1"/>
  <c r="AD687" i="1"/>
  <c r="AC687" i="1"/>
  <c r="AB687" i="1"/>
  <c r="Z687" i="1"/>
  <c r="W687" i="1"/>
  <c r="Y687" i="1" s="1"/>
  <c r="V687" i="1"/>
  <c r="T687" i="1"/>
  <c r="R687" i="1"/>
  <c r="Q687" i="1" a="1"/>
  <c r="Q687" i="1" s="1"/>
  <c r="P687" i="1"/>
  <c r="N687" i="1"/>
  <c r="L687" i="1"/>
  <c r="K687" i="1" a="1"/>
  <c r="K687" i="1" s="1"/>
  <c r="U687" i="1" s="1"/>
  <c r="J687" i="1" a="1"/>
  <c r="J687" i="1" s="1"/>
  <c r="H687" i="1" a="1"/>
  <c r="H687" i="1" s="1"/>
  <c r="AS686" i="1"/>
  <c r="AA686" i="1" s="1"/>
  <c r="AO686" i="1"/>
  <c r="AN686" i="1"/>
  <c r="AM686" i="1"/>
  <c r="AL686" i="1"/>
  <c r="AK686" i="1"/>
  <c r="AJ686" i="1"/>
  <c r="AI686" i="1"/>
  <c r="AH686" i="1"/>
  <c r="AG686" i="1"/>
  <c r="AF686" i="1"/>
  <c r="AE686" i="1"/>
  <c r="AD686" i="1"/>
  <c r="AC686" i="1"/>
  <c r="AB686" i="1"/>
  <c r="Z686" i="1"/>
  <c r="W686" i="1"/>
  <c r="Y686" i="1" s="1"/>
  <c r="V686" i="1"/>
  <c r="T686" i="1"/>
  <c r="R686" i="1"/>
  <c r="Q686" i="1" a="1"/>
  <c r="Q686" i="1" s="1"/>
  <c r="P686" i="1"/>
  <c r="N686" i="1"/>
  <c r="L686" i="1"/>
  <c r="K686" i="1" a="1"/>
  <c r="K686" i="1" s="1"/>
  <c r="U686" i="1" s="1"/>
  <c r="J686" i="1" a="1"/>
  <c r="J686" i="1" s="1"/>
  <c r="H686" i="1" a="1"/>
  <c r="H686" i="1" s="1"/>
  <c r="AS685" i="1"/>
  <c r="AA685" i="1" s="1"/>
  <c r="AO685" i="1"/>
  <c r="AN685" i="1"/>
  <c r="AM685" i="1"/>
  <c r="AL685" i="1"/>
  <c r="AK685" i="1"/>
  <c r="AJ685" i="1"/>
  <c r="AI685" i="1"/>
  <c r="AH685" i="1"/>
  <c r="AG685" i="1"/>
  <c r="AF685" i="1"/>
  <c r="AE685" i="1"/>
  <c r="AD685" i="1"/>
  <c r="AC685" i="1"/>
  <c r="AB685" i="1"/>
  <c r="Z685" i="1"/>
  <c r="W685" i="1"/>
  <c r="V685" i="1"/>
  <c r="T685" i="1"/>
  <c r="R685" i="1"/>
  <c r="Q685" i="1" a="1"/>
  <c r="Q685" i="1" s="1"/>
  <c r="P685" i="1"/>
  <c r="N685" i="1"/>
  <c r="L685" i="1"/>
  <c r="K685" i="1" a="1"/>
  <c r="K685" i="1" s="1"/>
  <c r="U685" i="1" s="1"/>
  <c r="J685" i="1" a="1"/>
  <c r="J685" i="1" s="1"/>
  <c r="H685" i="1" a="1"/>
  <c r="H685" i="1" s="1"/>
  <c r="AS684" i="1"/>
  <c r="AA684" i="1" s="1"/>
  <c r="AO684" i="1"/>
  <c r="AN684" i="1"/>
  <c r="AM684" i="1"/>
  <c r="AL684" i="1"/>
  <c r="AK684" i="1"/>
  <c r="AJ684" i="1"/>
  <c r="AI684" i="1"/>
  <c r="AH684" i="1"/>
  <c r="AG684" i="1"/>
  <c r="AF684" i="1"/>
  <c r="AE684" i="1"/>
  <c r="AD684" i="1"/>
  <c r="AC684" i="1"/>
  <c r="AB684" i="1"/>
  <c r="Z684" i="1"/>
  <c r="W684" i="1"/>
  <c r="Y684" i="1" s="1"/>
  <c r="V684" i="1"/>
  <c r="T684" i="1"/>
  <c r="R684" i="1"/>
  <c r="Q684" i="1" a="1"/>
  <c r="Q684" i="1" s="1"/>
  <c r="P684" i="1"/>
  <c r="N684" i="1"/>
  <c r="L684" i="1"/>
  <c r="K684" i="1" a="1"/>
  <c r="K684" i="1" s="1"/>
  <c r="U684" i="1" s="1"/>
  <c r="J684" i="1" a="1"/>
  <c r="J684" i="1" s="1"/>
  <c r="H684" i="1" a="1"/>
  <c r="H684" i="1" s="1"/>
  <c r="N683" i="1"/>
  <c r="L683" i="1"/>
  <c r="K683" i="1" a="1"/>
  <c r="K683" i="1" s="1"/>
  <c r="J683" i="1" a="1"/>
  <c r="J683" i="1" s="1"/>
  <c r="H683" i="1" a="1"/>
  <c r="H683" i="1" s="1"/>
  <c r="N682" i="1"/>
  <c r="L682" i="1"/>
  <c r="K682" i="1" a="1"/>
  <c r="K682" i="1" s="1"/>
  <c r="J682" i="1" a="1"/>
  <c r="J682" i="1" s="1"/>
  <c r="H682" i="1" a="1"/>
  <c r="H682" i="1" s="1"/>
  <c r="AV681" i="1"/>
  <c r="AD681" i="1" s="1"/>
  <c r="AU681" i="1"/>
  <c r="AC681" i="1" s="1"/>
  <c r="AT681" i="1"/>
  <c r="AB681" i="1" s="1"/>
  <c r="AS681" i="1"/>
  <c r="AO681" i="1"/>
  <c r="AN681" i="1"/>
  <c r="AM681" i="1"/>
  <c r="AL681" i="1"/>
  <c r="AK681" i="1"/>
  <c r="AJ681" i="1"/>
  <c r="AI681" i="1"/>
  <c r="AH681" i="1"/>
  <c r="AG681" i="1"/>
  <c r="AF681" i="1"/>
  <c r="AE681" i="1"/>
  <c r="AA681" i="1"/>
  <c r="Z681" i="1"/>
  <c r="W681" i="1"/>
  <c r="Y681" i="1" s="1"/>
  <c r="V681" i="1"/>
  <c r="T681" i="1"/>
  <c r="R681" i="1"/>
  <c r="Q681" i="1" a="1"/>
  <c r="Q681" i="1" s="1"/>
  <c r="P681" i="1"/>
  <c r="N681" i="1"/>
  <c r="L681" i="1"/>
  <c r="K681" i="1" a="1"/>
  <c r="K681" i="1" s="1"/>
  <c r="U681" i="1" s="1"/>
  <c r="J681" i="1" a="1"/>
  <c r="J681" i="1" s="1"/>
  <c r="H681" i="1" a="1"/>
  <c r="H681" i="1" s="1"/>
  <c r="AS680" i="1"/>
  <c r="AA680" i="1" s="1"/>
  <c r="AO680" i="1"/>
  <c r="AN680" i="1"/>
  <c r="AM680" i="1"/>
  <c r="AL680" i="1"/>
  <c r="AK680" i="1"/>
  <c r="AJ680" i="1"/>
  <c r="AI680" i="1"/>
  <c r="AH680" i="1"/>
  <c r="AG680" i="1"/>
  <c r="AF680" i="1"/>
  <c r="AE680" i="1"/>
  <c r="AD680" i="1"/>
  <c r="AC680" i="1"/>
  <c r="AB680" i="1"/>
  <c r="Z680" i="1"/>
  <c r="W680" i="1"/>
  <c r="X680" i="1" s="1"/>
  <c r="V680" i="1"/>
  <c r="T680" i="1"/>
  <c r="R680" i="1"/>
  <c r="Q680" i="1" a="1"/>
  <c r="Q680" i="1" s="1"/>
  <c r="P680" i="1"/>
  <c r="N680" i="1"/>
  <c r="L680" i="1"/>
  <c r="K680" i="1" a="1"/>
  <c r="K680" i="1" s="1"/>
  <c r="U680" i="1" s="1"/>
  <c r="J680" i="1" a="1"/>
  <c r="J680" i="1" s="1"/>
  <c r="H680" i="1" a="1"/>
  <c r="H680" i="1" s="1"/>
  <c r="AS679" i="1"/>
  <c r="AA679" i="1" s="1"/>
  <c r="AO679" i="1"/>
  <c r="AN679" i="1"/>
  <c r="AM679" i="1"/>
  <c r="AL679" i="1"/>
  <c r="AK679" i="1"/>
  <c r="AJ679" i="1"/>
  <c r="AI679" i="1"/>
  <c r="AH679" i="1"/>
  <c r="AG679" i="1"/>
  <c r="AF679" i="1"/>
  <c r="AE679" i="1"/>
  <c r="AD679" i="1"/>
  <c r="AC679" i="1"/>
  <c r="AB679" i="1"/>
  <c r="Z679" i="1"/>
  <c r="W679" i="1"/>
  <c r="Y679" i="1" s="1"/>
  <c r="V679" i="1"/>
  <c r="T679" i="1"/>
  <c r="R679" i="1"/>
  <c r="Q679" i="1" a="1"/>
  <c r="Q679" i="1" s="1"/>
  <c r="P679" i="1"/>
  <c r="N679" i="1"/>
  <c r="L679" i="1"/>
  <c r="K679" i="1" a="1"/>
  <c r="K679" i="1" s="1"/>
  <c r="U679" i="1" s="1"/>
  <c r="J679" i="1" a="1"/>
  <c r="J679" i="1" s="1"/>
  <c r="H679" i="1" a="1"/>
  <c r="H679" i="1" s="1"/>
  <c r="AS678" i="1"/>
  <c r="AA678" i="1" s="1"/>
  <c r="AO678" i="1"/>
  <c r="AN678" i="1"/>
  <c r="AM678" i="1"/>
  <c r="AL678" i="1"/>
  <c r="AK678" i="1"/>
  <c r="AJ678" i="1"/>
  <c r="AI678" i="1"/>
  <c r="AH678" i="1"/>
  <c r="AG678" i="1"/>
  <c r="AF678" i="1"/>
  <c r="AE678" i="1"/>
  <c r="AD678" i="1"/>
  <c r="AC678" i="1"/>
  <c r="AB678" i="1"/>
  <c r="Z678" i="1"/>
  <c r="W678" i="1"/>
  <c r="X678" i="1" s="1"/>
  <c r="V678" i="1"/>
  <c r="T678" i="1"/>
  <c r="R678" i="1"/>
  <c r="Q678" i="1" a="1"/>
  <c r="Q678" i="1" s="1"/>
  <c r="P678" i="1"/>
  <c r="N678" i="1"/>
  <c r="L678" i="1"/>
  <c r="K678" i="1" a="1"/>
  <c r="K678" i="1" s="1"/>
  <c r="U678" i="1" s="1"/>
  <c r="J678" i="1" a="1"/>
  <c r="J678" i="1" s="1"/>
  <c r="H678" i="1" a="1"/>
  <c r="H678" i="1" s="1"/>
  <c r="AS677" i="1"/>
  <c r="AA677" i="1" s="1"/>
  <c r="AO677" i="1"/>
  <c r="AN677" i="1"/>
  <c r="AM677" i="1"/>
  <c r="AL677" i="1"/>
  <c r="AK677" i="1"/>
  <c r="AJ677" i="1"/>
  <c r="AI677" i="1"/>
  <c r="AH677" i="1"/>
  <c r="AG677" i="1"/>
  <c r="AF677" i="1"/>
  <c r="AE677" i="1"/>
  <c r="AD677" i="1"/>
  <c r="AC677" i="1"/>
  <c r="AB677" i="1"/>
  <c r="Z677" i="1"/>
  <c r="W677" i="1"/>
  <c r="Y677" i="1" s="1"/>
  <c r="V677" i="1"/>
  <c r="T677" i="1"/>
  <c r="R677" i="1"/>
  <c r="Q677" i="1" a="1"/>
  <c r="Q677" i="1" s="1"/>
  <c r="P677" i="1"/>
  <c r="N677" i="1"/>
  <c r="L677" i="1"/>
  <c r="K677" i="1" a="1"/>
  <c r="K677" i="1" s="1"/>
  <c r="U677" i="1" s="1"/>
  <c r="J677" i="1" a="1"/>
  <c r="J677" i="1" s="1"/>
  <c r="H677" i="1" a="1"/>
  <c r="H677" i="1" s="1"/>
  <c r="AT676" i="1"/>
  <c r="AB676" i="1" s="1"/>
  <c r="AS676" i="1"/>
  <c r="AA676" i="1" s="1"/>
  <c r="AO676" i="1"/>
  <c r="AN676" i="1"/>
  <c r="AM676" i="1"/>
  <c r="AL676" i="1"/>
  <c r="AK676" i="1"/>
  <c r="AJ676" i="1"/>
  <c r="AI676" i="1"/>
  <c r="AH676" i="1"/>
  <c r="AG676" i="1"/>
  <c r="AF676" i="1"/>
  <c r="AE676" i="1"/>
  <c r="AD676" i="1"/>
  <c r="AC676" i="1"/>
  <c r="Z676" i="1"/>
  <c r="W676" i="1"/>
  <c r="Y676" i="1" s="1"/>
  <c r="V676" i="1"/>
  <c r="T676" i="1"/>
  <c r="R676" i="1"/>
  <c r="Q676" i="1" a="1"/>
  <c r="Q676" i="1" s="1"/>
  <c r="P676" i="1"/>
  <c r="N676" i="1"/>
  <c r="L676" i="1"/>
  <c r="K676" i="1" a="1"/>
  <c r="K676" i="1" s="1"/>
  <c r="U676" i="1" s="1"/>
  <c r="J676" i="1" a="1"/>
  <c r="J676" i="1" s="1"/>
  <c r="H676" i="1" a="1"/>
  <c r="H676" i="1" s="1"/>
  <c r="AS675" i="1"/>
  <c r="AA675" i="1" s="1"/>
  <c r="AO675" i="1"/>
  <c r="AN675" i="1"/>
  <c r="AM675" i="1"/>
  <c r="AL675" i="1"/>
  <c r="AK675" i="1"/>
  <c r="AJ675" i="1"/>
  <c r="AI675" i="1"/>
  <c r="AH675" i="1"/>
  <c r="AG675" i="1"/>
  <c r="AF675" i="1"/>
  <c r="AE675" i="1"/>
  <c r="AD675" i="1"/>
  <c r="AC675" i="1"/>
  <c r="AB675" i="1"/>
  <c r="Z675" i="1"/>
  <c r="W675" i="1"/>
  <c r="X675" i="1" s="1"/>
  <c r="V675" i="1"/>
  <c r="T675" i="1"/>
  <c r="R675" i="1"/>
  <c r="Q675" i="1" a="1"/>
  <c r="Q675" i="1" s="1"/>
  <c r="P675" i="1"/>
  <c r="N675" i="1"/>
  <c r="L675" i="1"/>
  <c r="K675" i="1" a="1"/>
  <c r="K675" i="1" s="1"/>
  <c r="U675" i="1" s="1"/>
  <c r="J675" i="1" a="1"/>
  <c r="J675" i="1" s="1"/>
  <c r="H675" i="1" a="1"/>
  <c r="H675" i="1" s="1"/>
  <c r="I675" i="1" s="1"/>
  <c r="S675" i="1" s="1"/>
  <c r="AS674" i="1"/>
  <c r="AA674" i="1" s="1"/>
  <c r="AO674" i="1"/>
  <c r="AN674" i="1"/>
  <c r="AM674" i="1"/>
  <c r="AL674" i="1"/>
  <c r="AK674" i="1"/>
  <c r="AJ674" i="1"/>
  <c r="AI674" i="1"/>
  <c r="AH674" i="1"/>
  <c r="AG674" i="1"/>
  <c r="AF674" i="1"/>
  <c r="AE674" i="1"/>
  <c r="AD674" i="1"/>
  <c r="AC674" i="1"/>
  <c r="AB674" i="1"/>
  <c r="Z674" i="1"/>
  <c r="W674" i="1"/>
  <c r="Y674" i="1" s="1"/>
  <c r="V674" i="1"/>
  <c r="T674" i="1"/>
  <c r="R674" i="1"/>
  <c r="Q674" i="1" a="1"/>
  <c r="Q674" i="1" s="1"/>
  <c r="P674" i="1"/>
  <c r="N674" i="1"/>
  <c r="L674" i="1"/>
  <c r="K674" i="1" a="1"/>
  <c r="K674" i="1" s="1"/>
  <c r="U674" i="1" s="1"/>
  <c r="J674" i="1" a="1"/>
  <c r="J674" i="1" s="1"/>
  <c r="H674" i="1" a="1"/>
  <c r="H674" i="1" s="1"/>
  <c r="AS673" i="1"/>
  <c r="AA673" i="1" s="1"/>
  <c r="AO673" i="1"/>
  <c r="AN673" i="1"/>
  <c r="AM673" i="1"/>
  <c r="AL673" i="1"/>
  <c r="AK673" i="1"/>
  <c r="AJ673" i="1"/>
  <c r="AI673" i="1"/>
  <c r="AH673" i="1"/>
  <c r="AG673" i="1"/>
  <c r="AF673" i="1"/>
  <c r="AE673" i="1"/>
  <c r="AD673" i="1"/>
  <c r="AC673" i="1"/>
  <c r="AB673" i="1"/>
  <c r="Z673" i="1"/>
  <c r="W673" i="1"/>
  <c r="Y673" i="1" s="1"/>
  <c r="V673" i="1"/>
  <c r="T673" i="1"/>
  <c r="R673" i="1"/>
  <c r="Q673" i="1" a="1"/>
  <c r="Q673" i="1" s="1"/>
  <c r="P673" i="1"/>
  <c r="N673" i="1"/>
  <c r="L673" i="1"/>
  <c r="K673" i="1" a="1"/>
  <c r="K673" i="1" s="1"/>
  <c r="U673" i="1" s="1"/>
  <c r="J673" i="1" a="1"/>
  <c r="J673" i="1" s="1"/>
  <c r="H673" i="1" a="1"/>
  <c r="H673" i="1" s="1"/>
  <c r="AS672" i="1"/>
  <c r="AA672" i="1" s="1"/>
  <c r="AO672" i="1"/>
  <c r="AN672" i="1"/>
  <c r="AM672" i="1"/>
  <c r="AL672" i="1"/>
  <c r="AK672" i="1"/>
  <c r="AJ672" i="1"/>
  <c r="AI672" i="1"/>
  <c r="AH672" i="1"/>
  <c r="AG672" i="1"/>
  <c r="AF672" i="1"/>
  <c r="AE672" i="1"/>
  <c r="AD672" i="1"/>
  <c r="AC672" i="1"/>
  <c r="AB672" i="1"/>
  <c r="Z672" i="1"/>
  <c r="W672" i="1"/>
  <c r="Y672" i="1" s="1"/>
  <c r="V672" i="1"/>
  <c r="T672" i="1"/>
  <c r="R672" i="1"/>
  <c r="Q672" i="1" a="1"/>
  <c r="Q672" i="1" s="1"/>
  <c r="P672" i="1"/>
  <c r="N672" i="1"/>
  <c r="L672" i="1"/>
  <c r="K672" i="1" a="1"/>
  <c r="K672" i="1" s="1"/>
  <c r="U672" i="1" s="1"/>
  <c r="J672" i="1" a="1"/>
  <c r="J672" i="1" s="1"/>
  <c r="H672" i="1" a="1"/>
  <c r="H672" i="1" s="1"/>
  <c r="AS671" i="1"/>
  <c r="AA671" i="1" s="1"/>
  <c r="AO671" i="1"/>
  <c r="AN671" i="1"/>
  <c r="AM671" i="1"/>
  <c r="AL671" i="1"/>
  <c r="AK671" i="1"/>
  <c r="AJ671" i="1"/>
  <c r="AI671" i="1"/>
  <c r="AH671" i="1"/>
  <c r="AG671" i="1"/>
  <c r="AF671" i="1"/>
  <c r="AE671" i="1"/>
  <c r="AD671" i="1"/>
  <c r="AC671" i="1"/>
  <c r="AB671" i="1"/>
  <c r="Z671" i="1"/>
  <c r="W671" i="1"/>
  <c r="V671" i="1"/>
  <c r="T671" i="1"/>
  <c r="R671" i="1"/>
  <c r="Q671" i="1" a="1"/>
  <c r="Q671" i="1" s="1"/>
  <c r="P671" i="1"/>
  <c r="N671" i="1"/>
  <c r="L671" i="1"/>
  <c r="K671" i="1" a="1"/>
  <c r="K671" i="1" s="1"/>
  <c r="U671" i="1" s="1"/>
  <c r="J671" i="1" a="1"/>
  <c r="J671" i="1" s="1"/>
  <c r="H671" i="1" a="1"/>
  <c r="H671" i="1" s="1"/>
  <c r="AS670" i="1"/>
  <c r="AA670" i="1" s="1"/>
  <c r="AO670" i="1"/>
  <c r="AN670" i="1"/>
  <c r="AM670" i="1"/>
  <c r="AL670" i="1"/>
  <c r="AK670" i="1"/>
  <c r="AJ670" i="1"/>
  <c r="AI670" i="1"/>
  <c r="AH670" i="1"/>
  <c r="AG670" i="1"/>
  <c r="AF670" i="1"/>
  <c r="AE670" i="1"/>
  <c r="AD670" i="1"/>
  <c r="AC670" i="1"/>
  <c r="AB670" i="1"/>
  <c r="Z670" i="1"/>
  <c r="W670" i="1"/>
  <c r="X670" i="1" s="1"/>
  <c r="V670" i="1"/>
  <c r="T670" i="1"/>
  <c r="R670" i="1"/>
  <c r="Q670" i="1" a="1"/>
  <c r="Q670" i="1" s="1"/>
  <c r="P670" i="1"/>
  <c r="N670" i="1"/>
  <c r="L670" i="1"/>
  <c r="K670" i="1" a="1"/>
  <c r="K670" i="1" s="1"/>
  <c r="U670" i="1" s="1"/>
  <c r="J670" i="1" a="1"/>
  <c r="J670" i="1" s="1"/>
  <c r="H670" i="1" a="1"/>
  <c r="H670" i="1" s="1"/>
  <c r="AS669" i="1"/>
  <c r="AA669" i="1" s="1"/>
  <c r="AO669" i="1"/>
  <c r="AN669" i="1"/>
  <c r="AM669" i="1"/>
  <c r="AL669" i="1"/>
  <c r="AK669" i="1"/>
  <c r="AJ669" i="1"/>
  <c r="AI669" i="1"/>
  <c r="AH669" i="1"/>
  <c r="AG669" i="1"/>
  <c r="AF669" i="1"/>
  <c r="AE669" i="1"/>
  <c r="AD669" i="1"/>
  <c r="AC669" i="1"/>
  <c r="AB669" i="1"/>
  <c r="Z669" i="1"/>
  <c r="W669" i="1"/>
  <c r="Y669" i="1" s="1"/>
  <c r="V669" i="1"/>
  <c r="T669" i="1"/>
  <c r="R669" i="1"/>
  <c r="Q669" i="1" a="1"/>
  <c r="Q669" i="1" s="1"/>
  <c r="P669" i="1"/>
  <c r="N669" i="1"/>
  <c r="L669" i="1"/>
  <c r="K669" i="1" a="1"/>
  <c r="K669" i="1" s="1"/>
  <c r="U669" i="1" s="1"/>
  <c r="J669" i="1" a="1"/>
  <c r="J669" i="1" s="1"/>
  <c r="H669" i="1" a="1"/>
  <c r="H669" i="1" s="1"/>
  <c r="AS668" i="1"/>
  <c r="AA668" i="1" s="1"/>
  <c r="AO668" i="1"/>
  <c r="AN668" i="1"/>
  <c r="AM668" i="1"/>
  <c r="AL668" i="1"/>
  <c r="AK668" i="1"/>
  <c r="AJ668" i="1"/>
  <c r="AI668" i="1"/>
  <c r="AH668" i="1"/>
  <c r="AG668" i="1"/>
  <c r="AF668" i="1"/>
  <c r="AE668" i="1"/>
  <c r="AD668" i="1"/>
  <c r="AC668" i="1"/>
  <c r="AB668" i="1"/>
  <c r="Z668" i="1"/>
  <c r="W668" i="1"/>
  <c r="Y668" i="1" s="1"/>
  <c r="V668" i="1"/>
  <c r="T668" i="1"/>
  <c r="R668" i="1"/>
  <c r="Q668" i="1" a="1"/>
  <c r="Q668" i="1" s="1"/>
  <c r="P668" i="1"/>
  <c r="N668" i="1"/>
  <c r="L668" i="1"/>
  <c r="K668" i="1" a="1"/>
  <c r="K668" i="1" s="1"/>
  <c r="U668" i="1" s="1"/>
  <c r="J668" i="1" a="1"/>
  <c r="J668" i="1" s="1"/>
  <c r="H668" i="1" a="1"/>
  <c r="H668" i="1" s="1"/>
  <c r="AS667" i="1"/>
  <c r="AA667" i="1" s="1"/>
  <c r="AO667" i="1"/>
  <c r="AN667" i="1"/>
  <c r="AM667" i="1"/>
  <c r="AL667" i="1"/>
  <c r="AK667" i="1"/>
  <c r="AJ667" i="1"/>
  <c r="AI667" i="1"/>
  <c r="AH667" i="1"/>
  <c r="AG667" i="1"/>
  <c r="AF667" i="1"/>
  <c r="AE667" i="1"/>
  <c r="AD667" i="1"/>
  <c r="AC667" i="1"/>
  <c r="AB667" i="1"/>
  <c r="Z667" i="1"/>
  <c r="W667" i="1"/>
  <c r="X667" i="1" s="1"/>
  <c r="V667" i="1"/>
  <c r="T667" i="1"/>
  <c r="R667" i="1"/>
  <c r="Q667" i="1" a="1"/>
  <c r="Q667" i="1" s="1"/>
  <c r="P667" i="1"/>
  <c r="N667" i="1"/>
  <c r="L667" i="1"/>
  <c r="K667" i="1" a="1"/>
  <c r="K667" i="1" s="1"/>
  <c r="U667" i="1" s="1"/>
  <c r="J667" i="1" a="1"/>
  <c r="J667" i="1" s="1"/>
  <c r="H667" i="1" a="1"/>
  <c r="H667" i="1" s="1"/>
  <c r="I667" i="1" s="1"/>
  <c r="S667" i="1" s="1"/>
  <c r="AS666" i="1"/>
  <c r="AA666" i="1" s="1"/>
  <c r="AO666" i="1"/>
  <c r="AN666" i="1"/>
  <c r="AM666" i="1"/>
  <c r="AL666" i="1"/>
  <c r="AK666" i="1"/>
  <c r="AJ666" i="1"/>
  <c r="AI666" i="1"/>
  <c r="AH666" i="1"/>
  <c r="AG666" i="1"/>
  <c r="AF666" i="1"/>
  <c r="AE666" i="1"/>
  <c r="AD666" i="1"/>
  <c r="AC666" i="1"/>
  <c r="AB666" i="1"/>
  <c r="Z666" i="1"/>
  <c r="W666" i="1"/>
  <c r="X666" i="1" s="1"/>
  <c r="V666" i="1"/>
  <c r="T666" i="1"/>
  <c r="R666" i="1"/>
  <c r="Q666" i="1" a="1"/>
  <c r="Q666" i="1" s="1"/>
  <c r="P666" i="1"/>
  <c r="N666" i="1"/>
  <c r="L666" i="1"/>
  <c r="K666" i="1" a="1"/>
  <c r="K666" i="1" s="1"/>
  <c r="U666" i="1" s="1"/>
  <c r="J666" i="1" a="1"/>
  <c r="J666" i="1" s="1"/>
  <c r="H666" i="1" a="1"/>
  <c r="H666" i="1" s="1"/>
  <c r="AS665" i="1"/>
  <c r="AA665" i="1" s="1"/>
  <c r="AO665" i="1"/>
  <c r="AN665" i="1"/>
  <c r="AM665" i="1"/>
  <c r="AL665" i="1"/>
  <c r="AK665" i="1"/>
  <c r="AJ665" i="1"/>
  <c r="AI665" i="1"/>
  <c r="AH665" i="1"/>
  <c r="AG665" i="1"/>
  <c r="AF665" i="1"/>
  <c r="AE665" i="1"/>
  <c r="AD665" i="1"/>
  <c r="AC665" i="1"/>
  <c r="AB665" i="1"/>
  <c r="Z665" i="1"/>
  <c r="X665" i="1"/>
  <c r="W665" i="1"/>
  <c r="Y665" i="1" s="1"/>
  <c r="V665" i="1"/>
  <c r="T665" i="1"/>
  <c r="R665" i="1"/>
  <c r="Q665" i="1" a="1"/>
  <c r="Q665" i="1" s="1"/>
  <c r="P665" i="1"/>
  <c r="N665" i="1"/>
  <c r="L665" i="1"/>
  <c r="K665" i="1" a="1"/>
  <c r="K665" i="1" s="1"/>
  <c r="U665" i="1" s="1"/>
  <c r="J665" i="1" a="1"/>
  <c r="J665" i="1" s="1"/>
  <c r="H665" i="1" a="1"/>
  <c r="H665" i="1" s="1"/>
  <c r="AS664" i="1"/>
  <c r="AA664" i="1" s="1"/>
  <c r="AO664" i="1"/>
  <c r="AN664" i="1"/>
  <c r="AM664" i="1"/>
  <c r="AL664" i="1"/>
  <c r="AK664" i="1"/>
  <c r="AJ664" i="1"/>
  <c r="AI664" i="1"/>
  <c r="AH664" i="1"/>
  <c r="AG664" i="1"/>
  <c r="AF664" i="1"/>
  <c r="AE664" i="1"/>
  <c r="AD664" i="1"/>
  <c r="AC664" i="1"/>
  <c r="AB664" i="1"/>
  <c r="Z664" i="1"/>
  <c r="W664" i="1"/>
  <c r="Y664" i="1" s="1"/>
  <c r="V664" i="1"/>
  <c r="T664" i="1"/>
  <c r="R664" i="1"/>
  <c r="Q664" i="1" a="1"/>
  <c r="Q664" i="1" s="1"/>
  <c r="P664" i="1"/>
  <c r="N664" i="1"/>
  <c r="L664" i="1"/>
  <c r="K664" i="1" a="1"/>
  <c r="K664" i="1" s="1"/>
  <c r="U664" i="1" s="1"/>
  <c r="J664" i="1" a="1"/>
  <c r="J664" i="1" s="1"/>
  <c r="H664" i="1" a="1"/>
  <c r="H664" i="1" s="1"/>
  <c r="AS663" i="1"/>
  <c r="AA663" i="1" s="1"/>
  <c r="AO663" i="1"/>
  <c r="AN663" i="1"/>
  <c r="AM663" i="1"/>
  <c r="AL663" i="1"/>
  <c r="AK663" i="1"/>
  <c r="AJ663" i="1"/>
  <c r="AI663" i="1"/>
  <c r="AH663" i="1"/>
  <c r="AG663" i="1"/>
  <c r="AF663" i="1"/>
  <c r="AE663" i="1"/>
  <c r="AD663" i="1"/>
  <c r="AC663" i="1"/>
  <c r="AB663" i="1"/>
  <c r="Z663" i="1"/>
  <c r="W663" i="1"/>
  <c r="X663" i="1" s="1"/>
  <c r="V663" i="1"/>
  <c r="T663" i="1"/>
  <c r="R663" i="1"/>
  <c r="Q663" i="1" a="1"/>
  <c r="Q663" i="1" s="1"/>
  <c r="P663" i="1"/>
  <c r="N663" i="1"/>
  <c r="L663" i="1"/>
  <c r="K663" i="1" a="1"/>
  <c r="K663" i="1" s="1"/>
  <c r="U663" i="1" s="1"/>
  <c r="J663" i="1" a="1"/>
  <c r="J663" i="1" s="1"/>
  <c r="H663" i="1" a="1"/>
  <c r="H663" i="1" s="1"/>
  <c r="I663" i="1" s="1"/>
  <c r="S663" i="1" s="1"/>
  <c r="AS662" i="1"/>
  <c r="AA662" i="1" s="1"/>
  <c r="AO662" i="1"/>
  <c r="AN662" i="1"/>
  <c r="AM662" i="1"/>
  <c r="AL662" i="1"/>
  <c r="AK662" i="1"/>
  <c r="AJ662" i="1"/>
  <c r="AI662" i="1"/>
  <c r="AH662" i="1"/>
  <c r="AG662" i="1"/>
  <c r="AF662" i="1"/>
  <c r="AE662" i="1"/>
  <c r="AD662" i="1"/>
  <c r="AC662" i="1"/>
  <c r="AB662" i="1"/>
  <c r="Z662" i="1"/>
  <c r="W662" i="1"/>
  <c r="X662" i="1" s="1"/>
  <c r="V662" i="1"/>
  <c r="T662" i="1"/>
  <c r="R662" i="1"/>
  <c r="Q662" i="1" a="1"/>
  <c r="Q662" i="1" s="1"/>
  <c r="P662" i="1"/>
  <c r="N662" i="1"/>
  <c r="L662" i="1"/>
  <c r="K662" i="1" a="1"/>
  <c r="K662" i="1" s="1"/>
  <c r="U662" i="1" s="1"/>
  <c r="J662" i="1" a="1"/>
  <c r="J662" i="1" s="1"/>
  <c r="H662" i="1" a="1"/>
  <c r="H662" i="1" s="1"/>
  <c r="AS661" i="1"/>
  <c r="AA661" i="1" s="1"/>
  <c r="AO661" i="1"/>
  <c r="AN661" i="1"/>
  <c r="AM661" i="1"/>
  <c r="AL661" i="1"/>
  <c r="AK661" i="1"/>
  <c r="AJ661" i="1"/>
  <c r="AI661" i="1"/>
  <c r="AH661" i="1"/>
  <c r="AG661" i="1"/>
  <c r="AF661" i="1"/>
  <c r="AE661" i="1"/>
  <c r="AD661" i="1"/>
  <c r="AC661" i="1"/>
  <c r="AB661" i="1"/>
  <c r="Z661" i="1"/>
  <c r="W661" i="1"/>
  <c r="Y661" i="1" s="1"/>
  <c r="V661" i="1"/>
  <c r="T661" i="1"/>
  <c r="R661" i="1"/>
  <c r="Q661" i="1" a="1"/>
  <c r="Q661" i="1" s="1"/>
  <c r="P661" i="1"/>
  <c r="N661" i="1"/>
  <c r="L661" i="1"/>
  <c r="K661" i="1" a="1"/>
  <c r="K661" i="1" s="1"/>
  <c r="U661" i="1" s="1"/>
  <c r="J661" i="1" a="1"/>
  <c r="J661" i="1" s="1"/>
  <c r="H661" i="1" a="1"/>
  <c r="H661" i="1" s="1"/>
  <c r="AS660" i="1"/>
  <c r="AA660" i="1" s="1"/>
  <c r="AO660" i="1"/>
  <c r="AN660" i="1"/>
  <c r="AM660" i="1"/>
  <c r="AL660" i="1"/>
  <c r="AK660" i="1"/>
  <c r="AJ660" i="1"/>
  <c r="AI660" i="1"/>
  <c r="AH660" i="1"/>
  <c r="AG660" i="1"/>
  <c r="AF660" i="1"/>
  <c r="AE660" i="1"/>
  <c r="AD660" i="1"/>
  <c r="AC660" i="1"/>
  <c r="AB660" i="1"/>
  <c r="Z660" i="1"/>
  <c r="W660" i="1"/>
  <c r="Y660" i="1" s="1"/>
  <c r="V660" i="1"/>
  <c r="T660" i="1"/>
  <c r="R660" i="1"/>
  <c r="Q660" i="1" a="1"/>
  <c r="Q660" i="1" s="1"/>
  <c r="P660" i="1"/>
  <c r="N660" i="1"/>
  <c r="L660" i="1"/>
  <c r="K660" i="1" a="1"/>
  <c r="K660" i="1" s="1"/>
  <c r="U660" i="1" s="1"/>
  <c r="J660" i="1" a="1"/>
  <c r="J660" i="1" s="1"/>
  <c r="H660" i="1" a="1"/>
  <c r="H660" i="1" s="1"/>
  <c r="AZ659" i="1"/>
  <c r="AH659" i="1" s="1"/>
  <c r="AY659" i="1"/>
  <c r="AG659" i="1" s="1"/>
  <c r="AX659" i="1"/>
  <c r="AF659" i="1" s="1"/>
  <c r="AW659" i="1"/>
  <c r="AE659" i="1" s="1"/>
  <c r="AV659" i="1"/>
  <c r="AD659" i="1" s="1"/>
  <c r="AU659" i="1"/>
  <c r="AC659" i="1" s="1"/>
  <c r="AT659" i="1"/>
  <c r="AB659" i="1" s="1"/>
  <c r="AS659" i="1"/>
  <c r="AA659" i="1" s="1"/>
  <c r="AO659" i="1"/>
  <c r="AN659" i="1"/>
  <c r="AM659" i="1"/>
  <c r="AL659" i="1"/>
  <c r="AK659" i="1"/>
  <c r="AJ659" i="1"/>
  <c r="AI659" i="1"/>
  <c r="Z659" i="1"/>
  <c r="W659" i="1"/>
  <c r="Y659" i="1" s="1"/>
  <c r="V659" i="1"/>
  <c r="T659" i="1"/>
  <c r="R659" i="1"/>
  <c r="Q659" i="1" a="1"/>
  <c r="Q659" i="1" s="1"/>
  <c r="P659" i="1"/>
  <c r="N659" i="1"/>
  <c r="L659" i="1"/>
  <c r="K659" i="1" a="1"/>
  <c r="K659" i="1" s="1"/>
  <c r="U659" i="1" s="1"/>
  <c r="J659" i="1" a="1"/>
  <c r="J659" i="1" s="1"/>
  <c r="H659" i="1" a="1"/>
  <c r="H659" i="1" s="1"/>
  <c r="AS658" i="1"/>
  <c r="AA658" i="1" s="1"/>
  <c r="AO658" i="1"/>
  <c r="AN658" i="1"/>
  <c r="AM658" i="1"/>
  <c r="AL658" i="1"/>
  <c r="AK658" i="1"/>
  <c r="AJ658" i="1"/>
  <c r="AI658" i="1"/>
  <c r="AH658" i="1"/>
  <c r="AG658" i="1"/>
  <c r="AF658" i="1"/>
  <c r="AE658" i="1"/>
  <c r="AD658" i="1"/>
  <c r="AC658" i="1"/>
  <c r="AB658" i="1"/>
  <c r="Z658" i="1"/>
  <c r="W658" i="1"/>
  <c r="Y658" i="1" s="1"/>
  <c r="V658" i="1"/>
  <c r="T658" i="1"/>
  <c r="R658" i="1"/>
  <c r="Q658" i="1" a="1"/>
  <c r="Q658" i="1" s="1"/>
  <c r="P658" i="1"/>
  <c r="N658" i="1"/>
  <c r="L658" i="1"/>
  <c r="K658" i="1" a="1"/>
  <c r="K658" i="1" s="1"/>
  <c r="U658" i="1" s="1"/>
  <c r="J658" i="1" a="1"/>
  <c r="J658" i="1" s="1"/>
  <c r="H658" i="1" a="1"/>
  <c r="H658" i="1" s="1"/>
  <c r="AS657" i="1"/>
  <c r="AA657" i="1" s="1"/>
  <c r="AO657" i="1"/>
  <c r="AN657" i="1"/>
  <c r="AM657" i="1"/>
  <c r="AL657" i="1"/>
  <c r="AK657" i="1"/>
  <c r="AJ657" i="1"/>
  <c r="AI657" i="1"/>
  <c r="AH657" i="1"/>
  <c r="AG657" i="1"/>
  <c r="AF657" i="1"/>
  <c r="AE657" i="1"/>
  <c r="AD657" i="1"/>
  <c r="AC657" i="1"/>
  <c r="AB657" i="1"/>
  <c r="Z657" i="1"/>
  <c r="W657" i="1"/>
  <c r="Y657" i="1" s="1"/>
  <c r="V657" i="1"/>
  <c r="T657" i="1"/>
  <c r="R657" i="1"/>
  <c r="Q657" i="1" a="1"/>
  <c r="Q657" i="1" s="1"/>
  <c r="P657" i="1"/>
  <c r="N657" i="1"/>
  <c r="L657" i="1"/>
  <c r="K657" i="1" a="1"/>
  <c r="K657" i="1" s="1"/>
  <c r="U657" i="1" s="1"/>
  <c r="J657" i="1" a="1"/>
  <c r="J657" i="1" s="1"/>
  <c r="H657" i="1" a="1"/>
  <c r="H657" i="1" s="1"/>
  <c r="AV656" i="1"/>
  <c r="AD656" i="1" s="1"/>
  <c r="AU656" i="1"/>
  <c r="AC656" i="1" s="1"/>
  <c r="AT656" i="1"/>
  <c r="AB656" i="1" s="1"/>
  <c r="AS656" i="1"/>
  <c r="AA656" i="1" s="1"/>
  <c r="AO656" i="1"/>
  <c r="AN656" i="1"/>
  <c r="AM656" i="1"/>
  <c r="AL656" i="1"/>
  <c r="AK656" i="1"/>
  <c r="AJ656" i="1"/>
  <c r="AI656" i="1"/>
  <c r="AH656" i="1"/>
  <c r="AG656" i="1"/>
  <c r="AF656" i="1"/>
  <c r="AE656" i="1"/>
  <c r="Z656" i="1"/>
  <c r="W656" i="1"/>
  <c r="V656" i="1"/>
  <c r="T656" i="1"/>
  <c r="R656" i="1"/>
  <c r="Q656" i="1" a="1"/>
  <c r="Q656" i="1" s="1"/>
  <c r="P656" i="1"/>
  <c r="N656" i="1"/>
  <c r="L656" i="1"/>
  <c r="K656" i="1" a="1"/>
  <c r="K656" i="1" s="1"/>
  <c r="U656" i="1" s="1"/>
  <c r="J656" i="1" a="1"/>
  <c r="J656" i="1" s="1"/>
  <c r="H656" i="1" a="1"/>
  <c r="H656" i="1" s="1"/>
  <c r="AS655" i="1"/>
  <c r="AA655" i="1" s="1"/>
  <c r="AO655" i="1"/>
  <c r="AN655" i="1"/>
  <c r="AM655" i="1"/>
  <c r="AL655" i="1"/>
  <c r="AK655" i="1"/>
  <c r="AJ655" i="1"/>
  <c r="AI655" i="1"/>
  <c r="AH655" i="1"/>
  <c r="AG655" i="1"/>
  <c r="AF655" i="1"/>
  <c r="AE655" i="1"/>
  <c r="AD655" i="1"/>
  <c r="AC655" i="1"/>
  <c r="AB655" i="1"/>
  <c r="Z655" i="1"/>
  <c r="W655" i="1"/>
  <c r="Y655" i="1" s="1"/>
  <c r="V655" i="1"/>
  <c r="T655" i="1"/>
  <c r="R655" i="1"/>
  <c r="Q655" i="1" a="1"/>
  <c r="Q655" i="1" s="1"/>
  <c r="P655" i="1"/>
  <c r="N655" i="1"/>
  <c r="L655" i="1"/>
  <c r="K655" i="1" a="1"/>
  <c r="K655" i="1" s="1"/>
  <c r="U655" i="1" s="1"/>
  <c r="J655" i="1" a="1"/>
  <c r="J655" i="1" s="1"/>
  <c r="H655" i="1" a="1"/>
  <c r="H655" i="1" s="1"/>
  <c r="AS654" i="1"/>
  <c r="AA654" i="1" s="1"/>
  <c r="AO654" i="1"/>
  <c r="AN654" i="1"/>
  <c r="AM654" i="1"/>
  <c r="AL654" i="1"/>
  <c r="AK654" i="1"/>
  <c r="AJ654" i="1"/>
  <c r="AI654" i="1"/>
  <c r="AH654" i="1"/>
  <c r="AG654" i="1"/>
  <c r="AF654" i="1"/>
  <c r="AE654" i="1"/>
  <c r="AD654" i="1"/>
  <c r="AC654" i="1"/>
  <c r="AB654" i="1"/>
  <c r="Z654" i="1"/>
  <c r="W654" i="1"/>
  <c r="Y654" i="1" s="1"/>
  <c r="V654" i="1"/>
  <c r="T654" i="1"/>
  <c r="R654" i="1"/>
  <c r="Q654" i="1" a="1"/>
  <c r="Q654" i="1" s="1"/>
  <c r="P654" i="1"/>
  <c r="N654" i="1"/>
  <c r="L654" i="1"/>
  <c r="K654" i="1" a="1"/>
  <c r="K654" i="1" s="1"/>
  <c r="U654" i="1" s="1"/>
  <c r="J654" i="1" a="1"/>
  <c r="J654" i="1" s="1"/>
  <c r="H654" i="1" a="1"/>
  <c r="H654" i="1" s="1"/>
  <c r="AS653" i="1"/>
  <c r="AA653" i="1" s="1"/>
  <c r="AO653" i="1"/>
  <c r="AN653" i="1"/>
  <c r="AM653" i="1"/>
  <c r="AL653" i="1"/>
  <c r="AK653" i="1"/>
  <c r="AJ653" i="1"/>
  <c r="AI653" i="1"/>
  <c r="AH653" i="1"/>
  <c r="AG653" i="1"/>
  <c r="AF653" i="1"/>
  <c r="AE653" i="1"/>
  <c r="AD653" i="1"/>
  <c r="AC653" i="1"/>
  <c r="AB653" i="1"/>
  <c r="Z653" i="1"/>
  <c r="W653" i="1"/>
  <c r="X653" i="1" s="1"/>
  <c r="V653" i="1"/>
  <c r="T653" i="1"/>
  <c r="R653" i="1"/>
  <c r="Q653" i="1" a="1"/>
  <c r="Q653" i="1" s="1"/>
  <c r="P653" i="1"/>
  <c r="N653" i="1"/>
  <c r="L653" i="1"/>
  <c r="K653" i="1" a="1"/>
  <c r="K653" i="1" s="1"/>
  <c r="U653" i="1" s="1"/>
  <c r="J653" i="1" a="1"/>
  <c r="J653" i="1" s="1"/>
  <c r="H653" i="1" a="1"/>
  <c r="H653" i="1" s="1"/>
  <c r="AS652" i="1"/>
  <c r="AA652" i="1" s="1"/>
  <c r="AO652" i="1"/>
  <c r="AN652" i="1"/>
  <c r="AM652" i="1"/>
  <c r="AL652" i="1"/>
  <c r="AK652" i="1"/>
  <c r="AJ652" i="1"/>
  <c r="AI652" i="1"/>
  <c r="AH652" i="1"/>
  <c r="AG652" i="1"/>
  <c r="AF652" i="1"/>
  <c r="AE652" i="1"/>
  <c r="AD652" i="1"/>
  <c r="AC652" i="1"/>
  <c r="AB652" i="1"/>
  <c r="Z652" i="1"/>
  <c r="W652" i="1"/>
  <c r="X652" i="1" s="1"/>
  <c r="V652" i="1"/>
  <c r="T652" i="1"/>
  <c r="R652" i="1"/>
  <c r="Q652" i="1" a="1"/>
  <c r="Q652" i="1" s="1"/>
  <c r="P652" i="1"/>
  <c r="N652" i="1"/>
  <c r="L652" i="1"/>
  <c r="K652" i="1" a="1"/>
  <c r="K652" i="1" s="1"/>
  <c r="U652" i="1" s="1"/>
  <c r="J652" i="1" a="1"/>
  <c r="J652" i="1" s="1"/>
  <c r="H652" i="1" a="1"/>
  <c r="H652" i="1" s="1"/>
  <c r="AS651" i="1"/>
  <c r="AA651" i="1" s="1"/>
  <c r="AO651" i="1"/>
  <c r="AN651" i="1"/>
  <c r="AM651" i="1"/>
  <c r="AL651" i="1"/>
  <c r="AK651" i="1"/>
  <c r="AJ651" i="1"/>
  <c r="AI651" i="1"/>
  <c r="AH651" i="1"/>
  <c r="AG651" i="1"/>
  <c r="AF651" i="1"/>
  <c r="AE651" i="1"/>
  <c r="AD651" i="1"/>
  <c r="AC651" i="1"/>
  <c r="AB651" i="1"/>
  <c r="Z651" i="1"/>
  <c r="W651" i="1"/>
  <c r="Y651" i="1" s="1"/>
  <c r="V651" i="1"/>
  <c r="T651" i="1"/>
  <c r="R651" i="1"/>
  <c r="Q651" i="1" a="1"/>
  <c r="Q651" i="1" s="1"/>
  <c r="P651" i="1"/>
  <c r="N651" i="1"/>
  <c r="L651" i="1"/>
  <c r="K651" i="1" a="1"/>
  <c r="K651" i="1" s="1"/>
  <c r="U651" i="1" s="1"/>
  <c r="J651" i="1" a="1"/>
  <c r="J651" i="1" s="1"/>
  <c r="H651" i="1" a="1"/>
  <c r="H651" i="1" s="1"/>
  <c r="AS650" i="1"/>
  <c r="AA650" i="1" s="1"/>
  <c r="AO650" i="1"/>
  <c r="AN650" i="1"/>
  <c r="AM650" i="1"/>
  <c r="AL650" i="1"/>
  <c r="AK650" i="1"/>
  <c r="AJ650" i="1"/>
  <c r="AI650" i="1"/>
  <c r="AH650" i="1"/>
  <c r="AG650" i="1"/>
  <c r="AF650" i="1"/>
  <c r="AE650" i="1"/>
  <c r="AD650" i="1"/>
  <c r="AC650" i="1"/>
  <c r="AB650" i="1"/>
  <c r="Z650" i="1"/>
  <c r="W650" i="1"/>
  <c r="Y650" i="1" s="1"/>
  <c r="V650" i="1"/>
  <c r="T650" i="1"/>
  <c r="R650" i="1"/>
  <c r="Q650" i="1" a="1"/>
  <c r="Q650" i="1" s="1"/>
  <c r="P650" i="1"/>
  <c r="N650" i="1"/>
  <c r="L650" i="1"/>
  <c r="K650" i="1" a="1"/>
  <c r="K650" i="1" s="1"/>
  <c r="U650" i="1" s="1"/>
  <c r="J650" i="1" a="1"/>
  <c r="J650" i="1" s="1"/>
  <c r="H650" i="1" a="1"/>
  <c r="H650" i="1" s="1"/>
  <c r="AS649" i="1"/>
  <c r="AA649" i="1" s="1"/>
  <c r="AO649" i="1"/>
  <c r="AN649" i="1"/>
  <c r="AM649" i="1"/>
  <c r="AL649" i="1"/>
  <c r="AK649" i="1"/>
  <c r="AJ649" i="1"/>
  <c r="AI649" i="1"/>
  <c r="AH649" i="1"/>
  <c r="AG649" i="1"/>
  <c r="AF649" i="1"/>
  <c r="AE649" i="1"/>
  <c r="AD649" i="1"/>
  <c r="AC649" i="1"/>
  <c r="AB649" i="1"/>
  <c r="Z649" i="1"/>
  <c r="W649" i="1"/>
  <c r="X649" i="1" s="1"/>
  <c r="V649" i="1"/>
  <c r="T649" i="1"/>
  <c r="R649" i="1"/>
  <c r="Q649" i="1"/>
  <c r="Q649" i="1" a="1"/>
  <c r="P649" i="1"/>
  <c r="N649" i="1"/>
  <c r="L649" i="1"/>
  <c r="K649" i="1" a="1"/>
  <c r="K649" i="1" s="1"/>
  <c r="U649" i="1" s="1"/>
  <c r="J649" i="1" a="1"/>
  <c r="J649" i="1" s="1"/>
  <c r="H649" i="1" a="1"/>
  <c r="H649" i="1" s="1"/>
  <c r="AS648" i="1"/>
  <c r="AA648" i="1" s="1"/>
  <c r="AO648" i="1"/>
  <c r="AN648" i="1"/>
  <c r="AM648" i="1"/>
  <c r="AL648" i="1"/>
  <c r="AK648" i="1"/>
  <c r="AJ648" i="1"/>
  <c r="AI648" i="1"/>
  <c r="AH648" i="1"/>
  <c r="AG648" i="1"/>
  <c r="AF648" i="1"/>
  <c r="AE648" i="1"/>
  <c r="AD648" i="1"/>
  <c r="AC648" i="1"/>
  <c r="AB648" i="1"/>
  <c r="Z648" i="1"/>
  <c r="W648" i="1"/>
  <c r="X648" i="1" s="1"/>
  <c r="V648" i="1"/>
  <c r="T648" i="1"/>
  <c r="R648" i="1"/>
  <c r="Q648" i="1" a="1"/>
  <c r="Q648" i="1" s="1"/>
  <c r="P648" i="1"/>
  <c r="N648" i="1"/>
  <c r="L648" i="1"/>
  <c r="K648" i="1" a="1"/>
  <c r="K648" i="1" s="1"/>
  <c r="U648" i="1" s="1"/>
  <c r="J648" i="1" a="1"/>
  <c r="J648" i="1" s="1"/>
  <c r="H648" i="1" a="1"/>
  <c r="H648" i="1" s="1"/>
  <c r="AT647" i="1"/>
  <c r="AB647" i="1" s="1"/>
  <c r="AS647" i="1"/>
  <c r="AA647" i="1" s="1"/>
  <c r="AO647" i="1"/>
  <c r="AN647" i="1"/>
  <c r="AM647" i="1"/>
  <c r="AL647" i="1"/>
  <c r="AK647" i="1"/>
  <c r="AJ647" i="1"/>
  <c r="AI647" i="1"/>
  <c r="AH647" i="1"/>
  <c r="AG647" i="1"/>
  <c r="AF647" i="1"/>
  <c r="AE647" i="1"/>
  <c r="AD647" i="1"/>
  <c r="AC647" i="1"/>
  <c r="Z647" i="1"/>
  <c r="W647" i="1"/>
  <c r="X647" i="1" s="1"/>
  <c r="V647" i="1"/>
  <c r="T647" i="1"/>
  <c r="R647" i="1"/>
  <c r="Q647" i="1" a="1"/>
  <c r="Q647" i="1" s="1"/>
  <c r="P647" i="1"/>
  <c r="N647" i="1"/>
  <c r="L647" i="1"/>
  <c r="K647" i="1" a="1"/>
  <c r="K647" i="1" s="1"/>
  <c r="U647" i="1" s="1"/>
  <c r="J647" i="1" a="1"/>
  <c r="J647" i="1" s="1"/>
  <c r="H647" i="1" a="1"/>
  <c r="H647" i="1" s="1"/>
  <c r="AS646" i="1"/>
  <c r="AA646" i="1" s="1"/>
  <c r="AO646" i="1"/>
  <c r="AN646" i="1"/>
  <c r="AM646" i="1"/>
  <c r="AL646" i="1"/>
  <c r="AK646" i="1"/>
  <c r="AJ646" i="1"/>
  <c r="AI646" i="1"/>
  <c r="AH646" i="1"/>
  <c r="AG646" i="1"/>
  <c r="AF646" i="1"/>
  <c r="AE646" i="1"/>
  <c r="AD646" i="1"/>
  <c r="AC646" i="1"/>
  <c r="AB646" i="1"/>
  <c r="Z646" i="1"/>
  <c r="W646" i="1"/>
  <c r="Y646" i="1" s="1"/>
  <c r="V646" i="1"/>
  <c r="T646" i="1"/>
  <c r="R646" i="1"/>
  <c r="Q646" i="1" a="1"/>
  <c r="Q646" i="1" s="1"/>
  <c r="P646" i="1"/>
  <c r="N646" i="1"/>
  <c r="L646" i="1"/>
  <c r="K646" i="1" a="1"/>
  <c r="K646" i="1" s="1"/>
  <c r="U646" i="1" s="1"/>
  <c r="J646" i="1" a="1"/>
  <c r="J646" i="1" s="1"/>
  <c r="H646" i="1" a="1"/>
  <c r="H646" i="1" s="1"/>
  <c r="I646" i="1" s="1"/>
  <c r="S646" i="1" s="1"/>
  <c r="AS645" i="1"/>
  <c r="AA645" i="1" s="1"/>
  <c r="AO645" i="1"/>
  <c r="AN645" i="1"/>
  <c r="AM645" i="1"/>
  <c r="AL645" i="1"/>
  <c r="AK645" i="1"/>
  <c r="AJ645" i="1"/>
  <c r="AI645" i="1"/>
  <c r="AH645" i="1"/>
  <c r="AG645" i="1"/>
  <c r="AF645" i="1"/>
  <c r="AE645" i="1"/>
  <c r="AD645" i="1"/>
  <c r="AC645" i="1"/>
  <c r="AB645" i="1"/>
  <c r="Z645" i="1"/>
  <c r="W645" i="1"/>
  <c r="Y645" i="1" s="1"/>
  <c r="V645" i="1"/>
  <c r="T645" i="1"/>
  <c r="R645" i="1"/>
  <c r="Q645" i="1" a="1"/>
  <c r="Q645" i="1" s="1"/>
  <c r="P645" i="1"/>
  <c r="N645" i="1"/>
  <c r="L645" i="1"/>
  <c r="K645" i="1" a="1"/>
  <c r="K645" i="1" s="1"/>
  <c r="U645" i="1" s="1"/>
  <c r="J645" i="1" a="1"/>
  <c r="J645" i="1" s="1"/>
  <c r="H645" i="1" a="1"/>
  <c r="H645" i="1" s="1"/>
  <c r="AS644" i="1"/>
  <c r="AA644" i="1" s="1"/>
  <c r="AO644" i="1"/>
  <c r="AN644" i="1"/>
  <c r="AM644" i="1"/>
  <c r="AL644" i="1"/>
  <c r="AK644" i="1"/>
  <c r="AJ644" i="1"/>
  <c r="AI644" i="1"/>
  <c r="AH644" i="1"/>
  <c r="AG644" i="1"/>
  <c r="AF644" i="1"/>
  <c r="AE644" i="1"/>
  <c r="AD644" i="1"/>
  <c r="AC644" i="1"/>
  <c r="AB644" i="1"/>
  <c r="Z644" i="1"/>
  <c r="W644" i="1"/>
  <c r="V644" i="1"/>
  <c r="T644" i="1"/>
  <c r="R644" i="1"/>
  <c r="Q644" i="1" a="1"/>
  <c r="Q644" i="1" s="1"/>
  <c r="P644" i="1"/>
  <c r="N644" i="1"/>
  <c r="L644" i="1"/>
  <c r="K644" i="1" a="1"/>
  <c r="K644" i="1" s="1"/>
  <c r="U644" i="1" s="1"/>
  <c r="J644" i="1" a="1"/>
  <c r="J644" i="1" s="1"/>
  <c r="H644" i="1" a="1"/>
  <c r="H644" i="1" s="1"/>
  <c r="AS643" i="1"/>
  <c r="AA643" i="1" s="1"/>
  <c r="AO643" i="1"/>
  <c r="AN643" i="1"/>
  <c r="AM643" i="1"/>
  <c r="AL643" i="1"/>
  <c r="AK643" i="1"/>
  <c r="AJ643" i="1"/>
  <c r="AI643" i="1"/>
  <c r="AH643" i="1"/>
  <c r="AG643" i="1"/>
  <c r="AF643" i="1"/>
  <c r="AE643" i="1"/>
  <c r="AD643" i="1"/>
  <c r="AC643" i="1"/>
  <c r="AB643" i="1"/>
  <c r="Z643" i="1"/>
  <c r="W643" i="1"/>
  <c r="Y643" i="1" s="1"/>
  <c r="V643" i="1"/>
  <c r="T643" i="1"/>
  <c r="R643" i="1"/>
  <c r="Q643" i="1" a="1"/>
  <c r="Q643" i="1" s="1"/>
  <c r="P643" i="1"/>
  <c r="N643" i="1"/>
  <c r="L643" i="1"/>
  <c r="K643" i="1" a="1"/>
  <c r="K643" i="1" s="1"/>
  <c r="U643" i="1" s="1"/>
  <c r="J643" i="1" a="1"/>
  <c r="J643" i="1" s="1"/>
  <c r="H643" i="1" a="1"/>
  <c r="H643" i="1" s="1"/>
  <c r="AS642" i="1"/>
  <c r="AA642" i="1" s="1"/>
  <c r="AO642" i="1"/>
  <c r="AN642" i="1"/>
  <c r="AM642" i="1"/>
  <c r="AL642" i="1"/>
  <c r="AK642" i="1"/>
  <c r="AJ642" i="1"/>
  <c r="AI642" i="1"/>
  <c r="AH642" i="1"/>
  <c r="AG642" i="1"/>
  <c r="AF642" i="1"/>
  <c r="AE642" i="1"/>
  <c r="AD642" i="1"/>
  <c r="AC642" i="1"/>
  <c r="AB642" i="1"/>
  <c r="Z642" i="1"/>
  <c r="W642" i="1"/>
  <c r="Y642" i="1" s="1"/>
  <c r="V642" i="1"/>
  <c r="T642" i="1"/>
  <c r="R642" i="1"/>
  <c r="Q642" i="1" a="1"/>
  <c r="Q642" i="1" s="1"/>
  <c r="P642" i="1"/>
  <c r="N642" i="1"/>
  <c r="L642" i="1"/>
  <c r="K642" i="1" a="1"/>
  <c r="K642" i="1" s="1"/>
  <c r="U642" i="1" s="1"/>
  <c r="J642" i="1" a="1"/>
  <c r="J642" i="1" s="1"/>
  <c r="H642" i="1" a="1"/>
  <c r="H642" i="1" s="1"/>
  <c r="I642" i="1" s="1"/>
  <c r="S642" i="1" s="1"/>
  <c r="AS641" i="1"/>
  <c r="AA641" i="1" s="1"/>
  <c r="AO641" i="1"/>
  <c r="AN641" i="1"/>
  <c r="AM641" i="1"/>
  <c r="AL641" i="1"/>
  <c r="AK641" i="1"/>
  <c r="AJ641" i="1"/>
  <c r="AI641" i="1"/>
  <c r="AH641" i="1"/>
  <c r="AG641" i="1"/>
  <c r="AF641" i="1"/>
  <c r="AE641" i="1"/>
  <c r="AD641" i="1"/>
  <c r="AC641" i="1"/>
  <c r="AB641" i="1"/>
  <c r="Z641" i="1"/>
  <c r="W641" i="1"/>
  <c r="Y641" i="1" s="1"/>
  <c r="V641" i="1"/>
  <c r="T641" i="1"/>
  <c r="R641" i="1"/>
  <c r="Q641" i="1" a="1"/>
  <c r="Q641" i="1" s="1"/>
  <c r="P641" i="1"/>
  <c r="N641" i="1"/>
  <c r="L641" i="1"/>
  <c r="K641" i="1" a="1"/>
  <c r="K641" i="1" s="1"/>
  <c r="U641" i="1" s="1"/>
  <c r="J641" i="1" a="1"/>
  <c r="J641" i="1" s="1"/>
  <c r="H641" i="1" a="1"/>
  <c r="H641" i="1" s="1"/>
  <c r="AS640" i="1"/>
  <c r="AA640" i="1" s="1"/>
  <c r="AO640" i="1"/>
  <c r="AN640" i="1"/>
  <c r="AM640" i="1"/>
  <c r="AL640" i="1"/>
  <c r="AK640" i="1"/>
  <c r="AJ640" i="1"/>
  <c r="AI640" i="1"/>
  <c r="AH640" i="1"/>
  <c r="AG640" i="1"/>
  <c r="AF640" i="1"/>
  <c r="AE640" i="1"/>
  <c r="AD640" i="1"/>
  <c r="AC640" i="1"/>
  <c r="AB640" i="1"/>
  <c r="Z640" i="1"/>
  <c r="W640" i="1"/>
  <c r="V640" i="1"/>
  <c r="T640" i="1"/>
  <c r="R640" i="1"/>
  <c r="Q640" i="1" a="1"/>
  <c r="Q640" i="1" s="1"/>
  <c r="P640" i="1"/>
  <c r="N640" i="1"/>
  <c r="L640" i="1"/>
  <c r="K640" i="1" a="1"/>
  <c r="K640" i="1" s="1"/>
  <c r="U640" i="1" s="1"/>
  <c r="J640" i="1" a="1"/>
  <c r="J640" i="1" s="1"/>
  <c r="H640" i="1" a="1"/>
  <c r="H640" i="1" s="1"/>
  <c r="AU639" i="1"/>
  <c r="AC639" i="1" s="1"/>
  <c r="AT639" i="1"/>
  <c r="AB639" i="1" s="1"/>
  <c r="AS639" i="1"/>
  <c r="AA639" i="1" s="1"/>
  <c r="AO639" i="1"/>
  <c r="AN639" i="1"/>
  <c r="AM639" i="1"/>
  <c r="AL639" i="1"/>
  <c r="AK639" i="1"/>
  <c r="AJ639" i="1"/>
  <c r="AI639" i="1"/>
  <c r="AH639" i="1"/>
  <c r="AG639" i="1"/>
  <c r="AF639" i="1"/>
  <c r="AE639" i="1"/>
  <c r="AD639" i="1"/>
  <c r="Z639" i="1"/>
  <c r="W639" i="1"/>
  <c r="Y639" i="1" s="1"/>
  <c r="V639" i="1"/>
  <c r="T639" i="1"/>
  <c r="R639" i="1"/>
  <c r="Q639" i="1" a="1"/>
  <c r="Q639" i="1" s="1"/>
  <c r="P639" i="1"/>
  <c r="N639" i="1"/>
  <c r="L639" i="1"/>
  <c r="K639" i="1" a="1"/>
  <c r="K639" i="1" s="1"/>
  <c r="U639" i="1" s="1"/>
  <c r="J639" i="1" a="1"/>
  <c r="J639" i="1" s="1"/>
  <c r="H639" i="1" a="1"/>
  <c r="H639" i="1" s="1"/>
  <c r="AS638" i="1"/>
  <c r="AA638" i="1" s="1"/>
  <c r="AO638" i="1"/>
  <c r="AN638" i="1"/>
  <c r="AM638" i="1"/>
  <c r="AL638" i="1"/>
  <c r="AK638" i="1"/>
  <c r="AJ638" i="1"/>
  <c r="AI638" i="1"/>
  <c r="AH638" i="1"/>
  <c r="AG638" i="1"/>
  <c r="AF638" i="1"/>
  <c r="AE638" i="1"/>
  <c r="AD638" i="1"/>
  <c r="AC638" i="1"/>
  <c r="AB638" i="1"/>
  <c r="Z638" i="1"/>
  <c r="W638" i="1"/>
  <c r="V638" i="1"/>
  <c r="T638" i="1"/>
  <c r="R638" i="1"/>
  <c r="Q638" i="1" a="1"/>
  <c r="Q638" i="1" s="1"/>
  <c r="P638" i="1"/>
  <c r="N638" i="1"/>
  <c r="L638" i="1"/>
  <c r="K638" i="1" a="1"/>
  <c r="K638" i="1" s="1"/>
  <c r="U638" i="1" s="1"/>
  <c r="J638" i="1" a="1"/>
  <c r="J638" i="1" s="1"/>
  <c r="H638" i="1" a="1"/>
  <c r="H638" i="1" s="1"/>
  <c r="AT637" i="1"/>
  <c r="AB637" i="1" s="1"/>
  <c r="AS637" i="1"/>
  <c r="AA637" i="1" s="1"/>
  <c r="AO637" i="1"/>
  <c r="AN637" i="1"/>
  <c r="AM637" i="1"/>
  <c r="AL637" i="1"/>
  <c r="AK637" i="1"/>
  <c r="AJ637" i="1"/>
  <c r="AI637" i="1"/>
  <c r="AH637" i="1"/>
  <c r="AG637" i="1"/>
  <c r="AF637" i="1"/>
  <c r="AE637" i="1"/>
  <c r="AD637" i="1"/>
  <c r="AC637" i="1"/>
  <c r="Z637" i="1"/>
  <c r="W637" i="1"/>
  <c r="V637" i="1"/>
  <c r="T637" i="1"/>
  <c r="R637" i="1"/>
  <c r="Q637" i="1" a="1"/>
  <c r="Q637" i="1" s="1"/>
  <c r="P637" i="1"/>
  <c r="N637" i="1"/>
  <c r="L637" i="1"/>
  <c r="K637" i="1" a="1"/>
  <c r="K637" i="1" s="1"/>
  <c r="U637" i="1" s="1"/>
  <c r="J637" i="1" a="1"/>
  <c r="J637" i="1" s="1"/>
  <c r="H637" i="1" a="1"/>
  <c r="H637" i="1" s="1"/>
  <c r="AS636" i="1"/>
  <c r="AA636" i="1" s="1"/>
  <c r="AO636" i="1"/>
  <c r="AN636" i="1"/>
  <c r="AM636" i="1"/>
  <c r="AL636" i="1"/>
  <c r="AK636" i="1"/>
  <c r="AJ636" i="1"/>
  <c r="AI636" i="1"/>
  <c r="AH636" i="1"/>
  <c r="AG636" i="1"/>
  <c r="AF636" i="1"/>
  <c r="AE636" i="1"/>
  <c r="AD636" i="1"/>
  <c r="AC636" i="1"/>
  <c r="AB636" i="1"/>
  <c r="Z636" i="1"/>
  <c r="W636" i="1"/>
  <c r="X636" i="1" s="1"/>
  <c r="V636" i="1"/>
  <c r="T636" i="1"/>
  <c r="R636" i="1"/>
  <c r="Q636" i="1" a="1"/>
  <c r="Q636" i="1" s="1"/>
  <c r="P636" i="1"/>
  <c r="N636" i="1"/>
  <c r="L636" i="1"/>
  <c r="K636" i="1" a="1"/>
  <c r="K636" i="1" s="1"/>
  <c r="U636" i="1" s="1"/>
  <c r="J636" i="1" a="1"/>
  <c r="J636" i="1" s="1"/>
  <c r="H636" i="1" a="1"/>
  <c r="H636" i="1" s="1"/>
  <c r="AT635" i="1"/>
  <c r="AB635" i="1" s="1"/>
  <c r="AS635" i="1"/>
  <c r="AA635" i="1" s="1"/>
  <c r="AO635" i="1"/>
  <c r="AN635" i="1"/>
  <c r="AM635" i="1"/>
  <c r="AL635" i="1"/>
  <c r="AK635" i="1"/>
  <c r="AJ635" i="1"/>
  <c r="AI635" i="1"/>
  <c r="AH635" i="1"/>
  <c r="AG635" i="1"/>
  <c r="AF635" i="1"/>
  <c r="AE635" i="1"/>
  <c r="AD635" i="1"/>
  <c r="AC635" i="1"/>
  <c r="Z635" i="1"/>
  <c r="W635" i="1"/>
  <c r="Y635" i="1" s="1"/>
  <c r="V635" i="1"/>
  <c r="T635" i="1"/>
  <c r="R635" i="1"/>
  <c r="Q635" i="1" a="1"/>
  <c r="Q635" i="1" s="1"/>
  <c r="P635" i="1"/>
  <c r="N635" i="1"/>
  <c r="L635" i="1"/>
  <c r="K635" i="1" a="1"/>
  <c r="K635" i="1" s="1"/>
  <c r="U635" i="1" s="1"/>
  <c r="J635" i="1" a="1"/>
  <c r="J635" i="1" s="1"/>
  <c r="H635" i="1" a="1"/>
  <c r="H635" i="1" s="1"/>
  <c r="AT634" i="1"/>
  <c r="AB634" i="1" s="1"/>
  <c r="AS634" i="1"/>
  <c r="AA634" i="1" s="1"/>
  <c r="AO634" i="1"/>
  <c r="AN634" i="1"/>
  <c r="AM634" i="1"/>
  <c r="AL634" i="1"/>
  <c r="AK634" i="1"/>
  <c r="AJ634" i="1"/>
  <c r="AI634" i="1"/>
  <c r="AH634" i="1"/>
  <c r="AG634" i="1"/>
  <c r="AF634" i="1"/>
  <c r="AE634" i="1"/>
  <c r="AD634" i="1"/>
  <c r="AC634" i="1"/>
  <c r="Z634" i="1"/>
  <c r="W634" i="1"/>
  <c r="X634" i="1" s="1"/>
  <c r="V634" i="1"/>
  <c r="T634" i="1"/>
  <c r="R634" i="1"/>
  <c r="Q634" i="1" a="1"/>
  <c r="Q634" i="1" s="1"/>
  <c r="P634" i="1"/>
  <c r="N634" i="1"/>
  <c r="L634" i="1"/>
  <c r="K634" i="1" a="1"/>
  <c r="K634" i="1" s="1"/>
  <c r="U634" i="1" s="1"/>
  <c r="J634" i="1" a="1"/>
  <c r="J634" i="1" s="1"/>
  <c r="H634" i="1" a="1"/>
  <c r="H634" i="1" s="1"/>
  <c r="AS633" i="1"/>
  <c r="AA633" i="1" s="1"/>
  <c r="AO633" i="1"/>
  <c r="AN633" i="1"/>
  <c r="AM633" i="1"/>
  <c r="AL633" i="1"/>
  <c r="AK633" i="1"/>
  <c r="AJ633" i="1"/>
  <c r="AI633" i="1"/>
  <c r="AH633" i="1"/>
  <c r="AG633" i="1"/>
  <c r="AF633" i="1"/>
  <c r="AE633" i="1"/>
  <c r="AD633" i="1"/>
  <c r="AC633" i="1"/>
  <c r="AB633" i="1"/>
  <c r="Z633" i="1"/>
  <c r="W633" i="1"/>
  <c r="V633" i="1"/>
  <c r="T633" i="1"/>
  <c r="R633" i="1"/>
  <c r="Q633" i="1" a="1"/>
  <c r="Q633" i="1" s="1"/>
  <c r="P633" i="1"/>
  <c r="N633" i="1"/>
  <c r="L633" i="1"/>
  <c r="K633" i="1" a="1"/>
  <c r="K633" i="1" s="1"/>
  <c r="U633" i="1" s="1"/>
  <c r="J633" i="1" a="1"/>
  <c r="J633" i="1" s="1"/>
  <c r="H633" i="1" a="1"/>
  <c r="H633" i="1" s="1"/>
  <c r="I633" i="1" s="1"/>
  <c r="S633" i="1" s="1"/>
  <c r="AS632" i="1"/>
  <c r="AA632" i="1" s="1"/>
  <c r="AO632" i="1"/>
  <c r="AN632" i="1"/>
  <c r="AM632" i="1"/>
  <c r="AL632" i="1"/>
  <c r="AK632" i="1"/>
  <c r="AJ632" i="1"/>
  <c r="AI632" i="1"/>
  <c r="AH632" i="1"/>
  <c r="AG632" i="1"/>
  <c r="AF632" i="1"/>
  <c r="AE632" i="1"/>
  <c r="AD632" i="1"/>
  <c r="AC632" i="1"/>
  <c r="AB632" i="1"/>
  <c r="Z632" i="1"/>
  <c r="W632" i="1"/>
  <c r="Y632" i="1" s="1"/>
  <c r="V632" i="1"/>
  <c r="T632" i="1"/>
  <c r="R632" i="1"/>
  <c r="Q632" i="1" a="1"/>
  <c r="Q632" i="1" s="1"/>
  <c r="P632" i="1"/>
  <c r="N632" i="1"/>
  <c r="L632" i="1"/>
  <c r="K632" i="1" a="1"/>
  <c r="K632" i="1" s="1"/>
  <c r="U632" i="1" s="1"/>
  <c r="J632" i="1" a="1"/>
  <c r="J632" i="1" s="1"/>
  <c r="H632" i="1" a="1"/>
  <c r="H632" i="1" s="1"/>
  <c r="AS631" i="1"/>
  <c r="AA631" i="1" s="1"/>
  <c r="AO631" i="1"/>
  <c r="AN631" i="1"/>
  <c r="AM631" i="1"/>
  <c r="AL631" i="1"/>
  <c r="AK631" i="1"/>
  <c r="AJ631" i="1"/>
  <c r="AI631" i="1"/>
  <c r="AH631" i="1"/>
  <c r="AG631" i="1"/>
  <c r="AF631" i="1"/>
  <c r="AE631" i="1"/>
  <c r="AD631" i="1"/>
  <c r="AC631" i="1"/>
  <c r="AB631" i="1"/>
  <c r="Z631" i="1"/>
  <c r="W631" i="1"/>
  <c r="X631" i="1" s="1"/>
  <c r="V631" i="1"/>
  <c r="T631" i="1"/>
  <c r="R631" i="1"/>
  <c r="Q631" i="1" a="1"/>
  <c r="Q631" i="1" s="1"/>
  <c r="P631" i="1"/>
  <c r="N631" i="1"/>
  <c r="L631" i="1"/>
  <c r="K631" i="1" a="1"/>
  <c r="K631" i="1" s="1"/>
  <c r="U631" i="1" s="1"/>
  <c r="J631" i="1" a="1"/>
  <c r="J631" i="1" s="1"/>
  <c r="H631" i="1" a="1"/>
  <c r="H631" i="1" s="1"/>
  <c r="AS630" i="1"/>
  <c r="AA630" i="1" s="1"/>
  <c r="AO630" i="1"/>
  <c r="AN630" i="1"/>
  <c r="AM630" i="1"/>
  <c r="AL630" i="1"/>
  <c r="AK630" i="1"/>
  <c r="AJ630" i="1"/>
  <c r="AI630" i="1"/>
  <c r="AH630" i="1"/>
  <c r="AG630" i="1"/>
  <c r="AF630" i="1"/>
  <c r="AE630" i="1"/>
  <c r="AD630" i="1"/>
  <c r="AC630" i="1"/>
  <c r="AB630" i="1"/>
  <c r="Z630" i="1"/>
  <c r="W630" i="1"/>
  <c r="X630" i="1" s="1"/>
  <c r="V630" i="1"/>
  <c r="T630" i="1"/>
  <c r="R630" i="1"/>
  <c r="Q630" i="1" a="1"/>
  <c r="Q630" i="1" s="1"/>
  <c r="P630" i="1"/>
  <c r="N630" i="1"/>
  <c r="L630" i="1"/>
  <c r="K630" i="1" a="1"/>
  <c r="K630" i="1" s="1"/>
  <c r="U630" i="1" s="1"/>
  <c r="J630" i="1" a="1"/>
  <c r="J630" i="1" s="1"/>
  <c r="H630" i="1" a="1"/>
  <c r="H630" i="1" s="1"/>
  <c r="AS629" i="1"/>
  <c r="AA629" i="1" s="1"/>
  <c r="AO629" i="1"/>
  <c r="AN629" i="1"/>
  <c r="AM629" i="1"/>
  <c r="AL629" i="1"/>
  <c r="AK629" i="1"/>
  <c r="AJ629" i="1"/>
  <c r="AI629" i="1"/>
  <c r="AH629" i="1"/>
  <c r="AG629" i="1"/>
  <c r="AF629" i="1"/>
  <c r="AE629" i="1"/>
  <c r="AD629" i="1"/>
  <c r="AC629" i="1"/>
  <c r="AB629" i="1"/>
  <c r="Z629" i="1"/>
  <c r="W629" i="1"/>
  <c r="X629" i="1" s="1"/>
  <c r="V629" i="1"/>
  <c r="T629" i="1"/>
  <c r="R629" i="1"/>
  <c r="Q629" i="1" a="1"/>
  <c r="Q629" i="1" s="1"/>
  <c r="P629" i="1"/>
  <c r="N629" i="1"/>
  <c r="L629" i="1"/>
  <c r="K629" i="1" a="1"/>
  <c r="K629" i="1" s="1"/>
  <c r="U629" i="1" s="1"/>
  <c r="J629" i="1" a="1"/>
  <c r="J629" i="1" s="1"/>
  <c r="H629" i="1" a="1"/>
  <c r="H629" i="1" s="1"/>
  <c r="I629" i="1" s="1"/>
  <c r="S629" i="1" s="1"/>
  <c r="AS628" i="1"/>
  <c r="AA628" i="1" s="1"/>
  <c r="AO628" i="1"/>
  <c r="AN628" i="1"/>
  <c r="AM628" i="1"/>
  <c r="AL628" i="1"/>
  <c r="AK628" i="1"/>
  <c r="AJ628" i="1"/>
  <c r="AI628" i="1"/>
  <c r="AH628" i="1"/>
  <c r="AG628" i="1"/>
  <c r="AF628" i="1"/>
  <c r="AE628" i="1"/>
  <c r="AD628" i="1"/>
  <c r="AC628" i="1"/>
  <c r="AB628" i="1"/>
  <c r="Z628" i="1"/>
  <c r="W628" i="1"/>
  <c r="Y628" i="1" s="1"/>
  <c r="V628" i="1"/>
  <c r="T628" i="1"/>
  <c r="R628" i="1"/>
  <c r="Q628" i="1" a="1"/>
  <c r="Q628" i="1" s="1"/>
  <c r="P628" i="1"/>
  <c r="N628" i="1"/>
  <c r="L628" i="1"/>
  <c r="K628" i="1" a="1"/>
  <c r="K628" i="1" s="1"/>
  <c r="U628" i="1" s="1"/>
  <c r="J628" i="1" a="1"/>
  <c r="J628" i="1" s="1"/>
  <c r="H628" i="1" a="1"/>
  <c r="H628" i="1" s="1"/>
  <c r="AS627" i="1"/>
  <c r="AA627" i="1" s="1"/>
  <c r="AO627" i="1"/>
  <c r="AN627" i="1"/>
  <c r="AM627" i="1"/>
  <c r="AL627" i="1"/>
  <c r="AK627" i="1"/>
  <c r="AJ627" i="1"/>
  <c r="AI627" i="1"/>
  <c r="AH627" i="1"/>
  <c r="AG627" i="1"/>
  <c r="AF627" i="1"/>
  <c r="AE627" i="1"/>
  <c r="AD627" i="1"/>
  <c r="AC627" i="1"/>
  <c r="AB627" i="1"/>
  <c r="Z627" i="1"/>
  <c r="W627" i="1"/>
  <c r="X627" i="1" s="1"/>
  <c r="V627" i="1"/>
  <c r="T627" i="1"/>
  <c r="R627" i="1"/>
  <c r="Q627" i="1" a="1"/>
  <c r="Q627" i="1" s="1"/>
  <c r="P627" i="1"/>
  <c r="N627" i="1"/>
  <c r="L627" i="1"/>
  <c r="K627" i="1" a="1"/>
  <c r="K627" i="1" s="1"/>
  <c r="U627" i="1" s="1"/>
  <c r="J627" i="1" a="1"/>
  <c r="J627" i="1" s="1"/>
  <c r="H627" i="1" a="1"/>
  <c r="H627" i="1" s="1"/>
  <c r="AS626" i="1"/>
  <c r="AA626" i="1" s="1"/>
  <c r="AO626" i="1"/>
  <c r="AN626" i="1"/>
  <c r="AM626" i="1"/>
  <c r="AL626" i="1"/>
  <c r="AK626" i="1"/>
  <c r="AJ626" i="1"/>
  <c r="AI626" i="1"/>
  <c r="AH626" i="1"/>
  <c r="AG626" i="1"/>
  <c r="AF626" i="1"/>
  <c r="AE626" i="1"/>
  <c r="AD626" i="1"/>
  <c r="AC626" i="1"/>
  <c r="AB626" i="1"/>
  <c r="Z626" i="1"/>
  <c r="W626" i="1"/>
  <c r="X626" i="1" s="1"/>
  <c r="V626" i="1"/>
  <c r="T626" i="1"/>
  <c r="R626" i="1"/>
  <c r="Q626" i="1" a="1"/>
  <c r="Q626" i="1" s="1"/>
  <c r="P626" i="1"/>
  <c r="N626" i="1"/>
  <c r="L626" i="1"/>
  <c r="K626" i="1" a="1"/>
  <c r="K626" i="1" s="1"/>
  <c r="U626" i="1" s="1"/>
  <c r="J626" i="1" a="1"/>
  <c r="J626" i="1" s="1"/>
  <c r="H626" i="1" a="1"/>
  <c r="H626" i="1" s="1"/>
  <c r="AS625" i="1"/>
  <c r="AA625" i="1" s="1"/>
  <c r="AO625" i="1"/>
  <c r="AN625" i="1"/>
  <c r="AM625" i="1"/>
  <c r="AL625" i="1"/>
  <c r="AK625" i="1"/>
  <c r="AJ625" i="1"/>
  <c r="AI625" i="1"/>
  <c r="AH625" i="1"/>
  <c r="AG625" i="1"/>
  <c r="AF625" i="1"/>
  <c r="AE625" i="1"/>
  <c r="AD625" i="1"/>
  <c r="AC625" i="1"/>
  <c r="AB625" i="1"/>
  <c r="Z625" i="1"/>
  <c r="W625" i="1"/>
  <c r="X625" i="1" s="1"/>
  <c r="V625" i="1"/>
  <c r="T625" i="1"/>
  <c r="R625" i="1"/>
  <c r="Q625" i="1" a="1"/>
  <c r="Q625" i="1" s="1"/>
  <c r="P625" i="1"/>
  <c r="N625" i="1"/>
  <c r="L625" i="1"/>
  <c r="K625" i="1" a="1"/>
  <c r="K625" i="1" s="1"/>
  <c r="U625" i="1" s="1"/>
  <c r="J625" i="1" a="1"/>
  <c r="J625" i="1" s="1"/>
  <c r="H625" i="1" a="1"/>
  <c r="H625" i="1" s="1"/>
  <c r="I625" i="1" s="1"/>
  <c r="S625" i="1" s="1"/>
  <c r="AS624" i="1"/>
  <c r="AA624" i="1" s="1"/>
  <c r="AO624" i="1"/>
  <c r="AN624" i="1"/>
  <c r="AM624" i="1"/>
  <c r="AL624" i="1"/>
  <c r="AK624" i="1"/>
  <c r="AJ624" i="1"/>
  <c r="AI624" i="1"/>
  <c r="AH624" i="1"/>
  <c r="AG624" i="1"/>
  <c r="AF624" i="1"/>
  <c r="AE624" i="1"/>
  <c r="AD624" i="1"/>
  <c r="AC624" i="1"/>
  <c r="AB624" i="1"/>
  <c r="Z624" i="1"/>
  <c r="W624" i="1"/>
  <c r="Y624" i="1" s="1"/>
  <c r="V624" i="1"/>
  <c r="T624" i="1"/>
  <c r="R624" i="1"/>
  <c r="Q624" i="1" a="1"/>
  <c r="Q624" i="1" s="1"/>
  <c r="P624" i="1"/>
  <c r="N624" i="1"/>
  <c r="L624" i="1"/>
  <c r="K624" i="1" a="1"/>
  <c r="K624" i="1" s="1"/>
  <c r="U624" i="1" s="1"/>
  <c r="J624" i="1" a="1"/>
  <c r="J624" i="1" s="1"/>
  <c r="H624" i="1" a="1"/>
  <c r="H624" i="1" s="1"/>
  <c r="AS623" i="1"/>
  <c r="AA623" i="1" s="1"/>
  <c r="AO623" i="1"/>
  <c r="AN623" i="1"/>
  <c r="AM623" i="1"/>
  <c r="AL623" i="1"/>
  <c r="AK623" i="1"/>
  <c r="AJ623" i="1"/>
  <c r="AI623" i="1"/>
  <c r="AH623" i="1"/>
  <c r="AG623" i="1"/>
  <c r="AF623" i="1"/>
  <c r="AE623" i="1"/>
  <c r="AD623" i="1"/>
  <c r="AC623" i="1"/>
  <c r="AB623" i="1"/>
  <c r="Z623" i="1"/>
  <c r="W623" i="1"/>
  <c r="X623" i="1" s="1"/>
  <c r="V623" i="1"/>
  <c r="T623" i="1"/>
  <c r="R623" i="1"/>
  <c r="Q623" i="1" a="1"/>
  <c r="Q623" i="1" s="1"/>
  <c r="P623" i="1"/>
  <c r="N623" i="1"/>
  <c r="L623" i="1"/>
  <c r="K623" i="1" a="1"/>
  <c r="K623" i="1" s="1"/>
  <c r="U623" i="1" s="1"/>
  <c r="J623" i="1" a="1"/>
  <c r="J623" i="1" s="1"/>
  <c r="H623" i="1" a="1"/>
  <c r="H623" i="1" s="1"/>
  <c r="AX622" i="1"/>
  <c r="AF622" i="1" s="1"/>
  <c r="AW622" i="1"/>
  <c r="AE622" i="1" s="1"/>
  <c r="AV622" i="1"/>
  <c r="AD622" i="1" s="1"/>
  <c r="AU622" i="1"/>
  <c r="AT622" i="1"/>
  <c r="AB622" i="1" s="1"/>
  <c r="AS622" i="1"/>
  <c r="AA622" i="1" s="1"/>
  <c r="AO622" i="1"/>
  <c r="AN622" i="1"/>
  <c r="AM622" i="1"/>
  <c r="AL622" i="1"/>
  <c r="AK622" i="1"/>
  <c r="AJ622" i="1"/>
  <c r="AI622" i="1"/>
  <c r="AH622" i="1"/>
  <c r="AG622" i="1"/>
  <c r="AC622" i="1"/>
  <c r="Z622" i="1"/>
  <c r="W622" i="1"/>
  <c r="X622" i="1" s="1"/>
  <c r="V622" i="1"/>
  <c r="T622" i="1"/>
  <c r="R622" i="1"/>
  <c r="Q622" i="1" a="1"/>
  <c r="Q622" i="1" s="1"/>
  <c r="P622" i="1"/>
  <c r="N622" i="1"/>
  <c r="L622" i="1"/>
  <c r="K622" i="1" a="1"/>
  <c r="K622" i="1" s="1"/>
  <c r="U622" i="1" s="1"/>
  <c r="J622" i="1" a="1"/>
  <c r="J622" i="1" s="1"/>
  <c r="H622" i="1" a="1"/>
  <c r="H622" i="1" s="1"/>
  <c r="AS621" i="1"/>
  <c r="AA621" i="1" s="1"/>
  <c r="AO621" i="1"/>
  <c r="AN621" i="1"/>
  <c r="AM621" i="1"/>
  <c r="AL621" i="1"/>
  <c r="AK621" i="1"/>
  <c r="AJ621" i="1"/>
  <c r="AI621" i="1"/>
  <c r="AH621" i="1"/>
  <c r="AG621" i="1"/>
  <c r="AF621" i="1"/>
  <c r="AE621" i="1"/>
  <c r="AD621" i="1"/>
  <c r="AC621" i="1"/>
  <c r="AB621" i="1"/>
  <c r="Z621" i="1"/>
  <c r="W621" i="1"/>
  <c r="X621" i="1" s="1"/>
  <c r="V621" i="1"/>
  <c r="T621" i="1"/>
  <c r="R621" i="1"/>
  <c r="Q621" i="1" a="1"/>
  <c r="Q621" i="1" s="1"/>
  <c r="P621" i="1"/>
  <c r="N621" i="1"/>
  <c r="L621" i="1"/>
  <c r="K621" i="1" a="1"/>
  <c r="K621" i="1" s="1"/>
  <c r="U621" i="1" s="1"/>
  <c r="J621" i="1" a="1"/>
  <c r="J621" i="1" s="1"/>
  <c r="H621" i="1" a="1"/>
  <c r="H621" i="1" s="1"/>
  <c r="AU620" i="1"/>
  <c r="AC620" i="1" s="1"/>
  <c r="AT620" i="1"/>
  <c r="AB620" i="1" s="1"/>
  <c r="AS620" i="1"/>
  <c r="AA620" i="1" s="1"/>
  <c r="AO620" i="1"/>
  <c r="AN620" i="1"/>
  <c r="AM620" i="1"/>
  <c r="AL620" i="1"/>
  <c r="AK620" i="1"/>
  <c r="AJ620" i="1"/>
  <c r="AI620" i="1"/>
  <c r="AH620" i="1"/>
  <c r="AG620" i="1"/>
  <c r="AF620" i="1"/>
  <c r="AE620" i="1"/>
  <c r="AD620" i="1"/>
  <c r="Z620" i="1"/>
  <c r="W620" i="1"/>
  <c r="Y620" i="1" s="1"/>
  <c r="V620" i="1"/>
  <c r="T620" i="1"/>
  <c r="R620" i="1"/>
  <c r="Q620" i="1" a="1"/>
  <c r="Q620" i="1" s="1"/>
  <c r="P620" i="1"/>
  <c r="N620" i="1"/>
  <c r="L620" i="1"/>
  <c r="K620" i="1" a="1"/>
  <c r="K620" i="1" s="1"/>
  <c r="U620" i="1" s="1"/>
  <c r="J620" i="1" a="1"/>
  <c r="J620" i="1" s="1"/>
  <c r="H620" i="1" a="1"/>
  <c r="H620" i="1" s="1"/>
  <c r="AS619" i="1"/>
  <c r="AA619" i="1" s="1"/>
  <c r="AO619" i="1"/>
  <c r="AN619" i="1"/>
  <c r="AM619" i="1"/>
  <c r="AL619" i="1"/>
  <c r="AK619" i="1"/>
  <c r="AJ619" i="1"/>
  <c r="AI619" i="1"/>
  <c r="AH619" i="1"/>
  <c r="AG619" i="1"/>
  <c r="AF619" i="1"/>
  <c r="AE619" i="1"/>
  <c r="AD619" i="1"/>
  <c r="AC619" i="1"/>
  <c r="AB619" i="1"/>
  <c r="Z619" i="1"/>
  <c r="W619" i="1"/>
  <c r="Y619" i="1" s="1"/>
  <c r="V619" i="1"/>
  <c r="T619" i="1"/>
  <c r="R619" i="1"/>
  <c r="Q619" i="1" a="1"/>
  <c r="Q619" i="1" s="1"/>
  <c r="P619" i="1"/>
  <c r="N619" i="1"/>
  <c r="L619" i="1"/>
  <c r="K619" i="1" a="1"/>
  <c r="K619" i="1" s="1"/>
  <c r="U619" i="1" s="1"/>
  <c r="J619" i="1" a="1"/>
  <c r="J619" i="1" s="1"/>
  <c r="H619" i="1" a="1"/>
  <c r="H619" i="1" s="1"/>
  <c r="AS618" i="1"/>
  <c r="AA618" i="1" s="1"/>
  <c r="AO618" i="1"/>
  <c r="AN618" i="1"/>
  <c r="AM618" i="1"/>
  <c r="AL618" i="1"/>
  <c r="AK618" i="1"/>
  <c r="AJ618" i="1"/>
  <c r="AI618" i="1"/>
  <c r="AH618" i="1"/>
  <c r="AG618" i="1"/>
  <c r="AF618" i="1"/>
  <c r="AE618" i="1"/>
  <c r="AD618" i="1"/>
  <c r="AC618" i="1"/>
  <c r="AB618" i="1"/>
  <c r="Z618" i="1"/>
  <c r="W618" i="1"/>
  <c r="Y618" i="1" s="1"/>
  <c r="V618" i="1"/>
  <c r="T618" i="1"/>
  <c r="R618" i="1"/>
  <c r="Q618" i="1" a="1"/>
  <c r="Q618" i="1" s="1"/>
  <c r="P618" i="1"/>
  <c r="N618" i="1"/>
  <c r="L618" i="1"/>
  <c r="K618" i="1" a="1"/>
  <c r="K618" i="1" s="1"/>
  <c r="U618" i="1" s="1"/>
  <c r="J618" i="1" a="1"/>
  <c r="J618" i="1" s="1"/>
  <c r="H618" i="1" a="1"/>
  <c r="H618" i="1" s="1"/>
  <c r="AS617" i="1"/>
  <c r="AA617" i="1" s="1"/>
  <c r="AO617" i="1"/>
  <c r="AN617" i="1"/>
  <c r="AM617" i="1"/>
  <c r="AL617" i="1"/>
  <c r="AK617" i="1"/>
  <c r="AJ617" i="1"/>
  <c r="AI617" i="1"/>
  <c r="AH617" i="1"/>
  <c r="AG617" i="1"/>
  <c r="AF617" i="1"/>
  <c r="AE617" i="1"/>
  <c r="AD617" i="1"/>
  <c r="AC617" i="1"/>
  <c r="AB617" i="1"/>
  <c r="Z617" i="1"/>
  <c r="W617" i="1"/>
  <c r="Y617" i="1" s="1"/>
  <c r="V617" i="1"/>
  <c r="T617" i="1"/>
  <c r="R617" i="1"/>
  <c r="Q617" i="1" a="1"/>
  <c r="Q617" i="1" s="1"/>
  <c r="P617" i="1"/>
  <c r="N617" i="1"/>
  <c r="L617" i="1"/>
  <c r="K617" i="1" a="1"/>
  <c r="K617" i="1" s="1"/>
  <c r="U617" i="1" s="1"/>
  <c r="J617" i="1" a="1"/>
  <c r="J617" i="1" s="1"/>
  <c r="H617" i="1" a="1"/>
  <c r="H617" i="1" s="1"/>
  <c r="AS616" i="1"/>
  <c r="AA616" i="1" s="1"/>
  <c r="AO616" i="1"/>
  <c r="AN616" i="1"/>
  <c r="AM616" i="1"/>
  <c r="AL616" i="1"/>
  <c r="AK616" i="1"/>
  <c r="AJ616" i="1"/>
  <c r="AI616" i="1"/>
  <c r="AH616" i="1"/>
  <c r="AG616" i="1"/>
  <c r="AF616" i="1"/>
  <c r="AE616" i="1"/>
  <c r="AD616" i="1"/>
  <c r="AC616" i="1"/>
  <c r="AB616" i="1"/>
  <c r="Z616" i="1"/>
  <c r="W616" i="1"/>
  <c r="Y616" i="1" s="1"/>
  <c r="V616" i="1"/>
  <c r="T616" i="1"/>
  <c r="R616" i="1"/>
  <c r="Q616" i="1" a="1"/>
  <c r="Q616" i="1" s="1"/>
  <c r="P616" i="1"/>
  <c r="N616" i="1"/>
  <c r="L616" i="1"/>
  <c r="K616" i="1" a="1"/>
  <c r="K616" i="1" s="1"/>
  <c r="U616" i="1" s="1"/>
  <c r="J616" i="1" a="1"/>
  <c r="J616" i="1" s="1"/>
  <c r="H616" i="1" a="1"/>
  <c r="H616" i="1" s="1"/>
  <c r="I616" i="1" s="1"/>
  <c r="S616" i="1" s="1"/>
  <c r="AU615" i="1"/>
  <c r="AC615" i="1" s="1"/>
  <c r="AT615" i="1"/>
  <c r="AB615" i="1" s="1"/>
  <c r="AS615" i="1"/>
  <c r="AA615" i="1" s="1"/>
  <c r="AO615" i="1"/>
  <c r="AN615" i="1"/>
  <c r="AM615" i="1"/>
  <c r="AL615" i="1"/>
  <c r="AK615" i="1"/>
  <c r="AJ615" i="1"/>
  <c r="AI615" i="1"/>
  <c r="AH615" i="1"/>
  <c r="AG615" i="1"/>
  <c r="AF615" i="1"/>
  <c r="AE615" i="1"/>
  <c r="AD615" i="1"/>
  <c r="Z615" i="1"/>
  <c r="W615" i="1"/>
  <c r="Y615" i="1" s="1"/>
  <c r="V615" i="1"/>
  <c r="T615" i="1"/>
  <c r="R615" i="1"/>
  <c r="Q615" i="1" a="1"/>
  <c r="Q615" i="1" s="1"/>
  <c r="P615" i="1"/>
  <c r="N615" i="1"/>
  <c r="L615" i="1"/>
  <c r="K615" i="1" a="1"/>
  <c r="K615" i="1" s="1"/>
  <c r="U615" i="1" s="1"/>
  <c r="J615" i="1" a="1"/>
  <c r="J615" i="1" s="1"/>
  <c r="H615" i="1" a="1"/>
  <c r="H615" i="1" s="1"/>
  <c r="AS614" i="1"/>
  <c r="AA614" i="1" s="1"/>
  <c r="AO614" i="1"/>
  <c r="AN614" i="1"/>
  <c r="AM614" i="1"/>
  <c r="AL614" i="1"/>
  <c r="AK614" i="1"/>
  <c r="AJ614" i="1"/>
  <c r="AI614" i="1"/>
  <c r="AH614" i="1"/>
  <c r="AG614" i="1"/>
  <c r="AF614" i="1"/>
  <c r="AE614" i="1"/>
  <c r="AD614" i="1"/>
  <c r="AC614" i="1"/>
  <c r="AB614" i="1"/>
  <c r="Z614" i="1"/>
  <c r="W614" i="1"/>
  <c r="X614" i="1" s="1"/>
  <c r="V614" i="1"/>
  <c r="T614" i="1"/>
  <c r="R614" i="1"/>
  <c r="Q614" i="1" a="1"/>
  <c r="Q614" i="1" s="1"/>
  <c r="P614" i="1"/>
  <c r="N614" i="1"/>
  <c r="L614" i="1"/>
  <c r="K614" i="1" a="1"/>
  <c r="K614" i="1" s="1"/>
  <c r="U614" i="1" s="1"/>
  <c r="J614" i="1" a="1"/>
  <c r="J614" i="1" s="1"/>
  <c r="H614" i="1" a="1"/>
  <c r="H614" i="1" s="1"/>
  <c r="AS613" i="1"/>
  <c r="AA613" i="1" s="1"/>
  <c r="AO613" i="1"/>
  <c r="AN613" i="1"/>
  <c r="AM613" i="1"/>
  <c r="AL613" i="1"/>
  <c r="AK613" i="1"/>
  <c r="AJ613" i="1"/>
  <c r="AI613" i="1"/>
  <c r="AH613" i="1"/>
  <c r="AG613" i="1"/>
  <c r="AF613" i="1"/>
  <c r="AE613" i="1"/>
  <c r="AD613" i="1"/>
  <c r="AC613" i="1"/>
  <c r="AB613" i="1"/>
  <c r="Z613" i="1"/>
  <c r="W613" i="1"/>
  <c r="Y613" i="1" s="1"/>
  <c r="V613" i="1"/>
  <c r="T613" i="1"/>
  <c r="R613" i="1"/>
  <c r="Q613" i="1" a="1"/>
  <c r="Q613" i="1" s="1"/>
  <c r="P613" i="1"/>
  <c r="N613" i="1"/>
  <c r="L613" i="1"/>
  <c r="K613" i="1" a="1"/>
  <c r="K613" i="1" s="1"/>
  <c r="U613" i="1" s="1"/>
  <c r="J613" i="1" a="1"/>
  <c r="J613" i="1" s="1"/>
  <c r="H613" i="1" a="1"/>
  <c r="H613" i="1" s="1"/>
  <c r="AS612" i="1"/>
  <c r="AA612" i="1" s="1"/>
  <c r="AO612" i="1"/>
  <c r="AN612" i="1"/>
  <c r="AM612" i="1"/>
  <c r="AL612" i="1"/>
  <c r="AK612" i="1"/>
  <c r="AJ612" i="1"/>
  <c r="AI612" i="1"/>
  <c r="AH612" i="1"/>
  <c r="AG612" i="1"/>
  <c r="AF612" i="1"/>
  <c r="AE612" i="1"/>
  <c r="AD612" i="1"/>
  <c r="AC612" i="1"/>
  <c r="AB612" i="1"/>
  <c r="Z612" i="1"/>
  <c r="W612" i="1"/>
  <c r="X612" i="1" s="1"/>
  <c r="V612" i="1"/>
  <c r="T612" i="1"/>
  <c r="R612" i="1"/>
  <c r="Q612" i="1" a="1"/>
  <c r="Q612" i="1" s="1"/>
  <c r="P612" i="1"/>
  <c r="N612" i="1"/>
  <c r="L612" i="1"/>
  <c r="K612" i="1" a="1"/>
  <c r="K612" i="1" s="1"/>
  <c r="U612" i="1" s="1"/>
  <c r="J612" i="1" a="1"/>
  <c r="J612" i="1" s="1"/>
  <c r="H612" i="1" a="1"/>
  <c r="H612" i="1" s="1"/>
  <c r="AS611" i="1"/>
  <c r="AA611" i="1" s="1"/>
  <c r="AO611" i="1"/>
  <c r="AN611" i="1"/>
  <c r="AM611" i="1"/>
  <c r="AL611" i="1"/>
  <c r="AK611" i="1"/>
  <c r="AJ611" i="1"/>
  <c r="AI611" i="1"/>
  <c r="AH611" i="1"/>
  <c r="AG611" i="1"/>
  <c r="AF611" i="1"/>
  <c r="AE611" i="1"/>
  <c r="AD611" i="1"/>
  <c r="AC611" i="1"/>
  <c r="AB611" i="1"/>
  <c r="Z611" i="1"/>
  <c r="W611" i="1"/>
  <c r="Y611" i="1" s="1"/>
  <c r="V611" i="1"/>
  <c r="T611" i="1"/>
  <c r="R611" i="1"/>
  <c r="Q611" i="1" a="1"/>
  <c r="Q611" i="1" s="1"/>
  <c r="P611" i="1"/>
  <c r="N611" i="1"/>
  <c r="L611" i="1"/>
  <c r="K611" i="1" a="1"/>
  <c r="K611" i="1" s="1"/>
  <c r="U611" i="1" s="1"/>
  <c r="J611" i="1" a="1"/>
  <c r="J611" i="1" s="1"/>
  <c r="H611" i="1" a="1"/>
  <c r="H611" i="1" s="1"/>
  <c r="AS610" i="1"/>
  <c r="AA610" i="1" s="1"/>
  <c r="AO610" i="1"/>
  <c r="AN610" i="1"/>
  <c r="AM610" i="1"/>
  <c r="AL610" i="1"/>
  <c r="AK610" i="1"/>
  <c r="AJ610" i="1"/>
  <c r="AI610" i="1"/>
  <c r="AH610" i="1"/>
  <c r="AG610" i="1"/>
  <c r="AF610" i="1"/>
  <c r="AE610" i="1"/>
  <c r="AD610" i="1"/>
  <c r="AC610" i="1"/>
  <c r="AB610" i="1"/>
  <c r="Z610" i="1"/>
  <c r="W610" i="1"/>
  <c r="X610" i="1" s="1"/>
  <c r="V610" i="1"/>
  <c r="T610" i="1"/>
  <c r="R610" i="1"/>
  <c r="Q610" i="1" a="1"/>
  <c r="Q610" i="1" s="1"/>
  <c r="P610" i="1"/>
  <c r="N610" i="1"/>
  <c r="L610" i="1"/>
  <c r="K610" i="1" a="1"/>
  <c r="K610" i="1" s="1"/>
  <c r="U610" i="1" s="1"/>
  <c r="J610" i="1" a="1"/>
  <c r="J610" i="1" s="1"/>
  <c r="H610" i="1" a="1"/>
  <c r="H610" i="1" s="1"/>
  <c r="AS609" i="1"/>
  <c r="AA609" i="1" s="1"/>
  <c r="AO609" i="1"/>
  <c r="AN609" i="1"/>
  <c r="AM609" i="1"/>
  <c r="AL609" i="1"/>
  <c r="AK609" i="1"/>
  <c r="AJ609" i="1"/>
  <c r="AI609" i="1"/>
  <c r="AH609" i="1"/>
  <c r="AG609" i="1"/>
  <c r="AF609" i="1"/>
  <c r="AE609" i="1"/>
  <c r="AD609" i="1"/>
  <c r="AC609" i="1"/>
  <c r="AB609" i="1"/>
  <c r="Z609" i="1"/>
  <c r="W609" i="1"/>
  <c r="X609" i="1" s="1"/>
  <c r="V609" i="1"/>
  <c r="T609" i="1"/>
  <c r="R609" i="1"/>
  <c r="Q609" i="1" a="1"/>
  <c r="Q609" i="1" s="1"/>
  <c r="P609" i="1"/>
  <c r="N609" i="1"/>
  <c r="L609" i="1"/>
  <c r="K609" i="1" a="1"/>
  <c r="K609" i="1" s="1"/>
  <c r="U609" i="1" s="1"/>
  <c r="J609" i="1" a="1"/>
  <c r="J609" i="1" s="1"/>
  <c r="H609" i="1" a="1"/>
  <c r="H609" i="1" s="1"/>
  <c r="AS608" i="1"/>
  <c r="AA608" i="1" s="1"/>
  <c r="AO608" i="1"/>
  <c r="AN608" i="1"/>
  <c r="AM608" i="1"/>
  <c r="AL608" i="1"/>
  <c r="AK608" i="1"/>
  <c r="AJ608" i="1"/>
  <c r="AI608" i="1"/>
  <c r="AH608" i="1"/>
  <c r="AG608" i="1"/>
  <c r="AF608" i="1"/>
  <c r="AE608" i="1"/>
  <c r="AD608" i="1"/>
  <c r="AC608" i="1"/>
  <c r="AB608" i="1"/>
  <c r="Z608" i="1"/>
  <c r="W608" i="1"/>
  <c r="X608" i="1" s="1"/>
  <c r="V608" i="1"/>
  <c r="T608" i="1"/>
  <c r="R608" i="1"/>
  <c r="Q608" i="1" a="1"/>
  <c r="Q608" i="1" s="1"/>
  <c r="P608" i="1"/>
  <c r="N608" i="1"/>
  <c r="L608" i="1"/>
  <c r="K608" i="1" a="1"/>
  <c r="K608" i="1" s="1"/>
  <c r="U608" i="1" s="1"/>
  <c r="J608" i="1" a="1"/>
  <c r="J608" i="1" s="1"/>
  <c r="H608" i="1" a="1"/>
  <c r="H608" i="1" s="1"/>
  <c r="AS607" i="1"/>
  <c r="AA607" i="1" s="1"/>
  <c r="AO607" i="1"/>
  <c r="AN607" i="1"/>
  <c r="AM607" i="1"/>
  <c r="AL607" i="1"/>
  <c r="AK607" i="1"/>
  <c r="AJ607" i="1"/>
  <c r="AI607" i="1"/>
  <c r="AH607" i="1"/>
  <c r="AG607" i="1"/>
  <c r="AF607" i="1"/>
  <c r="AE607" i="1"/>
  <c r="AD607" i="1"/>
  <c r="AC607" i="1"/>
  <c r="AB607" i="1"/>
  <c r="Z607" i="1"/>
  <c r="W607" i="1"/>
  <c r="Y607" i="1" s="1"/>
  <c r="V607" i="1"/>
  <c r="T607" i="1"/>
  <c r="R607" i="1"/>
  <c r="Q607" i="1" a="1"/>
  <c r="Q607" i="1" s="1"/>
  <c r="P607" i="1"/>
  <c r="N607" i="1"/>
  <c r="L607" i="1"/>
  <c r="K607" i="1" a="1"/>
  <c r="K607" i="1" s="1"/>
  <c r="U607" i="1" s="1"/>
  <c r="J607" i="1" a="1"/>
  <c r="J607" i="1" s="1"/>
  <c r="H607" i="1" a="1"/>
  <c r="H607" i="1" s="1"/>
  <c r="AS606" i="1"/>
  <c r="AA606" i="1" s="1"/>
  <c r="AO606" i="1"/>
  <c r="AN606" i="1"/>
  <c r="AM606" i="1"/>
  <c r="AL606" i="1"/>
  <c r="AK606" i="1"/>
  <c r="AJ606" i="1"/>
  <c r="AI606" i="1"/>
  <c r="AH606" i="1"/>
  <c r="AG606" i="1"/>
  <c r="AF606" i="1"/>
  <c r="AE606" i="1"/>
  <c r="AD606" i="1"/>
  <c r="AC606" i="1"/>
  <c r="AB606" i="1"/>
  <c r="Z606" i="1"/>
  <c r="W606" i="1"/>
  <c r="X606" i="1" s="1"/>
  <c r="V606" i="1"/>
  <c r="T606" i="1"/>
  <c r="R606" i="1"/>
  <c r="Q606" i="1" a="1"/>
  <c r="Q606" i="1" s="1"/>
  <c r="P606" i="1"/>
  <c r="N606" i="1"/>
  <c r="L606" i="1"/>
  <c r="K606" i="1" a="1"/>
  <c r="K606" i="1" s="1"/>
  <c r="U606" i="1" s="1"/>
  <c r="J606" i="1" a="1"/>
  <c r="J606" i="1" s="1"/>
  <c r="H606" i="1" a="1"/>
  <c r="H606" i="1" s="1"/>
  <c r="AS605" i="1"/>
  <c r="AA605" i="1" s="1"/>
  <c r="AO605" i="1"/>
  <c r="AN605" i="1"/>
  <c r="AM605" i="1"/>
  <c r="AL605" i="1"/>
  <c r="AK605" i="1"/>
  <c r="AJ605" i="1"/>
  <c r="AI605" i="1"/>
  <c r="AH605" i="1"/>
  <c r="AG605" i="1"/>
  <c r="AF605" i="1"/>
  <c r="AE605" i="1"/>
  <c r="AD605" i="1"/>
  <c r="AC605" i="1"/>
  <c r="AB605" i="1"/>
  <c r="Z605" i="1"/>
  <c r="W605" i="1"/>
  <c r="X605" i="1" s="1"/>
  <c r="V605" i="1"/>
  <c r="T605" i="1"/>
  <c r="R605" i="1"/>
  <c r="Q605" i="1" a="1"/>
  <c r="Q605" i="1" s="1"/>
  <c r="P605" i="1"/>
  <c r="N605" i="1"/>
  <c r="L605" i="1"/>
  <c r="K605" i="1" a="1"/>
  <c r="K605" i="1" s="1"/>
  <c r="U605" i="1" s="1"/>
  <c r="J605" i="1" a="1"/>
  <c r="J605" i="1" s="1"/>
  <c r="H605" i="1" a="1"/>
  <c r="H605" i="1" s="1"/>
  <c r="AS604" i="1"/>
  <c r="AA604" i="1" s="1"/>
  <c r="AO604" i="1"/>
  <c r="AN604" i="1"/>
  <c r="AM604" i="1"/>
  <c r="AL604" i="1"/>
  <c r="AK604" i="1"/>
  <c r="AJ604" i="1"/>
  <c r="AI604" i="1"/>
  <c r="AH604" i="1"/>
  <c r="AG604" i="1"/>
  <c r="AF604" i="1"/>
  <c r="AE604" i="1"/>
  <c r="AD604" i="1"/>
  <c r="AC604" i="1"/>
  <c r="AB604" i="1"/>
  <c r="Z604" i="1"/>
  <c r="W604" i="1"/>
  <c r="Y604" i="1" s="1"/>
  <c r="V604" i="1"/>
  <c r="T604" i="1"/>
  <c r="R604" i="1"/>
  <c r="Q604" i="1" a="1"/>
  <c r="Q604" i="1" s="1"/>
  <c r="P604" i="1"/>
  <c r="N604" i="1"/>
  <c r="L604" i="1"/>
  <c r="K604" i="1" a="1"/>
  <c r="K604" i="1" s="1"/>
  <c r="U604" i="1" s="1"/>
  <c r="J604" i="1" a="1"/>
  <c r="J604" i="1" s="1"/>
  <c r="H604" i="1" a="1"/>
  <c r="H604" i="1" s="1"/>
  <c r="AS603" i="1"/>
  <c r="AA603" i="1" s="1"/>
  <c r="AO603" i="1"/>
  <c r="AN603" i="1"/>
  <c r="AM603" i="1"/>
  <c r="AL603" i="1"/>
  <c r="AK603" i="1"/>
  <c r="AJ603" i="1"/>
  <c r="AI603" i="1"/>
  <c r="AH603" i="1"/>
  <c r="AG603" i="1"/>
  <c r="AF603" i="1"/>
  <c r="AE603" i="1"/>
  <c r="AD603" i="1"/>
  <c r="AC603" i="1"/>
  <c r="AB603" i="1"/>
  <c r="Z603" i="1"/>
  <c r="W603" i="1"/>
  <c r="Y603" i="1" s="1"/>
  <c r="V603" i="1"/>
  <c r="T603" i="1"/>
  <c r="R603" i="1"/>
  <c r="Q603" i="1" a="1"/>
  <c r="Q603" i="1" s="1"/>
  <c r="P603" i="1"/>
  <c r="N603" i="1"/>
  <c r="L603" i="1"/>
  <c r="K603" i="1" a="1"/>
  <c r="K603" i="1" s="1"/>
  <c r="U603" i="1" s="1"/>
  <c r="J603" i="1" a="1"/>
  <c r="J603" i="1" s="1"/>
  <c r="H603" i="1" a="1"/>
  <c r="H603" i="1" s="1"/>
  <c r="AS602" i="1"/>
  <c r="AA602" i="1" s="1"/>
  <c r="AO602" i="1"/>
  <c r="AN602" i="1"/>
  <c r="AM602" i="1"/>
  <c r="AL602" i="1"/>
  <c r="AK602" i="1"/>
  <c r="AJ602" i="1"/>
  <c r="AI602" i="1"/>
  <c r="AH602" i="1"/>
  <c r="AG602" i="1"/>
  <c r="AF602" i="1"/>
  <c r="AE602" i="1"/>
  <c r="AD602" i="1"/>
  <c r="AC602" i="1"/>
  <c r="AB602" i="1"/>
  <c r="Z602" i="1"/>
  <c r="W602" i="1"/>
  <c r="X602" i="1" s="1"/>
  <c r="V602" i="1"/>
  <c r="T602" i="1"/>
  <c r="R602" i="1"/>
  <c r="Q602" i="1" a="1"/>
  <c r="Q602" i="1" s="1"/>
  <c r="P602" i="1"/>
  <c r="N602" i="1"/>
  <c r="L602" i="1"/>
  <c r="K602" i="1" a="1"/>
  <c r="K602" i="1" s="1"/>
  <c r="U602" i="1" s="1"/>
  <c r="J602" i="1" a="1"/>
  <c r="J602" i="1" s="1"/>
  <c r="H602" i="1" a="1"/>
  <c r="H602" i="1" s="1"/>
  <c r="AS601" i="1"/>
  <c r="AA601" i="1" s="1"/>
  <c r="AO601" i="1"/>
  <c r="AN601" i="1"/>
  <c r="AM601" i="1"/>
  <c r="AL601" i="1"/>
  <c r="AK601" i="1"/>
  <c r="AJ601" i="1"/>
  <c r="AI601" i="1"/>
  <c r="AH601" i="1"/>
  <c r="AG601" i="1"/>
  <c r="AF601" i="1"/>
  <c r="AE601" i="1"/>
  <c r="AD601" i="1"/>
  <c r="AC601" i="1"/>
  <c r="AB601" i="1"/>
  <c r="Z601" i="1"/>
  <c r="W601" i="1"/>
  <c r="X601" i="1" s="1"/>
  <c r="V601" i="1"/>
  <c r="T601" i="1"/>
  <c r="R601" i="1"/>
  <c r="Q601" i="1" a="1"/>
  <c r="Q601" i="1" s="1"/>
  <c r="P601" i="1"/>
  <c r="N601" i="1"/>
  <c r="L601" i="1"/>
  <c r="K601" i="1" a="1"/>
  <c r="K601" i="1" s="1"/>
  <c r="U601" i="1" s="1"/>
  <c r="J601" i="1" a="1"/>
  <c r="J601" i="1" s="1"/>
  <c r="H601" i="1" a="1"/>
  <c r="H601" i="1" s="1"/>
  <c r="AT600" i="1"/>
  <c r="AB600" i="1" s="1"/>
  <c r="AS600" i="1"/>
  <c r="AA600" i="1" s="1"/>
  <c r="AO600" i="1"/>
  <c r="AN600" i="1"/>
  <c r="AM600" i="1"/>
  <c r="AL600" i="1"/>
  <c r="AK600" i="1"/>
  <c r="AJ600" i="1"/>
  <c r="AI600" i="1"/>
  <c r="AH600" i="1"/>
  <c r="AG600" i="1"/>
  <c r="AF600" i="1"/>
  <c r="AE600" i="1"/>
  <c r="AD600" i="1"/>
  <c r="AC600" i="1"/>
  <c r="Z600" i="1"/>
  <c r="W600" i="1"/>
  <c r="X600" i="1" s="1"/>
  <c r="V600" i="1"/>
  <c r="T600" i="1"/>
  <c r="R600" i="1"/>
  <c r="Q600" i="1" a="1"/>
  <c r="Q600" i="1" s="1"/>
  <c r="P600" i="1"/>
  <c r="N600" i="1"/>
  <c r="L600" i="1"/>
  <c r="K600" i="1" a="1"/>
  <c r="K600" i="1" s="1"/>
  <c r="U600" i="1" s="1"/>
  <c r="J600" i="1" a="1"/>
  <c r="J600" i="1" s="1"/>
  <c r="H600" i="1" a="1"/>
  <c r="H600" i="1" s="1"/>
  <c r="AS599" i="1"/>
  <c r="AA599" i="1" s="1"/>
  <c r="AO599" i="1"/>
  <c r="AN599" i="1"/>
  <c r="AM599" i="1"/>
  <c r="AL599" i="1"/>
  <c r="AK599" i="1"/>
  <c r="AJ599" i="1"/>
  <c r="AI599" i="1"/>
  <c r="AH599" i="1"/>
  <c r="AG599" i="1"/>
  <c r="AF599" i="1"/>
  <c r="AE599" i="1"/>
  <c r="AD599" i="1"/>
  <c r="AC599" i="1"/>
  <c r="AB599" i="1"/>
  <c r="Z599" i="1"/>
  <c r="W599" i="1"/>
  <c r="Y599" i="1" s="1"/>
  <c r="V599" i="1"/>
  <c r="T599" i="1"/>
  <c r="R599" i="1"/>
  <c r="Q599" i="1" a="1"/>
  <c r="Q599" i="1" s="1"/>
  <c r="P599" i="1"/>
  <c r="N599" i="1"/>
  <c r="L599" i="1"/>
  <c r="K599" i="1" a="1"/>
  <c r="K599" i="1" s="1"/>
  <c r="U599" i="1" s="1"/>
  <c r="J599" i="1" a="1"/>
  <c r="J599" i="1" s="1"/>
  <c r="H599" i="1" a="1"/>
  <c r="H599" i="1" s="1"/>
  <c r="AS598" i="1"/>
  <c r="AA598" i="1" s="1"/>
  <c r="AO598" i="1"/>
  <c r="AN598" i="1"/>
  <c r="AM598" i="1"/>
  <c r="AL598" i="1"/>
  <c r="AK598" i="1"/>
  <c r="AJ598" i="1"/>
  <c r="AI598" i="1"/>
  <c r="AH598" i="1"/>
  <c r="AG598" i="1"/>
  <c r="AF598" i="1"/>
  <c r="AE598" i="1"/>
  <c r="AD598" i="1"/>
  <c r="AC598" i="1"/>
  <c r="AB598" i="1"/>
  <c r="Z598" i="1"/>
  <c r="W598" i="1"/>
  <c r="Y598" i="1" s="1"/>
  <c r="V598" i="1"/>
  <c r="T598" i="1"/>
  <c r="R598" i="1"/>
  <c r="Q598" i="1" a="1"/>
  <c r="Q598" i="1" s="1"/>
  <c r="P598" i="1"/>
  <c r="N598" i="1"/>
  <c r="L598" i="1"/>
  <c r="K598" i="1" a="1"/>
  <c r="K598" i="1" s="1"/>
  <c r="U598" i="1" s="1"/>
  <c r="J598" i="1" a="1"/>
  <c r="J598" i="1" s="1"/>
  <c r="H598" i="1" a="1"/>
  <c r="H598" i="1" s="1"/>
  <c r="AS597" i="1"/>
  <c r="AA597" i="1" s="1"/>
  <c r="AO597" i="1"/>
  <c r="AN597" i="1"/>
  <c r="AM597" i="1"/>
  <c r="AL597" i="1"/>
  <c r="AK597" i="1"/>
  <c r="AJ597" i="1"/>
  <c r="AI597" i="1"/>
  <c r="AH597" i="1"/>
  <c r="AG597" i="1"/>
  <c r="AF597" i="1"/>
  <c r="AE597" i="1"/>
  <c r="AD597" i="1"/>
  <c r="AC597" i="1"/>
  <c r="AB597" i="1"/>
  <c r="Z597" i="1"/>
  <c r="W597" i="1"/>
  <c r="Y597" i="1" s="1"/>
  <c r="V597" i="1"/>
  <c r="T597" i="1"/>
  <c r="R597" i="1"/>
  <c r="Q597" i="1" a="1"/>
  <c r="Q597" i="1" s="1"/>
  <c r="P597" i="1"/>
  <c r="N597" i="1"/>
  <c r="L597" i="1"/>
  <c r="K597" i="1" a="1"/>
  <c r="K597" i="1" s="1"/>
  <c r="U597" i="1" s="1"/>
  <c r="J597" i="1" a="1"/>
  <c r="J597" i="1" s="1"/>
  <c r="H597" i="1" a="1"/>
  <c r="H597" i="1" s="1"/>
  <c r="AS596" i="1"/>
  <c r="AA596" i="1" s="1"/>
  <c r="AO596" i="1"/>
  <c r="AN596" i="1"/>
  <c r="AM596" i="1"/>
  <c r="AL596" i="1"/>
  <c r="AK596" i="1"/>
  <c r="AJ596" i="1"/>
  <c r="AI596" i="1"/>
  <c r="AH596" i="1"/>
  <c r="AG596" i="1"/>
  <c r="AF596" i="1"/>
  <c r="AE596" i="1"/>
  <c r="AD596" i="1"/>
  <c r="AC596" i="1"/>
  <c r="AB596" i="1"/>
  <c r="Z596" i="1"/>
  <c r="W596" i="1"/>
  <c r="X596" i="1" s="1"/>
  <c r="V596" i="1"/>
  <c r="T596" i="1"/>
  <c r="R596" i="1"/>
  <c r="Q596" i="1" a="1"/>
  <c r="Q596" i="1" s="1"/>
  <c r="P596" i="1"/>
  <c r="N596" i="1"/>
  <c r="L596" i="1"/>
  <c r="K596" i="1" a="1"/>
  <c r="K596" i="1" s="1"/>
  <c r="U596" i="1" s="1"/>
  <c r="J596" i="1" a="1"/>
  <c r="J596" i="1" s="1"/>
  <c r="H596" i="1" a="1"/>
  <c r="H596" i="1" s="1"/>
  <c r="AS595" i="1"/>
  <c r="AA595" i="1" s="1"/>
  <c r="AO595" i="1"/>
  <c r="AN595" i="1"/>
  <c r="AM595" i="1"/>
  <c r="AL595" i="1"/>
  <c r="AK595" i="1"/>
  <c r="AJ595" i="1"/>
  <c r="AI595" i="1"/>
  <c r="AH595" i="1"/>
  <c r="AG595" i="1"/>
  <c r="AF595" i="1"/>
  <c r="AE595" i="1"/>
  <c r="AD595" i="1"/>
  <c r="AC595" i="1"/>
  <c r="AB595" i="1"/>
  <c r="Z595" i="1"/>
  <c r="W595" i="1"/>
  <c r="Y595" i="1" s="1"/>
  <c r="V595" i="1"/>
  <c r="T595" i="1"/>
  <c r="R595" i="1"/>
  <c r="Q595" i="1" a="1"/>
  <c r="Q595" i="1" s="1"/>
  <c r="P595" i="1"/>
  <c r="N595" i="1"/>
  <c r="L595" i="1"/>
  <c r="K595" i="1" a="1"/>
  <c r="K595" i="1" s="1"/>
  <c r="U595" i="1" s="1"/>
  <c r="J595" i="1" a="1"/>
  <c r="J595" i="1" s="1"/>
  <c r="H595" i="1" a="1"/>
  <c r="H595" i="1" s="1"/>
  <c r="AT594" i="1"/>
  <c r="AB594" i="1" s="1"/>
  <c r="AS594" i="1"/>
  <c r="AA594" i="1" s="1"/>
  <c r="AO594" i="1"/>
  <c r="AN594" i="1"/>
  <c r="AM594" i="1"/>
  <c r="AL594" i="1"/>
  <c r="AK594" i="1"/>
  <c r="AJ594" i="1"/>
  <c r="AI594" i="1"/>
  <c r="AH594" i="1"/>
  <c r="AG594" i="1"/>
  <c r="AF594" i="1"/>
  <c r="AE594" i="1"/>
  <c r="AD594" i="1"/>
  <c r="AC594" i="1"/>
  <c r="Z594" i="1"/>
  <c r="W594" i="1"/>
  <c r="X594" i="1" s="1"/>
  <c r="V594" i="1"/>
  <c r="T594" i="1"/>
  <c r="R594" i="1"/>
  <c r="Q594" i="1" a="1"/>
  <c r="Q594" i="1" s="1"/>
  <c r="P594" i="1"/>
  <c r="N594" i="1"/>
  <c r="L594" i="1"/>
  <c r="K594" i="1" a="1"/>
  <c r="K594" i="1" s="1"/>
  <c r="U594" i="1" s="1"/>
  <c r="J594" i="1" a="1"/>
  <c r="J594" i="1" s="1"/>
  <c r="H594" i="1" a="1"/>
  <c r="H594" i="1" s="1"/>
  <c r="AS593" i="1"/>
  <c r="AA593" i="1" s="1"/>
  <c r="AO593" i="1"/>
  <c r="AN593" i="1"/>
  <c r="AM593" i="1"/>
  <c r="AL593" i="1"/>
  <c r="AK593" i="1"/>
  <c r="AJ593" i="1"/>
  <c r="AI593" i="1"/>
  <c r="AH593" i="1"/>
  <c r="AG593" i="1"/>
  <c r="AF593" i="1"/>
  <c r="AE593" i="1"/>
  <c r="AD593" i="1"/>
  <c r="AC593" i="1"/>
  <c r="AB593" i="1"/>
  <c r="Z593" i="1"/>
  <c r="W593" i="1"/>
  <c r="Y593" i="1" s="1"/>
  <c r="V593" i="1"/>
  <c r="T593" i="1"/>
  <c r="R593" i="1"/>
  <c r="Q593" i="1" a="1"/>
  <c r="Q593" i="1" s="1"/>
  <c r="P593" i="1"/>
  <c r="N593" i="1"/>
  <c r="L593" i="1"/>
  <c r="K593" i="1" a="1"/>
  <c r="K593" i="1" s="1"/>
  <c r="U593" i="1" s="1"/>
  <c r="J593" i="1" a="1"/>
  <c r="J593" i="1" s="1"/>
  <c r="H593" i="1" a="1"/>
  <c r="H593" i="1" s="1"/>
  <c r="AS592" i="1"/>
  <c r="AA592" i="1" s="1"/>
  <c r="AO592" i="1"/>
  <c r="AN592" i="1"/>
  <c r="AM592" i="1"/>
  <c r="AL592" i="1"/>
  <c r="AK592" i="1"/>
  <c r="AJ592" i="1"/>
  <c r="AI592" i="1"/>
  <c r="AH592" i="1"/>
  <c r="AG592" i="1"/>
  <c r="AF592" i="1"/>
  <c r="AE592" i="1"/>
  <c r="AD592" i="1"/>
  <c r="AC592" i="1"/>
  <c r="AB592" i="1"/>
  <c r="Z592" i="1"/>
  <c r="W592" i="1"/>
  <c r="Y592" i="1" s="1"/>
  <c r="V592" i="1"/>
  <c r="T592" i="1"/>
  <c r="R592" i="1"/>
  <c r="Q592" i="1" a="1"/>
  <c r="Q592" i="1" s="1"/>
  <c r="P592" i="1"/>
  <c r="N592" i="1"/>
  <c r="L592" i="1"/>
  <c r="K592" i="1" a="1"/>
  <c r="K592" i="1" s="1"/>
  <c r="U592" i="1" s="1"/>
  <c r="J592" i="1" a="1"/>
  <c r="J592" i="1" s="1"/>
  <c r="H592" i="1" a="1"/>
  <c r="H592" i="1" s="1"/>
  <c r="I592" i="1" s="1"/>
  <c r="S592" i="1" s="1"/>
  <c r="AS591" i="1"/>
  <c r="AA591" i="1" s="1"/>
  <c r="AO591" i="1"/>
  <c r="AN591" i="1"/>
  <c r="AM591" i="1"/>
  <c r="AL591" i="1"/>
  <c r="AK591" i="1"/>
  <c r="AJ591" i="1"/>
  <c r="AI591" i="1"/>
  <c r="AH591" i="1"/>
  <c r="AG591" i="1"/>
  <c r="AF591" i="1"/>
  <c r="AE591" i="1"/>
  <c r="AD591" i="1"/>
  <c r="AC591" i="1"/>
  <c r="AB591" i="1"/>
  <c r="Z591" i="1"/>
  <c r="W591" i="1"/>
  <c r="Y591" i="1" s="1"/>
  <c r="V591" i="1"/>
  <c r="T591" i="1"/>
  <c r="R591" i="1"/>
  <c r="Q591" i="1" a="1"/>
  <c r="Q591" i="1" s="1"/>
  <c r="P591" i="1"/>
  <c r="N591" i="1"/>
  <c r="L591" i="1"/>
  <c r="K591" i="1" a="1"/>
  <c r="K591" i="1" s="1"/>
  <c r="U591" i="1" s="1"/>
  <c r="J591" i="1" a="1"/>
  <c r="J591" i="1" s="1"/>
  <c r="H591" i="1" a="1"/>
  <c r="H591" i="1" s="1"/>
  <c r="AS590" i="1"/>
  <c r="AA590" i="1" s="1"/>
  <c r="AO590" i="1"/>
  <c r="AN590" i="1"/>
  <c r="AM590" i="1"/>
  <c r="AL590" i="1"/>
  <c r="AK590" i="1"/>
  <c r="AJ590" i="1"/>
  <c r="AI590" i="1"/>
  <c r="AH590" i="1"/>
  <c r="AG590" i="1"/>
  <c r="AF590" i="1"/>
  <c r="AE590" i="1"/>
  <c r="AD590" i="1"/>
  <c r="AC590" i="1"/>
  <c r="AB590" i="1"/>
  <c r="Z590" i="1"/>
  <c r="W590" i="1"/>
  <c r="Y590" i="1" s="1"/>
  <c r="V590" i="1"/>
  <c r="T590" i="1"/>
  <c r="R590" i="1"/>
  <c r="Q590" i="1" a="1"/>
  <c r="Q590" i="1" s="1"/>
  <c r="P590" i="1"/>
  <c r="N590" i="1"/>
  <c r="L590" i="1"/>
  <c r="K590" i="1" a="1"/>
  <c r="K590" i="1" s="1"/>
  <c r="U590" i="1" s="1"/>
  <c r="J590" i="1" a="1"/>
  <c r="J590" i="1" s="1"/>
  <c r="H590" i="1" a="1"/>
  <c r="H590" i="1" s="1"/>
  <c r="AS589" i="1"/>
  <c r="AA589" i="1" s="1"/>
  <c r="AO589" i="1"/>
  <c r="AN589" i="1"/>
  <c r="AM589" i="1"/>
  <c r="AL589" i="1"/>
  <c r="AK589" i="1"/>
  <c r="AJ589" i="1"/>
  <c r="AI589" i="1"/>
  <c r="AH589" i="1"/>
  <c r="AG589" i="1"/>
  <c r="AF589" i="1"/>
  <c r="AE589" i="1"/>
  <c r="AD589" i="1"/>
  <c r="AC589" i="1"/>
  <c r="AB589" i="1"/>
  <c r="Z589" i="1"/>
  <c r="W589" i="1"/>
  <c r="Y589" i="1" s="1"/>
  <c r="V589" i="1"/>
  <c r="T589" i="1"/>
  <c r="R589" i="1"/>
  <c r="Q589" i="1" a="1"/>
  <c r="Q589" i="1" s="1"/>
  <c r="P589" i="1"/>
  <c r="N589" i="1"/>
  <c r="L589" i="1"/>
  <c r="K589" i="1" a="1"/>
  <c r="K589" i="1" s="1"/>
  <c r="U589" i="1" s="1"/>
  <c r="J589" i="1" a="1"/>
  <c r="J589" i="1" s="1"/>
  <c r="H589" i="1" a="1"/>
  <c r="H589" i="1" s="1"/>
  <c r="AS588" i="1"/>
  <c r="AA588" i="1" s="1"/>
  <c r="AO588" i="1"/>
  <c r="AN588" i="1"/>
  <c r="AM588" i="1"/>
  <c r="AL588" i="1"/>
  <c r="AK588" i="1"/>
  <c r="AJ588" i="1"/>
  <c r="AI588" i="1"/>
  <c r="AH588" i="1"/>
  <c r="AG588" i="1"/>
  <c r="AF588" i="1"/>
  <c r="AE588" i="1"/>
  <c r="AD588" i="1"/>
  <c r="AC588" i="1"/>
  <c r="AB588" i="1"/>
  <c r="Z588" i="1"/>
  <c r="W588" i="1"/>
  <c r="Y588" i="1" s="1"/>
  <c r="V588" i="1"/>
  <c r="T588" i="1"/>
  <c r="R588" i="1"/>
  <c r="Q588" i="1" a="1"/>
  <c r="Q588" i="1" s="1"/>
  <c r="P588" i="1"/>
  <c r="N588" i="1"/>
  <c r="L588" i="1"/>
  <c r="K588" i="1" a="1"/>
  <c r="K588" i="1" s="1"/>
  <c r="U588" i="1" s="1"/>
  <c r="J588" i="1" a="1"/>
  <c r="J588" i="1" s="1"/>
  <c r="H588" i="1" a="1"/>
  <c r="H588" i="1" s="1"/>
  <c r="I588" i="1" s="1"/>
  <c r="S588" i="1" s="1"/>
  <c r="AU587" i="1"/>
  <c r="AC587" i="1" s="1"/>
  <c r="AT587" i="1"/>
  <c r="AB587" i="1" s="1"/>
  <c r="AS587" i="1"/>
  <c r="AA587" i="1" s="1"/>
  <c r="AO587" i="1"/>
  <c r="AN587" i="1"/>
  <c r="AM587" i="1"/>
  <c r="AL587" i="1"/>
  <c r="AK587" i="1"/>
  <c r="AJ587" i="1"/>
  <c r="AI587" i="1"/>
  <c r="AH587" i="1"/>
  <c r="AG587" i="1"/>
  <c r="AF587" i="1"/>
  <c r="AE587" i="1"/>
  <c r="AD587" i="1"/>
  <c r="Z587" i="1"/>
  <c r="W587" i="1"/>
  <c r="Y587" i="1" s="1"/>
  <c r="V587" i="1"/>
  <c r="T587" i="1"/>
  <c r="R587" i="1"/>
  <c r="Q587" i="1" a="1"/>
  <c r="Q587" i="1" s="1"/>
  <c r="P587" i="1"/>
  <c r="N587" i="1"/>
  <c r="L587" i="1"/>
  <c r="K587" i="1" a="1"/>
  <c r="K587" i="1" s="1"/>
  <c r="U587" i="1" s="1"/>
  <c r="J587" i="1" a="1"/>
  <c r="J587" i="1" s="1"/>
  <c r="H587" i="1" a="1"/>
  <c r="H587" i="1" s="1"/>
  <c r="AT586" i="1"/>
  <c r="AB586" i="1" s="1"/>
  <c r="AS586" i="1"/>
  <c r="AA586" i="1" s="1"/>
  <c r="AO586" i="1"/>
  <c r="AN586" i="1"/>
  <c r="AM586" i="1"/>
  <c r="AL586" i="1"/>
  <c r="AK586" i="1"/>
  <c r="AJ586" i="1"/>
  <c r="AI586" i="1"/>
  <c r="AH586" i="1"/>
  <c r="AG586" i="1"/>
  <c r="AF586" i="1"/>
  <c r="AE586" i="1"/>
  <c r="AD586" i="1"/>
  <c r="AC586" i="1"/>
  <c r="Z586" i="1"/>
  <c r="W586" i="1"/>
  <c r="Y586" i="1" s="1"/>
  <c r="V586" i="1"/>
  <c r="T586" i="1"/>
  <c r="R586" i="1"/>
  <c r="Q586" i="1" a="1"/>
  <c r="Q586" i="1" s="1"/>
  <c r="P586" i="1"/>
  <c r="N586" i="1"/>
  <c r="L586" i="1"/>
  <c r="K586" i="1" a="1"/>
  <c r="K586" i="1" s="1"/>
  <c r="U586" i="1" s="1"/>
  <c r="J586" i="1" a="1"/>
  <c r="J586" i="1" s="1"/>
  <c r="H586" i="1" a="1"/>
  <c r="H586" i="1" s="1"/>
  <c r="AS585" i="1"/>
  <c r="AA585" i="1" s="1"/>
  <c r="AO585" i="1"/>
  <c r="AN585" i="1"/>
  <c r="AM585" i="1"/>
  <c r="AL585" i="1"/>
  <c r="AK585" i="1"/>
  <c r="AJ585" i="1"/>
  <c r="AI585" i="1"/>
  <c r="AH585" i="1"/>
  <c r="AG585" i="1"/>
  <c r="AF585" i="1"/>
  <c r="AE585" i="1"/>
  <c r="AD585" i="1"/>
  <c r="AC585" i="1"/>
  <c r="AB585" i="1"/>
  <c r="Z585" i="1"/>
  <c r="Y585" i="1"/>
  <c r="W585" i="1"/>
  <c r="X585" i="1" s="1"/>
  <c r="V585" i="1"/>
  <c r="T585" i="1"/>
  <c r="R585" i="1"/>
  <c r="Q585" i="1" a="1"/>
  <c r="Q585" i="1" s="1"/>
  <c r="P585" i="1"/>
  <c r="N585" i="1"/>
  <c r="L585" i="1"/>
  <c r="K585" i="1" a="1"/>
  <c r="K585" i="1" s="1"/>
  <c r="U585" i="1" s="1"/>
  <c r="J585" i="1" a="1"/>
  <c r="J585" i="1" s="1"/>
  <c r="H585" i="1" a="1"/>
  <c r="H585" i="1" s="1"/>
  <c r="AS584" i="1"/>
  <c r="AA584" i="1" s="1"/>
  <c r="AO584" i="1"/>
  <c r="AN584" i="1"/>
  <c r="AM584" i="1"/>
  <c r="AL584" i="1"/>
  <c r="AK584" i="1"/>
  <c r="AJ584" i="1"/>
  <c r="AI584" i="1"/>
  <c r="AH584" i="1"/>
  <c r="AG584" i="1"/>
  <c r="AF584" i="1"/>
  <c r="AE584" i="1"/>
  <c r="AD584" i="1"/>
  <c r="AC584" i="1"/>
  <c r="AB584" i="1"/>
  <c r="Z584" i="1"/>
  <c r="W584" i="1"/>
  <c r="X584" i="1" s="1"/>
  <c r="V584" i="1"/>
  <c r="T584" i="1"/>
  <c r="R584" i="1"/>
  <c r="Q584" i="1" a="1"/>
  <c r="Q584" i="1" s="1"/>
  <c r="P584" i="1"/>
  <c r="N584" i="1"/>
  <c r="L584" i="1"/>
  <c r="K584" i="1" a="1"/>
  <c r="K584" i="1" s="1"/>
  <c r="U584" i="1" s="1"/>
  <c r="J584" i="1" a="1"/>
  <c r="J584" i="1" s="1"/>
  <c r="H584" i="1" a="1"/>
  <c r="H584" i="1" s="1"/>
  <c r="AS583" i="1"/>
  <c r="AA583" i="1" s="1"/>
  <c r="AO583" i="1"/>
  <c r="AN583" i="1"/>
  <c r="AM583" i="1"/>
  <c r="AL583" i="1"/>
  <c r="AK583" i="1"/>
  <c r="AJ583" i="1"/>
  <c r="AI583" i="1"/>
  <c r="AH583" i="1"/>
  <c r="AG583" i="1"/>
  <c r="AF583" i="1"/>
  <c r="AE583" i="1"/>
  <c r="AD583" i="1"/>
  <c r="AC583" i="1"/>
  <c r="AB583" i="1"/>
  <c r="Z583" i="1"/>
  <c r="W583" i="1"/>
  <c r="Y583" i="1" s="1"/>
  <c r="V583" i="1"/>
  <c r="T583" i="1"/>
  <c r="R583" i="1"/>
  <c r="Q583" i="1" a="1"/>
  <c r="Q583" i="1" s="1"/>
  <c r="P583" i="1"/>
  <c r="N583" i="1"/>
  <c r="L583" i="1"/>
  <c r="K583" i="1" a="1"/>
  <c r="K583" i="1" s="1"/>
  <c r="U583" i="1" s="1"/>
  <c r="J583" i="1" a="1"/>
  <c r="J583" i="1" s="1"/>
  <c r="H583" i="1" a="1"/>
  <c r="H583" i="1" s="1"/>
  <c r="AS582" i="1"/>
  <c r="AA582" i="1" s="1"/>
  <c r="AO582" i="1"/>
  <c r="AN582" i="1"/>
  <c r="AM582" i="1"/>
  <c r="AL582" i="1"/>
  <c r="AK582" i="1"/>
  <c r="AJ582" i="1"/>
  <c r="AI582" i="1"/>
  <c r="AH582" i="1"/>
  <c r="AG582" i="1"/>
  <c r="AF582" i="1"/>
  <c r="AE582" i="1"/>
  <c r="AD582" i="1"/>
  <c r="AC582" i="1"/>
  <c r="AB582" i="1"/>
  <c r="Z582" i="1"/>
  <c r="W582" i="1"/>
  <c r="Y582" i="1" s="1"/>
  <c r="V582" i="1"/>
  <c r="T582" i="1"/>
  <c r="R582" i="1"/>
  <c r="Q582" i="1" a="1"/>
  <c r="Q582" i="1" s="1"/>
  <c r="P582" i="1"/>
  <c r="N582" i="1"/>
  <c r="L582" i="1"/>
  <c r="K582" i="1" a="1"/>
  <c r="K582" i="1" s="1"/>
  <c r="U582" i="1" s="1"/>
  <c r="J582" i="1" a="1"/>
  <c r="J582" i="1" s="1"/>
  <c r="H582" i="1" a="1"/>
  <c r="H582" i="1" s="1"/>
  <c r="AS581" i="1"/>
  <c r="AA581" i="1" s="1"/>
  <c r="AO581" i="1"/>
  <c r="AN581" i="1"/>
  <c r="AM581" i="1"/>
  <c r="AL581" i="1"/>
  <c r="AK581" i="1"/>
  <c r="AJ581" i="1"/>
  <c r="AI581" i="1"/>
  <c r="AH581" i="1"/>
  <c r="AG581" i="1"/>
  <c r="AF581" i="1"/>
  <c r="AE581" i="1"/>
  <c r="AD581" i="1"/>
  <c r="AC581" i="1"/>
  <c r="AB581" i="1"/>
  <c r="Z581" i="1"/>
  <c r="W581" i="1"/>
  <c r="X581" i="1" s="1"/>
  <c r="V581" i="1"/>
  <c r="T581" i="1"/>
  <c r="R581" i="1"/>
  <c r="Q581" i="1" a="1"/>
  <c r="Q581" i="1" s="1"/>
  <c r="P581" i="1"/>
  <c r="N581" i="1"/>
  <c r="L581" i="1"/>
  <c r="K581" i="1" a="1"/>
  <c r="K581" i="1" s="1"/>
  <c r="U581" i="1" s="1"/>
  <c r="J581" i="1" a="1"/>
  <c r="J581" i="1" s="1"/>
  <c r="H581" i="1" a="1"/>
  <c r="H581" i="1" s="1"/>
  <c r="I581" i="1" s="1"/>
  <c r="S581" i="1" s="1"/>
  <c r="AS580" i="1"/>
  <c r="AA580" i="1" s="1"/>
  <c r="AO580" i="1"/>
  <c r="AN580" i="1"/>
  <c r="AM580" i="1"/>
  <c r="AL580" i="1"/>
  <c r="AK580" i="1"/>
  <c r="AJ580" i="1"/>
  <c r="AI580" i="1"/>
  <c r="AH580" i="1"/>
  <c r="AG580" i="1"/>
  <c r="AF580" i="1"/>
  <c r="AE580" i="1"/>
  <c r="AD580" i="1"/>
  <c r="AC580" i="1"/>
  <c r="AB580" i="1"/>
  <c r="Z580" i="1"/>
  <c r="W580" i="1"/>
  <c r="X580" i="1" s="1"/>
  <c r="V580" i="1"/>
  <c r="T580" i="1"/>
  <c r="R580" i="1"/>
  <c r="Q580" i="1" a="1"/>
  <c r="Q580" i="1" s="1"/>
  <c r="P580" i="1"/>
  <c r="N580" i="1"/>
  <c r="L580" i="1"/>
  <c r="K580" i="1" a="1"/>
  <c r="K580" i="1" s="1"/>
  <c r="U580" i="1" s="1"/>
  <c r="J580" i="1" a="1"/>
  <c r="J580" i="1" s="1"/>
  <c r="H580" i="1" a="1"/>
  <c r="H580" i="1" s="1"/>
  <c r="AS579" i="1"/>
  <c r="AA579" i="1" s="1"/>
  <c r="AO579" i="1"/>
  <c r="AN579" i="1"/>
  <c r="AM579" i="1"/>
  <c r="AL579" i="1"/>
  <c r="AK579" i="1"/>
  <c r="AJ579" i="1"/>
  <c r="AI579" i="1"/>
  <c r="AH579" i="1"/>
  <c r="AG579" i="1"/>
  <c r="AF579" i="1"/>
  <c r="AE579" i="1"/>
  <c r="AD579" i="1"/>
  <c r="AC579" i="1"/>
  <c r="AB579" i="1"/>
  <c r="Z579" i="1"/>
  <c r="X579" i="1"/>
  <c r="W579" i="1"/>
  <c r="Y579" i="1" s="1"/>
  <c r="V579" i="1"/>
  <c r="T579" i="1"/>
  <c r="R579" i="1"/>
  <c r="Q579" i="1" a="1"/>
  <c r="Q579" i="1" s="1"/>
  <c r="P579" i="1"/>
  <c r="N579" i="1"/>
  <c r="L579" i="1"/>
  <c r="K579" i="1" a="1"/>
  <c r="K579" i="1" s="1"/>
  <c r="U579" i="1" s="1"/>
  <c r="J579" i="1" a="1"/>
  <c r="J579" i="1" s="1"/>
  <c r="H579" i="1" a="1"/>
  <c r="H579" i="1" s="1"/>
  <c r="AT578" i="1"/>
  <c r="AB578" i="1" s="1"/>
  <c r="AS578" i="1"/>
  <c r="AA578" i="1" s="1"/>
  <c r="AO578" i="1"/>
  <c r="AN578" i="1"/>
  <c r="AM578" i="1"/>
  <c r="AL578" i="1"/>
  <c r="AK578" i="1"/>
  <c r="AJ578" i="1"/>
  <c r="AI578" i="1"/>
  <c r="AH578" i="1"/>
  <c r="AG578" i="1"/>
  <c r="AF578" i="1"/>
  <c r="AE578" i="1"/>
  <c r="AD578" i="1"/>
  <c r="AC578" i="1"/>
  <c r="Z578" i="1"/>
  <c r="X578" i="1"/>
  <c r="W578" i="1"/>
  <c r="Y578" i="1" s="1"/>
  <c r="V578" i="1"/>
  <c r="T578" i="1"/>
  <c r="R578" i="1"/>
  <c r="Q578" i="1" a="1"/>
  <c r="Q578" i="1" s="1"/>
  <c r="P578" i="1"/>
  <c r="N578" i="1"/>
  <c r="L578" i="1"/>
  <c r="K578" i="1" a="1"/>
  <c r="K578" i="1" s="1"/>
  <c r="U578" i="1" s="1"/>
  <c r="J578" i="1" a="1"/>
  <c r="J578" i="1" s="1"/>
  <c r="H578" i="1" a="1"/>
  <c r="H578" i="1" s="1"/>
  <c r="AS577" i="1"/>
  <c r="AA577" i="1" s="1"/>
  <c r="AO577" i="1"/>
  <c r="AN577" i="1"/>
  <c r="AM577" i="1"/>
  <c r="AL577" i="1"/>
  <c r="AK577" i="1"/>
  <c r="AJ577" i="1"/>
  <c r="AI577" i="1"/>
  <c r="AH577" i="1"/>
  <c r="AG577" i="1"/>
  <c r="AF577" i="1"/>
  <c r="AE577" i="1"/>
  <c r="AD577" i="1"/>
  <c r="AC577" i="1"/>
  <c r="AB577" i="1"/>
  <c r="Z577" i="1"/>
  <c r="W577" i="1"/>
  <c r="Y577" i="1" s="1"/>
  <c r="V577" i="1"/>
  <c r="T577" i="1"/>
  <c r="R577" i="1"/>
  <c r="Q577" i="1" a="1"/>
  <c r="Q577" i="1" s="1"/>
  <c r="P577" i="1"/>
  <c r="N577" i="1"/>
  <c r="L577" i="1"/>
  <c r="K577" i="1" a="1"/>
  <c r="K577" i="1" s="1"/>
  <c r="U577" i="1" s="1"/>
  <c r="J577" i="1" a="1"/>
  <c r="J577" i="1" s="1"/>
  <c r="H577" i="1" a="1"/>
  <c r="H577" i="1" s="1"/>
  <c r="AS576" i="1"/>
  <c r="AA576" i="1" s="1"/>
  <c r="AO576" i="1"/>
  <c r="AN576" i="1"/>
  <c r="AM576" i="1"/>
  <c r="AL576" i="1"/>
  <c r="AK576" i="1"/>
  <c r="AJ576" i="1"/>
  <c r="AI576" i="1"/>
  <c r="AH576" i="1"/>
  <c r="AG576" i="1"/>
  <c r="AF576" i="1"/>
  <c r="AE576" i="1"/>
  <c r="AD576" i="1"/>
  <c r="AC576" i="1"/>
  <c r="AB576" i="1"/>
  <c r="Z576" i="1"/>
  <c r="W576" i="1"/>
  <c r="X576" i="1" s="1"/>
  <c r="V576" i="1"/>
  <c r="T576" i="1"/>
  <c r="R576" i="1"/>
  <c r="Q576" i="1" a="1"/>
  <c r="Q576" i="1" s="1"/>
  <c r="P576" i="1"/>
  <c r="N576" i="1"/>
  <c r="L576" i="1"/>
  <c r="K576" i="1" a="1"/>
  <c r="K576" i="1" s="1"/>
  <c r="U576" i="1" s="1"/>
  <c r="J576" i="1" a="1"/>
  <c r="J576" i="1" s="1"/>
  <c r="H576" i="1" a="1"/>
  <c r="H576" i="1" s="1"/>
  <c r="AS575" i="1"/>
  <c r="AA575" i="1" s="1"/>
  <c r="AO575" i="1"/>
  <c r="AN575" i="1"/>
  <c r="AM575" i="1"/>
  <c r="AL575" i="1"/>
  <c r="AK575" i="1"/>
  <c r="AJ575" i="1"/>
  <c r="AI575" i="1"/>
  <c r="AH575" i="1"/>
  <c r="AG575" i="1"/>
  <c r="AF575" i="1"/>
  <c r="AE575" i="1"/>
  <c r="AD575" i="1"/>
  <c r="AC575" i="1"/>
  <c r="AB575" i="1"/>
  <c r="Z575" i="1"/>
  <c r="W575" i="1"/>
  <c r="X575" i="1" s="1"/>
  <c r="V575" i="1"/>
  <c r="T575" i="1"/>
  <c r="R575" i="1"/>
  <c r="Q575" i="1" a="1"/>
  <c r="Q575" i="1" s="1"/>
  <c r="P575" i="1"/>
  <c r="N575" i="1"/>
  <c r="L575" i="1"/>
  <c r="K575" i="1" a="1"/>
  <c r="K575" i="1" s="1"/>
  <c r="U575" i="1" s="1"/>
  <c r="J575" i="1" a="1"/>
  <c r="J575" i="1" s="1"/>
  <c r="H575" i="1" a="1"/>
  <c r="H575" i="1" s="1"/>
  <c r="AS574" i="1"/>
  <c r="AA574" i="1" s="1"/>
  <c r="AO574" i="1"/>
  <c r="AN574" i="1"/>
  <c r="AM574" i="1"/>
  <c r="AL574" i="1"/>
  <c r="AK574" i="1"/>
  <c r="AJ574" i="1"/>
  <c r="AI574" i="1"/>
  <c r="AH574" i="1"/>
  <c r="AG574" i="1"/>
  <c r="AF574" i="1"/>
  <c r="AE574" i="1"/>
  <c r="AD574" i="1"/>
  <c r="AC574" i="1"/>
  <c r="AB574" i="1"/>
  <c r="Z574" i="1"/>
  <c r="W574" i="1"/>
  <c r="Y574" i="1" s="1"/>
  <c r="V574" i="1"/>
  <c r="T574" i="1"/>
  <c r="R574" i="1"/>
  <c r="Q574" i="1" a="1"/>
  <c r="Q574" i="1" s="1"/>
  <c r="P574" i="1"/>
  <c r="N574" i="1"/>
  <c r="L574" i="1"/>
  <c r="K574" i="1" a="1"/>
  <c r="K574" i="1" s="1"/>
  <c r="U574" i="1" s="1"/>
  <c r="J574" i="1" a="1"/>
  <c r="J574" i="1" s="1"/>
  <c r="H574" i="1" a="1"/>
  <c r="H574" i="1" s="1"/>
  <c r="AS573" i="1"/>
  <c r="AA573" i="1" s="1"/>
  <c r="AO573" i="1"/>
  <c r="AN573" i="1"/>
  <c r="AM573" i="1"/>
  <c r="AL573" i="1"/>
  <c r="AK573" i="1"/>
  <c r="AJ573" i="1"/>
  <c r="AI573" i="1"/>
  <c r="AH573" i="1"/>
  <c r="AG573" i="1"/>
  <c r="AF573" i="1"/>
  <c r="AE573" i="1"/>
  <c r="AD573" i="1"/>
  <c r="AC573" i="1"/>
  <c r="AB573" i="1"/>
  <c r="Z573" i="1"/>
  <c r="W573" i="1"/>
  <c r="Y573" i="1" s="1"/>
  <c r="V573" i="1"/>
  <c r="T573" i="1"/>
  <c r="R573" i="1"/>
  <c r="Q573" i="1" a="1"/>
  <c r="Q573" i="1" s="1"/>
  <c r="P573" i="1"/>
  <c r="N573" i="1"/>
  <c r="L573" i="1"/>
  <c r="K573" i="1" a="1"/>
  <c r="K573" i="1" s="1"/>
  <c r="U573" i="1" s="1"/>
  <c r="J573" i="1" a="1"/>
  <c r="J573" i="1" s="1"/>
  <c r="H573" i="1" a="1"/>
  <c r="H573" i="1" s="1"/>
  <c r="AS572" i="1"/>
  <c r="AA572" i="1" s="1"/>
  <c r="AO572" i="1"/>
  <c r="AN572" i="1"/>
  <c r="AM572" i="1"/>
  <c r="AL572" i="1"/>
  <c r="AK572" i="1"/>
  <c r="AJ572" i="1"/>
  <c r="AI572" i="1"/>
  <c r="AH572" i="1"/>
  <c r="AG572" i="1"/>
  <c r="AF572" i="1"/>
  <c r="AE572" i="1"/>
  <c r="AD572" i="1"/>
  <c r="AC572" i="1"/>
  <c r="AB572" i="1"/>
  <c r="Z572" i="1"/>
  <c r="W572" i="1"/>
  <c r="X572" i="1" s="1"/>
  <c r="V572" i="1"/>
  <c r="T572" i="1"/>
  <c r="R572" i="1"/>
  <c r="Q572" i="1" a="1"/>
  <c r="Q572" i="1" s="1"/>
  <c r="P572" i="1"/>
  <c r="N572" i="1"/>
  <c r="L572" i="1"/>
  <c r="K572" i="1" a="1"/>
  <c r="K572" i="1" s="1"/>
  <c r="U572" i="1" s="1"/>
  <c r="J572" i="1" a="1"/>
  <c r="J572" i="1" s="1"/>
  <c r="H572" i="1" a="1"/>
  <c r="H572" i="1" s="1"/>
  <c r="I572" i="1" s="1"/>
  <c r="S572" i="1" s="1"/>
  <c r="AT571" i="1"/>
  <c r="AB571" i="1" s="1"/>
  <c r="AS571" i="1"/>
  <c r="AA571" i="1" s="1"/>
  <c r="AO571" i="1"/>
  <c r="AN571" i="1"/>
  <c r="AM571" i="1"/>
  <c r="AL571" i="1"/>
  <c r="AK571" i="1"/>
  <c r="AJ571" i="1"/>
  <c r="AI571" i="1"/>
  <c r="AH571" i="1"/>
  <c r="AG571" i="1"/>
  <c r="AF571" i="1"/>
  <c r="AE571" i="1"/>
  <c r="AD571" i="1"/>
  <c r="AC571" i="1"/>
  <c r="Z571" i="1"/>
  <c r="W571" i="1"/>
  <c r="X571" i="1" s="1"/>
  <c r="V571" i="1"/>
  <c r="T571" i="1"/>
  <c r="R571" i="1"/>
  <c r="Q571" i="1" a="1"/>
  <c r="Q571" i="1" s="1"/>
  <c r="P571" i="1"/>
  <c r="N571" i="1"/>
  <c r="L571" i="1"/>
  <c r="K571" i="1" a="1"/>
  <c r="K571" i="1" s="1"/>
  <c r="U571" i="1" s="1"/>
  <c r="J571" i="1" a="1"/>
  <c r="J571" i="1" s="1"/>
  <c r="H571" i="1" a="1"/>
  <c r="H571" i="1" s="1"/>
  <c r="I571" i="1" s="1"/>
  <c r="S571" i="1" s="1"/>
  <c r="AS570" i="1"/>
  <c r="AA570" i="1" s="1"/>
  <c r="AO570" i="1"/>
  <c r="AN570" i="1"/>
  <c r="AM570" i="1"/>
  <c r="AL570" i="1"/>
  <c r="AK570" i="1"/>
  <c r="AJ570" i="1"/>
  <c r="AI570" i="1"/>
  <c r="AH570" i="1"/>
  <c r="AG570" i="1"/>
  <c r="AF570" i="1"/>
  <c r="AE570" i="1"/>
  <c r="AD570" i="1"/>
  <c r="AC570" i="1"/>
  <c r="AB570" i="1"/>
  <c r="Z570" i="1"/>
  <c r="W570" i="1"/>
  <c r="Y570" i="1" s="1"/>
  <c r="V570" i="1"/>
  <c r="T570" i="1"/>
  <c r="R570" i="1"/>
  <c r="Q570" i="1" a="1"/>
  <c r="Q570" i="1" s="1"/>
  <c r="P570" i="1"/>
  <c r="N570" i="1"/>
  <c r="L570" i="1"/>
  <c r="K570" i="1" a="1"/>
  <c r="K570" i="1" s="1"/>
  <c r="U570" i="1" s="1"/>
  <c r="J570" i="1" a="1"/>
  <c r="J570" i="1" s="1"/>
  <c r="H570" i="1" a="1"/>
  <c r="H570" i="1" s="1"/>
  <c r="AS569" i="1"/>
  <c r="AA569" i="1" s="1"/>
  <c r="AO569" i="1"/>
  <c r="AN569" i="1"/>
  <c r="AM569" i="1"/>
  <c r="AL569" i="1"/>
  <c r="AK569" i="1"/>
  <c r="AJ569" i="1"/>
  <c r="AI569" i="1"/>
  <c r="AH569" i="1"/>
  <c r="AG569" i="1"/>
  <c r="AF569" i="1"/>
  <c r="AE569" i="1"/>
  <c r="AD569" i="1"/>
  <c r="AC569" i="1"/>
  <c r="AB569" i="1"/>
  <c r="Z569" i="1"/>
  <c r="W569" i="1"/>
  <c r="Y569" i="1" s="1"/>
  <c r="V569" i="1"/>
  <c r="T569" i="1"/>
  <c r="R569" i="1"/>
  <c r="Q569" i="1" a="1"/>
  <c r="Q569" i="1" s="1"/>
  <c r="P569" i="1"/>
  <c r="N569" i="1"/>
  <c r="L569" i="1"/>
  <c r="K569" i="1" a="1"/>
  <c r="K569" i="1" s="1"/>
  <c r="U569" i="1" s="1"/>
  <c r="J569" i="1" a="1"/>
  <c r="J569" i="1" s="1"/>
  <c r="H569" i="1" a="1"/>
  <c r="H569" i="1" s="1"/>
  <c r="I569" i="1" s="1"/>
  <c r="S569" i="1" s="1"/>
  <c r="AS568" i="1"/>
  <c r="AA568" i="1" s="1"/>
  <c r="AO568" i="1"/>
  <c r="AN568" i="1"/>
  <c r="AM568" i="1"/>
  <c r="AL568" i="1"/>
  <c r="AK568" i="1"/>
  <c r="AJ568" i="1"/>
  <c r="AI568" i="1"/>
  <c r="AH568" i="1"/>
  <c r="AG568" i="1"/>
  <c r="AF568" i="1"/>
  <c r="AE568" i="1"/>
  <c r="AD568" i="1"/>
  <c r="AC568" i="1"/>
  <c r="AB568" i="1"/>
  <c r="Z568" i="1"/>
  <c r="W568" i="1"/>
  <c r="V568" i="1"/>
  <c r="T568" i="1"/>
  <c r="R568" i="1"/>
  <c r="Q568" i="1" a="1"/>
  <c r="Q568" i="1" s="1"/>
  <c r="P568" i="1"/>
  <c r="N568" i="1"/>
  <c r="L568" i="1"/>
  <c r="K568" i="1" a="1"/>
  <c r="K568" i="1" s="1"/>
  <c r="U568" i="1" s="1"/>
  <c r="J568" i="1" a="1"/>
  <c r="J568" i="1" s="1"/>
  <c r="H568" i="1" a="1"/>
  <c r="H568" i="1" s="1"/>
  <c r="AS567" i="1"/>
  <c r="AA567" i="1" s="1"/>
  <c r="AO567" i="1"/>
  <c r="AN567" i="1"/>
  <c r="AM567" i="1"/>
  <c r="AL567" i="1"/>
  <c r="AK567" i="1"/>
  <c r="AJ567" i="1"/>
  <c r="AI567" i="1"/>
  <c r="AH567" i="1"/>
  <c r="AG567" i="1"/>
  <c r="AF567" i="1"/>
  <c r="AE567" i="1"/>
  <c r="AD567" i="1"/>
  <c r="AC567" i="1"/>
  <c r="AB567" i="1"/>
  <c r="Z567" i="1"/>
  <c r="W567" i="1"/>
  <c r="X567" i="1" s="1"/>
  <c r="V567" i="1"/>
  <c r="T567" i="1"/>
  <c r="R567" i="1"/>
  <c r="Q567" i="1" a="1"/>
  <c r="Q567" i="1" s="1"/>
  <c r="P567" i="1"/>
  <c r="N567" i="1"/>
  <c r="L567" i="1"/>
  <c r="K567" i="1" a="1"/>
  <c r="K567" i="1" s="1"/>
  <c r="U567" i="1" s="1"/>
  <c r="J567" i="1" a="1"/>
  <c r="J567" i="1" s="1"/>
  <c r="H567" i="1" a="1"/>
  <c r="H567" i="1" s="1"/>
  <c r="I567" i="1" s="1"/>
  <c r="S567" i="1" s="1"/>
  <c r="AS566" i="1"/>
  <c r="AA566" i="1" s="1"/>
  <c r="AO566" i="1"/>
  <c r="AN566" i="1"/>
  <c r="AM566" i="1"/>
  <c r="AL566" i="1"/>
  <c r="AK566" i="1"/>
  <c r="AJ566" i="1"/>
  <c r="AI566" i="1"/>
  <c r="AH566" i="1"/>
  <c r="AG566" i="1"/>
  <c r="AF566" i="1"/>
  <c r="AE566" i="1"/>
  <c r="AD566" i="1"/>
  <c r="AC566" i="1"/>
  <c r="AB566" i="1"/>
  <c r="Z566" i="1"/>
  <c r="W566" i="1"/>
  <c r="Y566" i="1" s="1"/>
  <c r="V566" i="1"/>
  <c r="T566" i="1"/>
  <c r="R566" i="1"/>
  <c r="Q566" i="1" a="1"/>
  <c r="Q566" i="1" s="1"/>
  <c r="P566" i="1"/>
  <c r="N566" i="1"/>
  <c r="L566" i="1"/>
  <c r="K566" i="1" a="1"/>
  <c r="K566" i="1" s="1"/>
  <c r="U566" i="1" s="1"/>
  <c r="J566" i="1" a="1"/>
  <c r="J566" i="1" s="1"/>
  <c r="H566" i="1" a="1"/>
  <c r="H566" i="1" s="1"/>
  <c r="AU565" i="1"/>
  <c r="AC565" i="1" s="1"/>
  <c r="AT565" i="1"/>
  <c r="AB565" i="1" s="1"/>
  <c r="AS565" i="1"/>
  <c r="AA565" i="1" s="1"/>
  <c r="AO565" i="1"/>
  <c r="AN565" i="1"/>
  <c r="AM565" i="1"/>
  <c r="AL565" i="1"/>
  <c r="AK565" i="1"/>
  <c r="AJ565" i="1"/>
  <c r="AI565" i="1"/>
  <c r="AH565" i="1"/>
  <c r="AG565" i="1"/>
  <c r="AF565" i="1"/>
  <c r="AE565" i="1"/>
  <c r="AD565" i="1"/>
  <c r="Z565" i="1"/>
  <c r="W565" i="1"/>
  <c r="X565" i="1" s="1"/>
  <c r="V565" i="1"/>
  <c r="T565" i="1"/>
  <c r="R565" i="1"/>
  <c r="Q565" i="1" a="1"/>
  <c r="Q565" i="1" s="1"/>
  <c r="P565" i="1"/>
  <c r="N565" i="1"/>
  <c r="L565" i="1"/>
  <c r="K565" i="1" a="1"/>
  <c r="K565" i="1" s="1"/>
  <c r="U565" i="1" s="1"/>
  <c r="J565" i="1" a="1"/>
  <c r="J565" i="1" s="1"/>
  <c r="H565" i="1" a="1"/>
  <c r="H565" i="1" s="1"/>
  <c r="AS564" i="1"/>
  <c r="AA564" i="1" s="1"/>
  <c r="AO564" i="1"/>
  <c r="AN564" i="1"/>
  <c r="AM564" i="1"/>
  <c r="AL564" i="1"/>
  <c r="AK564" i="1"/>
  <c r="AJ564" i="1"/>
  <c r="AI564" i="1"/>
  <c r="AH564" i="1"/>
  <c r="AG564" i="1"/>
  <c r="AF564" i="1"/>
  <c r="AE564" i="1"/>
  <c r="AD564" i="1"/>
  <c r="AC564" i="1"/>
  <c r="AB564" i="1"/>
  <c r="Z564" i="1"/>
  <c r="W564" i="1"/>
  <c r="X564" i="1" s="1"/>
  <c r="V564" i="1"/>
  <c r="T564" i="1"/>
  <c r="R564" i="1"/>
  <c r="Q564" i="1" a="1"/>
  <c r="Q564" i="1" s="1"/>
  <c r="P564" i="1"/>
  <c r="N564" i="1"/>
  <c r="L564" i="1"/>
  <c r="K564" i="1" a="1"/>
  <c r="K564" i="1" s="1"/>
  <c r="U564" i="1" s="1"/>
  <c r="J564" i="1" a="1"/>
  <c r="J564" i="1" s="1"/>
  <c r="H564" i="1" a="1"/>
  <c r="H564" i="1" s="1"/>
  <c r="AS563" i="1"/>
  <c r="AA563" i="1" s="1"/>
  <c r="AO563" i="1"/>
  <c r="AN563" i="1"/>
  <c r="AM563" i="1"/>
  <c r="AL563" i="1"/>
  <c r="AK563" i="1"/>
  <c r="AJ563" i="1"/>
  <c r="AI563" i="1"/>
  <c r="AH563" i="1"/>
  <c r="AG563" i="1"/>
  <c r="AF563" i="1"/>
  <c r="AE563" i="1"/>
  <c r="AD563" i="1"/>
  <c r="AC563" i="1"/>
  <c r="AB563" i="1"/>
  <c r="Z563" i="1"/>
  <c r="W563" i="1"/>
  <c r="X563" i="1" s="1"/>
  <c r="V563" i="1"/>
  <c r="T563" i="1"/>
  <c r="R563" i="1"/>
  <c r="Q563" i="1" a="1"/>
  <c r="Q563" i="1" s="1"/>
  <c r="P563" i="1"/>
  <c r="N563" i="1"/>
  <c r="L563" i="1"/>
  <c r="K563" i="1" a="1"/>
  <c r="K563" i="1" s="1"/>
  <c r="U563" i="1" s="1"/>
  <c r="J563" i="1" a="1"/>
  <c r="J563" i="1" s="1"/>
  <c r="H563" i="1" a="1"/>
  <c r="H563" i="1" s="1"/>
  <c r="I563" i="1" s="1"/>
  <c r="S563" i="1" s="1"/>
  <c r="AS562" i="1"/>
  <c r="AA562" i="1" s="1"/>
  <c r="AO562" i="1"/>
  <c r="AN562" i="1"/>
  <c r="AM562" i="1"/>
  <c r="AL562" i="1"/>
  <c r="AK562" i="1"/>
  <c r="AJ562" i="1"/>
  <c r="AI562" i="1"/>
  <c r="AH562" i="1"/>
  <c r="AG562" i="1"/>
  <c r="AF562" i="1"/>
  <c r="AE562" i="1"/>
  <c r="AD562" i="1"/>
  <c r="AC562" i="1"/>
  <c r="AB562" i="1"/>
  <c r="Z562" i="1"/>
  <c r="W562" i="1"/>
  <c r="Y562" i="1" s="1"/>
  <c r="V562" i="1"/>
  <c r="T562" i="1"/>
  <c r="R562" i="1"/>
  <c r="Q562" i="1" a="1"/>
  <c r="Q562" i="1" s="1"/>
  <c r="P562" i="1"/>
  <c r="N562" i="1"/>
  <c r="L562" i="1"/>
  <c r="K562" i="1" a="1"/>
  <c r="K562" i="1" s="1"/>
  <c r="U562" i="1" s="1"/>
  <c r="J562" i="1" a="1"/>
  <c r="J562" i="1" s="1"/>
  <c r="H562" i="1" a="1"/>
  <c r="H562" i="1" s="1"/>
  <c r="AS561" i="1"/>
  <c r="AA561" i="1" s="1"/>
  <c r="AO561" i="1"/>
  <c r="AN561" i="1"/>
  <c r="AM561" i="1"/>
  <c r="AL561" i="1"/>
  <c r="AK561" i="1"/>
  <c r="AJ561" i="1"/>
  <c r="AI561" i="1"/>
  <c r="AH561" i="1"/>
  <c r="AG561" i="1"/>
  <c r="AF561" i="1"/>
  <c r="AE561" i="1"/>
  <c r="AD561" i="1"/>
  <c r="AC561" i="1"/>
  <c r="AB561" i="1"/>
  <c r="Z561" i="1"/>
  <c r="W561" i="1"/>
  <c r="X561" i="1" s="1"/>
  <c r="V561" i="1"/>
  <c r="T561" i="1"/>
  <c r="R561" i="1"/>
  <c r="Q561" i="1" a="1"/>
  <c r="Q561" i="1" s="1"/>
  <c r="P561" i="1"/>
  <c r="N561" i="1"/>
  <c r="L561" i="1"/>
  <c r="K561" i="1" a="1"/>
  <c r="K561" i="1" s="1"/>
  <c r="U561" i="1" s="1"/>
  <c r="J561" i="1" a="1"/>
  <c r="J561" i="1" s="1"/>
  <c r="H561" i="1" a="1"/>
  <c r="H561" i="1" s="1"/>
  <c r="AS560" i="1"/>
  <c r="AA560" i="1" s="1"/>
  <c r="AO560" i="1"/>
  <c r="AN560" i="1"/>
  <c r="AM560" i="1"/>
  <c r="AL560" i="1"/>
  <c r="AK560" i="1"/>
  <c r="AJ560" i="1"/>
  <c r="AI560" i="1"/>
  <c r="AH560" i="1"/>
  <c r="AG560" i="1"/>
  <c r="AF560" i="1"/>
  <c r="AE560" i="1"/>
  <c r="AD560" i="1"/>
  <c r="AC560" i="1"/>
  <c r="AB560" i="1"/>
  <c r="Z560" i="1"/>
  <c r="W560" i="1"/>
  <c r="Y560" i="1" s="1"/>
  <c r="V560" i="1"/>
  <c r="T560" i="1"/>
  <c r="R560" i="1"/>
  <c r="Q560" i="1" a="1"/>
  <c r="Q560" i="1" s="1"/>
  <c r="P560" i="1"/>
  <c r="N560" i="1"/>
  <c r="L560" i="1"/>
  <c r="K560" i="1" a="1"/>
  <c r="K560" i="1" s="1"/>
  <c r="U560" i="1" s="1"/>
  <c r="J560" i="1" a="1"/>
  <c r="J560" i="1" s="1"/>
  <c r="H560" i="1" a="1"/>
  <c r="H560" i="1" s="1"/>
  <c r="AS559" i="1"/>
  <c r="AA559" i="1" s="1"/>
  <c r="AO559" i="1"/>
  <c r="AN559" i="1"/>
  <c r="AM559" i="1"/>
  <c r="AL559" i="1"/>
  <c r="AK559" i="1"/>
  <c r="AJ559" i="1"/>
  <c r="AI559" i="1"/>
  <c r="AH559" i="1"/>
  <c r="AG559" i="1"/>
  <c r="AF559" i="1"/>
  <c r="AE559" i="1"/>
  <c r="AD559" i="1"/>
  <c r="AC559" i="1"/>
  <c r="AB559" i="1"/>
  <c r="Z559" i="1"/>
  <c r="W559" i="1"/>
  <c r="X559" i="1" s="1"/>
  <c r="V559" i="1"/>
  <c r="T559" i="1"/>
  <c r="R559" i="1"/>
  <c r="Q559" i="1" a="1"/>
  <c r="Q559" i="1" s="1"/>
  <c r="P559" i="1"/>
  <c r="N559" i="1"/>
  <c r="L559" i="1"/>
  <c r="K559" i="1" a="1"/>
  <c r="K559" i="1" s="1"/>
  <c r="U559" i="1" s="1"/>
  <c r="J559" i="1" a="1"/>
  <c r="J559" i="1" s="1"/>
  <c r="H559" i="1" a="1"/>
  <c r="H559" i="1" s="1"/>
  <c r="I559" i="1" s="1"/>
  <c r="S559" i="1" s="1"/>
  <c r="AS558" i="1"/>
  <c r="AA558" i="1" s="1"/>
  <c r="AO558" i="1"/>
  <c r="AN558" i="1"/>
  <c r="AM558" i="1"/>
  <c r="AL558" i="1"/>
  <c r="AK558" i="1"/>
  <c r="AJ558" i="1"/>
  <c r="AI558" i="1"/>
  <c r="AH558" i="1"/>
  <c r="AG558" i="1"/>
  <c r="AF558" i="1"/>
  <c r="AE558" i="1"/>
  <c r="AD558" i="1"/>
  <c r="AC558" i="1"/>
  <c r="AB558" i="1"/>
  <c r="Z558" i="1"/>
  <c r="W558" i="1"/>
  <c r="X558" i="1" s="1"/>
  <c r="V558" i="1"/>
  <c r="T558" i="1"/>
  <c r="R558" i="1"/>
  <c r="Q558" i="1" a="1"/>
  <c r="Q558" i="1" s="1"/>
  <c r="P558" i="1"/>
  <c r="N558" i="1"/>
  <c r="L558" i="1"/>
  <c r="K558" i="1" a="1"/>
  <c r="K558" i="1" s="1"/>
  <c r="U558" i="1" s="1"/>
  <c r="J558" i="1" a="1"/>
  <c r="J558" i="1" s="1"/>
  <c r="H558" i="1" a="1"/>
  <c r="H558" i="1" s="1"/>
  <c r="AS557" i="1"/>
  <c r="AA557" i="1" s="1"/>
  <c r="AO557" i="1"/>
  <c r="AN557" i="1"/>
  <c r="AM557" i="1"/>
  <c r="AL557" i="1"/>
  <c r="AK557" i="1"/>
  <c r="AJ557" i="1"/>
  <c r="AI557" i="1"/>
  <c r="AH557" i="1"/>
  <c r="AG557" i="1"/>
  <c r="AF557" i="1"/>
  <c r="AE557" i="1"/>
  <c r="AD557" i="1"/>
  <c r="AC557" i="1"/>
  <c r="AB557" i="1"/>
  <c r="Z557" i="1"/>
  <c r="W557" i="1"/>
  <c r="X557" i="1" s="1"/>
  <c r="V557" i="1"/>
  <c r="T557" i="1"/>
  <c r="R557" i="1"/>
  <c r="Q557" i="1" a="1"/>
  <c r="Q557" i="1" s="1"/>
  <c r="P557" i="1"/>
  <c r="N557" i="1"/>
  <c r="L557" i="1"/>
  <c r="K557" i="1" a="1"/>
  <c r="K557" i="1" s="1"/>
  <c r="U557" i="1" s="1"/>
  <c r="J557" i="1" a="1"/>
  <c r="J557" i="1" s="1"/>
  <c r="H557" i="1" a="1"/>
  <c r="H557" i="1" s="1"/>
  <c r="AS556" i="1"/>
  <c r="AA556" i="1" s="1"/>
  <c r="AO556" i="1"/>
  <c r="AN556" i="1"/>
  <c r="AM556" i="1"/>
  <c r="AL556" i="1"/>
  <c r="AK556" i="1"/>
  <c r="AJ556" i="1"/>
  <c r="AI556" i="1"/>
  <c r="AH556" i="1"/>
  <c r="AG556" i="1"/>
  <c r="AF556" i="1"/>
  <c r="AE556" i="1"/>
  <c r="AD556" i="1"/>
  <c r="AC556" i="1"/>
  <c r="AB556" i="1"/>
  <c r="Z556" i="1"/>
  <c r="W556" i="1"/>
  <c r="Y556" i="1" s="1"/>
  <c r="V556" i="1"/>
  <c r="T556" i="1"/>
  <c r="R556" i="1"/>
  <c r="Q556" i="1" a="1"/>
  <c r="Q556" i="1" s="1"/>
  <c r="P556" i="1"/>
  <c r="N556" i="1"/>
  <c r="L556" i="1"/>
  <c r="K556" i="1" a="1"/>
  <c r="K556" i="1" s="1"/>
  <c r="U556" i="1" s="1"/>
  <c r="J556" i="1" a="1"/>
  <c r="J556" i="1" s="1"/>
  <c r="H556" i="1" a="1"/>
  <c r="H556" i="1" s="1"/>
  <c r="AS555" i="1"/>
  <c r="AA555" i="1" s="1"/>
  <c r="AO555" i="1"/>
  <c r="AN555" i="1"/>
  <c r="AM555" i="1"/>
  <c r="AL555" i="1"/>
  <c r="AK555" i="1"/>
  <c r="AJ555" i="1"/>
  <c r="AI555" i="1"/>
  <c r="AH555" i="1"/>
  <c r="AG555" i="1"/>
  <c r="AF555" i="1"/>
  <c r="AE555" i="1"/>
  <c r="AD555" i="1"/>
  <c r="AC555" i="1"/>
  <c r="AB555" i="1"/>
  <c r="Z555" i="1"/>
  <c r="W555" i="1"/>
  <c r="X555" i="1" s="1"/>
  <c r="V555" i="1"/>
  <c r="T555" i="1"/>
  <c r="R555" i="1"/>
  <c r="Q555" i="1" a="1"/>
  <c r="Q555" i="1" s="1"/>
  <c r="P555" i="1"/>
  <c r="N555" i="1"/>
  <c r="L555" i="1"/>
  <c r="K555" i="1" a="1"/>
  <c r="K555" i="1" s="1"/>
  <c r="U555" i="1" s="1"/>
  <c r="J555" i="1" a="1"/>
  <c r="J555" i="1" s="1"/>
  <c r="H555" i="1" a="1"/>
  <c r="H555" i="1" s="1"/>
  <c r="AS554" i="1"/>
  <c r="AA554" i="1" s="1"/>
  <c r="AO554" i="1"/>
  <c r="AN554" i="1"/>
  <c r="AM554" i="1"/>
  <c r="AL554" i="1"/>
  <c r="AK554" i="1"/>
  <c r="AJ554" i="1"/>
  <c r="AI554" i="1"/>
  <c r="AH554" i="1"/>
  <c r="AG554" i="1"/>
  <c r="AF554" i="1"/>
  <c r="AE554" i="1"/>
  <c r="AD554" i="1"/>
  <c r="AC554" i="1"/>
  <c r="AB554" i="1"/>
  <c r="Z554" i="1"/>
  <c r="W554" i="1"/>
  <c r="X554" i="1" s="1"/>
  <c r="V554" i="1"/>
  <c r="T554" i="1"/>
  <c r="R554" i="1"/>
  <c r="Q554" i="1" a="1"/>
  <c r="Q554" i="1" s="1"/>
  <c r="P554" i="1"/>
  <c r="N554" i="1"/>
  <c r="L554" i="1"/>
  <c r="K554" i="1" a="1"/>
  <c r="K554" i="1" s="1"/>
  <c r="U554" i="1" s="1"/>
  <c r="J554" i="1" a="1"/>
  <c r="J554" i="1" s="1"/>
  <c r="H554" i="1" a="1"/>
  <c r="H554" i="1" s="1"/>
  <c r="AS553" i="1"/>
  <c r="AA553" i="1" s="1"/>
  <c r="AO553" i="1"/>
  <c r="AN553" i="1"/>
  <c r="AM553" i="1"/>
  <c r="AL553" i="1"/>
  <c r="AK553" i="1"/>
  <c r="AJ553" i="1"/>
  <c r="AI553" i="1"/>
  <c r="AH553" i="1"/>
  <c r="AG553" i="1"/>
  <c r="AF553" i="1"/>
  <c r="AE553" i="1"/>
  <c r="AD553" i="1"/>
  <c r="AC553" i="1"/>
  <c r="AB553" i="1"/>
  <c r="Z553" i="1"/>
  <c r="W553" i="1"/>
  <c r="Y553" i="1" s="1"/>
  <c r="V553" i="1"/>
  <c r="T553" i="1"/>
  <c r="R553" i="1"/>
  <c r="Q553" i="1" a="1"/>
  <c r="Q553" i="1" s="1"/>
  <c r="P553" i="1"/>
  <c r="N553" i="1"/>
  <c r="L553" i="1"/>
  <c r="K553" i="1" a="1"/>
  <c r="K553" i="1" s="1"/>
  <c r="U553" i="1" s="1"/>
  <c r="J553" i="1" a="1"/>
  <c r="J553" i="1" s="1"/>
  <c r="H553" i="1" a="1"/>
  <c r="H553" i="1" s="1"/>
  <c r="AS552" i="1"/>
  <c r="AA552" i="1" s="1"/>
  <c r="AO552" i="1"/>
  <c r="AN552" i="1"/>
  <c r="AM552" i="1"/>
  <c r="AL552" i="1"/>
  <c r="AK552" i="1"/>
  <c r="AJ552" i="1"/>
  <c r="AI552" i="1"/>
  <c r="AH552" i="1"/>
  <c r="AG552" i="1"/>
  <c r="AF552" i="1"/>
  <c r="AE552" i="1"/>
  <c r="AD552" i="1"/>
  <c r="AC552" i="1"/>
  <c r="AB552" i="1"/>
  <c r="Z552" i="1"/>
  <c r="W552" i="1"/>
  <c r="Y552" i="1" s="1"/>
  <c r="V552" i="1"/>
  <c r="T552" i="1"/>
  <c r="R552" i="1"/>
  <c r="Q552" i="1" a="1"/>
  <c r="Q552" i="1" s="1"/>
  <c r="P552" i="1"/>
  <c r="N552" i="1"/>
  <c r="L552" i="1"/>
  <c r="K552" i="1" a="1"/>
  <c r="K552" i="1" s="1"/>
  <c r="U552" i="1" s="1"/>
  <c r="J552" i="1" a="1"/>
  <c r="J552" i="1" s="1"/>
  <c r="H552" i="1" a="1"/>
  <c r="H552" i="1" s="1"/>
  <c r="AS551" i="1"/>
  <c r="AA551" i="1" s="1"/>
  <c r="AO551" i="1"/>
  <c r="AN551" i="1"/>
  <c r="AM551" i="1"/>
  <c r="AL551" i="1"/>
  <c r="AK551" i="1"/>
  <c r="AJ551" i="1"/>
  <c r="AI551" i="1"/>
  <c r="AH551" i="1"/>
  <c r="AG551" i="1"/>
  <c r="AF551" i="1"/>
  <c r="AE551" i="1"/>
  <c r="AD551" i="1"/>
  <c r="AC551" i="1"/>
  <c r="AB551" i="1"/>
  <c r="Z551" i="1"/>
  <c r="W551" i="1"/>
  <c r="X551" i="1" s="1"/>
  <c r="V551" i="1"/>
  <c r="T551" i="1"/>
  <c r="R551" i="1"/>
  <c r="Q551" i="1" a="1"/>
  <c r="Q551" i="1" s="1"/>
  <c r="P551" i="1"/>
  <c r="N551" i="1"/>
  <c r="L551" i="1"/>
  <c r="K551" i="1" a="1"/>
  <c r="K551" i="1" s="1"/>
  <c r="U551" i="1" s="1"/>
  <c r="J551" i="1" a="1"/>
  <c r="J551" i="1" s="1"/>
  <c r="H551" i="1" a="1"/>
  <c r="H551" i="1" s="1"/>
  <c r="I551" i="1" s="1"/>
  <c r="S551" i="1" s="1"/>
  <c r="AS550" i="1"/>
  <c r="AA550" i="1" s="1"/>
  <c r="AO550" i="1"/>
  <c r="AN550" i="1"/>
  <c r="AM550" i="1"/>
  <c r="AL550" i="1"/>
  <c r="AK550" i="1"/>
  <c r="AJ550" i="1"/>
  <c r="AI550" i="1"/>
  <c r="AH550" i="1"/>
  <c r="AG550" i="1"/>
  <c r="AF550" i="1"/>
  <c r="AE550" i="1"/>
  <c r="AD550" i="1"/>
  <c r="AC550" i="1"/>
  <c r="AB550" i="1"/>
  <c r="Z550" i="1"/>
  <c r="W550" i="1"/>
  <c r="Y550" i="1" s="1"/>
  <c r="V550" i="1"/>
  <c r="T550" i="1"/>
  <c r="R550" i="1"/>
  <c r="Q550" i="1" a="1"/>
  <c r="Q550" i="1" s="1"/>
  <c r="P550" i="1"/>
  <c r="N550" i="1"/>
  <c r="L550" i="1"/>
  <c r="K550" i="1" a="1"/>
  <c r="K550" i="1" s="1"/>
  <c r="U550" i="1" s="1"/>
  <c r="J550" i="1" a="1"/>
  <c r="J550" i="1" s="1"/>
  <c r="H550" i="1" a="1"/>
  <c r="H550" i="1" s="1"/>
  <c r="AU549" i="1"/>
  <c r="AC549" i="1" s="1"/>
  <c r="AT549" i="1"/>
  <c r="AB549" i="1" s="1"/>
  <c r="AS549" i="1"/>
  <c r="AA549" i="1" s="1"/>
  <c r="AO549" i="1"/>
  <c r="AN549" i="1"/>
  <c r="AM549" i="1"/>
  <c r="AL549" i="1"/>
  <c r="AK549" i="1"/>
  <c r="AJ549" i="1"/>
  <c r="AI549" i="1"/>
  <c r="AH549" i="1"/>
  <c r="AG549" i="1"/>
  <c r="AF549" i="1"/>
  <c r="AE549" i="1"/>
  <c r="AD549" i="1"/>
  <c r="Z549" i="1"/>
  <c r="W549" i="1"/>
  <c r="Y549" i="1" s="1"/>
  <c r="V549" i="1"/>
  <c r="T549" i="1"/>
  <c r="R549" i="1"/>
  <c r="Q549" i="1" a="1"/>
  <c r="Q549" i="1" s="1"/>
  <c r="P549" i="1"/>
  <c r="N549" i="1"/>
  <c r="L549" i="1"/>
  <c r="K549" i="1" a="1"/>
  <c r="K549" i="1" s="1"/>
  <c r="U549" i="1" s="1"/>
  <c r="J549" i="1" a="1"/>
  <c r="J549" i="1" s="1"/>
  <c r="H549" i="1" a="1"/>
  <c r="H549" i="1" s="1"/>
  <c r="AS548" i="1"/>
  <c r="AA548" i="1" s="1"/>
  <c r="AO548" i="1"/>
  <c r="AN548" i="1"/>
  <c r="AM548" i="1"/>
  <c r="AL548" i="1"/>
  <c r="AK548" i="1"/>
  <c r="AJ548" i="1"/>
  <c r="AI548" i="1"/>
  <c r="AH548" i="1"/>
  <c r="AG548" i="1"/>
  <c r="AF548" i="1"/>
  <c r="AE548" i="1"/>
  <c r="AD548" i="1"/>
  <c r="AC548" i="1"/>
  <c r="AB548" i="1"/>
  <c r="Z548" i="1"/>
  <c r="W548" i="1"/>
  <c r="X548" i="1" s="1"/>
  <c r="V548" i="1"/>
  <c r="T548" i="1"/>
  <c r="R548" i="1"/>
  <c r="Q548" i="1" a="1"/>
  <c r="Q548" i="1" s="1"/>
  <c r="P548" i="1"/>
  <c r="N548" i="1"/>
  <c r="L548" i="1"/>
  <c r="K548" i="1" a="1"/>
  <c r="K548" i="1" s="1"/>
  <c r="U548" i="1" s="1"/>
  <c r="J548" i="1" a="1"/>
  <c r="J548" i="1" s="1"/>
  <c r="H548" i="1" a="1"/>
  <c r="H548" i="1" s="1"/>
  <c r="AS547" i="1"/>
  <c r="AA547" i="1" s="1"/>
  <c r="AO547" i="1"/>
  <c r="AN547" i="1"/>
  <c r="AM547" i="1"/>
  <c r="AL547" i="1"/>
  <c r="AK547" i="1"/>
  <c r="AJ547" i="1"/>
  <c r="AI547" i="1"/>
  <c r="AH547" i="1"/>
  <c r="AG547" i="1"/>
  <c r="AF547" i="1"/>
  <c r="AE547" i="1"/>
  <c r="AD547" i="1"/>
  <c r="AC547" i="1"/>
  <c r="AB547" i="1"/>
  <c r="Z547" i="1"/>
  <c r="W547" i="1"/>
  <c r="X547" i="1" s="1"/>
  <c r="V547" i="1"/>
  <c r="T547" i="1"/>
  <c r="R547" i="1"/>
  <c r="Q547" i="1" a="1"/>
  <c r="Q547" i="1" s="1"/>
  <c r="P547" i="1"/>
  <c r="N547" i="1"/>
  <c r="L547" i="1"/>
  <c r="K547" i="1" a="1"/>
  <c r="K547" i="1" s="1"/>
  <c r="U547" i="1" s="1"/>
  <c r="J547" i="1" a="1"/>
  <c r="J547" i="1" s="1"/>
  <c r="H547" i="1" a="1"/>
  <c r="H547" i="1" s="1"/>
  <c r="AS546" i="1"/>
  <c r="AA546" i="1" s="1"/>
  <c r="AO546" i="1"/>
  <c r="AN546" i="1"/>
  <c r="AM546" i="1"/>
  <c r="AL546" i="1"/>
  <c r="AK546" i="1"/>
  <c r="AJ546" i="1"/>
  <c r="AI546" i="1"/>
  <c r="AH546" i="1"/>
  <c r="AG546" i="1"/>
  <c r="AF546" i="1"/>
  <c r="AE546" i="1"/>
  <c r="AD546" i="1"/>
  <c r="AC546" i="1"/>
  <c r="AB546" i="1"/>
  <c r="Z546" i="1"/>
  <c r="W546" i="1"/>
  <c r="Y546" i="1" s="1"/>
  <c r="V546" i="1"/>
  <c r="T546" i="1"/>
  <c r="R546" i="1"/>
  <c r="Q546" i="1" a="1"/>
  <c r="Q546" i="1" s="1"/>
  <c r="P546" i="1"/>
  <c r="N546" i="1"/>
  <c r="L546" i="1"/>
  <c r="K546" i="1" a="1"/>
  <c r="K546" i="1" s="1"/>
  <c r="U546" i="1" s="1"/>
  <c r="J546" i="1" a="1"/>
  <c r="J546" i="1" s="1"/>
  <c r="H546" i="1" a="1"/>
  <c r="H546" i="1" s="1"/>
  <c r="AS545" i="1"/>
  <c r="AA545" i="1" s="1"/>
  <c r="AO545" i="1"/>
  <c r="AN545" i="1"/>
  <c r="AM545" i="1"/>
  <c r="AL545" i="1"/>
  <c r="AK545" i="1"/>
  <c r="AJ545" i="1"/>
  <c r="AI545" i="1"/>
  <c r="AH545" i="1"/>
  <c r="AG545" i="1"/>
  <c r="AF545" i="1"/>
  <c r="AE545" i="1"/>
  <c r="AD545" i="1"/>
  <c r="AC545" i="1"/>
  <c r="AB545" i="1"/>
  <c r="Z545" i="1"/>
  <c r="W545" i="1"/>
  <c r="Y545" i="1" s="1"/>
  <c r="V545" i="1"/>
  <c r="T545" i="1"/>
  <c r="R545" i="1"/>
  <c r="Q545" i="1" a="1"/>
  <c r="Q545" i="1" s="1"/>
  <c r="P545" i="1"/>
  <c r="N545" i="1"/>
  <c r="L545" i="1"/>
  <c r="K545" i="1" a="1"/>
  <c r="K545" i="1" s="1"/>
  <c r="U545" i="1" s="1"/>
  <c r="J545" i="1" a="1"/>
  <c r="J545" i="1" s="1"/>
  <c r="H545" i="1" a="1"/>
  <c r="H545" i="1" s="1"/>
  <c r="I545" i="1" s="1"/>
  <c r="S545" i="1" s="1"/>
  <c r="AS544" i="1"/>
  <c r="AA544" i="1" s="1"/>
  <c r="AO544" i="1"/>
  <c r="AN544" i="1"/>
  <c r="AM544" i="1"/>
  <c r="AL544" i="1"/>
  <c r="AK544" i="1"/>
  <c r="AJ544" i="1"/>
  <c r="AI544" i="1"/>
  <c r="AH544" i="1"/>
  <c r="AG544" i="1"/>
  <c r="AF544" i="1"/>
  <c r="AE544" i="1"/>
  <c r="AD544" i="1"/>
  <c r="AC544" i="1"/>
  <c r="AB544" i="1"/>
  <c r="Z544" i="1"/>
  <c r="W544" i="1"/>
  <c r="Y544" i="1" s="1"/>
  <c r="V544" i="1"/>
  <c r="T544" i="1"/>
  <c r="R544" i="1"/>
  <c r="Q544" i="1" a="1"/>
  <c r="Q544" i="1" s="1"/>
  <c r="P544" i="1"/>
  <c r="N544" i="1"/>
  <c r="L544" i="1"/>
  <c r="K544" i="1" a="1"/>
  <c r="K544" i="1" s="1"/>
  <c r="U544" i="1" s="1"/>
  <c r="J544" i="1" a="1"/>
  <c r="J544" i="1" s="1"/>
  <c r="H544" i="1" a="1"/>
  <c r="H544" i="1" s="1"/>
  <c r="AS543" i="1"/>
  <c r="AA543" i="1" s="1"/>
  <c r="AO543" i="1"/>
  <c r="AN543" i="1"/>
  <c r="AM543" i="1"/>
  <c r="AL543" i="1"/>
  <c r="AK543" i="1"/>
  <c r="AJ543" i="1"/>
  <c r="AI543" i="1"/>
  <c r="AH543" i="1"/>
  <c r="AG543" i="1"/>
  <c r="AF543" i="1"/>
  <c r="AE543" i="1"/>
  <c r="AD543" i="1"/>
  <c r="AC543" i="1"/>
  <c r="AB543" i="1"/>
  <c r="Z543" i="1"/>
  <c r="W543" i="1"/>
  <c r="X543" i="1" s="1"/>
  <c r="V543" i="1"/>
  <c r="T543" i="1"/>
  <c r="R543" i="1"/>
  <c r="Q543" i="1" a="1"/>
  <c r="Q543" i="1" s="1"/>
  <c r="P543" i="1"/>
  <c r="N543" i="1"/>
  <c r="L543" i="1"/>
  <c r="K543" i="1" a="1"/>
  <c r="K543" i="1" s="1"/>
  <c r="U543" i="1" s="1"/>
  <c r="J543" i="1" a="1"/>
  <c r="J543" i="1" s="1"/>
  <c r="H543" i="1" a="1"/>
  <c r="H543" i="1" s="1"/>
  <c r="AS542" i="1"/>
  <c r="AA542" i="1" s="1"/>
  <c r="AO542" i="1"/>
  <c r="AN542" i="1"/>
  <c r="AM542" i="1"/>
  <c r="AL542" i="1"/>
  <c r="AK542" i="1"/>
  <c r="AJ542" i="1"/>
  <c r="AI542" i="1"/>
  <c r="AH542" i="1"/>
  <c r="AG542" i="1"/>
  <c r="AF542" i="1"/>
  <c r="AE542" i="1"/>
  <c r="AD542" i="1"/>
  <c r="AC542" i="1"/>
  <c r="AB542" i="1"/>
  <c r="Z542" i="1"/>
  <c r="W542" i="1"/>
  <c r="Y542" i="1" s="1"/>
  <c r="V542" i="1"/>
  <c r="T542" i="1"/>
  <c r="R542" i="1"/>
  <c r="Q542" i="1" a="1"/>
  <c r="Q542" i="1" s="1"/>
  <c r="P542" i="1"/>
  <c r="N542" i="1"/>
  <c r="L542" i="1"/>
  <c r="K542" i="1" a="1"/>
  <c r="K542" i="1" s="1"/>
  <c r="U542" i="1" s="1"/>
  <c r="J542" i="1" a="1"/>
  <c r="J542" i="1" s="1"/>
  <c r="H542" i="1" a="1"/>
  <c r="H542" i="1" s="1"/>
  <c r="AT541" i="1"/>
  <c r="AB541" i="1" s="1"/>
  <c r="AS541" i="1"/>
  <c r="AA541" i="1" s="1"/>
  <c r="AO541" i="1"/>
  <c r="AN541" i="1"/>
  <c r="AM541" i="1"/>
  <c r="AL541" i="1"/>
  <c r="AK541" i="1"/>
  <c r="AJ541" i="1"/>
  <c r="AI541" i="1"/>
  <c r="AH541" i="1"/>
  <c r="AG541" i="1"/>
  <c r="AF541" i="1"/>
  <c r="AE541" i="1"/>
  <c r="AD541" i="1"/>
  <c r="AC541" i="1"/>
  <c r="Z541" i="1"/>
  <c r="W541" i="1"/>
  <c r="Y541" i="1" s="1"/>
  <c r="V541" i="1"/>
  <c r="T541" i="1"/>
  <c r="R541" i="1"/>
  <c r="Q541" i="1" a="1"/>
  <c r="Q541" i="1" s="1"/>
  <c r="P541" i="1"/>
  <c r="N541" i="1"/>
  <c r="L541" i="1"/>
  <c r="K541" i="1" a="1"/>
  <c r="K541" i="1" s="1"/>
  <c r="U541" i="1" s="1"/>
  <c r="J541" i="1" a="1"/>
  <c r="J541" i="1" s="1"/>
  <c r="H541" i="1" a="1"/>
  <c r="H541" i="1" s="1"/>
  <c r="AS540" i="1"/>
  <c r="AA540" i="1" s="1"/>
  <c r="AO540" i="1"/>
  <c r="AN540" i="1"/>
  <c r="AM540" i="1"/>
  <c r="AL540" i="1"/>
  <c r="AK540" i="1"/>
  <c r="AJ540" i="1"/>
  <c r="AI540" i="1"/>
  <c r="AH540" i="1"/>
  <c r="AG540" i="1"/>
  <c r="AF540" i="1"/>
  <c r="AE540" i="1"/>
  <c r="AD540" i="1"/>
  <c r="AC540" i="1"/>
  <c r="AB540" i="1"/>
  <c r="Z540" i="1"/>
  <c r="W540" i="1"/>
  <c r="Y540" i="1" s="1"/>
  <c r="V540" i="1"/>
  <c r="T540" i="1"/>
  <c r="R540" i="1"/>
  <c r="Q540" i="1" a="1"/>
  <c r="Q540" i="1" s="1"/>
  <c r="P540" i="1"/>
  <c r="N540" i="1"/>
  <c r="L540" i="1"/>
  <c r="K540" i="1" a="1"/>
  <c r="K540" i="1" s="1"/>
  <c r="U540" i="1" s="1"/>
  <c r="J540" i="1" a="1"/>
  <c r="J540" i="1" s="1"/>
  <c r="H540" i="1" a="1"/>
  <c r="H540" i="1" s="1"/>
  <c r="I540" i="1" s="1"/>
  <c r="S540" i="1" s="1"/>
  <c r="AS539" i="1"/>
  <c r="AA539" i="1" s="1"/>
  <c r="AO539" i="1"/>
  <c r="AN539" i="1"/>
  <c r="AM539" i="1"/>
  <c r="AL539" i="1"/>
  <c r="AK539" i="1"/>
  <c r="AJ539" i="1"/>
  <c r="AI539" i="1"/>
  <c r="AH539" i="1"/>
  <c r="AG539" i="1"/>
  <c r="AF539" i="1"/>
  <c r="AE539" i="1"/>
  <c r="AD539" i="1"/>
  <c r="AC539" i="1"/>
  <c r="AB539" i="1"/>
  <c r="Z539" i="1"/>
  <c r="W539" i="1"/>
  <c r="X539" i="1" s="1"/>
  <c r="V539" i="1"/>
  <c r="T539" i="1"/>
  <c r="R539" i="1"/>
  <c r="Q539" i="1" a="1"/>
  <c r="Q539" i="1" s="1"/>
  <c r="P539" i="1"/>
  <c r="N539" i="1"/>
  <c r="L539" i="1"/>
  <c r="K539" i="1" a="1"/>
  <c r="K539" i="1" s="1"/>
  <c r="U539" i="1" s="1"/>
  <c r="J539" i="1" a="1"/>
  <c r="J539" i="1" s="1"/>
  <c r="H539" i="1" a="1"/>
  <c r="H539" i="1" s="1"/>
  <c r="AX538" i="1"/>
  <c r="AF538" i="1" s="1"/>
  <c r="AW538" i="1"/>
  <c r="AE538" i="1" s="1"/>
  <c r="AV538" i="1"/>
  <c r="AD538" i="1" s="1"/>
  <c r="AU538" i="1"/>
  <c r="AC538" i="1" s="1"/>
  <c r="AT538" i="1"/>
  <c r="AB538" i="1" s="1"/>
  <c r="AS538" i="1"/>
  <c r="AA538" i="1" s="1"/>
  <c r="AO538" i="1"/>
  <c r="AN538" i="1"/>
  <c r="AM538" i="1"/>
  <c r="AL538" i="1"/>
  <c r="AK538" i="1"/>
  <c r="AJ538" i="1"/>
  <c r="AI538" i="1"/>
  <c r="AH538" i="1"/>
  <c r="AG538" i="1"/>
  <c r="Z538" i="1"/>
  <c r="W538" i="1"/>
  <c r="Y538" i="1" s="1"/>
  <c r="V538" i="1"/>
  <c r="T538" i="1"/>
  <c r="R538" i="1"/>
  <c r="Q538" i="1" a="1"/>
  <c r="Q538" i="1" s="1"/>
  <c r="P538" i="1"/>
  <c r="N538" i="1"/>
  <c r="L538" i="1"/>
  <c r="K538" i="1" a="1"/>
  <c r="K538" i="1" s="1"/>
  <c r="U538" i="1" s="1"/>
  <c r="J538" i="1" a="1"/>
  <c r="J538" i="1" s="1"/>
  <c r="H538" i="1" a="1"/>
  <c r="H538" i="1" s="1"/>
  <c r="I538" i="1" s="1"/>
  <c r="S538" i="1" s="1"/>
  <c r="AU537" i="1"/>
  <c r="AC537" i="1" s="1"/>
  <c r="AT537" i="1"/>
  <c r="AB537" i="1" s="1"/>
  <c r="AS537" i="1"/>
  <c r="AA537" i="1" s="1"/>
  <c r="AO537" i="1"/>
  <c r="AN537" i="1"/>
  <c r="AM537" i="1"/>
  <c r="AL537" i="1"/>
  <c r="AK537" i="1"/>
  <c r="AJ537" i="1"/>
  <c r="AI537" i="1"/>
  <c r="AH537" i="1"/>
  <c r="AG537" i="1"/>
  <c r="AF537" i="1"/>
  <c r="AE537" i="1"/>
  <c r="AD537" i="1"/>
  <c r="Z537" i="1"/>
  <c r="W537" i="1"/>
  <c r="Y537" i="1" s="1"/>
  <c r="V537" i="1"/>
  <c r="T537" i="1"/>
  <c r="R537" i="1"/>
  <c r="Q537" i="1" a="1"/>
  <c r="Q537" i="1" s="1"/>
  <c r="P537" i="1"/>
  <c r="N537" i="1"/>
  <c r="L537" i="1"/>
  <c r="K537" i="1" a="1"/>
  <c r="K537" i="1" s="1"/>
  <c r="U537" i="1" s="1"/>
  <c r="J537" i="1" a="1"/>
  <c r="J537" i="1" s="1"/>
  <c r="H537" i="1" a="1"/>
  <c r="H537" i="1" s="1"/>
  <c r="AS536" i="1"/>
  <c r="AA536" i="1" s="1"/>
  <c r="AO536" i="1"/>
  <c r="AN536" i="1"/>
  <c r="AM536" i="1"/>
  <c r="AL536" i="1"/>
  <c r="AK536" i="1"/>
  <c r="AJ536" i="1"/>
  <c r="AI536" i="1"/>
  <c r="AH536" i="1"/>
  <c r="AG536" i="1"/>
  <c r="AF536" i="1"/>
  <c r="AE536" i="1"/>
  <c r="AD536" i="1"/>
  <c r="AC536" i="1"/>
  <c r="AB536" i="1"/>
  <c r="Z536" i="1"/>
  <c r="W536" i="1"/>
  <c r="V536" i="1"/>
  <c r="T536" i="1"/>
  <c r="R536" i="1"/>
  <c r="Q536" i="1" a="1"/>
  <c r="Q536" i="1" s="1"/>
  <c r="P536" i="1"/>
  <c r="N536" i="1"/>
  <c r="L536" i="1"/>
  <c r="K536" i="1" a="1"/>
  <c r="K536" i="1" s="1"/>
  <c r="U536" i="1" s="1"/>
  <c r="J536" i="1" a="1"/>
  <c r="J536" i="1" s="1"/>
  <c r="H536" i="1" a="1"/>
  <c r="H536" i="1" s="1"/>
  <c r="AS535" i="1"/>
  <c r="AA535" i="1" s="1"/>
  <c r="AO535" i="1"/>
  <c r="AN535" i="1"/>
  <c r="AM535" i="1"/>
  <c r="AL535" i="1"/>
  <c r="AK535" i="1"/>
  <c r="AJ535" i="1"/>
  <c r="AI535" i="1"/>
  <c r="AH535" i="1"/>
  <c r="AG535" i="1"/>
  <c r="AF535" i="1"/>
  <c r="AE535" i="1"/>
  <c r="AD535" i="1"/>
  <c r="AC535" i="1"/>
  <c r="AB535" i="1"/>
  <c r="Z535" i="1"/>
  <c r="W535" i="1"/>
  <c r="V535" i="1"/>
  <c r="T535" i="1"/>
  <c r="R535" i="1"/>
  <c r="Q535" i="1" a="1"/>
  <c r="Q535" i="1" s="1"/>
  <c r="P535" i="1"/>
  <c r="N535" i="1"/>
  <c r="L535" i="1"/>
  <c r="K535" i="1" a="1"/>
  <c r="K535" i="1" s="1"/>
  <c r="U535" i="1" s="1"/>
  <c r="J535" i="1" a="1"/>
  <c r="J535" i="1" s="1"/>
  <c r="H535" i="1" a="1"/>
  <c r="H535" i="1" s="1"/>
  <c r="AS534" i="1"/>
  <c r="AA534" i="1" s="1"/>
  <c r="AO534" i="1"/>
  <c r="AN534" i="1"/>
  <c r="AM534" i="1"/>
  <c r="AL534" i="1"/>
  <c r="AK534" i="1"/>
  <c r="AJ534" i="1"/>
  <c r="AI534" i="1"/>
  <c r="AH534" i="1"/>
  <c r="AG534" i="1"/>
  <c r="AF534" i="1"/>
  <c r="AE534" i="1"/>
  <c r="AD534" i="1"/>
  <c r="AC534" i="1"/>
  <c r="AB534" i="1"/>
  <c r="Z534" i="1"/>
  <c r="W534" i="1"/>
  <c r="Y534" i="1" s="1"/>
  <c r="V534" i="1"/>
  <c r="T534" i="1"/>
  <c r="R534" i="1"/>
  <c r="Q534" i="1" a="1"/>
  <c r="Q534" i="1" s="1"/>
  <c r="P534" i="1"/>
  <c r="N534" i="1"/>
  <c r="L534" i="1"/>
  <c r="K534" i="1" a="1"/>
  <c r="K534" i="1" s="1"/>
  <c r="U534" i="1" s="1"/>
  <c r="J534" i="1" a="1"/>
  <c r="J534" i="1" s="1"/>
  <c r="H534" i="1" a="1"/>
  <c r="H534" i="1" s="1"/>
  <c r="AS533" i="1"/>
  <c r="AA533" i="1" s="1"/>
  <c r="AO533" i="1"/>
  <c r="AN533" i="1"/>
  <c r="AM533" i="1"/>
  <c r="AL533" i="1"/>
  <c r="AK533" i="1"/>
  <c r="AJ533" i="1"/>
  <c r="AI533" i="1"/>
  <c r="AH533" i="1"/>
  <c r="AG533" i="1"/>
  <c r="AF533" i="1"/>
  <c r="AE533" i="1"/>
  <c r="AD533" i="1"/>
  <c r="AC533" i="1"/>
  <c r="AB533" i="1"/>
  <c r="Z533" i="1"/>
  <c r="W533" i="1"/>
  <c r="Y533" i="1" s="1"/>
  <c r="V533" i="1"/>
  <c r="T533" i="1"/>
  <c r="R533" i="1"/>
  <c r="Q533" i="1" a="1"/>
  <c r="Q533" i="1" s="1"/>
  <c r="P533" i="1"/>
  <c r="N533" i="1"/>
  <c r="L533" i="1"/>
  <c r="K533" i="1" a="1"/>
  <c r="K533" i="1" s="1"/>
  <c r="U533" i="1" s="1"/>
  <c r="J533" i="1" a="1"/>
  <c r="J533" i="1" s="1"/>
  <c r="H533" i="1" a="1"/>
  <c r="H533" i="1" s="1"/>
  <c r="I533" i="1" s="1"/>
  <c r="S533" i="1" s="1"/>
  <c r="AS532" i="1"/>
  <c r="AA532" i="1" s="1"/>
  <c r="AO532" i="1"/>
  <c r="AN532" i="1"/>
  <c r="AM532" i="1"/>
  <c r="AL532" i="1"/>
  <c r="AK532" i="1"/>
  <c r="AJ532" i="1"/>
  <c r="AI532" i="1"/>
  <c r="AH532" i="1"/>
  <c r="AG532" i="1"/>
  <c r="AF532" i="1"/>
  <c r="AE532" i="1"/>
  <c r="AD532" i="1"/>
  <c r="AC532" i="1"/>
  <c r="AB532" i="1"/>
  <c r="Z532" i="1"/>
  <c r="W532" i="1"/>
  <c r="Y532" i="1" s="1"/>
  <c r="V532" i="1"/>
  <c r="T532" i="1"/>
  <c r="R532" i="1"/>
  <c r="Q532" i="1" a="1"/>
  <c r="Q532" i="1" s="1"/>
  <c r="P532" i="1"/>
  <c r="N532" i="1"/>
  <c r="L532" i="1"/>
  <c r="K532" i="1" a="1"/>
  <c r="K532" i="1" s="1"/>
  <c r="U532" i="1" s="1"/>
  <c r="J532" i="1" a="1"/>
  <c r="J532" i="1" s="1"/>
  <c r="H532" i="1" a="1"/>
  <c r="H532" i="1" s="1"/>
  <c r="AS531" i="1"/>
  <c r="AA531" i="1" s="1"/>
  <c r="AO531" i="1"/>
  <c r="AN531" i="1"/>
  <c r="AM531" i="1"/>
  <c r="AL531" i="1"/>
  <c r="AK531" i="1"/>
  <c r="AJ531" i="1"/>
  <c r="AI531" i="1"/>
  <c r="AH531" i="1"/>
  <c r="AG531" i="1"/>
  <c r="AF531" i="1"/>
  <c r="AE531" i="1"/>
  <c r="AD531" i="1"/>
  <c r="AC531" i="1"/>
  <c r="AB531" i="1"/>
  <c r="Z531" i="1"/>
  <c r="W531" i="1"/>
  <c r="Y531" i="1" s="1"/>
  <c r="V531" i="1"/>
  <c r="T531" i="1"/>
  <c r="R531" i="1"/>
  <c r="Q531" i="1" a="1"/>
  <c r="Q531" i="1" s="1"/>
  <c r="P531" i="1"/>
  <c r="N531" i="1"/>
  <c r="L531" i="1"/>
  <c r="K531" i="1" a="1"/>
  <c r="K531" i="1" s="1"/>
  <c r="U531" i="1" s="1"/>
  <c r="J531" i="1" a="1"/>
  <c r="J531" i="1" s="1"/>
  <c r="H531" i="1" a="1"/>
  <c r="H531" i="1" s="1"/>
  <c r="AS530" i="1"/>
  <c r="AA530" i="1" s="1"/>
  <c r="AO530" i="1"/>
  <c r="AN530" i="1"/>
  <c r="AM530" i="1"/>
  <c r="AL530" i="1"/>
  <c r="AK530" i="1"/>
  <c r="AJ530" i="1"/>
  <c r="AI530" i="1"/>
  <c r="AH530" i="1"/>
  <c r="AG530" i="1"/>
  <c r="AF530" i="1"/>
  <c r="AE530" i="1"/>
  <c r="AD530" i="1"/>
  <c r="AC530" i="1"/>
  <c r="AB530" i="1"/>
  <c r="Z530" i="1"/>
  <c r="W530" i="1"/>
  <c r="Y530" i="1" s="1"/>
  <c r="V530" i="1"/>
  <c r="T530" i="1"/>
  <c r="R530" i="1"/>
  <c r="Q530" i="1" a="1"/>
  <c r="Q530" i="1" s="1"/>
  <c r="P530" i="1"/>
  <c r="N530" i="1"/>
  <c r="L530" i="1"/>
  <c r="K530" i="1" a="1"/>
  <c r="K530" i="1" s="1"/>
  <c r="U530" i="1" s="1"/>
  <c r="J530" i="1" a="1"/>
  <c r="J530" i="1" s="1"/>
  <c r="H530" i="1" a="1"/>
  <c r="H530" i="1" s="1"/>
  <c r="AS529" i="1"/>
  <c r="AA529" i="1" s="1"/>
  <c r="AO529" i="1"/>
  <c r="AN529" i="1"/>
  <c r="AM529" i="1"/>
  <c r="AL529" i="1"/>
  <c r="AK529" i="1"/>
  <c r="AJ529" i="1"/>
  <c r="AI529" i="1"/>
  <c r="AH529" i="1"/>
  <c r="AG529" i="1"/>
  <c r="AF529" i="1"/>
  <c r="AE529" i="1"/>
  <c r="AD529" i="1"/>
  <c r="AC529" i="1"/>
  <c r="AB529" i="1"/>
  <c r="Z529" i="1"/>
  <c r="W529" i="1"/>
  <c r="Y529" i="1" s="1"/>
  <c r="V529" i="1"/>
  <c r="T529" i="1"/>
  <c r="R529" i="1"/>
  <c r="Q529" i="1" a="1"/>
  <c r="Q529" i="1" s="1"/>
  <c r="P529" i="1"/>
  <c r="N529" i="1"/>
  <c r="L529" i="1"/>
  <c r="K529" i="1" a="1"/>
  <c r="K529" i="1" s="1"/>
  <c r="U529" i="1" s="1"/>
  <c r="J529" i="1" a="1"/>
  <c r="J529" i="1" s="1"/>
  <c r="H529" i="1" a="1"/>
  <c r="H529" i="1" s="1"/>
  <c r="AS528" i="1"/>
  <c r="AA528" i="1" s="1"/>
  <c r="AO528" i="1"/>
  <c r="AN528" i="1"/>
  <c r="AM528" i="1"/>
  <c r="AL528" i="1"/>
  <c r="AK528" i="1"/>
  <c r="AJ528" i="1"/>
  <c r="AI528" i="1"/>
  <c r="AH528" i="1"/>
  <c r="AG528" i="1"/>
  <c r="AF528" i="1"/>
  <c r="AE528" i="1"/>
  <c r="AD528" i="1"/>
  <c r="AC528" i="1"/>
  <c r="AB528" i="1"/>
  <c r="Z528" i="1"/>
  <c r="W528" i="1"/>
  <c r="X528" i="1" s="1"/>
  <c r="V528" i="1"/>
  <c r="T528" i="1"/>
  <c r="R528" i="1"/>
  <c r="Q528" i="1" a="1"/>
  <c r="Q528" i="1" s="1"/>
  <c r="P528" i="1"/>
  <c r="N528" i="1"/>
  <c r="L528" i="1"/>
  <c r="K528" i="1" a="1"/>
  <c r="K528" i="1" s="1"/>
  <c r="U528" i="1" s="1"/>
  <c r="J528" i="1" a="1"/>
  <c r="J528" i="1" s="1"/>
  <c r="H528" i="1" a="1"/>
  <c r="H528" i="1" s="1"/>
  <c r="AS527" i="1"/>
  <c r="AA527" i="1" s="1"/>
  <c r="AO527" i="1"/>
  <c r="AN527" i="1"/>
  <c r="AM527" i="1"/>
  <c r="AL527" i="1"/>
  <c r="AK527" i="1"/>
  <c r="AJ527" i="1"/>
  <c r="AI527" i="1"/>
  <c r="AH527" i="1"/>
  <c r="AG527" i="1"/>
  <c r="AF527" i="1"/>
  <c r="AE527" i="1"/>
  <c r="AD527" i="1"/>
  <c r="AC527" i="1"/>
  <c r="AB527" i="1"/>
  <c r="Z527" i="1"/>
  <c r="W527" i="1"/>
  <c r="Y527" i="1" s="1"/>
  <c r="V527" i="1"/>
  <c r="T527" i="1"/>
  <c r="R527" i="1"/>
  <c r="Q527" i="1" a="1"/>
  <c r="Q527" i="1" s="1"/>
  <c r="P527" i="1"/>
  <c r="N527" i="1"/>
  <c r="L527" i="1"/>
  <c r="K527" i="1" a="1"/>
  <c r="K527" i="1" s="1"/>
  <c r="U527" i="1" s="1"/>
  <c r="J527" i="1" a="1"/>
  <c r="J527" i="1" s="1"/>
  <c r="H527" i="1" a="1"/>
  <c r="H527" i="1" s="1"/>
  <c r="AS526" i="1"/>
  <c r="AA526" i="1" s="1"/>
  <c r="AO526" i="1"/>
  <c r="AN526" i="1"/>
  <c r="AM526" i="1"/>
  <c r="AL526" i="1"/>
  <c r="AK526" i="1"/>
  <c r="AJ526" i="1"/>
  <c r="AI526" i="1"/>
  <c r="AH526" i="1"/>
  <c r="AG526" i="1"/>
  <c r="AF526" i="1"/>
  <c r="AE526" i="1"/>
  <c r="AD526" i="1"/>
  <c r="AC526" i="1"/>
  <c r="AB526" i="1"/>
  <c r="Z526" i="1"/>
  <c r="W526" i="1"/>
  <c r="Y526" i="1" s="1"/>
  <c r="V526" i="1"/>
  <c r="T526" i="1"/>
  <c r="R526" i="1"/>
  <c r="Q526" i="1" a="1"/>
  <c r="Q526" i="1" s="1"/>
  <c r="P526" i="1"/>
  <c r="N526" i="1"/>
  <c r="L526" i="1"/>
  <c r="K526" i="1" a="1"/>
  <c r="K526" i="1" s="1"/>
  <c r="U526" i="1" s="1"/>
  <c r="J526" i="1" a="1"/>
  <c r="J526" i="1" s="1"/>
  <c r="H526" i="1" a="1"/>
  <c r="H526" i="1" s="1"/>
  <c r="AS525" i="1"/>
  <c r="AA525" i="1" s="1"/>
  <c r="AO525" i="1"/>
  <c r="AN525" i="1"/>
  <c r="AM525" i="1"/>
  <c r="AL525" i="1"/>
  <c r="AK525" i="1"/>
  <c r="AJ525" i="1"/>
  <c r="AI525" i="1"/>
  <c r="AH525" i="1"/>
  <c r="AG525" i="1"/>
  <c r="AF525" i="1"/>
  <c r="AE525" i="1"/>
  <c r="AD525" i="1"/>
  <c r="AC525" i="1"/>
  <c r="AB525" i="1"/>
  <c r="Z525" i="1"/>
  <c r="W525" i="1"/>
  <c r="Y525" i="1" s="1"/>
  <c r="V525" i="1"/>
  <c r="T525" i="1"/>
  <c r="R525" i="1"/>
  <c r="Q525" i="1" a="1"/>
  <c r="Q525" i="1" s="1"/>
  <c r="P525" i="1"/>
  <c r="N525" i="1"/>
  <c r="L525" i="1"/>
  <c r="K525" i="1" a="1"/>
  <c r="K525" i="1" s="1"/>
  <c r="U525" i="1" s="1"/>
  <c r="J525" i="1" a="1"/>
  <c r="J525" i="1" s="1"/>
  <c r="H525" i="1" a="1"/>
  <c r="H525" i="1" s="1"/>
  <c r="I525" i="1" s="1"/>
  <c r="S525" i="1" s="1"/>
  <c r="AS524" i="1"/>
  <c r="AA524" i="1" s="1"/>
  <c r="AO524" i="1"/>
  <c r="AN524" i="1"/>
  <c r="AM524" i="1"/>
  <c r="AL524" i="1"/>
  <c r="AK524" i="1"/>
  <c r="AJ524" i="1"/>
  <c r="AI524" i="1"/>
  <c r="AH524" i="1"/>
  <c r="AG524" i="1"/>
  <c r="AF524" i="1"/>
  <c r="AE524" i="1"/>
  <c r="AD524" i="1"/>
  <c r="AC524" i="1"/>
  <c r="AB524" i="1"/>
  <c r="Z524" i="1"/>
  <c r="W524" i="1"/>
  <c r="X524" i="1" s="1"/>
  <c r="V524" i="1"/>
  <c r="T524" i="1"/>
  <c r="R524" i="1"/>
  <c r="Q524" i="1" a="1"/>
  <c r="Q524" i="1" s="1"/>
  <c r="P524" i="1"/>
  <c r="N524" i="1"/>
  <c r="L524" i="1"/>
  <c r="K524" i="1" a="1"/>
  <c r="K524" i="1" s="1"/>
  <c r="U524" i="1" s="1"/>
  <c r="J524" i="1" a="1"/>
  <c r="J524" i="1" s="1"/>
  <c r="H524" i="1" a="1"/>
  <c r="H524" i="1" s="1"/>
  <c r="AS523" i="1"/>
  <c r="AA523" i="1" s="1"/>
  <c r="AO523" i="1"/>
  <c r="AN523" i="1"/>
  <c r="AM523" i="1"/>
  <c r="AL523" i="1"/>
  <c r="AK523" i="1"/>
  <c r="AJ523" i="1"/>
  <c r="AI523" i="1"/>
  <c r="AH523" i="1"/>
  <c r="AG523" i="1"/>
  <c r="AF523" i="1"/>
  <c r="AE523" i="1"/>
  <c r="AD523" i="1"/>
  <c r="AC523" i="1"/>
  <c r="AB523" i="1"/>
  <c r="Z523" i="1"/>
  <c r="W523" i="1"/>
  <c r="Y523" i="1" s="1"/>
  <c r="V523" i="1"/>
  <c r="T523" i="1"/>
  <c r="R523" i="1"/>
  <c r="Q523" i="1" a="1"/>
  <c r="Q523" i="1" s="1"/>
  <c r="P523" i="1"/>
  <c r="N523" i="1"/>
  <c r="L523" i="1"/>
  <c r="K523" i="1" a="1"/>
  <c r="K523" i="1" s="1"/>
  <c r="U523" i="1" s="1"/>
  <c r="J523" i="1" a="1"/>
  <c r="J523" i="1" s="1"/>
  <c r="H523" i="1" a="1"/>
  <c r="H523" i="1" s="1"/>
  <c r="AW522" i="1"/>
  <c r="AE522" i="1" s="1"/>
  <c r="AV522" i="1"/>
  <c r="AD522" i="1" s="1"/>
  <c r="AU522" i="1"/>
  <c r="AC522" i="1" s="1"/>
  <c r="AT522" i="1"/>
  <c r="AB522" i="1" s="1"/>
  <c r="AS522" i="1"/>
  <c r="AA522" i="1" s="1"/>
  <c r="AO522" i="1"/>
  <c r="AN522" i="1"/>
  <c r="AM522" i="1"/>
  <c r="AL522" i="1"/>
  <c r="AK522" i="1"/>
  <c r="AJ522" i="1"/>
  <c r="AI522" i="1"/>
  <c r="AH522" i="1"/>
  <c r="AG522" i="1"/>
  <c r="AF522" i="1"/>
  <c r="Z522" i="1"/>
  <c r="W522" i="1"/>
  <c r="Y522" i="1" s="1"/>
  <c r="V522" i="1"/>
  <c r="T522" i="1"/>
  <c r="R522" i="1"/>
  <c r="Q522" i="1" a="1"/>
  <c r="Q522" i="1" s="1"/>
  <c r="P522" i="1"/>
  <c r="N522" i="1"/>
  <c r="L522" i="1"/>
  <c r="K522" i="1" a="1"/>
  <c r="K522" i="1" s="1"/>
  <c r="U522" i="1" s="1"/>
  <c r="J522" i="1" a="1"/>
  <c r="J522" i="1" s="1"/>
  <c r="H522" i="1" a="1"/>
  <c r="H522" i="1" s="1"/>
  <c r="AS521" i="1"/>
  <c r="AA521" i="1" s="1"/>
  <c r="AO521" i="1"/>
  <c r="AN521" i="1"/>
  <c r="AM521" i="1"/>
  <c r="AL521" i="1"/>
  <c r="AK521" i="1"/>
  <c r="AJ521" i="1"/>
  <c r="AI521" i="1"/>
  <c r="AH521" i="1"/>
  <c r="AG521" i="1"/>
  <c r="AF521" i="1"/>
  <c r="AE521" i="1"/>
  <c r="AD521" i="1"/>
  <c r="AC521" i="1"/>
  <c r="AB521" i="1"/>
  <c r="Z521" i="1"/>
  <c r="W521" i="1"/>
  <c r="Y521" i="1" s="1"/>
  <c r="V521" i="1"/>
  <c r="T521" i="1"/>
  <c r="R521" i="1"/>
  <c r="Q521" i="1" a="1"/>
  <c r="Q521" i="1" s="1"/>
  <c r="P521" i="1"/>
  <c r="N521" i="1"/>
  <c r="L521" i="1"/>
  <c r="K521" i="1" a="1"/>
  <c r="K521" i="1" s="1"/>
  <c r="U521" i="1" s="1"/>
  <c r="J521" i="1" a="1"/>
  <c r="J521" i="1" s="1"/>
  <c r="H521" i="1" a="1"/>
  <c r="H521" i="1" s="1"/>
  <c r="AS520" i="1"/>
  <c r="AA520" i="1" s="1"/>
  <c r="AO520" i="1"/>
  <c r="AN520" i="1"/>
  <c r="AM520" i="1"/>
  <c r="AL520" i="1"/>
  <c r="AK520" i="1"/>
  <c r="AJ520" i="1"/>
  <c r="AI520" i="1"/>
  <c r="AH520" i="1"/>
  <c r="AG520" i="1"/>
  <c r="AF520" i="1"/>
  <c r="AE520" i="1"/>
  <c r="AD520" i="1"/>
  <c r="AC520" i="1"/>
  <c r="AB520" i="1"/>
  <c r="Z520" i="1"/>
  <c r="W520" i="1"/>
  <c r="Y520" i="1" s="1"/>
  <c r="V520" i="1"/>
  <c r="T520" i="1"/>
  <c r="R520" i="1"/>
  <c r="Q520" i="1" a="1"/>
  <c r="Q520" i="1" s="1"/>
  <c r="P520" i="1"/>
  <c r="N520" i="1"/>
  <c r="L520" i="1"/>
  <c r="K520" i="1" a="1"/>
  <c r="K520" i="1" s="1"/>
  <c r="U520" i="1" s="1"/>
  <c r="J520" i="1" a="1"/>
  <c r="J520" i="1" s="1"/>
  <c r="H520" i="1" a="1"/>
  <c r="H520" i="1" s="1"/>
  <c r="AS519" i="1"/>
  <c r="AA519" i="1" s="1"/>
  <c r="AO519" i="1"/>
  <c r="AN519" i="1"/>
  <c r="AM519" i="1"/>
  <c r="AL519" i="1"/>
  <c r="AK519" i="1"/>
  <c r="AJ519" i="1"/>
  <c r="AI519" i="1"/>
  <c r="AH519" i="1"/>
  <c r="AG519" i="1"/>
  <c r="AF519" i="1"/>
  <c r="AE519" i="1"/>
  <c r="AD519" i="1"/>
  <c r="AC519" i="1"/>
  <c r="AB519" i="1"/>
  <c r="Z519" i="1"/>
  <c r="W519" i="1"/>
  <c r="Y519" i="1" s="1"/>
  <c r="V519" i="1"/>
  <c r="T519" i="1"/>
  <c r="R519" i="1"/>
  <c r="Q519" i="1" a="1"/>
  <c r="Q519" i="1" s="1"/>
  <c r="P519" i="1"/>
  <c r="N519" i="1"/>
  <c r="L519" i="1"/>
  <c r="K519" i="1" a="1"/>
  <c r="K519" i="1" s="1"/>
  <c r="U519" i="1" s="1"/>
  <c r="J519" i="1" a="1"/>
  <c r="J519" i="1" s="1"/>
  <c r="H519" i="1" a="1"/>
  <c r="H519" i="1" s="1"/>
  <c r="AS518" i="1"/>
  <c r="AA518" i="1" s="1"/>
  <c r="AO518" i="1"/>
  <c r="AN518" i="1"/>
  <c r="AM518" i="1"/>
  <c r="AL518" i="1"/>
  <c r="AK518" i="1"/>
  <c r="AJ518" i="1"/>
  <c r="AI518" i="1"/>
  <c r="AH518" i="1"/>
  <c r="AG518" i="1"/>
  <c r="AF518" i="1"/>
  <c r="AE518" i="1"/>
  <c r="AD518" i="1"/>
  <c r="AC518" i="1"/>
  <c r="AB518" i="1"/>
  <c r="Z518" i="1"/>
  <c r="W518" i="1"/>
  <c r="Y518" i="1" s="1"/>
  <c r="V518" i="1"/>
  <c r="T518" i="1"/>
  <c r="R518" i="1"/>
  <c r="Q518" i="1" a="1"/>
  <c r="Q518" i="1" s="1"/>
  <c r="P518" i="1"/>
  <c r="N518" i="1"/>
  <c r="L518" i="1"/>
  <c r="K518" i="1" a="1"/>
  <c r="K518" i="1" s="1"/>
  <c r="U518" i="1" s="1"/>
  <c r="J518" i="1" a="1"/>
  <c r="J518" i="1" s="1"/>
  <c r="H518" i="1" a="1"/>
  <c r="H518" i="1" s="1"/>
  <c r="AU517" i="1"/>
  <c r="AC517" i="1" s="1"/>
  <c r="AT517" i="1"/>
  <c r="AB517" i="1" s="1"/>
  <c r="AS517" i="1"/>
  <c r="AA517" i="1" s="1"/>
  <c r="AO517" i="1"/>
  <c r="AN517" i="1"/>
  <c r="AM517" i="1"/>
  <c r="AL517" i="1"/>
  <c r="AK517" i="1"/>
  <c r="AJ517" i="1"/>
  <c r="AI517" i="1"/>
  <c r="AH517" i="1"/>
  <c r="AG517" i="1"/>
  <c r="AF517" i="1"/>
  <c r="AE517" i="1"/>
  <c r="AD517" i="1"/>
  <c r="Z517" i="1"/>
  <c r="W517" i="1"/>
  <c r="Y517" i="1" s="1"/>
  <c r="V517" i="1"/>
  <c r="T517" i="1"/>
  <c r="R517" i="1"/>
  <c r="Q517" i="1" a="1"/>
  <c r="Q517" i="1" s="1"/>
  <c r="P517" i="1"/>
  <c r="N517" i="1"/>
  <c r="L517" i="1"/>
  <c r="K517" i="1" a="1"/>
  <c r="K517" i="1" s="1"/>
  <c r="U517" i="1" s="1"/>
  <c r="J517" i="1" a="1"/>
  <c r="J517" i="1" s="1"/>
  <c r="H517" i="1" a="1"/>
  <c r="H517" i="1" s="1"/>
  <c r="AU516" i="1"/>
  <c r="AC516" i="1" s="1"/>
  <c r="AT516" i="1"/>
  <c r="AB516" i="1" s="1"/>
  <c r="AS516" i="1"/>
  <c r="AA516" i="1" s="1"/>
  <c r="AO516" i="1"/>
  <c r="AN516" i="1"/>
  <c r="AM516" i="1"/>
  <c r="AL516" i="1"/>
  <c r="AK516" i="1"/>
  <c r="AJ516" i="1"/>
  <c r="AI516" i="1"/>
  <c r="AH516" i="1"/>
  <c r="AG516" i="1"/>
  <c r="AF516" i="1"/>
  <c r="AE516" i="1"/>
  <c r="AD516" i="1"/>
  <c r="Z516" i="1"/>
  <c r="W516" i="1"/>
  <c r="Y516" i="1" s="1"/>
  <c r="V516" i="1"/>
  <c r="T516" i="1"/>
  <c r="R516" i="1"/>
  <c r="Q516" i="1" a="1"/>
  <c r="Q516" i="1" s="1"/>
  <c r="P516" i="1"/>
  <c r="N516" i="1"/>
  <c r="L516" i="1"/>
  <c r="K516" i="1" a="1"/>
  <c r="K516" i="1" s="1"/>
  <c r="U516" i="1" s="1"/>
  <c r="J516" i="1" a="1"/>
  <c r="J516" i="1" s="1"/>
  <c r="H516" i="1" a="1"/>
  <c r="H516" i="1" s="1"/>
  <c r="AS515" i="1"/>
  <c r="AA515" i="1" s="1"/>
  <c r="AO515" i="1"/>
  <c r="AN515" i="1"/>
  <c r="AM515" i="1"/>
  <c r="AL515" i="1"/>
  <c r="AK515" i="1"/>
  <c r="AJ515" i="1"/>
  <c r="AI515" i="1"/>
  <c r="AH515" i="1"/>
  <c r="AG515" i="1"/>
  <c r="AF515" i="1"/>
  <c r="AE515" i="1"/>
  <c r="AD515" i="1"/>
  <c r="AC515" i="1"/>
  <c r="AB515" i="1"/>
  <c r="Z515" i="1"/>
  <c r="W515" i="1"/>
  <c r="Y515" i="1" s="1"/>
  <c r="V515" i="1"/>
  <c r="T515" i="1"/>
  <c r="R515" i="1"/>
  <c r="Q515" i="1" a="1"/>
  <c r="Q515" i="1" s="1"/>
  <c r="P515" i="1"/>
  <c r="N515" i="1"/>
  <c r="L515" i="1"/>
  <c r="K515" i="1" a="1"/>
  <c r="K515" i="1" s="1"/>
  <c r="U515" i="1" s="1"/>
  <c r="J515" i="1" a="1"/>
  <c r="J515" i="1" s="1"/>
  <c r="H515" i="1" a="1"/>
  <c r="H515" i="1" s="1"/>
  <c r="AS514" i="1"/>
  <c r="AA514" i="1" s="1"/>
  <c r="AO514" i="1"/>
  <c r="AN514" i="1"/>
  <c r="AM514" i="1"/>
  <c r="AL514" i="1"/>
  <c r="AK514" i="1"/>
  <c r="AJ514" i="1"/>
  <c r="AI514" i="1"/>
  <c r="AH514" i="1"/>
  <c r="AG514" i="1"/>
  <c r="AF514" i="1"/>
  <c r="AE514" i="1"/>
  <c r="AD514" i="1"/>
  <c r="AC514" i="1"/>
  <c r="AB514" i="1"/>
  <c r="Z514" i="1"/>
  <c r="W514" i="1"/>
  <c r="Y514" i="1" s="1"/>
  <c r="V514" i="1"/>
  <c r="T514" i="1"/>
  <c r="R514" i="1"/>
  <c r="Q514" i="1" a="1"/>
  <c r="Q514" i="1" s="1"/>
  <c r="P514" i="1"/>
  <c r="N514" i="1"/>
  <c r="L514" i="1"/>
  <c r="K514" i="1" a="1"/>
  <c r="K514" i="1" s="1"/>
  <c r="U514" i="1" s="1"/>
  <c r="J514" i="1" a="1"/>
  <c r="J514" i="1" s="1"/>
  <c r="H514" i="1" a="1"/>
  <c r="H514" i="1" s="1"/>
  <c r="AS513" i="1"/>
  <c r="AA513" i="1" s="1"/>
  <c r="AO513" i="1"/>
  <c r="AN513" i="1"/>
  <c r="AM513" i="1"/>
  <c r="AL513" i="1"/>
  <c r="AK513" i="1"/>
  <c r="AJ513" i="1"/>
  <c r="AI513" i="1"/>
  <c r="AH513" i="1"/>
  <c r="AG513" i="1"/>
  <c r="AF513" i="1"/>
  <c r="AE513" i="1"/>
  <c r="AD513" i="1"/>
  <c r="AC513" i="1"/>
  <c r="AB513" i="1"/>
  <c r="Z513" i="1"/>
  <c r="W513" i="1"/>
  <c r="Y513" i="1" s="1"/>
  <c r="V513" i="1"/>
  <c r="T513" i="1"/>
  <c r="R513" i="1"/>
  <c r="Q513" i="1" a="1"/>
  <c r="Q513" i="1" s="1"/>
  <c r="P513" i="1"/>
  <c r="N513" i="1"/>
  <c r="L513" i="1"/>
  <c r="K513" i="1" a="1"/>
  <c r="K513" i="1" s="1"/>
  <c r="U513" i="1" s="1"/>
  <c r="J513" i="1" a="1"/>
  <c r="J513" i="1" s="1"/>
  <c r="H513" i="1" a="1"/>
  <c r="H513" i="1" s="1"/>
  <c r="AU512" i="1"/>
  <c r="AC512" i="1" s="1"/>
  <c r="AT512" i="1"/>
  <c r="AB512" i="1" s="1"/>
  <c r="AS512" i="1"/>
  <c r="AA512" i="1" s="1"/>
  <c r="AO512" i="1"/>
  <c r="AN512" i="1"/>
  <c r="AM512" i="1"/>
  <c r="AL512" i="1"/>
  <c r="AK512" i="1"/>
  <c r="AJ512" i="1"/>
  <c r="AI512" i="1"/>
  <c r="AH512" i="1"/>
  <c r="AG512" i="1"/>
  <c r="AF512" i="1"/>
  <c r="AE512" i="1"/>
  <c r="AD512" i="1"/>
  <c r="Z512" i="1"/>
  <c r="W512" i="1"/>
  <c r="Y512" i="1" s="1"/>
  <c r="V512" i="1"/>
  <c r="T512" i="1"/>
  <c r="R512" i="1"/>
  <c r="Q512" i="1" a="1"/>
  <c r="Q512" i="1" s="1"/>
  <c r="P512" i="1"/>
  <c r="N512" i="1"/>
  <c r="L512" i="1"/>
  <c r="K512" i="1" a="1"/>
  <c r="K512" i="1" s="1"/>
  <c r="U512" i="1" s="1"/>
  <c r="J512" i="1" a="1"/>
  <c r="J512" i="1" s="1"/>
  <c r="H512" i="1" a="1"/>
  <c r="H512" i="1" s="1"/>
  <c r="AS511" i="1"/>
  <c r="AA511" i="1" s="1"/>
  <c r="AO511" i="1"/>
  <c r="AN511" i="1"/>
  <c r="AM511" i="1"/>
  <c r="AL511" i="1"/>
  <c r="AK511" i="1"/>
  <c r="AJ511" i="1"/>
  <c r="AI511" i="1"/>
  <c r="AH511" i="1"/>
  <c r="AG511" i="1"/>
  <c r="AF511" i="1"/>
  <c r="AE511" i="1"/>
  <c r="AD511" i="1"/>
  <c r="AC511" i="1"/>
  <c r="AB511" i="1"/>
  <c r="Z511" i="1"/>
  <c r="W511" i="1"/>
  <c r="Y511" i="1" s="1"/>
  <c r="V511" i="1"/>
  <c r="T511" i="1"/>
  <c r="R511" i="1"/>
  <c r="Q511" i="1" a="1"/>
  <c r="Q511" i="1" s="1"/>
  <c r="P511" i="1"/>
  <c r="N511" i="1"/>
  <c r="L511" i="1"/>
  <c r="K511" i="1" a="1"/>
  <c r="K511" i="1" s="1"/>
  <c r="U511" i="1" s="1"/>
  <c r="J511" i="1" a="1"/>
  <c r="J511" i="1" s="1"/>
  <c r="H511" i="1" a="1"/>
  <c r="H511" i="1" s="1"/>
  <c r="AS510" i="1"/>
  <c r="AA510" i="1" s="1"/>
  <c r="AO510" i="1"/>
  <c r="AN510" i="1"/>
  <c r="AM510" i="1"/>
  <c r="AL510" i="1"/>
  <c r="AK510" i="1"/>
  <c r="AJ510" i="1"/>
  <c r="AI510" i="1"/>
  <c r="AH510" i="1"/>
  <c r="AG510" i="1"/>
  <c r="AF510" i="1"/>
  <c r="AE510" i="1"/>
  <c r="AD510" i="1"/>
  <c r="AC510" i="1"/>
  <c r="AB510" i="1"/>
  <c r="Z510" i="1"/>
  <c r="W510" i="1"/>
  <c r="Y510" i="1" s="1"/>
  <c r="V510" i="1"/>
  <c r="T510" i="1"/>
  <c r="R510" i="1"/>
  <c r="Q510" i="1" a="1"/>
  <c r="Q510" i="1" s="1"/>
  <c r="P510" i="1"/>
  <c r="N510" i="1"/>
  <c r="L510" i="1"/>
  <c r="K510" i="1" a="1"/>
  <c r="K510" i="1" s="1"/>
  <c r="U510" i="1" s="1"/>
  <c r="J510" i="1" a="1"/>
  <c r="J510" i="1" s="1"/>
  <c r="H510" i="1" a="1"/>
  <c r="H510" i="1" s="1"/>
  <c r="AS509" i="1"/>
  <c r="AA509" i="1" s="1"/>
  <c r="AO509" i="1"/>
  <c r="AN509" i="1"/>
  <c r="AM509" i="1"/>
  <c r="AL509" i="1"/>
  <c r="AK509" i="1"/>
  <c r="AJ509" i="1"/>
  <c r="AI509" i="1"/>
  <c r="AH509" i="1"/>
  <c r="AG509" i="1"/>
  <c r="AF509" i="1"/>
  <c r="AE509" i="1"/>
  <c r="AD509" i="1"/>
  <c r="AC509" i="1"/>
  <c r="AB509" i="1"/>
  <c r="Z509" i="1"/>
  <c r="W509" i="1"/>
  <c r="X509" i="1" s="1"/>
  <c r="V509" i="1"/>
  <c r="T509" i="1"/>
  <c r="R509" i="1"/>
  <c r="Q509" i="1" a="1"/>
  <c r="Q509" i="1" s="1"/>
  <c r="P509" i="1"/>
  <c r="N509" i="1"/>
  <c r="L509" i="1"/>
  <c r="K509" i="1" a="1"/>
  <c r="K509" i="1" s="1"/>
  <c r="U509" i="1" s="1"/>
  <c r="J509" i="1" a="1"/>
  <c r="J509" i="1" s="1"/>
  <c r="H509" i="1" a="1"/>
  <c r="H509" i="1" s="1"/>
  <c r="AS508" i="1"/>
  <c r="AA508" i="1" s="1"/>
  <c r="AO508" i="1"/>
  <c r="AN508" i="1"/>
  <c r="AM508" i="1"/>
  <c r="AL508" i="1"/>
  <c r="AK508" i="1"/>
  <c r="AJ508" i="1"/>
  <c r="AI508" i="1"/>
  <c r="AH508" i="1"/>
  <c r="AG508" i="1"/>
  <c r="AF508" i="1"/>
  <c r="AE508" i="1"/>
  <c r="AD508" i="1"/>
  <c r="AC508" i="1"/>
  <c r="AB508" i="1"/>
  <c r="Z508" i="1"/>
  <c r="W508" i="1"/>
  <c r="Y508" i="1" s="1"/>
  <c r="V508" i="1"/>
  <c r="T508" i="1"/>
  <c r="R508" i="1"/>
  <c r="Q508" i="1" a="1"/>
  <c r="Q508" i="1" s="1"/>
  <c r="P508" i="1"/>
  <c r="N508" i="1"/>
  <c r="L508" i="1"/>
  <c r="K508" i="1" a="1"/>
  <c r="K508" i="1" s="1"/>
  <c r="U508" i="1" s="1"/>
  <c r="J508" i="1" a="1"/>
  <c r="J508" i="1" s="1"/>
  <c r="H508" i="1" a="1"/>
  <c r="H508" i="1" s="1"/>
  <c r="AS507" i="1"/>
  <c r="AA507" i="1" s="1"/>
  <c r="AO507" i="1"/>
  <c r="AN507" i="1"/>
  <c r="AM507" i="1"/>
  <c r="AL507" i="1"/>
  <c r="AK507" i="1"/>
  <c r="AJ507" i="1"/>
  <c r="AI507" i="1"/>
  <c r="AH507" i="1"/>
  <c r="AG507" i="1"/>
  <c r="AF507" i="1"/>
  <c r="AE507" i="1"/>
  <c r="AD507" i="1"/>
  <c r="AC507" i="1"/>
  <c r="AB507" i="1"/>
  <c r="Z507" i="1"/>
  <c r="W507" i="1"/>
  <c r="Y507" i="1" s="1"/>
  <c r="V507" i="1"/>
  <c r="T507" i="1"/>
  <c r="R507" i="1"/>
  <c r="Q507" i="1" a="1"/>
  <c r="Q507" i="1" s="1"/>
  <c r="P507" i="1"/>
  <c r="N507" i="1"/>
  <c r="L507" i="1"/>
  <c r="K507" i="1" a="1"/>
  <c r="K507" i="1" s="1"/>
  <c r="U507" i="1" s="1"/>
  <c r="J507" i="1" a="1"/>
  <c r="J507" i="1" s="1"/>
  <c r="H507" i="1" a="1"/>
  <c r="H507" i="1" s="1"/>
  <c r="AT506" i="1"/>
  <c r="AB506" i="1" s="1"/>
  <c r="AS506" i="1"/>
  <c r="AA506" i="1" s="1"/>
  <c r="AO506" i="1"/>
  <c r="AN506" i="1"/>
  <c r="AM506" i="1"/>
  <c r="AL506" i="1"/>
  <c r="AK506" i="1"/>
  <c r="AJ506" i="1"/>
  <c r="AI506" i="1"/>
  <c r="AH506" i="1"/>
  <c r="AG506" i="1"/>
  <c r="AF506" i="1"/>
  <c r="AE506" i="1"/>
  <c r="AD506" i="1"/>
  <c r="AC506" i="1"/>
  <c r="Z506" i="1"/>
  <c r="W506" i="1"/>
  <c r="Y506" i="1" s="1"/>
  <c r="V506" i="1"/>
  <c r="T506" i="1"/>
  <c r="R506" i="1"/>
  <c r="Q506" i="1" a="1"/>
  <c r="Q506" i="1" s="1"/>
  <c r="P506" i="1"/>
  <c r="N506" i="1"/>
  <c r="L506" i="1"/>
  <c r="K506" i="1" a="1"/>
  <c r="K506" i="1" s="1"/>
  <c r="U506" i="1" s="1"/>
  <c r="J506" i="1" a="1"/>
  <c r="J506" i="1" s="1"/>
  <c r="H506" i="1" a="1"/>
  <c r="H506" i="1" s="1"/>
  <c r="I506" i="1" s="1"/>
  <c r="S506" i="1" s="1"/>
  <c r="AS505" i="1"/>
  <c r="AA505" i="1" s="1"/>
  <c r="AO505" i="1"/>
  <c r="AN505" i="1"/>
  <c r="AM505" i="1"/>
  <c r="AL505" i="1"/>
  <c r="AK505" i="1"/>
  <c r="AJ505" i="1"/>
  <c r="AI505" i="1"/>
  <c r="AH505" i="1"/>
  <c r="AG505" i="1"/>
  <c r="AF505" i="1"/>
  <c r="AE505" i="1"/>
  <c r="AD505" i="1"/>
  <c r="AC505" i="1"/>
  <c r="AB505" i="1"/>
  <c r="Z505" i="1"/>
  <c r="W505" i="1"/>
  <c r="Y505" i="1" s="1"/>
  <c r="V505" i="1"/>
  <c r="T505" i="1"/>
  <c r="R505" i="1"/>
  <c r="Q505" i="1" a="1"/>
  <c r="Q505" i="1" s="1"/>
  <c r="P505" i="1"/>
  <c r="N505" i="1"/>
  <c r="L505" i="1"/>
  <c r="K505" i="1" a="1"/>
  <c r="K505" i="1" s="1"/>
  <c r="U505" i="1" s="1"/>
  <c r="J505" i="1" a="1"/>
  <c r="J505" i="1" s="1"/>
  <c r="H505" i="1" a="1"/>
  <c r="H505" i="1" s="1"/>
  <c r="AS504" i="1"/>
  <c r="AA504" i="1" s="1"/>
  <c r="AO504" i="1"/>
  <c r="AN504" i="1"/>
  <c r="AM504" i="1"/>
  <c r="AL504" i="1"/>
  <c r="AK504" i="1"/>
  <c r="AJ504" i="1"/>
  <c r="AI504" i="1"/>
  <c r="AH504" i="1"/>
  <c r="AG504" i="1"/>
  <c r="AF504" i="1"/>
  <c r="AE504" i="1"/>
  <c r="AD504" i="1"/>
  <c r="AC504" i="1"/>
  <c r="AB504" i="1"/>
  <c r="Z504" i="1"/>
  <c r="W504" i="1"/>
  <c r="X504" i="1" s="1"/>
  <c r="V504" i="1"/>
  <c r="T504" i="1"/>
  <c r="R504" i="1"/>
  <c r="Q504" i="1" a="1"/>
  <c r="Q504" i="1" s="1"/>
  <c r="P504" i="1"/>
  <c r="N504" i="1"/>
  <c r="L504" i="1"/>
  <c r="K504" i="1" a="1"/>
  <c r="K504" i="1" s="1"/>
  <c r="U504" i="1" s="1"/>
  <c r="J504" i="1" a="1"/>
  <c r="J504" i="1" s="1"/>
  <c r="H504" i="1" a="1"/>
  <c r="H504" i="1" s="1"/>
  <c r="AS503" i="1"/>
  <c r="AA503" i="1" s="1"/>
  <c r="AO503" i="1"/>
  <c r="AN503" i="1"/>
  <c r="AM503" i="1"/>
  <c r="AL503" i="1"/>
  <c r="AK503" i="1"/>
  <c r="AJ503" i="1"/>
  <c r="AI503" i="1"/>
  <c r="AH503" i="1"/>
  <c r="AG503" i="1"/>
  <c r="AF503" i="1"/>
  <c r="AE503" i="1"/>
  <c r="AD503" i="1"/>
  <c r="AC503" i="1"/>
  <c r="AB503" i="1"/>
  <c r="Z503" i="1"/>
  <c r="W503" i="1"/>
  <c r="Y503" i="1" s="1"/>
  <c r="V503" i="1"/>
  <c r="T503" i="1"/>
  <c r="R503" i="1"/>
  <c r="Q503" i="1" a="1"/>
  <c r="Q503" i="1" s="1"/>
  <c r="P503" i="1"/>
  <c r="N503" i="1"/>
  <c r="L503" i="1"/>
  <c r="K503" i="1" a="1"/>
  <c r="K503" i="1" s="1"/>
  <c r="U503" i="1" s="1"/>
  <c r="J503" i="1" a="1"/>
  <c r="J503" i="1" s="1"/>
  <c r="H503" i="1" a="1"/>
  <c r="H503" i="1" s="1"/>
  <c r="AS502" i="1"/>
  <c r="AA502" i="1" s="1"/>
  <c r="AO502" i="1"/>
  <c r="AN502" i="1"/>
  <c r="AM502" i="1"/>
  <c r="AL502" i="1"/>
  <c r="AK502" i="1"/>
  <c r="AJ502" i="1"/>
  <c r="AI502" i="1"/>
  <c r="AH502" i="1"/>
  <c r="AG502" i="1"/>
  <c r="AF502" i="1"/>
  <c r="AE502" i="1"/>
  <c r="AD502" i="1"/>
  <c r="AC502" i="1"/>
  <c r="AB502" i="1"/>
  <c r="Z502" i="1"/>
  <c r="W502" i="1"/>
  <c r="X502" i="1" s="1"/>
  <c r="V502" i="1"/>
  <c r="T502" i="1"/>
  <c r="R502" i="1"/>
  <c r="Q502" i="1" a="1"/>
  <c r="Q502" i="1" s="1"/>
  <c r="P502" i="1"/>
  <c r="N502" i="1"/>
  <c r="L502" i="1"/>
  <c r="K502" i="1" a="1"/>
  <c r="K502" i="1" s="1"/>
  <c r="U502" i="1" s="1"/>
  <c r="J502" i="1" a="1"/>
  <c r="J502" i="1" s="1"/>
  <c r="H502" i="1" a="1"/>
  <c r="H502" i="1" s="1"/>
  <c r="I502" i="1" s="1"/>
  <c r="S502" i="1" s="1"/>
  <c r="AS501" i="1"/>
  <c r="AA501" i="1" s="1"/>
  <c r="AO501" i="1"/>
  <c r="AN501" i="1"/>
  <c r="AM501" i="1"/>
  <c r="AL501" i="1"/>
  <c r="AK501" i="1"/>
  <c r="AJ501" i="1"/>
  <c r="AI501" i="1"/>
  <c r="AH501" i="1"/>
  <c r="AG501" i="1"/>
  <c r="AF501" i="1"/>
  <c r="AE501" i="1"/>
  <c r="AD501" i="1"/>
  <c r="AC501" i="1"/>
  <c r="AB501" i="1"/>
  <c r="Z501" i="1"/>
  <c r="W501" i="1"/>
  <c r="X501" i="1" s="1"/>
  <c r="V501" i="1"/>
  <c r="T501" i="1"/>
  <c r="R501" i="1"/>
  <c r="Q501" i="1" a="1"/>
  <c r="Q501" i="1" s="1"/>
  <c r="P501" i="1"/>
  <c r="N501" i="1"/>
  <c r="L501" i="1"/>
  <c r="K501" i="1" a="1"/>
  <c r="K501" i="1" s="1"/>
  <c r="U501" i="1" s="1"/>
  <c r="J501" i="1" a="1"/>
  <c r="J501" i="1" s="1"/>
  <c r="H501" i="1" a="1"/>
  <c r="H501" i="1" s="1"/>
  <c r="AS500" i="1"/>
  <c r="AA500" i="1" s="1"/>
  <c r="AO500" i="1"/>
  <c r="AN500" i="1"/>
  <c r="AM500" i="1"/>
  <c r="AL500" i="1"/>
  <c r="AK500" i="1"/>
  <c r="AJ500" i="1"/>
  <c r="AI500" i="1"/>
  <c r="AH500" i="1"/>
  <c r="AG500" i="1"/>
  <c r="AF500" i="1"/>
  <c r="AE500" i="1"/>
  <c r="AD500" i="1"/>
  <c r="AC500" i="1"/>
  <c r="AB500" i="1"/>
  <c r="Z500" i="1"/>
  <c r="W500" i="1"/>
  <c r="Y500" i="1" s="1"/>
  <c r="V500" i="1"/>
  <c r="T500" i="1"/>
  <c r="R500" i="1"/>
  <c r="Q500" i="1" a="1"/>
  <c r="Q500" i="1" s="1"/>
  <c r="P500" i="1"/>
  <c r="N500" i="1"/>
  <c r="L500" i="1"/>
  <c r="K500" i="1" a="1"/>
  <c r="K500" i="1" s="1"/>
  <c r="U500" i="1" s="1"/>
  <c r="J500" i="1" a="1"/>
  <c r="J500" i="1" s="1"/>
  <c r="H500" i="1" a="1"/>
  <c r="H500" i="1" s="1"/>
  <c r="AS499" i="1"/>
  <c r="AA499" i="1" s="1"/>
  <c r="AO499" i="1"/>
  <c r="AN499" i="1"/>
  <c r="AM499" i="1"/>
  <c r="AL499" i="1"/>
  <c r="AK499" i="1"/>
  <c r="AJ499" i="1"/>
  <c r="AI499" i="1"/>
  <c r="AH499" i="1"/>
  <c r="AG499" i="1"/>
  <c r="AF499" i="1"/>
  <c r="AE499" i="1"/>
  <c r="AD499" i="1"/>
  <c r="AC499" i="1"/>
  <c r="AB499" i="1"/>
  <c r="Z499" i="1"/>
  <c r="W499" i="1"/>
  <c r="Y499" i="1" s="1"/>
  <c r="V499" i="1"/>
  <c r="T499" i="1"/>
  <c r="R499" i="1"/>
  <c r="Q499" i="1" a="1"/>
  <c r="Q499" i="1" s="1"/>
  <c r="P499" i="1"/>
  <c r="N499" i="1"/>
  <c r="L499" i="1"/>
  <c r="K499" i="1" a="1"/>
  <c r="K499" i="1" s="1"/>
  <c r="U499" i="1" s="1"/>
  <c r="J499" i="1" a="1"/>
  <c r="J499" i="1" s="1"/>
  <c r="H499" i="1" a="1"/>
  <c r="H499" i="1" s="1"/>
  <c r="AS498" i="1"/>
  <c r="AA498" i="1" s="1"/>
  <c r="AO498" i="1"/>
  <c r="AN498" i="1"/>
  <c r="AM498" i="1"/>
  <c r="AL498" i="1"/>
  <c r="AK498" i="1"/>
  <c r="AJ498" i="1"/>
  <c r="AI498" i="1"/>
  <c r="AH498" i="1"/>
  <c r="AG498" i="1"/>
  <c r="AF498" i="1"/>
  <c r="AE498" i="1"/>
  <c r="AD498" i="1"/>
  <c r="AC498" i="1"/>
  <c r="AB498" i="1"/>
  <c r="Z498" i="1"/>
  <c r="W498" i="1"/>
  <c r="X498" i="1" s="1"/>
  <c r="V498" i="1"/>
  <c r="T498" i="1"/>
  <c r="R498" i="1"/>
  <c r="Q498" i="1" a="1"/>
  <c r="Q498" i="1" s="1"/>
  <c r="P498" i="1"/>
  <c r="N498" i="1"/>
  <c r="L498" i="1"/>
  <c r="K498" i="1" a="1"/>
  <c r="K498" i="1" s="1"/>
  <c r="U498" i="1" s="1"/>
  <c r="J498" i="1" a="1"/>
  <c r="J498" i="1" s="1"/>
  <c r="H498" i="1" a="1"/>
  <c r="H498" i="1" s="1"/>
  <c r="I498" i="1" s="1"/>
  <c r="S498" i="1" s="1"/>
  <c r="AU497" i="1"/>
  <c r="AC497" i="1" s="1"/>
  <c r="AT497" i="1"/>
  <c r="AB497" i="1" s="1"/>
  <c r="AS497" i="1"/>
  <c r="AA497" i="1" s="1"/>
  <c r="AO497" i="1"/>
  <c r="AN497" i="1"/>
  <c r="AM497" i="1"/>
  <c r="AL497" i="1"/>
  <c r="AK497" i="1"/>
  <c r="AJ497" i="1"/>
  <c r="AI497" i="1"/>
  <c r="AH497" i="1"/>
  <c r="AG497" i="1"/>
  <c r="AF497" i="1"/>
  <c r="AE497" i="1"/>
  <c r="AD497" i="1"/>
  <c r="Z497" i="1"/>
  <c r="W497" i="1"/>
  <c r="Y497" i="1" s="1"/>
  <c r="V497" i="1"/>
  <c r="T497" i="1"/>
  <c r="R497" i="1"/>
  <c r="Q497" i="1" a="1"/>
  <c r="Q497" i="1" s="1"/>
  <c r="P497" i="1"/>
  <c r="N497" i="1"/>
  <c r="L497" i="1"/>
  <c r="K497" i="1" a="1"/>
  <c r="K497" i="1" s="1"/>
  <c r="U497" i="1" s="1"/>
  <c r="J497" i="1" a="1"/>
  <c r="J497" i="1" s="1"/>
  <c r="H497" i="1" a="1"/>
  <c r="H497" i="1" s="1"/>
  <c r="AU496" i="1"/>
  <c r="AC496" i="1" s="1"/>
  <c r="AT496" i="1"/>
  <c r="AB496" i="1" s="1"/>
  <c r="AS496" i="1"/>
  <c r="AA496" i="1" s="1"/>
  <c r="AO496" i="1"/>
  <c r="AN496" i="1"/>
  <c r="AM496" i="1"/>
  <c r="AL496" i="1"/>
  <c r="AK496" i="1"/>
  <c r="AJ496" i="1"/>
  <c r="AI496" i="1"/>
  <c r="AH496" i="1"/>
  <c r="AG496" i="1"/>
  <c r="AF496" i="1"/>
  <c r="AE496" i="1"/>
  <c r="AD496" i="1"/>
  <c r="Z496" i="1"/>
  <c r="W496" i="1"/>
  <c r="Y496" i="1" s="1"/>
  <c r="V496" i="1"/>
  <c r="T496" i="1"/>
  <c r="R496" i="1"/>
  <c r="Q496" i="1" a="1"/>
  <c r="Q496" i="1" s="1"/>
  <c r="P496" i="1"/>
  <c r="N496" i="1"/>
  <c r="L496" i="1"/>
  <c r="K496" i="1" a="1"/>
  <c r="K496" i="1" s="1"/>
  <c r="U496" i="1" s="1"/>
  <c r="J496" i="1" a="1"/>
  <c r="J496" i="1" s="1"/>
  <c r="H496" i="1" a="1"/>
  <c r="H496" i="1" s="1"/>
  <c r="AS495" i="1"/>
  <c r="AA495" i="1" s="1"/>
  <c r="AO495" i="1"/>
  <c r="AN495" i="1"/>
  <c r="AM495" i="1"/>
  <c r="AL495" i="1"/>
  <c r="AK495" i="1"/>
  <c r="AJ495" i="1"/>
  <c r="AI495" i="1"/>
  <c r="AH495" i="1"/>
  <c r="AG495" i="1"/>
  <c r="AF495" i="1"/>
  <c r="AE495" i="1"/>
  <c r="AD495" i="1"/>
  <c r="AC495" i="1"/>
  <c r="AB495" i="1"/>
  <c r="Z495" i="1"/>
  <c r="W495" i="1"/>
  <c r="Y495" i="1" s="1"/>
  <c r="V495" i="1"/>
  <c r="T495" i="1"/>
  <c r="R495" i="1"/>
  <c r="Q495" i="1" a="1"/>
  <c r="Q495" i="1" s="1"/>
  <c r="P495" i="1"/>
  <c r="N495" i="1"/>
  <c r="L495" i="1"/>
  <c r="K495" i="1" a="1"/>
  <c r="K495" i="1" s="1"/>
  <c r="U495" i="1" s="1"/>
  <c r="J495" i="1" a="1"/>
  <c r="J495" i="1" s="1"/>
  <c r="H495" i="1" a="1"/>
  <c r="H495" i="1" s="1"/>
  <c r="AS494" i="1"/>
  <c r="AA494" i="1" s="1"/>
  <c r="AO494" i="1"/>
  <c r="AN494" i="1"/>
  <c r="AM494" i="1"/>
  <c r="AL494" i="1"/>
  <c r="AK494" i="1"/>
  <c r="AJ494" i="1"/>
  <c r="AI494" i="1"/>
  <c r="AH494" i="1"/>
  <c r="AG494" i="1"/>
  <c r="AF494" i="1"/>
  <c r="AE494" i="1"/>
  <c r="AD494" i="1"/>
  <c r="AC494" i="1"/>
  <c r="AB494" i="1"/>
  <c r="Z494" i="1"/>
  <c r="W494" i="1"/>
  <c r="X494" i="1" s="1"/>
  <c r="V494" i="1"/>
  <c r="T494" i="1"/>
  <c r="R494" i="1"/>
  <c r="Q494" i="1" a="1"/>
  <c r="Q494" i="1" s="1"/>
  <c r="P494" i="1"/>
  <c r="N494" i="1"/>
  <c r="L494" i="1"/>
  <c r="K494" i="1" a="1"/>
  <c r="K494" i="1" s="1"/>
  <c r="U494" i="1" s="1"/>
  <c r="J494" i="1" a="1"/>
  <c r="J494" i="1" s="1"/>
  <c r="H494" i="1" a="1"/>
  <c r="H494" i="1" s="1"/>
  <c r="AV493" i="1"/>
  <c r="AD493" i="1" s="1"/>
  <c r="AU493" i="1"/>
  <c r="AC493" i="1" s="1"/>
  <c r="AT493" i="1"/>
  <c r="AB493" i="1" s="1"/>
  <c r="AS493" i="1"/>
  <c r="AA493" i="1" s="1"/>
  <c r="AO493" i="1"/>
  <c r="AN493" i="1"/>
  <c r="AM493" i="1"/>
  <c r="AL493" i="1"/>
  <c r="AK493" i="1"/>
  <c r="AJ493" i="1"/>
  <c r="AI493" i="1"/>
  <c r="AH493" i="1"/>
  <c r="AG493" i="1"/>
  <c r="AF493" i="1"/>
  <c r="AE493" i="1"/>
  <c r="Z493" i="1"/>
  <c r="W493" i="1"/>
  <c r="Y493" i="1" s="1"/>
  <c r="V493" i="1"/>
  <c r="T493" i="1"/>
  <c r="R493" i="1"/>
  <c r="Q493" i="1" a="1"/>
  <c r="Q493" i="1" s="1"/>
  <c r="P493" i="1"/>
  <c r="N493" i="1"/>
  <c r="L493" i="1"/>
  <c r="K493" i="1" a="1"/>
  <c r="K493" i="1" s="1"/>
  <c r="U493" i="1" s="1"/>
  <c r="J493" i="1" a="1"/>
  <c r="J493" i="1" s="1"/>
  <c r="H493" i="1" a="1"/>
  <c r="H493" i="1" s="1"/>
  <c r="AS492" i="1"/>
  <c r="AA492" i="1" s="1"/>
  <c r="AO492" i="1"/>
  <c r="AN492" i="1"/>
  <c r="AM492" i="1"/>
  <c r="AL492" i="1"/>
  <c r="AK492" i="1"/>
  <c r="AJ492" i="1"/>
  <c r="AI492" i="1"/>
  <c r="AH492" i="1"/>
  <c r="AG492" i="1"/>
  <c r="AF492" i="1"/>
  <c r="AE492" i="1"/>
  <c r="AD492" i="1"/>
  <c r="AC492" i="1"/>
  <c r="AB492" i="1"/>
  <c r="Z492" i="1"/>
  <c r="W492" i="1"/>
  <c r="Y492" i="1" s="1"/>
  <c r="V492" i="1"/>
  <c r="T492" i="1"/>
  <c r="R492" i="1"/>
  <c r="Q492" i="1" a="1"/>
  <c r="Q492" i="1" s="1"/>
  <c r="P492" i="1"/>
  <c r="N492" i="1"/>
  <c r="L492" i="1"/>
  <c r="K492" i="1" a="1"/>
  <c r="K492" i="1" s="1"/>
  <c r="U492" i="1" s="1"/>
  <c r="J492" i="1" a="1"/>
  <c r="J492" i="1" s="1"/>
  <c r="H492" i="1" a="1"/>
  <c r="H492" i="1" s="1"/>
  <c r="AU491" i="1"/>
  <c r="AC491" i="1" s="1"/>
  <c r="AT491" i="1"/>
  <c r="AB491" i="1" s="1"/>
  <c r="AS491" i="1"/>
  <c r="AA491" i="1" s="1"/>
  <c r="AO491" i="1"/>
  <c r="AN491" i="1"/>
  <c r="AM491" i="1"/>
  <c r="AL491" i="1"/>
  <c r="AK491" i="1"/>
  <c r="AJ491" i="1"/>
  <c r="AI491" i="1"/>
  <c r="AH491" i="1"/>
  <c r="AG491" i="1"/>
  <c r="AF491" i="1"/>
  <c r="AE491" i="1"/>
  <c r="AD491" i="1"/>
  <c r="Z491" i="1"/>
  <c r="W491" i="1"/>
  <c r="Y491" i="1" s="1"/>
  <c r="V491" i="1"/>
  <c r="T491" i="1"/>
  <c r="R491" i="1"/>
  <c r="Q491" i="1" a="1"/>
  <c r="Q491" i="1" s="1"/>
  <c r="P491" i="1"/>
  <c r="N491" i="1"/>
  <c r="L491" i="1"/>
  <c r="K491" i="1" a="1"/>
  <c r="K491" i="1" s="1"/>
  <c r="U491" i="1" s="1"/>
  <c r="J491" i="1" a="1"/>
  <c r="J491" i="1" s="1"/>
  <c r="H491" i="1" a="1"/>
  <c r="H491" i="1" s="1"/>
  <c r="AU490" i="1"/>
  <c r="AC490" i="1" s="1"/>
  <c r="AT490" i="1"/>
  <c r="AB490" i="1" s="1"/>
  <c r="AS490" i="1"/>
  <c r="AA490" i="1" s="1"/>
  <c r="AO490" i="1"/>
  <c r="AN490" i="1"/>
  <c r="AM490" i="1"/>
  <c r="AL490" i="1"/>
  <c r="AK490" i="1"/>
  <c r="AJ490" i="1"/>
  <c r="AI490" i="1"/>
  <c r="AH490" i="1"/>
  <c r="AG490" i="1"/>
  <c r="AF490" i="1"/>
  <c r="AE490" i="1"/>
  <c r="AD490" i="1"/>
  <c r="Z490" i="1"/>
  <c r="W490" i="1"/>
  <c r="X490" i="1" s="1"/>
  <c r="V490" i="1"/>
  <c r="T490" i="1"/>
  <c r="R490" i="1"/>
  <c r="Q490" i="1" a="1"/>
  <c r="Q490" i="1" s="1"/>
  <c r="P490" i="1"/>
  <c r="N490" i="1"/>
  <c r="L490" i="1"/>
  <c r="K490" i="1" a="1"/>
  <c r="K490" i="1" s="1"/>
  <c r="U490" i="1" s="1"/>
  <c r="J490" i="1" a="1"/>
  <c r="J490" i="1" s="1"/>
  <c r="H490" i="1" a="1"/>
  <c r="H490" i="1" s="1"/>
  <c r="AY489" i="1"/>
  <c r="AG489" i="1" s="1"/>
  <c r="AX489" i="1"/>
  <c r="AF489" i="1" s="1"/>
  <c r="AW489" i="1"/>
  <c r="AE489" i="1" s="1"/>
  <c r="AV489" i="1"/>
  <c r="AD489" i="1" s="1"/>
  <c r="AU489" i="1"/>
  <c r="AC489" i="1" s="1"/>
  <c r="AT489" i="1"/>
  <c r="AB489" i="1" s="1"/>
  <c r="AS489" i="1"/>
  <c r="AA489" i="1" s="1"/>
  <c r="AO489" i="1"/>
  <c r="AN489" i="1"/>
  <c r="AM489" i="1"/>
  <c r="AL489" i="1"/>
  <c r="AK489" i="1"/>
  <c r="AJ489" i="1"/>
  <c r="AI489" i="1"/>
  <c r="AH489" i="1"/>
  <c r="Z489" i="1"/>
  <c r="W489" i="1"/>
  <c r="X489" i="1" s="1"/>
  <c r="V489" i="1"/>
  <c r="T489" i="1"/>
  <c r="R489" i="1"/>
  <c r="Q489" i="1" a="1"/>
  <c r="Q489" i="1" s="1"/>
  <c r="P489" i="1"/>
  <c r="N489" i="1"/>
  <c r="L489" i="1"/>
  <c r="K489" i="1" a="1"/>
  <c r="K489" i="1" s="1"/>
  <c r="U489" i="1" s="1"/>
  <c r="J489" i="1" a="1"/>
  <c r="J489" i="1" s="1"/>
  <c r="H489" i="1" a="1"/>
  <c r="H489" i="1" s="1"/>
  <c r="AS488" i="1"/>
  <c r="AA488" i="1" s="1"/>
  <c r="AO488" i="1"/>
  <c r="AN488" i="1"/>
  <c r="AM488" i="1"/>
  <c r="AL488" i="1"/>
  <c r="AK488" i="1"/>
  <c r="AJ488" i="1"/>
  <c r="AI488" i="1"/>
  <c r="AH488" i="1"/>
  <c r="AG488" i="1"/>
  <c r="AF488" i="1"/>
  <c r="AE488" i="1"/>
  <c r="AD488" i="1"/>
  <c r="AC488" i="1"/>
  <c r="AB488" i="1"/>
  <c r="Z488" i="1"/>
  <c r="X488" i="1"/>
  <c r="W488" i="1"/>
  <c r="Y488" i="1" s="1"/>
  <c r="V488" i="1"/>
  <c r="T488" i="1"/>
  <c r="R488" i="1"/>
  <c r="Q488" i="1" a="1"/>
  <c r="Q488" i="1" s="1"/>
  <c r="P488" i="1"/>
  <c r="N488" i="1"/>
  <c r="L488" i="1"/>
  <c r="K488" i="1" a="1"/>
  <c r="K488" i="1" s="1"/>
  <c r="U488" i="1" s="1"/>
  <c r="J488" i="1" a="1"/>
  <c r="J488" i="1" s="1"/>
  <c r="H488" i="1" a="1"/>
  <c r="H488" i="1" s="1"/>
  <c r="AV487" i="1"/>
  <c r="AD487" i="1" s="1"/>
  <c r="AU487" i="1"/>
  <c r="AC487" i="1" s="1"/>
  <c r="AT487" i="1"/>
  <c r="AB487" i="1" s="1"/>
  <c r="AS487" i="1"/>
  <c r="AA487" i="1" s="1"/>
  <c r="AO487" i="1"/>
  <c r="AN487" i="1"/>
  <c r="AM487" i="1"/>
  <c r="AL487" i="1"/>
  <c r="AK487" i="1"/>
  <c r="AJ487" i="1"/>
  <c r="AI487" i="1"/>
  <c r="AH487" i="1"/>
  <c r="AG487" i="1"/>
  <c r="AF487" i="1"/>
  <c r="AE487" i="1"/>
  <c r="Z487" i="1"/>
  <c r="W487" i="1"/>
  <c r="Y487" i="1" s="1"/>
  <c r="V487" i="1"/>
  <c r="T487" i="1"/>
  <c r="R487" i="1"/>
  <c r="Q487" i="1" a="1"/>
  <c r="Q487" i="1" s="1"/>
  <c r="P487" i="1"/>
  <c r="N487" i="1"/>
  <c r="L487" i="1"/>
  <c r="K487" i="1" a="1"/>
  <c r="K487" i="1" s="1"/>
  <c r="U487" i="1" s="1"/>
  <c r="J487" i="1" a="1"/>
  <c r="J487" i="1" s="1"/>
  <c r="H487" i="1" a="1"/>
  <c r="H487" i="1" s="1"/>
  <c r="AS486" i="1"/>
  <c r="AA486" i="1" s="1"/>
  <c r="AO486" i="1"/>
  <c r="AN486" i="1"/>
  <c r="AM486" i="1"/>
  <c r="AL486" i="1"/>
  <c r="AK486" i="1"/>
  <c r="AJ486" i="1"/>
  <c r="AI486" i="1"/>
  <c r="AH486" i="1"/>
  <c r="AG486" i="1"/>
  <c r="AF486" i="1"/>
  <c r="AE486" i="1"/>
  <c r="AD486" i="1"/>
  <c r="AC486" i="1"/>
  <c r="AB486" i="1"/>
  <c r="Z486" i="1"/>
  <c r="W486" i="1"/>
  <c r="X486" i="1" s="1"/>
  <c r="V486" i="1"/>
  <c r="T486" i="1"/>
  <c r="R486" i="1"/>
  <c r="Q486" i="1" a="1"/>
  <c r="Q486" i="1" s="1"/>
  <c r="P486" i="1"/>
  <c r="N486" i="1"/>
  <c r="L486" i="1"/>
  <c r="K486" i="1" a="1"/>
  <c r="K486" i="1" s="1"/>
  <c r="U486" i="1" s="1"/>
  <c r="J486" i="1" a="1"/>
  <c r="J486" i="1" s="1"/>
  <c r="H486" i="1" a="1"/>
  <c r="H486" i="1" s="1"/>
  <c r="I486" i="1" s="1"/>
  <c r="S486" i="1" s="1"/>
  <c r="AS485" i="1"/>
  <c r="AA485" i="1" s="1"/>
  <c r="AO485" i="1"/>
  <c r="AN485" i="1"/>
  <c r="AM485" i="1"/>
  <c r="AL485" i="1"/>
  <c r="AK485" i="1"/>
  <c r="AJ485" i="1"/>
  <c r="AI485" i="1"/>
  <c r="AH485" i="1"/>
  <c r="AG485" i="1"/>
  <c r="AF485" i="1"/>
  <c r="AE485" i="1"/>
  <c r="AD485" i="1"/>
  <c r="AC485" i="1"/>
  <c r="AB485" i="1"/>
  <c r="Z485" i="1"/>
  <c r="W485" i="1"/>
  <c r="Y485" i="1" s="1"/>
  <c r="V485" i="1"/>
  <c r="T485" i="1"/>
  <c r="R485" i="1"/>
  <c r="Q485" i="1" a="1"/>
  <c r="Q485" i="1" s="1"/>
  <c r="P485" i="1"/>
  <c r="N485" i="1"/>
  <c r="L485" i="1"/>
  <c r="K485" i="1" a="1"/>
  <c r="K485" i="1" s="1"/>
  <c r="U485" i="1" s="1"/>
  <c r="J485" i="1" a="1"/>
  <c r="J485" i="1" s="1"/>
  <c r="H485" i="1" a="1"/>
  <c r="H485" i="1" s="1"/>
  <c r="AS484" i="1"/>
  <c r="AA484" i="1" s="1"/>
  <c r="AO484" i="1"/>
  <c r="AN484" i="1"/>
  <c r="AM484" i="1"/>
  <c r="AL484" i="1"/>
  <c r="AK484" i="1"/>
  <c r="AJ484" i="1"/>
  <c r="AI484" i="1"/>
  <c r="AH484" i="1"/>
  <c r="AG484" i="1"/>
  <c r="AF484" i="1"/>
  <c r="AE484" i="1"/>
  <c r="AD484" i="1"/>
  <c r="AC484" i="1"/>
  <c r="AB484" i="1"/>
  <c r="Z484" i="1"/>
  <c r="W484" i="1"/>
  <c r="Y484" i="1" s="1"/>
  <c r="V484" i="1"/>
  <c r="T484" i="1"/>
  <c r="R484" i="1"/>
  <c r="Q484" i="1" a="1"/>
  <c r="Q484" i="1" s="1"/>
  <c r="P484" i="1"/>
  <c r="N484" i="1"/>
  <c r="L484" i="1"/>
  <c r="K484" i="1" a="1"/>
  <c r="K484" i="1" s="1"/>
  <c r="U484" i="1" s="1"/>
  <c r="J484" i="1" a="1"/>
  <c r="J484" i="1" s="1"/>
  <c r="H484" i="1" a="1"/>
  <c r="H484" i="1" s="1"/>
  <c r="AS483" i="1"/>
  <c r="AA483" i="1" s="1"/>
  <c r="AO483" i="1"/>
  <c r="AN483" i="1"/>
  <c r="AM483" i="1"/>
  <c r="AL483" i="1"/>
  <c r="AK483" i="1"/>
  <c r="AJ483" i="1"/>
  <c r="AI483" i="1"/>
  <c r="AH483" i="1"/>
  <c r="AG483" i="1"/>
  <c r="AF483" i="1"/>
  <c r="AE483" i="1"/>
  <c r="AD483" i="1"/>
  <c r="AC483" i="1"/>
  <c r="AB483" i="1"/>
  <c r="Z483" i="1"/>
  <c r="W483" i="1"/>
  <c r="Y483" i="1" s="1"/>
  <c r="V483" i="1"/>
  <c r="T483" i="1"/>
  <c r="R483" i="1"/>
  <c r="Q483" i="1" a="1"/>
  <c r="Q483" i="1" s="1"/>
  <c r="P483" i="1"/>
  <c r="N483" i="1"/>
  <c r="L483" i="1"/>
  <c r="K483" i="1" a="1"/>
  <c r="K483" i="1" s="1"/>
  <c r="U483" i="1" s="1"/>
  <c r="J483" i="1" a="1"/>
  <c r="J483" i="1" s="1"/>
  <c r="H483" i="1" a="1"/>
  <c r="H483" i="1" s="1"/>
  <c r="AS482" i="1"/>
  <c r="AA482" i="1" s="1"/>
  <c r="AO482" i="1"/>
  <c r="AN482" i="1"/>
  <c r="AM482" i="1"/>
  <c r="AL482" i="1"/>
  <c r="AK482" i="1"/>
  <c r="AJ482" i="1"/>
  <c r="AI482" i="1"/>
  <c r="AH482" i="1"/>
  <c r="AG482" i="1"/>
  <c r="AF482" i="1"/>
  <c r="AE482" i="1"/>
  <c r="AD482" i="1"/>
  <c r="AC482" i="1"/>
  <c r="AB482" i="1"/>
  <c r="Z482" i="1"/>
  <c r="W482" i="1"/>
  <c r="X482" i="1" s="1"/>
  <c r="V482" i="1"/>
  <c r="T482" i="1"/>
  <c r="R482" i="1"/>
  <c r="Q482" i="1" a="1"/>
  <c r="Q482" i="1" s="1"/>
  <c r="P482" i="1"/>
  <c r="N482" i="1"/>
  <c r="L482" i="1"/>
  <c r="K482" i="1" a="1"/>
  <c r="K482" i="1" s="1"/>
  <c r="U482" i="1" s="1"/>
  <c r="J482" i="1" a="1"/>
  <c r="J482" i="1" s="1"/>
  <c r="H482" i="1" a="1"/>
  <c r="H482" i="1" s="1"/>
  <c r="AV481" i="1"/>
  <c r="AD481" i="1" s="1"/>
  <c r="AU481" i="1"/>
  <c r="AC481" i="1" s="1"/>
  <c r="AT481" i="1"/>
  <c r="AB481" i="1" s="1"/>
  <c r="AS481" i="1"/>
  <c r="AA481" i="1" s="1"/>
  <c r="AO481" i="1"/>
  <c r="AN481" i="1"/>
  <c r="AM481" i="1"/>
  <c r="AL481" i="1"/>
  <c r="AK481" i="1"/>
  <c r="AJ481" i="1"/>
  <c r="AI481" i="1"/>
  <c r="AH481" i="1"/>
  <c r="AG481" i="1"/>
  <c r="AF481" i="1"/>
  <c r="AE481" i="1"/>
  <c r="Z481" i="1"/>
  <c r="W481" i="1"/>
  <c r="Y481" i="1" s="1"/>
  <c r="V481" i="1"/>
  <c r="T481" i="1"/>
  <c r="R481" i="1"/>
  <c r="Q481" i="1" a="1"/>
  <c r="Q481" i="1" s="1"/>
  <c r="P481" i="1"/>
  <c r="N481" i="1"/>
  <c r="L481" i="1"/>
  <c r="K481" i="1" a="1"/>
  <c r="K481" i="1" s="1"/>
  <c r="U481" i="1" s="1"/>
  <c r="J481" i="1" a="1"/>
  <c r="J481" i="1" s="1"/>
  <c r="H481" i="1" a="1"/>
  <c r="H481" i="1" s="1"/>
  <c r="AS480" i="1"/>
  <c r="AA480" i="1" s="1"/>
  <c r="AO480" i="1"/>
  <c r="AN480" i="1"/>
  <c r="AM480" i="1"/>
  <c r="AL480" i="1"/>
  <c r="AK480" i="1"/>
  <c r="AJ480" i="1"/>
  <c r="AI480" i="1"/>
  <c r="AH480" i="1"/>
  <c r="AG480" i="1"/>
  <c r="AF480" i="1"/>
  <c r="AE480" i="1"/>
  <c r="AD480" i="1"/>
  <c r="AC480" i="1"/>
  <c r="AB480" i="1"/>
  <c r="Z480" i="1"/>
  <c r="W480" i="1"/>
  <c r="Y480" i="1" s="1"/>
  <c r="V480" i="1"/>
  <c r="T480" i="1"/>
  <c r="R480" i="1"/>
  <c r="Q480" i="1" a="1"/>
  <c r="Q480" i="1" s="1"/>
  <c r="P480" i="1"/>
  <c r="N480" i="1"/>
  <c r="L480" i="1"/>
  <c r="K480" i="1" a="1"/>
  <c r="K480" i="1" s="1"/>
  <c r="U480" i="1" s="1"/>
  <c r="J480" i="1" a="1"/>
  <c r="J480" i="1" s="1"/>
  <c r="H480" i="1" a="1"/>
  <c r="H480" i="1" s="1"/>
  <c r="AS479" i="1"/>
  <c r="AA479" i="1" s="1"/>
  <c r="AO479" i="1"/>
  <c r="AN479" i="1"/>
  <c r="AM479" i="1"/>
  <c r="AL479" i="1"/>
  <c r="AK479" i="1"/>
  <c r="AJ479" i="1"/>
  <c r="AI479" i="1"/>
  <c r="AH479" i="1"/>
  <c r="AG479" i="1"/>
  <c r="AF479" i="1"/>
  <c r="AE479" i="1"/>
  <c r="AD479" i="1"/>
  <c r="AC479" i="1"/>
  <c r="AB479" i="1"/>
  <c r="Z479" i="1"/>
  <c r="W479" i="1"/>
  <c r="X479" i="1" s="1"/>
  <c r="V479" i="1"/>
  <c r="T479" i="1"/>
  <c r="R479" i="1"/>
  <c r="Q479" i="1" a="1"/>
  <c r="Q479" i="1" s="1"/>
  <c r="P479" i="1"/>
  <c r="N479" i="1"/>
  <c r="L479" i="1"/>
  <c r="K479" i="1" a="1"/>
  <c r="K479" i="1" s="1"/>
  <c r="U479" i="1" s="1"/>
  <c r="J479" i="1" a="1"/>
  <c r="J479" i="1" s="1"/>
  <c r="H479" i="1" a="1"/>
  <c r="H479" i="1" s="1"/>
  <c r="AS478" i="1"/>
  <c r="AA478" i="1" s="1"/>
  <c r="AO478" i="1"/>
  <c r="AN478" i="1"/>
  <c r="AM478" i="1"/>
  <c r="AL478" i="1"/>
  <c r="AK478" i="1"/>
  <c r="AJ478" i="1"/>
  <c r="AI478" i="1"/>
  <c r="AH478" i="1"/>
  <c r="AG478" i="1"/>
  <c r="AF478" i="1"/>
  <c r="AE478" i="1"/>
  <c r="AD478" i="1"/>
  <c r="AC478" i="1"/>
  <c r="AB478" i="1"/>
  <c r="Z478" i="1"/>
  <c r="W478" i="1"/>
  <c r="Y478" i="1" s="1"/>
  <c r="V478" i="1"/>
  <c r="AS477" i="1"/>
  <c r="AA477" i="1" s="1"/>
  <c r="AO477" i="1"/>
  <c r="AN477" i="1"/>
  <c r="AM477" i="1"/>
  <c r="AL477" i="1"/>
  <c r="AK477" i="1"/>
  <c r="AJ477" i="1"/>
  <c r="AI477" i="1"/>
  <c r="AH477" i="1"/>
  <c r="AG477" i="1"/>
  <c r="AF477" i="1"/>
  <c r="AE477" i="1"/>
  <c r="AD477" i="1"/>
  <c r="AC477" i="1"/>
  <c r="AB477" i="1"/>
  <c r="Z477" i="1"/>
  <c r="W477" i="1"/>
  <c r="X477" i="1" s="1"/>
  <c r="V477" i="1"/>
  <c r="T477" i="1"/>
  <c r="R477" i="1"/>
  <c r="Q477" i="1" a="1"/>
  <c r="Q477" i="1" s="1"/>
  <c r="P477" i="1"/>
  <c r="N477" i="1"/>
  <c r="L477" i="1"/>
  <c r="K477" i="1" a="1"/>
  <c r="K477" i="1" s="1"/>
  <c r="U477" i="1" s="1"/>
  <c r="J477" i="1" a="1"/>
  <c r="J477" i="1" s="1"/>
  <c r="H477" i="1" a="1"/>
  <c r="H477" i="1" s="1"/>
  <c r="Z476" i="1"/>
  <c r="W476" i="1"/>
  <c r="X476" i="1" s="1"/>
  <c r="V476" i="1"/>
  <c r="AS475" i="1"/>
  <c r="AA475" i="1" s="1"/>
  <c r="AO475" i="1"/>
  <c r="AN475" i="1"/>
  <c r="AM475" i="1"/>
  <c r="AL475" i="1"/>
  <c r="AK475" i="1"/>
  <c r="AJ475" i="1"/>
  <c r="AI475" i="1"/>
  <c r="AH475" i="1"/>
  <c r="AG475" i="1"/>
  <c r="AF475" i="1"/>
  <c r="AE475" i="1"/>
  <c r="AD475" i="1"/>
  <c r="AC475" i="1"/>
  <c r="AB475" i="1"/>
  <c r="Z475" i="1"/>
  <c r="Y475" i="1"/>
  <c r="W475" i="1"/>
  <c r="X475" i="1" s="1"/>
  <c r="V475" i="1"/>
  <c r="T475" i="1"/>
  <c r="R475" i="1"/>
  <c r="Q475" i="1" a="1"/>
  <c r="Q475" i="1" s="1"/>
  <c r="P475" i="1"/>
  <c r="N475" i="1"/>
  <c r="L475" i="1"/>
  <c r="K475" i="1" a="1"/>
  <c r="K475" i="1" s="1"/>
  <c r="U475" i="1" s="1"/>
  <c r="J475" i="1" a="1"/>
  <c r="J475" i="1" s="1"/>
  <c r="H475" i="1" a="1"/>
  <c r="H475" i="1" s="1"/>
  <c r="I475" i="1" s="1"/>
  <c r="S475" i="1" s="1"/>
  <c r="AZ474" i="1"/>
  <c r="AH474" i="1" s="1"/>
  <c r="AY474" i="1"/>
  <c r="AG474" i="1" s="1"/>
  <c r="AX474" i="1"/>
  <c r="AF474" i="1" s="1"/>
  <c r="AW474" i="1"/>
  <c r="AE474" i="1" s="1"/>
  <c r="AV474" i="1"/>
  <c r="AD474" i="1" s="1"/>
  <c r="AU474" i="1"/>
  <c r="AC474" i="1" s="1"/>
  <c r="AT474" i="1"/>
  <c r="AB474" i="1" s="1"/>
  <c r="AS474" i="1"/>
  <c r="AA474" i="1" s="1"/>
  <c r="AO474" i="1"/>
  <c r="AN474" i="1"/>
  <c r="AM474" i="1"/>
  <c r="AL474" i="1"/>
  <c r="AK474" i="1"/>
  <c r="AJ474" i="1"/>
  <c r="AI474" i="1"/>
  <c r="Z474" i="1"/>
  <c r="W474" i="1"/>
  <c r="Y474" i="1" s="1"/>
  <c r="V474" i="1"/>
  <c r="T474" i="1"/>
  <c r="R474" i="1"/>
  <c r="Q474" i="1" a="1"/>
  <c r="Q474" i="1" s="1"/>
  <c r="P474" i="1"/>
  <c r="N474" i="1"/>
  <c r="L474" i="1"/>
  <c r="K474" i="1" a="1"/>
  <c r="K474" i="1" s="1"/>
  <c r="U474" i="1" s="1"/>
  <c r="J474" i="1" a="1"/>
  <c r="J474" i="1" s="1"/>
  <c r="H474" i="1" a="1"/>
  <c r="H474" i="1" s="1"/>
  <c r="AU473" i="1"/>
  <c r="AC473" i="1" s="1"/>
  <c r="AT473" i="1"/>
  <c r="AB473" i="1" s="1"/>
  <c r="AS473" i="1"/>
  <c r="AA473" i="1" s="1"/>
  <c r="AO473" i="1"/>
  <c r="AN473" i="1"/>
  <c r="AM473" i="1"/>
  <c r="AL473" i="1"/>
  <c r="AK473" i="1"/>
  <c r="AJ473" i="1"/>
  <c r="AI473" i="1"/>
  <c r="AH473" i="1"/>
  <c r="AG473" i="1"/>
  <c r="AF473" i="1"/>
  <c r="AE473" i="1"/>
  <c r="AD473" i="1"/>
  <c r="Z473" i="1"/>
  <c r="W473" i="1"/>
  <c r="X473" i="1" s="1"/>
  <c r="V473" i="1"/>
  <c r="T473" i="1"/>
  <c r="R473" i="1"/>
  <c r="Q473" i="1" a="1"/>
  <c r="Q473" i="1" s="1"/>
  <c r="P473" i="1"/>
  <c r="N473" i="1"/>
  <c r="L473" i="1"/>
  <c r="K473" i="1" a="1"/>
  <c r="K473" i="1" s="1"/>
  <c r="U473" i="1" s="1"/>
  <c r="J473" i="1" a="1"/>
  <c r="J473" i="1" s="1"/>
  <c r="H473" i="1" a="1"/>
  <c r="H473" i="1" s="1"/>
  <c r="AS472" i="1"/>
  <c r="AA472" i="1" s="1"/>
  <c r="AO472" i="1"/>
  <c r="AN472" i="1"/>
  <c r="AM472" i="1"/>
  <c r="AL472" i="1"/>
  <c r="AK472" i="1"/>
  <c r="AJ472" i="1"/>
  <c r="AI472" i="1"/>
  <c r="AH472" i="1"/>
  <c r="AG472" i="1"/>
  <c r="AF472" i="1"/>
  <c r="AE472" i="1"/>
  <c r="AD472" i="1"/>
  <c r="AC472" i="1"/>
  <c r="AB472" i="1"/>
  <c r="Z472" i="1"/>
  <c r="W472" i="1"/>
  <c r="Y472" i="1" s="1"/>
  <c r="V472" i="1"/>
  <c r="T472" i="1"/>
  <c r="R472" i="1"/>
  <c r="Q472" i="1" a="1"/>
  <c r="Q472" i="1" s="1"/>
  <c r="P472" i="1"/>
  <c r="N472" i="1"/>
  <c r="L472" i="1"/>
  <c r="K472" i="1" a="1"/>
  <c r="K472" i="1" s="1"/>
  <c r="U472" i="1" s="1"/>
  <c r="J472" i="1" a="1"/>
  <c r="J472" i="1" s="1"/>
  <c r="H472" i="1" a="1"/>
  <c r="H472" i="1" s="1"/>
  <c r="AS471" i="1"/>
  <c r="AA471" i="1" s="1"/>
  <c r="AO471" i="1"/>
  <c r="AN471" i="1"/>
  <c r="AM471" i="1"/>
  <c r="AL471" i="1"/>
  <c r="AK471" i="1"/>
  <c r="AJ471" i="1"/>
  <c r="AI471" i="1"/>
  <c r="AH471" i="1"/>
  <c r="AG471" i="1"/>
  <c r="AF471" i="1"/>
  <c r="AE471" i="1"/>
  <c r="AD471" i="1"/>
  <c r="AC471" i="1"/>
  <c r="AB471" i="1"/>
  <c r="Z471" i="1"/>
  <c r="W471" i="1"/>
  <c r="Y471" i="1" s="1"/>
  <c r="V471" i="1"/>
  <c r="T471" i="1"/>
  <c r="R471" i="1"/>
  <c r="Q471" i="1" a="1"/>
  <c r="Q471" i="1" s="1"/>
  <c r="P471" i="1"/>
  <c r="N471" i="1"/>
  <c r="L471" i="1"/>
  <c r="K471" i="1" a="1"/>
  <c r="K471" i="1" s="1"/>
  <c r="U471" i="1" s="1"/>
  <c r="J471" i="1" a="1"/>
  <c r="J471" i="1" s="1"/>
  <c r="H471" i="1" a="1"/>
  <c r="H471" i="1" s="1"/>
  <c r="AS470" i="1"/>
  <c r="AA470" i="1" s="1"/>
  <c r="AO470" i="1"/>
  <c r="AN470" i="1"/>
  <c r="AM470" i="1"/>
  <c r="AL470" i="1"/>
  <c r="AK470" i="1"/>
  <c r="AJ470" i="1"/>
  <c r="AI470" i="1"/>
  <c r="AH470" i="1"/>
  <c r="AG470" i="1"/>
  <c r="AF470" i="1"/>
  <c r="AE470" i="1"/>
  <c r="AD470" i="1"/>
  <c r="AC470" i="1"/>
  <c r="AB470" i="1"/>
  <c r="Z470" i="1"/>
  <c r="W470" i="1"/>
  <c r="X470" i="1" s="1"/>
  <c r="V470" i="1"/>
  <c r="T470" i="1"/>
  <c r="R470" i="1"/>
  <c r="Q470" i="1" a="1"/>
  <c r="Q470" i="1" s="1"/>
  <c r="P470" i="1"/>
  <c r="N470" i="1"/>
  <c r="L470" i="1"/>
  <c r="K470" i="1" a="1"/>
  <c r="K470" i="1" s="1"/>
  <c r="U470" i="1" s="1"/>
  <c r="J470" i="1" a="1"/>
  <c r="J470" i="1" s="1"/>
  <c r="H470" i="1" a="1"/>
  <c r="H470" i="1" s="1"/>
  <c r="AS469" i="1"/>
  <c r="AA469" i="1" s="1"/>
  <c r="AO469" i="1"/>
  <c r="AN469" i="1"/>
  <c r="AM469" i="1"/>
  <c r="AL469" i="1"/>
  <c r="AK469" i="1"/>
  <c r="AJ469" i="1"/>
  <c r="AI469" i="1"/>
  <c r="AH469" i="1"/>
  <c r="AG469" i="1"/>
  <c r="AF469" i="1"/>
  <c r="AE469" i="1"/>
  <c r="AD469" i="1"/>
  <c r="AC469" i="1"/>
  <c r="AB469" i="1"/>
  <c r="Z469" i="1"/>
  <c r="W469" i="1"/>
  <c r="X469" i="1" s="1"/>
  <c r="V469" i="1"/>
  <c r="T469" i="1"/>
  <c r="R469" i="1"/>
  <c r="Q469" i="1" a="1"/>
  <c r="Q469" i="1" s="1"/>
  <c r="P469" i="1"/>
  <c r="N469" i="1"/>
  <c r="L469" i="1"/>
  <c r="K469" i="1" a="1"/>
  <c r="K469" i="1" s="1"/>
  <c r="U469" i="1" s="1"/>
  <c r="J469" i="1" a="1"/>
  <c r="J469" i="1" s="1"/>
  <c r="H469" i="1" a="1"/>
  <c r="H469" i="1" s="1"/>
  <c r="Z468" i="1"/>
  <c r="W468" i="1"/>
  <c r="Y468" i="1" s="1"/>
  <c r="V468" i="1"/>
  <c r="AS467" i="1"/>
  <c r="AA467" i="1" s="1"/>
  <c r="AO467" i="1"/>
  <c r="AN467" i="1"/>
  <c r="AM467" i="1"/>
  <c r="AL467" i="1"/>
  <c r="AK467" i="1"/>
  <c r="AJ467" i="1"/>
  <c r="AI467" i="1"/>
  <c r="AH467" i="1"/>
  <c r="AG467" i="1"/>
  <c r="AF467" i="1"/>
  <c r="AE467" i="1"/>
  <c r="AD467" i="1"/>
  <c r="AC467" i="1"/>
  <c r="AB467" i="1"/>
  <c r="Z467" i="1"/>
  <c r="W467" i="1"/>
  <c r="X467" i="1" s="1"/>
  <c r="V467" i="1"/>
  <c r="T467" i="1"/>
  <c r="R467" i="1"/>
  <c r="Q467" i="1" a="1"/>
  <c r="Q467" i="1" s="1"/>
  <c r="P467" i="1"/>
  <c r="N467" i="1"/>
  <c r="L467" i="1"/>
  <c r="K467" i="1" a="1"/>
  <c r="K467" i="1" s="1"/>
  <c r="U467" i="1" s="1"/>
  <c r="J467" i="1" a="1"/>
  <c r="J467" i="1" s="1"/>
  <c r="H467" i="1" a="1"/>
  <c r="H467" i="1" s="1"/>
  <c r="AS466" i="1"/>
  <c r="AA466" i="1" s="1"/>
  <c r="AO466" i="1"/>
  <c r="AN466" i="1"/>
  <c r="AM466" i="1"/>
  <c r="AL466" i="1"/>
  <c r="AK466" i="1"/>
  <c r="AJ466" i="1"/>
  <c r="AI466" i="1"/>
  <c r="AH466" i="1"/>
  <c r="AG466" i="1"/>
  <c r="AF466" i="1"/>
  <c r="AE466" i="1"/>
  <c r="AD466" i="1"/>
  <c r="AC466" i="1"/>
  <c r="AB466" i="1"/>
  <c r="Z466" i="1"/>
  <c r="W466" i="1"/>
  <c r="Y466" i="1" s="1"/>
  <c r="V466" i="1"/>
  <c r="T466" i="1"/>
  <c r="R466" i="1"/>
  <c r="Q466" i="1" a="1"/>
  <c r="Q466" i="1" s="1"/>
  <c r="P466" i="1"/>
  <c r="N466" i="1"/>
  <c r="L466" i="1"/>
  <c r="K466" i="1" a="1"/>
  <c r="K466" i="1" s="1"/>
  <c r="U466" i="1" s="1"/>
  <c r="J466" i="1" a="1"/>
  <c r="J466" i="1" s="1"/>
  <c r="H466" i="1" a="1"/>
  <c r="H466" i="1" s="1"/>
  <c r="AS465" i="1"/>
  <c r="AA465" i="1" s="1"/>
  <c r="AO465" i="1"/>
  <c r="AN465" i="1"/>
  <c r="AM465" i="1"/>
  <c r="AL465" i="1"/>
  <c r="AK465" i="1"/>
  <c r="AJ465" i="1"/>
  <c r="AI465" i="1"/>
  <c r="AH465" i="1"/>
  <c r="AG465" i="1"/>
  <c r="AF465" i="1"/>
  <c r="AE465" i="1"/>
  <c r="AD465" i="1"/>
  <c r="AC465" i="1"/>
  <c r="AB465" i="1"/>
  <c r="Z465" i="1"/>
  <c r="W465" i="1"/>
  <c r="Y465" i="1" s="1"/>
  <c r="V465" i="1"/>
  <c r="T465" i="1"/>
  <c r="R465" i="1"/>
  <c r="Q465" i="1" a="1"/>
  <c r="Q465" i="1" s="1"/>
  <c r="P465" i="1"/>
  <c r="N465" i="1"/>
  <c r="L465" i="1"/>
  <c r="K465" i="1" a="1"/>
  <c r="K465" i="1" s="1"/>
  <c r="U465" i="1" s="1"/>
  <c r="J465" i="1" a="1"/>
  <c r="J465" i="1" s="1"/>
  <c r="H465" i="1" a="1"/>
  <c r="H465" i="1" s="1"/>
  <c r="AS464" i="1"/>
  <c r="AA464" i="1" s="1"/>
  <c r="AO464" i="1"/>
  <c r="AN464" i="1"/>
  <c r="AM464" i="1"/>
  <c r="AL464" i="1"/>
  <c r="AK464" i="1"/>
  <c r="AJ464" i="1"/>
  <c r="AI464" i="1"/>
  <c r="AH464" i="1"/>
  <c r="AG464" i="1"/>
  <c r="AF464" i="1"/>
  <c r="AE464" i="1"/>
  <c r="AD464" i="1"/>
  <c r="AC464" i="1"/>
  <c r="AB464" i="1"/>
  <c r="Z464" i="1"/>
  <c r="W464" i="1"/>
  <c r="X464" i="1" s="1"/>
  <c r="V464" i="1"/>
  <c r="T464" i="1"/>
  <c r="R464" i="1"/>
  <c r="Q464" i="1" a="1"/>
  <c r="Q464" i="1" s="1"/>
  <c r="P464" i="1"/>
  <c r="N464" i="1"/>
  <c r="L464" i="1"/>
  <c r="K464" i="1" a="1"/>
  <c r="K464" i="1" s="1"/>
  <c r="U464" i="1" s="1"/>
  <c r="J464" i="1" a="1"/>
  <c r="J464" i="1" s="1"/>
  <c r="H464" i="1" a="1"/>
  <c r="H464" i="1" s="1"/>
  <c r="I464" i="1" s="1"/>
  <c r="S464" i="1" s="1"/>
  <c r="AS463" i="1"/>
  <c r="AA463" i="1" s="1"/>
  <c r="AO463" i="1"/>
  <c r="AN463" i="1"/>
  <c r="AM463" i="1"/>
  <c r="AL463" i="1"/>
  <c r="AK463" i="1"/>
  <c r="AJ463" i="1"/>
  <c r="AI463" i="1"/>
  <c r="AH463" i="1"/>
  <c r="AG463" i="1"/>
  <c r="AF463" i="1"/>
  <c r="AE463" i="1"/>
  <c r="AD463" i="1"/>
  <c r="AC463" i="1"/>
  <c r="AB463" i="1"/>
  <c r="Z463" i="1"/>
  <c r="W463" i="1"/>
  <c r="Y463" i="1" s="1"/>
  <c r="V463" i="1"/>
  <c r="T463" i="1"/>
  <c r="R463" i="1"/>
  <c r="Q463" i="1" a="1"/>
  <c r="Q463" i="1" s="1"/>
  <c r="P463" i="1"/>
  <c r="N463" i="1"/>
  <c r="L463" i="1"/>
  <c r="K463" i="1" a="1"/>
  <c r="K463" i="1" s="1"/>
  <c r="U463" i="1" s="1"/>
  <c r="J463" i="1" a="1"/>
  <c r="J463" i="1" s="1"/>
  <c r="H463" i="1" a="1"/>
  <c r="H463" i="1" s="1"/>
  <c r="AT462" i="1"/>
  <c r="AB462" i="1" s="1"/>
  <c r="AS462" i="1"/>
  <c r="AA462" i="1" s="1"/>
  <c r="AO462" i="1"/>
  <c r="AN462" i="1"/>
  <c r="AM462" i="1"/>
  <c r="AL462" i="1"/>
  <c r="AK462" i="1"/>
  <c r="AJ462" i="1"/>
  <c r="AI462" i="1"/>
  <c r="AH462" i="1"/>
  <c r="AG462" i="1"/>
  <c r="AF462" i="1"/>
  <c r="AE462" i="1"/>
  <c r="AD462" i="1"/>
  <c r="AC462" i="1"/>
  <c r="Z462" i="1"/>
  <c r="Y462" i="1"/>
  <c r="W462" i="1"/>
  <c r="X462" i="1" s="1"/>
  <c r="V462" i="1"/>
  <c r="T462" i="1"/>
  <c r="R462" i="1"/>
  <c r="Q462" i="1" a="1"/>
  <c r="Q462" i="1" s="1"/>
  <c r="P462" i="1"/>
  <c r="N462" i="1"/>
  <c r="L462" i="1"/>
  <c r="K462" i="1" a="1"/>
  <c r="K462" i="1" s="1"/>
  <c r="U462" i="1" s="1"/>
  <c r="J462" i="1" a="1"/>
  <c r="J462" i="1" s="1"/>
  <c r="H462" i="1" a="1"/>
  <c r="H462" i="1" s="1"/>
  <c r="AS461" i="1"/>
  <c r="AA461" i="1" s="1"/>
  <c r="AO461" i="1"/>
  <c r="AN461" i="1"/>
  <c r="AM461" i="1"/>
  <c r="AL461" i="1"/>
  <c r="AK461" i="1"/>
  <c r="AJ461" i="1"/>
  <c r="AI461" i="1"/>
  <c r="AH461" i="1"/>
  <c r="AG461" i="1"/>
  <c r="AF461" i="1"/>
  <c r="AE461" i="1"/>
  <c r="AD461" i="1"/>
  <c r="AC461" i="1"/>
  <c r="AB461" i="1"/>
  <c r="Z461" i="1"/>
  <c r="Y461" i="1"/>
  <c r="X461" i="1"/>
  <c r="W461" i="1"/>
  <c r="V461" i="1"/>
  <c r="T461" i="1"/>
  <c r="R461" i="1"/>
  <c r="Q461" i="1" a="1"/>
  <c r="Q461" i="1" s="1"/>
  <c r="P461" i="1"/>
  <c r="N461" i="1"/>
  <c r="L461" i="1"/>
  <c r="K461" i="1" a="1"/>
  <c r="K461" i="1" s="1"/>
  <c r="U461" i="1" s="1"/>
  <c r="J461" i="1" a="1"/>
  <c r="J461" i="1" s="1"/>
  <c r="H461" i="1" a="1"/>
  <c r="H461" i="1" s="1"/>
  <c r="AS460" i="1"/>
  <c r="AA460" i="1" s="1"/>
  <c r="AO460" i="1"/>
  <c r="AN460" i="1"/>
  <c r="AM460" i="1"/>
  <c r="AL460" i="1"/>
  <c r="AK460" i="1"/>
  <c r="AJ460" i="1"/>
  <c r="AI460" i="1"/>
  <c r="AH460" i="1"/>
  <c r="AG460" i="1"/>
  <c r="AF460" i="1"/>
  <c r="AE460" i="1"/>
  <c r="AD460" i="1"/>
  <c r="AC460" i="1"/>
  <c r="AB460" i="1"/>
  <c r="Z460" i="1"/>
  <c r="W460" i="1"/>
  <c r="Y460" i="1" s="1"/>
  <c r="V460" i="1"/>
  <c r="T460" i="1"/>
  <c r="R460" i="1"/>
  <c r="Q460" i="1" a="1"/>
  <c r="Q460" i="1" s="1"/>
  <c r="P460" i="1"/>
  <c r="N460" i="1"/>
  <c r="L460" i="1"/>
  <c r="K460" i="1" a="1"/>
  <c r="K460" i="1" s="1"/>
  <c r="U460" i="1" s="1"/>
  <c r="J460" i="1" a="1"/>
  <c r="J460" i="1" s="1"/>
  <c r="H460" i="1" a="1"/>
  <c r="H460" i="1" s="1"/>
  <c r="AS459" i="1"/>
  <c r="AA459" i="1" s="1"/>
  <c r="AO459" i="1"/>
  <c r="AN459" i="1"/>
  <c r="AM459" i="1"/>
  <c r="AL459" i="1"/>
  <c r="AK459" i="1"/>
  <c r="AJ459" i="1"/>
  <c r="AI459" i="1"/>
  <c r="AH459" i="1"/>
  <c r="AG459" i="1"/>
  <c r="AF459" i="1"/>
  <c r="AE459" i="1"/>
  <c r="AD459" i="1"/>
  <c r="AC459" i="1"/>
  <c r="AB459" i="1"/>
  <c r="Z459" i="1"/>
  <c r="W459" i="1"/>
  <c r="X459" i="1" s="1"/>
  <c r="V459" i="1"/>
  <c r="T459" i="1"/>
  <c r="R459" i="1"/>
  <c r="Q459" i="1" a="1"/>
  <c r="Q459" i="1" s="1"/>
  <c r="P459" i="1"/>
  <c r="N459" i="1"/>
  <c r="L459" i="1"/>
  <c r="K459" i="1" a="1"/>
  <c r="K459" i="1" s="1"/>
  <c r="U459" i="1" s="1"/>
  <c r="J459" i="1" a="1"/>
  <c r="J459" i="1" s="1"/>
  <c r="H459" i="1" a="1"/>
  <c r="H459" i="1" s="1"/>
  <c r="AS458" i="1"/>
  <c r="AA458" i="1" s="1"/>
  <c r="AO458" i="1"/>
  <c r="AN458" i="1"/>
  <c r="AM458" i="1"/>
  <c r="AL458" i="1"/>
  <c r="AK458" i="1"/>
  <c r="AJ458" i="1"/>
  <c r="AI458" i="1"/>
  <c r="AH458" i="1"/>
  <c r="AG458" i="1"/>
  <c r="AF458" i="1"/>
  <c r="AE458" i="1"/>
  <c r="AD458" i="1"/>
  <c r="AC458" i="1"/>
  <c r="AB458" i="1"/>
  <c r="Z458" i="1"/>
  <c r="W458" i="1"/>
  <c r="Y458" i="1" s="1"/>
  <c r="V458" i="1"/>
  <c r="T458" i="1"/>
  <c r="R458" i="1"/>
  <c r="Q458" i="1" a="1"/>
  <c r="Q458" i="1" s="1"/>
  <c r="P458" i="1"/>
  <c r="N458" i="1"/>
  <c r="L458" i="1"/>
  <c r="K458" i="1" a="1"/>
  <c r="K458" i="1" s="1"/>
  <c r="U458" i="1" s="1"/>
  <c r="J458" i="1" a="1"/>
  <c r="J458" i="1" s="1"/>
  <c r="H458" i="1" a="1"/>
  <c r="H458" i="1" s="1"/>
  <c r="AS457" i="1"/>
  <c r="AA457" i="1" s="1"/>
  <c r="AO457" i="1"/>
  <c r="AN457" i="1"/>
  <c r="AM457" i="1"/>
  <c r="AL457" i="1"/>
  <c r="AK457" i="1"/>
  <c r="AJ457" i="1"/>
  <c r="AI457" i="1"/>
  <c r="AH457" i="1"/>
  <c r="AG457" i="1"/>
  <c r="AF457" i="1"/>
  <c r="AE457" i="1"/>
  <c r="AD457" i="1"/>
  <c r="AC457" i="1"/>
  <c r="AB457" i="1"/>
  <c r="Z457" i="1"/>
  <c r="W457" i="1"/>
  <c r="Y457" i="1" s="1"/>
  <c r="V457" i="1"/>
  <c r="T457" i="1"/>
  <c r="R457" i="1"/>
  <c r="Q457" i="1" a="1"/>
  <c r="Q457" i="1" s="1"/>
  <c r="P457" i="1"/>
  <c r="N457" i="1"/>
  <c r="L457" i="1"/>
  <c r="K457" i="1" a="1"/>
  <c r="K457" i="1" s="1"/>
  <c r="U457" i="1" s="1"/>
  <c r="J457" i="1" a="1"/>
  <c r="J457" i="1" s="1"/>
  <c r="H457" i="1" a="1"/>
  <c r="H457" i="1" s="1"/>
  <c r="AU456" i="1"/>
  <c r="AC456" i="1" s="1"/>
  <c r="AT456" i="1"/>
  <c r="AB456" i="1" s="1"/>
  <c r="AS456" i="1"/>
  <c r="AA456" i="1" s="1"/>
  <c r="AO456" i="1"/>
  <c r="AN456" i="1"/>
  <c r="AM456" i="1"/>
  <c r="AL456" i="1"/>
  <c r="AK456" i="1"/>
  <c r="AJ456" i="1"/>
  <c r="AI456" i="1"/>
  <c r="AH456" i="1"/>
  <c r="AG456" i="1"/>
  <c r="AF456" i="1"/>
  <c r="AE456" i="1"/>
  <c r="AD456" i="1"/>
  <c r="Z456" i="1"/>
  <c r="W456" i="1"/>
  <c r="X456" i="1" s="1"/>
  <c r="V456" i="1"/>
  <c r="T456" i="1"/>
  <c r="R456" i="1"/>
  <c r="Q456" i="1" a="1"/>
  <c r="Q456" i="1" s="1"/>
  <c r="P456" i="1"/>
  <c r="N456" i="1"/>
  <c r="L456" i="1"/>
  <c r="K456" i="1" a="1"/>
  <c r="K456" i="1" s="1"/>
  <c r="U456" i="1" s="1"/>
  <c r="J456" i="1" a="1"/>
  <c r="J456" i="1" s="1"/>
  <c r="H456" i="1" a="1"/>
  <c r="H456" i="1" s="1"/>
  <c r="AY455" i="1"/>
  <c r="AG455" i="1" s="1"/>
  <c r="AX455" i="1"/>
  <c r="AF455" i="1" s="1"/>
  <c r="AW455" i="1"/>
  <c r="AE455" i="1" s="1"/>
  <c r="AV455" i="1"/>
  <c r="AD455" i="1" s="1"/>
  <c r="AU455" i="1"/>
  <c r="AC455" i="1" s="1"/>
  <c r="AT455" i="1"/>
  <c r="AB455" i="1" s="1"/>
  <c r="AS455" i="1"/>
  <c r="AA455" i="1" s="1"/>
  <c r="AO455" i="1"/>
  <c r="AN455" i="1"/>
  <c r="AM455" i="1"/>
  <c r="AL455" i="1"/>
  <c r="AK455" i="1"/>
  <c r="AJ455" i="1"/>
  <c r="AI455" i="1"/>
  <c r="AH455" i="1"/>
  <c r="Z455" i="1"/>
  <c r="W455" i="1"/>
  <c r="Y455" i="1" s="1"/>
  <c r="V455" i="1"/>
  <c r="T455" i="1"/>
  <c r="R455" i="1"/>
  <c r="Q455" i="1" a="1"/>
  <c r="Q455" i="1" s="1"/>
  <c r="P455" i="1"/>
  <c r="N455" i="1"/>
  <c r="L455" i="1"/>
  <c r="K455" i="1" a="1"/>
  <c r="K455" i="1" s="1"/>
  <c r="U455" i="1" s="1"/>
  <c r="J455" i="1" a="1"/>
  <c r="J455" i="1" s="1"/>
  <c r="H455" i="1" a="1"/>
  <c r="H455" i="1" s="1"/>
  <c r="I455" i="1" s="1"/>
  <c r="S455" i="1" s="1"/>
  <c r="AS454" i="1"/>
  <c r="AA454" i="1" s="1"/>
  <c r="AO454" i="1"/>
  <c r="AN454" i="1"/>
  <c r="AM454" i="1"/>
  <c r="AL454" i="1"/>
  <c r="AK454" i="1"/>
  <c r="AJ454" i="1"/>
  <c r="AI454" i="1"/>
  <c r="AH454" i="1"/>
  <c r="AG454" i="1"/>
  <c r="AF454" i="1"/>
  <c r="AE454" i="1"/>
  <c r="AD454" i="1"/>
  <c r="AC454" i="1"/>
  <c r="AB454" i="1"/>
  <c r="Z454" i="1"/>
  <c r="W454" i="1"/>
  <c r="Y454" i="1" s="1"/>
  <c r="V454" i="1"/>
  <c r="T454" i="1"/>
  <c r="R454" i="1"/>
  <c r="Q454" i="1" a="1"/>
  <c r="Q454" i="1" s="1"/>
  <c r="P454" i="1"/>
  <c r="N454" i="1"/>
  <c r="L454" i="1"/>
  <c r="K454" i="1" a="1"/>
  <c r="K454" i="1" s="1"/>
  <c r="U454" i="1" s="1"/>
  <c r="J454" i="1" a="1"/>
  <c r="J454" i="1" s="1"/>
  <c r="H454" i="1" a="1"/>
  <c r="H454" i="1" s="1"/>
  <c r="AS453" i="1"/>
  <c r="AA453" i="1" s="1"/>
  <c r="AO453" i="1"/>
  <c r="AN453" i="1"/>
  <c r="AM453" i="1"/>
  <c r="AL453" i="1"/>
  <c r="AK453" i="1"/>
  <c r="AJ453" i="1"/>
  <c r="AI453" i="1"/>
  <c r="AH453" i="1"/>
  <c r="AG453" i="1"/>
  <c r="AF453" i="1"/>
  <c r="AE453" i="1"/>
  <c r="AD453" i="1"/>
  <c r="AC453" i="1"/>
  <c r="AB453" i="1"/>
  <c r="Z453" i="1"/>
  <c r="W453" i="1"/>
  <c r="Y453" i="1" s="1"/>
  <c r="V453" i="1"/>
  <c r="T453" i="1"/>
  <c r="R453" i="1"/>
  <c r="Q453" i="1" a="1"/>
  <c r="Q453" i="1" s="1"/>
  <c r="P453" i="1"/>
  <c r="N453" i="1"/>
  <c r="L453" i="1"/>
  <c r="K453" i="1" a="1"/>
  <c r="K453" i="1" s="1"/>
  <c r="U453" i="1" s="1"/>
  <c r="J453" i="1" a="1"/>
  <c r="J453" i="1" s="1"/>
  <c r="H453" i="1" a="1"/>
  <c r="H453" i="1" s="1"/>
  <c r="AS452" i="1"/>
  <c r="AA452" i="1" s="1"/>
  <c r="AO452" i="1"/>
  <c r="AN452" i="1"/>
  <c r="AM452" i="1"/>
  <c r="AL452" i="1"/>
  <c r="AK452" i="1"/>
  <c r="AJ452" i="1"/>
  <c r="AI452" i="1"/>
  <c r="AH452" i="1"/>
  <c r="AG452" i="1"/>
  <c r="AF452" i="1"/>
  <c r="AE452" i="1"/>
  <c r="AD452" i="1"/>
  <c r="AC452" i="1"/>
  <c r="AB452" i="1"/>
  <c r="Z452" i="1"/>
  <c r="W452" i="1"/>
  <c r="Y452" i="1" s="1"/>
  <c r="V452" i="1"/>
  <c r="T452" i="1"/>
  <c r="R452" i="1"/>
  <c r="Q452" i="1" a="1"/>
  <c r="Q452" i="1" s="1"/>
  <c r="P452" i="1"/>
  <c r="N452" i="1"/>
  <c r="L452" i="1"/>
  <c r="K452" i="1" a="1"/>
  <c r="K452" i="1" s="1"/>
  <c r="U452" i="1" s="1"/>
  <c r="J452" i="1" a="1"/>
  <c r="J452" i="1" s="1"/>
  <c r="H452" i="1" a="1"/>
  <c r="H452" i="1" s="1"/>
  <c r="AS451" i="1"/>
  <c r="AA451" i="1" s="1"/>
  <c r="AO451" i="1"/>
  <c r="AN451" i="1"/>
  <c r="AM451" i="1"/>
  <c r="AL451" i="1"/>
  <c r="AK451" i="1"/>
  <c r="AJ451" i="1"/>
  <c r="AI451" i="1"/>
  <c r="AH451" i="1"/>
  <c r="AG451" i="1"/>
  <c r="AF451" i="1"/>
  <c r="AE451" i="1"/>
  <c r="AD451" i="1"/>
  <c r="AC451" i="1"/>
  <c r="AB451" i="1"/>
  <c r="Z451" i="1"/>
  <c r="W451" i="1"/>
  <c r="Y451" i="1" s="1"/>
  <c r="V451" i="1"/>
  <c r="T451" i="1"/>
  <c r="R451" i="1"/>
  <c r="Q451" i="1" a="1"/>
  <c r="Q451" i="1" s="1"/>
  <c r="P451" i="1"/>
  <c r="N451" i="1"/>
  <c r="L451" i="1"/>
  <c r="K451" i="1" a="1"/>
  <c r="K451" i="1" s="1"/>
  <c r="U451" i="1" s="1"/>
  <c r="J451" i="1" a="1"/>
  <c r="J451" i="1" s="1"/>
  <c r="H451" i="1" a="1"/>
  <c r="H451" i="1" s="1"/>
  <c r="I451" i="1" s="1"/>
  <c r="S451" i="1" s="1"/>
  <c r="AS450" i="1"/>
  <c r="AA450" i="1" s="1"/>
  <c r="AO450" i="1"/>
  <c r="AN450" i="1"/>
  <c r="AM450" i="1"/>
  <c r="AL450" i="1"/>
  <c r="AK450" i="1"/>
  <c r="AJ450" i="1"/>
  <c r="AI450" i="1"/>
  <c r="AH450" i="1"/>
  <c r="AG450" i="1"/>
  <c r="AF450" i="1"/>
  <c r="AE450" i="1"/>
  <c r="AD450" i="1"/>
  <c r="AC450" i="1"/>
  <c r="AB450" i="1"/>
  <c r="Z450" i="1"/>
  <c r="Y450" i="1"/>
  <c r="W450" i="1"/>
  <c r="X450" i="1" s="1"/>
  <c r="V450" i="1"/>
  <c r="T450" i="1"/>
  <c r="R450" i="1"/>
  <c r="Q450" i="1" a="1"/>
  <c r="Q450" i="1" s="1"/>
  <c r="P450" i="1"/>
  <c r="N450" i="1"/>
  <c r="L450" i="1"/>
  <c r="K450" i="1" a="1"/>
  <c r="K450" i="1" s="1"/>
  <c r="U450" i="1" s="1"/>
  <c r="J450" i="1" a="1"/>
  <c r="J450" i="1" s="1"/>
  <c r="H450" i="1" a="1"/>
  <c r="H450" i="1" s="1"/>
  <c r="AS449" i="1"/>
  <c r="AA449" i="1" s="1"/>
  <c r="AO449" i="1"/>
  <c r="AN449" i="1"/>
  <c r="AM449" i="1"/>
  <c r="AL449" i="1"/>
  <c r="AK449" i="1"/>
  <c r="AJ449" i="1"/>
  <c r="AI449" i="1"/>
  <c r="AH449" i="1"/>
  <c r="AG449" i="1"/>
  <c r="AF449" i="1"/>
  <c r="AE449" i="1"/>
  <c r="AD449" i="1"/>
  <c r="AC449" i="1"/>
  <c r="AB449" i="1"/>
  <c r="Z449" i="1"/>
  <c r="W449" i="1"/>
  <c r="X449" i="1" s="1"/>
  <c r="V449" i="1"/>
  <c r="T449" i="1"/>
  <c r="R449" i="1"/>
  <c r="Q449" i="1" a="1"/>
  <c r="Q449" i="1" s="1"/>
  <c r="P449" i="1"/>
  <c r="N449" i="1"/>
  <c r="L449" i="1"/>
  <c r="K449" i="1" a="1"/>
  <c r="K449" i="1" s="1"/>
  <c r="U449" i="1" s="1"/>
  <c r="J449" i="1" a="1"/>
  <c r="J449" i="1" s="1"/>
  <c r="H449" i="1" a="1"/>
  <c r="H449" i="1" s="1"/>
  <c r="AS448" i="1"/>
  <c r="AA448" i="1" s="1"/>
  <c r="AO448" i="1"/>
  <c r="AN448" i="1"/>
  <c r="AM448" i="1"/>
  <c r="AL448" i="1"/>
  <c r="AK448" i="1"/>
  <c r="AJ448" i="1"/>
  <c r="AI448" i="1"/>
  <c r="AH448" i="1"/>
  <c r="AG448" i="1"/>
  <c r="AF448" i="1"/>
  <c r="AE448" i="1"/>
  <c r="AD448" i="1"/>
  <c r="AC448" i="1"/>
  <c r="AB448" i="1"/>
  <c r="Z448" i="1"/>
  <c r="W448" i="1"/>
  <c r="Y448" i="1" s="1"/>
  <c r="V448" i="1"/>
  <c r="T448" i="1"/>
  <c r="R448" i="1"/>
  <c r="Q448" i="1" a="1"/>
  <c r="Q448" i="1" s="1"/>
  <c r="P448" i="1"/>
  <c r="N448" i="1"/>
  <c r="L448" i="1"/>
  <c r="K448" i="1" a="1"/>
  <c r="K448" i="1" s="1"/>
  <c r="U448" i="1" s="1"/>
  <c r="J448" i="1" a="1"/>
  <c r="J448" i="1" s="1"/>
  <c r="H448" i="1" a="1"/>
  <c r="H448" i="1" s="1"/>
  <c r="AS447" i="1"/>
  <c r="AA447" i="1" s="1"/>
  <c r="AO447" i="1"/>
  <c r="AN447" i="1"/>
  <c r="AM447" i="1"/>
  <c r="AL447" i="1"/>
  <c r="AK447" i="1"/>
  <c r="AJ447" i="1"/>
  <c r="AI447" i="1"/>
  <c r="AH447" i="1"/>
  <c r="AG447" i="1"/>
  <c r="AF447" i="1"/>
  <c r="AE447" i="1"/>
  <c r="AD447" i="1"/>
  <c r="AC447" i="1"/>
  <c r="AB447" i="1"/>
  <c r="Z447" i="1"/>
  <c r="W447" i="1"/>
  <c r="Y447" i="1" s="1"/>
  <c r="V447" i="1"/>
  <c r="T447" i="1"/>
  <c r="R447" i="1"/>
  <c r="Q447" i="1" a="1"/>
  <c r="Q447" i="1" s="1"/>
  <c r="P447" i="1"/>
  <c r="N447" i="1"/>
  <c r="L447" i="1"/>
  <c r="K447" i="1" a="1"/>
  <c r="K447" i="1" s="1"/>
  <c r="U447" i="1" s="1"/>
  <c r="J447" i="1" a="1"/>
  <c r="J447" i="1" s="1"/>
  <c r="H447" i="1" a="1"/>
  <c r="H447" i="1" s="1"/>
  <c r="AS446" i="1"/>
  <c r="AA446" i="1" s="1"/>
  <c r="AO446" i="1"/>
  <c r="AN446" i="1"/>
  <c r="AM446" i="1"/>
  <c r="AL446" i="1"/>
  <c r="AK446" i="1"/>
  <c r="AJ446" i="1"/>
  <c r="AI446" i="1"/>
  <c r="AH446" i="1"/>
  <c r="AG446" i="1"/>
  <c r="AF446" i="1"/>
  <c r="AE446" i="1"/>
  <c r="AD446" i="1"/>
  <c r="AC446" i="1"/>
  <c r="AB446" i="1"/>
  <c r="Z446" i="1"/>
  <c r="W446" i="1"/>
  <c r="X446" i="1" s="1"/>
  <c r="V446" i="1"/>
  <c r="T446" i="1"/>
  <c r="R446" i="1"/>
  <c r="Q446" i="1" a="1"/>
  <c r="Q446" i="1" s="1"/>
  <c r="P446" i="1"/>
  <c r="N446" i="1"/>
  <c r="L446" i="1"/>
  <c r="K446" i="1" a="1"/>
  <c r="K446" i="1" s="1"/>
  <c r="U446" i="1" s="1"/>
  <c r="J446" i="1" a="1"/>
  <c r="J446" i="1" s="1"/>
  <c r="H446" i="1" a="1"/>
  <c r="H446" i="1" s="1"/>
  <c r="AS445" i="1"/>
  <c r="AA445" i="1" s="1"/>
  <c r="AO445" i="1"/>
  <c r="AN445" i="1"/>
  <c r="AM445" i="1"/>
  <c r="AL445" i="1"/>
  <c r="AK445" i="1"/>
  <c r="AJ445" i="1"/>
  <c r="AI445" i="1"/>
  <c r="AH445" i="1"/>
  <c r="AG445" i="1"/>
  <c r="AF445" i="1"/>
  <c r="AE445" i="1"/>
  <c r="AD445" i="1"/>
  <c r="AC445" i="1"/>
  <c r="AB445" i="1"/>
  <c r="Z445" i="1"/>
  <c r="W445" i="1"/>
  <c r="X445" i="1" s="1"/>
  <c r="V445" i="1"/>
  <c r="T445" i="1"/>
  <c r="R445" i="1"/>
  <c r="Q445" i="1" a="1"/>
  <c r="Q445" i="1" s="1"/>
  <c r="P445" i="1"/>
  <c r="N445" i="1"/>
  <c r="L445" i="1"/>
  <c r="K445" i="1" a="1"/>
  <c r="K445" i="1" s="1"/>
  <c r="U445" i="1" s="1"/>
  <c r="J445" i="1" a="1"/>
  <c r="J445" i="1" s="1"/>
  <c r="H445" i="1" a="1"/>
  <c r="H445" i="1" s="1"/>
  <c r="AS444" i="1"/>
  <c r="AA444" i="1" s="1"/>
  <c r="AO444" i="1"/>
  <c r="AN444" i="1"/>
  <c r="AM444" i="1"/>
  <c r="AL444" i="1"/>
  <c r="AK444" i="1"/>
  <c r="AJ444" i="1"/>
  <c r="AI444" i="1"/>
  <c r="AH444" i="1"/>
  <c r="AG444" i="1"/>
  <c r="AF444" i="1"/>
  <c r="AE444" i="1"/>
  <c r="AD444" i="1"/>
  <c r="AC444" i="1"/>
  <c r="AB444" i="1"/>
  <c r="Z444" i="1"/>
  <c r="W444" i="1"/>
  <c r="Y444" i="1" s="1"/>
  <c r="V444" i="1"/>
  <c r="T444" i="1"/>
  <c r="R444" i="1"/>
  <c r="Q444" i="1" a="1"/>
  <c r="Q444" i="1" s="1"/>
  <c r="P444" i="1"/>
  <c r="N444" i="1"/>
  <c r="L444" i="1"/>
  <c r="K444" i="1" a="1"/>
  <c r="K444" i="1" s="1"/>
  <c r="U444" i="1" s="1"/>
  <c r="J444" i="1" a="1"/>
  <c r="J444" i="1" s="1"/>
  <c r="H444" i="1" a="1"/>
  <c r="H444" i="1" s="1"/>
  <c r="AS443" i="1"/>
  <c r="AA443" i="1" s="1"/>
  <c r="AO443" i="1"/>
  <c r="AN443" i="1"/>
  <c r="AM443" i="1"/>
  <c r="AL443" i="1"/>
  <c r="AK443" i="1"/>
  <c r="AJ443" i="1"/>
  <c r="AI443" i="1"/>
  <c r="AH443" i="1"/>
  <c r="AG443" i="1"/>
  <c r="AF443" i="1"/>
  <c r="AE443" i="1"/>
  <c r="AD443" i="1"/>
  <c r="AC443" i="1"/>
  <c r="AB443" i="1"/>
  <c r="Z443" i="1"/>
  <c r="W443" i="1"/>
  <c r="Y443" i="1" s="1"/>
  <c r="V443" i="1"/>
  <c r="T443" i="1"/>
  <c r="R443" i="1"/>
  <c r="Q443" i="1" a="1"/>
  <c r="Q443" i="1" s="1"/>
  <c r="P443" i="1"/>
  <c r="N443" i="1"/>
  <c r="L443" i="1"/>
  <c r="K443" i="1" a="1"/>
  <c r="K443" i="1" s="1"/>
  <c r="U443" i="1" s="1"/>
  <c r="J443" i="1" a="1"/>
  <c r="J443" i="1" s="1"/>
  <c r="H443" i="1" a="1"/>
  <c r="H443" i="1" s="1"/>
  <c r="I443" i="1" s="1"/>
  <c r="S443" i="1" s="1"/>
  <c r="AS442" i="1"/>
  <c r="AA442" i="1" s="1"/>
  <c r="AO442" i="1"/>
  <c r="AN442" i="1"/>
  <c r="AM442" i="1"/>
  <c r="AL442" i="1"/>
  <c r="AK442" i="1"/>
  <c r="AJ442" i="1"/>
  <c r="AI442" i="1"/>
  <c r="AH442" i="1"/>
  <c r="AG442" i="1"/>
  <c r="AF442" i="1"/>
  <c r="AE442" i="1"/>
  <c r="AD442" i="1"/>
  <c r="AC442" i="1"/>
  <c r="AB442" i="1"/>
  <c r="Z442" i="1"/>
  <c r="W442" i="1"/>
  <c r="Y442" i="1" s="1"/>
  <c r="V442" i="1"/>
  <c r="T442" i="1"/>
  <c r="R442" i="1"/>
  <c r="Q442" i="1" a="1"/>
  <c r="Q442" i="1" s="1"/>
  <c r="P442" i="1"/>
  <c r="N442" i="1"/>
  <c r="L442" i="1"/>
  <c r="K442" i="1" a="1"/>
  <c r="K442" i="1" s="1"/>
  <c r="U442" i="1" s="1"/>
  <c r="J442" i="1" a="1"/>
  <c r="J442" i="1" s="1"/>
  <c r="H442" i="1" a="1"/>
  <c r="H442" i="1" s="1"/>
  <c r="AS441" i="1"/>
  <c r="AA441" i="1" s="1"/>
  <c r="AO441" i="1"/>
  <c r="AN441" i="1"/>
  <c r="AM441" i="1"/>
  <c r="AL441" i="1"/>
  <c r="AK441" i="1"/>
  <c r="AJ441" i="1"/>
  <c r="AI441" i="1"/>
  <c r="AH441" i="1"/>
  <c r="AG441" i="1"/>
  <c r="AF441" i="1"/>
  <c r="AE441" i="1"/>
  <c r="AD441" i="1"/>
  <c r="AC441" i="1"/>
  <c r="AB441" i="1"/>
  <c r="Z441" i="1"/>
  <c r="W441" i="1"/>
  <c r="Y441" i="1" s="1"/>
  <c r="V441" i="1"/>
  <c r="T441" i="1"/>
  <c r="R441" i="1"/>
  <c r="Q441" i="1" a="1"/>
  <c r="Q441" i="1" s="1"/>
  <c r="P441" i="1"/>
  <c r="N441" i="1"/>
  <c r="L441" i="1"/>
  <c r="K441" i="1" a="1"/>
  <c r="K441" i="1" s="1"/>
  <c r="U441" i="1" s="1"/>
  <c r="J441" i="1" a="1"/>
  <c r="J441" i="1" s="1"/>
  <c r="H441" i="1" a="1"/>
  <c r="H441" i="1" s="1"/>
  <c r="AS440" i="1"/>
  <c r="AA440" i="1" s="1"/>
  <c r="AO440" i="1"/>
  <c r="AN440" i="1"/>
  <c r="AM440" i="1"/>
  <c r="AL440" i="1"/>
  <c r="AK440" i="1"/>
  <c r="AJ440" i="1"/>
  <c r="AI440" i="1"/>
  <c r="AH440" i="1"/>
  <c r="AG440" i="1"/>
  <c r="AF440" i="1"/>
  <c r="AE440" i="1"/>
  <c r="AD440" i="1"/>
  <c r="AC440" i="1"/>
  <c r="AB440" i="1"/>
  <c r="Z440" i="1"/>
  <c r="W440" i="1"/>
  <c r="Y440" i="1" s="1"/>
  <c r="V440" i="1"/>
  <c r="T440" i="1"/>
  <c r="R440" i="1"/>
  <c r="Q440" i="1" a="1"/>
  <c r="Q440" i="1" s="1"/>
  <c r="P440" i="1"/>
  <c r="N440" i="1"/>
  <c r="L440" i="1"/>
  <c r="K440" i="1" a="1"/>
  <c r="K440" i="1" s="1"/>
  <c r="U440" i="1" s="1"/>
  <c r="J440" i="1" a="1"/>
  <c r="J440" i="1" s="1"/>
  <c r="H440" i="1" a="1"/>
  <c r="H440" i="1" s="1"/>
  <c r="AU439" i="1"/>
  <c r="AC439" i="1" s="1"/>
  <c r="AT439" i="1"/>
  <c r="AB439" i="1" s="1"/>
  <c r="AS439" i="1"/>
  <c r="AA439" i="1" s="1"/>
  <c r="AO439" i="1"/>
  <c r="AN439" i="1"/>
  <c r="AM439" i="1"/>
  <c r="AL439" i="1"/>
  <c r="AK439" i="1"/>
  <c r="AJ439" i="1"/>
  <c r="AI439" i="1"/>
  <c r="AH439" i="1"/>
  <c r="AG439" i="1"/>
  <c r="AF439" i="1"/>
  <c r="AE439" i="1"/>
  <c r="AD439" i="1"/>
  <c r="Z439" i="1"/>
  <c r="W439" i="1"/>
  <c r="Y439" i="1" s="1"/>
  <c r="V439" i="1"/>
  <c r="T439" i="1"/>
  <c r="R439" i="1"/>
  <c r="Q439" i="1" a="1"/>
  <c r="Q439" i="1" s="1"/>
  <c r="P439" i="1"/>
  <c r="N439" i="1"/>
  <c r="L439" i="1"/>
  <c r="K439" i="1" a="1"/>
  <c r="K439" i="1" s="1"/>
  <c r="U439" i="1" s="1"/>
  <c r="J439" i="1" a="1"/>
  <c r="J439" i="1" s="1"/>
  <c r="H439" i="1" a="1"/>
  <c r="H439" i="1" s="1"/>
  <c r="AV438" i="1"/>
  <c r="AD438" i="1" s="1"/>
  <c r="AU438" i="1"/>
  <c r="AC438" i="1" s="1"/>
  <c r="AT438" i="1"/>
  <c r="AB438" i="1" s="1"/>
  <c r="AS438" i="1"/>
  <c r="AA438" i="1" s="1"/>
  <c r="AO438" i="1"/>
  <c r="AN438" i="1"/>
  <c r="AM438" i="1"/>
  <c r="AL438" i="1"/>
  <c r="AK438" i="1"/>
  <c r="AJ438" i="1"/>
  <c r="AI438" i="1"/>
  <c r="AH438" i="1"/>
  <c r="AG438" i="1"/>
  <c r="AF438" i="1"/>
  <c r="AE438" i="1"/>
  <c r="Z438" i="1"/>
  <c r="W438" i="1"/>
  <c r="Y438" i="1" s="1"/>
  <c r="V438" i="1"/>
  <c r="T438" i="1"/>
  <c r="R438" i="1"/>
  <c r="Q438" i="1" a="1"/>
  <c r="Q438" i="1" s="1"/>
  <c r="P438" i="1"/>
  <c r="N438" i="1"/>
  <c r="L438" i="1"/>
  <c r="K438" i="1" a="1"/>
  <c r="K438" i="1" s="1"/>
  <c r="U438" i="1" s="1"/>
  <c r="J438" i="1" a="1"/>
  <c r="J438" i="1" s="1"/>
  <c r="H438" i="1" a="1"/>
  <c r="H438" i="1" s="1"/>
  <c r="AT437" i="1"/>
  <c r="AB437" i="1" s="1"/>
  <c r="AS437" i="1"/>
  <c r="AA437" i="1" s="1"/>
  <c r="AO437" i="1"/>
  <c r="AN437" i="1"/>
  <c r="AM437" i="1"/>
  <c r="AL437" i="1"/>
  <c r="AK437" i="1"/>
  <c r="AJ437" i="1"/>
  <c r="AI437" i="1"/>
  <c r="AH437" i="1"/>
  <c r="AG437" i="1"/>
  <c r="AF437" i="1"/>
  <c r="AE437" i="1"/>
  <c r="AD437" i="1"/>
  <c r="AC437" i="1"/>
  <c r="Z437" i="1"/>
  <c r="W437" i="1"/>
  <c r="Y437" i="1" s="1"/>
  <c r="V437" i="1"/>
  <c r="T437" i="1"/>
  <c r="R437" i="1"/>
  <c r="Q437" i="1" a="1"/>
  <c r="Q437" i="1" s="1"/>
  <c r="P437" i="1"/>
  <c r="N437" i="1"/>
  <c r="L437" i="1"/>
  <c r="K437" i="1" a="1"/>
  <c r="K437" i="1" s="1"/>
  <c r="U437" i="1" s="1"/>
  <c r="J437" i="1" a="1"/>
  <c r="J437" i="1" s="1"/>
  <c r="H437" i="1" a="1"/>
  <c r="H437" i="1" s="1"/>
  <c r="AS436" i="1"/>
  <c r="AA436" i="1" s="1"/>
  <c r="AO436" i="1"/>
  <c r="AN436" i="1"/>
  <c r="AM436" i="1"/>
  <c r="AL436" i="1"/>
  <c r="AK436" i="1"/>
  <c r="AJ436" i="1"/>
  <c r="AI436" i="1"/>
  <c r="AH436" i="1"/>
  <c r="AG436" i="1"/>
  <c r="AF436" i="1"/>
  <c r="AE436" i="1"/>
  <c r="AD436" i="1"/>
  <c r="AC436" i="1"/>
  <c r="AB436" i="1"/>
  <c r="Z436" i="1"/>
  <c r="W436" i="1"/>
  <c r="X436" i="1" s="1"/>
  <c r="V436" i="1"/>
  <c r="T436" i="1"/>
  <c r="R436" i="1"/>
  <c r="Q436" i="1" a="1"/>
  <c r="Q436" i="1" s="1"/>
  <c r="P436" i="1"/>
  <c r="N436" i="1"/>
  <c r="L436" i="1"/>
  <c r="K436" i="1" a="1"/>
  <c r="K436" i="1" s="1"/>
  <c r="U436" i="1" s="1"/>
  <c r="J436" i="1" a="1"/>
  <c r="J436" i="1" s="1"/>
  <c r="H436" i="1" a="1"/>
  <c r="H436" i="1" s="1"/>
  <c r="AS435" i="1"/>
  <c r="AA435" i="1" s="1"/>
  <c r="AO435" i="1"/>
  <c r="AN435" i="1"/>
  <c r="AM435" i="1"/>
  <c r="AL435" i="1"/>
  <c r="AK435" i="1"/>
  <c r="AJ435" i="1"/>
  <c r="AI435" i="1"/>
  <c r="AH435" i="1"/>
  <c r="AG435" i="1"/>
  <c r="AF435" i="1"/>
  <c r="AE435" i="1"/>
  <c r="AD435" i="1"/>
  <c r="AC435" i="1"/>
  <c r="AB435" i="1"/>
  <c r="Z435" i="1"/>
  <c r="W435" i="1"/>
  <c r="Y435" i="1" s="1"/>
  <c r="V435" i="1"/>
  <c r="T435" i="1"/>
  <c r="R435" i="1"/>
  <c r="Q435" i="1" a="1"/>
  <c r="Q435" i="1" s="1"/>
  <c r="P435" i="1"/>
  <c r="N435" i="1"/>
  <c r="L435" i="1"/>
  <c r="K435" i="1" a="1"/>
  <c r="K435" i="1" s="1"/>
  <c r="U435" i="1" s="1"/>
  <c r="J435" i="1" a="1"/>
  <c r="J435" i="1" s="1"/>
  <c r="H435" i="1" a="1"/>
  <c r="H435" i="1" s="1"/>
  <c r="AS434" i="1"/>
  <c r="AA434" i="1" s="1"/>
  <c r="AO434" i="1"/>
  <c r="AN434" i="1"/>
  <c r="AM434" i="1"/>
  <c r="AL434" i="1"/>
  <c r="AK434" i="1"/>
  <c r="AJ434" i="1"/>
  <c r="AI434" i="1"/>
  <c r="AH434" i="1"/>
  <c r="AG434" i="1"/>
  <c r="AF434" i="1"/>
  <c r="AE434" i="1"/>
  <c r="AD434" i="1"/>
  <c r="AC434" i="1"/>
  <c r="AB434" i="1"/>
  <c r="Z434" i="1"/>
  <c r="W434" i="1"/>
  <c r="Y434" i="1" s="1"/>
  <c r="V434" i="1"/>
  <c r="AS433" i="1"/>
  <c r="AA433" i="1" s="1"/>
  <c r="AO433" i="1"/>
  <c r="AN433" i="1"/>
  <c r="AM433" i="1"/>
  <c r="AL433" i="1"/>
  <c r="AK433" i="1"/>
  <c r="AJ433" i="1"/>
  <c r="AI433" i="1"/>
  <c r="AH433" i="1"/>
  <c r="AG433" i="1"/>
  <c r="AF433" i="1"/>
  <c r="AE433" i="1"/>
  <c r="AD433" i="1"/>
  <c r="AC433" i="1"/>
  <c r="AB433" i="1"/>
  <c r="Z433" i="1"/>
  <c r="W433" i="1"/>
  <c r="Y433" i="1" s="1"/>
  <c r="V433" i="1"/>
  <c r="T433" i="1"/>
  <c r="R433" i="1"/>
  <c r="Q433" i="1" a="1"/>
  <c r="Q433" i="1" s="1"/>
  <c r="P433" i="1"/>
  <c r="N433" i="1"/>
  <c r="L433" i="1"/>
  <c r="K433" i="1" a="1"/>
  <c r="K433" i="1" s="1"/>
  <c r="U433" i="1" s="1"/>
  <c r="J433" i="1" a="1"/>
  <c r="J433" i="1" s="1"/>
  <c r="H433" i="1" a="1"/>
  <c r="H433" i="1" s="1"/>
  <c r="AS432" i="1"/>
  <c r="AA432" i="1" s="1"/>
  <c r="AO432" i="1"/>
  <c r="AN432" i="1"/>
  <c r="AM432" i="1"/>
  <c r="AL432" i="1"/>
  <c r="AK432" i="1"/>
  <c r="AJ432" i="1"/>
  <c r="AI432" i="1"/>
  <c r="AH432" i="1"/>
  <c r="AG432" i="1"/>
  <c r="AF432" i="1"/>
  <c r="AE432" i="1"/>
  <c r="AD432" i="1"/>
  <c r="AC432" i="1"/>
  <c r="AB432" i="1"/>
  <c r="Z432" i="1"/>
  <c r="W432" i="1"/>
  <c r="Y432" i="1" s="1"/>
  <c r="V432" i="1"/>
  <c r="T432" i="1"/>
  <c r="R432" i="1"/>
  <c r="Q432" i="1" a="1"/>
  <c r="Q432" i="1" s="1"/>
  <c r="P432" i="1"/>
  <c r="N432" i="1"/>
  <c r="L432" i="1"/>
  <c r="K432" i="1" a="1"/>
  <c r="K432" i="1" s="1"/>
  <c r="U432" i="1" s="1"/>
  <c r="J432" i="1" a="1"/>
  <c r="J432" i="1" s="1"/>
  <c r="H432" i="1" a="1"/>
  <c r="H432" i="1" s="1"/>
  <c r="I432" i="1" s="1"/>
  <c r="S432" i="1" s="1"/>
  <c r="AS431" i="1"/>
  <c r="AA431" i="1" s="1"/>
  <c r="AO431" i="1"/>
  <c r="AN431" i="1"/>
  <c r="AM431" i="1"/>
  <c r="AL431" i="1"/>
  <c r="AK431" i="1"/>
  <c r="AJ431" i="1"/>
  <c r="AI431" i="1"/>
  <c r="AH431" i="1"/>
  <c r="AG431" i="1"/>
  <c r="AF431" i="1"/>
  <c r="AE431" i="1"/>
  <c r="AD431" i="1"/>
  <c r="AC431" i="1"/>
  <c r="AB431" i="1"/>
  <c r="Z431" i="1"/>
  <c r="W431" i="1"/>
  <c r="Y431" i="1" s="1"/>
  <c r="V431" i="1"/>
  <c r="T431" i="1"/>
  <c r="R431" i="1"/>
  <c r="Q431" i="1" a="1"/>
  <c r="Q431" i="1" s="1"/>
  <c r="P431" i="1"/>
  <c r="N431" i="1"/>
  <c r="L431" i="1"/>
  <c r="K431" i="1" a="1"/>
  <c r="K431" i="1" s="1"/>
  <c r="U431" i="1" s="1"/>
  <c r="J431" i="1" a="1"/>
  <c r="J431" i="1" s="1"/>
  <c r="H431" i="1" a="1"/>
  <c r="H431" i="1" s="1"/>
  <c r="AS430" i="1"/>
  <c r="AA430" i="1" s="1"/>
  <c r="AO430" i="1"/>
  <c r="AN430" i="1"/>
  <c r="AM430" i="1"/>
  <c r="AL430" i="1"/>
  <c r="AK430" i="1"/>
  <c r="AJ430" i="1"/>
  <c r="AI430" i="1"/>
  <c r="AH430" i="1"/>
  <c r="AG430" i="1"/>
  <c r="AF430" i="1"/>
  <c r="AE430" i="1"/>
  <c r="AD430" i="1"/>
  <c r="AC430" i="1"/>
  <c r="AB430" i="1"/>
  <c r="Z430" i="1"/>
  <c r="W430" i="1"/>
  <c r="X430" i="1" s="1"/>
  <c r="V430" i="1"/>
  <c r="T430" i="1"/>
  <c r="R430" i="1"/>
  <c r="Q430" i="1" a="1"/>
  <c r="Q430" i="1" s="1"/>
  <c r="P430" i="1"/>
  <c r="N430" i="1"/>
  <c r="L430" i="1"/>
  <c r="K430" i="1" a="1"/>
  <c r="K430" i="1" s="1"/>
  <c r="U430" i="1" s="1"/>
  <c r="J430" i="1" a="1"/>
  <c r="J430" i="1" s="1"/>
  <c r="H430" i="1" a="1"/>
  <c r="H430" i="1" s="1"/>
  <c r="AS429" i="1"/>
  <c r="AA429" i="1" s="1"/>
  <c r="AO429" i="1"/>
  <c r="AN429" i="1"/>
  <c r="AM429" i="1"/>
  <c r="AL429" i="1"/>
  <c r="AK429" i="1"/>
  <c r="AJ429" i="1"/>
  <c r="AI429" i="1"/>
  <c r="AH429" i="1"/>
  <c r="AG429" i="1"/>
  <c r="AF429" i="1"/>
  <c r="AE429" i="1"/>
  <c r="AD429" i="1"/>
  <c r="AC429" i="1"/>
  <c r="AB429" i="1"/>
  <c r="Z429" i="1"/>
  <c r="W429" i="1"/>
  <c r="Y429" i="1" s="1"/>
  <c r="V429" i="1"/>
  <c r="T429" i="1"/>
  <c r="R429" i="1"/>
  <c r="Q429" i="1" a="1"/>
  <c r="Q429" i="1" s="1"/>
  <c r="P429" i="1"/>
  <c r="N429" i="1"/>
  <c r="L429" i="1"/>
  <c r="K429" i="1" a="1"/>
  <c r="K429" i="1" s="1"/>
  <c r="U429" i="1" s="1"/>
  <c r="J429" i="1" a="1"/>
  <c r="J429" i="1" s="1"/>
  <c r="H429" i="1" a="1"/>
  <c r="H429" i="1" s="1"/>
  <c r="AS428" i="1"/>
  <c r="AA428" i="1" s="1"/>
  <c r="AO428" i="1"/>
  <c r="AN428" i="1"/>
  <c r="AM428" i="1"/>
  <c r="AL428" i="1"/>
  <c r="AK428" i="1"/>
  <c r="AJ428" i="1"/>
  <c r="AI428" i="1"/>
  <c r="AH428" i="1"/>
  <c r="AG428" i="1"/>
  <c r="AF428" i="1"/>
  <c r="AE428" i="1"/>
  <c r="AD428" i="1"/>
  <c r="AC428" i="1"/>
  <c r="AB428" i="1"/>
  <c r="Z428" i="1"/>
  <c r="W428" i="1"/>
  <c r="Y428" i="1" s="1"/>
  <c r="V428" i="1"/>
  <c r="T428" i="1"/>
  <c r="R428" i="1"/>
  <c r="Q428" i="1" a="1"/>
  <c r="Q428" i="1" s="1"/>
  <c r="P428" i="1"/>
  <c r="N428" i="1"/>
  <c r="L428" i="1"/>
  <c r="K428" i="1" a="1"/>
  <c r="K428" i="1" s="1"/>
  <c r="U428" i="1" s="1"/>
  <c r="J428" i="1" a="1"/>
  <c r="J428" i="1" s="1"/>
  <c r="H428" i="1" a="1"/>
  <c r="H428" i="1" s="1"/>
  <c r="I428" i="1" s="1"/>
  <c r="S428" i="1" s="1"/>
  <c r="AY427" i="1"/>
  <c r="AG427" i="1" s="1"/>
  <c r="AX427" i="1"/>
  <c r="AF427" i="1" s="1"/>
  <c r="AW427" i="1"/>
  <c r="AE427" i="1" s="1"/>
  <c r="AV427" i="1"/>
  <c r="AD427" i="1" s="1"/>
  <c r="AU427" i="1"/>
  <c r="AC427" i="1" s="1"/>
  <c r="AT427" i="1"/>
  <c r="AB427" i="1" s="1"/>
  <c r="AS427" i="1"/>
  <c r="AA427" i="1" s="1"/>
  <c r="AO427" i="1"/>
  <c r="AN427" i="1"/>
  <c r="AM427" i="1"/>
  <c r="AL427" i="1"/>
  <c r="AK427" i="1"/>
  <c r="AJ427" i="1"/>
  <c r="AI427" i="1"/>
  <c r="AH427" i="1"/>
  <c r="Z427" i="1"/>
  <c r="W427" i="1"/>
  <c r="Y427" i="1" s="1"/>
  <c r="V427" i="1"/>
  <c r="T427" i="1"/>
  <c r="R427" i="1"/>
  <c r="Q427" i="1" a="1"/>
  <c r="Q427" i="1" s="1"/>
  <c r="P427" i="1"/>
  <c r="N427" i="1"/>
  <c r="L427" i="1"/>
  <c r="K427" i="1" a="1"/>
  <c r="K427" i="1" s="1"/>
  <c r="U427" i="1" s="1"/>
  <c r="J427" i="1" a="1"/>
  <c r="J427" i="1" s="1"/>
  <c r="H427" i="1" a="1"/>
  <c r="H427" i="1" s="1"/>
  <c r="AS426" i="1"/>
  <c r="AA426" i="1" s="1"/>
  <c r="AO426" i="1"/>
  <c r="AN426" i="1"/>
  <c r="AM426" i="1"/>
  <c r="AL426" i="1"/>
  <c r="AK426" i="1"/>
  <c r="AJ426" i="1"/>
  <c r="AI426" i="1"/>
  <c r="AH426" i="1"/>
  <c r="AG426" i="1"/>
  <c r="AF426" i="1"/>
  <c r="AE426" i="1"/>
  <c r="AD426" i="1"/>
  <c r="AC426" i="1"/>
  <c r="AB426" i="1"/>
  <c r="Z426" i="1"/>
  <c r="W426" i="1"/>
  <c r="Y426" i="1" s="1"/>
  <c r="V426" i="1"/>
  <c r="T426" i="1"/>
  <c r="R426" i="1"/>
  <c r="Q426" i="1" a="1"/>
  <c r="Q426" i="1" s="1"/>
  <c r="P426" i="1"/>
  <c r="N426" i="1"/>
  <c r="L426" i="1"/>
  <c r="K426" i="1" a="1"/>
  <c r="K426" i="1" s="1"/>
  <c r="U426" i="1" s="1"/>
  <c r="J426" i="1" a="1"/>
  <c r="J426" i="1" s="1"/>
  <c r="H426" i="1" a="1"/>
  <c r="H426" i="1" s="1"/>
  <c r="I426" i="1" s="1"/>
  <c r="S426" i="1" s="1"/>
  <c r="AT425" i="1"/>
  <c r="AB425" i="1" s="1"/>
  <c r="AS425" i="1"/>
  <c r="AA425" i="1" s="1"/>
  <c r="AO425" i="1"/>
  <c r="AN425" i="1"/>
  <c r="AM425" i="1"/>
  <c r="AL425" i="1"/>
  <c r="AK425" i="1"/>
  <c r="AJ425" i="1"/>
  <c r="AI425" i="1"/>
  <c r="AH425" i="1"/>
  <c r="AG425" i="1"/>
  <c r="AF425" i="1"/>
  <c r="AE425" i="1"/>
  <c r="AD425" i="1"/>
  <c r="AC425" i="1"/>
  <c r="Z425" i="1"/>
  <c r="W425" i="1"/>
  <c r="Y425" i="1" s="1"/>
  <c r="V425" i="1"/>
  <c r="T425" i="1"/>
  <c r="R425" i="1"/>
  <c r="Q425" i="1" a="1"/>
  <c r="Q425" i="1" s="1"/>
  <c r="P425" i="1"/>
  <c r="N425" i="1"/>
  <c r="L425" i="1"/>
  <c r="K425" i="1" a="1"/>
  <c r="K425" i="1" s="1"/>
  <c r="U425" i="1" s="1"/>
  <c r="J425" i="1" a="1"/>
  <c r="J425" i="1" s="1"/>
  <c r="H425" i="1" a="1"/>
  <c r="H425" i="1" s="1"/>
  <c r="AS424" i="1"/>
  <c r="AA424" i="1" s="1"/>
  <c r="AO424" i="1"/>
  <c r="AN424" i="1"/>
  <c r="AM424" i="1"/>
  <c r="AL424" i="1"/>
  <c r="AK424" i="1"/>
  <c r="AJ424" i="1"/>
  <c r="AI424" i="1"/>
  <c r="AH424" i="1"/>
  <c r="AG424" i="1"/>
  <c r="AF424" i="1"/>
  <c r="AE424" i="1"/>
  <c r="AD424" i="1"/>
  <c r="AC424" i="1"/>
  <c r="AB424" i="1"/>
  <c r="Z424" i="1"/>
  <c r="W424" i="1"/>
  <c r="Y424" i="1" s="1"/>
  <c r="V424" i="1"/>
  <c r="T424" i="1"/>
  <c r="R424" i="1"/>
  <c r="Q424" i="1" a="1"/>
  <c r="Q424" i="1" s="1"/>
  <c r="P424" i="1"/>
  <c r="N424" i="1"/>
  <c r="L424" i="1"/>
  <c r="K424" i="1" a="1"/>
  <c r="K424" i="1" s="1"/>
  <c r="U424" i="1" s="1"/>
  <c r="J424" i="1" a="1"/>
  <c r="J424" i="1" s="1"/>
  <c r="H424" i="1" a="1"/>
  <c r="H424" i="1" s="1"/>
  <c r="AS423" i="1"/>
  <c r="AA423" i="1" s="1"/>
  <c r="AO423" i="1"/>
  <c r="AN423" i="1"/>
  <c r="AM423" i="1"/>
  <c r="AL423" i="1"/>
  <c r="AK423" i="1"/>
  <c r="AJ423" i="1"/>
  <c r="AI423" i="1"/>
  <c r="AH423" i="1"/>
  <c r="AG423" i="1"/>
  <c r="AF423" i="1"/>
  <c r="AE423" i="1"/>
  <c r="AD423" i="1"/>
  <c r="AC423" i="1"/>
  <c r="AB423" i="1"/>
  <c r="Z423" i="1"/>
  <c r="W423" i="1"/>
  <c r="Y423" i="1" s="1"/>
  <c r="V423" i="1"/>
  <c r="T423" i="1"/>
  <c r="R423" i="1"/>
  <c r="Q423" i="1" a="1"/>
  <c r="Q423" i="1" s="1"/>
  <c r="P423" i="1"/>
  <c r="N423" i="1"/>
  <c r="L423" i="1"/>
  <c r="K423" i="1" a="1"/>
  <c r="K423" i="1" s="1"/>
  <c r="U423" i="1" s="1"/>
  <c r="J423" i="1" a="1"/>
  <c r="J423" i="1" s="1"/>
  <c r="H423" i="1" a="1"/>
  <c r="H423" i="1" s="1"/>
  <c r="AS422" i="1"/>
  <c r="AA422" i="1" s="1"/>
  <c r="AO422" i="1"/>
  <c r="AN422" i="1"/>
  <c r="AM422" i="1"/>
  <c r="AL422" i="1"/>
  <c r="AK422" i="1"/>
  <c r="AJ422" i="1"/>
  <c r="AI422" i="1"/>
  <c r="AH422" i="1"/>
  <c r="AG422" i="1"/>
  <c r="AF422" i="1"/>
  <c r="AE422" i="1"/>
  <c r="AD422" i="1"/>
  <c r="AC422" i="1"/>
  <c r="AB422" i="1"/>
  <c r="Z422" i="1"/>
  <c r="W422" i="1"/>
  <c r="Y422" i="1" s="1"/>
  <c r="V422" i="1"/>
  <c r="T422" i="1"/>
  <c r="R422" i="1"/>
  <c r="Q422" i="1" a="1"/>
  <c r="Q422" i="1" s="1"/>
  <c r="P422" i="1"/>
  <c r="N422" i="1"/>
  <c r="L422" i="1"/>
  <c r="K422" i="1" a="1"/>
  <c r="K422" i="1" s="1"/>
  <c r="U422" i="1" s="1"/>
  <c r="J422" i="1" a="1"/>
  <c r="J422" i="1" s="1"/>
  <c r="H422" i="1" a="1"/>
  <c r="H422" i="1" s="1"/>
  <c r="AS421" i="1"/>
  <c r="AA421" i="1" s="1"/>
  <c r="AO421" i="1"/>
  <c r="AN421" i="1"/>
  <c r="AM421" i="1"/>
  <c r="AL421" i="1"/>
  <c r="AK421" i="1"/>
  <c r="AJ421" i="1"/>
  <c r="AI421" i="1"/>
  <c r="AH421" i="1"/>
  <c r="AG421" i="1"/>
  <c r="AF421" i="1"/>
  <c r="AE421" i="1"/>
  <c r="AD421" i="1"/>
  <c r="AC421" i="1"/>
  <c r="AB421" i="1"/>
  <c r="Z421" i="1"/>
  <c r="W421" i="1"/>
  <c r="Y421" i="1" s="1"/>
  <c r="V421" i="1"/>
  <c r="T421" i="1"/>
  <c r="R421" i="1"/>
  <c r="Q421" i="1" a="1"/>
  <c r="Q421" i="1" s="1"/>
  <c r="P421" i="1"/>
  <c r="N421" i="1"/>
  <c r="L421" i="1"/>
  <c r="K421" i="1" a="1"/>
  <c r="K421" i="1" s="1"/>
  <c r="U421" i="1" s="1"/>
  <c r="J421" i="1" a="1"/>
  <c r="J421" i="1" s="1"/>
  <c r="H421" i="1" a="1"/>
  <c r="H421" i="1" s="1"/>
  <c r="I421" i="1" s="1"/>
  <c r="S421" i="1" s="1"/>
  <c r="AT420" i="1"/>
  <c r="AB420" i="1" s="1"/>
  <c r="AS420" i="1"/>
  <c r="AA420" i="1" s="1"/>
  <c r="AO420" i="1"/>
  <c r="AN420" i="1"/>
  <c r="AM420" i="1"/>
  <c r="AL420" i="1"/>
  <c r="AK420" i="1"/>
  <c r="AJ420" i="1"/>
  <c r="AI420" i="1"/>
  <c r="AH420" i="1"/>
  <c r="AG420" i="1"/>
  <c r="AF420" i="1"/>
  <c r="AE420" i="1"/>
  <c r="AD420" i="1"/>
  <c r="AC420" i="1"/>
  <c r="Z420" i="1"/>
  <c r="W420" i="1"/>
  <c r="Y420" i="1" s="1"/>
  <c r="V420" i="1"/>
  <c r="T420" i="1"/>
  <c r="R420" i="1"/>
  <c r="Q420" i="1" a="1"/>
  <c r="Q420" i="1" s="1"/>
  <c r="P420" i="1"/>
  <c r="N420" i="1"/>
  <c r="L420" i="1"/>
  <c r="K420" i="1" a="1"/>
  <c r="K420" i="1" s="1"/>
  <c r="U420" i="1" s="1"/>
  <c r="J420" i="1" a="1"/>
  <c r="J420" i="1" s="1"/>
  <c r="H420" i="1" a="1"/>
  <c r="H420" i="1" s="1"/>
  <c r="AS419" i="1"/>
  <c r="AA419" i="1" s="1"/>
  <c r="AO419" i="1"/>
  <c r="AN419" i="1"/>
  <c r="AM419" i="1"/>
  <c r="AL419" i="1"/>
  <c r="AK419" i="1"/>
  <c r="AJ419" i="1"/>
  <c r="AI419" i="1"/>
  <c r="AH419" i="1"/>
  <c r="AG419" i="1"/>
  <c r="AF419" i="1"/>
  <c r="AE419" i="1"/>
  <c r="AD419" i="1"/>
  <c r="AC419" i="1"/>
  <c r="AB419" i="1"/>
  <c r="Z419" i="1"/>
  <c r="W419" i="1"/>
  <c r="Y419" i="1" s="1"/>
  <c r="V419" i="1"/>
  <c r="T419" i="1"/>
  <c r="R419" i="1"/>
  <c r="Q419" i="1" a="1"/>
  <c r="Q419" i="1" s="1"/>
  <c r="P419" i="1"/>
  <c r="N419" i="1"/>
  <c r="L419" i="1"/>
  <c r="K419" i="1" a="1"/>
  <c r="K419" i="1" s="1"/>
  <c r="U419" i="1" s="1"/>
  <c r="J419" i="1" a="1"/>
  <c r="J419" i="1" s="1"/>
  <c r="H419" i="1" a="1"/>
  <c r="H419" i="1" s="1"/>
  <c r="AS418" i="1"/>
  <c r="AA418" i="1" s="1"/>
  <c r="AO418" i="1"/>
  <c r="AN418" i="1"/>
  <c r="AM418" i="1"/>
  <c r="AL418" i="1"/>
  <c r="AK418" i="1"/>
  <c r="AJ418" i="1"/>
  <c r="AI418" i="1"/>
  <c r="AH418" i="1"/>
  <c r="AG418" i="1"/>
  <c r="AF418" i="1"/>
  <c r="AE418" i="1"/>
  <c r="AD418" i="1"/>
  <c r="AC418" i="1"/>
  <c r="AB418" i="1"/>
  <c r="Z418" i="1"/>
  <c r="W418" i="1"/>
  <c r="Y418" i="1" s="1"/>
  <c r="V418" i="1"/>
  <c r="T418" i="1"/>
  <c r="R418" i="1"/>
  <c r="Q418" i="1" a="1"/>
  <c r="Q418" i="1" s="1"/>
  <c r="P418" i="1"/>
  <c r="N418" i="1"/>
  <c r="L418" i="1"/>
  <c r="K418" i="1" a="1"/>
  <c r="K418" i="1" s="1"/>
  <c r="U418" i="1" s="1"/>
  <c r="J418" i="1" a="1"/>
  <c r="J418" i="1" s="1"/>
  <c r="H418" i="1" a="1"/>
  <c r="H418" i="1" s="1"/>
  <c r="AX417" i="1"/>
  <c r="AF417" i="1" s="1"/>
  <c r="AW417" i="1"/>
  <c r="AE417" i="1" s="1"/>
  <c r="AV417" i="1"/>
  <c r="AD417" i="1" s="1"/>
  <c r="AU417" i="1"/>
  <c r="AC417" i="1" s="1"/>
  <c r="AT417" i="1"/>
  <c r="AB417" i="1" s="1"/>
  <c r="AS417" i="1"/>
  <c r="AA417" i="1" s="1"/>
  <c r="AO417" i="1"/>
  <c r="AN417" i="1"/>
  <c r="AM417" i="1"/>
  <c r="AL417" i="1"/>
  <c r="AK417" i="1"/>
  <c r="AJ417" i="1"/>
  <c r="AI417" i="1"/>
  <c r="AH417" i="1"/>
  <c r="AG417" i="1"/>
  <c r="Z417" i="1"/>
  <c r="W417" i="1"/>
  <c r="Y417" i="1" s="1"/>
  <c r="V417" i="1"/>
  <c r="T417" i="1"/>
  <c r="R417" i="1"/>
  <c r="Q417" i="1" a="1"/>
  <c r="Q417" i="1" s="1"/>
  <c r="P417" i="1"/>
  <c r="N417" i="1"/>
  <c r="L417" i="1"/>
  <c r="K417" i="1" a="1"/>
  <c r="K417" i="1" s="1"/>
  <c r="U417" i="1" s="1"/>
  <c r="J417" i="1" a="1"/>
  <c r="J417" i="1" s="1"/>
  <c r="H417" i="1" a="1"/>
  <c r="H417" i="1" s="1"/>
  <c r="AS416" i="1"/>
  <c r="AA416" i="1" s="1"/>
  <c r="AO416" i="1"/>
  <c r="AN416" i="1"/>
  <c r="AM416" i="1"/>
  <c r="AL416" i="1"/>
  <c r="AK416" i="1"/>
  <c r="AJ416" i="1"/>
  <c r="AI416" i="1"/>
  <c r="AH416" i="1"/>
  <c r="AG416" i="1"/>
  <c r="AF416" i="1"/>
  <c r="AE416" i="1"/>
  <c r="AD416" i="1"/>
  <c r="AC416" i="1"/>
  <c r="AB416" i="1"/>
  <c r="Z416" i="1"/>
  <c r="W416" i="1"/>
  <c r="Y416" i="1" s="1"/>
  <c r="V416" i="1"/>
  <c r="T416" i="1"/>
  <c r="R416" i="1"/>
  <c r="Q416" i="1" a="1"/>
  <c r="Q416" i="1" s="1"/>
  <c r="P416" i="1"/>
  <c r="N416" i="1"/>
  <c r="L416" i="1"/>
  <c r="K416" i="1" a="1"/>
  <c r="K416" i="1" s="1"/>
  <c r="U416" i="1" s="1"/>
  <c r="J416" i="1" a="1"/>
  <c r="J416" i="1" s="1"/>
  <c r="H416" i="1" a="1"/>
  <c r="H416" i="1" s="1"/>
  <c r="AS415" i="1"/>
  <c r="AA415" i="1" s="1"/>
  <c r="AO415" i="1"/>
  <c r="AN415" i="1"/>
  <c r="AM415" i="1"/>
  <c r="AL415" i="1"/>
  <c r="AK415" i="1"/>
  <c r="AJ415" i="1"/>
  <c r="AI415" i="1"/>
  <c r="AH415" i="1"/>
  <c r="AG415" i="1"/>
  <c r="AF415" i="1"/>
  <c r="AE415" i="1"/>
  <c r="AD415" i="1"/>
  <c r="AC415" i="1"/>
  <c r="AB415" i="1"/>
  <c r="Z415" i="1"/>
  <c r="W415" i="1"/>
  <c r="Y415" i="1" s="1"/>
  <c r="V415" i="1"/>
  <c r="T415" i="1"/>
  <c r="R415" i="1"/>
  <c r="Q415" i="1" a="1"/>
  <c r="Q415" i="1" s="1"/>
  <c r="P415" i="1"/>
  <c r="N415" i="1"/>
  <c r="L415" i="1"/>
  <c r="K415" i="1" a="1"/>
  <c r="K415" i="1" s="1"/>
  <c r="U415" i="1" s="1"/>
  <c r="J415" i="1" a="1"/>
  <c r="J415" i="1" s="1"/>
  <c r="H415" i="1" a="1"/>
  <c r="H415" i="1" s="1"/>
  <c r="AS414" i="1"/>
  <c r="AA414" i="1" s="1"/>
  <c r="AO414" i="1"/>
  <c r="AN414" i="1"/>
  <c r="AM414" i="1"/>
  <c r="AL414" i="1"/>
  <c r="AK414" i="1"/>
  <c r="AJ414" i="1"/>
  <c r="AI414" i="1"/>
  <c r="AH414" i="1"/>
  <c r="AG414" i="1"/>
  <c r="AF414" i="1"/>
  <c r="AE414" i="1"/>
  <c r="AD414" i="1"/>
  <c r="AC414" i="1"/>
  <c r="AB414" i="1"/>
  <c r="Z414" i="1"/>
  <c r="W414" i="1"/>
  <c r="Y414" i="1" s="1"/>
  <c r="V414" i="1"/>
  <c r="T414" i="1"/>
  <c r="R414" i="1"/>
  <c r="Q414" i="1" a="1"/>
  <c r="Q414" i="1" s="1"/>
  <c r="P414" i="1"/>
  <c r="N414" i="1"/>
  <c r="L414" i="1"/>
  <c r="K414" i="1" a="1"/>
  <c r="K414" i="1" s="1"/>
  <c r="U414" i="1" s="1"/>
  <c r="J414" i="1" a="1"/>
  <c r="J414" i="1" s="1"/>
  <c r="H414" i="1" a="1"/>
  <c r="H414" i="1" s="1"/>
  <c r="AW413" i="1"/>
  <c r="AE413" i="1" s="1"/>
  <c r="AV413" i="1"/>
  <c r="AD413" i="1" s="1"/>
  <c r="AU413" i="1"/>
  <c r="AC413" i="1" s="1"/>
  <c r="AT413" i="1"/>
  <c r="AB413" i="1" s="1"/>
  <c r="AS413" i="1"/>
  <c r="AA413" i="1" s="1"/>
  <c r="AO413" i="1"/>
  <c r="AN413" i="1"/>
  <c r="AM413" i="1"/>
  <c r="AL413" i="1"/>
  <c r="AK413" i="1"/>
  <c r="AJ413" i="1"/>
  <c r="AI413" i="1"/>
  <c r="AH413" i="1"/>
  <c r="AG413" i="1"/>
  <c r="AF413" i="1"/>
  <c r="Z413" i="1"/>
  <c r="W413" i="1"/>
  <c r="X413" i="1" s="1"/>
  <c r="V413" i="1"/>
  <c r="T413" i="1"/>
  <c r="R413" i="1"/>
  <c r="Q413" i="1" a="1"/>
  <c r="Q413" i="1" s="1"/>
  <c r="P413" i="1"/>
  <c r="N413" i="1"/>
  <c r="L413" i="1"/>
  <c r="K413" i="1" a="1"/>
  <c r="K413" i="1" s="1"/>
  <c r="U413" i="1" s="1"/>
  <c r="J413" i="1" a="1"/>
  <c r="J413" i="1" s="1"/>
  <c r="H413" i="1" a="1"/>
  <c r="H413" i="1" s="1"/>
  <c r="AT412" i="1"/>
  <c r="AB412" i="1" s="1"/>
  <c r="AS412" i="1"/>
  <c r="AA412" i="1" s="1"/>
  <c r="AO412" i="1"/>
  <c r="AN412" i="1"/>
  <c r="AM412" i="1"/>
  <c r="AL412" i="1"/>
  <c r="AK412" i="1"/>
  <c r="AJ412" i="1"/>
  <c r="AI412" i="1"/>
  <c r="AH412" i="1"/>
  <c r="AG412" i="1"/>
  <c r="AF412" i="1"/>
  <c r="AE412" i="1"/>
  <c r="AD412" i="1"/>
  <c r="AC412" i="1"/>
  <c r="Z412" i="1"/>
  <c r="W412" i="1"/>
  <c r="Y412" i="1" s="1"/>
  <c r="V412" i="1"/>
  <c r="L412" i="1"/>
  <c r="K412" i="1" a="1"/>
  <c r="K412" i="1" s="1"/>
  <c r="J412" i="1" a="1"/>
  <c r="J412" i="1" s="1"/>
  <c r="H412" i="1" a="1"/>
  <c r="H412" i="1" s="1"/>
  <c r="AS411" i="1"/>
  <c r="AA411" i="1" s="1"/>
  <c r="AO411" i="1"/>
  <c r="AN411" i="1"/>
  <c r="AM411" i="1"/>
  <c r="AL411" i="1"/>
  <c r="AK411" i="1"/>
  <c r="AJ411" i="1"/>
  <c r="AI411" i="1"/>
  <c r="AH411" i="1"/>
  <c r="AG411" i="1"/>
  <c r="AF411" i="1"/>
  <c r="AE411" i="1"/>
  <c r="AD411" i="1"/>
  <c r="AC411" i="1"/>
  <c r="AB411" i="1"/>
  <c r="Z411" i="1"/>
  <c r="W411" i="1"/>
  <c r="Y411" i="1" s="1"/>
  <c r="V411" i="1"/>
  <c r="T411" i="1"/>
  <c r="R411" i="1"/>
  <c r="Q411" i="1" a="1"/>
  <c r="Q411" i="1" s="1"/>
  <c r="P411" i="1"/>
  <c r="N411" i="1"/>
  <c r="L411" i="1"/>
  <c r="K411" i="1" a="1"/>
  <c r="K411" i="1" s="1"/>
  <c r="U411" i="1" s="1"/>
  <c r="J411" i="1" a="1"/>
  <c r="J411" i="1" s="1"/>
  <c r="H411" i="1" a="1"/>
  <c r="H411" i="1" s="1"/>
  <c r="AS410" i="1"/>
  <c r="AA410" i="1" s="1"/>
  <c r="AO410" i="1"/>
  <c r="AN410" i="1"/>
  <c r="AM410" i="1"/>
  <c r="AL410" i="1"/>
  <c r="AK410" i="1"/>
  <c r="AJ410" i="1"/>
  <c r="AI410" i="1"/>
  <c r="AH410" i="1"/>
  <c r="AG410" i="1"/>
  <c r="AF410" i="1"/>
  <c r="AE410" i="1"/>
  <c r="AD410" i="1"/>
  <c r="AC410" i="1"/>
  <c r="AB410" i="1"/>
  <c r="Z410" i="1"/>
  <c r="W410" i="1"/>
  <c r="X410" i="1" s="1"/>
  <c r="V410" i="1"/>
  <c r="T410" i="1"/>
  <c r="R410" i="1"/>
  <c r="Q410" i="1" a="1"/>
  <c r="Q410" i="1" s="1"/>
  <c r="P410" i="1"/>
  <c r="N410" i="1"/>
  <c r="L410" i="1"/>
  <c r="K410" i="1" a="1"/>
  <c r="K410" i="1" s="1"/>
  <c r="U410" i="1" s="1"/>
  <c r="J410" i="1" a="1"/>
  <c r="J410" i="1" s="1"/>
  <c r="H410" i="1" a="1"/>
  <c r="H410" i="1" s="1"/>
  <c r="I410" i="1" s="1"/>
  <c r="S410" i="1" s="1"/>
  <c r="AS409" i="1"/>
  <c r="AA409" i="1" s="1"/>
  <c r="AO409" i="1"/>
  <c r="AN409" i="1"/>
  <c r="AM409" i="1"/>
  <c r="AL409" i="1"/>
  <c r="AK409" i="1"/>
  <c r="AJ409" i="1"/>
  <c r="AI409" i="1"/>
  <c r="AH409" i="1"/>
  <c r="AG409" i="1"/>
  <c r="AF409" i="1"/>
  <c r="AE409" i="1"/>
  <c r="AD409" i="1"/>
  <c r="AC409" i="1"/>
  <c r="AB409" i="1"/>
  <c r="Z409" i="1"/>
  <c r="W409" i="1"/>
  <c r="Y409" i="1" s="1"/>
  <c r="V409" i="1"/>
  <c r="T409" i="1"/>
  <c r="R409" i="1"/>
  <c r="Q409" i="1" a="1"/>
  <c r="Q409" i="1" s="1"/>
  <c r="P409" i="1"/>
  <c r="N409" i="1"/>
  <c r="L409" i="1"/>
  <c r="K409" i="1" a="1"/>
  <c r="K409" i="1" s="1"/>
  <c r="U409" i="1" s="1"/>
  <c r="J409" i="1" a="1"/>
  <c r="J409" i="1" s="1"/>
  <c r="H409" i="1" a="1"/>
  <c r="H409" i="1" s="1"/>
  <c r="AS408" i="1"/>
  <c r="AA408" i="1" s="1"/>
  <c r="AO408" i="1"/>
  <c r="AN408" i="1"/>
  <c r="AM408" i="1"/>
  <c r="AL408" i="1"/>
  <c r="AK408" i="1"/>
  <c r="AJ408" i="1"/>
  <c r="AI408" i="1"/>
  <c r="AH408" i="1"/>
  <c r="AG408" i="1"/>
  <c r="AF408" i="1"/>
  <c r="AE408" i="1"/>
  <c r="AD408" i="1"/>
  <c r="AC408" i="1"/>
  <c r="AB408" i="1"/>
  <c r="Z408" i="1"/>
  <c r="W408" i="1"/>
  <c r="Y408" i="1" s="1"/>
  <c r="V408" i="1"/>
  <c r="T408" i="1"/>
  <c r="R408" i="1"/>
  <c r="Q408" i="1" a="1"/>
  <c r="Q408" i="1" s="1"/>
  <c r="P408" i="1"/>
  <c r="N408" i="1"/>
  <c r="L408" i="1"/>
  <c r="K408" i="1" a="1"/>
  <c r="K408" i="1" s="1"/>
  <c r="U408" i="1" s="1"/>
  <c r="J408" i="1" a="1"/>
  <c r="J408" i="1" s="1"/>
  <c r="H408" i="1" a="1"/>
  <c r="H408" i="1" s="1"/>
  <c r="AS407" i="1"/>
  <c r="AA407" i="1" s="1"/>
  <c r="AO407" i="1"/>
  <c r="AN407" i="1"/>
  <c r="AM407" i="1"/>
  <c r="AL407" i="1"/>
  <c r="AK407" i="1"/>
  <c r="AJ407" i="1"/>
  <c r="AI407" i="1"/>
  <c r="AH407" i="1"/>
  <c r="AG407" i="1"/>
  <c r="AF407" i="1"/>
  <c r="AE407" i="1"/>
  <c r="AD407" i="1"/>
  <c r="AC407" i="1"/>
  <c r="AB407" i="1"/>
  <c r="Z407" i="1"/>
  <c r="W407" i="1"/>
  <c r="Y407" i="1" s="1"/>
  <c r="V407" i="1"/>
  <c r="T407" i="1"/>
  <c r="R407" i="1"/>
  <c r="Q407" i="1" a="1"/>
  <c r="Q407" i="1" s="1"/>
  <c r="P407" i="1"/>
  <c r="N407" i="1"/>
  <c r="L407" i="1"/>
  <c r="K407" i="1" a="1"/>
  <c r="K407" i="1" s="1"/>
  <c r="U407" i="1" s="1"/>
  <c r="J407" i="1" a="1"/>
  <c r="J407" i="1" s="1"/>
  <c r="H407" i="1" a="1"/>
  <c r="H407" i="1" s="1"/>
  <c r="I407" i="1" s="1"/>
  <c r="S407" i="1" s="1"/>
  <c r="AS406" i="1"/>
  <c r="AA406" i="1" s="1"/>
  <c r="AO406" i="1"/>
  <c r="AN406" i="1"/>
  <c r="AM406" i="1"/>
  <c r="AL406" i="1"/>
  <c r="AK406" i="1"/>
  <c r="AJ406" i="1"/>
  <c r="AI406" i="1"/>
  <c r="AH406" i="1"/>
  <c r="AG406" i="1"/>
  <c r="AF406" i="1"/>
  <c r="AE406" i="1"/>
  <c r="AD406" i="1"/>
  <c r="AC406" i="1"/>
  <c r="AB406" i="1"/>
  <c r="Z406" i="1"/>
  <c r="W406" i="1"/>
  <c r="X406" i="1" s="1"/>
  <c r="V406" i="1"/>
  <c r="T406" i="1"/>
  <c r="R406" i="1"/>
  <c r="Q406" i="1" a="1"/>
  <c r="Q406" i="1" s="1"/>
  <c r="P406" i="1"/>
  <c r="N406" i="1"/>
  <c r="L406" i="1"/>
  <c r="K406" i="1" a="1"/>
  <c r="K406" i="1" s="1"/>
  <c r="U406" i="1" s="1"/>
  <c r="J406" i="1" a="1"/>
  <c r="J406" i="1" s="1"/>
  <c r="H406" i="1" a="1"/>
  <c r="H406" i="1" s="1"/>
  <c r="I406" i="1" s="1"/>
  <c r="S406" i="1" s="1"/>
  <c r="AS405" i="1"/>
  <c r="AA405" i="1" s="1"/>
  <c r="AO405" i="1"/>
  <c r="AN405" i="1"/>
  <c r="AM405" i="1"/>
  <c r="AL405" i="1"/>
  <c r="AK405" i="1"/>
  <c r="AJ405" i="1"/>
  <c r="AI405" i="1"/>
  <c r="AH405" i="1"/>
  <c r="AG405" i="1"/>
  <c r="AF405" i="1"/>
  <c r="AE405" i="1"/>
  <c r="AD405" i="1"/>
  <c r="AC405" i="1"/>
  <c r="AB405" i="1"/>
  <c r="Z405" i="1"/>
  <c r="W405" i="1"/>
  <c r="Y405" i="1" s="1"/>
  <c r="V405" i="1"/>
  <c r="T405" i="1"/>
  <c r="R405" i="1"/>
  <c r="Q405" i="1" a="1"/>
  <c r="Q405" i="1" s="1"/>
  <c r="P405" i="1"/>
  <c r="N405" i="1"/>
  <c r="L405" i="1"/>
  <c r="K405" i="1" a="1"/>
  <c r="K405" i="1" s="1"/>
  <c r="U405" i="1" s="1"/>
  <c r="J405" i="1" a="1"/>
  <c r="J405" i="1" s="1"/>
  <c r="H405" i="1" a="1"/>
  <c r="H405" i="1" s="1"/>
  <c r="AS404" i="1"/>
  <c r="AA404" i="1" s="1"/>
  <c r="AO404" i="1"/>
  <c r="AN404" i="1"/>
  <c r="AM404" i="1"/>
  <c r="AL404" i="1"/>
  <c r="AK404" i="1"/>
  <c r="AJ404" i="1"/>
  <c r="AI404" i="1"/>
  <c r="AH404" i="1"/>
  <c r="AG404" i="1"/>
  <c r="AF404" i="1"/>
  <c r="AE404" i="1"/>
  <c r="AD404" i="1"/>
  <c r="AC404" i="1"/>
  <c r="AB404" i="1"/>
  <c r="Z404" i="1"/>
  <c r="W404" i="1"/>
  <c r="Y404" i="1" s="1"/>
  <c r="V404" i="1"/>
  <c r="T404" i="1"/>
  <c r="R404" i="1"/>
  <c r="Q404" i="1" a="1"/>
  <c r="Q404" i="1" s="1"/>
  <c r="P404" i="1"/>
  <c r="N404" i="1"/>
  <c r="L404" i="1"/>
  <c r="K404" i="1" a="1"/>
  <c r="K404" i="1" s="1"/>
  <c r="U404" i="1" s="1"/>
  <c r="J404" i="1" a="1"/>
  <c r="J404" i="1" s="1"/>
  <c r="H404" i="1" a="1"/>
  <c r="H404" i="1" s="1"/>
  <c r="AS403" i="1"/>
  <c r="AA403" i="1" s="1"/>
  <c r="AO403" i="1"/>
  <c r="AN403" i="1"/>
  <c r="AM403" i="1"/>
  <c r="AL403" i="1"/>
  <c r="AK403" i="1"/>
  <c r="AJ403" i="1"/>
  <c r="AI403" i="1"/>
  <c r="AH403" i="1"/>
  <c r="AG403" i="1"/>
  <c r="AF403" i="1"/>
  <c r="AE403" i="1"/>
  <c r="AD403" i="1"/>
  <c r="AC403" i="1"/>
  <c r="AB403" i="1"/>
  <c r="Z403" i="1"/>
  <c r="W403" i="1"/>
  <c r="Y403" i="1" s="1"/>
  <c r="V403" i="1"/>
  <c r="AS402" i="1"/>
  <c r="AA402" i="1" s="1"/>
  <c r="AO402" i="1"/>
  <c r="AN402" i="1"/>
  <c r="AM402" i="1"/>
  <c r="AL402" i="1"/>
  <c r="AK402" i="1"/>
  <c r="AJ402" i="1"/>
  <c r="AI402" i="1"/>
  <c r="AH402" i="1"/>
  <c r="AG402" i="1"/>
  <c r="AF402" i="1"/>
  <c r="AE402" i="1"/>
  <c r="AD402" i="1"/>
  <c r="AC402" i="1"/>
  <c r="AB402" i="1"/>
  <c r="Z402" i="1"/>
  <c r="W402" i="1"/>
  <c r="Y402" i="1" s="1"/>
  <c r="V402" i="1"/>
  <c r="T402" i="1"/>
  <c r="R402" i="1"/>
  <c r="Q402" i="1" a="1"/>
  <c r="Q402" i="1" s="1"/>
  <c r="P402" i="1"/>
  <c r="N402" i="1"/>
  <c r="L402" i="1"/>
  <c r="K402" i="1" a="1"/>
  <c r="K402" i="1" s="1"/>
  <c r="U402" i="1" s="1"/>
  <c r="J402" i="1" a="1"/>
  <c r="J402" i="1" s="1"/>
  <c r="H402" i="1" a="1"/>
  <c r="H402" i="1" s="1"/>
  <c r="AS401" i="1"/>
  <c r="AA401" i="1" s="1"/>
  <c r="AO401" i="1"/>
  <c r="AN401" i="1"/>
  <c r="AM401" i="1"/>
  <c r="AL401" i="1"/>
  <c r="AK401" i="1"/>
  <c r="AJ401" i="1"/>
  <c r="AI401" i="1"/>
  <c r="AH401" i="1"/>
  <c r="AG401" i="1"/>
  <c r="AF401" i="1"/>
  <c r="AE401" i="1"/>
  <c r="AD401" i="1"/>
  <c r="AC401" i="1"/>
  <c r="AB401" i="1"/>
  <c r="Z401" i="1"/>
  <c r="W401" i="1"/>
  <c r="Y401" i="1" s="1"/>
  <c r="V401" i="1"/>
  <c r="T401" i="1"/>
  <c r="R401" i="1"/>
  <c r="Q401" i="1" a="1"/>
  <c r="Q401" i="1" s="1"/>
  <c r="P401" i="1"/>
  <c r="N401" i="1"/>
  <c r="L401" i="1"/>
  <c r="K401" i="1" a="1"/>
  <c r="K401" i="1" s="1"/>
  <c r="U401" i="1" s="1"/>
  <c r="J401" i="1" a="1"/>
  <c r="J401" i="1" s="1"/>
  <c r="H401" i="1" a="1"/>
  <c r="H401" i="1" s="1"/>
  <c r="AS400" i="1"/>
  <c r="AA400" i="1" s="1"/>
  <c r="AO400" i="1"/>
  <c r="AN400" i="1"/>
  <c r="AM400" i="1"/>
  <c r="AL400" i="1"/>
  <c r="AK400" i="1"/>
  <c r="AJ400" i="1"/>
  <c r="AI400" i="1"/>
  <c r="AH400" i="1"/>
  <c r="AG400" i="1"/>
  <c r="AF400" i="1"/>
  <c r="AE400" i="1"/>
  <c r="AD400" i="1"/>
  <c r="AC400" i="1"/>
  <c r="AB400" i="1"/>
  <c r="Z400" i="1"/>
  <c r="W400" i="1"/>
  <c r="Y400" i="1" s="1"/>
  <c r="V400" i="1"/>
  <c r="T400" i="1"/>
  <c r="R400" i="1"/>
  <c r="Q400" i="1" a="1"/>
  <c r="Q400" i="1" s="1"/>
  <c r="P400" i="1"/>
  <c r="N400" i="1"/>
  <c r="L400" i="1"/>
  <c r="K400" i="1" a="1"/>
  <c r="K400" i="1" s="1"/>
  <c r="U400" i="1" s="1"/>
  <c r="J400" i="1" a="1"/>
  <c r="J400" i="1" s="1"/>
  <c r="H400" i="1" a="1"/>
  <c r="H400" i="1" s="1"/>
  <c r="AS399" i="1"/>
  <c r="AA399" i="1" s="1"/>
  <c r="AO399" i="1"/>
  <c r="AN399" i="1"/>
  <c r="AM399" i="1"/>
  <c r="AL399" i="1"/>
  <c r="AK399" i="1"/>
  <c r="AJ399" i="1"/>
  <c r="AI399" i="1"/>
  <c r="AH399" i="1"/>
  <c r="AG399" i="1"/>
  <c r="AF399" i="1"/>
  <c r="AE399" i="1"/>
  <c r="AD399" i="1"/>
  <c r="AC399" i="1"/>
  <c r="AB399" i="1"/>
  <c r="Z399" i="1"/>
  <c r="W399" i="1"/>
  <c r="X399" i="1" s="1"/>
  <c r="V399" i="1"/>
  <c r="T399" i="1"/>
  <c r="R399" i="1"/>
  <c r="Q399" i="1" a="1"/>
  <c r="Q399" i="1" s="1"/>
  <c r="P399" i="1"/>
  <c r="N399" i="1"/>
  <c r="L399" i="1"/>
  <c r="K399" i="1" a="1"/>
  <c r="K399" i="1" s="1"/>
  <c r="U399" i="1" s="1"/>
  <c r="J399" i="1" a="1"/>
  <c r="J399" i="1" s="1"/>
  <c r="H399" i="1" a="1"/>
  <c r="H399" i="1" s="1"/>
  <c r="AS398" i="1"/>
  <c r="AA398" i="1" s="1"/>
  <c r="AO398" i="1"/>
  <c r="AN398" i="1"/>
  <c r="AM398" i="1"/>
  <c r="AL398" i="1"/>
  <c r="AK398" i="1"/>
  <c r="AJ398" i="1"/>
  <c r="AI398" i="1"/>
  <c r="AH398" i="1"/>
  <c r="AG398" i="1"/>
  <c r="AF398" i="1"/>
  <c r="AE398" i="1"/>
  <c r="AD398" i="1"/>
  <c r="AC398" i="1"/>
  <c r="AB398" i="1"/>
  <c r="Z398" i="1"/>
  <c r="W398" i="1"/>
  <c r="Y398" i="1" s="1"/>
  <c r="V398" i="1"/>
  <c r="T398" i="1"/>
  <c r="R398" i="1"/>
  <c r="Q398" i="1" a="1"/>
  <c r="Q398" i="1" s="1"/>
  <c r="P398" i="1"/>
  <c r="N398" i="1"/>
  <c r="L398" i="1"/>
  <c r="K398" i="1" a="1"/>
  <c r="K398" i="1" s="1"/>
  <c r="U398" i="1" s="1"/>
  <c r="J398" i="1" a="1"/>
  <c r="J398" i="1" s="1"/>
  <c r="H398" i="1" a="1"/>
  <c r="H398" i="1" s="1"/>
  <c r="AX397" i="1"/>
  <c r="AF397" i="1" s="1"/>
  <c r="AW397" i="1"/>
  <c r="AE397" i="1" s="1"/>
  <c r="AV397" i="1"/>
  <c r="AD397" i="1" s="1"/>
  <c r="AU397" i="1"/>
  <c r="AC397" i="1" s="1"/>
  <c r="AT397" i="1"/>
  <c r="AB397" i="1" s="1"/>
  <c r="AS397" i="1"/>
  <c r="AA397" i="1" s="1"/>
  <c r="AO397" i="1"/>
  <c r="AN397" i="1"/>
  <c r="AM397" i="1"/>
  <c r="AL397" i="1"/>
  <c r="AK397" i="1"/>
  <c r="AJ397" i="1"/>
  <c r="AI397" i="1"/>
  <c r="AH397" i="1"/>
  <c r="AG397" i="1"/>
  <c r="Z397" i="1"/>
  <c r="W397" i="1"/>
  <c r="Y397" i="1" s="1"/>
  <c r="V397" i="1"/>
  <c r="T397" i="1"/>
  <c r="R397" i="1"/>
  <c r="Q397" i="1" a="1"/>
  <c r="Q397" i="1" s="1"/>
  <c r="P397" i="1"/>
  <c r="N397" i="1"/>
  <c r="L397" i="1"/>
  <c r="K397" i="1" a="1"/>
  <c r="K397" i="1" s="1"/>
  <c r="U397" i="1" s="1"/>
  <c r="J397" i="1" a="1"/>
  <c r="J397" i="1" s="1"/>
  <c r="H397" i="1" a="1"/>
  <c r="H397" i="1" s="1"/>
  <c r="AS396" i="1"/>
  <c r="AA396" i="1" s="1"/>
  <c r="AO396" i="1"/>
  <c r="AN396" i="1"/>
  <c r="AM396" i="1"/>
  <c r="AL396" i="1"/>
  <c r="AK396" i="1"/>
  <c r="AJ396" i="1"/>
  <c r="AI396" i="1"/>
  <c r="AH396" i="1"/>
  <c r="AG396" i="1"/>
  <c r="AF396" i="1"/>
  <c r="AE396" i="1"/>
  <c r="AD396" i="1"/>
  <c r="AC396" i="1"/>
  <c r="AB396" i="1"/>
  <c r="Z396" i="1"/>
  <c r="W396" i="1"/>
  <c r="Y396" i="1" s="1"/>
  <c r="V396" i="1"/>
  <c r="T396" i="1"/>
  <c r="R396" i="1"/>
  <c r="Q396" i="1" a="1"/>
  <c r="Q396" i="1" s="1"/>
  <c r="P396" i="1"/>
  <c r="N396" i="1"/>
  <c r="L396" i="1"/>
  <c r="K396" i="1" a="1"/>
  <c r="K396" i="1" s="1"/>
  <c r="U396" i="1" s="1"/>
  <c r="J396" i="1" a="1"/>
  <c r="J396" i="1" s="1"/>
  <c r="H396" i="1" a="1"/>
  <c r="H396" i="1" s="1"/>
  <c r="I396" i="1" s="1"/>
  <c r="S396" i="1" s="1"/>
  <c r="AS395" i="1"/>
  <c r="AA395" i="1" s="1"/>
  <c r="AO395" i="1"/>
  <c r="AN395" i="1"/>
  <c r="AM395" i="1"/>
  <c r="AL395" i="1"/>
  <c r="AK395" i="1"/>
  <c r="AJ395" i="1"/>
  <c r="AI395" i="1"/>
  <c r="AH395" i="1"/>
  <c r="AG395" i="1"/>
  <c r="AF395" i="1"/>
  <c r="AE395" i="1"/>
  <c r="AD395" i="1"/>
  <c r="AC395" i="1"/>
  <c r="AB395" i="1"/>
  <c r="Z395" i="1"/>
  <c r="W395" i="1"/>
  <c r="V395" i="1"/>
  <c r="T395" i="1"/>
  <c r="R395" i="1"/>
  <c r="Q395" i="1" a="1"/>
  <c r="Q395" i="1" s="1"/>
  <c r="P395" i="1"/>
  <c r="N395" i="1"/>
  <c r="L395" i="1"/>
  <c r="K395" i="1" a="1"/>
  <c r="K395" i="1" s="1"/>
  <c r="U395" i="1" s="1"/>
  <c r="J395" i="1" a="1"/>
  <c r="J395" i="1" s="1"/>
  <c r="H395" i="1" a="1"/>
  <c r="H395" i="1" s="1"/>
  <c r="AS394" i="1"/>
  <c r="AA394" i="1" s="1"/>
  <c r="AO394" i="1"/>
  <c r="AN394" i="1"/>
  <c r="AM394" i="1"/>
  <c r="AL394" i="1"/>
  <c r="AK394" i="1"/>
  <c r="AJ394" i="1"/>
  <c r="AI394" i="1"/>
  <c r="AH394" i="1"/>
  <c r="AG394" i="1"/>
  <c r="AF394" i="1"/>
  <c r="AE394" i="1"/>
  <c r="AD394" i="1"/>
  <c r="AC394" i="1"/>
  <c r="AB394" i="1"/>
  <c r="Z394" i="1"/>
  <c r="W394" i="1"/>
  <c r="Y394" i="1" s="1"/>
  <c r="V394" i="1"/>
  <c r="T394" i="1"/>
  <c r="R394" i="1"/>
  <c r="Q394" i="1" a="1"/>
  <c r="Q394" i="1" s="1"/>
  <c r="P394" i="1"/>
  <c r="N394" i="1"/>
  <c r="L394" i="1"/>
  <c r="K394" i="1" a="1"/>
  <c r="K394" i="1" s="1"/>
  <c r="U394" i="1" s="1"/>
  <c r="J394" i="1" a="1"/>
  <c r="J394" i="1" s="1"/>
  <c r="H394" i="1" a="1"/>
  <c r="H394" i="1" s="1"/>
  <c r="AV393" i="1"/>
  <c r="AD393" i="1" s="1"/>
  <c r="AU393" i="1"/>
  <c r="AC393" i="1" s="1"/>
  <c r="AT393" i="1"/>
  <c r="AB393" i="1" s="1"/>
  <c r="AS393" i="1"/>
  <c r="AA393" i="1" s="1"/>
  <c r="AO393" i="1"/>
  <c r="AN393" i="1"/>
  <c r="AM393" i="1"/>
  <c r="AL393" i="1"/>
  <c r="AK393" i="1"/>
  <c r="AJ393" i="1"/>
  <c r="AI393" i="1"/>
  <c r="AH393" i="1"/>
  <c r="AG393" i="1"/>
  <c r="AF393" i="1"/>
  <c r="AE393" i="1"/>
  <c r="Z393" i="1"/>
  <c r="W393" i="1"/>
  <c r="Y393" i="1" s="1"/>
  <c r="V393" i="1"/>
  <c r="T393" i="1"/>
  <c r="R393" i="1"/>
  <c r="Q393" i="1" a="1"/>
  <c r="Q393" i="1" s="1"/>
  <c r="P393" i="1"/>
  <c r="N393" i="1"/>
  <c r="L393" i="1"/>
  <c r="K393" i="1" a="1"/>
  <c r="K393" i="1" s="1"/>
  <c r="U393" i="1" s="1"/>
  <c r="J393" i="1" a="1"/>
  <c r="J393" i="1" s="1"/>
  <c r="H393" i="1" a="1"/>
  <c r="H393" i="1" s="1"/>
  <c r="AS392" i="1"/>
  <c r="AA392" i="1" s="1"/>
  <c r="AO392" i="1"/>
  <c r="AN392" i="1"/>
  <c r="AM392" i="1"/>
  <c r="AL392" i="1"/>
  <c r="AK392" i="1"/>
  <c r="AJ392" i="1"/>
  <c r="AI392" i="1"/>
  <c r="AH392" i="1"/>
  <c r="AG392" i="1"/>
  <c r="AF392" i="1"/>
  <c r="AE392" i="1"/>
  <c r="AD392" i="1"/>
  <c r="AC392" i="1"/>
  <c r="AB392" i="1"/>
  <c r="Z392" i="1"/>
  <c r="W392" i="1"/>
  <c r="X392" i="1" s="1"/>
  <c r="V392" i="1"/>
  <c r="T392" i="1"/>
  <c r="R392" i="1"/>
  <c r="Q392" i="1" a="1"/>
  <c r="Q392" i="1" s="1"/>
  <c r="P392" i="1"/>
  <c r="N392" i="1"/>
  <c r="L392" i="1"/>
  <c r="K392" i="1" a="1"/>
  <c r="K392" i="1" s="1"/>
  <c r="U392" i="1" s="1"/>
  <c r="J392" i="1" a="1"/>
  <c r="J392" i="1" s="1"/>
  <c r="H392" i="1" a="1"/>
  <c r="H392" i="1" s="1"/>
  <c r="I392" i="1" s="1"/>
  <c r="S392" i="1" s="1"/>
  <c r="AX391" i="1"/>
  <c r="AF391" i="1" s="1"/>
  <c r="AW391" i="1"/>
  <c r="AE391" i="1" s="1"/>
  <c r="AV391" i="1"/>
  <c r="AD391" i="1" s="1"/>
  <c r="AU391" i="1"/>
  <c r="AC391" i="1" s="1"/>
  <c r="AT391" i="1"/>
  <c r="AB391" i="1" s="1"/>
  <c r="AS391" i="1"/>
  <c r="AA391" i="1" s="1"/>
  <c r="AO391" i="1"/>
  <c r="AN391" i="1"/>
  <c r="AM391" i="1"/>
  <c r="AL391" i="1"/>
  <c r="AK391" i="1"/>
  <c r="AJ391" i="1"/>
  <c r="AI391" i="1"/>
  <c r="AH391" i="1"/>
  <c r="AG391" i="1"/>
  <c r="Z391" i="1"/>
  <c r="W391" i="1"/>
  <c r="X391" i="1" s="1"/>
  <c r="V391" i="1"/>
  <c r="T391" i="1"/>
  <c r="R391" i="1"/>
  <c r="Q391" i="1" a="1"/>
  <c r="Q391" i="1" s="1"/>
  <c r="P391" i="1"/>
  <c r="N391" i="1"/>
  <c r="L391" i="1"/>
  <c r="K391" i="1" a="1"/>
  <c r="K391" i="1" s="1"/>
  <c r="U391" i="1" s="1"/>
  <c r="J391" i="1" a="1"/>
  <c r="J391" i="1" s="1"/>
  <c r="H391" i="1" a="1"/>
  <c r="H391" i="1" s="1"/>
  <c r="I391" i="1" s="1"/>
  <c r="S391" i="1" s="1"/>
  <c r="AS390" i="1"/>
  <c r="AA390" i="1" s="1"/>
  <c r="AO390" i="1"/>
  <c r="AN390" i="1"/>
  <c r="AM390" i="1"/>
  <c r="AL390" i="1"/>
  <c r="AK390" i="1"/>
  <c r="AJ390" i="1"/>
  <c r="AI390" i="1"/>
  <c r="AH390" i="1"/>
  <c r="AG390" i="1"/>
  <c r="AF390" i="1"/>
  <c r="AE390" i="1"/>
  <c r="AD390" i="1"/>
  <c r="AC390" i="1"/>
  <c r="AB390" i="1"/>
  <c r="Z390" i="1"/>
  <c r="W390" i="1"/>
  <c r="Y390" i="1" s="1"/>
  <c r="V390" i="1"/>
  <c r="T390" i="1"/>
  <c r="R390" i="1"/>
  <c r="Q390" i="1" a="1"/>
  <c r="Q390" i="1" s="1"/>
  <c r="P390" i="1"/>
  <c r="N390" i="1"/>
  <c r="L390" i="1"/>
  <c r="K390" i="1" a="1"/>
  <c r="K390" i="1" s="1"/>
  <c r="U390" i="1" s="1"/>
  <c r="J390" i="1" a="1"/>
  <c r="J390" i="1" s="1"/>
  <c r="H390" i="1" a="1"/>
  <c r="H390" i="1" s="1"/>
  <c r="AS389" i="1"/>
  <c r="AA389" i="1" s="1"/>
  <c r="AO389" i="1"/>
  <c r="AN389" i="1"/>
  <c r="AM389" i="1"/>
  <c r="AL389" i="1"/>
  <c r="AK389" i="1"/>
  <c r="AJ389" i="1"/>
  <c r="AI389" i="1"/>
  <c r="AH389" i="1"/>
  <c r="AG389" i="1"/>
  <c r="AF389" i="1"/>
  <c r="AE389" i="1"/>
  <c r="AD389" i="1"/>
  <c r="AC389" i="1"/>
  <c r="AB389" i="1"/>
  <c r="Z389" i="1"/>
  <c r="W389" i="1"/>
  <c r="V389" i="1"/>
  <c r="T389" i="1"/>
  <c r="R389" i="1"/>
  <c r="Q389" i="1" a="1"/>
  <c r="Q389" i="1" s="1"/>
  <c r="P389" i="1"/>
  <c r="N389" i="1"/>
  <c r="L389" i="1"/>
  <c r="K389" i="1" a="1"/>
  <c r="K389" i="1" s="1"/>
  <c r="U389" i="1" s="1"/>
  <c r="J389" i="1" a="1"/>
  <c r="J389" i="1" s="1"/>
  <c r="H389" i="1" a="1"/>
  <c r="H389" i="1" s="1"/>
  <c r="AS388" i="1"/>
  <c r="AA388" i="1" s="1"/>
  <c r="AO388" i="1"/>
  <c r="AN388" i="1"/>
  <c r="AM388" i="1"/>
  <c r="AL388" i="1"/>
  <c r="AK388" i="1"/>
  <c r="AJ388" i="1"/>
  <c r="AI388" i="1"/>
  <c r="AH388" i="1"/>
  <c r="AG388" i="1"/>
  <c r="AF388" i="1"/>
  <c r="AE388" i="1"/>
  <c r="AD388" i="1"/>
  <c r="AC388" i="1"/>
  <c r="AB388" i="1"/>
  <c r="Z388" i="1"/>
  <c r="W388" i="1"/>
  <c r="Y388" i="1" s="1"/>
  <c r="V388" i="1"/>
  <c r="T388" i="1"/>
  <c r="R388" i="1"/>
  <c r="Q388" i="1" a="1"/>
  <c r="Q388" i="1" s="1"/>
  <c r="P388" i="1"/>
  <c r="N388" i="1"/>
  <c r="L388" i="1"/>
  <c r="K388" i="1" a="1"/>
  <c r="K388" i="1" s="1"/>
  <c r="U388" i="1" s="1"/>
  <c r="J388" i="1" a="1"/>
  <c r="J388" i="1" s="1"/>
  <c r="H388" i="1" a="1"/>
  <c r="H388" i="1" s="1"/>
  <c r="I388" i="1" s="1"/>
  <c r="S388" i="1" s="1"/>
  <c r="AS387" i="1"/>
  <c r="AA387" i="1" s="1"/>
  <c r="AO387" i="1"/>
  <c r="AN387" i="1"/>
  <c r="AM387" i="1"/>
  <c r="AL387" i="1"/>
  <c r="AK387" i="1"/>
  <c r="AJ387" i="1"/>
  <c r="AI387" i="1"/>
  <c r="AH387" i="1"/>
  <c r="AG387" i="1"/>
  <c r="AF387" i="1"/>
  <c r="AE387" i="1"/>
  <c r="AD387" i="1"/>
  <c r="AC387" i="1"/>
  <c r="AB387" i="1"/>
  <c r="Z387" i="1"/>
  <c r="W387" i="1"/>
  <c r="X387" i="1" s="1"/>
  <c r="V387" i="1"/>
  <c r="T387" i="1"/>
  <c r="R387" i="1"/>
  <c r="Q387" i="1" a="1"/>
  <c r="Q387" i="1" s="1"/>
  <c r="P387" i="1"/>
  <c r="N387" i="1"/>
  <c r="L387" i="1"/>
  <c r="K387" i="1" a="1"/>
  <c r="K387" i="1" s="1"/>
  <c r="U387" i="1" s="1"/>
  <c r="J387" i="1" a="1"/>
  <c r="J387" i="1" s="1"/>
  <c r="H387" i="1" a="1"/>
  <c r="H387" i="1" s="1"/>
  <c r="I387" i="1" s="1"/>
  <c r="S387" i="1" s="1"/>
  <c r="AS386" i="1"/>
  <c r="AA386" i="1" s="1"/>
  <c r="AO386" i="1"/>
  <c r="AN386" i="1"/>
  <c r="AM386" i="1"/>
  <c r="AL386" i="1"/>
  <c r="AK386" i="1"/>
  <c r="AJ386" i="1"/>
  <c r="AI386" i="1"/>
  <c r="AH386" i="1"/>
  <c r="AG386" i="1"/>
  <c r="AF386" i="1"/>
  <c r="AE386" i="1"/>
  <c r="AD386" i="1"/>
  <c r="AC386" i="1"/>
  <c r="AB386" i="1"/>
  <c r="Z386" i="1"/>
  <c r="W386" i="1"/>
  <c r="Y386" i="1" s="1"/>
  <c r="V386" i="1"/>
  <c r="T386" i="1"/>
  <c r="R386" i="1"/>
  <c r="Q386" i="1" a="1"/>
  <c r="Q386" i="1" s="1"/>
  <c r="P386" i="1"/>
  <c r="N386" i="1"/>
  <c r="L386" i="1"/>
  <c r="K386" i="1" a="1"/>
  <c r="K386" i="1" s="1"/>
  <c r="U386" i="1" s="1"/>
  <c r="J386" i="1" a="1"/>
  <c r="J386" i="1" s="1"/>
  <c r="H386" i="1" a="1"/>
  <c r="H386" i="1" s="1"/>
  <c r="Z385" i="1"/>
  <c r="X385" i="1"/>
  <c r="W385" i="1"/>
  <c r="Y385" i="1" s="1"/>
  <c r="V385" i="1"/>
  <c r="BB384" i="1"/>
  <c r="AJ384" i="1" s="1"/>
  <c r="BA384" i="1"/>
  <c r="AI384" i="1" s="1"/>
  <c r="AZ384" i="1"/>
  <c r="AH384" i="1" s="1"/>
  <c r="AY384" i="1"/>
  <c r="AG384" i="1" s="1"/>
  <c r="AX384" i="1"/>
  <c r="AF384" i="1" s="1"/>
  <c r="AW384" i="1"/>
  <c r="AE384" i="1" s="1"/>
  <c r="AV384" i="1"/>
  <c r="AD384" i="1" s="1"/>
  <c r="AU384" i="1"/>
  <c r="AC384" i="1" s="1"/>
  <c r="AT384" i="1"/>
  <c r="AB384" i="1" s="1"/>
  <c r="AS384" i="1"/>
  <c r="AA384" i="1" s="1"/>
  <c r="AO384" i="1"/>
  <c r="AN384" i="1"/>
  <c r="AM384" i="1"/>
  <c r="AL384" i="1"/>
  <c r="AK384" i="1"/>
  <c r="Z384" i="1"/>
  <c r="W384" i="1"/>
  <c r="Y384" i="1" s="1"/>
  <c r="V384" i="1"/>
  <c r="T384" i="1"/>
  <c r="R384" i="1"/>
  <c r="Q384" i="1" a="1"/>
  <c r="Q384" i="1" s="1"/>
  <c r="P384" i="1"/>
  <c r="N384" i="1"/>
  <c r="L384" i="1"/>
  <c r="K384" i="1" a="1"/>
  <c r="K384" i="1" s="1"/>
  <c r="U384" i="1" s="1"/>
  <c r="J384" i="1" a="1"/>
  <c r="J384" i="1" s="1"/>
  <c r="H384" i="1" a="1"/>
  <c r="H384" i="1" s="1"/>
  <c r="AS383" i="1"/>
  <c r="AA383" i="1" s="1"/>
  <c r="AO383" i="1"/>
  <c r="AN383" i="1"/>
  <c r="AM383" i="1"/>
  <c r="AL383" i="1"/>
  <c r="AK383" i="1"/>
  <c r="AJ383" i="1"/>
  <c r="AI383" i="1"/>
  <c r="AH383" i="1"/>
  <c r="AG383" i="1"/>
  <c r="AF383" i="1"/>
  <c r="AE383" i="1"/>
  <c r="AD383" i="1"/>
  <c r="AC383" i="1"/>
  <c r="AB383" i="1"/>
  <c r="Z383" i="1"/>
  <c r="W383" i="1"/>
  <c r="V383" i="1"/>
  <c r="AS382" i="1"/>
  <c r="AA382" i="1" s="1"/>
  <c r="AO382" i="1"/>
  <c r="AN382" i="1"/>
  <c r="AM382" i="1"/>
  <c r="AL382" i="1"/>
  <c r="AK382" i="1"/>
  <c r="AJ382" i="1"/>
  <c r="AI382" i="1"/>
  <c r="AH382" i="1"/>
  <c r="AG382" i="1"/>
  <c r="AF382" i="1"/>
  <c r="AE382" i="1"/>
  <c r="AD382" i="1"/>
  <c r="AC382" i="1"/>
  <c r="AB382" i="1"/>
  <c r="Z382" i="1"/>
  <c r="W382" i="1"/>
  <c r="V382" i="1"/>
  <c r="T382" i="1"/>
  <c r="R382" i="1"/>
  <c r="Q382" i="1" a="1"/>
  <c r="Q382" i="1" s="1"/>
  <c r="P382" i="1"/>
  <c r="N382" i="1"/>
  <c r="L382" i="1"/>
  <c r="K382" i="1" a="1"/>
  <c r="K382" i="1" s="1"/>
  <c r="U382" i="1" s="1"/>
  <c r="J382" i="1" a="1"/>
  <c r="J382" i="1" s="1"/>
  <c r="H382" i="1" a="1"/>
  <c r="H382" i="1" s="1"/>
  <c r="AS381" i="1"/>
  <c r="AA381" i="1" s="1"/>
  <c r="AO381" i="1"/>
  <c r="AN381" i="1"/>
  <c r="AM381" i="1"/>
  <c r="AL381" i="1"/>
  <c r="AK381" i="1"/>
  <c r="AJ381" i="1"/>
  <c r="AI381" i="1"/>
  <c r="AH381" i="1"/>
  <c r="AG381" i="1"/>
  <c r="AF381" i="1"/>
  <c r="AE381" i="1"/>
  <c r="AD381" i="1"/>
  <c r="AC381" i="1"/>
  <c r="AB381" i="1"/>
  <c r="Z381" i="1"/>
  <c r="W381" i="1"/>
  <c r="Y381" i="1" s="1"/>
  <c r="V381" i="1"/>
  <c r="AS380" i="1"/>
  <c r="AA380" i="1" s="1"/>
  <c r="AO380" i="1"/>
  <c r="AN380" i="1"/>
  <c r="AM380" i="1"/>
  <c r="AL380" i="1"/>
  <c r="AK380" i="1"/>
  <c r="AJ380" i="1"/>
  <c r="AI380" i="1"/>
  <c r="AH380" i="1"/>
  <c r="AG380" i="1"/>
  <c r="AF380" i="1"/>
  <c r="AE380" i="1"/>
  <c r="AD380" i="1"/>
  <c r="AC380" i="1"/>
  <c r="AB380" i="1"/>
  <c r="Z380" i="1"/>
  <c r="W380" i="1"/>
  <c r="Y380" i="1" s="1"/>
  <c r="V380" i="1"/>
  <c r="T380" i="1"/>
  <c r="R380" i="1"/>
  <c r="Q380" i="1" a="1"/>
  <c r="Q380" i="1" s="1"/>
  <c r="P380" i="1"/>
  <c r="N380" i="1"/>
  <c r="L380" i="1"/>
  <c r="K380" i="1" a="1"/>
  <c r="K380" i="1" s="1"/>
  <c r="U380" i="1" s="1"/>
  <c r="J380" i="1" a="1"/>
  <c r="J380" i="1" s="1"/>
  <c r="H380" i="1" a="1"/>
  <c r="H380" i="1" s="1"/>
  <c r="I380" i="1" s="1"/>
  <c r="S380" i="1" s="1"/>
  <c r="AS379" i="1"/>
  <c r="AA379" i="1" s="1"/>
  <c r="AO379" i="1"/>
  <c r="AN379" i="1"/>
  <c r="AM379" i="1"/>
  <c r="AL379" i="1"/>
  <c r="AK379" i="1"/>
  <c r="AJ379" i="1"/>
  <c r="AI379" i="1"/>
  <c r="AH379" i="1"/>
  <c r="AG379" i="1"/>
  <c r="AF379" i="1"/>
  <c r="AE379" i="1"/>
  <c r="AD379" i="1"/>
  <c r="AC379" i="1"/>
  <c r="AB379" i="1"/>
  <c r="Z379" i="1"/>
  <c r="W379" i="1"/>
  <c r="Y379" i="1" s="1"/>
  <c r="V379" i="1"/>
  <c r="T379" i="1"/>
  <c r="R379" i="1"/>
  <c r="Q379" i="1" a="1"/>
  <c r="Q379" i="1" s="1"/>
  <c r="P379" i="1"/>
  <c r="N379" i="1"/>
  <c r="L379" i="1"/>
  <c r="K379" i="1" a="1"/>
  <c r="K379" i="1" s="1"/>
  <c r="U379" i="1" s="1"/>
  <c r="J379" i="1" a="1"/>
  <c r="J379" i="1" s="1"/>
  <c r="H379" i="1" a="1"/>
  <c r="H379" i="1" s="1"/>
  <c r="AS378" i="1"/>
  <c r="AA378" i="1" s="1"/>
  <c r="AO378" i="1"/>
  <c r="AN378" i="1"/>
  <c r="AM378" i="1"/>
  <c r="AL378" i="1"/>
  <c r="AK378" i="1"/>
  <c r="AJ378" i="1"/>
  <c r="AI378" i="1"/>
  <c r="AH378" i="1"/>
  <c r="AG378" i="1"/>
  <c r="AF378" i="1"/>
  <c r="AE378" i="1"/>
  <c r="AD378" i="1"/>
  <c r="AC378" i="1"/>
  <c r="AB378" i="1"/>
  <c r="Z378" i="1"/>
  <c r="W378" i="1"/>
  <c r="V378" i="1"/>
  <c r="T378" i="1"/>
  <c r="R378" i="1"/>
  <c r="Q378" i="1" a="1"/>
  <c r="Q378" i="1" s="1"/>
  <c r="P378" i="1"/>
  <c r="N378" i="1"/>
  <c r="L378" i="1"/>
  <c r="K378" i="1" a="1"/>
  <c r="K378" i="1" s="1"/>
  <c r="U378" i="1" s="1"/>
  <c r="J378" i="1" a="1"/>
  <c r="J378" i="1" s="1"/>
  <c r="H378" i="1" a="1"/>
  <c r="H378" i="1" s="1"/>
  <c r="AU377" i="1"/>
  <c r="AC377" i="1" s="1"/>
  <c r="AT377" i="1"/>
  <c r="AB377" i="1" s="1"/>
  <c r="AS377" i="1"/>
  <c r="AA377" i="1" s="1"/>
  <c r="AO377" i="1"/>
  <c r="AN377" i="1"/>
  <c r="AM377" i="1"/>
  <c r="AL377" i="1"/>
  <c r="AK377" i="1"/>
  <c r="AJ377" i="1"/>
  <c r="AI377" i="1"/>
  <c r="AH377" i="1"/>
  <c r="AG377" i="1"/>
  <c r="AF377" i="1"/>
  <c r="AE377" i="1"/>
  <c r="AD377" i="1"/>
  <c r="Z377" i="1"/>
  <c r="W377" i="1"/>
  <c r="Y377" i="1" s="1"/>
  <c r="V377" i="1"/>
  <c r="T377" i="1"/>
  <c r="R377" i="1"/>
  <c r="Q377" i="1" a="1"/>
  <c r="Q377" i="1" s="1"/>
  <c r="P377" i="1"/>
  <c r="N377" i="1"/>
  <c r="L377" i="1"/>
  <c r="K377" i="1" a="1"/>
  <c r="K377" i="1" s="1"/>
  <c r="U377" i="1" s="1"/>
  <c r="J377" i="1" a="1"/>
  <c r="J377" i="1" s="1"/>
  <c r="H377" i="1" a="1"/>
  <c r="H377" i="1" s="1"/>
  <c r="AS376" i="1"/>
  <c r="AA376" i="1" s="1"/>
  <c r="AO376" i="1"/>
  <c r="AN376" i="1"/>
  <c r="AM376" i="1"/>
  <c r="AL376" i="1"/>
  <c r="AK376" i="1"/>
  <c r="AJ376" i="1"/>
  <c r="AI376" i="1"/>
  <c r="AH376" i="1"/>
  <c r="AG376" i="1"/>
  <c r="AF376" i="1"/>
  <c r="AE376" i="1"/>
  <c r="AD376" i="1"/>
  <c r="AC376" i="1"/>
  <c r="AB376" i="1"/>
  <c r="Z376" i="1"/>
  <c r="W376" i="1"/>
  <c r="Y376" i="1" s="1"/>
  <c r="V376" i="1"/>
  <c r="T376" i="1"/>
  <c r="R376" i="1"/>
  <c r="Q376" i="1" a="1"/>
  <c r="Q376" i="1" s="1"/>
  <c r="P376" i="1"/>
  <c r="N376" i="1"/>
  <c r="L376" i="1"/>
  <c r="K376" i="1" a="1"/>
  <c r="K376" i="1" s="1"/>
  <c r="U376" i="1" s="1"/>
  <c r="J376" i="1" a="1"/>
  <c r="J376" i="1" s="1"/>
  <c r="H376" i="1" a="1"/>
  <c r="H376" i="1" s="1"/>
  <c r="AS375" i="1"/>
  <c r="AA375" i="1" s="1"/>
  <c r="AO375" i="1"/>
  <c r="AN375" i="1"/>
  <c r="AM375" i="1"/>
  <c r="AL375" i="1"/>
  <c r="AK375" i="1"/>
  <c r="AJ375" i="1"/>
  <c r="AI375" i="1"/>
  <c r="AH375" i="1"/>
  <c r="AG375" i="1"/>
  <c r="AF375" i="1"/>
  <c r="AE375" i="1"/>
  <c r="AD375" i="1"/>
  <c r="AC375" i="1"/>
  <c r="AB375" i="1"/>
  <c r="Z375" i="1"/>
  <c r="W375" i="1"/>
  <c r="Y375" i="1" s="1"/>
  <c r="V375" i="1"/>
  <c r="T375" i="1"/>
  <c r="R375" i="1"/>
  <c r="Q375" i="1"/>
  <c r="Q375" i="1" a="1"/>
  <c r="P375" i="1"/>
  <c r="N375" i="1"/>
  <c r="L375" i="1"/>
  <c r="K375" i="1" a="1"/>
  <c r="K375" i="1" s="1"/>
  <c r="U375" i="1" s="1"/>
  <c r="J375" i="1" a="1"/>
  <c r="J375" i="1" s="1"/>
  <c r="H375" i="1" a="1"/>
  <c r="H375" i="1" s="1"/>
  <c r="I375" i="1" s="1"/>
  <c r="S375" i="1" s="1"/>
  <c r="AS374" i="1"/>
  <c r="AA374" i="1" s="1"/>
  <c r="AO374" i="1"/>
  <c r="AN374" i="1"/>
  <c r="AM374" i="1"/>
  <c r="AL374" i="1"/>
  <c r="AK374" i="1"/>
  <c r="AJ374" i="1"/>
  <c r="AI374" i="1"/>
  <c r="AH374" i="1"/>
  <c r="AG374" i="1"/>
  <c r="AF374" i="1"/>
  <c r="AE374" i="1"/>
  <c r="AD374" i="1"/>
  <c r="AC374" i="1"/>
  <c r="AB374" i="1"/>
  <c r="Z374" i="1"/>
  <c r="W374" i="1"/>
  <c r="Y374" i="1" s="1"/>
  <c r="V374" i="1"/>
  <c r="T374" i="1"/>
  <c r="R374" i="1"/>
  <c r="Q374" i="1" a="1"/>
  <c r="Q374" i="1" s="1"/>
  <c r="P374" i="1"/>
  <c r="N374" i="1"/>
  <c r="L374" i="1"/>
  <c r="K374" i="1" a="1"/>
  <c r="K374" i="1" s="1"/>
  <c r="U374" i="1" s="1"/>
  <c r="J374" i="1" a="1"/>
  <c r="J374" i="1" s="1"/>
  <c r="H374" i="1" a="1"/>
  <c r="H374" i="1" s="1"/>
  <c r="AS373" i="1"/>
  <c r="AA373" i="1" s="1"/>
  <c r="AO373" i="1"/>
  <c r="AN373" i="1"/>
  <c r="AM373" i="1"/>
  <c r="AL373" i="1"/>
  <c r="AK373" i="1"/>
  <c r="AJ373" i="1"/>
  <c r="AI373" i="1"/>
  <c r="AH373" i="1"/>
  <c r="AG373" i="1"/>
  <c r="AF373" i="1"/>
  <c r="AE373" i="1"/>
  <c r="AD373" i="1"/>
  <c r="AC373" i="1"/>
  <c r="AB373" i="1"/>
  <c r="Z373" i="1"/>
  <c r="W373" i="1"/>
  <c r="X373" i="1" s="1"/>
  <c r="V373" i="1"/>
  <c r="T373" i="1"/>
  <c r="R373" i="1"/>
  <c r="Q373" i="1" a="1"/>
  <c r="Q373" i="1" s="1"/>
  <c r="P373" i="1"/>
  <c r="N373" i="1"/>
  <c r="L373" i="1"/>
  <c r="K373" i="1" a="1"/>
  <c r="K373" i="1" s="1"/>
  <c r="U373" i="1" s="1"/>
  <c r="J373" i="1" a="1"/>
  <c r="J373" i="1" s="1"/>
  <c r="H373" i="1" a="1"/>
  <c r="H373" i="1" s="1"/>
  <c r="AS372" i="1"/>
  <c r="AA372" i="1" s="1"/>
  <c r="AO372" i="1"/>
  <c r="AN372" i="1"/>
  <c r="AM372" i="1"/>
  <c r="AL372" i="1"/>
  <c r="AK372" i="1"/>
  <c r="AJ372" i="1"/>
  <c r="AI372" i="1"/>
  <c r="AH372" i="1"/>
  <c r="AG372" i="1"/>
  <c r="AF372" i="1"/>
  <c r="AE372" i="1"/>
  <c r="AD372" i="1"/>
  <c r="AC372" i="1"/>
  <c r="AB372" i="1"/>
  <c r="Z372" i="1"/>
  <c r="W372" i="1"/>
  <c r="Y372" i="1" s="1"/>
  <c r="V372" i="1"/>
  <c r="T372" i="1"/>
  <c r="R372" i="1"/>
  <c r="Q372" i="1" a="1"/>
  <c r="Q372" i="1" s="1"/>
  <c r="P372" i="1"/>
  <c r="N372" i="1"/>
  <c r="L372" i="1"/>
  <c r="K372" i="1" a="1"/>
  <c r="K372" i="1" s="1"/>
  <c r="U372" i="1" s="1"/>
  <c r="J372" i="1" a="1"/>
  <c r="J372" i="1" s="1"/>
  <c r="H372" i="1" a="1"/>
  <c r="H372" i="1" s="1"/>
  <c r="AS371" i="1"/>
  <c r="AA371" i="1" s="1"/>
  <c r="AO371" i="1"/>
  <c r="AN371" i="1"/>
  <c r="AM371" i="1"/>
  <c r="AL371" i="1"/>
  <c r="AK371" i="1"/>
  <c r="AJ371" i="1"/>
  <c r="AI371" i="1"/>
  <c r="AH371" i="1"/>
  <c r="AG371" i="1"/>
  <c r="AF371" i="1"/>
  <c r="AE371" i="1"/>
  <c r="AD371" i="1"/>
  <c r="AC371" i="1"/>
  <c r="AB371" i="1"/>
  <c r="Z371" i="1"/>
  <c r="W371" i="1"/>
  <c r="Y371" i="1" s="1"/>
  <c r="V371" i="1"/>
  <c r="T371" i="1"/>
  <c r="R371" i="1"/>
  <c r="Q371" i="1" a="1"/>
  <c r="Q371" i="1" s="1"/>
  <c r="P371" i="1"/>
  <c r="N371" i="1"/>
  <c r="L371" i="1"/>
  <c r="K371" i="1" a="1"/>
  <c r="K371" i="1" s="1"/>
  <c r="U371" i="1" s="1"/>
  <c r="J371" i="1" a="1"/>
  <c r="J371" i="1" s="1"/>
  <c r="H371" i="1" a="1"/>
  <c r="H371" i="1" s="1"/>
  <c r="I371" i="1" s="1"/>
  <c r="S371" i="1" s="1"/>
  <c r="AS370" i="1"/>
  <c r="AA370" i="1" s="1"/>
  <c r="AO370" i="1"/>
  <c r="AN370" i="1"/>
  <c r="AM370" i="1"/>
  <c r="AL370" i="1"/>
  <c r="AK370" i="1"/>
  <c r="AJ370" i="1"/>
  <c r="AI370" i="1"/>
  <c r="AH370" i="1"/>
  <c r="AG370" i="1"/>
  <c r="AF370" i="1"/>
  <c r="AE370" i="1"/>
  <c r="AD370" i="1"/>
  <c r="AC370" i="1"/>
  <c r="AB370" i="1"/>
  <c r="Z370" i="1"/>
  <c r="W370" i="1"/>
  <c r="Y370" i="1" s="1"/>
  <c r="V370" i="1"/>
  <c r="T370" i="1"/>
  <c r="R370" i="1"/>
  <c r="Q370" i="1" a="1"/>
  <c r="Q370" i="1" s="1"/>
  <c r="P370" i="1"/>
  <c r="N370" i="1"/>
  <c r="L370" i="1"/>
  <c r="K370" i="1" a="1"/>
  <c r="K370" i="1" s="1"/>
  <c r="U370" i="1" s="1"/>
  <c r="J370" i="1" a="1"/>
  <c r="J370" i="1" s="1"/>
  <c r="H370" i="1" a="1"/>
  <c r="H370" i="1" s="1"/>
  <c r="AS369" i="1"/>
  <c r="AA369" i="1" s="1"/>
  <c r="AO369" i="1"/>
  <c r="AN369" i="1"/>
  <c r="AM369" i="1"/>
  <c r="AL369" i="1"/>
  <c r="AK369" i="1"/>
  <c r="AJ369" i="1"/>
  <c r="AI369" i="1"/>
  <c r="AH369" i="1"/>
  <c r="AG369" i="1"/>
  <c r="AF369" i="1"/>
  <c r="AE369" i="1"/>
  <c r="AD369" i="1"/>
  <c r="AC369" i="1"/>
  <c r="AB369" i="1"/>
  <c r="Z369" i="1"/>
  <c r="W369" i="1"/>
  <c r="X369" i="1" s="1"/>
  <c r="V369" i="1"/>
  <c r="T369" i="1"/>
  <c r="R369" i="1"/>
  <c r="Q369" i="1" a="1"/>
  <c r="Q369" i="1" s="1"/>
  <c r="P369" i="1"/>
  <c r="N369" i="1"/>
  <c r="L369" i="1"/>
  <c r="K369" i="1" a="1"/>
  <c r="K369" i="1" s="1"/>
  <c r="U369" i="1" s="1"/>
  <c r="J369" i="1" a="1"/>
  <c r="J369" i="1" s="1"/>
  <c r="H369" i="1" a="1"/>
  <c r="H369" i="1" s="1"/>
  <c r="AS368" i="1"/>
  <c r="AA368" i="1" s="1"/>
  <c r="AO368" i="1"/>
  <c r="AN368" i="1"/>
  <c r="AM368" i="1"/>
  <c r="AL368" i="1"/>
  <c r="AK368" i="1"/>
  <c r="AJ368" i="1"/>
  <c r="AI368" i="1"/>
  <c r="AH368" i="1"/>
  <c r="AG368" i="1"/>
  <c r="AF368" i="1"/>
  <c r="AE368" i="1"/>
  <c r="AD368" i="1"/>
  <c r="AC368" i="1"/>
  <c r="AB368" i="1"/>
  <c r="Z368" i="1"/>
  <c r="W368" i="1"/>
  <c r="Y368" i="1" s="1"/>
  <c r="V368" i="1"/>
  <c r="T368" i="1"/>
  <c r="R368" i="1"/>
  <c r="Q368" i="1" a="1"/>
  <c r="Q368" i="1" s="1"/>
  <c r="P368" i="1"/>
  <c r="N368" i="1"/>
  <c r="L368" i="1"/>
  <c r="K368" i="1" a="1"/>
  <c r="K368" i="1" s="1"/>
  <c r="U368" i="1" s="1"/>
  <c r="J368" i="1" a="1"/>
  <c r="J368" i="1" s="1"/>
  <c r="H368" i="1" a="1"/>
  <c r="H368" i="1" s="1"/>
  <c r="AS367" i="1"/>
  <c r="AA367" i="1" s="1"/>
  <c r="AO367" i="1"/>
  <c r="AN367" i="1"/>
  <c r="AM367" i="1"/>
  <c r="AL367" i="1"/>
  <c r="AK367" i="1"/>
  <c r="AJ367" i="1"/>
  <c r="AI367" i="1"/>
  <c r="AH367" i="1"/>
  <c r="AG367" i="1"/>
  <c r="AF367" i="1"/>
  <c r="AE367" i="1"/>
  <c r="AD367" i="1"/>
  <c r="AC367" i="1"/>
  <c r="AB367" i="1"/>
  <c r="Z367" i="1"/>
  <c r="W367" i="1"/>
  <c r="Y367" i="1" s="1"/>
  <c r="V367" i="1"/>
  <c r="T367" i="1"/>
  <c r="R367" i="1"/>
  <c r="Q367" i="1" a="1"/>
  <c r="Q367" i="1" s="1"/>
  <c r="P367" i="1"/>
  <c r="N367" i="1"/>
  <c r="L367" i="1"/>
  <c r="K367" i="1" a="1"/>
  <c r="K367" i="1" s="1"/>
  <c r="U367" i="1" s="1"/>
  <c r="J367" i="1" a="1"/>
  <c r="J367" i="1" s="1"/>
  <c r="H367" i="1" a="1"/>
  <c r="H367" i="1" s="1"/>
  <c r="I367" i="1" s="1"/>
  <c r="S367" i="1" s="1"/>
  <c r="AS366" i="1"/>
  <c r="AA366" i="1" s="1"/>
  <c r="AO366" i="1"/>
  <c r="AN366" i="1"/>
  <c r="AM366" i="1"/>
  <c r="AL366" i="1"/>
  <c r="AK366" i="1"/>
  <c r="AJ366" i="1"/>
  <c r="AI366" i="1"/>
  <c r="AH366" i="1"/>
  <c r="AG366" i="1"/>
  <c r="AF366" i="1"/>
  <c r="AE366" i="1"/>
  <c r="AD366" i="1"/>
  <c r="AC366" i="1"/>
  <c r="AB366" i="1"/>
  <c r="Z366" i="1"/>
  <c r="W366" i="1"/>
  <c r="Y366" i="1" s="1"/>
  <c r="V366" i="1"/>
  <c r="T366" i="1"/>
  <c r="R366" i="1"/>
  <c r="Q366" i="1" a="1"/>
  <c r="Q366" i="1" s="1"/>
  <c r="P366" i="1"/>
  <c r="N366" i="1"/>
  <c r="L366" i="1"/>
  <c r="K366" i="1" a="1"/>
  <c r="K366" i="1" s="1"/>
  <c r="U366" i="1" s="1"/>
  <c r="J366" i="1" a="1"/>
  <c r="J366" i="1" s="1"/>
  <c r="H366" i="1" a="1"/>
  <c r="H366" i="1" s="1"/>
  <c r="AS365" i="1"/>
  <c r="AA365" i="1" s="1"/>
  <c r="AO365" i="1"/>
  <c r="AN365" i="1"/>
  <c r="AM365" i="1"/>
  <c r="AL365" i="1"/>
  <c r="AK365" i="1"/>
  <c r="AJ365" i="1"/>
  <c r="AI365" i="1"/>
  <c r="AH365" i="1"/>
  <c r="AG365" i="1"/>
  <c r="AF365" i="1"/>
  <c r="AE365" i="1"/>
  <c r="AD365" i="1"/>
  <c r="AC365" i="1"/>
  <c r="AB365" i="1"/>
  <c r="Z365" i="1"/>
  <c r="W365" i="1"/>
  <c r="Y365" i="1" s="1"/>
  <c r="V365" i="1"/>
  <c r="T365" i="1"/>
  <c r="R365" i="1"/>
  <c r="Q365" i="1" a="1"/>
  <c r="Q365" i="1" s="1"/>
  <c r="P365" i="1"/>
  <c r="N365" i="1"/>
  <c r="L365" i="1"/>
  <c r="K365" i="1" a="1"/>
  <c r="K365" i="1" s="1"/>
  <c r="U365" i="1" s="1"/>
  <c r="J365" i="1" a="1"/>
  <c r="J365" i="1" s="1"/>
  <c r="H365" i="1" a="1"/>
  <c r="H365" i="1" s="1"/>
  <c r="AU364" i="1"/>
  <c r="AC364" i="1" s="1"/>
  <c r="AT364" i="1"/>
  <c r="AB364" i="1" s="1"/>
  <c r="AS364" i="1"/>
  <c r="AA364" i="1" s="1"/>
  <c r="AO364" i="1"/>
  <c r="AN364" i="1"/>
  <c r="AM364" i="1"/>
  <c r="AL364" i="1"/>
  <c r="AK364" i="1"/>
  <c r="AJ364" i="1"/>
  <c r="AI364" i="1"/>
  <c r="AH364" i="1"/>
  <c r="AG364" i="1"/>
  <c r="AF364" i="1"/>
  <c r="AE364" i="1"/>
  <c r="AD364" i="1"/>
  <c r="Z364" i="1"/>
  <c r="W364" i="1"/>
  <c r="X364" i="1" s="1"/>
  <c r="V364" i="1"/>
  <c r="T364" i="1"/>
  <c r="R364" i="1"/>
  <c r="Q364" i="1" a="1"/>
  <c r="Q364" i="1" s="1"/>
  <c r="P364" i="1"/>
  <c r="N364" i="1"/>
  <c r="L364" i="1"/>
  <c r="K364" i="1" a="1"/>
  <c r="K364" i="1" s="1"/>
  <c r="U364" i="1" s="1"/>
  <c r="J364" i="1" a="1"/>
  <c r="J364" i="1" s="1"/>
  <c r="H364" i="1" a="1"/>
  <c r="H364" i="1" s="1"/>
  <c r="AS363" i="1"/>
  <c r="AA363" i="1" s="1"/>
  <c r="AO363" i="1"/>
  <c r="AN363" i="1"/>
  <c r="AM363" i="1"/>
  <c r="AL363" i="1"/>
  <c r="AK363" i="1"/>
  <c r="AJ363" i="1"/>
  <c r="AI363" i="1"/>
  <c r="AH363" i="1"/>
  <c r="AG363" i="1"/>
  <c r="AF363" i="1"/>
  <c r="AE363" i="1"/>
  <c r="AD363" i="1"/>
  <c r="AC363" i="1"/>
  <c r="AB363" i="1"/>
  <c r="Z363" i="1"/>
  <c r="W363" i="1"/>
  <c r="Y363" i="1" s="1"/>
  <c r="V363" i="1"/>
  <c r="T363" i="1"/>
  <c r="R363" i="1"/>
  <c r="Q363" i="1" a="1"/>
  <c r="Q363" i="1" s="1"/>
  <c r="P363" i="1"/>
  <c r="N363" i="1"/>
  <c r="L363" i="1"/>
  <c r="K363" i="1" a="1"/>
  <c r="K363" i="1" s="1"/>
  <c r="U363" i="1" s="1"/>
  <c r="J363" i="1" a="1"/>
  <c r="J363" i="1" s="1"/>
  <c r="H363" i="1" a="1"/>
  <c r="H363" i="1" s="1"/>
  <c r="AS362" i="1"/>
  <c r="AA362" i="1" s="1"/>
  <c r="AO362" i="1"/>
  <c r="AN362" i="1"/>
  <c r="AM362" i="1"/>
  <c r="AL362" i="1"/>
  <c r="AK362" i="1"/>
  <c r="AJ362" i="1"/>
  <c r="AI362" i="1"/>
  <c r="AH362" i="1"/>
  <c r="AG362" i="1"/>
  <c r="AF362" i="1"/>
  <c r="AE362" i="1"/>
  <c r="AD362" i="1"/>
  <c r="AC362" i="1"/>
  <c r="AB362" i="1"/>
  <c r="Z362" i="1"/>
  <c r="W362" i="1"/>
  <c r="Y362" i="1" s="1"/>
  <c r="V362" i="1"/>
  <c r="T362" i="1"/>
  <c r="R362" i="1"/>
  <c r="Q362" i="1" a="1"/>
  <c r="Q362" i="1" s="1"/>
  <c r="P362" i="1"/>
  <c r="N362" i="1"/>
  <c r="L362" i="1"/>
  <c r="K362" i="1" a="1"/>
  <c r="K362" i="1" s="1"/>
  <c r="U362" i="1" s="1"/>
  <c r="J362" i="1" a="1"/>
  <c r="J362" i="1" s="1"/>
  <c r="H362" i="1" a="1"/>
  <c r="H362" i="1" s="1"/>
  <c r="AS361" i="1"/>
  <c r="AA361" i="1" s="1"/>
  <c r="AO361" i="1"/>
  <c r="AN361" i="1"/>
  <c r="AM361" i="1"/>
  <c r="AL361" i="1"/>
  <c r="AK361" i="1"/>
  <c r="AJ361" i="1"/>
  <c r="AI361" i="1"/>
  <c r="AH361" i="1"/>
  <c r="AG361" i="1"/>
  <c r="AF361" i="1"/>
  <c r="AE361" i="1"/>
  <c r="AD361" i="1"/>
  <c r="AC361" i="1"/>
  <c r="AB361" i="1"/>
  <c r="Z361" i="1"/>
  <c r="W361" i="1"/>
  <c r="Y361" i="1" s="1"/>
  <c r="V361" i="1"/>
  <c r="T361" i="1"/>
  <c r="R361" i="1"/>
  <c r="Q361" i="1" a="1"/>
  <c r="Q361" i="1" s="1"/>
  <c r="P361" i="1"/>
  <c r="N361" i="1"/>
  <c r="L361" i="1"/>
  <c r="K361" i="1" a="1"/>
  <c r="K361" i="1" s="1"/>
  <c r="U361" i="1" s="1"/>
  <c r="J361" i="1" a="1"/>
  <c r="J361" i="1" s="1"/>
  <c r="H361" i="1" a="1"/>
  <c r="H361" i="1" s="1"/>
  <c r="BA360" i="1"/>
  <c r="AI360" i="1" s="1"/>
  <c r="AZ360" i="1"/>
  <c r="AH360" i="1" s="1"/>
  <c r="AY360" i="1"/>
  <c r="AG360" i="1" s="1"/>
  <c r="AX360" i="1"/>
  <c r="AF360" i="1" s="1"/>
  <c r="AW360" i="1"/>
  <c r="AE360" i="1" s="1"/>
  <c r="AV360" i="1"/>
  <c r="AD360" i="1" s="1"/>
  <c r="AU360" i="1"/>
  <c r="AC360" i="1" s="1"/>
  <c r="AT360" i="1"/>
  <c r="AB360" i="1" s="1"/>
  <c r="AS360" i="1"/>
  <c r="AA360" i="1" s="1"/>
  <c r="AO360" i="1"/>
  <c r="AN360" i="1"/>
  <c r="AM360" i="1"/>
  <c r="AL360" i="1"/>
  <c r="AK360" i="1"/>
  <c r="AJ360" i="1"/>
  <c r="Z360" i="1"/>
  <c r="W360" i="1"/>
  <c r="X360" i="1" s="1"/>
  <c r="V360" i="1"/>
  <c r="T360" i="1"/>
  <c r="R360" i="1"/>
  <c r="Q360" i="1" a="1"/>
  <c r="Q360" i="1" s="1"/>
  <c r="P360" i="1"/>
  <c r="N360" i="1"/>
  <c r="L360" i="1"/>
  <c r="K360" i="1" a="1"/>
  <c r="K360" i="1" s="1"/>
  <c r="U360" i="1" s="1"/>
  <c r="J360" i="1" a="1"/>
  <c r="J360" i="1" s="1"/>
  <c r="H360" i="1" a="1"/>
  <c r="H360" i="1" s="1"/>
  <c r="AS359" i="1"/>
  <c r="AA359" i="1" s="1"/>
  <c r="AO359" i="1"/>
  <c r="AN359" i="1"/>
  <c r="AM359" i="1"/>
  <c r="AL359" i="1"/>
  <c r="AK359" i="1"/>
  <c r="AJ359" i="1"/>
  <c r="AI359" i="1"/>
  <c r="AH359" i="1"/>
  <c r="AG359" i="1"/>
  <c r="AF359" i="1"/>
  <c r="AE359" i="1"/>
  <c r="AD359" i="1"/>
  <c r="AC359" i="1"/>
  <c r="AB359" i="1"/>
  <c r="Z359" i="1"/>
  <c r="W359" i="1"/>
  <c r="Y359" i="1" s="1"/>
  <c r="V359" i="1"/>
  <c r="T359" i="1"/>
  <c r="R359" i="1"/>
  <c r="Q359" i="1" a="1"/>
  <c r="Q359" i="1" s="1"/>
  <c r="P359" i="1"/>
  <c r="N359" i="1"/>
  <c r="L359" i="1"/>
  <c r="K359" i="1" a="1"/>
  <c r="K359" i="1" s="1"/>
  <c r="U359" i="1" s="1"/>
  <c r="J359" i="1" a="1"/>
  <c r="J359" i="1" s="1"/>
  <c r="H359" i="1" a="1"/>
  <c r="H359" i="1" s="1"/>
  <c r="AS358" i="1"/>
  <c r="AA358" i="1" s="1"/>
  <c r="AO358" i="1"/>
  <c r="AN358" i="1"/>
  <c r="AM358" i="1"/>
  <c r="AL358" i="1"/>
  <c r="AK358" i="1"/>
  <c r="AJ358" i="1"/>
  <c r="AI358" i="1"/>
  <c r="AH358" i="1"/>
  <c r="AG358" i="1"/>
  <c r="AF358" i="1"/>
  <c r="AE358" i="1"/>
  <c r="AD358" i="1"/>
  <c r="AC358" i="1"/>
  <c r="AB358" i="1"/>
  <c r="Z358" i="1"/>
  <c r="X358" i="1"/>
  <c r="W358" i="1"/>
  <c r="Y358" i="1" s="1"/>
  <c r="V358" i="1"/>
  <c r="AS357" i="1"/>
  <c r="AA357" i="1" s="1"/>
  <c r="AO357" i="1"/>
  <c r="AN357" i="1"/>
  <c r="AM357" i="1"/>
  <c r="AL357" i="1"/>
  <c r="AK357" i="1"/>
  <c r="AJ357" i="1"/>
  <c r="AI357" i="1"/>
  <c r="AH357" i="1"/>
  <c r="AG357" i="1"/>
  <c r="AF357" i="1"/>
  <c r="AE357" i="1"/>
  <c r="AD357" i="1"/>
  <c r="AC357" i="1"/>
  <c r="AB357" i="1"/>
  <c r="Z357" i="1"/>
  <c r="W357" i="1"/>
  <c r="Y357" i="1" s="1"/>
  <c r="V357" i="1"/>
  <c r="T357" i="1"/>
  <c r="R357" i="1"/>
  <c r="Q357" i="1" a="1"/>
  <c r="Q357" i="1" s="1"/>
  <c r="P357" i="1"/>
  <c r="N357" i="1"/>
  <c r="L357" i="1"/>
  <c r="K357" i="1" a="1"/>
  <c r="K357" i="1" s="1"/>
  <c r="U357" i="1" s="1"/>
  <c r="J357" i="1" a="1"/>
  <c r="J357" i="1" s="1"/>
  <c r="H357" i="1" a="1"/>
  <c r="H357" i="1" s="1"/>
  <c r="AS356" i="1"/>
  <c r="AA356" i="1" s="1"/>
  <c r="AO356" i="1"/>
  <c r="AN356" i="1"/>
  <c r="AM356" i="1"/>
  <c r="AL356" i="1"/>
  <c r="AK356" i="1"/>
  <c r="AJ356" i="1"/>
  <c r="AI356" i="1"/>
  <c r="AH356" i="1"/>
  <c r="AG356" i="1"/>
  <c r="AF356" i="1"/>
  <c r="AE356" i="1"/>
  <c r="AD356" i="1"/>
  <c r="AC356" i="1"/>
  <c r="AB356" i="1"/>
  <c r="Z356" i="1"/>
  <c r="Y356" i="1"/>
  <c r="X356" i="1"/>
  <c r="W356" i="1"/>
  <c r="V356" i="1"/>
  <c r="T356" i="1"/>
  <c r="R356" i="1"/>
  <c r="Q356" i="1" a="1"/>
  <c r="Q356" i="1" s="1"/>
  <c r="P356" i="1"/>
  <c r="N356" i="1"/>
  <c r="L356" i="1"/>
  <c r="K356" i="1" a="1"/>
  <c r="K356" i="1" s="1"/>
  <c r="U356" i="1" s="1"/>
  <c r="J356" i="1" a="1"/>
  <c r="J356" i="1" s="1"/>
  <c r="H356" i="1" a="1"/>
  <c r="H356" i="1" s="1"/>
  <c r="AX355" i="1"/>
  <c r="AF355" i="1" s="1"/>
  <c r="AW355" i="1"/>
  <c r="AE355" i="1" s="1"/>
  <c r="AV355" i="1"/>
  <c r="AD355" i="1" s="1"/>
  <c r="AU355" i="1"/>
  <c r="AC355" i="1" s="1"/>
  <c r="AT355" i="1"/>
  <c r="AB355" i="1" s="1"/>
  <c r="AS355" i="1"/>
  <c r="AA355" i="1" s="1"/>
  <c r="AO355" i="1"/>
  <c r="AN355" i="1"/>
  <c r="AM355" i="1"/>
  <c r="AL355" i="1"/>
  <c r="AK355" i="1"/>
  <c r="AJ355" i="1"/>
  <c r="AI355" i="1"/>
  <c r="AH355" i="1"/>
  <c r="AG355" i="1"/>
  <c r="Z355" i="1"/>
  <c r="W355" i="1"/>
  <c r="X355" i="1" s="1"/>
  <c r="V355" i="1"/>
  <c r="T355" i="1"/>
  <c r="R355" i="1"/>
  <c r="Q355" i="1" a="1"/>
  <c r="Q355" i="1" s="1"/>
  <c r="P355" i="1"/>
  <c r="N355" i="1"/>
  <c r="L355" i="1"/>
  <c r="K355" i="1" a="1"/>
  <c r="K355" i="1" s="1"/>
  <c r="U355" i="1" s="1"/>
  <c r="J355" i="1" a="1"/>
  <c r="J355" i="1" s="1"/>
  <c r="H355" i="1" a="1"/>
  <c r="H355" i="1" s="1"/>
  <c r="AT354" i="1"/>
  <c r="AB354" i="1" s="1"/>
  <c r="AS354" i="1"/>
  <c r="AA354" i="1" s="1"/>
  <c r="AO354" i="1"/>
  <c r="AN354" i="1"/>
  <c r="AM354" i="1"/>
  <c r="AL354" i="1"/>
  <c r="AK354" i="1"/>
  <c r="AJ354" i="1"/>
  <c r="AI354" i="1"/>
  <c r="AH354" i="1"/>
  <c r="AG354" i="1"/>
  <c r="AF354" i="1"/>
  <c r="AE354" i="1"/>
  <c r="AD354" i="1"/>
  <c r="AC354" i="1"/>
  <c r="Z354" i="1"/>
  <c r="W354" i="1"/>
  <c r="Y354" i="1" s="1"/>
  <c r="V354" i="1"/>
  <c r="T354" i="1"/>
  <c r="R354" i="1"/>
  <c r="Q354" i="1" a="1"/>
  <c r="Q354" i="1" s="1"/>
  <c r="P354" i="1"/>
  <c r="N354" i="1"/>
  <c r="L354" i="1"/>
  <c r="K354" i="1" a="1"/>
  <c r="K354" i="1" s="1"/>
  <c r="U354" i="1" s="1"/>
  <c r="J354" i="1" a="1"/>
  <c r="J354" i="1" s="1"/>
  <c r="H354" i="1" a="1"/>
  <c r="H354" i="1" s="1"/>
  <c r="AW353" i="1"/>
  <c r="AE353" i="1" s="1"/>
  <c r="AV353" i="1"/>
  <c r="AD353" i="1" s="1"/>
  <c r="AU353" i="1"/>
  <c r="AC353" i="1" s="1"/>
  <c r="AT353" i="1"/>
  <c r="AB353" i="1" s="1"/>
  <c r="AS353" i="1"/>
  <c r="AA353" i="1" s="1"/>
  <c r="AO353" i="1"/>
  <c r="AN353" i="1"/>
  <c r="AM353" i="1"/>
  <c r="AL353" i="1"/>
  <c r="AK353" i="1"/>
  <c r="AJ353" i="1"/>
  <c r="AI353" i="1"/>
  <c r="AH353" i="1"/>
  <c r="AG353" i="1"/>
  <c r="AF353" i="1"/>
  <c r="Z353" i="1"/>
  <c r="W353" i="1"/>
  <c r="Y353" i="1" s="1"/>
  <c r="V353" i="1"/>
  <c r="T353" i="1"/>
  <c r="R353" i="1"/>
  <c r="Q353" i="1" a="1"/>
  <c r="Q353" i="1" s="1"/>
  <c r="P353" i="1"/>
  <c r="N353" i="1"/>
  <c r="L353" i="1"/>
  <c r="K353" i="1" a="1"/>
  <c r="K353" i="1" s="1"/>
  <c r="U353" i="1" s="1"/>
  <c r="J353" i="1" a="1"/>
  <c r="J353" i="1" s="1"/>
  <c r="H353" i="1" a="1"/>
  <c r="H353" i="1" s="1"/>
  <c r="I353" i="1" s="1"/>
  <c r="S353" i="1" s="1"/>
  <c r="AS352" i="1"/>
  <c r="AA352" i="1" s="1"/>
  <c r="AO352" i="1"/>
  <c r="AN352" i="1"/>
  <c r="AM352" i="1"/>
  <c r="AL352" i="1"/>
  <c r="AK352" i="1"/>
  <c r="AJ352" i="1"/>
  <c r="AI352" i="1"/>
  <c r="AH352" i="1"/>
  <c r="AG352" i="1"/>
  <c r="AF352" i="1"/>
  <c r="AE352" i="1"/>
  <c r="AD352" i="1"/>
  <c r="AC352" i="1"/>
  <c r="AB352" i="1"/>
  <c r="Z352" i="1"/>
  <c r="W352" i="1"/>
  <c r="Y352" i="1" s="1"/>
  <c r="V352" i="1"/>
  <c r="T352" i="1"/>
  <c r="R352" i="1"/>
  <c r="Q352" i="1" a="1"/>
  <c r="Q352" i="1" s="1"/>
  <c r="P352" i="1"/>
  <c r="N352" i="1"/>
  <c r="L352" i="1"/>
  <c r="K352" i="1" a="1"/>
  <c r="K352" i="1" s="1"/>
  <c r="U352" i="1" s="1"/>
  <c r="J352" i="1" a="1"/>
  <c r="J352" i="1" s="1"/>
  <c r="H352" i="1" a="1"/>
  <c r="H352" i="1" s="1"/>
  <c r="AS351" i="1"/>
  <c r="AA351" i="1" s="1"/>
  <c r="AO351" i="1"/>
  <c r="AN351" i="1"/>
  <c r="AM351" i="1"/>
  <c r="AL351" i="1"/>
  <c r="AK351" i="1"/>
  <c r="AJ351" i="1"/>
  <c r="AI351" i="1"/>
  <c r="AH351" i="1"/>
  <c r="AG351" i="1"/>
  <c r="AF351" i="1"/>
  <c r="AE351" i="1"/>
  <c r="AD351" i="1"/>
  <c r="AC351" i="1"/>
  <c r="AB351" i="1"/>
  <c r="Z351" i="1"/>
  <c r="W351" i="1"/>
  <c r="X351" i="1" s="1"/>
  <c r="V351" i="1"/>
  <c r="T351" i="1"/>
  <c r="R351" i="1"/>
  <c r="Q351" i="1" a="1"/>
  <c r="Q351" i="1" s="1"/>
  <c r="P351" i="1"/>
  <c r="N351" i="1"/>
  <c r="L351" i="1"/>
  <c r="K351" i="1" a="1"/>
  <c r="K351" i="1" s="1"/>
  <c r="U351" i="1" s="1"/>
  <c r="J351" i="1" a="1"/>
  <c r="J351" i="1" s="1"/>
  <c r="H351" i="1" a="1"/>
  <c r="H351" i="1" s="1"/>
  <c r="AS350" i="1"/>
  <c r="AA350" i="1" s="1"/>
  <c r="AO350" i="1"/>
  <c r="AN350" i="1"/>
  <c r="AM350" i="1"/>
  <c r="AL350" i="1"/>
  <c r="AK350" i="1"/>
  <c r="AJ350" i="1"/>
  <c r="AI350" i="1"/>
  <c r="AH350" i="1"/>
  <c r="AG350" i="1"/>
  <c r="AF350" i="1"/>
  <c r="AE350" i="1"/>
  <c r="AD350" i="1"/>
  <c r="AC350" i="1"/>
  <c r="AB350" i="1"/>
  <c r="Z350" i="1"/>
  <c r="W350" i="1"/>
  <c r="Y350" i="1" s="1"/>
  <c r="V350" i="1"/>
  <c r="T350" i="1"/>
  <c r="R350" i="1"/>
  <c r="Q350" i="1" a="1"/>
  <c r="Q350" i="1" s="1"/>
  <c r="P350" i="1"/>
  <c r="N350" i="1"/>
  <c r="L350" i="1"/>
  <c r="K350" i="1" a="1"/>
  <c r="K350" i="1" s="1"/>
  <c r="U350" i="1" s="1"/>
  <c r="J350" i="1" a="1"/>
  <c r="J350" i="1" s="1"/>
  <c r="H350" i="1" a="1"/>
  <c r="H350" i="1" s="1"/>
  <c r="AT349" i="1"/>
  <c r="AB349" i="1" s="1"/>
  <c r="AS349" i="1"/>
  <c r="AA349" i="1" s="1"/>
  <c r="AO349" i="1"/>
  <c r="AN349" i="1"/>
  <c r="AM349" i="1"/>
  <c r="AL349" i="1"/>
  <c r="AK349" i="1"/>
  <c r="AJ349" i="1"/>
  <c r="AI349" i="1"/>
  <c r="AH349" i="1"/>
  <c r="AG349" i="1"/>
  <c r="AF349" i="1"/>
  <c r="AE349" i="1"/>
  <c r="AD349" i="1"/>
  <c r="AC349" i="1"/>
  <c r="Z349" i="1"/>
  <c r="W349" i="1"/>
  <c r="Y349" i="1" s="1"/>
  <c r="V349" i="1"/>
  <c r="T349" i="1"/>
  <c r="R349" i="1"/>
  <c r="Q349" i="1" a="1"/>
  <c r="Q349" i="1" s="1"/>
  <c r="P349" i="1"/>
  <c r="N349" i="1"/>
  <c r="L349" i="1"/>
  <c r="K349" i="1" a="1"/>
  <c r="K349" i="1" s="1"/>
  <c r="U349" i="1" s="1"/>
  <c r="J349" i="1" a="1"/>
  <c r="J349" i="1" s="1"/>
  <c r="H349" i="1" a="1"/>
  <c r="H349" i="1" s="1"/>
  <c r="AV348" i="1"/>
  <c r="AD348" i="1" s="1"/>
  <c r="AU348" i="1"/>
  <c r="AC348" i="1" s="1"/>
  <c r="AT348" i="1"/>
  <c r="AB348" i="1" s="1"/>
  <c r="AS348" i="1"/>
  <c r="AA348" i="1" s="1"/>
  <c r="AO348" i="1"/>
  <c r="AN348" i="1"/>
  <c r="AM348" i="1"/>
  <c r="AL348" i="1"/>
  <c r="AK348" i="1"/>
  <c r="AJ348" i="1"/>
  <c r="AI348" i="1"/>
  <c r="AH348" i="1"/>
  <c r="AG348" i="1"/>
  <c r="AF348" i="1"/>
  <c r="AE348" i="1"/>
  <c r="Z348" i="1"/>
  <c r="W348" i="1"/>
  <c r="Y348" i="1" s="1"/>
  <c r="V348" i="1"/>
  <c r="T348" i="1"/>
  <c r="R348" i="1"/>
  <c r="Q348" i="1" a="1"/>
  <c r="Q348" i="1" s="1"/>
  <c r="P348" i="1"/>
  <c r="N348" i="1"/>
  <c r="L348" i="1"/>
  <c r="K348" i="1" a="1"/>
  <c r="K348" i="1" s="1"/>
  <c r="U348" i="1" s="1"/>
  <c r="J348" i="1" a="1"/>
  <c r="J348" i="1" s="1"/>
  <c r="H348" i="1" a="1"/>
  <c r="H348" i="1" s="1"/>
  <c r="AW347" i="1"/>
  <c r="AE347" i="1" s="1"/>
  <c r="AV347" i="1"/>
  <c r="AD347" i="1" s="1"/>
  <c r="AU347" i="1"/>
  <c r="AC347" i="1" s="1"/>
  <c r="AT347" i="1"/>
  <c r="AB347" i="1" s="1"/>
  <c r="AS347" i="1"/>
  <c r="AA347" i="1" s="1"/>
  <c r="AO347" i="1"/>
  <c r="AN347" i="1"/>
  <c r="AM347" i="1"/>
  <c r="AL347" i="1"/>
  <c r="AK347" i="1"/>
  <c r="AJ347" i="1"/>
  <c r="AI347" i="1"/>
  <c r="AH347" i="1"/>
  <c r="AG347" i="1"/>
  <c r="AF347" i="1"/>
  <c r="Z347" i="1"/>
  <c r="W347" i="1"/>
  <c r="X347" i="1" s="1"/>
  <c r="V347" i="1"/>
  <c r="T347" i="1"/>
  <c r="R347" i="1"/>
  <c r="Q347" i="1" a="1"/>
  <c r="Q347" i="1" s="1"/>
  <c r="P347" i="1"/>
  <c r="N347" i="1"/>
  <c r="L347" i="1"/>
  <c r="K347" i="1" a="1"/>
  <c r="K347" i="1" s="1"/>
  <c r="U347" i="1" s="1"/>
  <c r="J347" i="1" a="1"/>
  <c r="J347" i="1" s="1"/>
  <c r="H347" i="1" a="1"/>
  <c r="H347" i="1" s="1"/>
  <c r="AS346" i="1"/>
  <c r="AA346" i="1" s="1"/>
  <c r="AO346" i="1"/>
  <c r="AN346" i="1"/>
  <c r="AM346" i="1"/>
  <c r="AL346" i="1"/>
  <c r="AK346" i="1"/>
  <c r="AJ346" i="1"/>
  <c r="AI346" i="1"/>
  <c r="AH346" i="1"/>
  <c r="AG346" i="1"/>
  <c r="AF346" i="1"/>
  <c r="AE346" i="1"/>
  <c r="AD346" i="1"/>
  <c r="AC346" i="1"/>
  <c r="AB346" i="1"/>
  <c r="Z346" i="1"/>
  <c r="W346" i="1"/>
  <c r="Y346" i="1" s="1"/>
  <c r="V346" i="1"/>
  <c r="L346" i="1"/>
  <c r="K346" i="1" a="1"/>
  <c r="K346" i="1" s="1"/>
  <c r="J346" i="1" a="1"/>
  <c r="J346" i="1" s="1"/>
  <c r="H346" i="1" a="1"/>
  <c r="H346" i="1" s="1"/>
  <c r="I346" i="1" s="1"/>
  <c r="AS345" i="1"/>
  <c r="AA345" i="1" s="1"/>
  <c r="AO345" i="1"/>
  <c r="AN345" i="1"/>
  <c r="AM345" i="1"/>
  <c r="AL345" i="1"/>
  <c r="AK345" i="1"/>
  <c r="AJ345" i="1"/>
  <c r="AI345" i="1"/>
  <c r="AH345" i="1"/>
  <c r="AG345" i="1"/>
  <c r="AF345" i="1"/>
  <c r="AE345" i="1"/>
  <c r="AD345" i="1"/>
  <c r="AC345" i="1"/>
  <c r="AB345" i="1"/>
  <c r="Z345" i="1"/>
  <c r="W345" i="1"/>
  <c r="Y345" i="1" s="1"/>
  <c r="V345" i="1"/>
  <c r="T345" i="1"/>
  <c r="R345" i="1"/>
  <c r="Q345" i="1" a="1"/>
  <c r="Q345" i="1" s="1"/>
  <c r="P345" i="1"/>
  <c r="N345" i="1"/>
  <c r="L345" i="1"/>
  <c r="K345" i="1" a="1"/>
  <c r="K345" i="1" s="1"/>
  <c r="U345" i="1" s="1"/>
  <c r="J345" i="1" a="1"/>
  <c r="J345" i="1" s="1"/>
  <c r="H345" i="1" a="1"/>
  <c r="H345" i="1" s="1"/>
  <c r="AS344" i="1"/>
  <c r="AA344" i="1" s="1"/>
  <c r="AO344" i="1"/>
  <c r="AN344" i="1"/>
  <c r="AM344" i="1"/>
  <c r="AL344" i="1"/>
  <c r="AK344" i="1"/>
  <c r="AJ344" i="1"/>
  <c r="AI344" i="1"/>
  <c r="AH344" i="1"/>
  <c r="AG344" i="1"/>
  <c r="AF344" i="1"/>
  <c r="AE344" i="1"/>
  <c r="AD344" i="1"/>
  <c r="AC344" i="1"/>
  <c r="AB344" i="1"/>
  <c r="Z344" i="1"/>
  <c r="W344" i="1"/>
  <c r="X344" i="1" s="1"/>
  <c r="V344" i="1"/>
  <c r="T344" i="1"/>
  <c r="R344" i="1"/>
  <c r="Q344" i="1" a="1"/>
  <c r="Q344" i="1" s="1"/>
  <c r="P344" i="1"/>
  <c r="N344" i="1"/>
  <c r="L344" i="1"/>
  <c r="K344" i="1" a="1"/>
  <c r="K344" i="1" s="1"/>
  <c r="U344" i="1" s="1"/>
  <c r="J344" i="1" a="1"/>
  <c r="J344" i="1" s="1"/>
  <c r="H344" i="1" a="1"/>
  <c r="H344" i="1" s="1"/>
  <c r="AS343" i="1"/>
  <c r="AA343" i="1" s="1"/>
  <c r="AO343" i="1"/>
  <c r="AN343" i="1"/>
  <c r="AM343" i="1"/>
  <c r="AL343" i="1"/>
  <c r="AK343" i="1"/>
  <c r="AJ343" i="1"/>
  <c r="AI343" i="1"/>
  <c r="AH343" i="1"/>
  <c r="AG343" i="1"/>
  <c r="AF343" i="1"/>
  <c r="AE343" i="1"/>
  <c r="AD343" i="1"/>
  <c r="AC343" i="1"/>
  <c r="AB343" i="1"/>
  <c r="Z343" i="1"/>
  <c r="W343" i="1"/>
  <c r="Y343" i="1" s="1"/>
  <c r="V343" i="1"/>
  <c r="T343" i="1"/>
  <c r="R343" i="1"/>
  <c r="Q343" i="1" a="1"/>
  <c r="Q343" i="1" s="1"/>
  <c r="P343" i="1"/>
  <c r="N343" i="1"/>
  <c r="L343" i="1"/>
  <c r="K343" i="1" a="1"/>
  <c r="K343" i="1" s="1"/>
  <c r="U343" i="1" s="1"/>
  <c r="J343" i="1" a="1"/>
  <c r="J343" i="1" s="1"/>
  <c r="H343" i="1" a="1"/>
  <c r="H343" i="1" s="1"/>
  <c r="AS342" i="1"/>
  <c r="AA342" i="1" s="1"/>
  <c r="AO342" i="1"/>
  <c r="AN342" i="1"/>
  <c r="AM342" i="1"/>
  <c r="AL342" i="1"/>
  <c r="AK342" i="1"/>
  <c r="AJ342" i="1"/>
  <c r="AI342" i="1"/>
  <c r="AH342" i="1"/>
  <c r="AG342" i="1"/>
  <c r="AF342" i="1"/>
  <c r="AE342" i="1"/>
  <c r="AD342" i="1"/>
  <c r="AC342" i="1"/>
  <c r="AB342" i="1"/>
  <c r="Z342" i="1"/>
  <c r="W342" i="1"/>
  <c r="Y342" i="1" s="1"/>
  <c r="V342" i="1"/>
  <c r="T342" i="1"/>
  <c r="R342" i="1"/>
  <c r="Q342" i="1" a="1"/>
  <c r="Q342" i="1" s="1"/>
  <c r="P342" i="1"/>
  <c r="N342" i="1"/>
  <c r="L342" i="1"/>
  <c r="K342" i="1" a="1"/>
  <c r="K342" i="1" s="1"/>
  <c r="U342" i="1" s="1"/>
  <c r="J342" i="1" a="1"/>
  <c r="J342" i="1" s="1"/>
  <c r="H342" i="1" a="1"/>
  <c r="H342" i="1" s="1"/>
  <c r="I342" i="1" s="1"/>
  <c r="S342" i="1" s="1"/>
  <c r="AT341" i="1"/>
  <c r="AB341" i="1" s="1"/>
  <c r="AS341" i="1"/>
  <c r="AA341" i="1" s="1"/>
  <c r="AO341" i="1"/>
  <c r="AN341" i="1"/>
  <c r="AM341" i="1"/>
  <c r="AL341" i="1"/>
  <c r="AK341" i="1"/>
  <c r="AJ341" i="1"/>
  <c r="AI341" i="1"/>
  <c r="AH341" i="1"/>
  <c r="AG341" i="1"/>
  <c r="AF341" i="1"/>
  <c r="AE341" i="1"/>
  <c r="AD341" i="1"/>
  <c r="AC341" i="1"/>
  <c r="Z341" i="1"/>
  <c r="W341" i="1"/>
  <c r="Y341" i="1" s="1"/>
  <c r="V341" i="1"/>
  <c r="T341" i="1"/>
  <c r="R341" i="1"/>
  <c r="Q341" i="1" a="1"/>
  <c r="Q341" i="1" s="1"/>
  <c r="P341" i="1"/>
  <c r="N341" i="1"/>
  <c r="L341" i="1"/>
  <c r="K341" i="1" a="1"/>
  <c r="K341" i="1" s="1"/>
  <c r="U341" i="1" s="1"/>
  <c r="J341" i="1" a="1"/>
  <c r="J341" i="1" s="1"/>
  <c r="H341" i="1" a="1"/>
  <c r="H341" i="1" s="1"/>
  <c r="I341" i="1" s="1"/>
  <c r="S341" i="1" s="1"/>
  <c r="AT340" i="1"/>
  <c r="AB340" i="1" s="1"/>
  <c r="AS340" i="1"/>
  <c r="AA340" i="1" s="1"/>
  <c r="AO340" i="1"/>
  <c r="AN340" i="1"/>
  <c r="AM340" i="1"/>
  <c r="AL340" i="1"/>
  <c r="AK340" i="1"/>
  <c r="AJ340" i="1"/>
  <c r="AI340" i="1"/>
  <c r="AH340" i="1"/>
  <c r="AG340" i="1"/>
  <c r="AF340" i="1"/>
  <c r="AE340" i="1"/>
  <c r="AD340" i="1"/>
  <c r="AC340" i="1"/>
  <c r="Z340" i="1"/>
  <c r="W340" i="1"/>
  <c r="Y340" i="1" s="1"/>
  <c r="V340" i="1"/>
  <c r="T340" i="1"/>
  <c r="R340" i="1"/>
  <c r="Q340" i="1" a="1"/>
  <c r="Q340" i="1" s="1"/>
  <c r="P340" i="1"/>
  <c r="N340" i="1"/>
  <c r="L340" i="1"/>
  <c r="K340" i="1" a="1"/>
  <c r="K340" i="1" s="1"/>
  <c r="U340" i="1" s="1"/>
  <c r="J340" i="1" a="1"/>
  <c r="J340" i="1" s="1"/>
  <c r="H340" i="1" a="1"/>
  <c r="H340" i="1" s="1"/>
  <c r="I340" i="1" s="1"/>
  <c r="S340" i="1" s="1"/>
  <c r="AS339" i="1"/>
  <c r="AA339" i="1" s="1"/>
  <c r="AO339" i="1"/>
  <c r="AN339" i="1"/>
  <c r="AM339" i="1"/>
  <c r="AL339" i="1"/>
  <c r="AK339" i="1"/>
  <c r="AJ339" i="1"/>
  <c r="AI339" i="1"/>
  <c r="AH339" i="1"/>
  <c r="AG339" i="1"/>
  <c r="AF339" i="1"/>
  <c r="AE339" i="1"/>
  <c r="AD339" i="1"/>
  <c r="AC339" i="1"/>
  <c r="AB339" i="1"/>
  <c r="Z339" i="1"/>
  <c r="X339" i="1"/>
  <c r="W339" i="1"/>
  <c r="Y339" i="1" s="1"/>
  <c r="V339" i="1"/>
  <c r="T339" i="1"/>
  <c r="R339" i="1"/>
  <c r="Q339" i="1" a="1"/>
  <c r="Q339" i="1" s="1"/>
  <c r="P339" i="1"/>
  <c r="N339" i="1"/>
  <c r="L339" i="1"/>
  <c r="K339" i="1" a="1"/>
  <c r="K339" i="1" s="1"/>
  <c r="U339" i="1" s="1"/>
  <c r="J339" i="1" a="1"/>
  <c r="J339" i="1" s="1"/>
  <c r="H339" i="1" a="1"/>
  <c r="H339" i="1" s="1"/>
  <c r="AS338" i="1"/>
  <c r="AA338" i="1" s="1"/>
  <c r="AO338" i="1"/>
  <c r="AN338" i="1"/>
  <c r="AM338" i="1"/>
  <c r="AL338" i="1"/>
  <c r="AK338" i="1"/>
  <c r="AJ338" i="1"/>
  <c r="AI338" i="1"/>
  <c r="AH338" i="1"/>
  <c r="AG338" i="1"/>
  <c r="AF338" i="1"/>
  <c r="AE338" i="1"/>
  <c r="AD338" i="1"/>
  <c r="AC338" i="1"/>
  <c r="AB338" i="1"/>
  <c r="Z338" i="1"/>
  <c r="Y338" i="1"/>
  <c r="W338" i="1"/>
  <c r="X338" i="1" s="1"/>
  <c r="V338" i="1"/>
  <c r="AS337" i="1"/>
  <c r="AA337" i="1" s="1"/>
  <c r="AO337" i="1"/>
  <c r="AN337" i="1"/>
  <c r="AM337" i="1"/>
  <c r="AL337" i="1"/>
  <c r="AK337" i="1"/>
  <c r="AJ337" i="1"/>
  <c r="AI337" i="1"/>
  <c r="AH337" i="1"/>
  <c r="AG337" i="1"/>
  <c r="AF337" i="1"/>
  <c r="AE337" i="1"/>
  <c r="AD337" i="1"/>
  <c r="AC337" i="1"/>
  <c r="AB337" i="1"/>
  <c r="Z337" i="1"/>
  <c r="W337" i="1"/>
  <c r="Y337" i="1" s="1"/>
  <c r="V337" i="1"/>
  <c r="T337" i="1"/>
  <c r="R337" i="1"/>
  <c r="Q337" i="1" a="1"/>
  <c r="Q337" i="1" s="1"/>
  <c r="P337" i="1"/>
  <c r="N337" i="1"/>
  <c r="L337" i="1"/>
  <c r="K337" i="1" a="1"/>
  <c r="K337" i="1" s="1"/>
  <c r="U337" i="1" s="1"/>
  <c r="J337" i="1" a="1"/>
  <c r="J337" i="1" s="1"/>
  <c r="H337" i="1" a="1"/>
  <c r="H337" i="1" s="1"/>
  <c r="AS336" i="1"/>
  <c r="AA336" i="1" s="1"/>
  <c r="AO336" i="1"/>
  <c r="AN336" i="1"/>
  <c r="AM336" i="1"/>
  <c r="AL336" i="1"/>
  <c r="AK336" i="1"/>
  <c r="AJ336" i="1"/>
  <c r="AI336" i="1"/>
  <c r="AH336" i="1"/>
  <c r="AG336" i="1"/>
  <c r="AF336" i="1"/>
  <c r="AE336" i="1"/>
  <c r="AD336" i="1"/>
  <c r="AC336" i="1"/>
  <c r="AB336" i="1"/>
  <c r="Z336" i="1"/>
  <c r="W336" i="1"/>
  <c r="X336" i="1" s="1"/>
  <c r="V336" i="1"/>
  <c r="T336" i="1"/>
  <c r="R336" i="1"/>
  <c r="Q336" i="1" a="1"/>
  <c r="Q336" i="1" s="1"/>
  <c r="P336" i="1"/>
  <c r="N336" i="1"/>
  <c r="L336" i="1"/>
  <c r="K336" i="1" a="1"/>
  <c r="K336" i="1" s="1"/>
  <c r="U336" i="1" s="1"/>
  <c r="J336" i="1" a="1"/>
  <c r="J336" i="1" s="1"/>
  <c r="H336" i="1" a="1"/>
  <c r="H336" i="1" s="1"/>
  <c r="AV335" i="1"/>
  <c r="AD335" i="1" s="1"/>
  <c r="AU335" i="1"/>
  <c r="AC335" i="1" s="1"/>
  <c r="AT335" i="1"/>
  <c r="AB335" i="1" s="1"/>
  <c r="AS335" i="1"/>
  <c r="AA335" i="1" s="1"/>
  <c r="AO335" i="1"/>
  <c r="AN335" i="1"/>
  <c r="AM335" i="1"/>
  <c r="AL335" i="1"/>
  <c r="AK335" i="1"/>
  <c r="AJ335" i="1"/>
  <c r="AI335" i="1"/>
  <c r="AH335" i="1"/>
  <c r="AG335" i="1"/>
  <c r="AF335" i="1"/>
  <c r="AE335" i="1"/>
  <c r="Z335" i="1"/>
  <c r="W335" i="1"/>
  <c r="Y335" i="1" s="1"/>
  <c r="V335" i="1"/>
  <c r="T335" i="1"/>
  <c r="R335" i="1"/>
  <c r="Q335" i="1" a="1"/>
  <c r="Q335" i="1" s="1"/>
  <c r="P335" i="1"/>
  <c r="N335" i="1"/>
  <c r="L335" i="1"/>
  <c r="K335" i="1" a="1"/>
  <c r="K335" i="1" s="1"/>
  <c r="U335" i="1" s="1"/>
  <c r="J335" i="1" a="1"/>
  <c r="J335" i="1" s="1"/>
  <c r="H335" i="1" a="1"/>
  <c r="H335" i="1" s="1"/>
  <c r="AS334" i="1"/>
  <c r="AA334" i="1" s="1"/>
  <c r="AO334" i="1"/>
  <c r="AN334" i="1"/>
  <c r="AM334" i="1"/>
  <c r="AL334" i="1"/>
  <c r="AK334" i="1"/>
  <c r="AJ334" i="1"/>
  <c r="AI334" i="1"/>
  <c r="AH334" i="1"/>
  <c r="AG334" i="1"/>
  <c r="AF334" i="1"/>
  <c r="AE334" i="1"/>
  <c r="AD334" i="1"/>
  <c r="AC334" i="1"/>
  <c r="AB334" i="1"/>
  <c r="Z334" i="1"/>
  <c r="W334" i="1"/>
  <c r="Y334" i="1" s="1"/>
  <c r="V334" i="1"/>
  <c r="T334" i="1"/>
  <c r="R334" i="1"/>
  <c r="Q334" i="1" a="1"/>
  <c r="Q334" i="1" s="1"/>
  <c r="P334" i="1"/>
  <c r="N334" i="1"/>
  <c r="L334" i="1"/>
  <c r="K334" i="1" a="1"/>
  <c r="K334" i="1" s="1"/>
  <c r="U334" i="1" s="1"/>
  <c r="J334" i="1" a="1"/>
  <c r="J334" i="1" s="1"/>
  <c r="H334" i="1" a="1"/>
  <c r="H334" i="1" s="1"/>
  <c r="I334" i="1" s="1"/>
  <c r="S334" i="1" s="1"/>
  <c r="Z333" i="1"/>
  <c r="W333" i="1"/>
  <c r="Y333" i="1" s="1"/>
  <c r="V333" i="1"/>
  <c r="AS332" i="1"/>
  <c r="AA332" i="1" s="1"/>
  <c r="AO332" i="1"/>
  <c r="AN332" i="1"/>
  <c r="AM332" i="1"/>
  <c r="AL332" i="1"/>
  <c r="AK332" i="1"/>
  <c r="AJ332" i="1"/>
  <c r="AI332" i="1"/>
  <c r="AH332" i="1"/>
  <c r="AG332" i="1"/>
  <c r="AF332" i="1"/>
  <c r="AE332" i="1"/>
  <c r="AD332" i="1"/>
  <c r="AC332" i="1"/>
  <c r="AB332" i="1"/>
  <c r="Z332" i="1"/>
  <c r="W332" i="1"/>
  <c r="Y332" i="1" s="1"/>
  <c r="V332" i="1"/>
  <c r="T332" i="1"/>
  <c r="R332" i="1"/>
  <c r="Q332" i="1" a="1"/>
  <c r="Q332" i="1" s="1"/>
  <c r="P332" i="1"/>
  <c r="N332" i="1"/>
  <c r="L332" i="1"/>
  <c r="K332" i="1" a="1"/>
  <c r="K332" i="1" s="1"/>
  <c r="U332" i="1" s="1"/>
  <c r="J332" i="1" a="1"/>
  <c r="J332" i="1" s="1"/>
  <c r="H332" i="1" a="1"/>
  <c r="H332" i="1" s="1"/>
  <c r="I332" i="1" s="1"/>
  <c r="S332" i="1" s="1"/>
  <c r="AT331" i="1"/>
  <c r="AB331" i="1" s="1"/>
  <c r="AS331" i="1"/>
  <c r="AA331" i="1" s="1"/>
  <c r="AO331" i="1"/>
  <c r="AN331" i="1"/>
  <c r="AM331" i="1"/>
  <c r="AL331" i="1"/>
  <c r="AK331" i="1"/>
  <c r="AJ331" i="1"/>
  <c r="AI331" i="1"/>
  <c r="AH331" i="1"/>
  <c r="AG331" i="1"/>
  <c r="AF331" i="1"/>
  <c r="AE331" i="1"/>
  <c r="AD331" i="1"/>
  <c r="AC331" i="1"/>
  <c r="Z331" i="1"/>
  <c r="W331" i="1"/>
  <c r="Y331" i="1" s="1"/>
  <c r="V331" i="1"/>
  <c r="T331" i="1"/>
  <c r="R331" i="1"/>
  <c r="Q331" i="1" a="1"/>
  <c r="Q331" i="1" s="1"/>
  <c r="P331" i="1"/>
  <c r="N331" i="1"/>
  <c r="L331" i="1"/>
  <c r="K331" i="1" a="1"/>
  <c r="K331" i="1" s="1"/>
  <c r="U331" i="1" s="1"/>
  <c r="J331" i="1" a="1"/>
  <c r="J331" i="1" s="1"/>
  <c r="H331" i="1" a="1"/>
  <c r="H331" i="1" s="1"/>
  <c r="I331" i="1" s="1"/>
  <c r="S331" i="1" s="1"/>
  <c r="AS330" i="1"/>
  <c r="AA330" i="1" s="1"/>
  <c r="AO330" i="1"/>
  <c r="AN330" i="1"/>
  <c r="AM330" i="1"/>
  <c r="AL330" i="1"/>
  <c r="AK330" i="1"/>
  <c r="AJ330" i="1"/>
  <c r="AI330" i="1"/>
  <c r="AH330" i="1"/>
  <c r="AG330" i="1"/>
  <c r="AF330" i="1"/>
  <c r="AE330" i="1"/>
  <c r="AD330" i="1"/>
  <c r="AC330" i="1"/>
  <c r="AB330" i="1"/>
  <c r="Z330" i="1"/>
  <c r="W330" i="1"/>
  <c r="X330" i="1" s="1"/>
  <c r="V330" i="1"/>
  <c r="T330" i="1"/>
  <c r="R330" i="1"/>
  <c r="Q330" i="1" a="1"/>
  <c r="Q330" i="1" s="1"/>
  <c r="P330" i="1"/>
  <c r="N330" i="1"/>
  <c r="L330" i="1"/>
  <c r="K330" i="1" a="1"/>
  <c r="K330" i="1" s="1"/>
  <c r="U330" i="1" s="1"/>
  <c r="J330" i="1" a="1"/>
  <c r="J330" i="1" s="1"/>
  <c r="H330" i="1" a="1"/>
  <c r="H330" i="1" s="1"/>
  <c r="AS329" i="1"/>
  <c r="AA329" i="1" s="1"/>
  <c r="AO329" i="1"/>
  <c r="AN329" i="1"/>
  <c r="AM329" i="1"/>
  <c r="AL329" i="1"/>
  <c r="AK329" i="1"/>
  <c r="AJ329" i="1"/>
  <c r="AI329" i="1"/>
  <c r="AH329" i="1"/>
  <c r="AG329" i="1"/>
  <c r="AF329" i="1"/>
  <c r="AE329" i="1"/>
  <c r="AD329" i="1"/>
  <c r="AC329" i="1"/>
  <c r="AB329" i="1"/>
  <c r="Z329" i="1"/>
  <c r="W329" i="1"/>
  <c r="X329" i="1" s="1"/>
  <c r="V329" i="1"/>
  <c r="T329" i="1"/>
  <c r="R329" i="1"/>
  <c r="Q329" i="1" a="1"/>
  <c r="Q329" i="1" s="1"/>
  <c r="P329" i="1"/>
  <c r="N329" i="1"/>
  <c r="L329" i="1"/>
  <c r="K329" i="1" a="1"/>
  <c r="K329" i="1" s="1"/>
  <c r="U329" i="1" s="1"/>
  <c r="J329" i="1" a="1"/>
  <c r="J329" i="1" s="1"/>
  <c r="H329" i="1" a="1"/>
  <c r="H329" i="1" s="1"/>
  <c r="I329" i="1" s="1"/>
  <c r="S329" i="1" s="1"/>
  <c r="AT328" i="1"/>
  <c r="AB328" i="1" s="1"/>
  <c r="AS328" i="1"/>
  <c r="AA328" i="1" s="1"/>
  <c r="AO328" i="1"/>
  <c r="AN328" i="1"/>
  <c r="AM328" i="1"/>
  <c r="AL328" i="1"/>
  <c r="AK328" i="1"/>
  <c r="AJ328" i="1"/>
  <c r="AI328" i="1"/>
  <c r="AH328" i="1"/>
  <c r="AG328" i="1"/>
  <c r="AF328" i="1"/>
  <c r="AE328" i="1"/>
  <c r="AD328" i="1"/>
  <c r="AC328" i="1"/>
  <c r="Z328" i="1"/>
  <c r="W328" i="1"/>
  <c r="Y328" i="1" s="1"/>
  <c r="V328" i="1"/>
  <c r="T328" i="1"/>
  <c r="R328" i="1"/>
  <c r="Q328" i="1" a="1"/>
  <c r="Q328" i="1" s="1"/>
  <c r="P328" i="1"/>
  <c r="N328" i="1"/>
  <c r="L328" i="1"/>
  <c r="K328" i="1" a="1"/>
  <c r="K328" i="1" s="1"/>
  <c r="U328" i="1" s="1"/>
  <c r="J328" i="1" a="1"/>
  <c r="J328" i="1" s="1"/>
  <c r="H328" i="1" a="1"/>
  <c r="H328" i="1" s="1"/>
  <c r="I328" i="1" s="1"/>
  <c r="S328" i="1" s="1"/>
  <c r="AS327" i="1"/>
  <c r="AA327" i="1" s="1"/>
  <c r="AO327" i="1"/>
  <c r="AN327" i="1"/>
  <c r="AM327" i="1"/>
  <c r="AL327" i="1"/>
  <c r="AK327" i="1"/>
  <c r="AJ327" i="1"/>
  <c r="AI327" i="1"/>
  <c r="AH327" i="1"/>
  <c r="AG327" i="1"/>
  <c r="AF327" i="1"/>
  <c r="AE327" i="1"/>
  <c r="AD327" i="1"/>
  <c r="AC327" i="1"/>
  <c r="AB327" i="1"/>
  <c r="Z327" i="1"/>
  <c r="W327" i="1"/>
  <c r="V327" i="1"/>
  <c r="T327" i="1"/>
  <c r="R327" i="1"/>
  <c r="Q327" i="1" a="1"/>
  <c r="Q327" i="1" s="1"/>
  <c r="P327" i="1"/>
  <c r="N327" i="1"/>
  <c r="L327" i="1"/>
  <c r="K327" i="1" a="1"/>
  <c r="K327" i="1" s="1"/>
  <c r="U327" i="1" s="1"/>
  <c r="J327" i="1" a="1"/>
  <c r="J327" i="1" s="1"/>
  <c r="H327" i="1" a="1"/>
  <c r="H327" i="1" s="1"/>
  <c r="I327" i="1" s="1"/>
  <c r="S327" i="1" s="1"/>
  <c r="AT326" i="1"/>
  <c r="AB326" i="1" s="1"/>
  <c r="AS326" i="1"/>
  <c r="AA326" i="1" s="1"/>
  <c r="AO326" i="1"/>
  <c r="AN326" i="1"/>
  <c r="AM326" i="1"/>
  <c r="AL326" i="1"/>
  <c r="AK326" i="1"/>
  <c r="AJ326" i="1"/>
  <c r="AI326" i="1"/>
  <c r="AH326" i="1"/>
  <c r="AG326" i="1"/>
  <c r="AF326" i="1"/>
  <c r="AE326" i="1"/>
  <c r="AD326" i="1"/>
  <c r="AC326" i="1"/>
  <c r="Z326" i="1"/>
  <c r="W326" i="1"/>
  <c r="V326" i="1"/>
  <c r="T326" i="1"/>
  <c r="R326" i="1"/>
  <c r="Q326" i="1" a="1"/>
  <c r="Q326" i="1" s="1"/>
  <c r="P326" i="1"/>
  <c r="N326" i="1"/>
  <c r="L326" i="1"/>
  <c r="K326" i="1" a="1"/>
  <c r="K326" i="1" s="1"/>
  <c r="U326" i="1" s="1"/>
  <c r="J326" i="1" a="1"/>
  <c r="J326" i="1" s="1"/>
  <c r="H326" i="1" a="1"/>
  <c r="H326" i="1" s="1"/>
  <c r="AS325" i="1"/>
  <c r="AA325" i="1" s="1"/>
  <c r="AO325" i="1"/>
  <c r="AN325" i="1"/>
  <c r="AM325" i="1"/>
  <c r="AL325" i="1"/>
  <c r="AK325" i="1"/>
  <c r="AJ325" i="1"/>
  <c r="AI325" i="1"/>
  <c r="AH325" i="1"/>
  <c r="AG325" i="1"/>
  <c r="AF325" i="1"/>
  <c r="AE325" i="1"/>
  <c r="AD325" i="1"/>
  <c r="AC325" i="1"/>
  <c r="AB325" i="1"/>
  <c r="Z325" i="1"/>
  <c r="W325" i="1"/>
  <c r="Y325" i="1" s="1"/>
  <c r="V325" i="1"/>
  <c r="T325" i="1"/>
  <c r="R325" i="1"/>
  <c r="Q325" i="1" a="1"/>
  <c r="Q325" i="1" s="1"/>
  <c r="P325" i="1"/>
  <c r="N325" i="1"/>
  <c r="L325" i="1"/>
  <c r="K325" i="1" a="1"/>
  <c r="K325" i="1" s="1"/>
  <c r="U325" i="1" s="1"/>
  <c r="J325" i="1" a="1"/>
  <c r="J325" i="1" s="1"/>
  <c r="H325" i="1" a="1"/>
  <c r="H325" i="1" s="1"/>
  <c r="I325" i="1" s="1"/>
  <c r="S325" i="1" s="1"/>
  <c r="AS324" i="1"/>
  <c r="AA324" i="1" s="1"/>
  <c r="AO324" i="1"/>
  <c r="AN324" i="1"/>
  <c r="AM324" i="1"/>
  <c r="AL324" i="1"/>
  <c r="AK324" i="1"/>
  <c r="AJ324" i="1"/>
  <c r="AI324" i="1"/>
  <c r="AH324" i="1"/>
  <c r="AG324" i="1"/>
  <c r="AF324" i="1"/>
  <c r="AE324" i="1"/>
  <c r="AD324" i="1"/>
  <c r="AC324" i="1"/>
  <c r="AB324" i="1"/>
  <c r="Z324" i="1"/>
  <c r="W324" i="1"/>
  <c r="X324" i="1" s="1"/>
  <c r="V324" i="1"/>
  <c r="T324" i="1"/>
  <c r="R324" i="1"/>
  <c r="Q324" i="1" a="1"/>
  <c r="Q324" i="1" s="1"/>
  <c r="P324" i="1"/>
  <c r="N324" i="1"/>
  <c r="L324" i="1"/>
  <c r="K324" i="1" a="1"/>
  <c r="K324" i="1" s="1"/>
  <c r="U324" i="1" s="1"/>
  <c r="J324" i="1" a="1"/>
  <c r="J324" i="1" s="1"/>
  <c r="H324" i="1" a="1"/>
  <c r="H324" i="1" s="1"/>
  <c r="AS323" i="1"/>
  <c r="AA323" i="1" s="1"/>
  <c r="AO323" i="1"/>
  <c r="AN323" i="1"/>
  <c r="AM323" i="1"/>
  <c r="AL323" i="1"/>
  <c r="AK323" i="1"/>
  <c r="AJ323" i="1"/>
  <c r="AI323" i="1"/>
  <c r="AH323" i="1"/>
  <c r="AG323" i="1"/>
  <c r="AF323" i="1"/>
  <c r="AE323" i="1"/>
  <c r="AD323" i="1"/>
  <c r="AC323" i="1"/>
  <c r="AB323" i="1"/>
  <c r="Z323" i="1"/>
  <c r="W323" i="1"/>
  <c r="Y323" i="1" s="1"/>
  <c r="V323" i="1"/>
  <c r="L323" i="1"/>
  <c r="K323" i="1" a="1"/>
  <c r="K323" i="1" s="1"/>
  <c r="J323" i="1" a="1"/>
  <c r="J323" i="1" s="1"/>
  <c r="H323" i="1" a="1"/>
  <c r="H323" i="1" s="1"/>
  <c r="AS322" i="1"/>
  <c r="AA322" i="1" s="1"/>
  <c r="AO322" i="1"/>
  <c r="AN322" i="1"/>
  <c r="AM322" i="1"/>
  <c r="AL322" i="1"/>
  <c r="AK322" i="1"/>
  <c r="AJ322" i="1"/>
  <c r="AI322" i="1"/>
  <c r="AH322" i="1"/>
  <c r="AG322" i="1"/>
  <c r="AF322" i="1"/>
  <c r="AE322" i="1"/>
  <c r="AD322" i="1"/>
  <c r="AC322" i="1"/>
  <c r="AB322" i="1"/>
  <c r="Z322" i="1"/>
  <c r="W322" i="1"/>
  <c r="Y322" i="1" s="1"/>
  <c r="V322" i="1"/>
  <c r="T322" i="1"/>
  <c r="R322" i="1"/>
  <c r="Q322" i="1" a="1"/>
  <c r="Q322" i="1" s="1"/>
  <c r="P322" i="1"/>
  <c r="N322" i="1"/>
  <c r="L322" i="1"/>
  <c r="K322" i="1" a="1"/>
  <c r="K322" i="1" s="1"/>
  <c r="U322" i="1" s="1"/>
  <c r="J322" i="1" a="1"/>
  <c r="J322" i="1" s="1"/>
  <c r="H322" i="1" a="1"/>
  <c r="H322" i="1" s="1"/>
  <c r="I322" i="1" s="1"/>
  <c r="S322" i="1" s="1"/>
  <c r="AS321" i="1"/>
  <c r="AA321" i="1" s="1"/>
  <c r="AO321" i="1"/>
  <c r="AN321" i="1"/>
  <c r="AM321" i="1"/>
  <c r="AL321" i="1"/>
  <c r="AK321" i="1"/>
  <c r="AJ321" i="1"/>
  <c r="AI321" i="1"/>
  <c r="AH321" i="1"/>
  <c r="AG321" i="1"/>
  <c r="AF321" i="1"/>
  <c r="AE321" i="1"/>
  <c r="AD321" i="1"/>
  <c r="AC321" i="1"/>
  <c r="AB321" i="1"/>
  <c r="Z321" i="1"/>
  <c r="W321" i="1"/>
  <c r="X321" i="1" s="1"/>
  <c r="V321" i="1"/>
  <c r="T321" i="1"/>
  <c r="R321" i="1"/>
  <c r="Q321" i="1" a="1"/>
  <c r="Q321" i="1" s="1"/>
  <c r="P321" i="1"/>
  <c r="N321" i="1"/>
  <c r="L321" i="1"/>
  <c r="K321" i="1" a="1"/>
  <c r="K321" i="1" s="1"/>
  <c r="U321" i="1" s="1"/>
  <c r="J321" i="1" a="1"/>
  <c r="J321" i="1" s="1"/>
  <c r="H321" i="1" a="1"/>
  <c r="H321" i="1" s="1"/>
  <c r="AS320" i="1"/>
  <c r="AA320" i="1" s="1"/>
  <c r="AO320" i="1"/>
  <c r="AN320" i="1"/>
  <c r="AM320" i="1"/>
  <c r="AL320" i="1"/>
  <c r="AK320" i="1"/>
  <c r="AJ320" i="1"/>
  <c r="AI320" i="1"/>
  <c r="AH320" i="1"/>
  <c r="AG320" i="1"/>
  <c r="AF320" i="1"/>
  <c r="AE320" i="1"/>
  <c r="AD320" i="1"/>
  <c r="AC320" i="1"/>
  <c r="AB320" i="1"/>
  <c r="Z320" i="1"/>
  <c r="W320" i="1"/>
  <c r="Y320" i="1" s="1"/>
  <c r="V320" i="1"/>
  <c r="T320" i="1"/>
  <c r="R320" i="1"/>
  <c r="Q320" i="1" a="1"/>
  <c r="Q320" i="1" s="1"/>
  <c r="P320" i="1"/>
  <c r="N320" i="1"/>
  <c r="L320" i="1"/>
  <c r="K320" i="1" a="1"/>
  <c r="K320" i="1" s="1"/>
  <c r="U320" i="1" s="1"/>
  <c r="J320" i="1" a="1"/>
  <c r="J320" i="1" s="1"/>
  <c r="H320" i="1" a="1"/>
  <c r="H320" i="1" s="1"/>
  <c r="I320" i="1" s="1"/>
  <c r="S320" i="1" s="1"/>
  <c r="AS319" i="1"/>
  <c r="AA319" i="1" s="1"/>
  <c r="AO319" i="1"/>
  <c r="AN319" i="1"/>
  <c r="AM319" i="1"/>
  <c r="AL319" i="1"/>
  <c r="AK319" i="1"/>
  <c r="AJ319" i="1"/>
  <c r="AI319" i="1"/>
  <c r="AH319" i="1"/>
  <c r="AG319" i="1"/>
  <c r="AF319" i="1"/>
  <c r="AE319" i="1"/>
  <c r="AD319" i="1"/>
  <c r="AC319" i="1"/>
  <c r="AB319" i="1"/>
  <c r="Z319" i="1"/>
  <c r="W319" i="1"/>
  <c r="Y319" i="1" s="1"/>
  <c r="V319" i="1"/>
  <c r="T319" i="1"/>
  <c r="R319" i="1"/>
  <c r="Q319" i="1" a="1"/>
  <c r="Q319" i="1" s="1"/>
  <c r="P319" i="1"/>
  <c r="N319" i="1"/>
  <c r="L319" i="1"/>
  <c r="K319" i="1" a="1"/>
  <c r="K319" i="1" s="1"/>
  <c r="U319" i="1" s="1"/>
  <c r="J319" i="1" a="1"/>
  <c r="J319" i="1" s="1"/>
  <c r="H319" i="1" a="1"/>
  <c r="H319" i="1" s="1"/>
  <c r="I319" i="1" s="1"/>
  <c r="S319" i="1" s="1"/>
  <c r="AT318" i="1"/>
  <c r="AB318" i="1" s="1"/>
  <c r="AS318" i="1"/>
  <c r="AA318" i="1" s="1"/>
  <c r="AO318" i="1"/>
  <c r="AN318" i="1"/>
  <c r="AM318" i="1"/>
  <c r="AL318" i="1"/>
  <c r="AK318" i="1"/>
  <c r="AJ318" i="1"/>
  <c r="AI318" i="1"/>
  <c r="AH318" i="1"/>
  <c r="AG318" i="1"/>
  <c r="AF318" i="1"/>
  <c r="AE318" i="1"/>
  <c r="AD318" i="1"/>
  <c r="AC318" i="1"/>
  <c r="Z318" i="1"/>
  <c r="W318" i="1"/>
  <c r="Y318" i="1" s="1"/>
  <c r="V318" i="1"/>
  <c r="T318" i="1"/>
  <c r="R318" i="1"/>
  <c r="Q318" i="1" a="1"/>
  <c r="Q318" i="1" s="1"/>
  <c r="P318" i="1"/>
  <c r="N318" i="1"/>
  <c r="L318" i="1"/>
  <c r="K318" i="1" a="1"/>
  <c r="K318" i="1" s="1"/>
  <c r="U318" i="1" s="1"/>
  <c r="J318" i="1" a="1"/>
  <c r="J318" i="1" s="1"/>
  <c r="H318" i="1" a="1"/>
  <c r="H318" i="1" s="1"/>
  <c r="AS317" i="1"/>
  <c r="AA317" i="1" s="1"/>
  <c r="AO317" i="1"/>
  <c r="AN317" i="1"/>
  <c r="AM317" i="1"/>
  <c r="AL317" i="1"/>
  <c r="AK317" i="1"/>
  <c r="AJ317" i="1"/>
  <c r="AI317" i="1"/>
  <c r="AH317" i="1"/>
  <c r="AG317" i="1"/>
  <c r="AF317" i="1"/>
  <c r="AE317" i="1"/>
  <c r="AD317" i="1"/>
  <c r="AC317" i="1"/>
  <c r="AB317" i="1"/>
  <c r="Z317" i="1"/>
  <c r="W317" i="1"/>
  <c r="Y317" i="1" s="1"/>
  <c r="V317" i="1"/>
  <c r="T317" i="1"/>
  <c r="R317" i="1"/>
  <c r="Q317" i="1" a="1"/>
  <c r="Q317" i="1" s="1"/>
  <c r="P317" i="1"/>
  <c r="N317" i="1"/>
  <c r="L317" i="1"/>
  <c r="K317" i="1" a="1"/>
  <c r="K317" i="1" s="1"/>
  <c r="U317" i="1" s="1"/>
  <c r="J317" i="1" a="1"/>
  <c r="J317" i="1" s="1"/>
  <c r="H317" i="1" a="1"/>
  <c r="H317" i="1" s="1"/>
  <c r="I317" i="1" s="1"/>
  <c r="S317" i="1" s="1"/>
  <c r="AS316" i="1"/>
  <c r="AA316" i="1" s="1"/>
  <c r="AO316" i="1"/>
  <c r="AN316" i="1"/>
  <c r="AM316" i="1"/>
  <c r="AL316" i="1"/>
  <c r="AK316" i="1"/>
  <c r="AJ316" i="1"/>
  <c r="AI316" i="1"/>
  <c r="AH316" i="1"/>
  <c r="AG316" i="1"/>
  <c r="AF316" i="1"/>
  <c r="AE316" i="1"/>
  <c r="AD316" i="1"/>
  <c r="AC316" i="1"/>
  <c r="AB316" i="1"/>
  <c r="Z316" i="1"/>
  <c r="W316" i="1"/>
  <c r="X316" i="1" s="1"/>
  <c r="V316" i="1"/>
  <c r="T316" i="1"/>
  <c r="R316" i="1"/>
  <c r="Q316" i="1" a="1"/>
  <c r="Q316" i="1" s="1"/>
  <c r="P316" i="1"/>
  <c r="N316" i="1"/>
  <c r="L316" i="1"/>
  <c r="K316" i="1" a="1"/>
  <c r="K316" i="1" s="1"/>
  <c r="U316" i="1" s="1"/>
  <c r="J316" i="1" a="1"/>
  <c r="J316" i="1" s="1"/>
  <c r="H316" i="1" a="1"/>
  <c r="H316" i="1" s="1"/>
  <c r="AW315" i="1"/>
  <c r="AE315" i="1" s="1"/>
  <c r="AV315" i="1"/>
  <c r="AD315" i="1" s="1"/>
  <c r="AU315" i="1"/>
  <c r="AC315" i="1" s="1"/>
  <c r="AT315" i="1"/>
  <c r="AB315" i="1" s="1"/>
  <c r="AS315" i="1"/>
  <c r="AA315" i="1" s="1"/>
  <c r="AO315" i="1"/>
  <c r="AN315" i="1"/>
  <c r="AM315" i="1"/>
  <c r="AL315" i="1"/>
  <c r="AK315" i="1"/>
  <c r="AJ315" i="1"/>
  <c r="AI315" i="1"/>
  <c r="AH315" i="1"/>
  <c r="AG315" i="1"/>
  <c r="AF315" i="1"/>
  <c r="Z315" i="1"/>
  <c r="W315" i="1"/>
  <c r="X315" i="1" s="1"/>
  <c r="V315" i="1"/>
  <c r="T315" i="1"/>
  <c r="R315" i="1"/>
  <c r="Q315" i="1" a="1"/>
  <c r="Q315" i="1" s="1"/>
  <c r="P315" i="1"/>
  <c r="N315" i="1"/>
  <c r="L315" i="1"/>
  <c r="K315" i="1" a="1"/>
  <c r="K315" i="1" s="1"/>
  <c r="U315" i="1" s="1"/>
  <c r="J315" i="1" a="1"/>
  <c r="J315" i="1" s="1"/>
  <c r="H315" i="1" a="1"/>
  <c r="H315" i="1" s="1"/>
  <c r="AS314" i="1"/>
  <c r="AA314" i="1" s="1"/>
  <c r="AO314" i="1"/>
  <c r="AN314" i="1"/>
  <c r="AM314" i="1"/>
  <c r="AL314" i="1"/>
  <c r="AK314" i="1"/>
  <c r="AJ314" i="1"/>
  <c r="AI314" i="1"/>
  <c r="AH314" i="1"/>
  <c r="AG314" i="1"/>
  <c r="AF314" i="1"/>
  <c r="AE314" i="1"/>
  <c r="AD314" i="1"/>
  <c r="AC314" i="1"/>
  <c r="AB314" i="1"/>
  <c r="Z314" i="1"/>
  <c r="W314" i="1"/>
  <c r="Y314" i="1" s="1"/>
  <c r="V314" i="1"/>
  <c r="T314" i="1"/>
  <c r="R314" i="1"/>
  <c r="Q314" i="1" a="1"/>
  <c r="Q314" i="1" s="1"/>
  <c r="P314" i="1"/>
  <c r="N314" i="1"/>
  <c r="L314" i="1"/>
  <c r="K314" i="1" a="1"/>
  <c r="K314" i="1" s="1"/>
  <c r="U314" i="1" s="1"/>
  <c r="J314" i="1" a="1"/>
  <c r="J314" i="1" s="1"/>
  <c r="H314" i="1" a="1"/>
  <c r="H314" i="1" s="1"/>
  <c r="AS313" i="1"/>
  <c r="AA313" i="1" s="1"/>
  <c r="AO313" i="1"/>
  <c r="AN313" i="1"/>
  <c r="AM313" i="1"/>
  <c r="AL313" i="1"/>
  <c r="AK313" i="1"/>
  <c r="AJ313" i="1"/>
  <c r="AI313" i="1"/>
  <c r="AH313" i="1"/>
  <c r="AG313" i="1"/>
  <c r="AF313" i="1"/>
  <c r="AE313" i="1"/>
  <c r="AD313" i="1"/>
  <c r="AC313" i="1"/>
  <c r="AB313" i="1"/>
  <c r="Z313" i="1"/>
  <c r="W313" i="1"/>
  <c r="Y313" i="1" s="1"/>
  <c r="V313" i="1"/>
  <c r="T313" i="1"/>
  <c r="R313" i="1"/>
  <c r="Q313" i="1" a="1"/>
  <c r="Q313" i="1" s="1"/>
  <c r="P313" i="1"/>
  <c r="N313" i="1"/>
  <c r="L313" i="1"/>
  <c r="K313" i="1" a="1"/>
  <c r="K313" i="1" s="1"/>
  <c r="U313" i="1" s="1"/>
  <c r="J313" i="1" a="1"/>
  <c r="J313" i="1" s="1"/>
  <c r="H313" i="1" a="1"/>
  <c r="H313" i="1" s="1"/>
  <c r="I313" i="1" s="1"/>
  <c r="S313" i="1" s="1"/>
  <c r="AW312" i="1"/>
  <c r="AE312" i="1" s="1"/>
  <c r="AV312" i="1"/>
  <c r="AD312" i="1" s="1"/>
  <c r="AU312" i="1"/>
  <c r="AC312" i="1" s="1"/>
  <c r="AT312" i="1"/>
  <c r="AB312" i="1" s="1"/>
  <c r="AS312" i="1"/>
  <c r="AA312" i="1" s="1"/>
  <c r="AO312" i="1"/>
  <c r="AN312" i="1"/>
  <c r="AM312" i="1"/>
  <c r="AL312" i="1"/>
  <c r="AK312" i="1"/>
  <c r="AJ312" i="1"/>
  <c r="AI312" i="1"/>
  <c r="AH312" i="1"/>
  <c r="AG312" i="1"/>
  <c r="AF312" i="1"/>
  <c r="Z312" i="1"/>
  <c r="W312" i="1"/>
  <c r="X312" i="1" s="1"/>
  <c r="V312" i="1"/>
  <c r="T312" i="1"/>
  <c r="R312" i="1"/>
  <c r="Q312" i="1" a="1"/>
  <c r="Q312" i="1" s="1"/>
  <c r="P312" i="1"/>
  <c r="N312" i="1"/>
  <c r="L312" i="1"/>
  <c r="K312" i="1" a="1"/>
  <c r="K312" i="1" s="1"/>
  <c r="U312" i="1" s="1"/>
  <c r="J312" i="1" a="1"/>
  <c r="J312" i="1" s="1"/>
  <c r="H312" i="1" a="1"/>
  <c r="H312" i="1" s="1"/>
  <c r="AS311" i="1"/>
  <c r="AA311" i="1" s="1"/>
  <c r="AO311" i="1"/>
  <c r="AN311" i="1"/>
  <c r="AM311" i="1"/>
  <c r="AL311" i="1"/>
  <c r="AK311" i="1"/>
  <c r="AJ311" i="1"/>
  <c r="AI311" i="1"/>
  <c r="AH311" i="1"/>
  <c r="AG311" i="1"/>
  <c r="AF311" i="1"/>
  <c r="AE311" i="1"/>
  <c r="AD311" i="1"/>
  <c r="AC311" i="1"/>
  <c r="AB311" i="1"/>
  <c r="Z311" i="1"/>
  <c r="W311" i="1"/>
  <c r="Y311" i="1" s="1"/>
  <c r="V311" i="1"/>
  <c r="T311" i="1"/>
  <c r="R311" i="1"/>
  <c r="Q311" i="1" a="1"/>
  <c r="Q311" i="1" s="1"/>
  <c r="P311" i="1"/>
  <c r="N311" i="1"/>
  <c r="L311" i="1"/>
  <c r="K311" i="1" a="1"/>
  <c r="K311" i="1" s="1"/>
  <c r="U311" i="1" s="1"/>
  <c r="J311" i="1" a="1"/>
  <c r="J311" i="1" s="1"/>
  <c r="H311" i="1" a="1"/>
  <c r="H311" i="1" s="1"/>
  <c r="AS310" i="1"/>
  <c r="AA310" i="1" s="1"/>
  <c r="AO310" i="1"/>
  <c r="AN310" i="1"/>
  <c r="AM310" i="1"/>
  <c r="AL310" i="1"/>
  <c r="AK310" i="1"/>
  <c r="AJ310" i="1"/>
  <c r="AI310" i="1"/>
  <c r="AH310" i="1"/>
  <c r="AG310" i="1"/>
  <c r="AF310" i="1"/>
  <c r="AE310" i="1"/>
  <c r="AD310" i="1"/>
  <c r="AC310" i="1"/>
  <c r="AB310" i="1"/>
  <c r="Z310" i="1"/>
  <c r="W310" i="1"/>
  <c r="Y310" i="1" s="1"/>
  <c r="V310" i="1"/>
  <c r="T310" i="1"/>
  <c r="R310" i="1"/>
  <c r="Q310" i="1" a="1"/>
  <c r="Q310" i="1" s="1"/>
  <c r="P310" i="1"/>
  <c r="N310" i="1"/>
  <c r="L310" i="1"/>
  <c r="K310" i="1" a="1"/>
  <c r="K310" i="1" s="1"/>
  <c r="U310" i="1" s="1"/>
  <c r="J310" i="1" a="1"/>
  <c r="J310" i="1" s="1"/>
  <c r="H310" i="1" a="1"/>
  <c r="H310" i="1" s="1"/>
  <c r="AS309" i="1"/>
  <c r="AA309" i="1" s="1"/>
  <c r="AO309" i="1"/>
  <c r="AN309" i="1"/>
  <c r="AM309" i="1"/>
  <c r="AL309" i="1"/>
  <c r="AK309" i="1"/>
  <c r="AJ309" i="1"/>
  <c r="AI309" i="1"/>
  <c r="AH309" i="1"/>
  <c r="AG309" i="1"/>
  <c r="AF309" i="1"/>
  <c r="AE309" i="1"/>
  <c r="AD309" i="1"/>
  <c r="AC309" i="1"/>
  <c r="AB309" i="1"/>
  <c r="Z309" i="1"/>
  <c r="W309" i="1"/>
  <c r="Y309" i="1" s="1"/>
  <c r="V309" i="1"/>
  <c r="T309" i="1"/>
  <c r="R309" i="1"/>
  <c r="Q309" i="1" a="1"/>
  <c r="Q309" i="1" s="1"/>
  <c r="P309" i="1"/>
  <c r="N309" i="1"/>
  <c r="L309" i="1"/>
  <c r="K309" i="1" a="1"/>
  <c r="K309" i="1" s="1"/>
  <c r="U309" i="1" s="1"/>
  <c r="J309" i="1" a="1"/>
  <c r="J309" i="1" s="1"/>
  <c r="H309" i="1" a="1"/>
  <c r="H309" i="1" s="1"/>
  <c r="I309" i="1" s="1"/>
  <c r="S309" i="1" s="1"/>
  <c r="AS308" i="1"/>
  <c r="AA308" i="1" s="1"/>
  <c r="AO308" i="1"/>
  <c r="AN308" i="1"/>
  <c r="AM308" i="1"/>
  <c r="AL308" i="1"/>
  <c r="AK308" i="1"/>
  <c r="AJ308" i="1"/>
  <c r="AI308" i="1"/>
  <c r="AH308" i="1"/>
  <c r="AG308" i="1"/>
  <c r="AF308" i="1"/>
  <c r="AE308" i="1"/>
  <c r="AD308" i="1"/>
  <c r="AC308" i="1"/>
  <c r="AB308" i="1"/>
  <c r="Z308" i="1"/>
  <c r="W308" i="1"/>
  <c r="X308" i="1" s="1"/>
  <c r="V308" i="1"/>
  <c r="T308" i="1"/>
  <c r="R308" i="1"/>
  <c r="Q308" i="1" a="1"/>
  <c r="Q308" i="1" s="1"/>
  <c r="P308" i="1"/>
  <c r="N308" i="1"/>
  <c r="L308" i="1"/>
  <c r="K308" i="1" a="1"/>
  <c r="K308" i="1" s="1"/>
  <c r="U308" i="1" s="1"/>
  <c r="J308" i="1" a="1"/>
  <c r="J308" i="1" s="1"/>
  <c r="H308" i="1" a="1"/>
  <c r="H308" i="1" s="1"/>
  <c r="AS307" i="1"/>
  <c r="AA307" i="1" s="1"/>
  <c r="AO307" i="1"/>
  <c r="AN307" i="1"/>
  <c r="AM307" i="1"/>
  <c r="AL307" i="1"/>
  <c r="AK307" i="1"/>
  <c r="AJ307" i="1"/>
  <c r="AI307" i="1"/>
  <c r="AH307" i="1"/>
  <c r="AG307" i="1"/>
  <c r="AF307" i="1"/>
  <c r="AE307" i="1"/>
  <c r="AD307" i="1"/>
  <c r="AC307" i="1"/>
  <c r="AB307" i="1"/>
  <c r="Z307" i="1"/>
  <c r="W307" i="1"/>
  <c r="Y307" i="1" s="1"/>
  <c r="V307" i="1"/>
  <c r="T307" i="1"/>
  <c r="R307" i="1"/>
  <c r="Q307" i="1" a="1"/>
  <c r="Q307" i="1" s="1"/>
  <c r="P307" i="1"/>
  <c r="N307" i="1"/>
  <c r="L307" i="1"/>
  <c r="K307" i="1" a="1"/>
  <c r="K307" i="1" s="1"/>
  <c r="U307" i="1" s="1"/>
  <c r="J307" i="1" a="1"/>
  <c r="J307" i="1" s="1"/>
  <c r="H307" i="1" a="1"/>
  <c r="H307" i="1" s="1"/>
  <c r="AS306" i="1"/>
  <c r="AA306" i="1" s="1"/>
  <c r="AO306" i="1"/>
  <c r="AN306" i="1"/>
  <c r="AM306" i="1"/>
  <c r="AL306" i="1"/>
  <c r="AK306" i="1"/>
  <c r="AJ306" i="1"/>
  <c r="AI306" i="1"/>
  <c r="AH306" i="1"/>
  <c r="AG306" i="1"/>
  <c r="AF306" i="1"/>
  <c r="AE306" i="1"/>
  <c r="AD306" i="1"/>
  <c r="AC306" i="1"/>
  <c r="AB306" i="1"/>
  <c r="Z306" i="1"/>
  <c r="W306" i="1"/>
  <c r="Y306" i="1" s="1"/>
  <c r="V306" i="1"/>
  <c r="T306" i="1"/>
  <c r="R306" i="1"/>
  <c r="Q306" i="1" a="1"/>
  <c r="Q306" i="1" s="1"/>
  <c r="P306" i="1"/>
  <c r="N306" i="1"/>
  <c r="L306" i="1"/>
  <c r="K306" i="1" a="1"/>
  <c r="K306" i="1" s="1"/>
  <c r="U306" i="1" s="1"/>
  <c r="J306" i="1" a="1"/>
  <c r="J306" i="1" s="1"/>
  <c r="H306" i="1" a="1"/>
  <c r="H306" i="1" s="1"/>
  <c r="AZ305" i="1"/>
  <c r="AH305" i="1" s="1"/>
  <c r="AY305" i="1"/>
  <c r="AG305" i="1" s="1"/>
  <c r="AX305" i="1"/>
  <c r="AF305" i="1" s="1"/>
  <c r="AW305" i="1"/>
  <c r="AE305" i="1" s="1"/>
  <c r="AV305" i="1"/>
  <c r="AD305" i="1" s="1"/>
  <c r="AU305" i="1"/>
  <c r="AC305" i="1" s="1"/>
  <c r="AT305" i="1"/>
  <c r="AB305" i="1" s="1"/>
  <c r="AS305" i="1"/>
  <c r="AA305" i="1" s="1"/>
  <c r="AO305" i="1"/>
  <c r="AN305" i="1"/>
  <c r="AM305" i="1"/>
  <c r="AL305" i="1"/>
  <c r="AK305" i="1"/>
  <c r="AJ305" i="1"/>
  <c r="AI305" i="1"/>
  <c r="Z305" i="1"/>
  <c r="X305" i="1"/>
  <c r="W305" i="1"/>
  <c r="Y305" i="1" s="1"/>
  <c r="V305" i="1"/>
  <c r="T305" i="1"/>
  <c r="R305" i="1"/>
  <c r="Q305" i="1" a="1"/>
  <c r="Q305" i="1" s="1"/>
  <c r="P305" i="1"/>
  <c r="N305" i="1"/>
  <c r="L305" i="1"/>
  <c r="K305" i="1" a="1"/>
  <c r="K305" i="1" s="1"/>
  <c r="U305" i="1" s="1"/>
  <c r="J305" i="1" a="1"/>
  <c r="J305" i="1" s="1"/>
  <c r="H305" i="1" a="1"/>
  <c r="H305" i="1" s="1"/>
  <c r="AS304" i="1"/>
  <c r="AA304" i="1" s="1"/>
  <c r="AO304" i="1"/>
  <c r="AN304" i="1"/>
  <c r="AM304" i="1"/>
  <c r="AL304" i="1"/>
  <c r="AK304" i="1"/>
  <c r="AJ304" i="1"/>
  <c r="AI304" i="1"/>
  <c r="AH304" i="1"/>
  <c r="AG304" i="1"/>
  <c r="AF304" i="1"/>
  <c r="AE304" i="1"/>
  <c r="AD304" i="1"/>
  <c r="AC304" i="1"/>
  <c r="AB304" i="1"/>
  <c r="Z304" i="1"/>
  <c r="W304" i="1"/>
  <c r="X304" i="1" s="1"/>
  <c r="V304" i="1"/>
  <c r="T304" i="1"/>
  <c r="R304" i="1"/>
  <c r="Q304" i="1" a="1"/>
  <c r="Q304" i="1" s="1"/>
  <c r="P304" i="1"/>
  <c r="N304" i="1"/>
  <c r="L304" i="1"/>
  <c r="K304" i="1" a="1"/>
  <c r="K304" i="1" s="1"/>
  <c r="U304" i="1" s="1"/>
  <c r="J304" i="1" a="1"/>
  <c r="J304" i="1" s="1"/>
  <c r="H304" i="1" a="1"/>
  <c r="H304" i="1" s="1"/>
  <c r="AT303" i="1"/>
  <c r="AB303" i="1" s="1"/>
  <c r="AS303" i="1"/>
  <c r="AA303" i="1" s="1"/>
  <c r="AO303" i="1"/>
  <c r="AN303" i="1"/>
  <c r="AM303" i="1"/>
  <c r="AL303" i="1"/>
  <c r="AK303" i="1"/>
  <c r="AJ303" i="1"/>
  <c r="AI303" i="1"/>
  <c r="AH303" i="1"/>
  <c r="AG303" i="1"/>
  <c r="AF303" i="1"/>
  <c r="AE303" i="1"/>
  <c r="AD303" i="1"/>
  <c r="AC303" i="1"/>
  <c r="Z303" i="1"/>
  <c r="W303" i="1"/>
  <c r="X303" i="1" s="1"/>
  <c r="V303" i="1"/>
  <c r="T303" i="1"/>
  <c r="R303" i="1"/>
  <c r="Q303" i="1" a="1"/>
  <c r="Q303" i="1" s="1"/>
  <c r="P303" i="1"/>
  <c r="N303" i="1"/>
  <c r="L303" i="1"/>
  <c r="K303" i="1" a="1"/>
  <c r="K303" i="1" s="1"/>
  <c r="U303" i="1" s="1"/>
  <c r="J303" i="1" a="1"/>
  <c r="J303" i="1" s="1"/>
  <c r="H303" i="1" a="1"/>
  <c r="H303" i="1" s="1"/>
  <c r="AS302" i="1"/>
  <c r="AA302" i="1" s="1"/>
  <c r="AO302" i="1"/>
  <c r="AN302" i="1"/>
  <c r="AM302" i="1"/>
  <c r="AL302" i="1"/>
  <c r="AK302" i="1"/>
  <c r="AJ302" i="1"/>
  <c r="AI302" i="1"/>
  <c r="AH302" i="1"/>
  <c r="AG302" i="1"/>
  <c r="AF302" i="1"/>
  <c r="AE302" i="1"/>
  <c r="AD302" i="1"/>
  <c r="AC302" i="1"/>
  <c r="AB302" i="1"/>
  <c r="Z302" i="1"/>
  <c r="Y302" i="1"/>
  <c r="W302" i="1"/>
  <c r="X302" i="1" s="1"/>
  <c r="V302" i="1"/>
  <c r="T302" i="1"/>
  <c r="R302" i="1"/>
  <c r="Q302" i="1" a="1"/>
  <c r="Q302" i="1" s="1"/>
  <c r="P302" i="1"/>
  <c r="N302" i="1"/>
  <c r="L302" i="1"/>
  <c r="K302" i="1" a="1"/>
  <c r="K302" i="1" s="1"/>
  <c r="U302" i="1" s="1"/>
  <c r="J302" i="1" a="1"/>
  <c r="J302" i="1" s="1"/>
  <c r="H302" i="1" a="1"/>
  <c r="H302" i="1" s="1"/>
  <c r="AS301" i="1"/>
  <c r="AA301" i="1" s="1"/>
  <c r="AO301" i="1"/>
  <c r="AN301" i="1"/>
  <c r="AM301" i="1"/>
  <c r="AL301" i="1"/>
  <c r="AK301" i="1"/>
  <c r="AJ301" i="1"/>
  <c r="AI301" i="1"/>
  <c r="AH301" i="1"/>
  <c r="AG301" i="1"/>
  <c r="AF301" i="1"/>
  <c r="AE301" i="1"/>
  <c r="AD301" i="1"/>
  <c r="AC301" i="1"/>
  <c r="AB301" i="1"/>
  <c r="Z301" i="1"/>
  <c r="W301" i="1"/>
  <c r="Y301" i="1" s="1"/>
  <c r="V301" i="1"/>
  <c r="T301" i="1"/>
  <c r="R301" i="1"/>
  <c r="Q301" i="1" a="1"/>
  <c r="Q301" i="1" s="1"/>
  <c r="P301" i="1"/>
  <c r="N301" i="1"/>
  <c r="L301" i="1"/>
  <c r="K301" i="1" a="1"/>
  <c r="K301" i="1" s="1"/>
  <c r="U301" i="1" s="1"/>
  <c r="J301" i="1" a="1"/>
  <c r="J301" i="1" s="1"/>
  <c r="H301" i="1" a="1"/>
  <c r="H301" i="1" s="1"/>
  <c r="AS300" i="1"/>
  <c r="AA300" i="1" s="1"/>
  <c r="AO300" i="1"/>
  <c r="AN300" i="1"/>
  <c r="AM300" i="1"/>
  <c r="AL300" i="1"/>
  <c r="AK300" i="1"/>
  <c r="AJ300" i="1"/>
  <c r="AI300" i="1"/>
  <c r="AH300" i="1"/>
  <c r="AG300" i="1"/>
  <c r="AF300" i="1"/>
  <c r="AE300" i="1"/>
  <c r="AD300" i="1"/>
  <c r="AC300" i="1"/>
  <c r="AB300" i="1"/>
  <c r="Z300" i="1"/>
  <c r="W300" i="1"/>
  <c r="Y300" i="1" s="1"/>
  <c r="V300" i="1"/>
  <c r="T300" i="1"/>
  <c r="R300" i="1"/>
  <c r="Q300" i="1" a="1"/>
  <c r="Q300" i="1" s="1"/>
  <c r="P300" i="1"/>
  <c r="N300" i="1"/>
  <c r="L300" i="1"/>
  <c r="K300" i="1" a="1"/>
  <c r="K300" i="1" s="1"/>
  <c r="U300" i="1" s="1"/>
  <c r="J300" i="1" a="1"/>
  <c r="J300" i="1" s="1"/>
  <c r="H300" i="1" a="1"/>
  <c r="H300" i="1" s="1"/>
  <c r="AS299" i="1"/>
  <c r="AA299" i="1" s="1"/>
  <c r="AO299" i="1"/>
  <c r="AN299" i="1"/>
  <c r="AM299" i="1"/>
  <c r="AL299" i="1"/>
  <c r="AK299" i="1"/>
  <c r="AJ299" i="1"/>
  <c r="AI299" i="1"/>
  <c r="AH299" i="1"/>
  <c r="AG299" i="1"/>
  <c r="AF299" i="1"/>
  <c r="AE299" i="1"/>
  <c r="AD299" i="1"/>
  <c r="AC299" i="1"/>
  <c r="AB299" i="1"/>
  <c r="Z299" i="1"/>
  <c r="W299" i="1"/>
  <c r="X299" i="1" s="1"/>
  <c r="V299" i="1"/>
  <c r="T299" i="1"/>
  <c r="R299" i="1"/>
  <c r="Q299" i="1" a="1"/>
  <c r="Q299" i="1" s="1"/>
  <c r="P299" i="1"/>
  <c r="N299" i="1"/>
  <c r="L299" i="1"/>
  <c r="K299" i="1" a="1"/>
  <c r="K299" i="1" s="1"/>
  <c r="U299" i="1" s="1"/>
  <c r="J299" i="1" a="1"/>
  <c r="J299" i="1" s="1"/>
  <c r="H299" i="1" a="1"/>
  <c r="H299" i="1" s="1"/>
  <c r="AV298" i="1"/>
  <c r="AD298" i="1" s="1"/>
  <c r="AU298" i="1"/>
  <c r="AC298" i="1" s="1"/>
  <c r="AT298" i="1"/>
  <c r="AB298" i="1" s="1"/>
  <c r="AS298" i="1"/>
  <c r="AA298" i="1" s="1"/>
  <c r="AO298" i="1"/>
  <c r="AN298" i="1"/>
  <c r="AM298" i="1"/>
  <c r="AL298" i="1"/>
  <c r="AK298" i="1"/>
  <c r="AJ298" i="1"/>
  <c r="AI298" i="1"/>
  <c r="AH298" i="1"/>
  <c r="AG298" i="1"/>
  <c r="AF298" i="1"/>
  <c r="AE298" i="1"/>
  <c r="Z298" i="1"/>
  <c r="W298" i="1"/>
  <c r="Y298" i="1" s="1"/>
  <c r="V298" i="1"/>
  <c r="T298" i="1"/>
  <c r="R298" i="1"/>
  <c r="Q298" i="1" a="1"/>
  <c r="Q298" i="1" s="1"/>
  <c r="P298" i="1"/>
  <c r="N298" i="1"/>
  <c r="L298" i="1"/>
  <c r="K298" i="1" a="1"/>
  <c r="K298" i="1" s="1"/>
  <c r="U298" i="1" s="1"/>
  <c r="J298" i="1" a="1"/>
  <c r="J298" i="1" s="1"/>
  <c r="H298" i="1" a="1"/>
  <c r="H298" i="1" s="1"/>
  <c r="AS297" i="1"/>
  <c r="AA297" i="1" s="1"/>
  <c r="AO297" i="1"/>
  <c r="AN297" i="1"/>
  <c r="AM297" i="1"/>
  <c r="AL297" i="1"/>
  <c r="AK297" i="1"/>
  <c r="AJ297" i="1"/>
  <c r="AI297" i="1"/>
  <c r="AH297" i="1"/>
  <c r="AG297" i="1"/>
  <c r="AF297" i="1"/>
  <c r="AE297" i="1"/>
  <c r="AD297" i="1"/>
  <c r="AC297" i="1"/>
  <c r="AB297" i="1"/>
  <c r="Z297" i="1"/>
  <c r="W297" i="1"/>
  <c r="Y297" i="1" s="1"/>
  <c r="V297" i="1"/>
  <c r="T297" i="1"/>
  <c r="R297" i="1"/>
  <c r="Q297" i="1" a="1"/>
  <c r="Q297" i="1" s="1"/>
  <c r="P297" i="1"/>
  <c r="N297" i="1"/>
  <c r="L297" i="1"/>
  <c r="K297" i="1" a="1"/>
  <c r="K297" i="1" s="1"/>
  <c r="U297" i="1" s="1"/>
  <c r="J297" i="1" a="1"/>
  <c r="J297" i="1" s="1"/>
  <c r="H297" i="1" a="1"/>
  <c r="H297" i="1" s="1"/>
  <c r="AS296" i="1"/>
  <c r="AA296" i="1" s="1"/>
  <c r="AO296" i="1"/>
  <c r="AN296" i="1"/>
  <c r="AM296" i="1"/>
  <c r="AL296" i="1"/>
  <c r="AK296" i="1"/>
  <c r="AJ296" i="1"/>
  <c r="AI296" i="1"/>
  <c r="AH296" i="1"/>
  <c r="AG296" i="1"/>
  <c r="AF296" i="1"/>
  <c r="AE296" i="1"/>
  <c r="AD296" i="1"/>
  <c r="AC296" i="1"/>
  <c r="AB296" i="1"/>
  <c r="Z296" i="1"/>
  <c r="W296" i="1"/>
  <c r="Y296" i="1" s="1"/>
  <c r="V296" i="1"/>
  <c r="T296" i="1"/>
  <c r="R296" i="1"/>
  <c r="Q296" i="1" a="1"/>
  <c r="Q296" i="1" s="1"/>
  <c r="P296" i="1"/>
  <c r="N296" i="1"/>
  <c r="L296" i="1"/>
  <c r="K296" i="1" a="1"/>
  <c r="K296" i="1" s="1"/>
  <c r="U296" i="1" s="1"/>
  <c r="J296" i="1" a="1"/>
  <c r="J296" i="1" s="1"/>
  <c r="H296" i="1" a="1"/>
  <c r="H296" i="1" s="1"/>
  <c r="AS295" i="1"/>
  <c r="AA295" i="1" s="1"/>
  <c r="AO295" i="1"/>
  <c r="AN295" i="1"/>
  <c r="AM295" i="1"/>
  <c r="AL295" i="1"/>
  <c r="AK295" i="1"/>
  <c r="AJ295" i="1"/>
  <c r="AI295" i="1"/>
  <c r="AH295" i="1"/>
  <c r="AG295" i="1"/>
  <c r="AF295" i="1"/>
  <c r="AE295" i="1"/>
  <c r="AD295" i="1"/>
  <c r="AC295" i="1"/>
  <c r="AB295" i="1"/>
  <c r="Z295" i="1"/>
  <c r="W295" i="1"/>
  <c r="X295" i="1" s="1"/>
  <c r="V295" i="1"/>
  <c r="T295" i="1"/>
  <c r="R295" i="1"/>
  <c r="Q295" i="1" a="1"/>
  <c r="Q295" i="1" s="1"/>
  <c r="P295" i="1"/>
  <c r="N295" i="1"/>
  <c r="L295" i="1"/>
  <c r="K295" i="1" a="1"/>
  <c r="K295" i="1" s="1"/>
  <c r="U295" i="1" s="1"/>
  <c r="J295" i="1" a="1"/>
  <c r="J295" i="1" s="1"/>
  <c r="H295" i="1" a="1"/>
  <c r="H295" i="1" s="1"/>
  <c r="AS294" i="1"/>
  <c r="AA294" i="1" s="1"/>
  <c r="AO294" i="1"/>
  <c r="AN294" i="1"/>
  <c r="AM294" i="1"/>
  <c r="AL294" i="1"/>
  <c r="AK294" i="1"/>
  <c r="AJ294" i="1"/>
  <c r="AI294" i="1"/>
  <c r="AH294" i="1"/>
  <c r="AG294" i="1"/>
  <c r="AF294" i="1"/>
  <c r="AE294" i="1"/>
  <c r="AD294" i="1"/>
  <c r="AC294" i="1"/>
  <c r="AB294" i="1"/>
  <c r="Z294" i="1"/>
  <c r="W294" i="1"/>
  <c r="X294" i="1" s="1"/>
  <c r="V294" i="1"/>
  <c r="T294" i="1"/>
  <c r="R294" i="1"/>
  <c r="Q294" i="1" a="1"/>
  <c r="Q294" i="1" s="1"/>
  <c r="P294" i="1"/>
  <c r="N294" i="1"/>
  <c r="L294" i="1"/>
  <c r="K294" i="1" a="1"/>
  <c r="K294" i="1" s="1"/>
  <c r="U294" i="1" s="1"/>
  <c r="J294" i="1" a="1"/>
  <c r="J294" i="1" s="1"/>
  <c r="H294" i="1" a="1"/>
  <c r="H294" i="1" s="1"/>
  <c r="I294" i="1" s="1"/>
  <c r="S294" i="1" s="1"/>
  <c r="BD293" i="1"/>
  <c r="AL293" i="1" s="1"/>
  <c r="BC293" i="1"/>
  <c r="AK293" i="1" s="1"/>
  <c r="BB293" i="1"/>
  <c r="AJ293" i="1" s="1"/>
  <c r="BA293" i="1"/>
  <c r="AI293" i="1" s="1"/>
  <c r="AZ293" i="1"/>
  <c r="AH293" i="1" s="1"/>
  <c r="AY293" i="1"/>
  <c r="AG293" i="1" s="1"/>
  <c r="AX293" i="1"/>
  <c r="AF293" i="1" s="1"/>
  <c r="AW293" i="1"/>
  <c r="AE293" i="1" s="1"/>
  <c r="AV293" i="1"/>
  <c r="AD293" i="1" s="1"/>
  <c r="AU293" i="1"/>
  <c r="AC293" i="1" s="1"/>
  <c r="AT293" i="1"/>
  <c r="AB293" i="1" s="1"/>
  <c r="AS293" i="1"/>
  <c r="AA293" i="1" s="1"/>
  <c r="AO293" i="1"/>
  <c r="AN293" i="1"/>
  <c r="AM293" i="1"/>
  <c r="Z293" i="1"/>
  <c r="W293" i="1"/>
  <c r="Y293" i="1" s="1"/>
  <c r="V293" i="1"/>
  <c r="T293" i="1"/>
  <c r="R293" i="1"/>
  <c r="Q293" i="1" a="1"/>
  <c r="Q293" i="1" s="1"/>
  <c r="P293" i="1"/>
  <c r="N293" i="1"/>
  <c r="L293" i="1"/>
  <c r="K293" i="1" a="1"/>
  <c r="K293" i="1" s="1"/>
  <c r="U293" i="1" s="1"/>
  <c r="J293" i="1" a="1"/>
  <c r="J293" i="1" s="1"/>
  <c r="H293" i="1" a="1"/>
  <c r="H293" i="1" s="1"/>
  <c r="AS292" i="1"/>
  <c r="AA292" i="1" s="1"/>
  <c r="AO292" i="1"/>
  <c r="AN292" i="1"/>
  <c r="AM292" i="1"/>
  <c r="AL292" i="1"/>
  <c r="AK292" i="1"/>
  <c r="AJ292" i="1"/>
  <c r="AI292" i="1"/>
  <c r="AH292" i="1"/>
  <c r="AG292" i="1"/>
  <c r="AF292" i="1"/>
  <c r="AE292" i="1"/>
  <c r="AD292" i="1"/>
  <c r="AC292" i="1"/>
  <c r="AB292" i="1"/>
  <c r="Z292" i="1"/>
  <c r="W292" i="1"/>
  <c r="X292" i="1" s="1"/>
  <c r="V292" i="1"/>
  <c r="T292" i="1"/>
  <c r="R292" i="1"/>
  <c r="Q292" i="1" a="1"/>
  <c r="Q292" i="1" s="1"/>
  <c r="P292" i="1"/>
  <c r="N292" i="1"/>
  <c r="L292" i="1"/>
  <c r="K292" i="1" a="1"/>
  <c r="K292" i="1" s="1"/>
  <c r="U292" i="1" s="1"/>
  <c r="J292" i="1" a="1"/>
  <c r="J292" i="1" s="1"/>
  <c r="H292" i="1" a="1"/>
  <c r="H292" i="1" s="1"/>
  <c r="AS291" i="1"/>
  <c r="AA291" i="1" s="1"/>
  <c r="AO291" i="1"/>
  <c r="AN291" i="1"/>
  <c r="AM291" i="1"/>
  <c r="AL291" i="1"/>
  <c r="AK291" i="1"/>
  <c r="AJ291" i="1"/>
  <c r="AI291" i="1"/>
  <c r="AH291" i="1"/>
  <c r="AG291" i="1"/>
  <c r="AF291" i="1"/>
  <c r="AE291" i="1"/>
  <c r="AD291" i="1"/>
  <c r="AC291" i="1"/>
  <c r="AB291" i="1"/>
  <c r="Z291" i="1"/>
  <c r="W291" i="1"/>
  <c r="Y291" i="1" s="1"/>
  <c r="V291" i="1"/>
  <c r="T291" i="1"/>
  <c r="R291" i="1"/>
  <c r="Q291" i="1" a="1"/>
  <c r="Q291" i="1" s="1"/>
  <c r="P291" i="1"/>
  <c r="N291" i="1"/>
  <c r="L291" i="1"/>
  <c r="K291" i="1" a="1"/>
  <c r="K291" i="1" s="1"/>
  <c r="U291" i="1" s="1"/>
  <c r="J291" i="1" a="1"/>
  <c r="J291" i="1" s="1"/>
  <c r="H291" i="1" a="1"/>
  <c r="H291" i="1" s="1"/>
  <c r="AS290" i="1"/>
  <c r="AA290" i="1" s="1"/>
  <c r="AO290" i="1"/>
  <c r="AN290" i="1"/>
  <c r="AM290" i="1"/>
  <c r="AL290" i="1"/>
  <c r="AK290" i="1"/>
  <c r="AJ290" i="1"/>
  <c r="AI290" i="1"/>
  <c r="AH290" i="1"/>
  <c r="AG290" i="1"/>
  <c r="AF290" i="1"/>
  <c r="AE290" i="1"/>
  <c r="AD290" i="1"/>
  <c r="AC290" i="1"/>
  <c r="AB290" i="1"/>
  <c r="Z290" i="1"/>
  <c r="W290" i="1"/>
  <c r="Y290" i="1" s="1"/>
  <c r="V290" i="1"/>
  <c r="T290" i="1"/>
  <c r="R290" i="1"/>
  <c r="Q290" i="1" a="1"/>
  <c r="Q290" i="1" s="1"/>
  <c r="P290" i="1"/>
  <c r="N290" i="1"/>
  <c r="L290" i="1"/>
  <c r="K290" i="1" a="1"/>
  <c r="K290" i="1" s="1"/>
  <c r="U290" i="1" s="1"/>
  <c r="J290" i="1" a="1"/>
  <c r="J290" i="1" s="1"/>
  <c r="H290" i="1" a="1"/>
  <c r="H290" i="1" s="1"/>
  <c r="AS289" i="1"/>
  <c r="AA289" i="1" s="1"/>
  <c r="AO289" i="1"/>
  <c r="AN289" i="1"/>
  <c r="AM289" i="1"/>
  <c r="AL289" i="1"/>
  <c r="AK289" i="1"/>
  <c r="AJ289" i="1"/>
  <c r="AI289" i="1"/>
  <c r="AH289" i="1"/>
  <c r="AG289" i="1"/>
  <c r="AF289" i="1"/>
  <c r="AE289" i="1"/>
  <c r="AD289" i="1"/>
  <c r="AC289" i="1"/>
  <c r="AB289" i="1"/>
  <c r="Z289" i="1"/>
  <c r="W289" i="1"/>
  <c r="Y289" i="1" s="1"/>
  <c r="V289" i="1"/>
  <c r="T289" i="1"/>
  <c r="R289" i="1"/>
  <c r="Q289" i="1" a="1"/>
  <c r="Q289" i="1" s="1"/>
  <c r="P289" i="1"/>
  <c r="N289" i="1"/>
  <c r="L289" i="1"/>
  <c r="K289" i="1" a="1"/>
  <c r="K289" i="1" s="1"/>
  <c r="U289" i="1" s="1"/>
  <c r="J289" i="1" a="1"/>
  <c r="J289" i="1" s="1"/>
  <c r="H289" i="1" a="1"/>
  <c r="H289" i="1" s="1"/>
  <c r="AS288" i="1"/>
  <c r="AA288" i="1" s="1"/>
  <c r="AO288" i="1"/>
  <c r="AN288" i="1"/>
  <c r="AM288" i="1"/>
  <c r="AL288" i="1"/>
  <c r="AK288" i="1"/>
  <c r="AJ288" i="1"/>
  <c r="AI288" i="1"/>
  <c r="AH288" i="1"/>
  <c r="AG288" i="1"/>
  <c r="AF288" i="1"/>
  <c r="AE288" i="1"/>
  <c r="AD288" i="1"/>
  <c r="AC288" i="1"/>
  <c r="AB288" i="1"/>
  <c r="Z288" i="1"/>
  <c r="W288" i="1"/>
  <c r="X288" i="1" s="1"/>
  <c r="V288" i="1"/>
  <c r="T288" i="1"/>
  <c r="R288" i="1"/>
  <c r="Q288" i="1" a="1"/>
  <c r="Q288" i="1" s="1"/>
  <c r="P288" i="1"/>
  <c r="N288" i="1"/>
  <c r="L288" i="1"/>
  <c r="K288" i="1" a="1"/>
  <c r="K288" i="1" s="1"/>
  <c r="U288" i="1" s="1"/>
  <c r="J288" i="1" a="1"/>
  <c r="J288" i="1" s="1"/>
  <c r="H288" i="1" a="1"/>
  <c r="H288" i="1" s="1"/>
  <c r="BD287" i="1"/>
  <c r="AL287" i="1" s="1"/>
  <c r="BC287" i="1"/>
  <c r="AK287" i="1" s="1"/>
  <c r="BB287" i="1"/>
  <c r="AJ287" i="1" s="1"/>
  <c r="BA287" i="1"/>
  <c r="AZ287" i="1"/>
  <c r="AH287" i="1" s="1"/>
  <c r="AY287" i="1"/>
  <c r="AG287" i="1" s="1"/>
  <c r="AX287" i="1"/>
  <c r="AF287" i="1" s="1"/>
  <c r="AW287" i="1"/>
  <c r="AE287" i="1" s="1"/>
  <c r="AV287" i="1"/>
  <c r="AD287" i="1" s="1"/>
  <c r="AU287" i="1"/>
  <c r="AC287" i="1" s="1"/>
  <c r="AT287" i="1"/>
  <c r="AB287" i="1" s="1"/>
  <c r="AS287" i="1"/>
  <c r="AA287" i="1" s="1"/>
  <c r="AO287" i="1"/>
  <c r="AN287" i="1"/>
  <c r="AM287" i="1"/>
  <c r="AI287" i="1"/>
  <c r="Z287" i="1"/>
  <c r="W287" i="1"/>
  <c r="Y287" i="1" s="1"/>
  <c r="V287" i="1"/>
  <c r="T287" i="1"/>
  <c r="R287" i="1"/>
  <c r="Q287" i="1" a="1"/>
  <c r="Q287" i="1" s="1"/>
  <c r="P287" i="1"/>
  <c r="N287" i="1"/>
  <c r="L287" i="1"/>
  <c r="K287" i="1" a="1"/>
  <c r="K287" i="1" s="1"/>
  <c r="U287" i="1" s="1"/>
  <c r="J287" i="1" a="1"/>
  <c r="J287" i="1" s="1"/>
  <c r="H287" i="1" a="1"/>
  <c r="H287" i="1" s="1"/>
  <c r="AV286" i="1"/>
  <c r="AD286" i="1" s="1"/>
  <c r="AU286" i="1"/>
  <c r="AC286" i="1" s="1"/>
  <c r="AT286" i="1"/>
  <c r="AB286" i="1" s="1"/>
  <c r="AS286" i="1"/>
  <c r="AA286" i="1" s="1"/>
  <c r="AO286" i="1"/>
  <c r="AN286" i="1"/>
  <c r="AM286" i="1"/>
  <c r="AL286" i="1"/>
  <c r="AK286" i="1"/>
  <c r="AJ286" i="1"/>
  <c r="AI286" i="1"/>
  <c r="AH286" i="1"/>
  <c r="AG286" i="1"/>
  <c r="AF286" i="1"/>
  <c r="AE286" i="1"/>
  <c r="Z286" i="1"/>
  <c r="W286" i="1"/>
  <c r="Y286" i="1" s="1"/>
  <c r="V286" i="1"/>
  <c r="T286" i="1"/>
  <c r="R286" i="1"/>
  <c r="Q286" i="1" a="1"/>
  <c r="Q286" i="1" s="1"/>
  <c r="P286" i="1"/>
  <c r="N286" i="1"/>
  <c r="L286" i="1"/>
  <c r="K286" i="1" a="1"/>
  <c r="K286" i="1" s="1"/>
  <c r="U286" i="1" s="1"/>
  <c r="J286" i="1" a="1"/>
  <c r="J286" i="1" s="1"/>
  <c r="H286" i="1" a="1"/>
  <c r="H286" i="1" s="1"/>
  <c r="AS285" i="1"/>
  <c r="AA285" i="1" s="1"/>
  <c r="AO285" i="1"/>
  <c r="AN285" i="1"/>
  <c r="AM285" i="1"/>
  <c r="AL285" i="1"/>
  <c r="AK285" i="1"/>
  <c r="AJ285" i="1"/>
  <c r="AI285" i="1"/>
  <c r="AH285" i="1"/>
  <c r="AG285" i="1"/>
  <c r="AF285" i="1"/>
  <c r="AE285" i="1"/>
  <c r="AD285" i="1"/>
  <c r="AC285" i="1"/>
  <c r="AB285" i="1"/>
  <c r="Z285" i="1"/>
  <c r="W285" i="1"/>
  <c r="Y285" i="1" s="1"/>
  <c r="V285" i="1"/>
  <c r="T285" i="1"/>
  <c r="R285" i="1"/>
  <c r="Q285" i="1" a="1"/>
  <c r="Q285" i="1" s="1"/>
  <c r="P285" i="1"/>
  <c r="N285" i="1"/>
  <c r="L285" i="1"/>
  <c r="K285" i="1" a="1"/>
  <c r="K285" i="1" s="1"/>
  <c r="U285" i="1" s="1"/>
  <c r="J285" i="1" a="1"/>
  <c r="J285" i="1" s="1"/>
  <c r="H285" i="1" a="1"/>
  <c r="H285" i="1" s="1"/>
  <c r="AS284" i="1"/>
  <c r="AA284" i="1" s="1"/>
  <c r="AO284" i="1"/>
  <c r="AN284" i="1"/>
  <c r="AM284" i="1"/>
  <c r="AL284" i="1"/>
  <c r="AK284" i="1"/>
  <c r="AJ284" i="1"/>
  <c r="AI284" i="1"/>
  <c r="AH284" i="1"/>
  <c r="AG284" i="1"/>
  <c r="AF284" i="1"/>
  <c r="AE284" i="1"/>
  <c r="AD284" i="1"/>
  <c r="AC284" i="1"/>
  <c r="AB284" i="1"/>
  <c r="Z284" i="1"/>
  <c r="W284" i="1"/>
  <c r="Y284" i="1" s="1"/>
  <c r="V284" i="1"/>
  <c r="AS283" i="1"/>
  <c r="AA283" i="1" s="1"/>
  <c r="AO283" i="1"/>
  <c r="AN283" i="1"/>
  <c r="AM283" i="1"/>
  <c r="AL283" i="1"/>
  <c r="AK283" i="1"/>
  <c r="AJ283" i="1"/>
  <c r="AI283" i="1"/>
  <c r="AH283" i="1"/>
  <c r="AG283" i="1"/>
  <c r="AF283" i="1"/>
  <c r="AE283" i="1"/>
  <c r="AD283" i="1"/>
  <c r="AC283" i="1"/>
  <c r="AB283" i="1"/>
  <c r="Z283" i="1"/>
  <c r="W283" i="1"/>
  <c r="Y283" i="1" s="1"/>
  <c r="V283" i="1"/>
  <c r="T283" i="1"/>
  <c r="R283" i="1"/>
  <c r="Q283" i="1" a="1"/>
  <c r="Q283" i="1" s="1"/>
  <c r="P283" i="1"/>
  <c r="N283" i="1"/>
  <c r="L283" i="1"/>
  <c r="K283" i="1" a="1"/>
  <c r="K283" i="1" s="1"/>
  <c r="U283" i="1" s="1"/>
  <c r="J283" i="1" a="1"/>
  <c r="J283" i="1" s="1"/>
  <c r="H283" i="1" a="1"/>
  <c r="H283" i="1" s="1"/>
  <c r="AS282" i="1"/>
  <c r="AA282" i="1" s="1"/>
  <c r="AO282" i="1"/>
  <c r="AN282" i="1"/>
  <c r="AM282" i="1"/>
  <c r="AL282" i="1"/>
  <c r="AK282" i="1"/>
  <c r="AJ282" i="1"/>
  <c r="AI282" i="1"/>
  <c r="AH282" i="1"/>
  <c r="AG282" i="1"/>
  <c r="AF282" i="1"/>
  <c r="AE282" i="1"/>
  <c r="AD282" i="1"/>
  <c r="AC282" i="1"/>
  <c r="AB282" i="1"/>
  <c r="Z282" i="1"/>
  <c r="W282" i="1"/>
  <c r="X282" i="1" s="1"/>
  <c r="V282" i="1"/>
  <c r="AZ281" i="1"/>
  <c r="AH281" i="1" s="1"/>
  <c r="AY281" i="1"/>
  <c r="AG281" i="1" s="1"/>
  <c r="AX281" i="1"/>
  <c r="AF281" i="1" s="1"/>
  <c r="AW281" i="1"/>
  <c r="AE281" i="1" s="1"/>
  <c r="AV281" i="1"/>
  <c r="AD281" i="1" s="1"/>
  <c r="AU281" i="1"/>
  <c r="AC281" i="1" s="1"/>
  <c r="AT281" i="1"/>
  <c r="AB281" i="1" s="1"/>
  <c r="AS281" i="1"/>
  <c r="AA281" i="1" s="1"/>
  <c r="AO281" i="1"/>
  <c r="AN281" i="1"/>
  <c r="AM281" i="1"/>
  <c r="AL281" i="1"/>
  <c r="AK281" i="1"/>
  <c r="AJ281" i="1"/>
  <c r="AI281" i="1"/>
  <c r="Z281" i="1"/>
  <c r="W281" i="1"/>
  <c r="X281" i="1" s="1"/>
  <c r="V281" i="1"/>
  <c r="T281" i="1"/>
  <c r="R281" i="1"/>
  <c r="Q281" i="1" a="1"/>
  <c r="Q281" i="1" s="1"/>
  <c r="P281" i="1"/>
  <c r="N281" i="1"/>
  <c r="L281" i="1"/>
  <c r="K281" i="1" a="1"/>
  <c r="K281" i="1" s="1"/>
  <c r="U281" i="1" s="1"/>
  <c r="J281" i="1" a="1"/>
  <c r="J281" i="1" s="1"/>
  <c r="H281" i="1" a="1"/>
  <c r="H281" i="1" s="1"/>
  <c r="I281" i="1" s="1"/>
  <c r="S281" i="1" s="1"/>
  <c r="AS280" i="1"/>
  <c r="AA280" i="1" s="1"/>
  <c r="AO280" i="1"/>
  <c r="AN280" i="1"/>
  <c r="AM280" i="1"/>
  <c r="AL280" i="1"/>
  <c r="AK280" i="1"/>
  <c r="AJ280" i="1"/>
  <c r="AI280" i="1"/>
  <c r="AH280" i="1"/>
  <c r="AG280" i="1"/>
  <c r="AF280" i="1"/>
  <c r="AE280" i="1"/>
  <c r="AD280" i="1"/>
  <c r="AC280" i="1"/>
  <c r="AB280" i="1"/>
  <c r="Z280" i="1"/>
  <c r="W280" i="1"/>
  <c r="Y280" i="1" s="1"/>
  <c r="V280" i="1"/>
  <c r="T280" i="1"/>
  <c r="R280" i="1"/>
  <c r="Q280" i="1" a="1"/>
  <c r="Q280" i="1" s="1"/>
  <c r="P280" i="1"/>
  <c r="N280" i="1"/>
  <c r="L280" i="1"/>
  <c r="K280" i="1" a="1"/>
  <c r="K280" i="1" s="1"/>
  <c r="U280" i="1" s="1"/>
  <c r="J280" i="1" a="1"/>
  <c r="J280" i="1" s="1"/>
  <c r="H280" i="1" a="1"/>
  <c r="H280" i="1" s="1"/>
  <c r="AS279" i="1"/>
  <c r="AA279" i="1" s="1"/>
  <c r="AO279" i="1"/>
  <c r="AN279" i="1"/>
  <c r="AM279" i="1"/>
  <c r="AL279" i="1"/>
  <c r="AK279" i="1"/>
  <c r="AJ279" i="1"/>
  <c r="AI279" i="1"/>
  <c r="AH279" i="1"/>
  <c r="AG279" i="1"/>
  <c r="AF279" i="1"/>
  <c r="AE279" i="1"/>
  <c r="AD279" i="1"/>
  <c r="AC279" i="1"/>
  <c r="AB279" i="1"/>
  <c r="Z279" i="1"/>
  <c r="W279" i="1"/>
  <c r="X279" i="1" s="1"/>
  <c r="V279" i="1"/>
  <c r="AW278" i="1"/>
  <c r="AE278" i="1" s="1"/>
  <c r="AV278" i="1"/>
  <c r="AD278" i="1" s="1"/>
  <c r="AU278" i="1"/>
  <c r="AC278" i="1" s="1"/>
  <c r="AT278" i="1"/>
  <c r="AB278" i="1" s="1"/>
  <c r="AS278" i="1"/>
  <c r="AA278" i="1" s="1"/>
  <c r="AO278" i="1"/>
  <c r="AN278" i="1"/>
  <c r="AM278" i="1"/>
  <c r="AL278" i="1"/>
  <c r="AK278" i="1"/>
  <c r="AJ278" i="1"/>
  <c r="AI278" i="1"/>
  <c r="AH278" i="1"/>
  <c r="AG278" i="1"/>
  <c r="AF278" i="1"/>
  <c r="Z278" i="1"/>
  <c r="W278" i="1"/>
  <c r="V278" i="1"/>
  <c r="T278" i="1"/>
  <c r="R278" i="1"/>
  <c r="Q278" i="1" a="1"/>
  <c r="Q278" i="1" s="1"/>
  <c r="P278" i="1"/>
  <c r="N278" i="1"/>
  <c r="L278" i="1"/>
  <c r="K278" i="1" a="1"/>
  <c r="K278" i="1" s="1"/>
  <c r="U278" i="1" s="1"/>
  <c r="J278" i="1" a="1"/>
  <c r="J278" i="1" s="1"/>
  <c r="H278" i="1" a="1"/>
  <c r="H278" i="1" s="1"/>
  <c r="AS277" i="1"/>
  <c r="AA277" i="1" s="1"/>
  <c r="AO277" i="1"/>
  <c r="AN277" i="1"/>
  <c r="AM277" i="1"/>
  <c r="AL277" i="1"/>
  <c r="AK277" i="1"/>
  <c r="AJ277" i="1"/>
  <c r="AI277" i="1"/>
  <c r="AH277" i="1"/>
  <c r="AG277" i="1"/>
  <c r="AF277" i="1"/>
  <c r="AE277" i="1"/>
  <c r="AD277" i="1"/>
  <c r="AC277" i="1"/>
  <c r="AB277" i="1"/>
  <c r="Z277" i="1"/>
  <c r="W277" i="1"/>
  <c r="V277" i="1"/>
  <c r="T277" i="1"/>
  <c r="R277" i="1"/>
  <c r="Q277" i="1" a="1"/>
  <c r="Q277" i="1" s="1"/>
  <c r="P277" i="1"/>
  <c r="N277" i="1"/>
  <c r="L277" i="1"/>
  <c r="K277" i="1" a="1"/>
  <c r="K277" i="1" s="1"/>
  <c r="U277" i="1" s="1"/>
  <c r="J277" i="1" a="1"/>
  <c r="J277" i="1" s="1"/>
  <c r="H277" i="1" a="1"/>
  <c r="H277" i="1" s="1"/>
  <c r="AS276" i="1"/>
  <c r="AA276" i="1" s="1"/>
  <c r="AO276" i="1"/>
  <c r="AN276" i="1"/>
  <c r="AM276" i="1"/>
  <c r="AL276" i="1"/>
  <c r="AK276" i="1"/>
  <c r="AJ276" i="1"/>
  <c r="AI276" i="1"/>
  <c r="AH276" i="1"/>
  <c r="AG276" i="1"/>
  <c r="AF276" i="1"/>
  <c r="AE276" i="1"/>
  <c r="AD276" i="1"/>
  <c r="AC276" i="1"/>
  <c r="AB276" i="1"/>
  <c r="Z276" i="1"/>
  <c r="W276" i="1"/>
  <c r="X276" i="1" s="1"/>
  <c r="V276" i="1"/>
  <c r="T276" i="1"/>
  <c r="R276" i="1"/>
  <c r="Q276" i="1" a="1"/>
  <c r="Q276" i="1" s="1"/>
  <c r="P276" i="1"/>
  <c r="N276" i="1"/>
  <c r="L276" i="1"/>
  <c r="K276" i="1" a="1"/>
  <c r="K276" i="1" s="1"/>
  <c r="U276" i="1" s="1"/>
  <c r="J276" i="1" a="1"/>
  <c r="J276" i="1" s="1"/>
  <c r="H276" i="1" a="1"/>
  <c r="H276" i="1" s="1"/>
  <c r="AS275" i="1"/>
  <c r="AA275" i="1" s="1"/>
  <c r="AO275" i="1"/>
  <c r="AN275" i="1"/>
  <c r="AM275" i="1"/>
  <c r="AL275" i="1"/>
  <c r="AK275" i="1"/>
  <c r="AJ275" i="1"/>
  <c r="AI275" i="1"/>
  <c r="AH275" i="1"/>
  <c r="AG275" i="1"/>
  <c r="AF275" i="1"/>
  <c r="AE275" i="1"/>
  <c r="AD275" i="1"/>
  <c r="AC275" i="1"/>
  <c r="AB275" i="1"/>
  <c r="Z275" i="1"/>
  <c r="W275" i="1"/>
  <c r="X275" i="1" s="1"/>
  <c r="V275" i="1"/>
  <c r="T275" i="1"/>
  <c r="R275" i="1"/>
  <c r="Q275" i="1"/>
  <c r="Q275" i="1" a="1"/>
  <c r="P275" i="1"/>
  <c r="N275" i="1"/>
  <c r="L275" i="1"/>
  <c r="K275" i="1" a="1"/>
  <c r="K275" i="1" s="1"/>
  <c r="U275" i="1" s="1"/>
  <c r="J275" i="1" a="1"/>
  <c r="J275" i="1" s="1"/>
  <c r="H275" i="1" a="1"/>
  <c r="H275" i="1" s="1"/>
  <c r="I275" i="1" s="1"/>
  <c r="S275" i="1" s="1"/>
  <c r="AT274" i="1"/>
  <c r="AB274" i="1" s="1"/>
  <c r="AS274" i="1"/>
  <c r="AA274" i="1" s="1"/>
  <c r="AO274" i="1"/>
  <c r="AN274" i="1"/>
  <c r="AM274" i="1"/>
  <c r="AL274" i="1"/>
  <c r="AK274" i="1"/>
  <c r="AJ274" i="1"/>
  <c r="AI274" i="1"/>
  <c r="AH274" i="1"/>
  <c r="AG274" i="1"/>
  <c r="AF274" i="1"/>
  <c r="AE274" i="1"/>
  <c r="AD274" i="1"/>
  <c r="AC274" i="1"/>
  <c r="Z274" i="1"/>
  <c r="W274" i="1"/>
  <c r="X274" i="1" s="1"/>
  <c r="V274" i="1"/>
  <c r="T274" i="1"/>
  <c r="R274" i="1"/>
  <c r="Q274" i="1"/>
  <c r="Q274" i="1" a="1"/>
  <c r="P274" i="1"/>
  <c r="N274" i="1"/>
  <c r="L274" i="1"/>
  <c r="K274" i="1" a="1"/>
  <c r="K274" i="1" s="1"/>
  <c r="U274" i="1" s="1"/>
  <c r="J274" i="1" a="1"/>
  <c r="J274" i="1" s="1"/>
  <c r="H274" i="1" a="1"/>
  <c r="H274" i="1" s="1"/>
  <c r="I274" i="1" s="1"/>
  <c r="S274" i="1" s="1"/>
  <c r="AY273" i="1"/>
  <c r="AG273" i="1" s="1"/>
  <c r="AX273" i="1"/>
  <c r="AF273" i="1" s="1"/>
  <c r="AW273" i="1"/>
  <c r="AE273" i="1" s="1"/>
  <c r="AV273" i="1"/>
  <c r="AD273" i="1" s="1"/>
  <c r="AU273" i="1"/>
  <c r="AC273" i="1" s="1"/>
  <c r="AT273" i="1"/>
  <c r="AB273" i="1" s="1"/>
  <c r="AS273" i="1"/>
  <c r="AA273" i="1" s="1"/>
  <c r="AO273" i="1"/>
  <c r="AN273" i="1"/>
  <c r="AM273" i="1"/>
  <c r="AL273" i="1"/>
  <c r="AK273" i="1"/>
  <c r="AJ273" i="1"/>
  <c r="AI273" i="1"/>
  <c r="AH273" i="1"/>
  <c r="Z273" i="1"/>
  <c r="W273" i="1"/>
  <c r="Y273" i="1" s="1"/>
  <c r="V273" i="1"/>
  <c r="T273" i="1"/>
  <c r="R273" i="1"/>
  <c r="Q273" i="1" a="1"/>
  <c r="Q273" i="1" s="1"/>
  <c r="P273" i="1"/>
  <c r="N273" i="1"/>
  <c r="L273" i="1"/>
  <c r="K273" i="1" a="1"/>
  <c r="K273" i="1" s="1"/>
  <c r="U273" i="1" s="1"/>
  <c r="J273" i="1" a="1"/>
  <c r="J273" i="1" s="1"/>
  <c r="H273" i="1" a="1"/>
  <c r="H273" i="1" s="1"/>
  <c r="AS272" i="1"/>
  <c r="AA272" i="1" s="1"/>
  <c r="AO272" i="1"/>
  <c r="AN272" i="1"/>
  <c r="AM272" i="1"/>
  <c r="AL272" i="1"/>
  <c r="AK272" i="1"/>
  <c r="AJ272" i="1"/>
  <c r="AI272" i="1"/>
  <c r="AH272" i="1"/>
  <c r="AG272" i="1"/>
  <c r="AF272" i="1"/>
  <c r="AE272" i="1"/>
  <c r="AD272" i="1"/>
  <c r="AC272" i="1"/>
  <c r="AB272" i="1"/>
  <c r="Z272" i="1"/>
  <c r="W272" i="1"/>
  <c r="X272" i="1" s="1"/>
  <c r="V272" i="1"/>
  <c r="AS271" i="1"/>
  <c r="AA271" i="1" s="1"/>
  <c r="AO271" i="1"/>
  <c r="AN271" i="1"/>
  <c r="AM271" i="1"/>
  <c r="AL271" i="1"/>
  <c r="AK271" i="1"/>
  <c r="AJ271" i="1"/>
  <c r="AI271" i="1"/>
  <c r="AH271" i="1"/>
  <c r="AG271" i="1"/>
  <c r="AF271" i="1"/>
  <c r="AE271" i="1"/>
  <c r="AD271" i="1"/>
  <c r="AC271" i="1"/>
  <c r="AB271" i="1"/>
  <c r="Z271" i="1"/>
  <c r="W271" i="1"/>
  <c r="V271" i="1"/>
  <c r="T271" i="1"/>
  <c r="R271" i="1"/>
  <c r="Q271" i="1" a="1"/>
  <c r="Q271" i="1" s="1"/>
  <c r="P271" i="1"/>
  <c r="N271" i="1"/>
  <c r="L271" i="1"/>
  <c r="K271" i="1" a="1"/>
  <c r="K271" i="1" s="1"/>
  <c r="U271" i="1" s="1"/>
  <c r="J271" i="1" a="1"/>
  <c r="J271" i="1" s="1"/>
  <c r="H271" i="1" a="1"/>
  <c r="H271" i="1" s="1"/>
  <c r="AS270" i="1"/>
  <c r="AA270" i="1" s="1"/>
  <c r="AO270" i="1"/>
  <c r="AN270" i="1"/>
  <c r="AM270" i="1"/>
  <c r="AL270" i="1"/>
  <c r="AK270" i="1"/>
  <c r="AJ270" i="1"/>
  <c r="AI270" i="1"/>
  <c r="AH270" i="1"/>
  <c r="AG270" i="1"/>
  <c r="AF270" i="1"/>
  <c r="AE270" i="1"/>
  <c r="AD270" i="1"/>
  <c r="AC270" i="1"/>
  <c r="AB270" i="1"/>
  <c r="Z270" i="1"/>
  <c r="W270" i="1"/>
  <c r="X270" i="1" s="1"/>
  <c r="V270" i="1"/>
  <c r="T270" i="1"/>
  <c r="R270" i="1"/>
  <c r="Q270" i="1" a="1"/>
  <c r="Q270" i="1" s="1"/>
  <c r="P270" i="1"/>
  <c r="N270" i="1"/>
  <c r="L270" i="1"/>
  <c r="K270" i="1" a="1"/>
  <c r="K270" i="1" s="1"/>
  <c r="U270" i="1" s="1"/>
  <c r="J270" i="1" a="1"/>
  <c r="J270" i="1" s="1"/>
  <c r="H270" i="1" a="1"/>
  <c r="H270" i="1" s="1"/>
  <c r="I270" i="1" s="1"/>
  <c r="S270" i="1" s="1"/>
  <c r="AS269" i="1"/>
  <c r="AA269" i="1" s="1"/>
  <c r="AO269" i="1"/>
  <c r="AN269" i="1"/>
  <c r="AM269" i="1"/>
  <c r="AL269" i="1"/>
  <c r="AK269" i="1"/>
  <c r="AJ269" i="1"/>
  <c r="AI269" i="1"/>
  <c r="AH269" i="1"/>
  <c r="AG269" i="1"/>
  <c r="AF269" i="1"/>
  <c r="AE269" i="1"/>
  <c r="AD269" i="1"/>
  <c r="AC269" i="1"/>
  <c r="AB269" i="1"/>
  <c r="Z269" i="1"/>
  <c r="W269" i="1"/>
  <c r="V269" i="1"/>
  <c r="T269" i="1"/>
  <c r="R269" i="1"/>
  <c r="Q269" i="1" a="1"/>
  <c r="Q269" i="1" s="1"/>
  <c r="P269" i="1"/>
  <c r="N269" i="1"/>
  <c r="L269" i="1"/>
  <c r="K269" i="1" a="1"/>
  <c r="K269" i="1" s="1"/>
  <c r="U269" i="1" s="1"/>
  <c r="J269" i="1" a="1"/>
  <c r="J269" i="1" s="1"/>
  <c r="H269" i="1" a="1"/>
  <c r="H269" i="1" s="1"/>
  <c r="AS268" i="1"/>
  <c r="AA268" i="1" s="1"/>
  <c r="AO268" i="1"/>
  <c r="AN268" i="1"/>
  <c r="AM268" i="1"/>
  <c r="AL268" i="1"/>
  <c r="AK268" i="1"/>
  <c r="AJ268" i="1"/>
  <c r="AI268" i="1"/>
  <c r="AH268" i="1"/>
  <c r="AG268" i="1"/>
  <c r="AF268" i="1"/>
  <c r="AE268" i="1"/>
  <c r="AD268" i="1"/>
  <c r="AC268" i="1"/>
  <c r="AB268" i="1"/>
  <c r="Z268" i="1"/>
  <c r="W268" i="1"/>
  <c r="X268" i="1" s="1"/>
  <c r="V268" i="1"/>
  <c r="T268" i="1"/>
  <c r="R268" i="1"/>
  <c r="Q268" i="1" a="1"/>
  <c r="Q268" i="1" s="1"/>
  <c r="P268" i="1"/>
  <c r="N268" i="1"/>
  <c r="L268" i="1"/>
  <c r="K268" i="1" a="1"/>
  <c r="K268" i="1" s="1"/>
  <c r="U268" i="1" s="1"/>
  <c r="J268" i="1" a="1"/>
  <c r="J268" i="1" s="1"/>
  <c r="H268" i="1" a="1"/>
  <c r="H268" i="1" s="1"/>
  <c r="AS267" i="1"/>
  <c r="AA267" i="1" s="1"/>
  <c r="AO267" i="1"/>
  <c r="AN267" i="1"/>
  <c r="AM267" i="1"/>
  <c r="AL267" i="1"/>
  <c r="AK267" i="1"/>
  <c r="AJ267" i="1"/>
  <c r="AI267" i="1"/>
  <c r="AH267" i="1"/>
  <c r="AG267" i="1"/>
  <c r="AF267" i="1"/>
  <c r="AE267" i="1"/>
  <c r="AD267" i="1"/>
  <c r="AC267" i="1"/>
  <c r="AB267" i="1"/>
  <c r="Z267" i="1"/>
  <c r="W267" i="1"/>
  <c r="Y267" i="1" s="1"/>
  <c r="V267" i="1"/>
  <c r="T267" i="1"/>
  <c r="R267" i="1"/>
  <c r="Q267" i="1" a="1"/>
  <c r="Q267" i="1" s="1"/>
  <c r="P267" i="1"/>
  <c r="N267" i="1"/>
  <c r="L267" i="1"/>
  <c r="K267" i="1" a="1"/>
  <c r="K267" i="1" s="1"/>
  <c r="U267" i="1" s="1"/>
  <c r="J267" i="1" a="1"/>
  <c r="J267" i="1" s="1"/>
  <c r="H267" i="1" a="1"/>
  <c r="H267" i="1" s="1"/>
  <c r="AS266" i="1"/>
  <c r="AA266" i="1" s="1"/>
  <c r="AO266" i="1"/>
  <c r="AN266" i="1"/>
  <c r="AM266" i="1"/>
  <c r="AL266" i="1"/>
  <c r="AK266" i="1"/>
  <c r="AJ266" i="1"/>
  <c r="AI266" i="1"/>
  <c r="AH266" i="1"/>
  <c r="AG266" i="1"/>
  <c r="AF266" i="1"/>
  <c r="AE266" i="1"/>
  <c r="AD266" i="1"/>
  <c r="AC266" i="1"/>
  <c r="AB266" i="1"/>
  <c r="Z266" i="1"/>
  <c r="W266" i="1"/>
  <c r="X266" i="1" s="1"/>
  <c r="V266" i="1"/>
  <c r="T266" i="1"/>
  <c r="R266" i="1"/>
  <c r="Q266" i="1" a="1"/>
  <c r="Q266" i="1" s="1"/>
  <c r="P266" i="1"/>
  <c r="N266" i="1"/>
  <c r="L266" i="1"/>
  <c r="K266" i="1" a="1"/>
  <c r="K266" i="1" s="1"/>
  <c r="U266" i="1" s="1"/>
  <c r="J266" i="1" a="1"/>
  <c r="J266" i="1" s="1"/>
  <c r="H266" i="1" a="1"/>
  <c r="H266" i="1" s="1"/>
  <c r="I266" i="1" s="1"/>
  <c r="S266" i="1" s="1"/>
  <c r="AS265" i="1"/>
  <c r="AA265" i="1" s="1"/>
  <c r="AO265" i="1"/>
  <c r="AN265" i="1"/>
  <c r="AM265" i="1"/>
  <c r="AL265" i="1"/>
  <c r="AK265" i="1"/>
  <c r="AJ265" i="1"/>
  <c r="AI265" i="1"/>
  <c r="AH265" i="1"/>
  <c r="AG265" i="1"/>
  <c r="AF265" i="1"/>
  <c r="AE265" i="1"/>
  <c r="AD265" i="1"/>
  <c r="AC265" i="1"/>
  <c r="AB265" i="1"/>
  <c r="Z265" i="1"/>
  <c r="W265" i="1"/>
  <c r="Y265" i="1" s="1"/>
  <c r="V265" i="1"/>
  <c r="T265" i="1"/>
  <c r="R265" i="1"/>
  <c r="Q265" i="1" a="1"/>
  <c r="Q265" i="1" s="1"/>
  <c r="P265" i="1"/>
  <c r="N265" i="1"/>
  <c r="L265" i="1"/>
  <c r="K265" i="1" a="1"/>
  <c r="K265" i="1" s="1"/>
  <c r="U265" i="1" s="1"/>
  <c r="J265" i="1" a="1"/>
  <c r="J265" i="1" s="1"/>
  <c r="H265" i="1" a="1"/>
  <c r="H265" i="1" s="1"/>
  <c r="AS264" i="1"/>
  <c r="AA264" i="1" s="1"/>
  <c r="AO264" i="1"/>
  <c r="AN264" i="1"/>
  <c r="AM264" i="1"/>
  <c r="AL264" i="1"/>
  <c r="AK264" i="1"/>
  <c r="AJ264" i="1"/>
  <c r="AI264" i="1"/>
  <c r="AH264" i="1"/>
  <c r="AG264" i="1"/>
  <c r="AF264" i="1"/>
  <c r="AE264" i="1"/>
  <c r="AD264" i="1"/>
  <c r="AC264" i="1"/>
  <c r="AB264" i="1"/>
  <c r="Z264" i="1"/>
  <c r="W264" i="1"/>
  <c r="X264" i="1" s="1"/>
  <c r="V264" i="1"/>
  <c r="T264" i="1"/>
  <c r="R264" i="1"/>
  <c r="Q264" i="1" a="1"/>
  <c r="Q264" i="1" s="1"/>
  <c r="P264" i="1"/>
  <c r="N264" i="1"/>
  <c r="L264" i="1"/>
  <c r="K264" i="1" a="1"/>
  <c r="K264" i="1" s="1"/>
  <c r="U264" i="1" s="1"/>
  <c r="J264" i="1" a="1"/>
  <c r="J264" i="1" s="1"/>
  <c r="H264" i="1" a="1"/>
  <c r="H264" i="1" s="1"/>
  <c r="AS263" i="1"/>
  <c r="AA263" i="1" s="1"/>
  <c r="AO263" i="1"/>
  <c r="AN263" i="1"/>
  <c r="AM263" i="1"/>
  <c r="AL263" i="1"/>
  <c r="AK263" i="1"/>
  <c r="AJ263" i="1"/>
  <c r="AI263" i="1"/>
  <c r="AH263" i="1"/>
  <c r="AG263" i="1"/>
  <c r="AF263" i="1"/>
  <c r="AE263" i="1"/>
  <c r="AD263" i="1"/>
  <c r="AC263" i="1"/>
  <c r="AB263" i="1"/>
  <c r="Z263" i="1"/>
  <c r="Y263" i="1"/>
  <c r="W263" i="1"/>
  <c r="X263" i="1" s="1"/>
  <c r="V263" i="1"/>
  <c r="T263" i="1"/>
  <c r="R263" i="1"/>
  <c r="Q263" i="1" a="1"/>
  <c r="Q263" i="1" s="1"/>
  <c r="P263" i="1"/>
  <c r="N263" i="1"/>
  <c r="L263" i="1"/>
  <c r="K263" i="1" a="1"/>
  <c r="K263" i="1" s="1"/>
  <c r="U263" i="1" s="1"/>
  <c r="J263" i="1" a="1"/>
  <c r="J263" i="1" s="1"/>
  <c r="H263" i="1" a="1"/>
  <c r="H263" i="1" s="1"/>
  <c r="AS262" i="1"/>
  <c r="AA262" i="1" s="1"/>
  <c r="AO262" i="1"/>
  <c r="AN262" i="1"/>
  <c r="AM262" i="1"/>
  <c r="AL262" i="1"/>
  <c r="AK262" i="1"/>
  <c r="AJ262" i="1"/>
  <c r="AI262" i="1"/>
  <c r="AH262" i="1"/>
  <c r="AG262" i="1"/>
  <c r="AF262" i="1"/>
  <c r="AE262" i="1"/>
  <c r="AD262" i="1"/>
  <c r="AC262" i="1"/>
  <c r="AB262" i="1"/>
  <c r="Z262" i="1"/>
  <c r="W262" i="1"/>
  <c r="X262" i="1" s="1"/>
  <c r="V262" i="1"/>
  <c r="T262" i="1"/>
  <c r="R262" i="1"/>
  <c r="Q262" i="1" a="1"/>
  <c r="Q262" i="1" s="1"/>
  <c r="P262" i="1"/>
  <c r="N262" i="1"/>
  <c r="L262" i="1"/>
  <c r="K262" i="1" a="1"/>
  <c r="K262" i="1" s="1"/>
  <c r="U262" i="1" s="1"/>
  <c r="J262" i="1" a="1"/>
  <c r="J262" i="1" s="1"/>
  <c r="H262" i="1" a="1"/>
  <c r="H262" i="1" s="1"/>
  <c r="I262" i="1" s="1"/>
  <c r="S262" i="1" s="1"/>
  <c r="AS261" i="1"/>
  <c r="AA261" i="1" s="1"/>
  <c r="AO261" i="1"/>
  <c r="AN261" i="1"/>
  <c r="AM261" i="1"/>
  <c r="AL261" i="1"/>
  <c r="AK261" i="1"/>
  <c r="AJ261" i="1"/>
  <c r="AI261" i="1"/>
  <c r="AH261" i="1"/>
  <c r="AG261" i="1"/>
  <c r="AF261" i="1"/>
  <c r="AE261" i="1"/>
  <c r="AD261" i="1"/>
  <c r="AC261" i="1"/>
  <c r="AB261" i="1"/>
  <c r="Z261" i="1"/>
  <c r="W261" i="1"/>
  <c r="Y261" i="1" s="1"/>
  <c r="V261" i="1"/>
  <c r="T261" i="1"/>
  <c r="R261" i="1"/>
  <c r="Q261" i="1" a="1"/>
  <c r="Q261" i="1" s="1"/>
  <c r="P261" i="1"/>
  <c r="N261" i="1"/>
  <c r="L261" i="1"/>
  <c r="K261" i="1" a="1"/>
  <c r="K261" i="1" s="1"/>
  <c r="U261" i="1" s="1"/>
  <c r="J261" i="1" a="1"/>
  <c r="J261" i="1" s="1"/>
  <c r="H261" i="1" a="1"/>
  <c r="H261" i="1" s="1"/>
  <c r="AS260" i="1"/>
  <c r="AA260" i="1" s="1"/>
  <c r="AO260" i="1"/>
  <c r="AN260" i="1"/>
  <c r="AM260" i="1"/>
  <c r="AL260" i="1"/>
  <c r="AK260" i="1"/>
  <c r="AJ260" i="1"/>
  <c r="AI260" i="1"/>
  <c r="AH260" i="1"/>
  <c r="AG260" i="1"/>
  <c r="AF260" i="1"/>
  <c r="AE260" i="1"/>
  <c r="AD260" i="1"/>
  <c r="AC260" i="1"/>
  <c r="AB260" i="1"/>
  <c r="Z260" i="1"/>
  <c r="W260" i="1"/>
  <c r="X260" i="1" s="1"/>
  <c r="V260" i="1"/>
  <c r="T260" i="1"/>
  <c r="R260" i="1"/>
  <c r="Q260" i="1" a="1"/>
  <c r="Q260" i="1" s="1"/>
  <c r="P260" i="1"/>
  <c r="N260" i="1"/>
  <c r="L260" i="1"/>
  <c r="K260" i="1" a="1"/>
  <c r="K260" i="1" s="1"/>
  <c r="U260" i="1" s="1"/>
  <c r="J260" i="1" a="1"/>
  <c r="J260" i="1" s="1"/>
  <c r="H260" i="1" a="1"/>
  <c r="H260" i="1" s="1"/>
  <c r="AS259" i="1"/>
  <c r="AA259" i="1" s="1"/>
  <c r="AO259" i="1"/>
  <c r="AN259" i="1"/>
  <c r="AM259" i="1"/>
  <c r="AL259" i="1"/>
  <c r="AK259" i="1"/>
  <c r="AJ259" i="1"/>
  <c r="AI259" i="1"/>
  <c r="AH259" i="1"/>
  <c r="AG259" i="1"/>
  <c r="AF259" i="1"/>
  <c r="AE259" i="1"/>
  <c r="AD259" i="1"/>
  <c r="AC259" i="1"/>
  <c r="AB259" i="1"/>
  <c r="Z259" i="1"/>
  <c r="W259" i="1"/>
  <c r="X259" i="1" s="1"/>
  <c r="V259" i="1"/>
  <c r="T259" i="1"/>
  <c r="R259" i="1"/>
  <c r="Q259" i="1" a="1"/>
  <c r="Q259" i="1" s="1"/>
  <c r="P259" i="1"/>
  <c r="N259" i="1"/>
  <c r="L259" i="1"/>
  <c r="K259" i="1" a="1"/>
  <c r="K259" i="1" s="1"/>
  <c r="U259" i="1" s="1"/>
  <c r="J259" i="1" a="1"/>
  <c r="J259" i="1" s="1"/>
  <c r="H259" i="1" a="1"/>
  <c r="H259" i="1" s="1"/>
  <c r="AV258" i="1"/>
  <c r="AD258" i="1" s="1"/>
  <c r="AU258" i="1"/>
  <c r="AC258" i="1" s="1"/>
  <c r="AT258" i="1"/>
  <c r="AB258" i="1" s="1"/>
  <c r="AS258" i="1"/>
  <c r="AA258" i="1" s="1"/>
  <c r="AO258" i="1"/>
  <c r="AN258" i="1"/>
  <c r="AM258" i="1"/>
  <c r="AL258" i="1"/>
  <c r="AK258" i="1"/>
  <c r="AJ258" i="1"/>
  <c r="AI258" i="1"/>
  <c r="AH258" i="1"/>
  <c r="AG258" i="1"/>
  <c r="AF258" i="1"/>
  <c r="AE258" i="1"/>
  <c r="Z258" i="1"/>
  <c r="W258" i="1"/>
  <c r="Y258" i="1" s="1"/>
  <c r="V258" i="1"/>
  <c r="T258" i="1"/>
  <c r="R258" i="1"/>
  <c r="Q258" i="1" a="1"/>
  <c r="Q258" i="1" s="1"/>
  <c r="P258" i="1"/>
  <c r="N258" i="1"/>
  <c r="L258" i="1"/>
  <c r="K258" i="1" a="1"/>
  <c r="K258" i="1" s="1"/>
  <c r="U258" i="1" s="1"/>
  <c r="J258" i="1" a="1"/>
  <c r="J258" i="1" s="1"/>
  <c r="H258" i="1" a="1"/>
  <c r="H258" i="1" s="1"/>
  <c r="AS257" i="1"/>
  <c r="AA257" i="1" s="1"/>
  <c r="AO257" i="1"/>
  <c r="AN257" i="1"/>
  <c r="AM257" i="1"/>
  <c r="AL257" i="1"/>
  <c r="AK257" i="1"/>
  <c r="AJ257" i="1"/>
  <c r="AI257" i="1"/>
  <c r="AH257" i="1"/>
  <c r="AG257" i="1"/>
  <c r="AF257" i="1"/>
  <c r="AE257" i="1"/>
  <c r="AD257" i="1"/>
  <c r="AC257" i="1"/>
  <c r="AB257" i="1"/>
  <c r="Z257" i="1"/>
  <c r="W257" i="1"/>
  <c r="X257" i="1" s="1"/>
  <c r="V257" i="1"/>
  <c r="T257" i="1"/>
  <c r="R257" i="1"/>
  <c r="Q257" i="1" a="1"/>
  <c r="Q257" i="1" s="1"/>
  <c r="P257" i="1"/>
  <c r="N257" i="1"/>
  <c r="L257" i="1"/>
  <c r="K257" i="1" a="1"/>
  <c r="K257" i="1" s="1"/>
  <c r="U257" i="1" s="1"/>
  <c r="J257" i="1" a="1"/>
  <c r="J257" i="1" s="1"/>
  <c r="H257" i="1" a="1"/>
  <c r="H257" i="1" s="1"/>
  <c r="AS256" i="1"/>
  <c r="AA256" i="1" s="1"/>
  <c r="AO256" i="1"/>
  <c r="AN256" i="1"/>
  <c r="AM256" i="1"/>
  <c r="AL256" i="1"/>
  <c r="AK256" i="1"/>
  <c r="AJ256" i="1"/>
  <c r="AI256" i="1"/>
  <c r="AH256" i="1"/>
  <c r="AG256" i="1"/>
  <c r="AF256" i="1"/>
  <c r="AE256" i="1"/>
  <c r="AD256" i="1"/>
  <c r="AC256" i="1"/>
  <c r="AB256" i="1"/>
  <c r="Z256" i="1"/>
  <c r="W256" i="1"/>
  <c r="Y256" i="1" s="1"/>
  <c r="V256" i="1"/>
  <c r="L256" i="1"/>
  <c r="K256" i="1" a="1"/>
  <c r="K256" i="1" s="1"/>
  <c r="J256" i="1" a="1"/>
  <c r="J256" i="1" s="1"/>
  <c r="H256" i="1" a="1"/>
  <c r="H256" i="1" s="1"/>
  <c r="I256" i="1" s="1"/>
  <c r="AS255" i="1"/>
  <c r="AA255" i="1" s="1"/>
  <c r="AO255" i="1"/>
  <c r="AN255" i="1"/>
  <c r="AM255" i="1"/>
  <c r="AL255" i="1"/>
  <c r="AK255" i="1"/>
  <c r="AJ255" i="1"/>
  <c r="AI255" i="1"/>
  <c r="AH255" i="1"/>
  <c r="AG255" i="1"/>
  <c r="AF255" i="1"/>
  <c r="AE255" i="1"/>
  <c r="AD255" i="1"/>
  <c r="AC255" i="1"/>
  <c r="AB255" i="1"/>
  <c r="Z255" i="1"/>
  <c r="X255" i="1"/>
  <c r="W255" i="1"/>
  <c r="Y255" i="1" s="1"/>
  <c r="V255" i="1"/>
  <c r="T255" i="1"/>
  <c r="R255" i="1"/>
  <c r="Q255" i="1" a="1"/>
  <c r="Q255" i="1" s="1"/>
  <c r="P255" i="1"/>
  <c r="N255" i="1"/>
  <c r="L255" i="1"/>
  <c r="K255" i="1" a="1"/>
  <c r="K255" i="1" s="1"/>
  <c r="U255" i="1" s="1"/>
  <c r="J255" i="1" a="1"/>
  <c r="J255" i="1" s="1"/>
  <c r="H255" i="1" a="1"/>
  <c r="H255" i="1" s="1"/>
  <c r="AS254" i="1"/>
  <c r="AA254" i="1" s="1"/>
  <c r="AO254" i="1"/>
  <c r="AN254" i="1"/>
  <c r="AM254" i="1"/>
  <c r="AL254" i="1"/>
  <c r="AK254" i="1"/>
  <c r="AJ254" i="1"/>
  <c r="AI254" i="1"/>
  <c r="AH254" i="1"/>
  <c r="AG254" i="1"/>
  <c r="AF254" i="1"/>
  <c r="AE254" i="1"/>
  <c r="AD254" i="1"/>
  <c r="AC254" i="1"/>
  <c r="AB254" i="1"/>
  <c r="Z254" i="1"/>
  <c r="W254" i="1"/>
  <c r="X254" i="1" s="1"/>
  <c r="V254" i="1"/>
  <c r="T254" i="1"/>
  <c r="R254" i="1"/>
  <c r="Q254" i="1" a="1"/>
  <c r="Q254" i="1" s="1"/>
  <c r="P254" i="1"/>
  <c r="N254" i="1"/>
  <c r="L254" i="1"/>
  <c r="K254" i="1" a="1"/>
  <c r="K254" i="1" s="1"/>
  <c r="U254" i="1" s="1"/>
  <c r="J254" i="1" a="1"/>
  <c r="J254" i="1" s="1"/>
  <c r="H254" i="1" a="1"/>
  <c r="H254" i="1" s="1"/>
  <c r="AU253" i="1"/>
  <c r="AC253" i="1" s="1"/>
  <c r="AT253" i="1"/>
  <c r="AB253" i="1" s="1"/>
  <c r="AS253" i="1"/>
  <c r="AA253" i="1" s="1"/>
  <c r="AO253" i="1"/>
  <c r="AN253" i="1"/>
  <c r="AM253" i="1"/>
  <c r="AL253" i="1"/>
  <c r="AK253" i="1"/>
  <c r="AJ253" i="1"/>
  <c r="AI253" i="1"/>
  <c r="AH253" i="1"/>
  <c r="AG253" i="1"/>
  <c r="AF253" i="1"/>
  <c r="AE253" i="1"/>
  <c r="AD253" i="1"/>
  <c r="Z253" i="1"/>
  <c r="W253" i="1"/>
  <c r="Y253" i="1" s="1"/>
  <c r="V253" i="1"/>
  <c r="AS252" i="1"/>
  <c r="AA252" i="1" s="1"/>
  <c r="AO252" i="1"/>
  <c r="AN252" i="1"/>
  <c r="AM252" i="1"/>
  <c r="AL252" i="1"/>
  <c r="AK252" i="1"/>
  <c r="AJ252" i="1"/>
  <c r="AI252" i="1"/>
  <c r="AH252" i="1"/>
  <c r="AG252" i="1"/>
  <c r="AF252" i="1"/>
  <c r="AE252" i="1"/>
  <c r="AD252" i="1"/>
  <c r="AC252" i="1"/>
  <c r="AB252" i="1"/>
  <c r="Z252" i="1"/>
  <c r="W252" i="1"/>
  <c r="Y252" i="1" s="1"/>
  <c r="V252" i="1"/>
  <c r="T252" i="1"/>
  <c r="R252" i="1"/>
  <c r="Q252" i="1" a="1"/>
  <c r="Q252" i="1" s="1"/>
  <c r="P252" i="1"/>
  <c r="N252" i="1"/>
  <c r="L252" i="1"/>
  <c r="K252" i="1" a="1"/>
  <c r="K252" i="1" s="1"/>
  <c r="U252" i="1" s="1"/>
  <c r="J252" i="1" a="1"/>
  <c r="J252" i="1" s="1"/>
  <c r="H252" i="1" a="1"/>
  <c r="H252" i="1" s="1"/>
  <c r="I252" i="1" s="1"/>
  <c r="S252" i="1" s="1"/>
  <c r="AT251" i="1"/>
  <c r="AB251" i="1" s="1"/>
  <c r="AS251" i="1"/>
  <c r="AA251" i="1" s="1"/>
  <c r="AO251" i="1"/>
  <c r="AN251" i="1"/>
  <c r="AM251" i="1"/>
  <c r="AL251" i="1"/>
  <c r="AK251" i="1"/>
  <c r="AJ251" i="1"/>
  <c r="AI251" i="1"/>
  <c r="AH251" i="1"/>
  <c r="AG251" i="1"/>
  <c r="AF251" i="1"/>
  <c r="AE251" i="1"/>
  <c r="AD251" i="1"/>
  <c r="AC251" i="1"/>
  <c r="Z251" i="1"/>
  <c r="W251" i="1"/>
  <c r="Y251" i="1" s="1"/>
  <c r="V251" i="1"/>
  <c r="T251" i="1"/>
  <c r="R251" i="1"/>
  <c r="Q251" i="1" a="1"/>
  <c r="Q251" i="1" s="1"/>
  <c r="P251" i="1"/>
  <c r="N251" i="1"/>
  <c r="L251" i="1"/>
  <c r="K251" i="1" a="1"/>
  <c r="K251" i="1" s="1"/>
  <c r="U251" i="1" s="1"/>
  <c r="J251" i="1" a="1"/>
  <c r="J251" i="1" s="1"/>
  <c r="H251" i="1" a="1"/>
  <c r="H251" i="1" s="1"/>
  <c r="I251" i="1" s="1"/>
  <c r="S251" i="1" s="1"/>
  <c r="AS250" i="1"/>
  <c r="AA250" i="1" s="1"/>
  <c r="AO250" i="1"/>
  <c r="AN250" i="1"/>
  <c r="AM250" i="1"/>
  <c r="AL250" i="1"/>
  <c r="AK250" i="1"/>
  <c r="AJ250" i="1"/>
  <c r="AI250" i="1"/>
  <c r="AH250" i="1"/>
  <c r="AG250" i="1"/>
  <c r="AF250" i="1"/>
  <c r="AE250" i="1"/>
  <c r="AD250" i="1"/>
  <c r="AC250" i="1"/>
  <c r="AB250" i="1"/>
  <c r="Z250" i="1"/>
  <c r="W250" i="1"/>
  <c r="Y250" i="1" s="1"/>
  <c r="V250" i="1"/>
  <c r="T250" i="1"/>
  <c r="R250" i="1"/>
  <c r="Q250" i="1" a="1"/>
  <c r="Q250" i="1" s="1"/>
  <c r="P250" i="1"/>
  <c r="N250" i="1"/>
  <c r="L250" i="1"/>
  <c r="K250" i="1" a="1"/>
  <c r="K250" i="1" s="1"/>
  <c r="U250" i="1" s="1"/>
  <c r="J250" i="1" a="1"/>
  <c r="J250" i="1" s="1"/>
  <c r="H250" i="1" a="1"/>
  <c r="H250" i="1" s="1"/>
  <c r="AU249" i="1"/>
  <c r="AC249" i="1" s="1"/>
  <c r="AT249" i="1"/>
  <c r="AB249" i="1" s="1"/>
  <c r="AS249" i="1"/>
  <c r="AA249" i="1" s="1"/>
  <c r="AO249" i="1"/>
  <c r="AN249" i="1"/>
  <c r="AM249" i="1"/>
  <c r="AL249" i="1"/>
  <c r="AK249" i="1"/>
  <c r="AJ249" i="1"/>
  <c r="AI249" i="1"/>
  <c r="AH249" i="1"/>
  <c r="AG249" i="1"/>
  <c r="AF249" i="1"/>
  <c r="AE249" i="1"/>
  <c r="AD249" i="1"/>
  <c r="Z249" i="1"/>
  <c r="W249" i="1"/>
  <c r="Y249" i="1" s="1"/>
  <c r="V249" i="1"/>
  <c r="T249" i="1"/>
  <c r="R249" i="1"/>
  <c r="Q249" i="1" a="1"/>
  <c r="Q249" i="1" s="1"/>
  <c r="P249" i="1"/>
  <c r="N249" i="1"/>
  <c r="L249" i="1"/>
  <c r="K249" i="1" a="1"/>
  <c r="K249" i="1" s="1"/>
  <c r="U249" i="1" s="1"/>
  <c r="J249" i="1" a="1"/>
  <c r="J249" i="1" s="1"/>
  <c r="H249" i="1" a="1"/>
  <c r="H249" i="1" s="1"/>
  <c r="I249" i="1" s="1"/>
  <c r="S249" i="1" s="1"/>
  <c r="AS248" i="1"/>
  <c r="AA248" i="1" s="1"/>
  <c r="AO248" i="1"/>
  <c r="AN248" i="1"/>
  <c r="AM248" i="1"/>
  <c r="AL248" i="1"/>
  <c r="AK248" i="1"/>
  <c r="AJ248" i="1"/>
  <c r="AI248" i="1"/>
  <c r="AH248" i="1"/>
  <c r="AG248" i="1"/>
  <c r="AF248" i="1"/>
  <c r="AE248" i="1"/>
  <c r="AD248" i="1"/>
  <c r="AC248" i="1"/>
  <c r="AB248" i="1"/>
  <c r="Z248" i="1"/>
  <c r="W248" i="1"/>
  <c r="Y248" i="1" s="1"/>
  <c r="V248" i="1"/>
  <c r="T248" i="1"/>
  <c r="R248" i="1"/>
  <c r="Q248" i="1" a="1"/>
  <c r="Q248" i="1" s="1"/>
  <c r="P248" i="1"/>
  <c r="N248" i="1"/>
  <c r="L248" i="1"/>
  <c r="K248" i="1" a="1"/>
  <c r="K248" i="1" s="1"/>
  <c r="U248" i="1" s="1"/>
  <c r="J248" i="1" a="1"/>
  <c r="J248" i="1" s="1"/>
  <c r="H248" i="1" a="1"/>
  <c r="H248" i="1" s="1"/>
  <c r="AS247" i="1"/>
  <c r="AA247" i="1" s="1"/>
  <c r="AO247" i="1"/>
  <c r="AN247" i="1"/>
  <c r="AM247" i="1"/>
  <c r="AL247" i="1"/>
  <c r="AK247" i="1"/>
  <c r="AJ247" i="1"/>
  <c r="AI247" i="1"/>
  <c r="AH247" i="1"/>
  <c r="AG247" i="1"/>
  <c r="AF247" i="1"/>
  <c r="AE247" i="1"/>
  <c r="AD247" i="1"/>
  <c r="AC247" i="1"/>
  <c r="AB247" i="1"/>
  <c r="Z247" i="1"/>
  <c r="W247" i="1"/>
  <c r="X247" i="1" s="1"/>
  <c r="V247" i="1"/>
  <c r="T247" i="1"/>
  <c r="R247" i="1"/>
  <c r="Q247" i="1" a="1"/>
  <c r="Q247" i="1" s="1"/>
  <c r="P247" i="1"/>
  <c r="N247" i="1"/>
  <c r="L247" i="1"/>
  <c r="K247" i="1" a="1"/>
  <c r="K247" i="1" s="1"/>
  <c r="U247" i="1" s="1"/>
  <c r="J247" i="1" a="1"/>
  <c r="J247" i="1" s="1"/>
  <c r="H247" i="1" a="1"/>
  <c r="H247" i="1" s="1"/>
  <c r="AS246" i="1"/>
  <c r="AA246" i="1" s="1"/>
  <c r="AO246" i="1"/>
  <c r="AN246" i="1"/>
  <c r="AM246" i="1"/>
  <c r="AL246" i="1"/>
  <c r="AK246" i="1"/>
  <c r="AJ246" i="1"/>
  <c r="AI246" i="1"/>
  <c r="AH246" i="1"/>
  <c r="AG246" i="1"/>
  <c r="AF246" i="1"/>
  <c r="AE246" i="1"/>
  <c r="AD246" i="1"/>
  <c r="AC246" i="1"/>
  <c r="AB246" i="1"/>
  <c r="Z246" i="1"/>
  <c r="W246" i="1"/>
  <c r="Y246" i="1" s="1"/>
  <c r="V246" i="1"/>
  <c r="T246" i="1"/>
  <c r="R246" i="1"/>
  <c r="Q246" i="1" a="1"/>
  <c r="Q246" i="1" s="1"/>
  <c r="P246" i="1"/>
  <c r="N246" i="1"/>
  <c r="L246" i="1"/>
  <c r="K246" i="1" a="1"/>
  <c r="K246" i="1" s="1"/>
  <c r="U246" i="1" s="1"/>
  <c r="J246" i="1" a="1"/>
  <c r="J246" i="1" s="1"/>
  <c r="H246" i="1" a="1"/>
  <c r="H246" i="1" s="1"/>
  <c r="AS245" i="1"/>
  <c r="AA245" i="1" s="1"/>
  <c r="AO245" i="1"/>
  <c r="AN245" i="1"/>
  <c r="AM245" i="1"/>
  <c r="AL245" i="1"/>
  <c r="AK245" i="1"/>
  <c r="AJ245" i="1"/>
  <c r="AI245" i="1"/>
  <c r="AH245" i="1"/>
  <c r="AG245" i="1"/>
  <c r="AF245" i="1"/>
  <c r="AE245" i="1"/>
  <c r="AD245" i="1"/>
  <c r="AC245" i="1"/>
  <c r="AB245" i="1"/>
  <c r="Z245" i="1"/>
  <c r="W245" i="1"/>
  <c r="Y245" i="1" s="1"/>
  <c r="V245" i="1"/>
  <c r="T245" i="1"/>
  <c r="R245" i="1"/>
  <c r="Q245" i="1" a="1"/>
  <c r="Q245" i="1" s="1"/>
  <c r="P245" i="1"/>
  <c r="N245" i="1"/>
  <c r="L245" i="1"/>
  <c r="K245" i="1" a="1"/>
  <c r="K245" i="1" s="1"/>
  <c r="U245" i="1" s="1"/>
  <c r="J245" i="1" a="1"/>
  <c r="J245" i="1" s="1"/>
  <c r="H245" i="1" a="1"/>
  <c r="H245" i="1" s="1"/>
  <c r="I245" i="1" s="1"/>
  <c r="S245" i="1" s="1"/>
  <c r="AT244" i="1"/>
  <c r="AB244" i="1" s="1"/>
  <c r="AS244" i="1"/>
  <c r="AA244" i="1" s="1"/>
  <c r="AO244" i="1"/>
  <c r="AN244" i="1"/>
  <c r="AM244" i="1"/>
  <c r="AL244" i="1"/>
  <c r="AK244" i="1"/>
  <c r="AJ244" i="1"/>
  <c r="AI244" i="1"/>
  <c r="AH244" i="1"/>
  <c r="AG244" i="1"/>
  <c r="AF244" i="1"/>
  <c r="AE244" i="1"/>
  <c r="AD244" i="1"/>
  <c r="AC244" i="1"/>
  <c r="Z244" i="1"/>
  <c r="W244" i="1"/>
  <c r="Y244" i="1" s="1"/>
  <c r="V244" i="1"/>
  <c r="T244" i="1"/>
  <c r="R244" i="1"/>
  <c r="Q244" i="1" a="1"/>
  <c r="Q244" i="1" s="1"/>
  <c r="P244" i="1"/>
  <c r="N244" i="1"/>
  <c r="L244" i="1"/>
  <c r="K244" i="1" a="1"/>
  <c r="K244" i="1" s="1"/>
  <c r="U244" i="1" s="1"/>
  <c r="J244" i="1" a="1"/>
  <c r="J244" i="1" s="1"/>
  <c r="H244" i="1" a="1"/>
  <c r="H244" i="1" s="1"/>
  <c r="I244" i="1" s="1"/>
  <c r="S244" i="1" s="1"/>
  <c r="AS243" i="1"/>
  <c r="AA243" i="1" s="1"/>
  <c r="AO243" i="1"/>
  <c r="AN243" i="1"/>
  <c r="AM243" i="1"/>
  <c r="AL243" i="1"/>
  <c r="AK243" i="1"/>
  <c r="AJ243" i="1"/>
  <c r="AI243" i="1"/>
  <c r="AH243" i="1"/>
  <c r="AG243" i="1"/>
  <c r="AF243" i="1"/>
  <c r="AE243" i="1"/>
  <c r="AD243" i="1"/>
  <c r="AC243" i="1"/>
  <c r="AB243" i="1"/>
  <c r="Z243" i="1"/>
  <c r="W243" i="1"/>
  <c r="Y243" i="1" s="1"/>
  <c r="V243" i="1"/>
  <c r="AS242" i="1"/>
  <c r="AA242" i="1" s="1"/>
  <c r="AO242" i="1"/>
  <c r="AN242" i="1"/>
  <c r="AM242" i="1"/>
  <c r="AL242" i="1"/>
  <c r="AK242" i="1"/>
  <c r="AJ242" i="1"/>
  <c r="AI242" i="1"/>
  <c r="AH242" i="1"/>
  <c r="AG242" i="1"/>
  <c r="AF242" i="1"/>
  <c r="AE242" i="1"/>
  <c r="AD242" i="1"/>
  <c r="AC242" i="1"/>
  <c r="AB242" i="1"/>
  <c r="Z242" i="1"/>
  <c r="W242" i="1"/>
  <c r="Y242" i="1" s="1"/>
  <c r="V242" i="1"/>
  <c r="AV241" i="1"/>
  <c r="AD241" i="1" s="1"/>
  <c r="AU241" i="1"/>
  <c r="AC241" i="1" s="1"/>
  <c r="AT241" i="1"/>
  <c r="AB241" i="1" s="1"/>
  <c r="AS241" i="1"/>
  <c r="AA241" i="1" s="1"/>
  <c r="AO241" i="1"/>
  <c r="AN241" i="1"/>
  <c r="AM241" i="1"/>
  <c r="AL241" i="1"/>
  <c r="AK241" i="1"/>
  <c r="AJ241" i="1"/>
  <c r="AI241" i="1"/>
  <c r="AH241" i="1"/>
  <c r="AG241" i="1"/>
  <c r="AF241" i="1"/>
  <c r="AE241" i="1"/>
  <c r="Z241" i="1"/>
  <c r="W241" i="1"/>
  <c r="Y241" i="1" s="1"/>
  <c r="V241" i="1"/>
  <c r="T241" i="1"/>
  <c r="R241" i="1"/>
  <c r="Q241" i="1" a="1"/>
  <c r="Q241" i="1" s="1"/>
  <c r="P241" i="1"/>
  <c r="N241" i="1"/>
  <c r="L241" i="1"/>
  <c r="K241" i="1" a="1"/>
  <c r="K241" i="1" s="1"/>
  <c r="U241" i="1" s="1"/>
  <c r="J241" i="1" a="1"/>
  <c r="J241" i="1" s="1"/>
  <c r="H241" i="1" a="1"/>
  <c r="H241" i="1" s="1"/>
  <c r="I241" i="1" s="1"/>
  <c r="S241" i="1" s="1"/>
  <c r="AS240" i="1"/>
  <c r="AA240" i="1" s="1"/>
  <c r="AO240" i="1"/>
  <c r="AN240" i="1"/>
  <c r="AM240" i="1"/>
  <c r="AL240" i="1"/>
  <c r="AK240" i="1"/>
  <c r="AJ240" i="1"/>
  <c r="AI240" i="1"/>
  <c r="AH240" i="1"/>
  <c r="AG240" i="1"/>
  <c r="AF240" i="1"/>
  <c r="AE240" i="1"/>
  <c r="AD240" i="1"/>
  <c r="AC240" i="1"/>
  <c r="AB240" i="1"/>
  <c r="Z240" i="1"/>
  <c r="W240" i="1"/>
  <c r="Y240" i="1" s="1"/>
  <c r="V240" i="1"/>
  <c r="T240" i="1"/>
  <c r="R240" i="1"/>
  <c r="Q240" i="1" a="1"/>
  <c r="Q240" i="1" s="1"/>
  <c r="P240" i="1"/>
  <c r="N240" i="1"/>
  <c r="L240" i="1"/>
  <c r="K240" i="1" a="1"/>
  <c r="K240" i="1" s="1"/>
  <c r="U240" i="1" s="1"/>
  <c r="J240" i="1" a="1"/>
  <c r="J240" i="1" s="1"/>
  <c r="H240" i="1" a="1"/>
  <c r="H240" i="1" s="1"/>
  <c r="AS239" i="1"/>
  <c r="AA239" i="1" s="1"/>
  <c r="AO239" i="1"/>
  <c r="AN239" i="1"/>
  <c r="AM239" i="1"/>
  <c r="AL239" i="1"/>
  <c r="AK239" i="1"/>
  <c r="AJ239" i="1"/>
  <c r="AI239" i="1"/>
  <c r="AH239" i="1"/>
  <c r="AG239" i="1"/>
  <c r="AF239" i="1"/>
  <c r="AE239" i="1"/>
  <c r="AD239" i="1"/>
  <c r="AC239" i="1"/>
  <c r="AB239" i="1"/>
  <c r="Z239" i="1"/>
  <c r="W239" i="1"/>
  <c r="X239" i="1" s="1"/>
  <c r="V239" i="1"/>
  <c r="T239" i="1"/>
  <c r="R239" i="1"/>
  <c r="Q239" i="1" a="1"/>
  <c r="Q239" i="1" s="1"/>
  <c r="P239" i="1"/>
  <c r="N239" i="1"/>
  <c r="L239" i="1"/>
  <c r="K239" i="1" a="1"/>
  <c r="K239" i="1" s="1"/>
  <c r="U239" i="1" s="1"/>
  <c r="J239" i="1" a="1"/>
  <c r="J239" i="1" s="1"/>
  <c r="H239" i="1" a="1"/>
  <c r="H239" i="1" s="1"/>
  <c r="AS238" i="1"/>
  <c r="AA238" i="1" s="1"/>
  <c r="AO238" i="1"/>
  <c r="AN238" i="1"/>
  <c r="AM238" i="1"/>
  <c r="AL238" i="1"/>
  <c r="AK238" i="1"/>
  <c r="AJ238" i="1"/>
  <c r="AI238" i="1"/>
  <c r="AH238" i="1"/>
  <c r="AG238" i="1"/>
  <c r="AF238" i="1"/>
  <c r="AE238" i="1"/>
  <c r="AD238" i="1"/>
  <c r="AC238" i="1"/>
  <c r="AB238" i="1"/>
  <c r="Z238" i="1"/>
  <c r="W238" i="1"/>
  <c r="V238" i="1"/>
  <c r="T238" i="1"/>
  <c r="R238" i="1"/>
  <c r="Q238" i="1" a="1"/>
  <c r="Q238" i="1" s="1"/>
  <c r="P238" i="1"/>
  <c r="N238" i="1"/>
  <c r="L238" i="1"/>
  <c r="K238" i="1" a="1"/>
  <c r="K238" i="1" s="1"/>
  <c r="U238" i="1" s="1"/>
  <c r="J238" i="1" a="1"/>
  <c r="J238" i="1" s="1"/>
  <c r="H238" i="1" a="1"/>
  <c r="H238" i="1" s="1"/>
  <c r="AS237" i="1"/>
  <c r="AA237" i="1" s="1"/>
  <c r="AO237" i="1"/>
  <c r="AN237" i="1"/>
  <c r="AM237" i="1"/>
  <c r="AL237" i="1"/>
  <c r="AK237" i="1"/>
  <c r="AJ237" i="1"/>
  <c r="AI237" i="1"/>
  <c r="AH237" i="1"/>
  <c r="AG237" i="1"/>
  <c r="AF237" i="1"/>
  <c r="AE237" i="1"/>
  <c r="AD237" i="1"/>
  <c r="AC237" i="1"/>
  <c r="AB237" i="1"/>
  <c r="Z237" i="1"/>
  <c r="W237" i="1"/>
  <c r="Y237" i="1" s="1"/>
  <c r="V237" i="1"/>
  <c r="T237" i="1"/>
  <c r="R237" i="1"/>
  <c r="Q237" i="1" a="1"/>
  <c r="Q237" i="1" s="1"/>
  <c r="P237" i="1"/>
  <c r="N237" i="1"/>
  <c r="L237" i="1"/>
  <c r="K237" i="1" a="1"/>
  <c r="K237" i="1" s="1"/>
  <c r="U237" i="1" s="1"/>
  <c r="J237" i="1" a="1"/>
  <c r="J237" i="1" s="1"/>
  <c r="H237" i="1" a="1"/>
  <c r="H237" i="1" s="1"/>
  <c r="AS236" i="1"/>
  <c r="AA236" i="1" s="1"/>
  <c r="AO236" i="1"/>
  <c r="AN236" i="1"/>
  <c r="AM236" i="1"/>
  <c r="AL236" i="1"/>
  <c r="AK236" i="1"/>
  <c r="AJ236" i="1"/>
  <c r="AI236" i="1"/>
  <c r="AH236" i="1"/>
  <c r="AG236" i="1"/>
  <c r="AF236" i="1"/>
  <c r="AE236" i="1"/>
  <c r="AD236" i="1"/>
  <c r="AC236" i="1"/>
  <c r="AB236" i="1"/>
  <c r="Z236" i="1"/>
  <c r="W236" i="1"/>
  <c r="Y236" i="1" s="1"/>
  <c r="V236" i="1"/>
  <c r="T236" i="1"/>
  <c r="R236" i="1"/>
  <c r="Q236" i="1" a="1"/>
  <c r="Q236" i="1" s="1"/>
  <c r="P236" i="1"/>
  <c r="N236" i="1"/>
  <c r="L236" i="1"/>
  <c r="K236" i="1" a="1"/>
  <c r="K236" i="1" s="1"/>
  <c r="U236" i="1" s="1"/>
  <c r="J236" i="1" a="1"/>
  <c r="J236" i="1" s="1"/>
  <c r="H236" i="1" a="1"/>
  <c r="H236" i="1" s="1"/>
  <c r="AS235" i="1"/>
  <c r="AA235" i="1" s="1"/>
  <c r="AO235" i="1"/>
  <c r="AN235" i="1"/>
  <c r="AM235" i="1"/>
  <c r="AL235" i="1"/>
  <c r="AK235" i="1"/>
  <c r="AJ235" i="1"/>
  <c r="AI235" i="1"/>
  <c r="AH235" i="1"/>
  <c r="AG235" i="1"/>
  <c r="AF235" i="1"/>
  <c r="AE235" i="1"/>
  <c r="AD235" i="1"/>
  <c r="AC235" i="1"/>
  <c r="AB235" i="1"/>
  <c r="Z235" i="1"/>
  <c r="W235" i="1"/>
  <c r="X235" i="1" s="1"/>
  <c r="V235" i="1"/>
  <c r="T235" i="1"/>
  <c r="R235" i="1"/>
  <c r="Q235" i="1" a="1"/>
  <c r="Q235" i="1" s="1"/>
  <c r="P235" i="1"/>
  <c r="N235" i="1"/>
  <c r="L235" i="1"/>
  <c r="K235" i="1" a="1"/>
  <c r="K235" i="1" s="1"/>
  <c r="U235" i="1" s="1"/>
  <c r="J235" i="1" a="1"/>
  <c r="J235" i="1" s="1"/>
  <c r="H235" i="1" a="1"/>
  <c r="H235" i="1" s="1"/>
  <c r="AS234" i="1"/>
  <c r="AA234" i="1" s="1"/>
  <c r="AO234" i="1"/>
  <c r="AN234" i="1"/>
  <c r="AM234" i="1"/>
  <c r="AL234" i="1"/>
  <c r="AK234" i="1"/>
  <c r="AJ234" i="1"/>
  <c r="AI234" i="1"/>
  <c r="AH234" i="1"/>
  <c r="AG234" i="1"/>
  <c r="AF234" i="1"/>
  <c r="AE234" i="1"/>
  <c r="AD234" i="1"/>
  <c r="AC234" i="1"/>
  <c r="AB234" i="1"/>
  <c r="Z234" i="1"/>
  <c r="W234" i="1"/>
  <c r="V234" i="1"/>
  <c r="T234" i="1"/>
  <c r="R234" i="1"/>
  <c r="Q234" i="1" a="1"/>
  <c r="Q234" i="1" s="1"/>
  <c r="P234" i="1"/>
  <c r="N234" i="1"/>
  <c r="L234" i="1"/>
  <c r="K234" i="1" a="1"/>
  <c r="K234" i="1" s="1"/>
  <c r="U234" i="1" s="1"/>
  <c r="J234" i="1" a="1"/>
  <c r="J234" i="1" s="1"/>
  <c r="H234" i="1" a="1"/>
  <c r="H234" i="1" s="1"/>
  <c r="AS233" i="1"/>
  <c r="AA233" i="1" s="1"/>
  <c r="AO233" i="1"/>
  <c r="AN233" i="1"/>
  <c r="AM233" i="1"/>
  <c r="AL233" i="1"/>
  <c r="AK233" i="1"/>
  <c r="AJ233" i="1"/>
  <c r="AI233" i="1"/>
  <c r="AH233" i="1"/>
  <c r="AG233" i="1"/>
  <c r="AF233" i="1"/>
  <c r="AE233" i="1"/>
  <c r="AD233" i="1"/>
  <c r="AC233" i="1"/>
  <c r="AB233" i="1"/>
  <c r="Z233" i="1"/>
  <c r="W233" i="1"/>
  <c r="Y233" i="1" s="1"/>
  <c r="V233" i="1"/>
  <c r="T233" i="1"/>
  <c r="R233" i="1"/>
  <c r="Q233" i="1" a="1"/>
  <c r="Q233" i="1" s="1"/>
  <c r="P233" i="1"/>
  <c r="N233" i="1"/>
  <c r="L233" i="1"/>
  <c r="K233" i="1" a="1"/>
  <c r="K233" i="1" s="1"/>
  <c r="U233" i="1" s="1"/>
  <c r="J233" i="1" a="1"/>
  <c r="J233" i="1" s="1"/>
  <c r="H233" i="1" a="1"/>
  <c r="H233" i="1" s="1"/>
  <c r="AS232" i="1"/>
  <c r="AA232" i="1" s="1"/>
  <c r="AO232" i="1"/>
  <c r="AN232" i="1"/>
  <c r="AM232" i="1"/>
  <c r="AL232" i="1"/>
  <c r="AK232" i="1"/>
  <c r="AJ232" i="1"/>
  <c r="AI232" i="1"/>
  <c r="AH232" i="1"/>
  <c r="AG232" i="1"/>
  <c r="AF232" i="1"/>
  <c r="AE232" i="1"/>
  <c r="AD232" i="1"/>
  <c r="AC232" i="1"/>
  <c r="AB232" i="1"/>
  <c r="Z232" i="1"/>
  <c r="W232" i="1"/>
  <c r="X232" i="1" s="1"/>
  <c r="V232" i="1"/>
  <c r="T232" i="1"/>
  <c r="R232" i="1"/>
  <c r="Q232" i="1" a="1"/>
  <c r="Q232" i="1" s="1"/>
  <c r="P232" i="1"/>
  <c r="N232" i="1"/>
  <c r="L232" i="1"/>
  <c r="K232" i="1" a="1"/>
  <c r="K232" i="1" s="1"/>
  <c r="U232" i="1" s="1"/>
  <c r="J232" i="1" a="1"/>
  <c r="J232" i="1" s="1"/>
  <c r="H232" i="1" a="1"/>
  <c r="H232" i="1" s="1"/>
  <c r="I232" i="1" s="1"/>
  <c r="S232" i="1" s="1"/>
  <c r="AU231" i="1"/>
  <c r="AC231" i="1" s="1"/>
  <c r="AT231" i="1"/>
  <c r="AB231" i="1" s="1"/>
  <c r="AS231" i="1"/>
  <c r="AA231" i="1" s="1"/>
  <c r="AO231" i="1"/>
  <c r="AN231" i="1"/>
  <c r="AM231" i="1"/>
  <c r="AL231" i="1"/>
  <c r="AK231" i="1"/>
  <c r="AJ231" i="1"/>
  <c r="AI231" i="1"/>
  <c r="AH231" i="1"/>
  <c r="AG231" i="1"/>
  <c r="AF231" i="1"/>
  <c r="AE231" i="1"/>
  <c r="AD231" i="1"/>
  <c r="Z231" i="1"/>
  <c r="W231" i="1"/>
  <c r="Y231" i="1" s="1"/>
  <c r="V231" i="1"/>
  <c r="T231" i="1"/>
  <c r="R231" i="1"/>
  <c r="Q231" i="1" a="1"/>
  <c r="Q231" i="1" s="1"/>
  <c r="P231" i="1"/>
  <c r="N231" i="1"/>
  <c r="L231" i="1"/>
  <c r="K231" i="1" a="1"/>
  <c r="K231" i="1" s="1"/>
  <c r="U231" i="1" s="1"/>
  <c r="J231" i="1" a="1"/>
  <c r="J231" i="1" s="1"/>
  <c r="H231" i="1" a="1"/>
  <c r="H231" i="1" s="1"/>
  <c r="AS230" i="1"/>
  <c r="AA230" i="1" s="1"/>
  <c r="AO230" i="1"/>
  <c r="AN230" i="1"/>
  <c r="AM230" i="1"/>
  <c r="AL230" i="1"/>
  <c r="AK230" i="1"/>
  <c r="AJ230" i="1"/>
  <c r="AI230" i="1"/>
  <c r="AH230" i="1"/>
  <c r="AG230" i="1"/>
  <c r="AF230" i="1"/>
  <c r="AE230" i="1"/>
  <c r="AD230" i="1"/>
  <c r="AC230" i="1"/>
  <c r="AB230" i="1"/>
  <c r="Z230" i="1"/>
  <c r="W230" i="1"/>
  <c r="V230" i="1"/>
  <c r="T230" i="1"/>
  <c r="R230" i="1"/>
  <c r="Q230" i="1" a="1"/>
  <c r="Q230" i="1" s="1"/>
  <c r="P230" i="1"/>
  <c r="N230" i="1"/>
  <c r="L230" i="1"/>
  <c r="K230" i="1" a="1"/>
  <c r="K230" i="1" s="1"/>
  <c r="U230" i="1" s="1"/>
  <c r="J230" i="1" a="1"/>
  <c r="J230" i="1" s="1"/>
  <c r="H230" i="1" a="1"/>
  <c r="H230" i="1" s="1"/>
  <c r="AS229" i="1"/>
  <c r="AA229" i="1" s="1"/>
  <c r="AO229" i="1"/>
  <c r="AN229" i="1"/>
  <c r="AM229" i="1"/>
  <c r="AL229" i="1"/>
  <c r="AK229" i="1"/>
  <c r="AJ229" i="1"/>
  <c r="AI229" i="1"/>
  <c r="AH229" i="1"/>
  <c r="AG229" i="1"/>
  <c r="AF229" i="1"/>
  <c r="AE229" i="1"/>
  <c r="AD229" i="1"/>
  <c r="AC229" i="1"/>
  <c r="AB229" i="1"/>
  <c r="Z229" i="1"/>
  <c r="W229" i="1"/>
  <c r="X229" i="1" s="1"/>
  <c r="V229" i="1"/>
  <c r="T229" i="1"/>
  <c r="R229" i="1"/>
  <c r="Q229" i="1" a="1"/>
  <c r="Q229" i="1" s="1"/>
  <c r="P229" i="1"/>
  <c r="N229" i="1"/>
  <c r="L229" i="1"/>
  <c r="K229" i="1" a="1"/>
  <c r="K229" i="1" s="1"/>
  <c r="U229" i="1" s="1"/>
  <c r="J229" i="1" a="1"/>
  <c r="J229" i="1" s="1"/>
  <c r="H229" i="1" a="1"/>
  <c r="H229" i="1" s="1"/>
  <c r="AS228" i="1"/>
  <c r="AA228" i="1" s="1"/>
  <c r="AO228" i="1"/>
  <c r="AN228" i="1"/>
  <c r="AM228" i="1"/>
  <c r="AL228" i="1"/>
  <c r="AK228" i="1"/>
  <c r="AJ228" i="1"/>
  <c r="AI228" i="1"/>
  <c r="AH228" i="1"/>
  <c r="AG228" i="1"/>
  <c r="AF228" i="1"/>
  <c r="AE228" i="1"/>
  <c r="AD228" i="1"/>
  <c r="AC228" i="1"/>
  <c r="AB228" i="1"/>
  <c r="Z228" i="1"/>
  <c r="W228" i="1"/>
  <c r="V228" i="1"/>
  <c r="T228" i="1"/>
  <c r="R228" i="1"/>
  <c r="Q228" i="1" a="1"/>
  <c r="Q228" i="1" s="1"/>
  <c r="P228" i="1"/>
  <c r="N228" i="1"/>
  <c r="L228" i="1"/>
  <c r="K228" i="1" a="1"/>
  <c r="K228" i="1" s="1"/>
  <c r="U228" i="1" s="1"/>
  <c r="J228" i="1" a="1"/>
  <c r="J228" i="1" s="1"/>
  <c r="H228" i="1" a="1"/>
  <c r="H228" i="1" s="1"/>
  <c r="AU227" i="1"/>
  <c r="AC227" i="1" s="1"/>
  <c r="AT227" i="1"/>
  <c r="AB227" i="1" s="1"/>
  <c r="AS227" i="1"/>
  <c r="AA227" i="1" s="1"/>
  <c r="AO227" i="1"/>
  <c r="AN227" i="1"/>
  <c r="AM227" i="1"/>
  <c r="AL227" i="1"/>
  <c r="AK227" i="1"/>
  <c r="AJ227" i="1"/>
  <c r="AI227" i="1"/>
  <c r="AH227" i="1"/>
  <c r="AG227" i="1"/>
  <c r="AF227" i="1"/>
  <c r="AE227" i="1"/>
  <c r="AD227" i="1"/>
  <c r="Z227" i="1"/>
  <c r="W227" i="1"/>
  <c r="X227" i="1" s="1"/>
  <c r="V227" i="1"/>
  <c r="T227" i="1"/>
  <c r="R227" i="1"/>
  <c r="Q227" i="1" a="1"/>
  <c r="Q227" i="1" s="1"/>
  <c r="P227" i="1"/>
  <c r="N227" i="1"/>
  <c r="L227" i="1"/>
  <c r="K227" i="1" a="1"/>
  <c r="K227" i="1" s="1"/>
  <c r="U227" i="1" s="1"/>
  <c r="J227" i="1" a="1"/>
  <c r="J227" i="1" s="1"/>
  <c r="H227" i="1" a="1"/>
  <c r="H227" i="1" s="1"/>
  <c r="AS226" i="1"/>
  <c r="AA226" i="1" s="1"/>
  <c r="AO226" i="1"/>
  <c r="AN226" i="1"/>
  <c r="AM226" i="1"/>
  <c r="AL226" i="1"/>
  <c r="AK226" i="1"/>
  <c r="AJ226" i="1"/>
  <c r="AI226" i="1"/>
  <c r="AH226" i="1"/>
  <c r="AG226" i="1"/>
  <c r="AF226" i="1"/>
  <c r="AE226" i="1"/>
  <c r="AD226" i="1"/>
  <c r="AC226" i="1"/>
  <c r="AB226" i="1"/>
  <c r="Z226" i="1"/>
  <c r="W226" i="1"/>
  <c r="Y226" i="1" s="1"/>
  <c r="V226" i="1"/>
  <c r="L226" i="1"/>
  <c r="K226" i="1" a="1"/>
  <c r="K226" i="1" s="1"/>
  <c r="J226" i="1" a="1"/>
  <c r="J226" i="1" s="1"/>
  <c r="H226" i="1" a="1"/>
  <c r="H226" i="1" s="1"/>
  <c r="I226" i="1" s="1"/>
  <c r="AS225" i="1"/>
  <c r="AA225" i="1" s="1"/>
  <c r="AO225" i="1"/>
  <c r="AN225" i="1"/>
  <c r="AM225" i="1"/>
  <c r="AL225" i="1"/>
  <c r="AK225" i="1"/>
  <c r="AJ225" i="1"/>
  <c r="AI225" i="1"/>
  <c r="AH225" i="1"/>
  <c r="AG225" i="1"/>
  <c r="AF225" i="1"/>
  <c r="AE225" i="1"/>
  <c r="AD225" i="1"/>
  <c r="AC225" i="1"/>
  <c r="AB225" i="1"/>
  <c r="Z225" i="1"/>
  <c r="W225" i="1"/>
  <c r="Y225" i="1" s="1"/>
  <c r="V225" i="1"/>
  <c r="T225" i="1"/>
  <c r="R225" i="1"/>
  <c r="Q225" i="1" a="1"/>
  <c r="Q225" i="1" s="1"/>
  <c r="P225" i="1"/>
  <c r="N225" i="1"/>
  <c r="L225" i="1"/>
  <c r="K225" i="1" a="1"/>
  <c r="K225" i="1" s="1"/>
  <c r="U225" i="1" s="1"/>
  <c r="J225" i="1" a="1"/>
  <c r="J225" i="1" s="1"/>
  <c r="H225" i="1" a="1"/>
  <c r="H225" i="1" s="1"/>
  <c r="AS224" i="1"/>
  <c r="AA224" i="1" s="1"/>
  <c r="AO224" i="1"/>
  <c r="AN224" i="1"/>
  <c r="AM224" i="1"/>
  <c r="AL224" i="1"/>
  <c r="AK224" i="1"/>
  <c r="AJ224" i="1"/>
  <c r="AI224" i="1"/>
  <c r="AH224" i="1"/>
  <c r="AG224" i="1"/>
  <c r="AF224" i="1"/>
  <c r="AE224" i="1"/>
  <c r="AD224" i="1"/>
  <c r="AC224" i="1"/>
  <c r="AB224" i="1"/>
  <c r="Z224" i="1"/>
  <c r="W224" i="1"/>
  <c r="X224" i="1" s="1"/>
  <c r="V224" i="1"/>
  <c r="T224" i="1"/>
  <c r="R224" i="1"/>
  <c r="Q224" i="1" a="1"/>
  <c r="Q224" i="1" s="1"/>
  <c r="P224" i="1"/>
  <c r="N224" i="1"/>
  <c r="L224" i="1"/>
  <c r="K224" i="1" a="1"/>
  <c r="K224" i="1" s="1"/>
  <c r="U224" i="1" s="1"/>
  <c r="J224" i="1" a="1"/>
  <c r="J224" i="1" s="1"/>
  <c r="H224" i="1" a="1"/>
  <c r="H224" i="1" s="1"/>
  <c r="AS223" i="1"/>
  <c r="AA223" i="1" s="1"/>
  <c r="AO223" i="1"/>
  <c r="AN223" i="1"/>
  <c r="AM223" i="1"/>
  <c r="AL223" i="1"/>
  <c r="AK223" i="1"/>
  <c r="AJ223" i="1"/>
  <c r="AI223" i="1"/>
  <c r="AH223" i="1"/>
  <c r="AG223" i="1"/>
  <c r="AF223" i="1"/>
  <c r="AE223" i="1"/>
  <c r="AD223" i="1"/>
  <c r="AC223" i="1"/>
  <c r="AB223" i="1"/>
  <c r="Z223" i="1"/>
  <c r="W223" i="1"/>
  <c r="V223" i="1"/>
  <c r="T223" i="1"/>
  <c r="R223" i="1"/>
  <c r="Q223" i="1" a="1"/>
  <c r="Q223" i="1" s="1"/>
  <c r="P223" i="1"/>
  <c r="N223" i="1"/>
  <c r="L223" i="1"/>
  <c r="K223" i="1" a="1"/>
  <c r="K223" i="1" s="1"/>
  <c r="U223" i="1" s="1"/>
  <c r="J223" i="1" a="1"/>
  <c r="J223" i="1" s="1"/>
  <c r="H223" i="1" a="1"/>
  <c r="H223" i="1" s="1"/>
  <c r="AU222" i="1"/>
  <c r="AC222" i="1" s="1"/>
  <c r="AT222" i="1"/>
  <c r="AB222" i="1" s="1"/>
  <c r="AS222" i="1"/>
  <c r="AA222" i="1" s="1"/>
  <c r="AO222" i="1"/>
  <c r="AN222" i="1"/>
  <c r="AM222" i="1"/>
  <c r="AL222" i="1"/>
  <c r="AK222" i="1"/>
  <c r="AJ222" i="1"/>
  <c r="AI222" i="1"/>
  <c r="AH222" i="1"/>
  <c r="AG222" i="1"/>
  <c r="AF222" i="1"/>
  <c r="AE222" i="1"/>
  <c r="AD222" i="1"/>
  <c r="Z222" i="1"/>
  <c r="W222" i="1"/>
  <c r="X222" i="1" s="1"/>
  <c r="V222" i="1"/>
  <c r="T222" i="1"/>
  <c r="R222" i="1"/>
  <c r="Q222" i="1" a="1"/>
  <c r="Q222" i="1" s="1"/>
  <c r="P222" i="1"/>
  <c r="N222" i="1"/>
  <c r="L222" i="1"/>
  <c r="K222" i="1" a="1"/>
  <c r="K222" i="1" s="1"/>
  <c r="U222" i="1" s="1"/>
  <c r="J222" i="1" a="1"/>
  <c r="J222" i="1" s="1"/>
  <c r="H222" i="1" a="1"/>
  <c r="H222" i="1" s="1"/>
  <c r="AT221" i="1"/>
  <c r="AB221" i="1" s="1"/>
  <c r="AS221" i="1"/>
  <c r="AA221" i="1" s="1"/>
  <c r="AO221" i="1"/>
  <c r="AN221" i="1"/>
  <c r="AM221" i="1"/>
  <c r="AL221" i="1"/>
  <c r="AK221" i="1"/>
  <c r="AJ221" i="1"/>
  <c r="AI221" i="1"/>
  <c r="AH221" i="1"/>
  <c r="AG221" i="1"/>
  <c r="AF221" i="1"/>
  <c r="AE221" i="1"/>
  <c r="AD221" i="1"/>
  <c r="AC221" i="1"/>
  <c r="Z221" i="1"/>
  <c r="W221" i="1"/>
  <c r="X221" i="1" s="1"/>
  <c r="V221" i="1"/>
  <c r="T221" i="1"/>
  <c r="R221" i="1"/>
  <c r="Q221" i="1" a="1"/>
  <c r="Q221" i="1" s="1"/>
  <c r="P221" i="1"/>
  <c r="N221" i="1"/>
  <c r="L221" i="1"/>
  <c r="K221" i="1" a="1"/>
  <c r="K221" i="1" s="1"/>
  <c r="U221" i="1" s="1"/>
  <c r="J221" i="1" a="1"/>
  <c r="J221" i="1" s="1"/>
  <c r="H221" i="1" a="1"/>
  <c r="H221" i="1" s="1"/>
  <c r="AX220" i="1"/>
  <c r="AF220" i="1" s="1"/>
  <c r="AW220" i="1"/>
  <c r="AE220" i="1" s="1"/>
  <c r="AV220" i="1"/>
  <c r="AD220" i="1" s="1"/>
  <c r="AU220" i="1"/>
  <c r="AC220" i="1" s="1"/>
  <c r="AT220" i="1"/>
  <c r="AB220" i="1" s="1"/>
  <c r="AS220" i="1"/>
  <c r="AA220" i="1" s="1"/>
  <c r="AO220" i="1"/>
  <c r="AN220" i="1"/>
  <c r="AM220" i="1"/>
  <c r="AL220" i="1"/>
  <c r="AK220" i="1"/>
  <c r="AJ220" i="1"/>
  <c r="AI220" i="1"/>
  <c r="AH220" i="1"/>
  <c r="AG220" i="1"/>
  <c r="Z220" i="1"/>
  <c r="W220" i="1"/>
  <c r="V220" i="1"/>
  <c r="T220" i="1"/>
  <c r="R220" i="1"/>
  <c r="Q220" i="1" a="1"/>
  <c r="Q220" i="1" s="1"/>
  <c r="P220" i="1"/>
  <c r="N220" i="1"/>
  <c r="L220" i="1"/>
  <c r="K220" i="1" a="1"/>
  <c r="K220" i="1" s="1"/>
  <c r="U220" i="1" s="1"/>
  <c r="J220" i="1" a="1"/>
  <c r="J220" i="1" s="1"/>
  <c r="H220" i="1" a="1"/>
  <c r="H220" i="1" s="1"/>
  <c r="AS219" i="1"/>
  <c r="AA219" i="1" s="1"/>
  <c r="AO219" i="1"/>
  <c r="AN219" i="1"/>
  <c r="AM219" i="1"/>
  <c r="AL219" i="1"/>
  <c r="AK219" i="1"/>
  <c r="AJ219" i="1"/>
  <c r="AI219" i="1"/>
  <c r="AH219" i="1"/>
  <c r="AG219" i="1"/>
  <c r="AF219" i="1"/>
  <c r="AE219" i="1"/>
  <c r="AD219" i="1"/>
  <c r="AC219" i="1"/>
  <c r="AB219" i="1"/>
  <c r="Z219" i="1"/>
  <c r="W219" i="1"/>
  <c r="X219" i="1" s="1"/>
  <c r="V219" i="1"/>
  <c r="T219" i="1"/>
  <c r="R219" i="1"/>
  <c r="Q219" i="1" a="1"/>
  <c r="Q219" i="1" s="1"/>
  <c r="P219" i="1"/>
  <c r="N219" i="1"/>
  <c r="L219" i="1"/>
  <c r="K219" i="1" a="1"/>
  <c r="K219" i="1" s="1"/>
  <c r="U219" i="1" s="1"/>
  <c r="J219" i="1" a="1"/>
  <c r="J219" i="1" s="1"/>
  <c r="H219" i="1" a="1"/>
  <c r="H219" i="1" s="1"/>
  <c r="AS218" i="1"/>
  <c r="AA218" i="1" s="1"/>
  <c r="AO218" i="1"/>
  <c r="AN218" i="1"/>
  <c r="AM218" i="1"/>
  <c r="AL218" i="1"/>
  <c r="AK218" i="1"/>
  <c r="AJ218" i="1"/>
  <c r="AI218" i="1"/>
  <c r="AH218" i="1"/>
  <c r="AG218" i="1"/>
  <c r="AF218" i="1"/>
  <c r="AE218" i="1"/>
  <c r="AD218" i="1"/>
  <c r="AC218" i="1"/>
  <c r="AB218" i="1"/>
  <c r="Z218" i="1"/>
  <c r="W218" i="1"/>
  <c r="Y218" i="1" s="1"/>
  <c r="V218" i="1"/>
  <c r="T218" i="1"/>
  <c r="R218" i="1"/>
  <c r="Q218" i="1" a="1"/>
  <c r="Q218" i="1" s="1"/>
  <c r="P218" i="1"/>
  <c r="N218" i="1"/>
  <c r="L218" i="1"/>
  <c r="K218" i="1" a="1"/>
  <c r="K218" i="1" s="1"/>
  <c r="U218" i="1" s="1"/>
  <c r="J218" i="1" a="1"/>
  <c r="J218" i="1" s="1"/>
  <c r="H218" i="1" a="1"/>
  <c r="H218" i="1" s="1"/>
  <c r="AU217" i="1"/>
  <c r="AC217" i="1" s="1"/>
  <c r="AT217" i="1"/>
  <c r="AB217" i="1" s="1"/>
  <c r="AS217" i="1"/>
  <c r="AA217" i="1" s="1"/>
  <c r="AO217" i="1"/>
  <c r="AN217" i="1"/>
  <c r="AM217" i="1"/>
  <c r="AL217" i="1"/>
  <c r="AK217" i="1"/>
  <c r="AJ217" i="1"/>
  <c r="AI217" i="1"/>
  <c r="AH217" i="1"/>
  <c r="AG217" i="1"/>
  <c r="AF217" i="1"/>
  <c r="AE217" i="1"/>
  <c r="AD217" i="1"/>
  <c r="Z217" i="1"/>
  <c r="W217" i="1"/>
  <c r="Y217" i="1" s="1"/>
  <c r="V217" i="1"/>
  <c r="T217" i="1"/>
  <c r="R217" i="1"/>
  <c r="Q217" i="1" a="1"/>
  <c r="Q217" i="1" s="1"/>
  <c r="P217" i="1"/>
  <c r="N217" i="1"/>
  <c r="L217" i="1"/>
  <c r="K217" i="1" a="1"/>
  <c r="K217" i="1" s="1"/>
  <c r="U217" i="1" s="1"/>
  <c r="J217" i="1" a="1"/>
  <c r="J217" i="1" s="1"/>
  <c r="H217" i="1" a="1"/>
  <c r="H217" i="1" s="1"/>
  <c r="AS216" i="1"/>
  <c r="AA216" i="1" s="1"/>
  <c r="AO216" i="1"/>
  <c r="AN216" i="1"/>
  <c r="AM216" i="1"/>
  <c r="AL216" i="1"/>
  <c r="AK216" i="1"/>
  <c r="AJ216" i="1"/>
  <c r="AI216" i="1"/>
  <c r="AH216" i="1"/>
  <c r="AG216" i="1"/>
  <c r="AF216" i="1"/>
  <c r="AE216" i="1"/>
  <c r="AD216" i="1"/>
  <c r="AC216" i="1"/>
  <c r="AB216" i="1"/>
  <c r="Z216" i="1"/>
  <c r="Y216" i="1"/>
  <c r="W216" i="1"/>
  <c r="X216" i="1" s="1"/>
  <c r="V216" i="1"/>
  <c r="T216" i="1"/>
  <c r="R216" i="1"/>
  <c r="Q216" i="1" a="1"/>
  <c r="Q216" i="1" s="1"/>
  <c r="P216" i="1"/>
  <c r="N216" i="1"/>
  <c r="L216" i="1"/>
  <c r="K216" i="1" a="1"/>
  <c r="K216" i="1" s="1"/>
  <c r="U216" i="1" s="1"/>
  <c r="J216" i="1" a="1"/>
  <c r="J216" i="1" s="1"/>
  <c r="H216" i="1" a="1"/>
  <c r="H216" i="1" s="1"/>
  <c r="I216" i="1" s="1"/>
  <c r="S216" i="1" s="1"/>
  <c r="Z215" i="1"/>
  <c r="W215" i="1"/>
  <c r="V215" i="1"/>
  <c r="AS214" i="1"/>
  <c r="AA214" i="1" s="1"/>
  <c r="AO214" i="1"/>
  <c r="AN214" i="1"/>
  <c r="AM214" i="1"/>
  <c r="AL214" i="1"/>
  <c r="AK214" i="1"/>
  <c r="AJ214" i="1"/>
  <c r="AI214" i="1"/>
  <c r="AH214" i="1"/>
  <c r="AG214" i="1"/>
  <c r="AF214" i="1"/>
  <c r="AE214" i="1"/>
  <c r="AD214" i="1"/>
  <c r="AC214" i="1"/>
  <c r="AB214" i="1"/>
  <c r="Z214" i="1"/>
  <c r="W214" i="1"/>
  <c r="X214" i="1" s="1"/>
  <c r="V214" i="1"/>
  <c r="AS213" i="1"/>
  <c r="AA213" i="1" s="1"/>
  <c r="AO213" i="1"/>
  <c r="AN213" i="1"/>
  <c r="AM213" i="1"/>
  <c r="AL213" i="1"/>
  <c r="AK213" i="1"/>
  <c r="AJ213" i="1"/>
  <c r="AI213" i="1"/>
  <c r="AH213" i="1"/>
  <c r="AG213" i="1"/>
  <c r="AF213" i="1"/>
  <c r="AE213" i="1"/>
  <c r="AD213" i="1"/>
  <c r="AC213" i="1"/>
  <c r="AB213" i="1"/>
  <c r="Z213" i="1"/>
  <c r="W213" i="1"/>
  <c r="Y213" i="1" s="1"/>
  <c r="V213" i="1"/>
  <c r="T213" i="1"/>
  <c r="R213" i="1"/>
  <c r="Q213" i="1" a="1"/>
  <c r="Q213" i="1" s="1"/>
  <c r="P213" i="1"/>
  <c r="N213" i="1"/>
  <c r="L213" i="1"/>
  <c r="K213" i="1" a="1"/>
  <c r="K213" i="1" s="1"/>
  <c r="U213" i="1" s="1"/>
  <c r="J213" i="1" a="1"/>
  <c r="J213" i="1" s="1"/>
  <c r="H213" i="1" a="1"/>
  <c r="H213" i="1" s="1"/>
  <c r="AS212" i="1"/>
  <c r="AA212" i="1" s="1"/>
  <c r="AO212" i="1"/>
  <c r="AN212" i="1"/>
  <c r="AM212" i="1"/>
  <c r="AL212" i="1"/>
  <c r="AK212" i="1"/>
  <c r="AJ212" i="1"/>
  <c r="AI212" i="1"/>
  <c r="AH212" i="1"/>
  <c r="AG212" i="1"/>
  <c r="AF212" i="1"/>
  <c r="AE212" i="1"/>
  <c r="AD212" i="1"/>
  <c r="AC212" i="1"/>
  <c r="AB212" i="1"/>
  <c r="Z212" i="1"/>
  <c r="W212" i="1"/>
  <c r="X212" i="1" s="1"/>
  <c r="V212" i="1"/>
  <c r="T212" i="1"/>
  <c r="R212" i="1"/>
  <c r="Q212" i="1" a="1"/>
  <c r="Q212" i="1" s="1"/>
  <c r="P212" i="1"/>
  <c r="N212" i="1"/>
  <c r="L212" i="1"/>
  <c r="K212" i="1" a="1"/>
  <c r="K212" i="1" s="1"/>
  <c r="U212" i="1" s="1"/>
  <c r="J212" i="1" a="1"/>
  <c r="J212" i="1" s="1"/>
  <c r="H212" i="1" a="1"/>
  <c r="H212" i="1" s="1"/>
  <c r="I212" i="1" s="1"/>
  <c r="S212" i="1" s="1"/>
  <c r="AU211" i="1"/>
  <c r="AC211" i="1" s="1"/>
  <c r="AT211" i="1"/>
  <c r="AB211" i="1" s="1"/>
  <c r="AS211" i="1"/>
  <c r="AA211" i="1" s="1"/>
  <c r="AO211" i="1"/>
  <c r="AN211" i="1"/>
  <c r="AM211" i="1"/>
  <c r="AL211" i="1"/>
  <c r="AK211" i="1"/>
  <c r="AJ211" i="1"/>
  <c r="AI211" i="1"/>
  <c r="AH211" i="1"/>
  <c r="AG211" i="1"/>
  <c r="AF211" i="1"/>
  <c r="AE211" i="1"/>
  <c r="AD211" i="1"/>
  <c r="Z211" i="1"/>
  <c r="W211" i="1"/>
  <c r="Y211" i="1" s="1"/>
  <c r="V211" i="1"/>
  <c r="T211" i="1"/>
  <c r="R211" i="1"/>
  <c r="Q211" i="1" a="1"/>
  <c r="Q211" i="1" s="1"/>
  <c r="P211" i="1"/>
  <c r="N211" i="1"/>
  <c r="L211" i="1"/>
  <c r="K211" i="1" a="1"/>
  <c r="K211" i="1" s="1"/>
  <c r="U211" i="1" s="1"/>
  <c r="J211" i="1" a="1"/>
  <c r="J211" i="1" s="1"/>
  <c r="H211" i="1" a="1"/>
  <c r="H211" i="1" s="1"/>
  <c r="AW210" i="1"/>
  <c r="AE210" i="1" s="1"/>
  <c r="AV210" i="1"/>
  <c r="AD210" i="1" s="1"/>
  <c r="AU210" i="1"/>
  <c r="AC210" i="1" s="1"/>
  <c r="AT210" i="1"/>
  <c r="AB210" i="1" s="1"/>
  <c r="AS210" i="1"/>
  <c r="AA210" i="1" s="1"/>
  <c r="AO210" i="1"/>
  <c r="AN210" i="1"/>
  <c r="AM210" i="1"/>
  <c r="AL210" i="1"/>
  <c r="AK210" i="1"/>
  <c r="AJ210" i="1"/>
  <c r="AI210" i="1"/>
  <c r="AH210" i="1"/>
  <c r="AG210" i="1"/>
  <c r="AF210" i="1"/>
  <c r="Z210" i="1"/>
  <c r="W210" i="1"/>
  <c r="X210" i="1" s="1"/>
  <c r="V210" i="1"/>
  <c r="T210" i="1"/>
  <c r="R210" i="1"/>
  <c r="Q210" i="1" a="1"/>
  <c r="Q210" i="1" s="1"/>
  <c r="P210" i="1"/>
  <c r="N210" i="1"/>
  <c r="L210" i="1"/>
  <c r="K210" i="1" a="1"/>
  <c r="K210" i="1" s="1"/>
  <c r="U210" i="1" s="1"/>
  <c r="J210" i="1" a="1"/>
  <c r="J210" i="1" s="1"/>
  <c r="H210" i="1" a="1"/>
  <c r="H210" i="1" s="1"/>
  <c r="I210" i="1" s="1"/>
  <c r="S210" i="1" s="1"/>
  <c r="Z209" i="1"/>
  <c r="W209" i="1"/>
  <c r="Y209" i="1" s="1"/>
  <c r="V209" i="1"/>
  <c r="AS208" i="1"/>
  <c r="AA208" i="1" s="1"/>
  <c r="AO208" i="1"/>
  <c r="AN208" i="1"/>
  <c r="AM208" i="1"/>
  <c r="AL208" i="1"/>
  <c r="AK208" i="1"/>
  <c r="AJ208" i="1"/>
  <c r="AI208" i="1"/>
  <c r="AH208" i="1"/>
  <c r="AG208" i="1"/>
  <c r="AF208" i="1"/>
  <c r="AE208" i="1"/>
  <c r="AD208" i="1"/>
  <c r="AC208" i="1"/>
  <c r="AB208" i="1"/>
  <c r="Z208" i="1"/>
  <c r="W208" i="1"/>
  <c r="X208" i="1" s="1"/>
  <c r="V208" i="1"/>
  <c r="T208" i="1"/>
  <c r="R208" i="1"/>
  <c r="Q208" i="1" a="1"/>
  <c r="Q208" i="1" s="1"/>
  <c r="P208" i="1"/>
  <c r="N208" i="1"/>
  <c r="L208" i="1"/>
  <c r="K208" i="1" a="1"/>
  <c r="K208" i="1" s="1"/>
  <c r="U208" i="1" s="1"/>
  <c r="J208" i="1" a="1"/>
  <c r="J208" i="1" s="1"/>
  <c r="H208" i="1" a="1"/>
  <c r="H208" i="1" s="1"/>
  <c r="I208" i="1" s="1"/>
  <c r="S208" i="1" s="1"/>
  <c r="AS207" i="1"/>
  <c r="AA207" i="1" s="1"/>
  <c r="AO207" i="1"/>
  <c r="AN207" i="1"/>
  <c r="AM207" i="1"/>
  <c r="AL207" i="1"/>
  <c r="AK207" i="1"/>
  <c r="AJ207" i="1"/>
  <c r="AI207" i="1"/>
  <c r="AH207" i="1"/>
  <c r="AG207" i="1"/>
  <c r="AF207" i="1"/>
  <c r="AE207" i="1"/>
  <c r="AD207" i="1"/>
  <c r="AC207" i="1"/>
  <c r="AB207" i="1"/>
  <c r="Z207" i="1"/>
  <c r="W207" i="1"/>
  <c r="X207" i="1" s="1"/>
  <c r="V207" i="1"/>
  <c r="T207" i="1"/>
  <c r="R207" i="1"/>
  <c r="Q207" i="1" a="1"/>
  <c r="Q207" i="1" s="1"/>
  <c r="P207" i="1"/>
  <c r="N207" i="1"/>
  <c r="L207" i="1"/>
  <c r="K207" i="1" a="1"/>
  <c r="K207" i="1" s="1"/>
  <c r="U207" i="1" s="1"/>
  <c r="J207" i="1" a="1"/>
  <c r="J207" i="1" s="1"/>
  <c r="H207" i="1" a="1"/>
  <c r="H207" i="1" s="1"/>
  <c r="AS206" i="1"/>
  <c r="AA206" i="1" s="1"/>
  <c r="AO206" i="1"/>
  <c r="AN206" i="1"/>
  <c r="AM206" i="1"/>
  <c r="AL206" i="1"/>
  <c r="AK206" i="1"/>
  <c r="AJ206" i="1"/>
  <c r="AI206" i="1"/>
  <c r="AH206" i="1"/>
  <c r="AG206" i="1"/>
  <c r="AF206" i="1"/>
  <c r="AE206" i="1"/>
  <c r="AD206" i="1"/>
  <c r="AC206" i="1"/>
  <c r="AB206" i="1"/>
  <c r="Z206" i="1"/>
  <c r="W206" i="1"/>
  <c r="Y206" i="1" s="1"/>
  <c r="V206" i="1"/>
  <c r="T206" i="1"/>
  <c r="R206" i="1"/>
  <c r="Q206" i="1" a="1"/>
  <c r="Q206" i="1" s="1"/>
  <c r="P206" i="1"/>
  <c r="N206" i="1"/>
  <c r="L206" i="1"/>
  <c r="K206" i="1" a="1"/>
  <c r="K206" i="1" s="1"/>
  <c r="U206" i="1" s="1"/>
  <c r="J206" i="1" a="1"/>
  <c r="J206" i="1" s="1"/>
  <c r="H206" i="1" a="1"/>
  <c r="H206" i="1" s="1"/>
  <c r="AX205" i="1"/>
  <c r="AF205" i="1" s="1"/>
  <c r="AW205" i="1"/>
  <c r="AE205" i="1" s="1"/>
  <c r="AV205" i="1"/>
  <c r="AD205" i="1" s="1"/>
  <c r="AU205" i="1"/>
  <c r="AC205" i="1" s="1"/>
  <c r="AT205" i="1"/>
  <c r="AB205" i="1" s="1"/>
  <c r="AS205" i="1"/>
  <c r="AA205" i="1" s="1"/>
  <c r="AO205" i="1"/>
  <c r="AN205" i="1"/>
  <c r="AM205" i="1"/>
  <c r="AL205" i="1"/>
  <c r="AK205" i="1"/>
  <c r="AJ205" i="1"/>
  <c r="AI205" i="1"/>
  <c r="AH205" i="1"/>
  <c r="AG205" i="1"/>
  <c r="Z205" i="1"/>
  <c r="W205" i="1"/>
  <c r="Y205" i="1" s="1"/>
  <c r="V205" i="1"/>
  <c r="Q205" i="1" a="1"/>
  <c r="Q205" i="1" s="1"/>
  <c r="M205" i="1"/>
  <c r="AV204" i="1"/>
  <c r="AD204" i="1" s="1"/>
  <c r="AU204" i="1"/>
  <c r="AC204" i="1" s="1"/>
  <c r="AT204" i="1"/>
  <c r="AB204" i="1" s="1"/>
  <c r="AS204" i="1"/>
  <c r="AA204" i="1" s="1"/>
  <c r="AO204" i="1"/>
  <c r="AN204" i="1"/>
  <c r="AM204" i="1"/>
  <c r="AL204" i="1"/>
  <c r="AK204" i="1"/>
  <c r="AJ204" i="1"/>
  <c r="AI204" i="1"/>
  <c r="AH204" i="1"/>
  <c r="AG204" i="1"/>
  <c r="AF204" i="1"/>
  <c r="AE204" i="1"/>
  <c r="Z204" i="1"/>
  <c r="W204" i="1"/>
  <c r="Y204" i="1" s="1"/>
  <c r="V204" i="1"/>
  <c r="T204" i="1"/>
  <c r="R204" i="1"/>
  <c r="Q204" i="1" a="1"/>
  <c r="Q204" i="1" s="1"/>
  <c r="P204" i="1"/>
  <c r="N204" i="1"/>
  <c r="L204" i="1"/>
  <c r="K204" i="1" a="1"/>
  <c r="K204" i="1" s="1"/>
  <c r="U204" i="1" s="1"/>
  <c r="J204" i="1" a="1"/>
  <c r="J204" i="1" s="1"/>
  <c r="H204" i="1" a="1"/>
  <c r="H204" i="1" s="1"/>
  <c r="I204" i="1" s="1"/>
  <c r="S204" i="1" s="1"/>
  <c r="AS203" i="1"/>
  <c r="AA203" i="1" s="1"/>
  <c r="AO203" i="1"/>
  <c r="AN203" i="1"/>
  <c r="AM203" i="1"/>
  <c r="AL203" i="1"/>
  <c r="AK203" i="1"/>
  <c r="AJ203" i="1"/>
  <c r="AI203" i="1"/>
  <c r="AH203" i="1"/>
  <c r="AG203" i="1"/>
  <c r="AF203" i="1"/>
  <c r="AE203" i="1"/>
  <c r="AD203" i="1"/>
  <c r="AC203" i="1"/>
  <c r="AB203" i="1"/>
  <c r="Z203" i="1"/>
  <c r="W203" i="1"/>
  <c r="X203" i="1" s="1"/>
  <c r="V203" i="1"/>
  <c r="T203" i="1"/>
  <c r="R203" i="1"/>
  <c r="Q203" i="1" a="1"/>
  <c r="Q203" i="1" s="1"/>
  <c r="P203" i="1"/>
  <c r="N203" i="1"/>
  <c r="L203" i="1"/>
  <c r="K203" i="1" a="1"/>
  <c r="K203" i="1" s="1"/>
  <c r="U203" i="1" s="1"/>
  <c r="J203" i="1" a="1"/>
  <c r="J203" i="1" s="1"/>
  <c r="H203" i="1" a="1"/>
  <c r="H203" i="1" s="1"/>
  <c r="AS202" i="1"/>
  <c r="AA202" i="1" s="1"/>
  <c r="AO202" i="1"/>
  <c r="AN202" i="1"/>
  <c r="AM202" i="1"/>
  <c r="AL202" i="1"/>
  <c r="AK202" i="1"/>
  <c r="AJ202" i="1"/>
  <c r="AI202" i="1"/>
  <c r="AH202" i="1"/>
  <c r="AG202" i="1"/>
  <c r="AF202" i="1"/>
  <c r="AE202" i="1"/>
  <c r="AD202" i="1"/>
  <c r="AC202" i="1"/>
  <c r="AB202" i="1"/>
  <c r="Z202" i="1"/>
  <c r="W202" i="1"/>
  <c r="Y202" i="1" s="1"/>
  <c r="V202" i="1"/>
  <c r="T202" i="1"/>
  <c r="R202" i="1"/>
  <c r="Q202" i="1" a="1"/>
  <c r="Q202" i="1" s="1"/>
  <c r="P202" i="1"/>
  <c r="N202" i="1"/>
  <c r="L202" i="1"/>
  <c r="K202" i="1" a="1"/>
  <c r="K202" i="1" s="1"/>
  <c r="U202" i="1" s="1"/>
  <c r="J202" i="1" a="1"/>
  <c r="J202" i="1" s="1"/>
  <c r="H202" i="1" a="1"/>
  <c r="H202" i="1" s="1"/>
  <c r="AS201" i="1"/>
  <c r="AA201" i="1" s="1"/>
  <c r="AO201" i="1"/>
  <c r="AN201" i="1"/>
  <c r="AM201" i="1"/>
  <c r="AL201" i="1"/>
  <c r="AK201" i="1"/>
  <c r="AJ201" i="1"/>
  <c r="AI201" i="1"/>
  <c r="AH201" i="1"/>
  <c r="AG201" i="1"/>
  <c r="AF201" i="1"/>
  <c r="AE201" i="1"/>
  <c r="AD201" i="1"/>
  <c r="AC201" i="1"/>
  <c r="AB201" i="1"/>
  <c r="Z201" i="1"/>
  <c r="W201" i="1"/>
  <c r="Y201" i="1" s="1"/>
  <c r="V201" i="1"/>
  <c r="T201" i="1"/>
  <c r="R201" i="1"/>
  <c r="Q201" i="1" a="1"/>
  <c r="Q201" i="1" s="1"/>
  <c r="P201" i="1"/>
  <c r="N201" i="1"/>
  <c r="L201" i="1"/>
  <c r="K201" i="1" a="1"/>
  <c r="K201" i="1" s="1"/>
  <c r="U201" i="1" s="1"/>
  <c r="J201" i="1" a="1"/>
  <c r="J201" i="1" s="1"/>
  <c r="H201" i="1" a="1"/>
  <c r="H201" i="1" s="1"/>
  <c r="AW200" i="1"/>
  <c r="AE200" i="1" s="1"/>
  <c r="AV200" i="1"/>
  <c r="AD200" i="1" s="1"/>
  <c r="AU200" i="1"/>
  <c r="AC200" i="1" s="1"/>
  <c r="AT200" i="1"/>
  <c r="AB200" i="1" s="1"/>
  <c r="AS200" i="1"/>
  <c r="AA200" i="1" s="1"/>
  <c r="AO200" i="1"/>
  <c r="AN200" i="1"/>
  <c r="AM200" i="1"/>
  <c r="AL200" i="1"/>
  <c r="AK200" i="1"/>
  <c r="AJ200" i="1"/>
  <c r="AI200" i="1"/>
  <c r="AH200" i="1"/>
  <c r="AG200" i="1"/>
  <c r="AF200" i="1"/>
  <c r="Z200" i="1"/>
  <c r="W200" i="1"/>
  <c r="Y200" i="1" s="1"/>
  <c r="V200" i="1"/>
  <c r="T200" i="1"/>
  <c r="R200" i="1"/>
  <c r="Q200" i="1" a="1"/>
  <c r="Q200" i="1" s="1"/>
  <c r="P200" i="1"/>
  <c r="N200" i="1"/>
  <c r="L200" i="1"/>
  <c r="K200" i="1" a="1"/>
  <c r="K200" i="1" s="1"/>
  <c r="U200" i="1" s="1"/>
  <c r="J200" i="1" a="1"/>
  <c r="J200" i="1" s="1"/>
  <c r="H200" i="1" a="1"/>
  <c r="H200" i="1" s="1"/>
  <c r="I200" i="1" s="1"/>
  <c r="S200" i="1" s="1"/>
  <c r="AT199" i="1"/>
  <c r="AB199" i="1" s="1"/>
  <c r="AS199" i="1"/>
  <c r="AA199" i="1" s="1"/>
  <c r="AO199" i="1"/>
  <c r="AN199" i="1"/>
  <c r="AM199" i="1"/>
  <c r="AL199" i="1"/>
  <c r="AK199" i="1"/>
  <c r="AJ199" i="1"/>
  <c r="AI199" i="1"/>
  <c r="AH199" i="1"/>
  <c r="AG199" i="1"/>
  <c r="AF199" i="1"/>
  <c r="AE199" i="1"/>
  <c r="AD199" i="1"/>
  <c r="AC199" i="1"/>
  <c r="Z199" i="1"/>
  <c r="W199" i="1"/>
  <c r="Y199" i="1" s="1"/>
  <c r="V199" i="1"/>
  <c r="T199" i="1"/>
  <c r="R199" i="1"/>
  <c r="Q199" i="1" a="1"/>
  <c r="Q199" i="1" s="1"/>
  <c r="P199" i="1"/>
  <c r="N199" i="1"/>
  <c r="L199" i="1"/>
  <c r="K199" i="1" a="1"/>
  <c r="K199" i="1" s="1"/>
  <c r="U199" i="1" s="1"/>
  <c r="J199" i="1" a="1"/>
  <c r="J199" i="1" s="1"/>
  <c r="H199" i="1" a="1"/>
  <c r="H199" i="1" s="1"/>
  <c r="I199" i="1" s="1"/>
  <c r="S199" i="1" s="1"/>
  <c r="AT198" i="1"/>
  <c r="AB198" i="1" s="1"/>
  <c r="AS198" i="1"/>
  <c r="AA198" i="1" s="1"/>
  <c r="AO198" i="1"/>
  <c r="AN198" i="1"/>
  <c r="AM198" i="1"/>
  <c r="AL198" i="1"/>
  <c r="AK198" i="1"/>
  <c r="AJ198" i="1"/>
  <c r="AI198" i="1"/>
  <c r="AH198" i="1"/>
  <c r="AG198" i="1"/>
  <c r="AF198" i="1"/>
  <c r="AE198" i="1"/>
  <c r="AD198" i="1"/>
  <c r="AC198" i="1"/>
  <c r="Z198" i="1"/>
  <c r="W198" i="1"/>
  <c r="Y198" i="1" s="1"/>
  <c r="V198" i="1"/>
  <c r="T198" i="1"/>
  <c r="R198" i="1"/>
  <c r="Q198" i="1" a="1"/>
  <c r="Q198" i="1" s="1"/>
  <c r="P198" i="1"/>
  <c r="N198" i="1"/>
  <c r="L198" i="1"/>
  <c r="K198" i="1" a="1"/>
  <c r="K198" i="1" s="1"/>
  <c r="U198" i="1" s="1"/>
  <c r="J198" i="1" a="1"/>
  <c r="J198" i="1" s="1"/>
  <c r="H198" i="1" a="1"/>
  <c r="H198" i="1" s="1"/>
  <c r="AW197" i="1"/>
  <c r="AE197" i="1" s="1"/>
  <c r="AV197" i="1"/>
  <c r="AD197" i="1" s="1"/>
  <c r="AU197" i="1"/>
  <c r="AC197" i="1" s="1"/>
  <c r="AT197" i="1"/>
  <c r="AB197" i="1" s="1"/>
  <c r="AS197" i="1"/>
  <c r="AA197" i="1" s="1"/>
  <c r="AO197" i="1"/>
  <c r="AN197" i="1"/>
  <c r="AM197" i="1"/>
  <c r="AL197" i="1"/>
  <c r="AK197" i="1"/>
  <c r="AJ197" i="1"/>
  <c r="AI197" i="1"/>
  <c r="AH197" i="1"/>
  <c r="AG197" i="1"/>
  <c r="AF197" i="1"/>
  <c r="Z197" i="1"/>
  <c r="W197" i="1"/>
  <c r="Y197" i="1" s="1"/>
  <c r="V197" i="1"/>
  <c r="T197" i="1"/>
  <c r="R197" i="1"/>
  <c r="Q197" i="1" a="1"/>
  <c r="Q197" i="1" s="1"/>
  <c r="P197" i="1"/>
  <c r="N197" i="1"/>
  <c r="L197" i="1"/>
  <c r="K197" i="1" a="1"/>
  <c r="K197" i="1" s="1"/>
  <c r="U197" i="1" s="1"/>
  <c r="J197" i="1" a="1"/>
  <c r="J197" i="1" s="1"/>
  <c r="H197" i="1" a="1"/>
  <c r="H197" i="1" s="1"/>
  <c r="I197" i="1" s="1"/>
  <c r="S197" i="1" s="1"/>
  <c r="BB196" i="1"/>
  <c r="AJ196" i="1" s="1"/>
  <c r="BA196" i="1"/>
  <c r="AI196" i="1" s="1"/>
  <c r="AZ196" i="1"/>
  <c r="AH196" i="1" s="1"/>
  <c r="AY196" i="1"/>
  <c r="AG196" i="1" s="1"/>
  <c r="AX196" i="1"/>
  <c r="AF196" i="1" s="1"/>
  <c r="AW196" i="1"/>
  <c r="AE196" i="1" s="1"/>
  <c r="AV196" i="1"/>
  <c r="AD196" i="1" s="1"/>
  <c r="AU196" i="1"/>
  <c r="AC196" i="1" s="1"/>
  <c r="AT196" i="1"/>
  <c r="AB196" i="1" s="1"/>
  <c r="AS196" i="1"/>
  <c r="AA196" i="1" s="1"/>
  <c r="AO196" i="1"/>
  <c r="AN196" i="1"/>
  <c r="AM196" i="1"/>
  <c r="AL196" i="1"/>
  <c r="AK196" i="1"/>
  <c r="Z196" i="1"/>
  <c r="W196" i="1"/>
  <c r="Y196" i="1" s="1"/>
  <c r="V196" i="1"/>
  <c r="T196" i="1"/>
  <c r="R196" i="1"/>
  <c r="Q196" i="1" a="1"/>
  <c r="Q196" i="1" s="1"/>
  <c r="P196" i="1"/>
  <c r="N196" i="1"/>
  <c r="L196" i="1"/>
  <c r="K196" i="1" a="1"/>
  <c r="K196" i="1" s="1"/>
  <c r="U196" i="1" s="1"/>
  <c r="J196" i="1" a="1"/>
  <c r="J196" i="1" s="1"/>
  <c r="H196" i="1" a="1"/>
  <c r="H196" i="1" s="1"/>
  <c r="I196" i="1" s="1"/>
  <c r="S196" i="1" s="1"/>
  <c r="AS195" i="1"/>
  <c r="AA195" i="1" s="1"/>
  <c r="AO195" i="1"/>
  <c r="AN195" i="1"/>
  <c r="AM195" i="1"/>
  <c r="AL195" i="1"/>
  <c r="AK195" i="1"/>
  <c r="AJ195" i="1"/>
  <c r="AI195" i="1"/>
  <c r="AH195" i="1"/>
  <c r="AG195" i="1"/>
  <c r="AF195" i="1"/>
  <c r="AE195" i="1"/>
  <c r="AD195" i="1"/>
  <c r="AC195" i="1"/>
  <c r="AB195" i="1"/>
  <c r="Z195" i="1"/>
  <c r="W195" i="1"/>
  <c r="Y195" i="1" s="1"/>
  <c r="V195" i="1"/>
  <c r="T195" i="1"/>
  <c r="R195" i="1"/>
  <c r="Q195" i="1" a="1"/>
  <c r="Q195" i="1" s="1"/>
  <c r="P195" i="1"/>
  <c r="N195" i="1"/>
  <c r="L195" i="1"/>
  <c r="K195" i="1" a="1"/>
  <c r="K195" i="1" s="1"/>
  <c r="U195" i="1" s="1"/>
  <c r="J195" i="1" a="1"/>
  <c r="J195" i="1" s="1"/>
  <c r="H195" i="1" a="1"/>
  <c r="H195" i="1" s="1"/>
  <c r="AS194" i="1"/>
  <c r="AA194" i="1" s="1"/>
  <c r="AO194" i="1"/>
  <c r="AN194" i="1"/>
  <c r="AM194" i="1"/>
  <c r="AL194" i="1"/>
  <c r="AK194" i="1"/>
  <c r="AJ194" i="1"/>
  <c r="AI194" i="1"/>
  <c r="AH194" i="1"/>
  <c r="AG194" i="1"/>
  <c r="AF194" i="1"/>
  <c r="AE194" i="1"/>
  <c r="AD194" i="1"/>
  <c r="AC194" i="1"/>
  <c r="AB194" i="1"/>
  <c r="Z194" i="1"/>
  <c r="W194" i="1"/>
  <c r="X194" i="1" s="1"/>
  <c r="V194" i="1"/>
  <c r="T194" i="1"/>
  <c r="R194" i="1"/>
  <c r="Q194" i="1" a="1"/>
  <c r="Q194" i="1" s="1"/>
  <c r="P194" i="1"/>
  <c r="N194" i="1"/>
  <c r="L194" i="1"/>
  <c r="K194" i="1" a="1"/>
  <c r="K194" i="1" s="1"/>
  <c r="U194" i="1" s="1"/>
  <c r="J194" i="1" a="1"/>
  <c r="J194" i="1" s="1"/>
  <c r="H194" i="1" a="1"/>
  <c r="H194" i="1" s="1"/>
  <c r="AS193" i="1"/>
  <c r="AA193" i="1" s="1"/>
  <c r="AO193" i="1"/>
  <c r="AN193" i="1"/>
  <c r="AM193" i="1"/>
  <c r="AL193" i="1"/>
  <c r="AK193" i="1"/>
  <c r="AJ193" i="1"/>
  <c r="AI193" i="1"/>
  <c r="AH193" i="1"/>
  <c r="AG193" i="1"/>
  <c r="AF193" i="1"/>
  <c r="AE193" i="1"/>
  <c r="AD193" i="1"/>
  <c r="AC193" i="1"/>
  <c r="AB193" i="1"/>
  <c r="Z193" i="1"/>
  <c r="W193" i="1"/>
  <c r="Y193" i="1" s="1"/>
  <c r="V193" i="1"/>
  <c r="T193" i="1"/>
  <c r="R193" i="1"/>
  <c r="Q193" i="1" a="1"/>
  <c r="Q193" i="1" s="1"/>
  <c r="P193" i="1"/>
  <c r="N193" i="1"/>
  <c r="L193" i="1"/>
  <c r="K193" i="1" a="1"/>
  <c r="K193" i="1" s="1"/>
  <c r="U193" i="1" s="1"/>
  <c r="J193" i="1" a="1"/>
  <c r="J193" i="1" s="1"/>
  <c r="H193" i="1" a="1"/>
  <c r="H193" i="1" s="1"/>
  <c r="I193" i="1" s="1"/>
  <c r="S193" i="1" s="1"/>
  <c r="AS192" i="1"/>
  <c r="AA192" i="1" s="1"/>
  <c r="AO192" i="1"/>
  <c r="AN192" i="1"/>
  <c r="AM192" i="1"/>
  <c r="AL192" i="1"/>
  <c r="AK192" i="1"/>
  <c r="AJ192" i="1"/>
  <c r="AI192" i="1"/>
  <c r="AH192" i="1"/>
  <c r="AG192" i="1"/>
  <c r="AF192" i="1"/>
  <c r="AE192" i="1"/>
  <c r="AD192" i="1"/>
  <c r="AC192" i="1"/>
  <c r="AB192" i="1"/>
  <c r="Z192" i="1"/>
  <c r="W192" i="1"/>
  <c r="X192" i="1" s="1"/>
  <c r="V192" i="1"/>
  <c r="T192" i="1"/>
  <c r="R192" i="1"/>
  <c r="Q192" i="1" a="1"/>
  <c r="Q192" i="1" s="1"/>
  <c r="P192" i="1"/>
  <c r="N192" i="1"/>
  <c r="L192" i="1"/>
  <c r="K192" i="1" a="1"/>
  <c r="K192" i="1" s="1"/>
  <c r="U192" i="1" s="1"/>
  <c r="J192" i="1" a="1"/>
  <c r="J192" i="1" s="1"/>
  <c r="H192" i="1" a="1"/>
  <c r="H192" i="1" s="1"/>
  <c r="I192" i="1" s="1"/>
  <c r="S192" i="1" s="1"/>
  <c r="AS191" i="1"/>
  <c r="AA191" i="1" s="1"/>
  <c r="AO191" i="1"/>
  <c r="AN191" i="1"/>
  <c r="AM191" i="1"/>
  <c r="AL191" i="1"/>
  <c r="AK191" i="1"/>
  <c r="AJ191" i="1"/>
  <c r="AI191" i="1"/>
  <c r="AH191" i="1"/>
  <c r="AG191" i="1"/>
  <c r="AF191" i="1"/>
  <c r="AE191" i="1"/>
  <c r="AD191" i="1"/>
  <c r="AC191" i="1"/>
  <c r="AB191" i="1"/>
  <c r="Z191" i="1"/>
  <c r="W191" i="1"/>
  <c r="X191" i="1" s="1"/>
  <c r="V191" i="1"/>
  <c r="T191" i="1"/>
  <c r="R191" i="1"/>
  <c r="Q191" i="1" a="1"/>
  <c r="Q191" i="1" s="1"/>
  <c r="P191" i="1"/>
  <c r="N191" i="1"/>
  <c r="L191" i="1"/>
  <c r="K191" i="1" a="1"/>
  <c r="K191" i="1" s="1"/>
  <c r="U191" i="1" s="1"/>
  <c r="J191" i="1" a="1"/>
  <c r="J191" i="1" s="1"/>
  <c r="H191" i="1" a="1"/>
  <c r="H191" i="1" s="1"/>
  <c r="AS190" i="1"/>
  <c r="AA190" i="1" s="1"/>
  <c r="AO190" i="1"/>
  <c r="AN190" i="1"/>
  <c r="AM190" i="1"/>
  <c r="AL190" i="1"/>
  <c r="AK190" i="1"/>
  <c r="AJ190" i="1"/>
  <c r="AI190" i="1"/>
  <c r="AH190" i="1"/>
  <c r="AG190" i="1"/>
  <c r="AF190" i="1"/>
  <c r="AE190" i="1"/>
  <c r="AD190" i="1"/>
  <c r="AC190" i="1"/>
  <c r="AB190" i="1"/>
  <c r="Z190" i="1"/>
  <c r="W190" i="1"/>
  <c r="X190" i="1" s="1"/>
  <c r="V190" i="1"/>
  <c r="T190" i="1"/>
  <c r="R190" i="1"/>
  <c r="Q190" i="1" a="1"/>
  <c r="Q190" i="1" s="1"/>
  <c r="P190" i="1"/>
  <c r="N190" i="1"/>
  <c r="L190" i="1"/>
  <c r="K190" i="1" a="1"/>
  <c r="K190" i="1" s="1"/>
  <c r="U190" i="1" s="1"/>
  <c r="J190" i="1" a="1"/>
  <c r="J190" i="1" s="1"/>
  <c r="H190" i="1" a="1"/>
  <c r="H190" i="1" s="1"/>
  <c r="AS189" i="1"/>
  <c r="AA189" i="1" s="1"/>
  <c r="AO189" i="1"/>
  <c r="AN189" i="1"/>
  <c r="AM189" i="1"/>
  <c r="AL189" i="1"/>
  <c r="AK189" i="1"/>
  <c r="AJ189" i="1"/>
  <c r="AI189" i="1"/>
  <c r="AH189" i="1"/>
  <c r="AG189" i="1"/>
  <c r="AF189" i="1"/>
  <c r="AE189" i="1"/>
  <c r="AD189" i="1"/>
  <c r="AC189" i="1"/>
  <c r="AB189" i="1"/>
  <c r="Z189" i="1"/>
  <c r="W189" i="1"/>
  <c r="Y189" i="1" s="1"/>
  <c r="V189" i="1"/>
  <c r="T189" i="1"/>
  <c r="R189" i="1"/>
  <c r="Q189" i="1" a="1"/>
  <c r="Q189" i="1" s="1"/>
  <c r="P189" i="1"/>
  <c r="N189" i="1"/>
  <c r="L189" i="1"/>
  <c r="K189" i="1" a="1"/>
  <c r="K189" i="1" s="1"/>
  <c r="U189" i="1" s="1"/>
  <c r="J189" i="1" a="1"/>
  <c r="J189" i="1" s="1"/>
  <c r="H189" i="1" a="1"/>
  <c r="H189" i="1" s="1"/>
  <c r="I189" i="1" s="1"/>
  <c r="S189" i="1" s="1"/>
  <c r="AS188" i="1"/>
  <c r="AA188" i="1" s="1"/>
  <c r="AO188" i="1"/>
  <c r="AN188" i="1"/>
  <c r="AM188" i="1"/>
  <c r="AL188" i="1"/>
  <c r="AK188" i="1"/>
  <c r="AJ188" i="1"/>
  <c r="AI188" i="1"/>
  <c r="AH188" i="1"/>
  <c r="AG188" i="1"/>
  <c r="AF188" i="1"/>
  <c r="AE188" i="1"/>
  <c r="AD188" i="1"/>
  <c r="AC188" i="1"/>
  <c r="AB188" i="1"/>
  <c r="Z188" i="1"/>
  <c r="W188" i="1"/>
  <c r="Y188" i="1" s="1"/>
  <c r="V188" i="1"/>
  <c r="T188" i="1"/>
  <c r="R188" i="1"/>
  <c r="Q188" i="1" a="1"/>
  <c r="Q188" i="1" s="1"/>
  <c r="P188" i="1"/>
  <c r="N188" i="1"/>
  <c r="L188" i="1"/>
  <c r="K188" i="1" a="1"/>
  <c r="K188" i="1" s="1"/>
  <c r="U188" i="1" s="1"/>
  <c r="J188" i="1" a="1"/>
  <c r="J188" i="1" s="1"/>
  <c r="H188" i="1" a="1"/>
  <c r="H188" i="1" s="1"/>
  <c r="I188" i="1" s="1"/>
  <c r="S188" i="1" s="1"/>
  <c r="AT187" i="1"/>
  <c r="AB187" i="1" s="1"/>
  <c r="AS187" i="1"/>
  <c r="AA187" i="1" s="1"/>
  <c r="AO187" i="1"/>
  <c r="AN187" i="1"/>
  <c r="AM187" i="1"/>
  <c r="AL187" i="1"/>
  <c r="AK187" i="1"/>
  <c r="AJ187" i="1"/>
  <c r="AI187" i="1"/>
  <c r="AH187" i="1"/>
  <c r="AG187" i="1"/>
  <c r="AF187" i="1"/>
  <c r="AE187" i="1"/>
  <c r="AD187" i="1"/>
  <c r="AC187" i="1"/>
  <c r="Z187" i="1"/>
  <c r="W187" i="1"/>
  <c r="Y187" i="1" s="1"/>
  <c r="V187" i="1"/>
  <c r="T187" i="1"/>
  <c r="R187" i="1"/>
  <c r="Q187" i="1" a="1"/>
  <c r="Q187" i="1" s="1"/>
  <c r="P187" i="1"/>
  <c r="N187" i="1"/>
  <c r="L187" i="1"/>
  <c r="K187" i="1" a="1"/>
  <c r="K187" i="1" s="1"/>
  <c r="U187" i="1" s="1"/>
  <c r="J187" i="1" a="1"/>
  <c r="J187" i="1" s="1"/>
  <c r="H187" i="1" a="1"/>
  <c r="H187" i="1" s="1"/>
  <c r="I187" i="1" s="1"/>
  <c r="S187" i="1" s="1"/>
  <c r="AS186" i="1"/>
  <c r="AA186" i="1" s="1"/>
  <c r="AO186" i="1"/>
  <c r="AN186" i="1"/>
  <c r="AM186" i="1"/>
  <c r="AL186" i="1"/>
  <c r="AK186" i="1"/>
  <c r="AJ186" i="1"/>
  <c r="AI186" i="1"/>
  <c r="AH186" i="1"/>
  <c r="AG186" i="1"/>
  <c r="AF186" i="1"/>
  <c r="AE186" i="1"/>
  <c r="AD186" i="1"/>
  <c r="AC186" i="1"/>
  <c r="AB186" i="1"/>
  <c r="Z186" i="1"/>
  <c r="X186" i="1"/>
  <c r="W186" i="1"/>
  <c r="Y186" i="1" s="1"/>
  <c r="V186" i="1"/>
  <c r="T186" i="1"/>
  <c r="R186" i="1"/>
  <c r="Q186" i="1" a="1"/>
  <c r="Q186" i="1" s="1"/>
  <c r="P186" i="1"/>
  <c r="N186" i="1"/>
  <c r="L186" i="1"/>
  <c r="K186" i="1" a="1"/>
  <c r="K186" i="1" s="1"/>
  <c r="U186" i="1" s="1"/>
  <c r="J186" i="1" a="1"/>
  <c r="J186" i="1" s="1"/>
  <c r="H186" i="1" a="1"/>
  <c r="H186" i="1" s="1"/>
  <c r="AV185" i="1"/>
  <c r="AD185" i="1" s="1"/>
  <c r="AU185" i="1"/>
  <c r="AC185" i="1" s="1"/>
  <c r="AT185" i="1"/>
  <c r="AB185" i="1" s="1"/>
  <c r="AS185" i="1"/>
  <c r="AA185" i="1" s="1"/>
  <c r="AO185" i="1"/>
  <c r="AN185" i="1"/>
  <c r="AM185" i="1"/>
  <c r="AL185" i="1"/>
  <c r="AK185" i="1"/>
  <c r="AJ185" i="1"/>
  <c r="AI185" i="1"/>
  <c r="AH185" i="1"/>
  <c r="AG185" i="1"/>
  <c r="AF185" i="1"/>
  <c r="AE185" i="1"/>
  <c r="Z185" i="1"/>
  <c r="W185" i="1"/>
  <c r="Y185" i="1" s="1"/>
  <c r="V185" i="1"/>
  <c r="T185" i="1"/>
  <c r="R185" i="1"/>
  <c r="Q185" i="1" a="1"/>
  <c r="Q185" i="1" s="1"/>
  <c r="P185" i="1"/>
  <c r="N185" i="1"/>
  <c r="L185" i="1"/>
  <c r="K185" i="1" a="1"/>
  <c r="K185" i="1" s="1"/>
  <c r="U185" i="1" s="1"/>
  <c r="J185" i="1" a="1"/>
  <c r="J185" i="1" s="1"/>
  <c r="H185" i="1" a="1"/>
  <c r="H185" i="1" s="1"/>
  <c r="I185" i="1" s="1"/>
  <c r="S185" i="1" s="1"/>
  <c r="BA184" i="1"/>
  <c r="AI184" i="1" s="1"/>
  <c r="AZ184" i="1"/>
  <c r="AH184" i="1" s="1"/>
  <c r="AY184" i="1"/>
  <c r="AG184" i="1" s="1"/>
  <c r="AX184" i="1"/>
  <c r="AF184" i="1" s="1"/>
  <c r="AW184" i="1"/>
  <c r="AE184" i="1" s="1"/>
  <c r="AV184" i="1"/>
  <c r="AD184" i="1" s="1"/>
  <c r="AU184" i="1"/>
  <c r="AC184" i="1" s="1"/>
  <c r="AT184" i="1"/>
  <c r="AB184" i="1" s="1"/>
  <c r="AS184" i="1"/>
  <c r="AA184" i="1" s="1"/>
  <c r="AO184" i="1"/>
  <c r="AN184" i="1"/>
  <c r="AM184" i="1"/>
  <c r="AL184" i="1"/>
  <c r="AK184" i="1"/>
  <c r="AJ184" i="1"/>
  <c r="Z184" i="1"/>
  <c r="W184" i="1"/>
  <c r="Y184" i="1" s="1"/>
  <c r="V184" i="1"/>
  <c r="T184" i="1"/>
  <c r="R184" i="1"/>
  <c r="Q184" i="1" a="1"/>
  <c r="Q184" i="1" s="1"/>
  <c r="P184" i="1"/>
  <c r="N184" i="1"/>
  <c r="L184" i="1"/>
  <c r="K184" i="1" a="1"/>
  <c r="K184" i="1" s="1"/>
  <c r="U184" i="1" s="1"/>
  <c r="J184" i="1" a="1"/>
  <c r="J184" i="1" s="1"/>
  <c r="H184" i="1" a="1"/>
  <c r="H184" i="1" s="1"/>
  <c r="I184" i="1" s="1"/>
  <c r="S184" i="1" s="1"/>
  <c r="AS183" i="1"/>
  <c r="AA183" i="1" s="1"/>
  <c r="AO183" i="1"/>
  <c r="AN183" i="1"/>
  <c r="AM183" i="1"/>
  <c r="AL183" i="1"/>
  <c r="AK183" i="1"/>
  <c r="AJ183" i="1"/>
  <c r="AI183" i="1"/>
  <c r="AH183" i="1"/>
  <c r="AG183" i="1"/>
  <c r="AF183" i="1"/>
  <c r="AE183" i="1"/>
  <c r="AD183" i="1"/>
  <c r="AC183" i="1"/>
  <c r="AB183" i="1"/>
  <c r="Z183" i="1"/>
  <c r="W183" i="1"/>
  <c r="Y183" i="1" s="1"/>
  <c r="V183" i="1"/>
  <c r="T183" i="1"/>
  <c r="R183" i="1"/>
  <c r="Q183" i="1" a="1"/>
  <c r="Q183" i="1" s="1"/>
  <c r="P183" i="1"/>
  <c r="N183" i="1"/>
  <c r="L183" i="1"/>
  <c r="K183" i="1" a="1"/>
  <c r="K183" i="1" s="1"/>
  <c r="U183" i="1" s="1"/>
  <c r="J183" i="1" a="1"/>
  <c r="J183" i="1" s="1"/>
  <c r="H183" i="1" a="1"/>
  <c r="H183" i="1" s="1"/>
  <c r="AS182" i="1"/>
  <c r="AA182" i="1" s="1"/>
  <c r="AO182" i="1"/>
  <c r="AN182" i="1"/>
  <c r="AM182" i="1"/>
  <c r="AL182" i="1"/>
  <c r="AK182" i="1"/>
  <c r="AJ182" i="1"/>
  <c r="AI182" i="1"/>
  <c r="AH182" i="1"/>
  <c r="AG182" i="1"/>
  <c r="AF182" i="1"/>
  <c r="AE182" i="1"/>
  <c r="AD182" i="1"/>
  <c r="AC182" i="1"/>
  <c r="AB182" i="1"/>
  <c r="Z182" i="1"/>
  <c r="W182" i="1"/>
  <c r="X182" i="1" s="1"/>
  <c r="V182" i="1"/>
  <c r="T182" i="1"/>
  <c r="R182" i="1"/>
  <c r="Q182" i="1" a="1"/>
  <c r="Q182" i="1" s="1"/>
  <c r="P182" i="1"/>
  <c r="N182" i="1"/>
  <c r="L182" i="1"/>
  <c r="K182" i="1" a="1"/>
  <c r="K182" i="1" s="1"/>
  <c r="U182" i="1" s="1"/>
  <c r="J182" i="1" a="1"/>
  <c r="J182" i="1" s="1"/>
  <c r="H182" i="1" a="1"/>
  <c r="H182" i="1" s="1"/>
  <c r="AS181" i="1"/>
  <c r="AA181" i="1" s="1"/>
  <c r="AO181" i="1"/>
  <c r="AN181" i="1"/>
  <c r="AM181" i="1"/>
  <c r="AL181" i="1"/>
  <c r="AK181" i="1"/>
  <c r="AJ181" i="1"/>
  <c r="AI181" i="1"/>
  <c r="AH181" i="1"/>
  <c r="AG181" i="1"/>
  <c r="AF181" i="1"/>
  <c r="AE181" i="1"/>
  <c r="AD181" i="1"/>
  <c r="AC181" i="1"/>
  <c r="AB181" i="1"/>
  <c r="Z181" i="1"/>
  <c r="W181" i="1"/>
  <c r="Y181" i="1" s="1"/>
  <c r="V181" i="1"/>
  <c r="T181" i="1"/>
  <c r="R181" i="1"/>
  <c r="Q181" i="1" a="1"/>
  <c r="Q181" i="1" s="1"/>
  <c r="P181" i="1"/>
  <c r="N181" i="1"/>
  <c r="L181" i="1"/>
  <c r="K181" i="1" a="1"/>
  <c r="K181" i="1" s="1"/>
  <c r="U181" i="1" s="1"/>
  <c r="J181" i="1" a="1"/>
  <c r="J181" i="1" s="1"/>
  <c r="H181" i="1" a="1"/>
  <c r="H181" i="1" s="1"/>
  <c r="AV180" i="1"/>
  <c r="AD180" i="1" s="1"/>
  <c r="AU180" i="1"/>
  <c r="AC180" i="1" s="1"/>
  <c r="AT180" i="1"/>
  <c r="AB180" i="1" s="1"/>
  <c r="AS180" i="1"/>
  <c r="AA180" i="1" s="1"/>
  <c r="AO180" i="1"/>
  <c r="AN180" i="1"/>
  <c r="AM180" i="1"/>
  <c r="AL180" i="1"/>
  <c r="AK180" i="1"/>
  <c r="AJ180" i="1"/>
  <c r="AI180" i="1"/>
  <c r="AH180" i="1"/>
  <c r="AG180" i="1"/>
  <c r="AF180" i="1"/>
  <c r="AE180" i="1"/>
  <c r="Z180" i="1"/>
  <c r="W180" i="1"/>
  <c r="X180" i="1" s="1"/>
  <c r="V180" i="1"/>
  <c r="T180" i="1"/>
  <c r="R180" i="1"/>
  <c r="Q180" i="1" a="1"/>
  <c r="Q180" i="1" s="1"/>
  <c r="P180" i="1"/>
  <c r="N180" i="1"/>
  <c r="L180" i="1"/>
  <c r="K180" i="1" a="1"/>
  <c r="K180" i="1" s="1"/>
  <c r="U180" i="1" s="1"/>
  <c r="J180" i="1" a="1"/>
  <c r="J180" i="1" s="1"/>
  <c r="H180" i="1" a="1"/>
  <c r="H180" i="1" s="1"/>
  <c r="AS179" i="1"/>
  <c r="AA179" i="1" s="1"/>
  <c r="AO179" i="1"/>
  <c r="AN179" i="1"/>
  <c r="AM179" i="1"/>
  <c r="AL179" i="1"/>
  <c r="AK179" i="1"/>
  <c r="AJ179" i="1"/>
  <c r="AI179" i="1"/>
  <c r="AH179" i="1"/>
  <c r="AG179" i="1"/>
  <c r="AF179" i="1"/>
  <c r="AE179" i="1"/>
  <c r="AD179" i="1"/>
  <c r="AC179" i="1"/>
  <c r="AB179" i="1"/>
  <c r="Z179" i="1"/>
  <c r="W179" i="1"/>
  <c r="X179" i="1" s="1"/>
  <c r="V179" i="1"/>
  <c r="T179" i="1"/>
  <c r="R179" i="1"/>
  <c r="Q179" i="1" a="1"/>
  <c r="Q179" i="1" s="1"/>
  <c r="P179" i="1"/>
  <c r="N179" i="1"/>
  <c r="L179" i="1"/>
  <c r="K179" i="1" a="1"/>
  <c r="K179" i="1" s="1"/>
  <c r="U179" i="1" s="1"/>
  <c r="J179" i="1" a="1"/>
  <c r="J179" i="1" s="1"/>
  <c r="H179" i="1" a="1"/>
  <c r="H179" i="1" s="1"/>
  <c r="AS178" i="1"/>
  <c r="AA178" i="1" s="1"/>
  <c r="AO178" i="1"/>
  <c r="AN178" i="1"/>
  <c r="AM178" i="1"/>
  <c r="AL178" i="1"/>
  <c r="AK178" i="1"/>
  <c r="AJ178" i="1"/>
  <c r="AI178" i="1"/>
  <c r="AH178" i="1"/>
  <c r="AG178" i="1"/>
  <c r="AF178" i="1"/>
  <c r="AE178" i="1"/>
  <c r="AD178" i="1"/>
  <c r="AC178" i="1"/>
  <c r="AB178" i="1"/>
  <c r="Z178" i="1"/>
  <c r="W178" i="1"/>
  <c r="Y178" i="1" s="1"/>
  <c r="V178" i="1"/>
  <c r="T178" i="1"/>
  <c r="R178" i="1"/>
  <c r="Q178" i="1" a="1"/>
  <c r="Q178" i="1" s="1"/>
  <c r="P178" i="1"/>
  <c r="N178" i="1"/>
  <c r="L178" i="1"/>
  <c r="K178" i="1" a="1"/>
  <c r="K178" i="1" s="1"/>
  <c r="U178" i="1" s="1"/>
  <c r="J178" i="1" a="1"/>
  <c r="J178" i="1" s="1"/>
  <c r="H178" i="1" a="1"/>
  <c r="H178" i="1" s="1"/>
  <c r="AS177" i="1"/>
  <c r="AA177" i="1" s="1"/>
  <c r="AO177" i="1"/>
  <c r="AN177" i="1"/>
  <c r="AM177" i="1"/>
  <c r="AL177" i="1"/>
  <c r="AK177" i="1"/>
  <c r="AJ177" i="1"/>
  <c r="AI177" i="1"/>
  <c r="AH177" i="1"/>
  <c r="AG177" i="1"/>
  <c r="AF177" i="1"/>
  <c r="AE177" i="1"/>
  <c r="AD177" i="1"/>
  <c r="AC177" i="1"/>
  <c r="AB177" i="1"/>
  <c r="Z177" i="1"/>
  <c r="W177" i="1"/>
  <c r="X177" i="1" s="1"/>
  <c r="V177" i="1"/>
  <c r="T177" i="1"/>
  <c r="R177" i="1"/>
  <c r="Q177" i="1" a="1"/>
  <c r="Q177" i="1" s="1"/>
  <c r="P177" i="1"/>
  <c r="N177" i="1"/>
  <c r="L177" i="1"/>
  <c r="K177" i="1" a="1"/>
  <c r="K177" i="1" s="1"/>
  <c r="U177" i="1" s="1"/>
  <c r="J177" i="1" a="1"/>
  <c r="J177" i="1" s="1"/>
  <c r="H177" i="1" a="1"/>
  <c r="H177" i="1" s="1"/>
  <c r="I177" i="1" s="1"/>
  <c r="S177" i="1" s="1"/>
  <c r="AS176" i="1"/>
  <c r="AA176" i="1" s="1"/>
  <c r="AO176" i="1"/>
  <c r="AN176" i="1"/>
  <c r="AM176" i="1"/>
  <c r="AL176" i="1"/>
  <c r="AK176" i="1"/>
  <c r="AJ176" i="1"/>
  <c r="AI176" i="1"/>
  <c r="AH176" i="1"/>
  <c r="AG176" i="1"/>
  <c r="AF176" i="1"/>
  <c r="AE176" i="1"/>
  <c r="AD176" i="1"/>
  <c r="AC176" i="1"/>
  <c r="AB176" i="1"/>
  <c r="Z176" i="1"/>
  <c r="W176" i="1"/>
  <c r="X176" i="1" s="1"/>
  <c r="V176" i="1"/>
  <c r="T176" i="1"/>
  <c r="R176" i="1"/>
  <c r="Q176" i="1" a="1"/>
  <c r="Q176" i="1" s="1"/>
  <c r="P176" i="1"/>
  <c r="N176" i="1"/>
  <c r="L176" i="1"/>
  <c r="K176" i="1" a="1"/>
  <c r="K176" i="1" s="1"/>
  <c r="U176" i="1" s="1"/>
  <c r="J176" i="1" a="1"/>
  <c r="J176" i="1" s="1"/>
  <c r="H176" i="1" a="1"/>
  <c r="H176" i="1" s="1"/>
  <c r="AS175" i="1"/>
  <c r="AA175" i="1" s="1"/>
  <c r="AO175" i="1"/>
  <c r="AN175" i="1"/>
  <c r="AM175" i="1"/>
  <c r="AL175" i="1"/>
  <c r="AK175" i="1"/>
  <c r="AJ175" i="1"/>
  <c r="AI175" i="1"/>
  <c r="AH175" i="1"/>
  <c r="AG175" i="1"/>
  <c r="AF175" i="1"/>
  <c r="AE175" i="1"/>
  <c r="AD175" i="1"/>
  <c r="AC175" i="1"/>
  <c r="AB175" i="1"/>
  <c r="Z175" i="1"/>
  <c r="W175" i="1"/>
  <c r="X175" i="1" s="1"/>
  <c r="V175" i="1"/>
  <c r="T175" i="1"/>
  <c r="R175" i="1"/>
  <c r="Q175" i="1" a="1"/>
  <c r="Q175" i="1" s="1"/>
  <c r="P175" i="1"/>
  <c r="N175" i="1"/>
  <c r="L175" i="1"/>
  <c r="K175" i="1" a="1"/>
  <c r="K175" i="1" s="1"/>
  <c r="U175" i="1" s="1"/>
  <c r="J175" i="1" a="1"/>
  <c r="J175" i="1" s="1"/>
  <c r="H175" i="1" a="1"/>
  <c r="H175" i="1" s="1"/>
  <c r="AS174" i="1"/>
  <c r="AA174" i="1" s="1"/>
  <c r="AO174" i="1"/>
  <c r="AN174" i="1"/>
  <c r="AM174" i="1"/>
  <c r="AL174" i="1"/>
  <c r="AK174" i="1"/>
  <c r="AJ174" i="1"/>
  <c r="AI174" i="1"/>
  <c r="AH174" i="1"/>
  <c r="AG174" i="1"/>
  <c r="AF174" i="1"/>
  <c r="AE174" i="1"/>
  <c r="AD174" i="1"/>
  <c r="AC174" i="1"/>
  <c r="AB174" i="1"/>
  <c r="Z174" i="1"/>
  <c r="W174" i="1"/>
  <c r="X174" i="1" s="1"/>
  <c r="V174" i="1"/>
  <c r="T174" i="1"/>
  <c r="R174" i="1"/>
  <c r="Q174" i="1" a="1"/>
  <c r="Q174" i="1" s="1"/>
  <c r="P174" i="1"/>
  <c r="N174" i="1"/>
  <c r="L174" i="1"/>
  <c r="K174" i="1" a="1"/>
  <c r="K174" i="1" s="1"/>
  <c r="U174" i="1" s="1"/>
  <c r="J174" i="1" a="1"/>
  <c r="J174" i="1" s="1"/>
  <c r="H174" i="1" a="1"/>
  <c r="H174" i="1" s="1"/>
  <c r="I174" i="1" s="1"/>
  <c r="S174" i="1" s="1"/>
  <c r="AS173" i="1"/>
  <c r="AA173" i="1" s="1"/>
  <c r="AO173" i="1"/>
  <c r="AN173" i="1"/>
  <c r="AM173" i="1"/>
  <c r="AL173" i="1"/>
  <c r="AK173" i="1"/>
  <c r="AJ173" i="1"/>
  <c r="AI173" i="1"/>
  <c r="AH173" i="1"/>
  <c r="AG173" i="1"/>
  <c r="AF173" i="1"/>
  <c r="AE173" i="1"/>
  <c r="AD173" i="1"/>
  <c r="AC173" i="1"/>
  <c r="AB173" i="1"/>
  <c r="Z173" i="1"/>
  <c r="W173" i="1"/>
  <c r="Y173" i="1" s="1"/>
  <c r="V173" i="1"/>
  <c r="T173" i="1"/>
  <c r="R173" i="1"/>
  <c r="Q173" i="1" a="1"/>
  <c r="Q173" i="1" s="1"/>
  <c r="P173" i="1"/>
  <c r="N173" i="1"/>
  <c r="L173" i="1"/>
  <c r="K173" i="1" a="1"/>
  <c r="K173" i="1" s="1"/>
  <c r="U173" i="1" s="1"/>
  <c r="J173" i="1" a="1"/>
  <c r="J173" i="1" s="1"/>
  <c r="H173" i="1" a="1"/>
  <c r="H173" i="1" s="1"/>
  <c r="I173" i="1" s="1"/>
  <c r="S173" i="1" s="1"/>
  <c r="AS172" i="1"/>
  <c r="AA172" i="1" s="1"/>
  <c r="AO172" i="1"/>
  <c r="AN172" i="1"/>
  <c r="AM172" i="1"/>
  <c r="AL172" i="1"/>
  <c r="AK172" i="1"/>
  <c r="AJ172" i="1"/>
  <c r="AI172" i="1"/>
  <c r="AH172" i="1"/>
  <c r="AG172" i="1"/>
  <c r="AF172" i="1"/>
  <c r="AE172" i="1"/>
  <c r="AD172" i="1"/>
  <c r="AC172" i="1"/>
  <c r="AB172" i="1"/>
  <c r="Z172" i="1"/>
  <c r="W172" i="1"/>
  <c r="Y172" i="1" s="1"/>
  <c r="V172" i="1"/>
  <c r="T172" i="1"/>
  <c r="R172" i="1"/>
  <c r="Q172" i="1" a="1"/>
  <c r="Q172" i="1" s="1"/>
  <c r="P172" i="1"/>
  <c r="N172" i="1"/>
  <c r="L172" i="1"/>
  <c r="K172" i="1" a="1"/>
  <c r="K172" i="1" s="1"/>
  <c r="U172" i="1" s="1"/>
  <c r="J172" i="1" a="1"/>
  <c r="J172" i="1" s="1"/>
  <c r="H172" i="1" a="1"/>
  <c r="H172" i="1" s="1"/>
  <c r="AS171" i="1"/>
  <c r="AA171" i="1" s="1"/>
  <c r="AO171" i="1"/>
  <c r="AN171" i="1"/>
  <c r="AM171" i="1"/>
  <c r="AL171" i="1"/>
  <c r="AK171" i="1"/>
  <c r="AJ171" i="1"/>
  <c r="AI171" i="1"/>
  <c r="AH171" i="1"/>
  <c r="AG171" i="1"/>
  <c r="AF171" i="1"/>
  <c r="AE171" i="1"/>
  <c r="AD171" i="1"/>
  <c r="AC171" i="1"/>
  <c r="AB171" i="1"/>
  <c r="Z171" i="1"/>
  <c r="W171" i="1"/>
  <c r="X171" i="1" s="1"/>
  <c r="V171" i="1"/>
  <c r="T171" i="1"/>
  <c r="R171" i="1"/>
  <c r="Q171" i="1" a="1"/>
  <c r="Q171" i="1" s="1"/>
  <c r="P171" i="1"/>
  <c r="N171" i="1"/>
  <c r="L171" i="1"/>
  <c r="K171" i="1" a="1"/>
  <c r="K171" i="1" s="1"/>
  <c r="U171" i="1" s="1"/>
  <c r="J171" i="1" a="1"/>
  <c r="J171" i="1" s="1"/>
  <c r="H171" i="1" a="1"/>
  <c r="H171" i="1" s="1"/>
  <c r="AS170" i="1"/>
  <c r="AA170" i="1" s="1"/>
  <c r="AO170" i="1"/>
  <c r="AN170" i="1"/>
  <c r="AM170" i="1"/>
  <c r="AL170" i="1"/>
  <c r="AK170" i="1"/>
  <c r="AJ170" i="1"/>
  <c r="AI170" i="1"/>
  <c r="AH170" i="1"/>
  <c r="AG170" i="1"/>
  <c r="AF170" i="1"/>
  <c r="AE170" i="1"/>
  <c r="AD170" i="1"/>
  <c r="AC170" i="1"/>
  <c r="AB170" i="1"/>
  <c r="Z170" i="1"/>
  <c r="W170" i="1"/>
  <c r="Y170" i="1" s="1"/>
  <c r="V170" i="1"/>
  <c r="T170" i="1"/>
  <c r="R170" i="1"/>
  <c r="Q170" i="1" a="1"/>
  <c r="Q170" i="1" s="1"/>
  <c r="P170" i="1"/>
  <c r="N170" i="1"/>
  <c r="L170" i="1"/>
  <c r="K170" i="1" a="1"/>
  <c r="K170" i="1" s="1"/>
  <c r="U170" i="1" s="1"/>
  <c r="J170" i="1" a="1"/>
  <c r="J170" i="1" s="1"/>
  <c r="H170" i="1" a="1"/>
  <c r="H170" i="1" s="1"/>
  <c r="AS169" i="1"/>
  <c r="AA169" i="1" s="1"/>
  <c r="AO169" i="1"/>
  <c r="AN169" i="1"/>
  <c r="AM169" i="1"/>
  <c r="AL169" i="1"/>
  <c r="AK169" i="1"/>
  <c r="AJ169" i="1"/>
  <c r="AI169" i="1"/>
  <c r="AH169" i="1"/>
  <c r="AG169" i="1"/>
  <c r="AF169" i="1"/>
  <c r="AE169" i="1"/>
  <c r="AD169" i="1"/>
  <c r="AC169" i="1"/>
  <c r="AB169" i="1"/>
  <c r="Z169" i="1"/>
  <c r="W169" i="1"/>
  <c r="Y169" i="1" s="1"/>
  <c r="V169" i="1"/>
  <c r="T169" i="1"/>
  <c r="R169" i="1"/>
  <c r="Q169" i="1" a="1"/>
  <c r="Q169" i="1" s="1"/>
  <c r="P169" i="1"/>
  <c r="N169" i="1"/>
  <c r="L169" i="1"/>
  <c r="K169" i="1" a="1"/>
  <c r="K169" i="1" s="1"/>
  <c r="U169" i="1" s="1"/>
  <c r="J169" i="1" a="1"/>
  <c r="J169" i="1" s="1"/>
  <c r="H169" i="1" a="1"/>
  <c r="H169" i="1" s="1"/>
  <c r="I169" i="1" s="1"/>
  <c r="S169" i="1" s="1"/>
  <c r="AS168" i="1"/>
  <c r="AA168" i="1" s="1"/>
  <c r="AO168" i="1"/>
  <c r="AN168" i="1"/>
  <c r="AM168" i="1"/>
  <c r="AL168" i="1"/>
  <c r="AK168" i="1"/>
  <c r="AJ168" i="1"/>
  <c r="AI168" i="1"/>
  <c r="AH168" i="1"/>
  <c r="AG168" i="1"/>
  <c r="AF168" i="1"/>
  <c r="AE168" i="1"/>
  <c r="AD168" i="1"/>
  <c r="AC168" i="1"/>
  <c r="AB168" i="1"/>
  <c r="Z168" i="1"/>
  <c r="W168" i="1"/>
  <c r="X168" i="1" s="1"/>
  <c r="V168" i="1"/>
  <c r="T168" i="1"/>
  <c r="R168" i="1"/>
  <c r="Q168" i="1" a="1"/>
  <c r="Q168" i="1" s="1"/>
  <c r="P168" i="1"/>
  <c r="N168" i="1"/>
  <c r="L168" i="1"/>
  <c r="K168" i="1" a="1"/>
  <c r="K168" i="1" s="1"/>
  <c r="U168" i="1" s="1"/>
  <c r="J168" i="1" a="1"/>
  <c r="J168" i="1" s="1"/>
  <c r="H168" i="1" a="1"/>
  <c r="H168" i="1" s="1"/>
  <c r="AS167" i="1"/>
  <c r="AA167" i="1" s="1"/>
  <c r="AO167" i="1"/>
  <c r="AN167" i="1"/>
  <c r="AM167" i="1"/>
  <c r="AL167" i="1"/>
  <c r="AK167" i="1"/>
  <c r="AJ167" i="1"/>
  <c r="AI167" i="1"/>
  <c r="AH167" i="1"/>
  <c r="AG167" i="1"/>
  <c r="AF167" i="1"/>
  <c r="AE167" i="1"/>
  <c r="AD167" i="1"/>
  <c r="AC167" i="1"/>
  <c r="AB167" i="1"/>
  <c r="Z167" i="1"/>
  <c r="W167" i="1"/>
  <c r="X167" i="1" s="1"/>
  <c r="V167" i="1"/>
  <c r="T167" i="1"/>
  <c r="R167" i="1"/>
  <c r="Q167" i="1" a="1"/>
  <c r="Q167" i="1" s="1"/>
  <c r="P167" i="1"/>
  <c r="N167" i="1"/>
  <c r="L167" i="1"/>
  <c r="K167" i="1" a="1"/>
  <c r="K167" i="1" s="1"/>
  <c r="U167" i="1" s="1"/>
  <c r="J167" i="1" a="1"/>
  <c r="J167" i="1" s="1"/>
  <c r="H167" i="1" a="1"/>
  <c r="H167" i="1" s="1"/>
  <c r="AS166" i="1"/>
  <c r="AA166" i="1" s="1"/>
  <c r="AO166" i="1"/>
  <c r="AN166" i="1"/>
  <c r="AM166" i="1"/>
  <c r="AL166" i="1"/>
  <c r="AK166" i="1"/>
  <c r="AJ166" i="1"/>
  <c r="AI166" i="1"/>
  <c r="AH166" i="1"/>
  <c r="AG166" i="1"/>
  <c r="AF166" i="1"/>
  <c r="AE166" i="1"/>
  <c r="AD166" i="1"/>
  <c r="AC166" i="1"/>
  <c r="AB166" i="1"/>
  <c r="Z166" i="1"/>
  <c r="W166" i="1"/>
  <c r="Y166" i="1" s="1"/>
  <c r="V166" i="1"/>
  <c r="T166" i="1"/>
  <c r="R166" i="1"/>
  <c r="Q166" i="1" a="1"/>
  <c r="Q166" i="1" s="1"/>
  <c r="P166" i="1"/>
  <c r="N166" i="1"/>
  <c r="L166" i="1"/>
  <c r="K166" i="1" a="1"/>
  <c r="K166" i="1" s="1"/>
  <c r="U166" i="1" s="1"/>
  <c r="J166" i="1" a="1"/>
  <c r="J166" i="1" s="1"/>
  <c r="H166" i="1" a="1"/>
  <c r="H166" i="1" s="1"/>
  <c r="AS165" i="1"/>
  <c r="AA165" i="1" s="1"/>
  <c r="AO165" i="1"/>
  <c r="AN165" i="1"/>
  <c r="AM165" i="1"/>
  <c r="AL165" i="1"/>
  <c r="AK165" i="1"/>
  <c r="AJ165" i="1"/>
  <c r="AI165" i="1"/>
  <c r="AH165" i="1"/>
  <c r="AG165" i="1"/>
  <c r="AF165" i="1"/>
  <c r="AE165" i="1"/>
  <c r="AD165" i="1"/>
  <c r="AC165" i="1"/>
  <c r="AB165" i="1"/>
  <c r="Z165" i="1"/>
  <c r="W165" i="1"/>
  <c r="Y165" i="1" s="1"/>
  <c r="V165" i="1"/>
  <c r="T165" i="1"/>
  <c r="R165" i="1"/>
  <c r="Q165" i="1" a="1"/>
  <c r="Q165" i="1" s="1"/>
  <c r="P165" i="1"/>
  <c r="N165" i="1"/>
  <c r="L165" i="1"/>
  <c r="K165" i="1" a="1"/>
  <c r="K165" i="1" s="1"/>
  <c r="U165" i="1" s="1"/>
  <c r="J165" i="1" a="1"/>
  <c r="J165" i="1" s="1"/>
  <c r="H165" i="1" a="1"/>
  <c r="H165" i="1" s="1"/>
  <c r="I165" i="1" s="1"/>
  <c r="S165" i="1" s="1"/>
  <c r="AS164" i="1"/>
  <c r="AA164" i="1" s="1"/>
  <c r="AO164" i="1"/>
  <c r="AN164" i="1"/>
  <c r="AM164" i="1"/>
  <c r="AL164" i="1"/>
  <c r="AK164" i="1"/>
  <c r="AJ164" i="1"/>
  <c r="AI164" i="1"/>
  <c r="AH164" i="1"/>
  <c r="AG164" i="1"/>
  <c r="AF164" i="1"/>
  <c r="AE164" i="1"/>
  <c r="AD164" i="1"/>
  <c r="AC164" i="1"/>
  <c r="AB164" i="1"/>
  <c r="Z164" i="1"/>
  <c r="W164" i="1"/>
  <c r="Y164" i="1" s="1"/>
  <c r="V164" i="1"/>
  <c r="T164" i="1"/>
  <c r="R164" i="1"/>
  <c r="Q164" i="1" a="1"/>
  <c r="Q164" i="1" s="1"/>
  <c r="P164" i="1"/>
  <c r="N164" i="1"/>
  <c r="L164" i="1"/>
  <c r="K164" i="1" a="1"/>
  <c r="K164" i="1" s="1"/>
  <c r="U164" i="1" s="1"/>
  <c r="J164" i="1" a="1"/>
  <c r="J164" i="1" s="1"/>
  <c r="H164" i="1" a="1"/>
  <c r="H164" i="1" s="1"/>
  <c r="AS163" i="1"/>
  <c r="AA163" i="1" s="1"/>
  <c r="AO163" i="1"/>
  <c r="AN163" i="1"/>
  <c r="AM163" i="1"/>
  <c r="AL163" i="1"/>
  <c r="AK163" i="1"/>
  <c r="AJ163" i="1"/>
  <c r="AI163" i="1"/>
  <c r="AH163" i="1"/>
  <c r="AG163" i="1"/>
  <c r="AF163" i="1"/>
  <c r="AE163" i="1"/>
  <c r="AD163" i="1"/>
  <c r="AC163" i="1"/>
  <c r="AB163" i="1"/>
  <c r="Z163" i="1"/>
  <c r="W163" i="1"/>
  <c r="X163" i="1" s="1"/>
  <c r="V163" i="1"/>
  <c r="T163" i="1"/>
  <c r="R163" i="1"/>
  <c r="Q163" i="1" a="1"/>
  <c r="Q163" i="1" s="1"/>
  <c r="P163" i="1"/>
  <c r="N163" i="1"/>
  <c r="L163" i="1"/>
  <c r="K163" i="1" a="1"/>
  <c r="K163" i="1" s="1"/>
  <c r="U163" i="1" s="1"/>
  <c r="J163" i="1" a="1"/>
  <c r="J163" i="1" s="1"/>
  <c r="H163" i="1" a="1"/>
  <c r="H163" i="1" s="1"/>
  <c r="AS162" i="1"/>
  <c r="AA162" i="1" s="1"/>
  <c r="AO162" i="1"/>
  <c r="AN162" i="1"/>
  <c r="AM162" i="1"/>
  <c r="AL162" i="1"/>
  <c r="AK162" i="1"/>
  <c r="AJ162" i="1"/>
  <c r="AI162" i="1"/>
  <c r="AH162" i="1"/>
  <c r="AG162" i="1"/>
  <c r="AF162" i="1"/>
  <c r="AE162" i="1"/>
  <c r="AD162" i="1"/>
  <c r="AC162" i="1"/>
  <c r="AB162" i="1"/>
  <c r="Z162" i="1"/>
  <c r="W162" i="1"/>
  <c r="Y162" i="1" s="1"/>
  <c r="V162" i="1"/>
  <c r="T162" i="1"/>
  <c r="R162" i="1"/>
  <c r="Q162" i="1" a="1"/>
  <c r="Q162" i="1" s="1"/>
  <c r="P162" i="1"/>
  <c r="N162" i="1"/>
  <c r="L162" i="1"/>
  <c r="K162" i="1" a="1"/>
  <c r="K162" i="1" s="1"/>
  <c r="U162" i="1" s="1"/>
  <c r="J162" i="1" a="1"/>
  <c r="J162" i="1" s="1"/>
  <c r="H162" i="1" a="1"/>
  <c r="H162" i="1" s="1"/>
  <c r="AS161" i="1"/>
  <c r="AA161" i="1" s="1"/>
  <c r="AO161" i="1"/>
  <c r="AN161" i="1"/>
  <c r="AM161" i="1"/>
  <c r="AL161" i="1"/>
  <c r="AK161" i="1"/>
  <c r="AJ161" i="1"/>
  <c r="AI161" i="1"/>
  <c r="AH161" i="1"/>
  <c r="AG161" i="1"/>
  <c r="AF161" i="1"/>
  <c r="AE161" i="1"/>
  <c r="AD161" i="1"/>
  <c r="AC161" i="1"/>
  <c r="AB161" i="1"/>
  <c r="Z161" i="1"/>
  <c r="W161" i="1"/>
  <c r="X161" i="1" s="1"/>
  <c r="V161" i="1"/>
  <c r="T161" i="1"/>
  <c r="R161" i="1"/>
  <c r="Q161" i="1" a="1"/>
  <c r="Q161" i="1" s="1"/>
  <c r="P161" i="1"/>
  <c r="N161" i="1"/>
  <c r="L161" i="1"/>
  <c r="K161" i="1" a="1"/>
  <c r="K161" i="1" s="1"/>
  <c r="U161" i="1" s="1"/>
  <c r="J161" i="1" a="1"/>
  <c r="J161" i="1" s="1"/>
  <c r="H161" i="1" a="1"/>
  <c r="H161" i="1" s="1"/>
  <c r="I161" i="1" s="1"/>
  <c r="S161" i="1" s="1"/>
  <c r="AS160" i="1"/>
  <c r="AA160" i="1" s="1"/>
  <c r="AO160" i="1"/>
  <c r="AN160" i="1"/>
  <c r="AM160" i="1"/>
  <c r="AL160" i="1"/>
  <c r="AK160" i="1"/>
  <c r="AJ160" i="1"/>
  <c r="AI160" i="1"/>
  <c r="AH160" i="1"/>
  <c r="AG160" i="1"/>
  <c r="AF160" i="1"/>
  <c r="AE160" i="1"/>
  <c r="AD160" i="1"/>
  <c r="AC160" i="1"/>
  <c r="AB160" i="1"/>
  <c r="Z160" i="1"/>
  <c r="W160" i="1"/>
  <c r="X160" i="1" s="1"/>
  <c r="V160" i="1"/>
  <c r="T160" i="1"/>
  <c r="R160" i="1"/>
  <c r="Q160" i="1" a="1"/>
  <c r="Q160" i="1" s="1"/>
  <c r="P160" i="1"/>
  <c r="N160" i="1"/>
  <c r="L160" i="1"/>
  <c r="K160" i="1" a="1"/>
  <c r="K160" i="1" s="1"/>
  <c r="U160" i="1" s="1"/>
  <c r="J160" i="1" a="1"/>
  <c r="J160" i="1" s="1"/>
  <c r="H160" i="1" a="1"/>
  <c r="H160" i="1" s="1"/>
  <c r="AS159" i="1"/>
  <c r="AA159" i="1" s="1"/>
  <c r="AO159" i="1"/>
  <c r="AN159" i="1"/>
  <c r="AM159" i="1"/>
  <c r="AL159" i="1"/>
  <c r="AK159" i="1"/>
  <c r="AJ159" i="1"/>
  <c r="AI159" i="1"/>
  <c r="AH159" i="1"/>
  <c r="AG159" i="1"/>
  <c r="AF159" i="1"/>
  <c r="AE159" i="1"/>
  <c r="AD159" i="1"/>
  <c r="AC159" i="1"/>
  <c r="AB159" i="1"/>
  <c r="Z159" i="1"/>
  <c r="W159" i="1"/>
  <c r="X159" i="1" s="1"/>
  <c r="V159" i="1"/>
  <c r="T159" i="1"/>
  <c r="R159" i="1"/>
  <c r="Q159" i="1" a="1"/>
  <c r="Q159" i="1" s="1"/>
  <c r="P159" i="1"/>
  <c r="N159" i="1"/>
  <c r="L159" i="1"/>
  <c r="K159" i="1" a="1"/>
  <c r="K159" i="1" s="1"/>
  <c r="U159" i="1" s="1"/>
  <c r="J159" i="1" a="1"/>
  <c r="J159" i="1" s="1"/>
  <c r="H159" i="1" a="1"/>
  <c r="H159" i="1" s="1"/>
  <c r="AS158" i="1"/>
  <c r="AA158" i="1" s="1"/>
  <c r="AO158" i="1"/>
  <c r="AN158" i="1"/>
  <c r="AM158" i="1"/>
  <c r="AL158" i="1"/>
  <c r="AK158" i="1"/>
  <c r="AJ158" i="1"/>
  <c r="AI158" i="1"/>
  <c r="AH158" i="1"/>
  <c r="AG158" i="1"/>
  <c r="AF158" i="1"/>
  <c r="AE158" i="1"/>
  <c r="AD158" i="1"/>
  <c r="AC158" i="1"/>
  <c r="AB158" i="1"/>
  <c r="Z158" i="1"/>
  <c r="W158" i="1"/>
  <c r="Y158" i="1" s="1"/>
  <c r="V158" i="1"/>
  <c r="T158" i="1"/>
  <c r="R158" i="1"/>
  <c r="Q158" i="1" a="1"/>
  <c r="Q158" i="1" s="1"/>
  <c r="P158" i="1"/>
  <c r="N158" i="1"/>
  <c r="L158" i="1"/>
  <c r="K158" i="1" a="1"/>
  <c r="K158" i="1" s="1"/>
  <c r="U158" i="1" s="1"/>
  <c r="J158" i="1" a="1"/>
  <c r="J158" i="1" s="1"/>
  <c r="H158" i="1" a="1"/>
  <c r="H158" i="1" s="1"/>
  <c r="AS157" i="1"/>
  <c r="AA157" i="1" s="1"/>
  <c r="AO157" i="1"/>
  <c r="AN157" i="1"/>
  <c r="AM157" i="1"/>
  <c r="AL157" i="1"/>
  <c r="AK157" i="1"/>
  <c r="AJ157" i="1"/>
  <c r="AI157" i="1"/>
  <c r="AH157" i="1"/>
  <c r="AG157" i="1"/>
  <c r="AF157" i="1"/>
  <c r="AE157" i="1"/>
  <c r="AD157" i="1"/>
  <c r="AC157" i="1"/>
  <c r="AB157" i="1"/>
  <c r="Z157" i="1"/>
  <c r="W157" i="1"/>
  <c r="X157" i="1" s="1"/>
  <c r="V157" i="1"/>
  <c r="T157" i="1"/>
  <c r="R157" i="1"/>
  <c r="Q157" i="1" a="1"/>
  <c r="Q157" i="1" s="1"/>
  <c r="P157" i="1"/>
  <c r="N157" i="1"/>
  <c r="L157" i="1"/>
  <c r="K157" i="1" a="1"/>
  <c r="K157" i="1" s="1"/>
  <c r="U157" i="1" s="1"/>
  <c r="J157" i="1" a="1"/>
  <c r="J157" i="1" s="1"/>
  <c r="H157" i="1" a="1"/>
  <c r="H157" i="1" s="1"/>
  <c r="I157" i="1" s="1"/>
  <c r="S157" i="1" s="1"/>
  <c r="AX156" i="1"/>
  <c r="AF156" i="1" s="1"/>
  <c r="AW156" i="1"/>
  <c r="AE156" i="1" s="1"/>
  <c r="AV156" i="1"/>
  <c r="AD156" i="1" s="1"/>
  <c r="AU156" i="1"/>
  <c r="AC156" i="1" s="1"/>
  <c r="AT156" i="1"/>
  <c r="AB156" i="1" s="1"/>
  <c r="AS156" i="1"/>
  <c r="AA156" i="1" s="1"/>
  <c r="AO156" i="1"/>
  <c r="AN156" i="1"/>
  <c r="AM156" i="1"/>
  <c r="AL156" i="1"/>
  <c r="AK156" i="1"/>
  <c r="AJ156" i="1"/>
  <c r="AI156" i="1"/>
  <c r="AH156" i="1"/>
  <c r="AG156" i="1"/>
  <c r="Z156" i="1"/>
  <c r="W156" i="1"/>
  <c r="X156" i="1" s="1"/>
  <c r="V156" i="1"/>
  <c r="T156" i="1"/>
  <c r="R156" i="1"/>
  <c r="Q156" i="1" a="1"/>
  <c r="Q156" i="1" s="1"/>
  <c r="P156" i="1"/>
  <c r="N156" i="1"/>
  <c r="L156" i="1"/>
  <c r="K156" i="1" a="1"/>
  <c r="K156" i="1" s="1"/>
  <c r="U156" i="1" s="1"/>
  <c r="J156" i="1" a="1"/>
  <c r="J156" i="1" s="1"/>
  <c r="H156" i="1" a="1"/>
  <c r="H156" i="1" s="1"/>
  <c r="I156" i="1" s="1"/>
  <c r="S156" i="1" s="1"/>
  <c r="AU155" i="1"/>
  <c r="AC155" i="1" s="1"/>
  <c r="AT155" i="1"/>
  <c r="AB155" i="1" s="1"/>
  <c r="AS155" i="1"/>
  <c r="AA155" i="1" s="1"/>
  <c r="AO155" i="1"/>
  <c r="AN155" i="1"/>
  <c r="AM155" i="1"/>
  <c r="AL155" i="1"/>
  <c r="AK155" i="1"/>
  <c r="AJ155" i="1"/>
  <c r="AI155" i="1"/>
  <c r="AH155" i="1"/>
  <c r="AG155" i="1"/>
  <c r="AF155" i="1"/>
  <c r="AE155" i="1"/>
  <c r="AD155" i="1"/>
  <c r="Z155" i="1"/>
  <c r="W155" i="1"/>
  <c r="Y155" i="1" s="1"/>
  <c r="V155" i="1"/>
  <c r="T155" i="1"/>
  <c r="R155" i="1"/>
  <c r="Q155" i="1" a="1"/>
  <c r="Q155" i="1" s="1"/>
  <c r="P155" i="1"/>
  <c r="N155" i="1"/>
  <c r="L155" i="1"/>
  <c r="K155" i="1" a="1"/>
  <c r="K155" i="1" s="1"/>
  <c r="U155" i="1" s="1"/>
  <c r="J155" i="1" a="1"/>
  <c r="J155" i="1" s="1"/>
  <c r="H155" i="1" a="1"/>
  <c r="H155" i="1" s="1"/>
  <c r="AS154" i="1"/>
  <c r="AA154" i="1" s="1"/>
  <c r="AO154" i="1"/>
  <c r="AN154" i="1"/>
  <c r="AM154" i="1"/>
  <c r="AL154" i="1"/>
  <c r="AK154" i="1"/>
  <c r="AJ154" i="1"/>
  <c r="AI154" i="1"/>
  <c r="AH154" i="1"/>
  <c r="AG154" i="1"/>
  <c r="AF154" i="1"/>
  <c r="AE154" i="1"/>
  <c r="AD154" i="1"/>
  <c r="AC154" i="1"/>
  <c r="AB154" i="1"/>
  <c r="Z154" i="1"/>
  <c r="W154" i="1"/>
  <c r="X154" i="1" s="1"/>
  <c r="V154" i="1"/>
  <c r="T154" i="1"/>
  <c r="R154" i="1"/>
  <c r="Q154" i="1" a="1"/>
  <c r="Q154" i="1" s="1"/>
  <c r="P154" i="1"/>
  <c r="N154" i="1"/>
  <c r="L154" i="1"/>
  <c r="K154" i="1" a="1"/>
  <c r="K154" i="1" s="1"/>
  <c r="U154" i="1" s="1"/>
  <c r="J154" i="1" a="1"/>
  <c r="J154" i="1" s="1"/>
  <c r="H154" i="1" a="1"/>
  <c r="H154" i="1" s="1"/>
  <c r="I154" i="1" s="1"/>
  <c r="S154" i="1" s="1"/>
  <c r="AS153" i="1"/>
  <c r="AA153" i="1" s="1"/>
  <c r="AO153" i="1"/>
  <c r="AN153" i="1"/>
  <c r="AM153" i="1"/>
  <c r="AL153" i="1"/>
  <c r="AK153" i="1"/>
  <c r="AJ153" i="1"/>
  <c r="AI153" i="1"/>
  <c r="AH153" i="1"/>
  <c r="AG153" i="1"/>
  <c r="AF153" i="1"/>
  <c r="AE153" i="1"/>
  <c r="AD153" i="1"/>
  <c r="AC153" i="1"/>
  <c r="AB153" i="1"/>
  <c r="Z153" i="1"/>
  <c r="W153" i="1"/>
  <c r="Y153" i="1" s="1"/>
  <c r="V153" i="1"/>
  <c r="T153" i="1"/>
  <c r="R153" i="1"/>
  <c r="Q153" i="1" a="1"/>
  <c r="Q153" i="1" s="1"/>
  <c r="P153" i="1"/>
  <c r="N153" i="1"/>
  <c r="L153" i="1"/>
  <c r="K153" i="1" a="1"/>
  <c r="K153" i="1" s="1"/>
  <c r="U153" i="1" s="1"/>
  <c r="J153" i="1" a="1"/>
  <c r="J153" i="1" s="1"/>
  <c r="H153" i="1" a="1"/>
  <c r="H153" i="1" s="1"/>
  <c r="AS152" i="1"/>
  <c r="AA152" i="1" s="1"/>
  <c r="AO152" i="1"/>
  <c r="AN152" i="1"/>
  <c r="AM152" i="1"/>
  <c r="AL152" i="1"/>
  <c r="AK152" i="1"/>
  <c r="AJ152" i="1"/>
  <c r="AI152" i="1"/>
  <c r="AH152" i="1"/>
  <c r="AG152" i="1"/>
  <c r="AF152" i="1"/>
  <c r="AE152" i="1"/>
  <c r="AD152" i="1"/>
  <c r="AC152" i="1"/>
  <c r="AB152" i="1"/>
  <c r="Z152" i="1"/>
  <c r="W152" i="1"/>
  <c r="X152" i="1" s="1"/>
  <c r="V152" i="1"/>
  <c r="T152" i="1"/>
  <c r="R152" i="1"/>
  <c r="Q152" i="1" a="1"/>
  <c r="Q152" i="1" s="1"/>
  <c r="P152" i="1"/>
  <c r="N152" i="1"/>
  <c r="L152" i="1"/>
  <c r="K152" i="1" a="1"/>
  <c r="K152" i="1" s="1"/>
  <c r="U152" i="1" s="1"/>
  <c r="J152" i="1" a="1"/>
  <c r="J152" i="1" s="1"/>
  <c r="H152" i="1" a="1"/>
  <c r="H152" i="1" s="1"/>
  <c r="AT151" i="1"/>
  <c r="AB151" i="1" s="1"/>
  <c r="AS151" i="1"/>
  <c r="AA151" i="1" s="1"/>
  <c r="AO151" i="1"/>
  <c r="AN151" i="1"/>
  <c r="AM151" i="1"/>
  <c r="AL151" i="1"/>
  <c r="AK151" i="1"/>
  <c r="AJ151" i="1"/>
  <c r="AI151" i="1"/>
  <c r="AH151" i="1"/>
  <c r="AG151" i="1"/>
  <c r="AF151" i="1"/>
  <c r="AE151" i="1"/>
  <c r="AD151" i="1"/>
  <c r="AC151" i="1"/>
  <c r="Z151" i="1"/>
  <c r="W151" i="1"/>
  <c r="X151" i="1" s="1"/>
  <c r="V151" i="1"/>
  <c r="T151" i="1"/>
  <c r="R151" i="1"/>
  <c r="Q151" i="1" a="1"/>
  <c r="Q151" i="1" s="1"/>
  <c r="P151" i="1"/>
  <c r="N151" i="1"/>
  <c r="L151" i="1"/>
  <c r="K151" i="1" a="1"/>
  <c r="K151" i="1" s="1"/>
  <c r="U151" i="1" s="1"/>
  <c r="J151" i="1" a="1"/>
  <c r="J151" i="1" s="1"/>
  <c r="H151" i="1" a="1"/>
  <c r="H151" i="1" s="1"/>
  <c r="AT150" i="1"/>
  <c r="AB150" i="1" s="1"/>
  <c r="AS150" i="1"/>
  <c r="AA150" i="1" s="1"/>
  <c r="AO150" i="1"/>
  <c r="AN150" i="1"/>
  <c r="AM150" i="1"/>
  <c r="AL150" i="1"/>
  <c r="AK150" i="1"/>
  <c r="AJ150" i="1"/>
  <c r="AI150" i="1"/>
  <c r="AH150" i="1"/>
  <c r="AG150" i="1"/>
  <c r="AF150" i="1"/>
  <c r="AE150" i="1"/>
  <c r="AD150" i="1"/>
  <c r="AC150" i="1"/>
  <c r="Z150" i="1"/>
  <c r="W150" i="1"/>
  <c r="X150" i="1" s="1"/>
  <c r="V150" i="1"/>
  <c r="AU149" i="1"/>
  <c r="AC149" i="1" s="1"/>
  <c r="AT149" i="1"/>
  <c r="AB149" i="1" s="1"/>
  <c r="AS149" i="1"/>
  <c r="AA149" i="1" s="1"/>
  <c r="AO149" i="1"/>
  <c r="AN149" i="1"/>
  <c r="AM149" i="1"/>
  <c r="AL149" i="1"/>
  <c r="AK149" i="1"/>
  <c r="AJ149" i="1"/>
  <c r="AI149" i="1"/>
  <c r="AH149" i="1"/>
  <c r="AG149" i="1"/>
  <c r="AF149" i="1"/>
  <c r="AE149" i="1"/>
  <c r="AD149" i="1"/>
  <c r="Z149" i="1"/>
  <c r="W149" i="1"/>
  <c r="X149" i="1" s="1"/>
  <c r="V149" i="1"/>
  <c r="T149" i="1"/>
  <c r="R149" i="1"/>
  <c r="Q149" i="1" a="1"/>
  <c r="Q149" i="1" s="1"/>
  <c r="P149" i="1"/>
  <c r="N149" i="1"/>
  <c r="L149" i="1"/>
  <c r="K149" i="1" a="1"/>
  <c r="K149" i="1" s="1"/>
  <c r="U149" i="1" s="1"/>
  <c r="J149" i="1" a="1"/>
  <c r="J149" i="1" s="1"/>
  <c r="H149" i="1" a="1"/>
  <c r="H149" i="1" s="1"/>
  <c r="I149" i="1" s="1"/>
  <c r="S149" i="1" s="1"/>
  <c r="AT148" i="1"/>
  <c r="AB148" i="1" s="1"/>
  <c r="AS148" i="1"/>
  <c r="AA148" i="1" s="1"/>
  <c r="AO148" i="1"/>
  <c r="AN148" i="1"/>
  <c r="AM148" i="1"/>
  <c r="AL148" i="1"/>
  <c r="AK148" i="1"/>
  <c r="AJ148" i="1"/>
  <c r="AI148" i="1"/>
  <c r="AH148" i="1"/>
  <c r="AG148" i="1"/>
  <c r="AF148" i="1"/>
  <c r="AE148" i="1"/>
  <c r="AD148" i="1"/>
  <c r="AC148" i="1"/>
  <c r="Z148" i="1"/>
  <c r="W148" i="1"/>
  <c r="X148" i="1" s="1"/>
  <c r="V148" i="1"/>
  <c r="T148" i="1"/>
  <c r="R148" i="1"/>
  <c r="Q148" i="1" a="1"/>
  <c r="Q148" i="1" s="1"/>
  <c r="P148" i="1"/>
  <c r="N148" i="1"/>
  <c r="L148" i="1"/>
  <c r="K148" i="1" a="1"/>
  <c r="K148" i="1" s="1"/>
  <c r="U148" i="1" s="1"/>
  <c r="J148" i="1" a="1"/>
  <c r="J148" i="1" s="1"/>
  <c r="H148" i="1" a="1"/>
  <c r="H148" i="1" s="1"/>
  <c r="I148" i="1" s="1"/>
  <c r="S148" i="1" s="1"/>
  <c r="AW147" i="1"/>
  <c r="AE147" i="1" s="1"/>
  <c r="AV147" i="1"/>
  <c r="AD147" i="1" s="1"/>
  <c r="AU147" i="1"/>
  <c r="AC147" i="1" s="1"/>
  <c r="AT147" i="1"/>
  <c r="AB147" i="1" s="1"/>
  <c r="AS147" i="1"/>
  <c r="AA147" i="1" s="1"/>
  <c r="AO147" i="1"/>
  <c r="AN147" i="1"/>
  <c r="AM147" i="1"/>
  <c r="AL147" i="1"/>
  <c r="AK147" i="1"/>
  <c r="AJ147" i="1"/>
  <c r="AI147" i="1"/>
  <c r="AH147" i="1"/>
  <c r="AG147" i="1"/>
  <c r="AF147" i="1"/>
  <c r="Z147" i="1"/>
  <c r="W147" i="1"/>
  <c r="X147" i="1" s="1"/>
  <c r="V147" i="1"/>
  <c r="T147" i="1"/>
  <c r="R147" i="1"/>
  <c r="Q147" i="1" a="1"/>
  <c r="Q147" i="1" s="1"/>
  <c r="P147" i="1"/>
  <c r="N147" i="1"/>
  <c r="L147" i="1"/>
  <c r="K147" i="1" a="1"/>
  <c r="K147" i="1" s="1"/>
  <c r="U147" i="1" s="1"/>
  <c r="J147" i="1" a="1"/>
  <c r="J147" i="1" s="1"/>
  <c r="H147" i="1" a="1"/>
  <c r="H147" i="1" s="1"/>
  <c r="I147" i="1" s="1"/>
  <c r="S147" i="1" s="1"/>
  <c r="AU146" i="1"/>
  <c r="AC146" i="1" s="1"/>
  <c r="AT146" i="1"/>
  <c r="AB146" i="1" s="1"/>
  <c r="AS146" i="1"/>
  <c r="AA146" i="1" s="1"/>
  <c r="AO146" i="1"/>
  <c r="AN146" i="1"/>
  <c r="AM146" i="1"/>
  <c r="AL146" i="1"/>
  <c r="AK146" i="1"/>
  <c r="AJ146" i="1"/>
  <c r="AI146" i="1"/>
  <c r="AH146" i="1"/>
  <c r="AG146" i="1"/>
  <c r="AF146" i="1"/>
  <c r="AE146" i="1"/>
  <c r="AD146" i="1"/>
  <c r="Z146" i="1"/>
  <c r="W146" i="1"/>
  <c r="Y146" i="1" s="1"/>
  <c r="V146" i="1"/>
  <c r="T146" i="1"/>
  <c r="R146" i="1"/>
  <c r="Q146" i="1" a="1"/>
  <c r="Q146" i="1" s="1"/>
  <c r="P146" i="1"/>
  <c r="N146" i="1"/>
  <c r="L146" i="1"/>
  <c r="K146" i="1" a="1"/>
  <c r="K146" i="1" s="1"/>
  <c r="U146" i="1" s="1"/>
  <c r="J146" i="1" a="1"/>
  <c r="J146" i="1" s="1"/>
  <c r="H146" i="1" a="1"/>
  <c r="H146" i="1" s="1"/>
  <c r="AS145" i="1"/>
  <c r="AA145" i="1" s="1"/>
  <c r="AO145" i="1"/>
  <c r="AN145" i="1"/>
  <c r="AM145" i="1"/>
  <c r="AL145" i="1"/>
  <c r="AK145" i="1"/>
  <c r="AJ145" i="1"/>
  <c r="AI145" i="1"/>
  <c r="AH145" i="1"/>
  <c r="AG145" i="1"/>
  <c r="AF145" i="1"/>
  <c r="AE145" i="1"/>
  <c r="AD145" i="1"/>
  <c r="AC145" i="1"/>
  <c r="AB145" i="1"/>
  <c r="Z145" i="1"/>
  <c r="W145" i="1"/>
  <c r="Y145" i="1" s="1"/>
  <c r="V145" i="1"/>
  <c r="T145" i="1"/>
  <c r="R145" i="1"/>
  <c r="Q145" i="1" a="1"/>
  <c r="Q145" i="1" s="1"/>
  <c r="P145" i="1"/>
  <c r="N145" i="1"/>
  <c r="L145" i="1"/>
  <c r="K145" i="1" a="1"/>
  <c r="K145" i="1" s="1"/>
  <c r="U145" i="1" s="1"/>
  <c r="J145" i="1" a="1"/>
  <c r="J145" i="1" s="1"/>
  <c r="H145" i="1" a="1"/>
  <c r="H145" i="1" s="1"/>
  <c r="I145" i="1" s="1"/>
  <c r="S145" i="1" s="1"/>
  <c r="AW144" i="1"/>
  <c r="AE144" i="1" s="1"/>
  <c r="AV144" i="1"/>
  <c r="AD144" i="1" s="1"/>
  <c r="AU144" i="1"/>
  <c r="AC144" i="1" s="1"/>
  <c r="AT144" i="1"/>
  <c r="AB144" i="1" s="1"/>
  <c r="AS144" i="1"/>
  <c r="AA144" i="1" s="1"/>
  <c r="AO144" i="1"/>
  <c r="AN144" i="1"/>
  <c r="AM144" i="1"/>
  <c r="AL144" i="1"/>
  <c r="AK144" i="1"/>
  <c r="AJ144" i="1"/>
  <c r="AI144" i="1"/>
  <c r="AH144" i="1"/>
  <c r="AG144" i="1"/>
  <c r="AF144" i="1"/>
  <c r="Z144" i="1"/>
  <c r="W144" i="1"/>
  <c r="X144" i="1" s="1"/>
  <c r="V144" i="1"/>
  <c r="T144" i="1"/>
  <c r="R144" i="1"/>
  <c r="Q144" i="1" a="1"/>
  <c r="Q144" i="1" s="1"/>
  <c r="P144" i="1"/>
  <c r="N144" i="1"/>
  <c r="L144" i="1"/>
  <c r="K144" i="1" a="1"/>
  <c r="K144" i="1" s="1"/>
  <c r="U144" i="1" s="1"/>
  <c r="J144" i="1" a="1"/>
  <c r="J144" i="1" s="1"/>
  <c r="H144" i="1" a="1"/>
  <c r="H144" i="1" s="1"/>
  <c r="AS143" i="1"/>
  <c r="AA143" i="1" s="1"/>
  <c r="AO143" i="1"/>
  <c r="AN143" i="1"/>
  <c r="AM143" i="1"/>
  <c r="AL143" i="1"/>
  <c r="AK143" i="1"/>
  <c r="AJ143" i="1"/>
  <c r="AI143" i="1"/>
  <c r="AH143" i="1"/>
  <c r="AG143" i="1"/>
  <c r="AF143" i="1"/>
  <c r="AE143" i="1"/>
  <c r="AD143" i="1"/>
  <c r="AC143" i="1"/>
  <c r="AB143" i="1"/>
  <c r="Z143" i="1"/>
  <c r="W143" i="1"/>
  <c r="X143" i="1" s="1"/>
  <c r="V143" i="1"/>
  <c r="T143" i="1"/>
  <c r="R143" i="1"/>
  <c r="Q143" i="1" a="1"/>
  <c r="Q143" i="1" s="1"/>
  <c r="P143" i="1"/>
  <c r="N143" i="1"/>
  <c r="L143" i="1"/>
  <c r="K143" i="1" a="1"/>
  <c r="K143" i="1" s="1"/>
  <c r="U143" i="1" s="1"/>
  <c r="J143" i="1" a="1"/>
  <c r="J143" i="1" s="1"/>
  <c r="H143" i="1" a="1"/>
  <c r="H143" i="1" s="1"/>
  <c r="AW142" i="1"/>
  <c r="AE142" i="1" s="1"/>
  <c r="AV142" i="1"/>
  <c r="AD142" i="1" s="1"/>
  <c r="AU142" i="1"/>
  <c r="AC142" i="1" s="1"/>
  <c r="AT142" i="1"/>
  <c r="AB142" i="1" s="1"/>
  <c r="AS142" i="1"/>
  <c r="AA142" i="1" s="1"/>
  <c r="AO142" i="1"/>
  <c r="AN142" i="1"/>
  <c r="AM142" i="1"/>
  <c r="AL142" i="1"/>
  <c r="AK142" i="1"/>
  <c r="AJ142" i="1"/>
  <c r="AI142" i="1"/>
  <c r="AH142" i="1"/>
  <c r="AG142" i="1"/>
  <c r="AF142" i="1"/>
  <c r="Z142" i="1"/>
  <c r="W142" i="1"/>
  <c r="X142" i="1" s="1"/>
  <c r="V142" i="1"/>
  <c r="T142" i="1"/>
  <c r="R142" i="1"/>
  <c r="Q142" i="1" a="1"/>
  <c r="Q142" i="1" s="1"/>
  <c r="P142" i="1"/>
  <c r="N142" i="1"/>
  <c r="L142" i="1"/>
  <c r="K142" i="1" a="1"/>
  <c r="K142" i="1" s="1"/>
  <c r="U142" i="1" s="1"/>
  <c r="J142" i="1" a="1"/>
  <c r="J142" i="1" s="1"/>
  <c r="H142" i="1" a="1"/>
  <c r="H142" i="1" s="1"/>
  <c r="AT141" i="1"/>
  <c r="AB141" i="1" s="1"/>
  <c r="AS141" i="1"/>
  <c r="AA141" i="1" s="1"/>
  <c r="AO141" i="1"/>
  <c r="AN141" i="1"/>
  <c r="AM141" i="1"/>
  <c r="AL141" i="1"/>
  <c r="AK141" i="1"/>
  <c r="AJ141" i="1"/>
  <c r="AI141" i="1"/>
  <c r="AH141" i="1"/>
  <c r="AG141" i="1"/>
  <c r="AF141" i="1"/>
  <c r="AE141" i="1"/>
  <c r="AD141" i="1"/>
  <c r="AC141" i="1"/>
  <c r="Z141" i="1"/>
  <c r="W141" i="1"/>
  <c r="X141" i="1" s="1"/>
  <c r="V141" i="1"/>
  <c r="T141" i="1"/>
  <c r="R141" i="1"/>
  <c r="Q141" i="1" a="1"/>
  <c r="Q141" i="1" s="1"/>
  <c r="P141" i="1"/>
  <c r="N141" i="1"/>
  <c r="L141" i="1"/>
  <c r="K141" i="1" a="1"/>
  <c r="K141" i="1" s="1"/>
  <c r="U141" i="1" s="1"/>
  <c r="J141" i="1" a="1"/>
  <c r="J141" i="1" s="1"/>
  <c r="H141" i="1" a="1"/>
  <c r="H141" i="1" s="1"/>
  <c r="AT140" i="1"/>
  <c r="AB140" i="1" s="1"/>
  <c r="AS140" i="1"/>
  <c r="AA140" i="1" s="1"/>
  <c r="AO140" i="1"/>
  <c r="AN140" i="1"/>
  <c r="AM140" i="1"/>
  <c r="AL140" i="1"/>
  <c r="AK140" i="1"/>
  <c r="AJ140" i="1"/>
  <c r="AI140" i="1"/>
  <c r="AH140" i="1"/>
  <c r="AG140" i="1"/>
  <c r="AF140" i="1"/>
  <c r="AE140" i="1"/>
  <c r="AD140" i="1"/>
  <c r="AC140" i="1"/>
  <c r="Z140" i="1"/>
  <c r="W140" i="1"/>
  <c r="X140" i="1" s="1"/>
  <c r="V140" i="1"/>
  <c r="T140" i="1"/>
  <c r="R140" i="1"/>
  <c r="Q140" i="1" a="1"/>
  <c r="Q140" i="1" s="1"/>
  <c r="P140" i="1"/>
  <c r="N140" i="1"/>
  <c r="L140" i="1"/>
  <c r="K140" i="1" a="1"/>
  <c r="K140" i="1" s="1"/>
  <c r="U140" i="1" s="1"/>
  <c r="J140" i="1" a="1"/>
  <c r="J140" i="1" s="1"/>
  <c r="H140" i="1" a="1"/>
  <c r="H140" i="1" s="1"/>
  <c r="AS139" i="1"/>
  <c r="AA139" i="1" s="1"/>
  <c r="AO139" i="1"/>
  <c r="AN139" i="1"/>
  <c r="AM139" i="1"/>
  <c r="AL139" i="1"/>
  <c r="AK139" i="1"/>
  <c r="AJ139" i="1"/>
  <c r="AI139" i="1"/>
  <c r="AH139" i="1"/>
  <c r="AG139" i="1"/>
  <c r="AF139" i="1"/>
  <c r="AE139" i="1"/>
  <c r="AD139" i="1"/>
  <c r="AC139" i="1"/>
  <c r="AB139" i="1"/>
  <c r="Z139" i="1"/>
  <c r="W139" i="1"/>
  <c r="Y139" i="1" s="1"/>
  <c r="V139" i="1"/>
  <c r="T139" i="1"/>
  <c r="R139" i="1"/>
  <c r="Q139" i="1" a="1"/>
  <c r="Q139" i="1" s="1"/>
  <c r="P139" i="1"/>
  <c r="N139" i="1"/>
  <c r="L139" i="1"/>
  <c r="K139" i="1" a="1"/>
  <c r="K139" i="1" s="1"/>
  <c r="U139" i="1" s="1"/>
  <c r="J139" i="1" a="1"/>
  <c r="J139" i="1" s="1"/>
  <c r="H139" i="1" a="1"/>
  <c r="H139" i="1" s="1"/>
  <c r="I139" i="1" s="1"/>
  <c r="S139" i="1" s="1"/>
  <c r="AU138" i="1"/>
  <c r="AC138" i="1" s="1"/>
  <c r="AT138" i="1"/>
  <c r="AB138" i="1" s="1"/>
  <c r="AS138" i="1"/>
  <c r="AA138" i="1" s="1"/>
  <c r="AO138" i="1"/>
  <c r="AN138" i="1"/>
  <c r="AM138" i="1"/>
  <c r="AL138" i="1"/>
  <c r="AK138" i="1"/>
  <c r="AJ138" i="1"/>
  <c r="AI138" i="1"/>
  <c r="AH138" i="1"/>
  <c r="AG138" i="1"/>
  <c r="AF138" i="1"/>
  <c r="AE138" i="1"/>
  <c r="AD138" i="1"/>
  <c r="Z138" i="1"/>
  <c r="W138" i="1"/>
  <c r="X138" i="1" s="1"/>
  <c r="V138" i="1"/>
  <c r="T138" i="1"/>
  <c r="R138" i="1"/>
  <c r="Q138" i="1" a="1"/>
  <c r="Q138" i="1" s="1"/>
  <c r="P138" i="1"/>
  <c r="N138" i="1"/>
  <c r="L138" i="1"/>
  <c r="K138" i="1" a="1"/>
  <c r="K138" i="1" s="1"/>
  <c r="U138" i="1" s="1"/>
  <c r="J138" i="1" a="1"/>
  <c r="J138" i="1" s="1"/>
  <c r="H138" i="1" a="1"/>
  <c r="H138" i="1" s="1"/>
  <c r="AS137" i="1"/>
  <c r="AA137" i="1" s="1"/>
  <c r="AO137" i="1"/>
  <c r="AN137" i="1"/>
  <c r="AM137" i="1"/>
  <c r="AL137" i="1"/>
  <c r="AK137" i="1"/>
  <c r="AJ137" i="1"/>
  <c r="AI137" i="1"/>
  <c r="AH137" i="1"/>
  <c r="AG137" i="1"/>
  <c r="AF137" i="1"/>
  <c r="AE137" i="1"/>
  <c r="AD137" i="1"/>
  <c r="AC137" i="1"/>
  <c r="AB137" i="1"/>
  <c r="Z137" i="1"/>
  <c r="W137" i="1"/>
  <c r="Y137" i="1" s="1"/>
  <c r="V137" i="1"/>
  <c r="T137" i="1"/>
  <c r="R137" i="1"/>
  <c r="Q137" i="1" a="1"/>
  <c r="Q137" i="1" s="1"/>
  <c r="P137" i="1"/>
  <c r="N137" i="1"/>
  <c r="L137" i="1"/>
  <c r="K137" i="1" a="1"/>
  <c r="K137" i="1" s="1"/>
  <c r="U137" i="1" s="1"/>
  <c r="J137" i="1" a="1"/>
  <c r="J137" i="1" s="1"/>
  <c r="H137" i="1" a="1"/>
  <c r="H137" i="1" s="1"/>
  <c r="I137" i="1" s="1"/>
  <c r="S137" i="1" s="1"/>
  <c r="AS136" i="1"/>
  <c r="AA136" i="1" s="1"/>
  <c r="AO136" i="1"/>
  <c r="AN136" i="1"/>
  <c r="AM136" i="1"/>
  <c r="AL136" i="1"/>
  <c r="AK136" i="1"/>
  <c r="AJ136" i="1"/>
  <c r="AI136" i="1"/>
  <c r="AH136" i="1"/>
  <c r="AG136" i="1"/>
  <c r="AF136" i="1"/>
  <c r="AE136" i="1"/>
  <c r="AD136" i="1"/>
  <c r="AC136" i="1"/>
  <c r="AB136" i="1"/>
  <c r="Z136" i="1"/>
  <c r="W136" i="1"/>
  <c r="X136" i="1" s="1"/>
  <c r="V136" i="1"/>
  <c r="AS135" i="1"/>
  <c r="AA135" i="1" s="1"/>
  <c r="AO135" i="1"/>
  <c r="AN135" i="1"/>
  <c r="AM135" i="1"/>
  <c r="AL135" i="1"/>
  <c r="AK135" i="1"/>
  <c r="AJ135" i="1"/>
  <c r="AI135" i="1"/>
  <c r="AH135" i="1"/>
  <c r="AG135" i="1"/>
  <c r="AF135" i="1"/>
  <c r="AE135" i="1"/>
  <c r="AD135" i="1"/>
  <c r="AC135" i="1"/>
  <c r="AB135" i="1"/>
  <c r="Z135" i="1"/>
  <c r="W135" i="1"/>
  <c r="X135" i="1" s="1"/>
  <c r="V135" i="1"/>
  <c r="T135" i="1"/>
  <c r="R135" i="1"/>
  <c r="Q135" i="1" a="1"/>
  <c r="Q135" i="1" s="1"/>
  <c r="P135" i="1"/>
  <c r="N135" i="1"/>
  <c r="L135" i="1"/>
  <c r="K135" i="1" a="1"/>
  <c r="K135" i="1" s="1"/>
  <c r="U135" i="1" s="1"/>
  <c r="J135" i="1" a="1"/>
  <c r="J135" i="1" s="1"/>
  <c r="H135" i="1" a="1"/>
  <c r="H135" i="1" s="1"/>
  <c r="I135" i="1" s="1"/>
  <c r="S135" i="1" s="1"/>
  <c r="AV134" i="1"/>
  <c r="AD134" i="1" s="1"/>
  <c r="AU134" i="1"/>
  <c r="AC134" i="1" s="1"/>
  <c r="AT134" i="1"/>
  <c r="AB134" i="1" s="1"/>
  <c r="AS134" i="1"/>
  <c r="AA134" i="1" s="1"/>
  <c r="AO134" i="1"/>
  <c r="AN134" i="1"/>
  <c r="AM134" i="1"/>
  <c r="AL134" i="1"/>
  <c r="AK134" i="1"/>
  <c r="AJ134" i="1"/>
  <c r="AI134" i="1"/>
  <c r="AH134" i="1"/>
  <c r="AG134" i="1"/>
  <c r="AF134" i="1"/>
  <c r="AE134" i="1"/>
  <c r="Z134" i="1"/>
  <c r="W134" i="1"/>
  <c r="X134" i="1" s="1"/>
  <c r="V134" i="1"/>
  <c r="T134" i="1"/>
  <c r="R134" i="1"/>
  <c r="Q134" i="1" a="1"/>
  <c r="Q134" i="1" s="1"/>
  <c r="P134" i="1"/>
  <c r="N134" i="1"/>
  <c r="L134" i="1"/>
  <c r="K134" i="1" a="1"/>
  <c r="K134" i="1" s="1"/>
  <c r="U134" i="1" s="1"/>
  <c r="J134" i="1" a="1"/>
  <c r="J134" i="1" s="1"/>
  <c r="H134" i="1" a="1"/>
  <c r="H134" i="1" s="1"/>
  <c r="AS133" i="1"/>
  <c r="AA133" i="1" s="1"/>
  <c r="AO133" i="1"/>
  <c r="AN133" i="1"/>
  <c r="AM133" i="1"/>
  <c r="AL133" i="1"/>
  <c r="AK133" i="1"/>
  <c r="AJ133" i="1"/>
  <c r="AI133" i="1"/>
  <c r="AH133" i="1"/>
  <c r="AG133" i="1"/>
  <c r="AF133" i="1"/>
  <c r="AE133" i="1"/>
  <c r="AD133" i="1"/>
  <c r="AC133" i="1"/>
  <c r="AB133" i="1"/>
  <c r="Z133" i="1"/>
  <c r="W133" i="1"/>
  <c r="Y133" i="1" s="1"/>
  <c r="V133" i="1"/>
  <c r="T133" i="1"/>
  <c r="R133" i="1"/>
  <c r="Q133" i="1" a="1"/>
  <c r="Q133" i="1" s="1"/>
  <c r="P133" i="1"/>
  <c r="N133" i="1"/>
  <c r="L133" i="1"/>
  <c r="K133" i="1" a="1"/>
  <c r="K133" i="1" s="1"/>
  <c r="U133" i="1" s="1"/>
  <c r="J133" i="1" a="1"/>
  <c r="J133" i="1" s="1"/>
  <c r="H133" i="1" a="1"/>
  <c r="H133" i="1" s="1"/>
  <c r="I133" i="1" s="1"/>
  <c r="S133" i="1" s="1"/>
  <c r="AS132" i="1"/>
  <c r="AA132" i="1" s="1"/>
  <c r="AO132" i="1"/>
  <c r="AN132" i="1"/>
  <c r="AM132" i="1"/>
  <c r="AL132" i="1"/>
  <c r="AK132" i="1"/>
  <c r="AJ132" i="1"/>
  <c r="AI132" i="1"/>
  <c r="AH132" i="1"/>
  <c r="AG132" i="1"/>
  <c r="AF132" i="1"/>
  <c r="AE132" i="1"/>
  <c r="AD132" i="1"/>
  <c r="AC132" i="1"/>
  <c r="AB132" i="1"/>
  <c r="Z132" i="1"/>
  <c r="W132" i="1"/>
  <c r="X132" i="1" s="1"/>
  <c r="V132" i="1"/>
  <c r="T132" i="1"/>
  <c r="R132" i="1"/>
  <c r="Q132" i="1" a="1"/>
  <c r="Q132" i="1" s="1"/>
  <c r="P132" i="1"/>
  <c r="N132" i="1"/>
  <c r="L132" i="1"/>
  <c r="K132" i="1" a="1"/>
  <c r="K132" i="1" s="1"/>
  <c r="U132" i="1" s="1"/>
  <c r="J132" i="1" a="1"/>
  <c r="J132" i="1" s="1"/>
  <c r="H132" i="1" a="1"/>
  <c r="H132" i="1" s="1"/>
  <c r="I132" i="1" s="1"/>
  <c r="S132" i="1" s="1"/>
  <c r="AS131" i="1"/>
  <c r="AA131" i="1" s="1"/>
  <c r="AO131" i="1"/>
  <c r="AN131" i="1"/>
  <c r="AM131" i="1"/>
  <c r="AL131" i="1"/>
  <c r="AK131" i="1"/>
  <c r="AJ131" i="1"/>
  <c r="AI131" i="1"/>
  <c r="AH131" i="1"/>
  <c r="AG131" i="1"/>
  <c r="AF131" i="1"/>
  <c r="AE131" i="1"/>
  <c r="AD131" i="1"/>
  <c r="AC131" i="1"/>
  <c r="AB131" i="1"/>
  <c r="Z131" i="1"/>
  <c r="W131" i="1"/>
  <c r="X131" i="1" s="1"/>
  <c r="V131" i="1"/>
  <c r="T131" i="1"/>
  <c r="R131" i="1"/>
  <c r="Q131" i="1" a="1"/>
  <c r="Q131" i="1" s="1"/>
  <c r="P131" i="1"/>
  <c r="N131" i="1"/>
  <c r="L131" i="1"/>
  <c r="K131" i="1" a="1"/>
  <c r="K131" i="1" s="1"/>
  <c r="U131" i="1" s="1"/>
  <c r="J131" i="1" a="1"/>
  <c r="J131" i="1" s="1"/>
  <c r="H131" i="1" a="1"/>
  <c r="H131" i="1" s="1"/>
  <c r="AV130" i="1"/>
  <c r="AD130" i="1" s="1"/>
  <c r="AU130" i="1"/>
  <c r="AC130" i="1" s="1"/>
  <c r="AT130" i="1"/>
  <c r="AB130" i="1" s="1"/>
  <c r="AS130" i="1"/>
  <c r="AA130" i="1" s="1"/>
  <c r="AO130" i="1"/>
  <c r="AN130" i="1"/>
  <c r="AM130" i="1"/>
  <c r="AL130" i="1"/>
  <c r="AK130" i="1"/>
  <c r="AJ130" i="1"/>
  <c r="AI130" i="1"/>
  <c r="AH130" i="1"/>
  <c r="AG130" i="1"/>
  <c r="AF130" i="1"/>
  <c r="AE130" i="1"/>
  <c r="Z130" i="1"/>
  <c r="W130" i="1"/>
  <c r="Y130" i="1" s="1"/>
  <c r="V130" i="1"/>
  <c r="T130" i="1"/>
  <c r="R130" i="1"/>
  <c r="Q130" i="1" a="1"/>
  <c r="Q130" i="1" s="1"/>
  <c r="P130" i="1"/>
  <c r="N130" i="1"/>
  <c r="L130" i="1"/>
  <c r="K130" i="1" a="1"/>
  <c r="K130" i="1" s="1"/>
  <c r="U130" i="1" s="1"/>
  <c r="J130" i="1" a="1"/>
  <c r="J130" i="1" s="1"/>
  <c r="H130" i="1" a="1"/>
  <c r="H130" i="1" s="1"/>
  <c r="I130" i="1" s="1"/>
  <c r="S130" i="1" s="1"/>
  <c r="AS129" i="1"/>
  <c r="AA129" i="1" s="1"/>
  <c r="AO129" i="1"/>
  <c r="AN129" i="1"/>
  <c r="AM129" i="1"/>
  <c r="AL129" i="1"/>
  <c r="AK129" i="1"/>
  <c r="AJ129" i="1"/>
  <c r="AI129" i="1"/>
  <c r="AH129" i="1"/>
  <c r="AG129" i="1"/>
  <c r="AF129" i="1"/>
  <c r="AE129" i="1"/>
  <c r="AD129" i="1"/>
  <c r="AC129" i="1"/>
  <c r="AB129" i="1"/>
  <c r="Z129" i="1"/>
  <c r="W129" i="1"/>
  <c r="X129" i="1" s="1"/>
  <c r="V129" i="1"/>
  <c r="T129" i="1"/>
  <c r="R129" i="1"/>
  <c r="Q129" i="1" a="1"/>
  <c r="Q129" i="1" s="1"/>
  <c r="P129" i="1"/>
  <c r="N129" i="1"/>
  <c r="L129" i="1"/>
  <c r="K129" i="1" a="1"/>
  <c r="K129" i="1" s="1"/>
  <c r="U129" i="1" s="1"/>
  <c r="J129" i="1" a="1"/>
  <c r="J129" i="1" s="1"/>
  <c r="H129" i="1" a="1"/>
  <c r="H129" i="1" s="1"/>
  <c r="I129" i="1" s="1"/>
  <c r="S129" i="1" s="1"/>
  <c r="AS128" i="1"/>
  <c r="AA128" i="1" s="1"/>
  <c r="AO128" i="1"/>
  <c r="AN128" i="1"/>
  <c r="AM128" i="1"/>
  <c r="AL128" i="1"/>
  <c r="AK128" i="1"/>
  <c r="AJ128" i="1"/>
  <c r="AI128" i="1"/>
  <c r="AH128" i="1"/>
  <c r="AG128" i="1"/>
  <c r="AF128" i="1"/>
  <c r="AE128" i="1"/>
  <c r="AD128" i="1"/>
  <c r="AC128" i="1"/>
  <c r="AB128" i="1"/>
  <c r="Z128" i="1"/>
  <c r="W128" i="1"/>
  <c r="X128" i="1" s="1"/>
  <c r="V128" i="1"/>
  <c r="T128" i="1"/>
  <c r="R128" i="1"/>
  <c r="Q128" i="1" a="1"/>
  <c r="Q128" i="1" s="1"/>
  <c r="P128" i="1"/>
  <c r="N128" i="1"/>
  <c r="L128" i="1"/>
  <c r="K128" i="1" a="1"/>
  <c r="K128" i="1" s="1"/>
  <c r="U128" i="1" s="1"/>
  <c r="J128" i="1" a="1"/>
  <c r="J128" i="1" s="1"/>
  <c r="H128" i="1" a="1"/>
  <c r="H128" i="1" s="1"/>
  <c r="AT127" i="1"/>
  <c r="AB127" i="1" s="1"/>
  <c r="AS127" i="1"/>
  <c r="AA127" i="1" s="1"/>
  <c r="AO127" i="1"/>
  <c r="AN127" i="1"/>
  <c r="AM127" i="1"/>
  <c r="AL127" i="1"/>
  <c r="AK127" i="1"/>
  <c r="AJ127" i="1"/>
  <c r="AI127" i="1"/>
  <c r="AH127" i="1"/>
  <c r="AG127" i="1"/>
  <c r="AF127" i="1"/>
  <c r="AE127" i="1"/>
  <c r="AD127" i="1"/>
  <c r="AC127" i="1"/>
  <c r="Z127" i="1"/>
  <c r="W127" i="1"/>
  <c r="X127" i="1" s="1"/>
  <c r="V127" i="1"/>
  <c r="T127" i="1"/>
  <c r="R127" i="1"/>
  <c r="Q127" i="1" a="1"/>
  <c r="Q127" i="1" s="1"/>
  <c r="P127" i="1"/>
  <c r="N127" i="1"/>
  <c r="L127" i="1"/>
  <c r="K127" i="1" a="1"/>
  <c r="K127" i="1" s="1"/>
  <c r="U127" i="1" s="1"/>
  <c r="J127" i="1" a="1"/>
  <c r="J127" i="1" s="1"/>
  <c r="H127" i="1" a="1"/>
  <c r="H127" i="1" s="1"/>
  <c r="AY126" i="1"/>
  <c r="AG126" i="1" s="1"/>
  <c r="AX126" i="1"/>
  <c r="AF126" i="1" s="1"/>
  <c r="AW126" i="1"/>
  <c r="AE126" i="1" s="1"/>
  <c r="AV126" i="1"/>
  <c r="AD126" i="1" s="1"/>
  <c r="AU126" i="1"/>
  <c r="AC126" i="1" s="1"/>
  <c r="AT126" i="1"/>
  <c r="AB126" i="1" s="1"/>
  <c r="AS126" i="1"/>
  <c r="AA126" i="1" s="1"/>
  <c r="AO126" i="1"/>
  <c r="AN126" i="1"/>
  <c r="AM126" i="1"/>
  <c r="AL126" i="1"/>
  <c r="AK126" i="1"/>
  <c r="AJ126" i="1"/>
  <c r="AI126" i="1"/>
  <c r="AH126" i="1"/>
  <c r="Z126" i="1"/>
  <c r="W126" i="1"/>
  <c r="X126" i="1" s="1"/>
  <c r="V126" i="1"/>
  <c r="T126" i="1"/>
  <c r="R126" i="1"/>
  <c r="Q126" i="1" a="1"/>
  <c r="Q126" i="1" s="1"/>
  <c r="P126" i="1"/>
  <c r="N126" i="1"/>
  <c r="L126" i="1"/>
  <c r="K126" i="1" a="1"/>
  <c r="K126" i="1" s="1"/>
  <c r="U126" i="1" s="1"/>
  <c r="J126" i="1" a="1"/>
  <c r="J126" i="1" s="1"/>
  <c r="H126" i="1" a="1"/>
  <c r="H126" i="1" s="1"/>
  <c r="I126" i="1" s="1"/>
  <c r="S126" i="1" s="1"/>
  <c r="AS125" i="1"/>
  <c r="AA125" i="1" s="1"/>
  <c r="AO125" i="1"/>
  <c r="AN125" i="1"/>
  <c r="AM125" i="1"/>
  <c r="AL125" i="1"/>
  <c r="AK125" i="1"/>
  <c r="AJ125" i="1"/>
  <c r="AI125" i="1"/>
  <c r="AH125" i="1"/>
  <c r="AG125" i="1"/>
  <c r="AF125" i="1"/>
  <c r="AE125" i="1"/>
  <c r="AD125" i="1"/>
  <c r="AC125" i="1"/>
  <c r="AB125" i="1"/>
  <c r="Z125" i="1"/>
  <c r="W125" i="1"/>
  <c r="Y125" i="1" s="1"/>
  <c r="V125" i="1"/>
  <c r="T125" i="1"/>
  <c r="R125" i="1"/>
  <c r="Q125" i="1" a="1"/>
  <c r="Q125" i="1" s="1"/>
  <c r="P125" i="1"/>
  <c r="N125" i="1"/>
  <c r="L125" i="1"/>
  <c r="K125" i="1" a="1"/>
  <c r="K125" i="1" s="1"/>
  <c r="U125" i="1" s="1"/>
  <c r="J125" i="1" a="1"/>
  <c r="J125" i="1" s="1"/>
  <c r="H125" i="1" a="1"/>
  <c r="H125" i="1" s="1"/>
  <c r="AU124" i="1"/>
  <c r="AC124" i="1" s="1"/>
  <c r="AT124" i="1"/>
  <c r="AB124" i="1" s="1"/>
  <c r="AS124" i="1"/>
  <c r="AA124" i="1" s="1"/>
  <c r="AO124" i="1"/>
  <c r="AN124" i="1"/>
  <c r="AM124" i="1"/>
  <c r="AL124" i="1"/>
  <c r="AK124" i="1"/>
  <c r="AJ124" i="1"/>
  <c r="AI124" i="1"/>
  <c r="AH124" i="1"/>
  <c r="AG124" i="1"/>
  <c r="AF124" i="1"/>
  <c r="AE124" i="1"/>
  <c r="AD124" i="1"/>
  <c r="Z124" i="1"/>
  <c r="W124" i="1"/>
  <c r="X124" i="1" s="1"/>
  <c r="V124" i="1"/>
  <c r="T124" i="1"/>
  <c r="R124" i="1"/>
  <c r="Q124" i="1" a="1"/>
  <c r="Q124" i="1" s="1"/>
  <c r="P124" i="1"/>
  <c r="N124" i="1"/>
  <c r="L124" i="1"/>
  <c r="K124" i="1" a="1"/>
  <c r="K124" i="1" s="1"/>
  <c r="U124" i="1" s="1"/>
  <c r="J124" i="1" a="1"/>
  <c r="J124" i="1" s="1"/>
  <c r="H124" i="1" a="1"/>
  <c r="H124" i="1" s="1"/>
  <c r="AV123" i="1"/>
  <c r="AD123" i="1" s="1"/>
  <c r="AU123" i="1"/>
  <c r="AC123" i="1" s="1"/>
  <c r="AT123" i="1"/>
  <c r="AB123" i="1" s="1"/>
  <c r="AS123" i="1"/>
  <c r="AA123" i="1" s="1"/>
  <c r="AO123" i="1"/>
  <c r="AN123" i="1"/>
  <c r="AM123" i="1"/>
  <c r="AL123" i="1"/>
  <c r="AK123" i="1"/>
  <c r="AJ123" i="1"/>
  <c r="AI123" i="1"/>
  <c r="AH123" i="1"/>
  <c r="AG123" i="1"/>
  <c r="AF123" i="1"/>
  <c r="AE123" i="1"/>
  <c r="Z123" i="1"/>
  <c r="W123" i="1"/>
  <c r="Y123" i="1" s="1"/>
  <c r="V123" i="1"/>
  <c r="T123" i="1"/>
  <c r="R123" i="1"/>
  <c r="Q123" i="1" a="1"/>
  <c r="Q123" i="1" s="1"/>
  <c r="P123" i="1"/>
  <c r="N123" i="1"/>
  <c r="L123" i="1"/>
  <c r="K123" i="1" a="1"/>
  <c r="K123" i="1" s="1"/>
  <c r="U123" i="1" s="1"/>
  <c r="J123" i="1" a="1"/>
  <c r="J123" i="1" s="1"/>
  <c r="H123" i="1" a="1"/>
  <c r="H123" i="1" s="1"/>
  <c r="AV122" i="1"/>
  <c r="AD122" i="1" s="1"/>
  <c r="AU122" i="1"/>
  <c r="AC122" i="1" s="1"/>
  <c r="AT122" i="1"/>
  <c r="AB122" i="1" s="1"/>
  <c r="AS122" i="1"/>
  <c r="AA122" i="1" s="1"/>
  <c r="AO122" i="1"/>
  <c r="AN122" i="1"/>
  <c r="AM122" i="1"/>
  <c r="AL122" i="1"/>
  <c r="AK122" i="1"/>
  <c r="AJ122" i="1"/>
  <c r="AI122" i="1"/>
  <c r="AH122" i="1"/>
  <c r="AG122" i="1"/>
  <c r="AF122" i="1"/>
  <c r="AE122" i="1"/>
  <c r="Z122" i="1"/>
  <c r="W122" i="1"/>
  <c r="X122" i="1" s="1"/>
  <c r="V122" i="1"/>
  <c r="T122" i="1"/>
  <c r="R122" i="1"/>
  <c r="Q122" i="1" a="1"/>
  <c r="Q122" i="1" s="1"/>
  <c r="P122" i="1"/>
  <c r="N122" i="1"/>
  <c r="L122" i="1"/>
  <c r="K122" i="1" a="1"/>
  <c r="K122" i="1" s="1"/>
  <c r="U122" i="1" s="1"/>
  <c r="J122" i="1" a="1"/>
  <c r="J122" i="1" s="1"/>
  <c r="H122" i="1" a="1"/>
  <c r="H122" i="1" s="1"/>
  <c r="AU121" i="1"/>
  <c r="AC121" i="1" s="1"/>
  <c r="AT121" i="1"/>
  <c r="AB121" i="1" s="1"/>
  <c r="AS121" i="1"/>
  <c r="AA121" i="1" s="1"/>
  <c r="AO121" i="1"/>
  <c r="AN121" i="1"/>
  <c r="AM121" i="1"/>
  <c r="AL121" i="1"/>
  <c r="AK121" i="1"/>
  <c r="AJ121" i="1"/>
  <c r="AI121" i="1"/>
  <c r="AH121" i="1"/>
  <c r="AG121" i="1"/>
  <c r="AF121" i="1"/>
  <c r="AE121" i="1"/>
  <c r="AD121" i="1"/>
  <c r="Z121" i="1"/>
  <c r="W121" i="1"/>
  <c r="Y121" i="1" s="1"/>
  <c r="V121" i="1"/>
  <c r="T121" i="1"/>
  <c r="R121" i="1"/>
  <c r="Q121" i="1" a="1"/>
  <c r="Q121" i="1" s="1"/>
  <c r="P121" i="1"/>
  <c r="N121" i="1"/>
  <c r="L121" i="1"/>
  <c r="K121" i="1" a="1"/>
  <c r="K121" i="1" s="1"/>
  <c r="U121" i="1" s="1"/>
  <c r="J121" i="1" a="1"/>
  <c r="J121" i="1" s="1"/>
  <c r="H121" i="1" a="1"/>
  <c r="H121" i="1" s="1"/>
  <c r="I121" i="1" s="1"/>
  <c r="S121" i="1" s="1"/>
  <c r="AT120" i="1"/>
  <c r="AB120" i="1" s="1"/>
  <c r="AS120" i="1"/>
  <c r="AA120" i="1" s="1"/>
  <c r="AO120" i="1"/>
  <c r="AN120" i="1"/>
  <c r="AM120" i="1"/>
  <c r="AL120" i="1"/>
  <c r="AK120" i="1"/>
  <c r="AJ120" i="1"/>
  <c r="AI120" i="1"/>
  <c r="AH120" i="1"/>
  <c r="AG120" i="1"/>
  <c r="AF120" i="1"/>
  <c r="AE120" i="1"/>
  <c r="AD120" i="1"/>
  <c r="AC120" i="1"/>
  <c r="Z120" i="1"/>
  <c r="W120" i="1"/>
  <c r="Y120" i="1" s="1"/>
  <c r="V120" i="1"/>
  <c r="T120" i="1"/>
  <c r="R120" i="1"/>
  <c r="Q120" i="1" a="1"/>
  <c r="Q120" i="1" s="1"/>
  <c r="P120" i="1"/>
  <c r="N120" i="1"/>
  <c r="L120" i="1"/>
  <c r="K120" i="1" a="1"/>
  <c r="K120" i="1" s="1"/>
  <c r="U120" i="1" s="1"/>
  <c r="J120" i="1" a="1"/>
  <c r="J120" i="1" s="1"/>
  <c r="H120" i="1" a="1"/>
  <c r="H120" i="1" s="1"/>
  <c r="I120" i="1" s="1"/>
  <c r="S120" i="1" s="1"/>
  <c r="AS119" i="1"/>
  <c r="AA119" i="1" s="1"/>
  <c r="AO119" i="1"/>
  <c r="AN119" i="1"/>
  <c r="AM119" i="1"/>
  <c r="AL119" i="1"/>
  <c r="AK119" i="1"/>
  <c r="AJ119" i="1"/>
  <c r="AI119" i="1"/>
  <c r="AH119" i="1"/>
  <c r="AG119" i="1"/>
  <c r="AF119" i="1"/>
  <c r="AE119" i="1"/>
  <c r="AD119" i="1"/>
  <c r="AC119" i="1"/>
  <c r="AB119" i="1"/>
  <c r="Z119" i="1"/>
  <c r="W119" i="1"/>
  <c r="X119" i="1" s="1"/>
  <c r="V119" i="1"/>
  <c r="T119" i="1"/>
  <c r="R119" i="1"/>
  <c r="Q119" i="1" a="1"/>
  <c r="Q119" i="1" s="1"/>
  <c r="P119" i="1"/>
  <c r="N119" i="1"/>
  <c r="L119" i="1"/>
  <c r="K119" i="1" a="1"/>
  <c r="K119" i="1" s="1"/>
  <c r="U119" i="1" s="1"/>
  <c r="J119" i="1" a="1"/>
  <c r="J119" i="1" s="1"/>
  <c r="H119" i="1" a="1"/>
  <c r="H119" i="1" s="1"/>
  <c r="I119" i="1" s="1"/>
  <c r="S119" i="1" s="1"/>
  <c r="AS118" i="1"/>
  <c r="AA118" i="1" s="1"/>
  <c r="AO118" i="1"/>
  <c r="AN118" i="1"/>
  <c r="AM118" i="1"/>
  <c r="AL118" i="1"/>
  <c r="AK118" i="1"/>
  <c r="AJ118" i="1"/>
  <c r="AI118" i="1"/>
  <c r="AH118" i="1"/>
  <c r="AG118" i="1"/>
  <c r="AF118" i="1"/>
  <c r="AE118" i="1"/>
  <c r="AD118" i="1"/>
  <c r="AC118" i="1"/>
  <c r="AB118" i="1"/>
  <c r="Z118" i="1"/>
  <c r="W118" i="1"/>
  <c r="Y118" i="1" s="1"/>
  <c r="V118" i="1"/>
  <c r="T118" i="1"/>
  <c r="R118" i="1"/>
  <c r="Q118" i="1" a="1"/>
  <c r="Q118" i="1" s="1"/>
  <c r="P118" i="1"/>
  <c r="N118" i="1"/>
  <c r="L118" i="1"/>
  <c r="K118" i="1" a="1"/>
  <c r="K118" i="1" s="1"/>
  <c r="U118" i="1" s="1"/>
  <c r="J118" i="1" a="1"/>
  <c r="J118" i="1" s="1"/>
  <c r="H118" i="1" a="1"/>
  <c r="H118" i="1" s="1"/>
  <c r="AS117" i="1"/>
  <c r="AA117" i="1" s="1"/>
  <c r="AO117" i="1"/>
  <c r="AN117" i="1"/>
  <c r="AM117" i="1"/>
  <c r="AL117" i="1"/>
  <c r="AK117" i="1"/>
  <c r="AJ117" i="1"/>
  <c r="AI117" i="1"/>
  <c r="AH117" i="1"/>
  <c r="AG117" i="1"/>
  <c r="AF117" i="1"/>
  <c r="AE117" i="1"/>
  <c r="AD117" i="1"/>
  <c r="AC117" i="1"/>
  <c r="AB117" i="1"/>
  <c r="Z117" i="1"/>
  <c r="W117" i="1"/>
  <c r="X117" i="1" s="1"/>
  <c r="V117" i="1"/>
  <c r="T117" i="1"/>
  <c r="R117" i="1"/>
  <c r="Q117" i="1" a="1"/>
  <c r="Q117" i="1" s="1"/>
  <c r="P117" i="1"/>
  <c r="N117" i="1"/>
  <c r="L117" i="1"/>
  <c r="K117" i="1" a="1"/>
  <c r="K117" i="1" s="1"/>
  <c r="U117" i="1" s="1"/>
  <c r="J117" i="1" a="1"/>
  <c r="J117" i="1" s="1"/>
  <c r="H117" i="1" a="1"/>
  <c r="H117" i="1" s="1"/>
  <c r="AT116" i="1"/>
  <c r="AB116" i="1" s="1"/>
  <c r="AS116" i="1"/>
  <c r="AA116" i="1" s="1"/>
  <c r="AO116" i="1"/>
  <c r="AN116" i="1"/>
  <c r="AM116" i="1"/>
  <c r="AL116" i="1"/>
  <c r="AK116" i="1"/>
  <c r="AJ116" i="1"/>
  <c r="AI116" i="1"/>
  <c r="AH116" i="1"/>
  <c r="AG116" i="1"/>
  <c r="AF116" i="1"/>
  <c r="AE116" i="1"/>
  <c r="AD116" i="1"/>
  <c r="AC116" i="1"/>
  <c r="Z116" i="1"/>
  <c r="W116" i="1"/>
  <c r="X116" i="1" s="1"/>
  <c r="V116" i="1"/>
  <c r="T116" i="1"/>
  <c r="R116" i="1"/>
  <c r="Q116" i="1" a="1"/>
  <c r="Q116" i="1" s="1"/>
  <c r="P116" i="1"/>
  <c r="N116" i="1"/>
  <c r="L116" i="1"/>
  <c r="K116" i="1" a="1"/>
  <c r="K116" i="1" s="1"/>
  <c r="U116" i="1" s="1"/>
  <c r="J116" i="1" a="1"/>
  <c r="J116" i="1" s="1"/>
  <c r="H116" i="1" a="1"/>
  <c r="H116" i="1" s="1"/>
  <c r="AV115" i="1"/>
  <c r="AD115" i="1" s="1"/>
  <c r="AU115" i="1"/>
  <c r="AC115" i="1" s="1"/>
  <c r="AT115" i="1"/>
  <c r="AB115" i="1" s="1"/>
  <c r="AS115" i="1"/>
  <c r="AA115" i="1" s="1"/>
  <c r="AO115" i="1"/>
  <c r="AN115" i="1"/>
  <c r="AM115" i="1"/>
  <c r="AL115" i="1"/>
  <c r="AK115" i="1"/>
  <c r="AJ115" i="1"/>
  <c r="AI115" i="1"/>
  <c r="AH115" i="1"/>
  <c r="AG115" i="1"/>
  <c r="AF115" i="1"/>
  <c r="AE115" i="1"/>
  <c r="Z115" i="1"/>
  <c r="W115" i="1"/>
  <c r="X115" i="1" s="1"/>
  <c r="V115" i="1"/>
  <c r="T115" i="1"/>
  <c r="R115" i="1"/>
  <c r="Q115" i="1" a="1"/>
  <c r="Q115" i="1" s="1"/>
  <c r="P115" i="1"/>
  <c r="N115" i="1"/>
  <c r="L115" i="1"/>
  <c r="K115" i="1" a="1"/>
  <c r="K115" i="1" s="1"/>
  <c r="U115" i="1" s="1"/>
  <c r="J115" i="1" a="1"/>
  <c r="J115" i="1" s="1"/>
  <c r="H115" i="1" a="1"/>
  <c r="H115" i="1" s="1"/>
  <c r="I115" i="1" s="1"/>
  <c r="S115" i="1" s="1"/>
  <c r="AS114" i="1"/>
  <c r="AA114" i="1" s="1"/>
  <c r="AO114" i="1"/>
  <c r="AN114" i="1"/>
  <c r="AM114" i="1"/>
  <c r="AL114" i="1"/>
  <c r="AK114" i="1"/>
  <c r="AJ114" i="1"/>
  <c r="AI114" i="1"/>
  <c r="AH114" i="1"/>
  <c r="AG114" i="1"/>
  <c r="AF114" i="1"/>
  <c r="AE114" i="1"/>
  <c r="AD114" i="1"/>
  <c r="AC114" i="1"/>
  <c r="AB114" i="1"/>
  <c r="Z114" i="1"/>
  <c r="W114" i="1"/>
  <c r="X114" i="1" s="1"/>
  <c r="V114" i="1"/>
  <c r="T114" i="1"/>
  <c r="R114" i="1"/>
  <c r="Q114" i="1" a="1"/>
  <c r="Q114" i="1" s="1"/>
  <c r="P114" i="1"/>
  <c r="N114" i="1"/>
  <c r="L114" i="1"/>
  <c r="K114" i="1" a="1"/>
  <c r="K114" i="1" s="1"/>
  <c r="U114" i="1" s="1"/>
  <c r="J114" i="1" a="1"/>
  <c r="J114" i="1" s="1"/>
  <c r="H114" i="1" a="1"/>
  <c r="H114" i="1" s="1"/>
  <c r="AT113" i="1"/>
  <c r="AB113" i="1" s="1"/>
  <c r="AS113" i="1"/>
  <c r="AA113" i="1" s="1"/>
  <c r="AO113" i="1"/>
  <c r="AN113" i="1"/>
  <c r="AM113" i="1"/>
  <c r="AL113" i="1"/>
  <c r="AK113" i="1"/>
  <c r="AJ113" i="1"/>
  <c r="AI113" i="1"/>
  <c r="AH113" i="1"/>
  <c r="AG113" i="1"/>
  <c r="AF113" i="1"/>
  <c r="AE113" i="1"/>
  <c r="AD113" i="1"/>
  <c r="AC113" i="1"/>
  <c r="Z113" i="1"/>
  <c r="W113" i="1"/>
  <c r="Y113" i="1" s="1"/>
  <c r="V113" i="1"/>
  <c r="T113" i="1"/>
  <c r="R113" i="1"/>
  <c r="Q113" i="1" a="1"/>
  <c r="Q113" i="1" s="1"/>
  <c r="P113" i="1"/>
  <c r="N113" i="1"/>
  <c r="L113" i="1"/>
  <c r="K113" i="1" a="1"/>
  <c r="K113" i="1" s="1"/>
  <c r="U113" i="1" s="1"/>
  <c r="J113" i="1" a="1"/>
  <c r="J113" i="1" s="1"/>
  <c r="H113" i="1" a="1"/>
  <c r="H113" i="1" s="1"/>
  <c r="AS112" i="1"/>
  <c r="AA112" i="1" s="1"/>
  <c r="AO112" i="1"/>
  <c r="AN112" i="1"/>
  <c r="AM112" i="1"/>
  <c r="AL112" i="1"/>
  <c r="AK112" i="1"/>
  <c r="AJ112" i="1"/>
  <c r="AI112" i="1"/>
  <c r="AH112" i="1"/>
  <c r="AG112" i="1"/>
  <c r="AF112" i="1"/>
  <c r="AE112" i="1"/>
  <c r="AD112" i="1"/>
  <c r="AC112" i="1"/>
  <c r="AB112" i="1"/>
  <c r="Z112" i="1"/>
  <c r="W112" i="1"/>
  <c r="X112" i="1" s="1"/>
  <c r="V112" i="1"/>
  <c r="AT111" i="1"/>
  <c r="AB111" i="1" s="1"/>
  <c r="AS111" i="1"/>
  <c r="AA111" i="1" s="1"/>
  <c r="AO111" i="1"/>
  <c r="AN111" i="1"/>
  <c r="AM111" i="1"/>
  <c r="AL111" i="1"/>
  <c r="AK111" i="1"/>
  <c r="AJ111" i="1"/>
  <c r="AI111" i="1"/>
  <c r="AH111" i="1"/>
  <c r="AG111" i="1"/>
  <c r="AF111" i="1"/>
  <c r="AE111" i="1"/>
  <c r="AD111" i="1"/>
  <c r="AC111" i="1"/>
  <c r="Z111" i="1"/>
  <c r="Y111" i="1"/>
  <c r="W111" i="1"/>
  <c r="X111" i="1" s="1"/>
  <c r="V111" i="1"/>
  <c r="T111" i="1"/>
  <c r="R111" i="1"/>
  <c r="Q111" i="1" a="1"/>
  <c r="Q111" i="1" s="1"/>
  <c r="P111" i="1"/>
  <c r="N111" i="1"/>
  <c r="L111" i="1"/>
  <c r="K111" i="1" a="1"/>
  <c r="K111" i="1" s="1"/>
  <c r="U111" i="1" s="1"/>
  <c r="J111" i="1" a="1"/>
  <c r="J111" i="1" s="1"/>
  <c r="H111" i="1" a="1"/>
  <c r="H111" i="1" s="1"/>
  <c r="AS110" i="1"/>
  <c r="AA110" i="1" s="1"/>
  <c r="AO110" i="1"/>
  <c r="AN110" i="1"/>
  <c r="AM110" i="1"/>
  <c r="AL110" i="1"/>
  <c r="AK110" i="1"/>
  <c r="AJ110" i="1"/>
  <c r="AI110" i="1"/>
  <c r="AH110" i="1"/>
  <c r="AG110" i="1"/>
  <c r="AF110" i="1"/>
  <c r="AE110" i="1"/>
  <c r="AD110" i="1"/>
  <c r="AC110" i="1"/>
  <c r="AB110" i="1"/>
  <c r="Z110" i="1"/>
  <c r="W110" i="1"/>
  <c r="Y110" i="1" s="1"/>
  <c r="V110" i="1"/>
  <c r="L110" i="1"/>
  <c r="K110" i="1" a="1"/>
  <c r="K110" i="1" s="1"/>
  <c r="J110" i="1" a="1"/>
  <c r="J110" i="1" s="1"/>
  <c r="H110" i="1" a="1"/>
  <c r="H110" i="1" s="1"/>
  <c r="BB109" i="1"/>
  <c r="AJ109" i="1" s="1"/>
  <c r="BA109" i="1"/>
  <c r="AI109" i="1" s="1"/>
  <c r="AZ109" i="1"/>
  <c r="AH109" i="1" s="1"/>
  <c r="AY109" i="1"/>
  <c r="AG109" i="1" s="1"/>
  <c r="AX109" i="1"/>
  <c r="AF109" i="1" s="1"/>
  <c r="AW109" i="1"/>
  <c r="AE109" i="1" s="1"/>
  <c r="AV109" i="1"/>
  <c r="AD109" i="1" s="1"/>
  <c r="AU109" i="1"/>
  <c r="AC109" i="1" s="1"/>
  <c r="AT109" i="1"/>
  <c r="AB109" i="1" s="1"/>
  <c r="AS109" i="1"/>
  <c r="AA109" i="1" s="1"/>
  <c r="AO109" i="1"/>
  <c r="AN109" i="1"/>
  <c r="AM109" i="1"/>
  <c r="AL109" i="1"/>
  <c r="AK109" i="1"/>
  <c r="Z109" i="1"/>
  <c r="W109" i="1"/>
  <c r="Y109" i="1" s="1"/>
  <c r="V109" i="1"/>
  <c r="T109" i="1"/>
  <c r="R109" i="1"/>
  <c r="Q109" i="1" a="1"/>
  <c r="Q109" i="1" s="1"/>
  <c r="P109" i="1"/>
  <c r="N109" i="1"/>
  <c r="L109" i="1"/>
  <c r="K109" i="1" a="1"/>
  <c r="K109" i="1" s="1"/>
  <c r="U109" i="1" s="1"/>
  <c r="J109" i="1" a="1"/>
  <c r="J109" i="1" s="1"/>
  <c r="H109" i="1" a="1"/>
  <c r="H109" i="1" s="1"/>
  <c r="Z108" i="1"/>
  <c r="W108" i="1"/>
  <c r="Y108" i="1" s="1"/>
  <c r="V108" i="1"/>
  <c r="AS107" i="1"/>
  <c r="AA107" i="1" s="1"/>
  <c r="AO107" i="1"/>
  <c r="AN107" i="1"/>
  <c r="AM107" i="1"/>
  <c r="AL107" i="1"/>
  <c r="AK107" i="1"/>
  <c r="AJ107" i="1"/>
  <c r="AI107" i="1"/>
  <c r="AH107" i="1"/>
  <c r="AG107" i="1"/>
  <c r="AF107" i="1"/>
  <c r="AE107" i="1"/>
  <c r="AD107" i="1"/>
  <c r="AC107" i="1"/>
  <c r="AB107" i="1"/>
  <c r="Z107" i="1"/>
  <c r="W107" i="1"/>
  <c r="Y107" i="1" s="1"/>
  <c r="V107" i="1"/>
  <c r="T107" i="1"/>
  <c r="R107" i="1"/>
  <c r="Q107" i="1" a="1"/>
  <c r="Q107" i="1" s="1"/>
  <c r="P107" i="1"/>
  <c r="N107" i="1"/>
  <c r="L107" i="1"/>
  <c r="K107" i="1" a="1"/>
  <c r="K107" i="1" s="1"/>
  <c r="U107" i="1" s="1"/>
  <c r="J107" i="1" a="1"/>
  <c r="J107" i="1" s="1"/>
  <c r="H107" i="1" a="1"/>
  <c r="H107" i="1" s="1"/>
  <c r="AS106" i="1"/>
  <c r="AA106" i="1" s="1"/>
  <c r="AO106" i="1"/>
  <c r="AN106" i="1"/>
  <c r="AM106" i="1"/>
  <c r="AL106" i="1"/>
  <c r="AK106" i="1"/>
  <c r="AJ106" i="1"/>
  <c r="AI106" i="1"/>
  <c r="AH106" i="1"/>
  <c r="AG106" i="1"/>
  <c r="AF106" i="1"/>
  <c r="AE106" i="1"/>
  <c r="AD106" i="1"/>
  <c r="AC106" i="1"/>
  <c r="AB106" i="1"/>
  <c r="Z106" i="1"/>
  <c r="W106" i="1"/>
  <c r="Y106" i="1" s="1"/>
  <c r="V106" i="1"/>
  <c r="T106" i="1"/>
  <c r="R106" i="1"/>
  <c r="Q106" i="1" a="1"/>
  <c r="Q106" i="1" s="1"/>
  <c r="P106" i="1"/>
  <c r="N106" i="1"/>
  <c r="L106" i="1"/>
  <c r="K106" i="1" a="1"/>
  <c r="K106" i="1" s="1"/>
  <c r="U106" i="1" s="1"/>
  <c r="J106" i="1" a="1"/>
  <c r="J106" i="1" s="1"/>
  <c r="H106" i="1" a="1"/>
  <c r="H106" i="1" s="1"/>
  <c r="I106" i="1" s="1"/>
  <c r="S106" i="1" s="1"/>
  <c r="AS105" i="1"/>
  <c r="AA105" i="1" s="1"/>
  <c r="AO105" i="1"/>
  <c r="AN105" i="1"/>
  <c r="AM105" i="1"/>
  <c r="AL105" i="1"/>
  <c r="AK105" i="1"/>
  <c r="AJ105" i="1"/>
  <c r="AI105" i="1"/>
  <c r="AH105" i="1"/>
  <c r="AG105" i="1"/>
  <c r="AF105" i="1"/>
  <c r="AE105" i="1"/>
  <c r="AD105" i="1"/>
  <c r="AC105" i="1"/>
  <c r="AB105" i="1"/>
  <c r="Z105" i="1"/>
  <c r="W105" i="1"/>
  <c r="X105" i="1" s="1"/>
  <c r="V105" i="1"/>
  <c r="T105" i="1"/>
  <c r="R105" i="1"/>
  <c r="Q105" i="1" a="1"/>
  <c r="Q105" i="1" s="1"/>
  <c r="P105" i="1"/>
  <c r="N105" i="1"/>
  <c r="L105" i="1"/>
  <c r="K105" i="1" a="1"/>
  <c r="K105" i="1" s="1"/>
  <c r="U105" i="1" s="1"/>
  <c r="J105" i="1" a="1"/>
  <c r="J105" i="1" s="1"/>
  <c r="H105" i="1" a="1"/>
  <c r="H105" i="1" s="1"/>
  <c r="AT104" i="1"/>
  <c r="AB104" i="1" s="1"/>
  <c r="AS104" i="1"/>
  <c r="AA104" i="1" s="1"/>
  <c r="AO104" i="1"/>
  <c r="AN104" i="1"/>
  <c r="AM104" i="1"/>
  <c r="AL104" i="1"/>
  <c r="AK104" i="1"/>
  <c r="AJ104" i="1"/>
  <c r="AI104" i="1"/>
  <c r="AH104" i="1"/>
  <c r="AG104" i="1"/>
  <c r="AF104" i="1"/>
  <c r="AE104" i="1"/>
  <c r="AD104" i="1"/>
  <c r="AC104" i="1"/>
  <c r="Z104" i="1"/>
  <c r="W104" i="1"/>
  <c r="X104" i="1" s="1"/>
  <c r="V104" i="1"/>
  <c r="T104" i="1"/>
  <c r="R104" i="1"/>
  <c r="Q104" i="1" a="1"/>
  <c r="Q104" i="1" s="1"/>
  <c r="P104" i="1"/>
  <c r="N104" i="1"/>
  <c r="L104" i="1"/>
  <c r="K104" i="1" a="1"/>
  <c r="K104" i="1" s="1"/>
  <c r="U104" i="1" s="1"/>
  <c r="J104" i="1" a="1"/>
  <c r="J104" i="1" s="1"/>
  <c r="H104" i="1" a="1"/>
  <c r="H104" i="1" s="1"/>
  <c r="AS103" i="1"/>
  <c r="AA103" i="1" s="1"/>
  <c r="AO103" i="1"/>
  <c r="AN103" i="1"/>
  <c r="AM103" i="1"/>
  <c r="AL103" i="1"/>
  <c r="AK103" i="1"/>
  <c r="AJ103" i="1"/>
  <c r="AI103" i="1"/>
  <c r="AH103" i="1"/>
  <c r="AG103" i="1"/>
  <c r="AF103" i="1"/>
  <c r="AE103" i="1"/>
  <c r="AD103" i="1"/>
  <c r="AC103" i="1"/>
  <c r="AB103" i="1"/>
  <c r="Z103" i="1"/>
  <c r="W103" i="1"/>
  <c r="X103" i="1" s="1"/>
  <c r="V103" i="1"/>
  <c r="T103" i="1"/>
  <c r="R103" i="1"/>
  <c r="Q103" i="1" a="1"/>
  <c r="Q103" i="1" s="1"/>
  <c r="P103" i="1"/>
  <c r="N103" i="1"/>
  <c r="L103" i="1"/>
  <c r="K103" i="1" a="1"/>
  <c r="K103" i="1" s="1"/>
  <c r="U103" i="1" s="1"/>
  <c r="J103" i="1" a="1"/>
  <c r="J103" i="1" s="1"/>
  <c r="H103" i="1"/>
  <c r="H103" i="1" a="1"/>
  <c r="AV102" i="1"/>
  <c r="AD102" i="1" s="1"/>
  <c r="AU102" i="1"/>
  <c r="AC102" i="1" s="1"/>
  <c r="AT102" i="1"/>
  <c r="AB102" i="1" s="1"/>
  <c r="AS102" i="1"/>
  <c r="AA102" i="1" s="1"/>
  <c r="AO102" i="1"/>
  <c r="AN102" i="1"/>
  <c r="AM102" i="1"/>
  <c r="AL102" i="1"/>
  <c r="AK102" i="1"/>
  <c r="AJ102" i="1"/>
  <c r="AI102" i="1"/>
  <c r="AH102" i="1"/>
  <c r="AG102" i="1"/>
  <c r="AF102" i="1"/>
  <c r="AE102" i="1"/>
  <c r="Z102" i="1"/>
  <c r="W102" i="1"/>
  <c r="Y102" i="1" s="1"/>
  <c r="V102" i="1"/>
  <c r="T102" i="1"/>
  <c r="R102" i="1"/>
  <c r="Q102" i="1" a="1"/>
  <c r="Q102" i="1" s="1"/>
  <c r="P102" i="1"/>
  <c r="N102" i="1"/>
  <c r="L102" i="1"/>
  <c r="K102" i="1" a="1"/>
  <c r="K102" i="1" s="1"/>
  <c r="U102" i="1" s="1"/>
  <c r="J102" i="1" a="1"/>
  <c r="J102" i="1" s="1"/>
  <c r="H102" i="1" a="1"/>
  <c r="H102" i="1" s="1"/>
  <c r="I102" i="1" s="1"/>
  <c r="S102" i="1" s="1"/>
  <c r="AS101" i="1"/>
  <c r="AA101" i="1" s="1"/>
  <c r="AO101" i="1"/>
  <c r="AN101" i="1"/>
  <c r="AM101" i="1"/>
  <c r="AL101" i="1"/>
  <c r="AK101" i="1"/>
  <c r="AJ101" i="1"/>
  <c r="AI101" i="1"/>
  <c r="AH101" i="1"/>
  <c r="AG101" i="1"/>
  <c r="AF101" i="1"/>
  <c r="AE101" i="1"/>
  <c r="AD101" i="1"/>
  <c r="AC101" i="1"/>
  <c r="AB101" i="1"/>
  <c r="Z101" i="1"/>
  <c r="W101" i="1"/>
  <c r="Y101" i="1" s="1"/>
  <c r="V101" i="1"/>
  <c r="T101" i="1"/>
  <c r="R101" i="1"/>
  <c r="Q101" i="1" a="1"/>
  <c r="Q101" i="1" s="1"/>
  <c r="P101" i="1"/>
  <c r="N101" i="1"/>
  <c r="L101" i="1"/>
  <c r="K101" i="1" a="1"/>
  <c r="K101" i="1" s="1"/>
  <c r="U101" i="1" s="1"/>
  <c r="J101" i="1" a="1"/>
  <c r="J101" i="1" s="1"/>
  <c r="H101" i="1" a="1"/>
  <c r="H101" i="1" s="1"/>
  <c r="AS100" i="1"/>
  <c r="AA100" i="1" s="1"/>
  <c r="AO100" i="1"/>
  <c r="AN100" i="1"/>
  <c r="AM100" i="1"/>
  <c r="AL100" i="1"/>
  <c r="AK100" i="1"/>
  <c r="AJ100" i="1"/>
  <c r="AI100" i="1"/>
  <c r="AH100" i="1"/>
  <c r="AG100" i="1"/>
  <c r="AF100" i="1"/>
  <c r="AE100" i="1"/>
  <c r="AD100" i="1"/>
  <c r="AC100" i="1"/>
  <c r="AB100" i="1"/>
  <c r="Z100" i="1"/>
  <c r="W100" i="1"/>
  <c r="X100" i="1" s="1"/>
  <c r="V100" i="1"/>
  <c r="AS99" i="1"/>
  <c r="AA99" i="1" s="1"/>
  <c r="AO99" i="1"/>
  <c r="AN99" i="1"/>
  <c r="AM99" i="1"/>
  <c r="AL99" i="1"/>
  <c r="AK99" i="1"/>
  <c r="AJ99" i="1"/>
  <c r="AI99" i="1"/>
  <c r="AH99" i="1"/>
  <c r="AG99" i="1"/>
  <c r="AF99" i="1"/>
  <c r="AE99" i="1"/>
  <c r="AD99" i="1"/>
  <c r="AC99" i="1"/>
  <c r="AB99" i="1"/>
  <c r="Z99" i="1"/>
  <c r="W99" i="1"/>
  <c r="X99" i="1" s="1"/>
  <c r="V99" i="1"/>
  <c r="T99" i="1"/>
  <c r="R99" i="1"/>
  <c r="Q99" i="1" a="1"/>
  <c r="Q99" i="1" s="1"/>
  <c r="P99" i="1"/>
  <c r="N99" i="1"/>
  <c r="L99" i="1"/>
  <c r="K99" i="1" a="1"/>
  <c r="K99" i="1" s="1"/>
  <c r="U99" i="1" s="1"/>
  <c r="J99" i="1" a="1"/>
  <c r="J99" i="1" s="1"/>
  <c r="H99" i="1" a="1"/>
  <c r="H99" i="1" s="1"/>
  <c r="AS98" i="1"/>
  <c r="AA98" i="1" s="1"/>
  <c r="AO98" i="1"/>
  <c r="AN98" i="1"/>
  <c r="AM98" i="1"/>
  <c r="AL98" i="1"/>
  <c r="AK98" i="1"/>
  <c r="AJ98" i="1"/>
  <c r="AI98" i="1"/>
  <c r="AH98" i="1"/>
  <c r="AG98" i="1"/>
  <c r="AF98" i="1"/>
  <c r="AE98" i="1"/>
  <c r="AD98" i="1"/>
  <c r="AC98" i="1"/>
  <c r="AB98" i="1"/>
  <c r="Z98" i="1"/>
  <c r="W98" i="1"/>
  <c r="X98" i="1" s="1"/>
  <c r="V98" i="1"/>
  <c r="T98" i="1"/>
  <c r="R98" i="1"/>
  <c r="Q98" i="1" a="1"/>
  <c r="Q98" i="1" s="1"/>
  <c r="P98" i="1"/>
  <c r="N98" i="1"/>
  <c r="L98" i="1"/>
  <c r="K98" i="1" a="1"/>
  <c r="K98" i="1" s="1"/>
  <c r="U98" i="1" s="1"/>
  <c r="J98" i="1" a="1"/>
  <c r="J98" i="1" s="1"/>
  <c r="H98" i="1" a="1"/>
  <c r="H98" i="1" s="1"/>
  <c r="AV97" i="1"/>
  <c r="AD97" i="1" s="1"/>
  <c r="AU97" i="1"/>
  <c r="AC97" i="1" s="1"/>
  <c r="AT97" i="1"/>
  <c r="AB97" i="1" s="1"/>
  <c r="AS97" i="1"/>
  <c r="AA97" i="1" s="1"/>
  <c r="AO97" i="1"/>
  <c r="AN97" i="1"/>
  <c r="AM97" i="1"/>
  <c r="AL97" i="1"/>
  <c r="AK97" i="1"/>
  <c r="AJ97" i="1"/>
  <c r="AI97" i="1"/>
  <c r="AH97" i="1"/>
  <c r="AG97" i="1"/>
  <c r="AF97" i="1"/>
  <c r="AE97" i="1"/>
  <c r="Z97" i="1"/>
  <c r="W97" i="1"/>
  <c r="Y97" i="1" s="1"/>
  <c r="V97" i="1"/>
  <c r="AS96" i="1"/>
  <c r="AA96" i="1" s="1"/>
  <c r="AO96" i="1"/>
  <c r="AN96" i="1"/>
  <c r="AM96" i="1"/>
  <c r="AL96" i="1"/>
  <c r="AK96" i="1"/>
  <c r="AJ96" i="1"/>
  <c r="AI96" i="1"/>
  <c r="AH96" i="1"/>
  <c r="AG96" i="1"/>
  <c r="AF96" i="1"/>
  <c r="AE96" i="1"/>
  <c r="AD96" i="1"/>
  <c r="AC96" i="1"/>
  <c r="AB96" i="1"/>
  <c r="Z96" i="1"/>
  <c r="W96" i="1"/>
  <c r="Y96" i="1" s="1"/>
  <c r="V96" i="1"/>
  <c r="T96" i="1"/>
  <c r="R96" i="1"/>
  <c r="Q96" i="1" a="1"/>
  <c r="Q96" i="1" s="1"/>
  <c r="P96" i="1"/>
  <c r="N96" i="1"/>
  <c r="L96" i="1"/>
  <c r="K96" i="1" a="1"/>
  <c r="K96" i="1" s="1"/>
  <c r="U96" i="1" s="1"/>
  <c r="J96" i="1" a="1"/>
  <c r="J96" i="1" s="1"/>
  <c r="H96" i="1" a="1"/>
  <c r="H96" i="1" s="1"/>
  <c r="AT95" i="1"/>
  <c r="AB95" i="1" s="1"/>
  <c r="AS95" i="1"/>
  <c r="AA95" i="1" s="1"/>
  <c r="AO95" i="1"/>
  <c r="AN95" i="1"/>
  <c r="AM95" i="1"/>
  <c r="AL95" i="1"/>
  <c r="AK95" i="1"/>
  <c r="AJ95" i="1"/>
  <c r="AI95" i="1"/>
  <c r="AH95" i="1"/>
  <c r="AG95" i="1"/>
  <c r="AF95" i="1"/>
  <c r="AE95" i="1"/>
  <c r="AD95" i="1"/>
  <c r="AC95" i="1"/>
  <c r="Z95" i="1"/>
  <c r="W95" i="1"/>
  <c r="Y95" i="1" s="1"/>
  <c r="V95" i="1"/>
  <c r="T95" i="1"/>
  <c r="R95" i="1"/>
  <c r="Q95" i="1" a="1"/>
  <c r="Q95" i="1" s="1"/>
  <c r="P95" i="1"/>
  <c r="N95" i="1"/>
  <c r="L95" i="1"/>
  <c r="K95" i="1" a="1"/>
  <c r="K95" i="1" s="1"/>
  <c r="U95" i="1" s="1"/>
  <c r="J95" i="1" a="1"/>
  <c r="J95" i="1" s="1"/>
  <c r="H95" i="1" a="1"/>
  <c r="H95" i="1" s="1"/>
  <c r="AT94" i="1"/>
  <c r="AB94" i="1" s="1"/>
  <c r="AS94" i="1"/>
  <c r="AA94" i="1" s="1"/>
  <c r="AO94" i="1"/>
  <c r="AN94" i="1"/>
  <c r="AM94" i="1"/>
  <c r="AL94" i="1"/>
  <c r="AK94" i="1"/>
  <c r="AJ94" i="1"/>
  <c r="AI94" i="1"/>
  <c r="AH94" i="1"/>
  <c r="AG94" i="1"/>
  <c r="AF94" i="1"/>
  <c r="AE94" i="1"/>
  <c r="AD94" i="1"/>
  <c r="AC94" i="1"/>
  <c r="Z94" i="1"/>
  <c r="W94" i="1"/>
  <c r="Y94" i="1" s="1"/>
  <c r="V94" i="1"/>
  <c r="T94" i="1"/>
  <c r="R94" i="1"/>
  <c r="Q94" i="1" a="1"/>
  <c r="Q94" i="1" s="1"/>
  <c r="P94" i="1"/>
  <c r="N94" i="1"/>
  <c r="L94" i="1"/>
  <c r="K94" i="1" a="1"/>
  <c r="K94" i="1" s="1"/>
  <c r="U94" i="1" s="1"/>
  <c r="J94" i="1" a="1"/>
  <c r="J94" i="1" s="1"/>
  <c r="H94" i="1" a="1"/>
  <c r="H94" i="1" s="1"/>
  <c r="AU93" i="1"/>
  <c r="AC93" i="1" s="1"/>
  <c r="AT93" i="1"/>
  <c r="AB93" i="1" s="1"/>
  <c r="AS93" i="1"/>
  <c r="AA93" i="1" s="1"/>
  <c r="AO93" i="1"/>
  <c r="AN93" i="1"/>
  <c r="AM93" i="1"/>
  <c r="AL93" i="1"/>
  <c r="AK93" i="1"/>
  <c r="AJ93" i="1"/>
  <c r="AI93" i="1"/>
  <c r="AH93" i="1"/>
  <c r="AG93" i="1"/>
  <c r="AF93" i="1"/>
  <c r="AE93" i="1"/>
  <c r="AD93" i="1"/>
  <c r="Z93" i="1"/>
  <c r="W93" i="1"/>
  <c r="X93" i="1" s="1"/>
  <c r="V93" i="1"/>
  <c r="T93" i="1"/>
  <c r="R93" i="1"/>
  <c r="Q93" i="1" a="1"/>
  <c r="Q93" i="1" s="1"/>
  <c r="P93" i="1"/>
  <c r="N93" i="1"/>
  <c r="L93" i="1"/>
  <c r="K93" i="1" a="1"/>
  <c r="K93" i="1" s="1"/>
  <c r="U93" i="1" s="1"/>
  <c r="J93" i="1" a="1"/>
  <c r="J93" i="1" s="1"/>
  <c r="H93" i="1" a="1"/>
  <c r="H93" i="1" s="1"/>
  <c r="AX92" i="1"/>
  <c r="AF92" i="1" s="1"/>
  <c r="AW92" i="1"/>
  <c r="AE92" i="1" s="1"/>
  <c r="AV92" i="1"/>
  <c r="AD92" i="1" s="1"/>
  <c r="AU92" i="1"/>
  <c r="AC92" i="1" s="1"/>
  <c r="AT92" i="1"/>
  <c r="AB92" i="1" s="1"/>
  <c r="AS92" i="1"/>
  <c r="AA92" i="1" s="1"/>
  <c r="AO92" i="1"/>
  <c r="AN92" i="1"/>
  <c r="AM92" i="1"/>
  <c r="AL92" i="1"/>
  <c r="AK92" i="1"/>
  <c r="AJ92" i="1"/>
  <c r="AI92" i="1"/>
  <c r="AH92" i="1"/>
  <c r="AG92" i="1"/>
  <c r="Z92" i="1"/>
  <c r="W92" i="1"/>
  <c r="X92" i="1" s="1"/>
  <c r="V92" i="1"/>
  <c r="T92" i="1"/>
  <c r="R92" i="1"/>
  <c r="Q92" i="1" a="1"/>
  <c r="Q92" i="1" s="1"/>
  <c r="P92" i="1"/>
  <c r="N92" i="1"/>
  <c r="L92" i="1"/>
  <c r="K92" i="1" a="1"/>
  <c r="K92" i="1" s="1"/>
  <c r="U92" i="1" s="1"/>
  <c r="J92" i="1" a="1"/>
  <c r="J92" i="1" s="1"/>
  <c r="H92" i="1" a="1"/>
  <c r="H92" i="1" s="1"/>
  <c r="AV91" i="1"/>
  <c r="AD91" i="1" s="1"/>
  <c r="AU91" i="1"/>
  <c r="AC91" i="1" s="1"/>
  <c r="AT91" i="1"/>
  <c r="AB91" i="1" s="1"/>
  <c r="AS91" i="1"/>
  <c r="AA91" i="1" s="1"/>
  <c r="AO91" i="1"/>
  <c r="AN91" i="1"/>
  <c r="AM91" i="1"/>
  <c r="AL91" i="1"/>
  <c r="AK91" i="1"/>
  <c r="AJ91" i="1"/>
  <c r="AI91" i="1"/>
  <c r="AH91" i="1"/>
  <c r="AG91" i="1"/>
  <c r="AF91" i="1"/>
  <c r="AE91" i="1"/>
  <c r="Z91" i="1"/>
  <c r="W91" i="1"/>
  <c r="Y91" i="1" s="1"/>
  <c r="V91" i="1"/>
  <c r="T91" i="1"/>
  <c r="R91" i="1"/>
  <c r="Q91" i="1" a="1"/>
  <c r="Q91" i="1" s="1"/>
  <c r="P91" i="1"/>
  <c r="N91" i="1"/>
  <c r="L91" i="1"/>
  <c r="K91" i="1" a="1"/>
  <c r="K91" i="1" s="1"/>
  <c r="U91" i="1" s="1"/>
  <c r="J91" i="1" a="1"/>
  <c r="J91" i="1" s="1"/>
  <c r="H91" i="1" a="1"/>
  <c r="H91" i="1" s="1"/>
  <c r="AS90" i="1"/>
  <c r="AA90" i="1" s="1"/>
  <c r="AO90" i="1"/>
  <c r="AN90" i="1"/>
  <c r="AM90" i="1"/>
  <c r="AL90" i="1"/>
  <c r="AK90" i="1"/>
  <c r="AJ90" i="1"/>
  <c r="AI90" i="1"/>
  <c r="AH90" i="1"/>
  <c r="AG90" i="1"/>
  <c r="AF90" i="1"/>
  <c r="AE90" i="1"/>
  <c r="AD90" i="1"/>
  <c r="AC90" i="1"/>
  <c r="AB90" i="1"/>
  <c r="Z90" i="1"/>
  <c r="W90" i="1"/>
  <c r="Y90" i="1" s="1"/>
  <c r="V90" i="1"/>
  <c r="T90" i="1"/>
  <c r="R90" i="1"/>
  <c r="Q90" i="1" a="1"/>
  <c r="Q90" i="1" s="1"/>
  <c r="P90" i="1"/>
  <c r="N90" i="1"/>
  <c r="L90" i="1"/>
  <c r="K90" i="1" a="1"/>
  <c r="K90" i="1" s="1"/>
  <c r="U90" i="1" s="1"/>
  <c r="J90" i="1" a="1"/>
  <c r="J90" i="1" s="1"/>
  <c r="H90" i="1" a="1"/>
  <c r="H90" i="1" s="1"/>
  <c r="AT89" i="1"/>
  <c r="AB89" i="1" s="1"/>
  <c r="AS89" i="1"/>
  <c r="AA89" i="1" s="1"/>
  <c r="AO89" i="1"/>
  <c r="AN89" i="1"/>
  <c r="AM89" i="1"/>
  <c r="AL89" i="1"/>
  <c r="AK89" i="1"/>
  <c r="AJ89" i="1"/>
  <c r="AI89" i="1"/>
  <c r="AH89" i="1"/>
  <c r="AG89" i="1"/>
  <c r="AF89" i="1"/>
  <c r="AE89" i="1"/>
  <c r="AD89" i="1"/>
  <c r="AC89" i="1"/>
  <c r="Z89" i="1"/>
  <c r="W89" i="1"/>
  <c r="Y89" i="1" s="1"/>
  <c r="V89" i="1"/>
  <c r="Q89" i="1" a="1"/>
  <c r="Q89" i="1" s="1"/>
  <c r="AS88" i="1"/>
  <c r="AA88" i="1" s="1"/>
  <c r="AO88" i="1"/>
  <c r="AN88" i="1"/>
  <c r="AM88" i="1"/>
  <c r="AL88" i="1"/>
  <c r="AK88" i="1"/>
  <c r="AJ88" i="1"/>
  <c r="AI88" i="1"/>
  <c r="AH88" i="1"/>
  <c r="AG88" i="1"/>
  <c r="AF88" i="1"/>
  <c r="AE88" i="1"/>
  <c r="AD88" i="1"/>
  <c r="AC88" i="1"/>
  <c r="AB88" i="1"/>
  <c r="Z88" i="1"/>
  <c r="W88" i="1"/>
  <c r="X88" i="1" s="1"/>
  <c r="V88" i="1"/>
  <c r="T88" i="1"/>
  <c r="R88" i="1"/>
  <c r="Q88" i="1" a="1"/>
  <c r="Q88" i="1" s="1"/>
  <c r="P88" i="1"/>
  <c r="N88" i="1"/>
  <c r="L88" i="1"/>
  <c r="K88" i="1" a="1"/>
  <c r="K88" i="1" s="1"/>
  <c r="U88" i="1" s="1"/>
  <c r="J88" i="1" a="1"/>
  <c r="J88" i="1" s="1"/>
  <c r="H88" i="1" a="1"/>
  <c r="H88" i="1" s="1"/>
  <c r="AT87" i="1"/>
  <c r="AB87" i="1" s="1"/>
  <c r="AS87" i="1"/>
  <c r="AA87" i="1" s="1"/>
  <c r="AO87" i="1"/>
  <c r="AN87" i="1"/>
  <c r="AM87" i="1"/>
  <c r="AL87" i="1"/>
  <c r="AK87" i="1"/>
  <c r="AJ87" i="1"/>
  <c r="AI87" i="1"/>
  <c r="AH87" i="1"/>
  <c r="AG87" i="1"/>
  <c r="AF87" i="1"/>
  <c r="AE87" i="1"/>
  <c r="AD87" i="1"/>
  <c r="AC87" i="1"/>
  <c r="Z87" i="1"/>
  <c r="W87" i="1"/>
  <c r="X87" i="1" s="1"/>
  <c r="V87" i="1"/>
  <c r="T87" i="1"/>
  <c r="R87" i="1"/>
  <c r="Q87" i="1" a="1"/>
  <c r="Q87" i="1" s="1"/>
  <c r="P87" i="1"/>
  <c r="N87" i="1"/>
  <c r="L87" i="1"/>
  <c r="K87" i="1" a="1"/>
  <c r="K87" i="1" s="1"/>
  <c r="U87" i="1" s="1"/>
  <c r="J87" i="1" a="1"/>
  <c r="J87" i="1" s="1"/>
  <c r="H87" i="1" a="1"/>
  <c r="H87" i="1" s="1"/>
  <c r="AS86" i="1"/>
  <c r="AA86" i="1" s="1"/>
  <c r="AO86" i="1"/>
  <c r="AN86" i="1"/>
  <c r="AM86" i="1"/>
  <c r="AL86" i="1"/>
  <c r="AK86" i="1"/>
  <c r="AJ86" i="1"/>
  <c r="AI86" i="1"/>
  <c r="AH86" i="1"/>
  <c r="AG86" i="1"/>
  <c r="AF86" i="1"/>
  <c r="AE86" i="1"/>
  <c r="AD86" i="1"/>
  <c r="AC86" i="1"/>
  <c r="AB86" i="1"/>
  <c r="Z86" i="1"/>
  <c r="W86" i="1"/>
  <c r="Y86" i="1" s="1"/>
  <c r="V86" i="1"/>
  <c r="T86" i="1"/>
  <c r="R86" i="1"/>
  <c r="Q86" i="1" a="1"/>
  <c r="Q86" i="1" s="1"/>
  <c r="P86" i="1"/>
  <c r="N86" i="1"/>
  <c r="L86" i="1"/>
  <c r="K86" i="1" a="1"/>
  <c r="K86" i="1" s="1"/>
  <c r="U86" i="1" s="1"/>
  <c r="J86" i="1" a="1"/>
  <c r="J86" i="1" s="1"/>
  <c r="H86" i="1" a="1"/>
  <c r="H86" i="1" s="1"/>
  <c r="AS85" i="1"/>
  <c r="AA85" i="1" s="1"/>
  <c r="AO85" i="1"/>
  <c r="AN85" i="1"/>
  <c r="AM85" i="1"/>
  <c r="AL85" i="1"/>
  <c r="AK85" i="1"/>
  <c r="AJ85" i="1"/>
  <c r="AI85" i="1"/>
  <c r="AH85" i="1"/>
  <c r="AG85" i="1"/>
  <c r="AF85" i="1"/>
  <c r="AE85" i="1"/>
  <c r="AD85" i="1"/>
  <c r="AC85" i="1"/>
  <c r="AB85" i="1"/>
  <c r="Z85" i="1"/>
  <c r="W85" i="1"/>
  <c r="Y85" i="1" s="1"/>
  <c r="V85" i="1"/>
  <c r="T85" i="1"/>
  <c r="R85" i="1"/>
  <c r="Q85" i="1" a="1"/>
  <c r="Q85" i="1" s="1"/>
  <c r="P85" i="1"/>
  <c r="N85" i="1"/>
  <c r="L85" i="1"/>
  <c r="K85" i="1" a="1"/>
  <c r="K85" i="1" s="1"/>
  <c r="U85" i="1" s="1"/>
  <c r="J85" i="1" a="1"/>
  <c r="J85" i="1" s="1"/>
  <c r="H85" i="1" a="1"/>
  <c r="H85" i="1" s="1"/>
  <c r="AS84" i="1"/>
  <c r="AA84" i="1" s="1"/>
  <c r="AO84" i="1"/>
  <c r="AN84" i="1"/>
  <c r="AM84" i="1"/>
  <c r="AL84" i="1"/>
  <c r="AK84" i="1"/>
  <c r="AJ84" i="1"/>
  <c r="AI84" i="1"/>
  <c r="AH84" i="1"/>
  <c r="AG84" i="1"/>
  <c r="AF84" i="1"/>
  <c r="AE84" i="1"/>
  <c r="AD84" i="1"/>
  <c r="AC84" i="1"/>
  <c r="AB84" i="1"/>
  <c r="Z84" i="1"/>
  <c r="W84" i="1"/>
  <c r="Y84" i="1" s="1"/>
  <c r="V84" i="1"/>
  <c r="T84" i="1"/>
  <c r="R84" i="1"/>
  <c r="Q84" i="1" a="1"/>
  <c r="Q84" i="1" s="1"/>
  <c r="P84" i="1"/>
  <c r="N84" i="1"/>
  <c r="L84" i="1"/>
  <c r="K84" i="1" a="1"/>
  <c r="K84" i="1" s="1"/>
  <c r="U84" i="1" s="1"/>
  <c r="J84" i="1" a="1"/>
  <c r="J84" i="1" s="1"/>
  <c r="H84" i="1" a="1"/>
  <c r="H84" i="1" s="1"/>
  <c r="Z83" i="1"/>
  <c r="W83" i="1"/>
  <c r="Y83" i="1" s="1"/>
  <c r="V83" i="1"/>
  <c r="AS82" i="1"/>
  <c r="AA82" i="1" s="1"/>
  <c r="AO82" i="1"/>
  <c r="AN82" i="1"/>
  <c r="AM82" i="1"/>
  <c r="AL82" i="1"/>
  <c r="AK82" i="1"/>
  <c r="AJ82" i="1"/>
  <c r="AI82" i="1"/>
  <c r="AH82" i="1"/>
  <c r="AG82" i="1"/>
  <c r="AF82" i="1"/>
  <c r="AE82" i="1"/>
  <c r="AD82" i="1"/>
  <c r="AC82" i="1"/>
  <c r="AB82" i="1"/>
  <c r="Z82" i="1"/>
  <c r="W82" i="1"/>
  <c r="Y82" i="1" s="1"/>
  <c r="V82" i="1"/>
  <c r="T82" i="1"/>
  <c r="R82" i="1"/>
  <c r="Q82" i="1" a="1"/>
  <c r="Q82" i="1" s="1"/>
  <c r="P82" i="1"/>
  <c r="N82" i="1"/>
  <c r="L82" i="1"/>
  <c r="K82" i="1" a="1"/>
  <c r="K82" i="1" s="1"/>
  <c r="U82" i="1" s="1"/>
  <c r="J82" i="1" a="1"/>
  <c r="J82" i="1" s="1"/>
  <c r="H82" i="1" a="1"/>
  <c r="H82" i="1" s="1"/>
  <c r="AV81" i="1"/>
  <c r="AD81" i="1" s="1"/>
  <c r="AU81" i="1"/>
  <c r="AC81" i="1" s="1"/>
  <c r="AT81" i="1"/>
  <c r="AB81" i="1" s="1"/>
  <c r="AS81" i="1"/>
  <c r="AA81" i="1" s="1"/>
  <c r="AO81" i="1"/>
  <c r="AN81" i="1"/>
  <c r="AM81" i="1"/>
  <c r="AL81" i="1"/>
  <c r="AK81" i="1"/>
  <c r="AJ81" i="1"/>
  <c r="AI81" i="1"/>
  <c r="AH81" i="1"/>
  <c r="AG81" i="1"/>
  <c r="AF81" i="1"/>
  <c r="AE81" i="1"/>
  <c r="Z81" i="1"/>
  <c r="W81" i="1"/>
  <c r="Y81" i="1" s="1"/>
  <c r="V81" i="1"/>
  <c r="T81" i="1"/>
  <c r="R81" i="1"/>
  <c r="Q81" i="1" a="1"/>
  <c r="Q81" i="1" s="1"/>
  <c r="P81" i="1"/>
  <c r="N81" i="1"/>
  <c r="L81" i="1"/>
  <c r="K81" i="1" a="1"/>
  <c r="K81" i="1" s="1"/>
  <c r="U81" i="1" s="1"/>
  <c r="J81" i="1" a="1"/>
  <c r="J81" i="1" s="1"/>
  <c r="H81" i="1" a="1"/>
  <c r="H81" i="1" s="1"/>
  <c r="AZ80" i="1"/>
  <c r="AH80" i="1" s="1"/>
  <c r="AY80" i="1"/>
  <c r="AG80" i="1" s="1"/>
  <c r="AX80" i="1"/>
  <c r="AF80" i="1" s="1"/>
  <c r="AW80" i="1"/>
  <c r="AE80" i="1" s="1"/>
  <c r="AV80" i="1"/>
  <c r="AD80" i="1" s="1"/>
  <c r="AU80" i="1"/>
  <c r="AC80" i="1" s="1"/>
  <c r="AT80" i="1"/>
  <c r="AB80" i="1" s="1"/>
  <c r="AS80" i="1"/>
  <c r="AA80" i="1" s="1"/>
  <c r="AO80" i="1"/>
  <c r="AN80" i="1"/>
  <c r="AM80" i="1"/>
  <c r="AL80" i="1"/>
  <c r="AK80" i="1"/>
  <c r="AJ80" i="1"/>
  <c r="AI80" i="1"/>
  <c r="Z80" i="1"/>
  <c r="W80" i="1"/>
  <c r="Y80" i="1" s="1"/>
  <c r="V80" i="1"/>
  <c r="T80" i="1"/>
  <c r="R80" i="1"/>
  <c r="Q80" i="1" a="1"/>
  <c r="Q80" i="1" s="1"/>
  <c r="P80" i="1"/>
  <c r="N80" i="1"/>
  <c r="L80" i="1"/>
  <c r="K80" i="1" a="1"/>
  <c r="K80" i="1" s="1"/>
  <c r="U80" i="1" s="1"/>
  <c r="J80" i="1" a="1"/>
  <c r="J80" i="1" s="1"/>
  <c r="H80" i="1" a="1"/>
  <c r="H80" i="1" s="1"/>
  <c r="AS79" i="1"/>
  <c r="AA79" i="1" s="1"/>
  <c r="AO79" i="1"/>
  <c r="AN79" i="1"/>
  <c r="AM79" i="1"/>
  <c r="AL79" i="1"/>
  <c r="AK79" i="1"/>
  <c r="AJ79" i="1"/>
  <c r="AI79" i="1"/>
  <c r="AH79" i="1"/>
  <c r="AG79" i="1"/>
  <c r="AF79" i="1"/>
  <c r="AE79" i="1"/>
  <c r="AD79" i="1"/>
  <c r="AC79" i="1"/>
  <c r="AB79" i="1"/>
  <c r="Z79" i="1"/>
  <c r="W79" i="1"/>
  <c r="Y79" i="1" s="1"/>
  <c r="V79" i="1"/>
  <c r="T79" i="1"/>
  <c r="R79" i="1"/>
  <c r="Q79" i="1" a="1"/>
  <c r="Q79" i="1" s="1"/>
  <c r="P79" i="1"/>
  <c r="N79" i="1"/>
  <c r="L79" i="1"/>
  <c r="K79" i="1" a="1"/>
  <c r="K79" i="1" s="1"/>
  <c r="U79" i="1" s="1"/>
  <c r="J79" i="1" a="1"/>
  <c r="J79" i="1" s="1"/>
  <c r="H79" i="1" a="1"/>
  <c r="H79" i="1" s="1"/>
  <c r="AS78" i="1"/>
  <c r="AA78" i="1" s="1"/>
  <c r="AO78" i="1"/>
  <c r="AN78" i="1"/>
  <c r="AM78" i="1"/>
  <c r="AL78" i="1"/>
  <c r="AK78" i="1"/>
  <c r="AJ78" i="1"/>
  <c r="AI78" i="1"/>
  <c r="AH78" i="1"/>
  <c r="AG78" i="1"/>
  <c r="AF78" i="1"/>
  <c r="AE78" i="1"/>
  <c r="AD78" i="1"/>
  <c r="AC78" i="1"/>
  <c r="AB78" i="1"/>
  <c r="Z78" i="1"/>
  <c r="W78" i="1"/>
  <c r="Y78" i="1" s="1"/>
  <c r="V78" i="1"/>
  <c r="T78" i="1"/>
  <c r="R78" i="1"/>
  <c r="Q78" i="1" a="1"/>
  <c r="Q78" i="1" s="1"/>
  <c r="P78" i="1"/>
  <c r="N78" i="1"/>
  <c r="L78" i="1"/>
  <c r="K78" i="1" a="1"/>
  <c r="K78" i="1" s="1"/>
  <c r="U78" i="1" s="1"/>
  <c r="J78" i="1" a="1"/>
  <c r="J78" i="1" s="1"/>
  <c r="H78" i="1" a="1"/>
  <c r="H78" i="1" s="1"/>
  <c r="AS77" i="1"/>
  <c r="AA77" i="1" s="1"/>
  <c r="AO77" i="1"/>
  <c r="AN77" i="1"/>
  <c r="AM77" i="1"/>
  <c r="AL77" i="1"/>
  <c r="AK77" i="1"/>
  <c r="AJ77" i="1"/>
  <c r="AI77" i="1"/>
  <c r="AH77" i="1"/>
  <c r="AG77" i="1"/>
  <c r="AF77" i="1"/>
  <c r="AE77" i="1"/>
  <c r="AD77" i="1"/>
  <c r="AC77" i="1"/>
  <c r="AB77" i="1"/>
  <c r="Z77" i="1"/>
  <c r="W77" i="1"/>
  <c r="Y77" i="1" s="1"/>
  <c r="V77" i="1"/>
  <c r="T77" i="1"/>
  <c r="R77" i="1"/>
  <c r="Q77" i="1" a="1"/>
  <c r="Q77" i="1" s="1"/>
  <c r="P77" i="1"/>
  <c r="N77" i="1"/>
  <c r="L77" i="1"/>
  <c r="K77" i="1" a="1"/>
  <c r="K77" i="1" s="1"/>
  <c r="U77" i="1" s="1"/>
  <c r="J77" i="1" a="1"/>
  <c r="J77" i="1" s="1"/>
  <c r="H77" i="1" a="1"/>
  <c r="H77" i="1" s="1"/>
  <c r="I77" i="1" s="1"/>
  <c r="S77" i="1" s="1"/>
  <c r="AS76" i="1"/>
  <c r="AA76" i="1" s="1"/>
  <c r="AO76" i="1"/>
  <c r="AN76" i="1"/>
  <c r="AM76" i="1"/>
  <c r="AL76" i="1"/>
  <c r="AK76" i="1"/>
  <c r="AJ76" i="1"/>
  <c r="AI76" i="1"/>
  <c r="AH76" i="1"/>
  <c r="AG76" i="1"/>
  <c r="AF76" i="1"/>
  <c r="AE76" i="1"/>
  <c r="AD76" i="1"/>
  <c r="AC76" i="1"/>
  <c r="AB76" i="1"/>
  <c r="Z76" i="1"/>
  <c r="W76" i="1"/>
  <c r="Y76" i="1" s="1"/>
  <c r="V76" i="1"/>
  <c r="AS75" i="1"/>
  <c r="AA75" i="1" s="1"/>
  <c r="AO75" i="1"/>
  <c r="AN75" i="1"/>
  <c r="AM75" i="1"/>
  <c r="AL75" i="1"/>
  <c r="AK75" i="1"/>
  <c r="AJ75" i="1"/>
  <c r="AI75" i="1"/>
  <c r="AH75" i="1"/>
  <c r="AG75" i="1"/>
  <c r="AF75" i="1"/>
  <c r="AE75" i="1"/>
  <c r="AD75" i="1"/>
  <c r="AC75" i="1"/>
  <c r="AB75" i="1"/>
  <c r="Z75" i="1"/>
  <c r="W75" i="1"/>
  <c r="Y75" i="1" s="1"/>
  <c r="V75" i="1"/>
  <c r="T75" i="1"/>
  <c r="R75" i="1"/>
  <c r="Q75" i="1" a="1"/>
  <c r="Q75" i="1" s="1"/>
  <c r="P75" i="1"/>
  <c r="N75" i="1"/>
  <c r="L75" i="1"/>
  <c r="K75" i="1" a="1"/>
  <c r="K75" i="1" s="1"/>
  <c r="U75" i="1" s="1"/>
  <c r="J75" i="1" a="1"/>
  <c r="J75" i="1" s="1"/>
  <c r="H75" i="1" a="1"/>
  <c r="H75" i="1" s="1"/>
  <c r="BF74" i="1"/>
  <c r="AN74" i="1" s="1"/>
  <c r="BE74" i="1"/>
  <c r="AM74" i="1" s="1"/>
  <c r="BD74" i="1"/>
  <c r="AL74" i="1" s="1"/>
  <c r="BC74" i="1"/>
  <c r="AK74" i="1" s="1"/>
  <c r="BB74" i="1"/>
  <c r="AJ74" i="1" s="1"/>
  <c r="BA74" i="1"/>
  <c r="AI74" i="1" s="1"/>
  <c r="AZ74" i="1"/>
  <c r="AH74" i="1" s="1"/>
  <c r="AY74" i="1"/>
  <c r="AG74" i="1" s="1"/>
  <c r="AX74" i="1"/>
  <c r="AF74" i="1" s="1"/>
  <c r="AW74" i="1"/>
  <c r="AE74" i="1" s="1"/>
  <c r="AV74" i="1"/>
  <c r="AD74" i="1" s="1"/>
  <c r="AU74" i="1"/>
  <c r="AC74" i="1" s="1"/>
  <c r="AT74" i="1"/>
  <c r="AB74" i="1" s="1"/>
  <c r="AS74" i="1"/>
  <c r="AA74" i="1" s="1"/>
  <c r="AO74" i="1"/>
  <c r="Z74" i="1"/>
  <c r="W74" i="1"/>
  <c r="Y74" i="1" s="1"/>
  <c r="V74" i="1"/>
  <c r="T74" i="1"/>
  <c r="R74" i="1"/>
  <c r="Q74" i="1" a="1"/>
  <c r="Q74" i="1" s="1"/>
  <c r="P74" i="1"/>
  <c r="N74" i="1"/>
  <c r="L74" i="1"/>
  <c r="K74" i="1" a="1"/>
  <c r="K74" i="1" s="1"/>
  <c r="U74" i="1" s="1"/>
  <c r="J74" i="1" a="1"/>
  <c r="J74" i="1" s="1"/>
  <c r="H74" i="1" a="1"/>
  <c r="H74" i="1" s="1"/>
  <c r="I74" i="1" s="1"/>
  <c r="S74" i="1" s="1"/>
  <c r="AS73" i="1"/>
  <c r="AA73" i="1" s="1"/>
  <c r="AO73" i="1"/>
  <c r="AN73" i="1"/>
  <c r="AM73" i="1"/>
  <c r="AL73" i="1"/>
  <c r="AK73" i="1"/>
  <c r="AJ73" i="1"/>
  <c r="AI73" i="1"/>
  <c r="AH73" i="1"/>
  <c r="AG73" i="1"/>
  <c r="AF73" i="1"/>
  <c r="AE73" i="1"/>
  <c r="AD73" i="1"/>
  <c r="AC73" i="1"/>
  <c r="AB73" i="1"/>
  <c r="Z73" i="1"/>
  <c r="W73" i="1"/>
  <c r="Y73" i="1" s="1"/>
  <c r="V73" i="1"/>
  <c r="T73" i="1"/>
  <c r="R73" i="1"/>
  <c r="Q73" i="1" a="1"/>
  <c r="Q73" i="1" s="1"/>
  <c r="P73" i="1"/>
  <c r="N73" i="1"/>
  <c r="L73" i="1"/>
  <c r="K73" i="1" a="1"/>
  <c r="K73" i="1" s="1"/>
  <c r="U73" i="1" s="1"/>
  <c r="J73" i="1" a="1"/>
  <c r="J73" i="1" s="1"/>
  <c r="H73" i="1" a="1"/>
  <c r="H73" i="1" s="1"/>
  <c r="AX72" i="1"/>
  <c r="AF72" i="1" s="1"/>
  <c r="AW72" i="1"/>
  <c r="AE72" i="1" s="1"/>
  <c r="AV72" i="1"/>
  <c r="AD72" i="1" s="1"/>
  <c r="AU72" i="1"/>
  <c r="AC72" i="1" s="1"/>
  <c r="AT72" i="1"/>
  <c r="AB72" i="1" s="1"/>
  <c r="AS72" i="1"/>
  <c r="AA72" i="1" s="1"/>
  <c r="AO72" i="1"/>
  <c r="AN72" i="1"/>
  <c r="AM72" i="1"/>
  <c r="AL72" i="1"/>
  <c r="AK72" i="1"/>
  <c r="AJ72" i="1"/>
  <c r="AI72" i="1"/>
  <c r="AH72" i="1"/>
  <c r="AG72" i="1"/>
  <c r="Z72" i="1"/>
  <c r="W72" i="1"/>
  <c r="Y72" i="1" s="1"/>
  <c r="V72" i="1"/>
  <c r="T72" i="1"/>
  <c r="R72" i="1"/>
  <c r="Q72" i="1" a="1"/>
  <c r="Q72" i="1" s="1"/>
  <c r="P72" i="1"/>
  <c r="N72" i="1"/>
  <c r="L72" i="1"/>
  <c r="K72" i="1" a="1"/>
  <c r="K72" i="1" s="1"/>
  <c r="U72" i="1" s="1"/>
  <c r="J72" i="1" a="1"/>
  <c r="J72" i="1" s="1"/>
  <c r="H72" i="1" a="1"/>
  <c r="H72" i="1" s="1"/>
  <c r="AS71" i="1"/>
  <c r="AA71" i="1" s="1"/>
  <c r="AO71" i="1"/>
  <c r="AN71" i="1"/>
  <c r="AM71" i="1"/>
  <c r="AL71" i="1"/>
  <c r="AK71" i="1"/>
  <c r="AJ71" i="1"/>
  <c r="AI71" i="1"/>
  <c r="AH71" i="1"/>
  <c r="AG71" i="1"/>
  <c r="AF71" i="1"/>
  <c r="AE71" i="1"/>
  <c r="AD71" i="1"/>
  <c r="AC71" i="1"/>
  <c r="AB71" i="1"/>
  <c r="Z71" i="1"/>
  <c r="W71" i="1"/>
  <c r="X71" i="1" s="1"/>
  <c r="V71" i="1"/>
  <c r="T71" i="1"/>
  <c r="R71" i="1"/>
  <c r="Q71" i="1" a="1"/>
  <c r="Q71" i="1" s="1"/>
  <c r="P71" i="1"/>
  <c r="N71" i="1"/>
  <c r="L71" i="1"/>
  <c r="K71" i="1" a="1"/>
  <c r="K71" i="1" s="1"/>
  <c r="U71" i="1" s="1"/>
  <c r="J71" i="1" a="1"/>
  <c r="J71" i="1" s="1"/>
  <c r="H71" i="1" a="1"/>
  <c r="H71" i="1" s="1"/>
  <c r="AS70" i="1"/>
  <c r="AA70" i="1" s="1"/>
  <c r="AO70" i="1"/>
  <c r="AN70" i="1"/>
  <c r="AM70" i="1"/>
  <c r="AL70" i="1"/>
  <c r="AK70" i="1"/>
  <c r="AJ70" i="1"/>
  <c r="AI70" i="1"/>
  <c r="AH70" i="1"/>
  <c r="AG70" i="1"/>
  <c r="AF70" i="1"/>
  <c r="AE70" i="1"/>
  <c r="AD70" i="1"/>
  <c r="AC70" i="1"/>
  <c r="AB70" i="1"/>
  <c r="Z70" i="1"/>
  <c r="W70" i="1"/>
  <c r="Y70" i="1" s="1"/>
  <c r="V70" i="1"/>
  <c r="T70" i="1"/>
  <c r="R70" i="1"/>
  <c r="Q70" i="1" a="1"/>
  <c r="Q70" i="1" s="1"/>
  <c r="P70" i="1"/>
  <c r="N70" i="1"/>
  <c r="L70" i="1"/>
  <c r="K70" i="1" a="1"/>
  <c r="K70" i="1" s="1"/>
  <c r="U70" i="1" s="1"/>
  <c r="J70" i="1" a="1"/>
  <c r="J70" i="1" s="1"/>
  <c r="H70" i="1" a="1"/>
  <c r="H70" i="1" s="1"/>
  <c r="AS69" i="1"/>
  <c r="AA69" i="1" s="1"/>
  <c r="AO69" i="1"/>
  <c r="AN69" i="1"/>
  <c r="AM69" i="1"/>
  <c r="AL69" i="1"/>
  <c r="AK69" i="1"/>
  <c r="AJ69" i="1"/>
  <c r="AI69" i="1"/>
  <c r="AH69" i="1"/>
  <c r="AG69" i="1"/>
  <c r="AF69" i="1"/>
  <c r="AE69" i="1"/>
  <c r="AD69" i="1"/>
  <c r="AC69" i="1"/>
  <c r="AB69" i="1"/>
  <c r="Z69" i="1"/>
  <c r="W69" i="1"/>
  <c r="Y69" i="1" s="1"/>
  <c r="V69" i="1"/>
  <c r="AU68" i="1"/>
  <c r="AC68" i="1" s="1"/>
  <c r="AT68" i="1"/>
  <c r="AB68" i="1" s="1"/>
  <c r="AS68" i="1"/>
  <c r="AA68" i="1" s="1"/>
  <c r="AO68" i="1"/>
  <c r="AN68" i="1"/>
  <c r="AM68" i="1"/>
  <c r="AL68" i="1"/>
  <c r="AK68" i="1"/>
  <c r="AJ68" i="1"/>
  <c r="AI68" i="1"/>
  <c r="AH68" i="1"/>
  <c r="AG68" i="1"/>
  <c r="AF68" i="1"/>
  <c r="AE68" i="1"/>
  <c r="AD68" i="1"/>
  <c r="Z68" i="1"/>
  <c r="Y68" i="1"/>
  <c r="W68" i="1"/>
  <c r="X68" i="1" s="1"/>
  <c r="V68" i="1"/>
  <c r="T68" i="1"/>
  <c r="R68" i="1"/>
  <c r="Q68" i="1" a="1"/>
  <c r="Q68" i="1" s="1"/>
  <c r="P68" i="1"/>
  <c r="N68" i="1"/>
  <c r="L68" i="1"/>
  <c r="K68" i="1" a="1"/>
  <c r="K68" i="1" s="1"/>
  <c r="U68" i="1" s="1"/>
  <c r="J68" i="1" a="1"/>
  <c r="J68" i="1" s="1"/>
  <c r="H68" i="1" a="1"/>
  <c r="H68" i="1" s="1"/>
  <c r="AS67" i="1"/>
  <c r="AA67" i="1" s="1"/>
  <c r="AO67" i="1"/>
  <c r="AN67" i="1"/>
  <c r="AM67" i="1"/>
  <c r="AL67" i="1"/>
  <c r="AK67" i="1"/>
  <c r="AJ67" i="1"/>
  <c r="AI67" i="1"/>
  <c r="AH67" i="1"/>
  <c r="AG67" i="1"/>
  <c r="AF67" i="1"/>
  <c r="AE67" i="1"/>
  <c r="AD67" i="1"/>
  <c r="AC67" i="1"/>
  <c r="AB67" i="1"/>
  <c r="Z67" i="1"/>
  <c r="W67" i="1"/>
  <c r="X67" i="1" s="1"/>
  <c r="V67" i="1"/>
  <c r="T67" i="1"/>
  <c r="R67" i="1"/>
  <c r="Q67" i="1" a="1"/>
  <c r="Q67" i="1" s="1"/>
  <c r="P67" i="1"/>
  <c r="N67" i="1"/>
  <c r="L67" i="1"/>
  <c r="K67" i="1" a="1"/>
  <c r="K67" i="1" s="1"/>
  <c r="U67" i="1" s="1"/>
  <c r="J67" i="1" a="1"/>
  <c r="J67" i="1" s="1"/>
  <c r="H67" i="1" a="1"/>
  <c r="H67" i="1" s="1"/>
  <c r="AS66" i="1"/>
  <c r="AA66" i="1" s="1"/>
  <c r="AO66" i="1"/>
  <c r="AN66" i="1"/>
  <c r="AM66" i="1"/>
  <c r="AL66" i="1"/>
  <c r="AK66" i="1"/>
  <c r="AJ66" i="1"/>
  <c r="AI66" i="1"/>
  <c r="AH66" i="1"/>
  <c r="AG66" i="1"/>
  <c r="AF66" i="1"/>
  <c r="AE66" i="1"/>
  <c r="AD66" i="1"/>
  <c r="AC66" i="1"/>
  <c r="AB66" i="1"/>
  <c r="Z66" i="1"/>
  <c r="W66" i="1"/>
  <c r="Y66" i="1" s="1"/>
  <c r="V66" i="1"/>
  <c r="L66" i="1"/>
  <c r="K66" i="1" a="1"/>
  <c r="K66" i="1" s="1"/>
  <c r="J66" i="1" a="1"/>
  <c r="J66" i="1" s="1"/>
  <c r="H66" i="1" a="1"/>
  <c r="H66" i="1" s="1"/>
  <c r="AS65" i="1"/>
  <c r="AA65" i="1" s="1"/>
  <c r="AO65" i="1"/>
  <c r="AN65" i="1"/>
  <c r="AM65" i="1"/>
  <c r="AL65" i="1"/>
  <c r="AK65" i="1"/>
  <c r="AJ65" i="1"/>
  <c r="AI65" i="1"/>
  <c r="AH65" i="1"/>
  <c r="AG65" i="1"/>
  <c r="AF65" i="1"/>
  <c r="AE65" i="1"/>
  <c r="AD65" i="1"/>
  <c r="AC65" i="1"/>
  <c r="AB65" i="1"/>
  <c r="Z65" i="1"/>
  <c r="W65" i="1"/>
  <c r="X65" i="1" s="1"/>
  <c r="V65" i="1"/>
  <c r="T65" i="1"/>
  <c r="R65" i="1"/>
  <c r="Q65" i="1" a="1"/>
  <c r="Q65" i="1" s="1"/>
  <c r="P65" i="1"/>
  <c r="N65" i="1"/>
  <c r="L65" i="1"/>
  <c r="K65" i="1" a="1"/>
  <c r="K65" i="1" s="1"/>
  <c r="U65" i="1" s="1"/>
  <c r="J65" i="1" a="1"/>
  <c r="J65" i="1" s="1"/>
  <c r="H65" i="1" a="1"/>
  <c r="H65" i="1" s="1"/>
  <c r="I65" i="1" s="1"/>
  <c r="S65" i="1" s="1"/>
  <c r="AS64" i="1"/>
  <c r="AA64" i="1" s="1"/>
  <c r="AO64" i="1"/>
  <c r="AN64" i="1"/>
  <c r="AM64" i="1"/>
  <c r="AL64" i="1"/>
  <c r="AK64" i="1"/>
  <c r="AJ64" i="1"/>
  <c r="AI64" i="1"/>
  <c r="AH64" i="1"/>
  <c r="AG64" i="1"/>
  <c r="AF64" i="1"/>
  <c r="AE64" i="1"/>
  <c r="AD64" i="1"/>
  <c r="AC64" i="1"/>
  <c r="AB64" i="1"/>
  <c r="Z64" i="1"/>
  <c r="X64" i="1"/>
  <c r="W64" i="1"/>
  <c r="Y64" i="1" s="1"/>
  <c r="V64" i="1"/>
  <c r="T64" i="1"/>
  <c r="R64" i="1"/>
  <c r="Q64" i="1" a="1"/>
  <c r="Q64" i="1" s="1"/>
  <c r="P64" i="1"/>
  <c r="N64" i="1"/>
  <c r="L64" i="1"/>
  <c r="K64" i="1" a="1"/>
  <c r="K64" i="1" s="1"/>
  <c r="U64" i="1" s="1"/>
  <c r="J64" i="1" a="1"/>
  <c r="J64" i="1" s="1"/>
  <c r="H64" i="1" a="1"/>
  <c r="H64" i="1" s="1"/>
  <c r="AS63" i="1"/>
  <c r="AA63" i="1" s="1"/>
  <c r="AO63" i="1"/>
  <c r="AN63" i="1"/>
  <c r="AM63" i="1"/>
  <c r="AL63" i="1"/>
  <c r="AK63" i="1"/>
  <c r="AJ63" i="1"/>
  <c r="AI63" i="1"/>
  <c r="AH63" i="1"/>
  <c r="AG63" i="1"/>
  <c r="AF63" i="1"/>
  <c r="AE63" i="1"/>
  <c r="AD63" i="1"/>
  <c r="AC63" i="1"/>
  <c r="AB63" i="1"/>
  <c r="Z63" i="1"/>
  <c r="W63" i="1"/>
  <c r="Y63" i="1" s="1"/>
  <c r="V63" i="1"/>
  <c r="T63" i="1"/>
  <c r="R63" i="1"/>
  <c r="Q63" i="1" a="1"/>
  <c r="Q63" i="1" s="1"/>
  <c r="P63" i="1"/>
  <c r="N63" i="1"/>
  <c r="L63" i="1"/>
  <c r="K63" i="1" a="1"/>
  <c r="K63" i="1" s="1"/>
  <c r="U63" i="1" s="1"/>
  <c r="J63" i="1" a="1"/>
  <c r="J63" i="1" s="1"/>
  <c r="H63" i="1" a="1"/>
  <c r="H63" i="1" s="1"/>
  <c r="AS62" i="1"/>
  <c r="AA62" i="1" s="1"/>
  <c r="AO62" i="1"/>
  <c r="AN62" i="1"/>
  <c r="AM62" i="1"/>
  <c r="AL62" i="1"/>
  <c r="AK62" i="1"/>
  <c r="AJ62" i="1"/>
  <c r="AI62" i="1"/>
  <c r="AH62" i="1"/>
  <c r="AG62" i="1"/>
  <c r="AF62" i="1"/>
  <c r="AE62" i="1"/>
  <c r="AD62" i="1"/>
  <c r="AC62" i="1"/>
  <c r="AB62" i="1"/>
  <c r="Z62" i="1"/>
  <c r="W62" i="1"/>
  <c r="Y62" i="1" s="1"/>
  <c r="V62" i="1"/>
  <c r="T62" i="1"/>
  <c r="R62" i="1"/>
  <c r="Q62" i="1" a="1"/>
  <c r="Q62" i="1" s="1"/>
  <c r="P62" i="1"/>
  <c r="N62" i="1"/>
  <c r="L62" i="1"/>
  <c r="K62" i="1" a="1"/>
  <c r="K62" i="1" s="1"/>
  <c r="U62" i="1" s="1"/>
  <c r="J62" i="1" a="1"/>
  <c r="J62" i="1" s="1"/>
  <c r="H62" i="1" a="1"/>
  <c r="H62" i="1" s="1"/>
  <c r="AU61" i="1"/>
  <c r="AC61" i="1" s="1"/>
  <c r="AT61" i="1"/>
  <c r="AB61" i="1" s="1"/>
  <c r="AS61" i="1"/>
  <c r="AA61" i="1" s="1"/>
  <c r="AO61" i="1"/>
  <c r="AN61" i="1"/>
  <c r="AM61" i="1"/>
  <c r="AL61" i="1"/>
  <c r="AK61" i="1"/>
  <c r="AJ61" i="1"/>
  <c r="AI61" i="1"/>
  <c r="AH61" i="1"/>
  <c r="AG61" i="1"/>
  <c r="AF61" i="1"/>
  <c r="AE61" i="1"/>
  <c r="AD61" i="1"/>
  <c r="Z61" i="1"/>
  <c r="W61" i="1"/>
  <c r="V61" i="1"/>
  <c r="T61" i="1"/>
  <c r="R61" i="1"/>
  <c r="Q61" i="1" a="1"/>
  <c r="Q61" i="1" s="1"/>
  <c r="P61" i="1"/>
  <c r="N61" i="1"/>
  <c r="L61" i="1"/>
  <c r="K61" i="1" a="1"/>
  <c r="K61" i="1" s="1"/>
  <c r="U61" i="1" s="1"/>
  <c r="J61" i="1" a="1"/>
  <c r="J61" i="1" s="1"/>
  <c r="H61" i="1" a="1"/>
  <c r="H61" i="1" s="1"/>
  <c r="AX60" i="1"/>
  <c r="AF60" i="1" s="1"/>
  <c r="AW60" i="1"/>
  <c r="AE60" i="1" s="1"/>
  <c r="AV60" i="1"/>
  <c r="AD60" i="1" s="1"/>
  <c r="AU60" i="1"/>
  <c r="AC60" i="1" s="1"/>
  <c r="AT60" i="1"/>
  <c r="AB60" i="1" s="1"/>
  <c r="AS60" i="1"/>
  <c r="AA60" i="1" s="1"/>
  <c r="AO60" i="1"/>
  <c r="AN60" i="1"/>
  <c r="AM60" i="1"/>
  <c r="AL60" i="1"/>
  <c r="AK60" i="1"/>
  <c r="AJ60" i="1"/>
  <c r="AI60" i="1"/>
  <c r="AH60" i="1"/>
  <c r="AG60" i="1"/>
  <c r="Z60" i="1"/>
  <c r="W60" i="1"/>
  <c r="Y60" i="1" s="1"/>
  <c r="V60" i="1"/>
  <c r="T60" i="1"/>
  <c r="R60" i="1"/>
  <c r="Q60" i="1" a="1"/>
  <c r="Q60" i="1" s="1"/>
  <c r="P60" i="1"/>
  <c r="N60" i="1"/>
  <c r="L60" i="1"/>
  <c r="K60" i="1" a="1"/>
  <c r="K60" i="1" s="1"/>
  <c r="U60" i="1" s="1"/>
  <c r="J60" i="1" a="1"/>
  <c r="J60" i="1" s="1"/>
  <c r="H60" i="1" a="1"/>
  <c r="H60" i="1" s="1"/>
  <c r="AS59" i="1"/>
  <c r="AA59" i="1" s="1"/>
  <c r="AO59" i="1"/>
  <c r="AN59" i="1"/>
  <c r="AM59" i="1"/>
  <c r="AL59" i="1"/>
  <c r="AK59" i="1"/>
  <c r="AJ59" i="1"/>
  <c r="AI59" i="1"/>
  <c r="AH59" i="1"/>
  <c r="AG59" i="1"/>
  <c r="AF59" i="1"/>
  <c r="AE59" i="1"/>
  <c r="AD59" i="1"/>
  <c r="AC59" i="1"/>
  <c r="AB59" i="1"/>
  <c r="Z59" i="1"/>
  <c r="W59" i="1"/>
  <c r="Y59" i="1" s="1"/>
  <c r="V59" i="1"/>
  <c r="T59" i="1"/>
  <c r="R59" i="1"/>
  <c r="Q59" i="1" a="1"/>
  <c r="Q59" i="1" s="1"/>
  <c r="P59" i="1"/>
  <c r="N59" i="1"/>
  <c r="L59" i="1"/>
  <c r="K59" i="1" a="1"/>
  <c r="K59" i="1" s="1"/>
  <c r="U59" i="1" s="1"/>
  <c r="J59" i="1" a="1"/>
  <c r="J59" i="1" s="1"/>
  <c r="H59" i="1" a="1"/>
  <c r="H59" i="1" s="1"/>
  <c r="I59" i="1" s="1"/>
  <c r="S59" i="1" s="1"/>
  <c r="AS58" i="1"/>
  <c r="AA58" i="1" s="1"/>
  <c r="AO58" i="1"/>
  <c r="AN58" i="1"/>
  <c r="AM58" i="1"/>
  <c r="AL58" i="1"/>
  <c r="AK58" i="1"/>
  <c r="AJ58" i="1"/>
  <c r="AI58" i="1"/>
  <c r="AH58" i="1"/>
  <c r="AG58" i="1"/>
  <c r="AF58" i="1"/>
  <c r="AE58" i="1"/>
  <c r="AD58" i="1"/>
  <c r="AC58" i="1"/>
  <c r="AB58" i="1"/>
  <c r="Z58" i="1"/>
  <c r="W58" i="1"/>
  <c r="X58" i="1" s="1"/>
  <c r="V58" i="1"/>
  <c r="AS57" i="1"/>
  <c r="AA57" i="1" s="1"/>
  <c r="AO57" i="1"/>
  <c r="AN57" i="1"/>
  <c r="AM57" i="1"/>
  <c r="AL57" i="1"/>
  <c r="AK57" i="1"/>
  <c r="AJ57" i="1"/>
  <c r="AI57" i="1"/>
  <c r="AH57" i="1"/>
  <c r="AG57" i="1"/>
  <c r="AF57" i="1"/>
  <c r="AE57" i="1"/>
  <c r="AD57" i="1"/>
  <c r="AC57" i="1"/>
  <c r="AB57" i="1"/>
  <c r="Z57" i="1"/>
  <c r="W57" i="1"/>
  <c r="Y57" i="1" s="1"/>
  <c r="V57" i="1"/>
  <c r="T57" i="1"/>
  <c r="R57" i="1"/>
  <c r="Q57" i="1" a="1"/>
  <c r="Q57" i="1" s="1"/>
  <c r="P57" i="1"/>
  <c r="N57" i="1"/>
  <c r="L57" i="1"/>
  <c r="K57" i="1" a="1"/>
  <c r="K57" i="1" s="1"/>
  <c r="U57" i="1" s="1"/>
  <c r="J57" i="1" a="1"/>
  <c r="J57" i="1" s="1"/>
  <c r="H57" i="1" a="1"/>
  <c r="H57" i="1" s="1"/>
  <c r="AS56" i="1"/>
  <c r="AA56" i="1" s="1"/>
  <c r="AO56" i="1"/>
  <c r="AN56" i="1"/>
  <c r="AM56" i="1"/>
  <c r="AL56" i="1"/>
  <c r="AK56" i="1"/>
  <c r="AJ56" i="1"/>
  <c r="AI56" i="1"/>
  <c r="AH56" i="1"/>
  <c r="AG56" i="1"/>
  <c r="AF56" i="1"/>
  <c r="AE56" i="1"/>
  <c r="AD56" i="1"/>
  <c r="AC56" i="1"/>
  <c r="AB56" i="1"/>
  <c r="Z56" i="1"/>
  <c r="W56" i="1"/>
  <c r="X56" i="1" s="1"/>
  <c r="V56" i="1"/>
  <c r="T56" i="1"/>
  <c r="R56" i="1"/>
  <c r="Q56" i="1" a="1"/>
  <c r="Q56" i="1" s="1"/>
  <c r="P56" i="1"/>
  <c r="N56" i="1"/>
  <c r="L56" i="1"/>
  <c r="K56" i="1" a="1"/>
  <c r="K56" i="1" s="1"/>
  <c r="U56" i="1" s="1"/>
  <c r="J56" i="1" a="1"/>
  <c r="J56" i="1" s="1"/>
  <c r="H56" i="1" a="1"/>
  <c r="H56" i="1" s="1"/>
  <c r="AT55" i="1"/>
  <c r="AB55" i="1" s="1"/>
  <c r="AS55" i="1"/>
  <c r="AA55" i="1" s="1"/>
  <c r="AO55" i="1"/>
  <c r="AN55" i="1"/>
  <c r="AM55" i="1"/>
  <c r="AL55" i="1"/>
  <c r="AK55" i="1"/>
  <c r="AJ55" i="1"/>
  <c r="AI55" i="1"/>
  <c r="AH55" i="1"/>
  <c r="AG55" i="1"/>
  <c r="AF55" i="1"/>
  <c r="AE55" i="1"/>
  <c r="AD55" i="1"/>
  <c r="AC55" i="1"/>
  <c r="Z55" i="1"/>
  <c r="W55" i="1"/>
  <c r="X55" i="1" s="1"/>
  <c r="V55" i="1"/>
  <c r="T55" i="1"/>
  <c r="R55" i="1"/>
  <c r="Q55" i="1" a="1"/>
  <c r="Q55" i="1" s="1"/>
  <c r="P55" i="1"/>
  <c r="N55" i="1"/>
  <c r="L55" i="1"/>
  <c r="K55" i="1" a="1"/>
  <c r="K55" i="1" s="1"/>
  <c r="U55" i="1" s="1"/>
  <c r="J55" i="1" a="1"/>
  <c r="J55" i="1" s="1"/>
  <c r="H55" i="1" a="1"/>
  <c r="H55" i="1" s="1"/>
  <c r="AU54" i="1"/>
  <c r="AC54" i="1" s="1"/>
  <c r="AT54" i="1"/>
  <c r="AB54" i="1" s="1"/>
  <c r="AS54" i="1"/>
  <c r="AA54" i="1" s="1"/>
  <c r="AO54" i="1"/>
  <c r="AN54" i="1"/>
  <c r="AM54" i="1"/>
  <c r="AL54" i="1"/>
  <c r="AK54" i="1"/>
  <c r="AJ54" i="1"/>
  <c r="AI54" i="1"/>
  <c r="AH54" i="1"/>
  <c r="AG54" i="1"/>
  <c r="AF54" i="1"/>
  <c r="AE54" i="1"/>
  <c r="AD54" i="1"/>
  <c r="Z54" i="1"/>
  <c r="W54" i="1"/>
  <c r="Y54" i="1" s="1"/>
  <c r="V54" i="1"/>
  <c r="AS53" i="1"/>
  <c r="AA53" i="1" s="1"/>
  <c r="AO53" i="1"/>
  <c r="AN53" i="1"/>
  <c r="AM53" i="1"/>
  <c r="AL53" i="1"/>
  <c r="AK53" i="1"/>
  <c r="AJ53" i="1"/>
  <c r="AI53" i="1"/>
  <c r="AH53" i="1"/>
  <c r="AG53" i="1"/>
  <c r="AF53" i="1"/>
  <c r="AE53" i="1"/>
  <c r="AD53" i="1"/>
  <c r="AC53" i="1"/>
  <c r="AB53" i="1"/>
  <c r="Z53" i="1"/>
  <c r="W53" i="1"/>
  <c r="Y53" i="1" s="1"/>
  <c r="V53" i="1"/>
  <c r="T53" i="1"/>
  <c r="R53" i="1"/>
  <c r="Q53" i="1" a="1"/>
  <c r="Q53" i="1" s="1"/>
  <c r="P53" i="1"/>
  <c r="N53" i="1"/>
  <c r="L53" i="1"/>
  <c r="K53" i="1" a="1"/>
  <c r="K53" i="1" s="1"/>
  <c r="U53" i="1" s="1"/>
  <c r="J53" i="1" a="1"/>
  <c r="J53" i="1" s="1"/>
  <c r="H53" i="1" a="1"/>
  <c r="H53" i="1" s="1"/>
  <c r="AS52" i="1"/>
  <c r="AA52" i="1" s="1"/>
  <c r="AO52" i="1"/>
  <c r="AN52" i="1"/>
  <c r="AM52" i="1"/>
  <c r="AL52" i="1"/>
  <c r="AK52" i="1"/>
  <c r="AJ52" i="1"/>
  <c r="AI52" i="1"/>
  <c r="AH52" i="1"/>
  <c r="AG52" i="1"/>
  <c r="AF52" i="1"/>
  <c r="AE52" i="1"/>
  <c r="AD52" i="1"/>
  <c r="AC52" i="1"/>
  <c r="AB52" i="1"/>
  <c r="Z52" i="1"/>
  <c r="W52" i="1"/>
  <c r="Y52" i="1" s="1"/>
  <c r="V52" i="1"/>
  <c r="T52" i="1"/>
  <c r="R52" i="1"/>
  <c r="Q52" i="1" a="1"/>
  <c r="Q52" i="1" s="1"/>
  <c r="P52" i="1"/>
  <c r="N52" i="1"/>
  <c r="L52" i="1"/>
  <c r="K52" i="1" a="1"/>
  <c r="K52" i="1" s="1"/>
  <c r="U52" i="1" s="1"/>
  <c r="J52" i="1" a="1"/>
  <c r="J52" i="1" s="1"/>
  <c r="H52" i="1" a="1"/>
  <c r="H52" i="1" s="1"/>
  <c r="AT51" i="1"/>
  <c r="AB51" i="1" s="1"/>
  <c r="AS51" i="1"/>
  <c r="AA51" i="1" s="1"/>
  <c r="AO51" i="1"/>
  <c r="AN51" i="1"/>
  <c r="AM51" i="1"/>
  <c r="AL51" i="1"/>
  <c r="AK51" i="1"/>
  <c r="AJ51" i="1"/>
  <c r="AI51" i="1"/>
  <c r="AH51" i="1"/>
  <c r="AG51" i="1"/>
  <c r="AF51" i="1"/>
  <c r="AE51" i="1"/>
  <c r="AD51" i="1"/>
  <c r="AC51" i="1"/>
  <c r="Z51" i="1"/>
  <c r="W51" i="1"/>
  <c r="Y51" i="1" s="1"/>
  <c r="V51" i="1"/>
  <c r="T51" i="1"/>
  <c r="R51" i="1"/>
  <c r="Q51" i="1" a="1"/>
  <c r="Q51" i="1" s="1"/>
  <c r="P51" i="1"/>
  <c r="N51" i="1"/>
  <c r="L51" i="1"/>
  <c r="K51" i="1" a="1"/>
  <c r="K51" i="1" s="1"/>
  <c r="U51" i="1" s="1"/>
  <c r="J51" i="1" a="1"/>
  <c r="J51" i="1" s="1"/>
  <c r="H51" i="1" a="1"/>
  <c r="H51" i="1" s="1"/>
  <c r="I51" i="1" s="1"/>
  <c r="S51" i="1" s="1"/>
  <c r="AU50" i="1"/>
  <c r="AC50" i="1" s="1"/>
  <c r="AT50" i="1"/>
  <c r="AB50" i="1" s="1"/>
  <c r="AS50" i="1"/>
  <c r="AA50" i="1" s="1"/>
  <c r="AO50" i="1"/>
  <c r="AN50" i="1"/>
  <c r="AM50" i="1"/>
  <c r="AL50" i="1"/>
  <c r="AK50" i="1"/>
  <c r="AJ50" i="1"/>
  <c r="AI50" i="1"/>
  <c r="AH50" i="1"/>
  <c r="AG50" i="1"/>
  <c r="AF50" i="1"/>
  <c r="AE50" i="1"/>
  <c r="AD50" i="1"/>
  <c r="Z50" i="1"/>
  <c r="W50" i="1"/>
  <c r="V50" i="1"/>
  <c r="T50" i="1"/>
  <c r="R50" i="1"/>
  <c r="Q50" i="1" a="1"/>
  <c r="Q50" i="1" s="1"/>
  <c r="P50" i="1"/>
  <c r="N50" i="1"/>
  <c r="L50" i="1"/>
  <c r="K50" i="1" a="1"/>
  <c r="K50" i="1" s="1"/>
  <c r="U50" i="1" s="1"/>
  <c r="J50" i="1" a="1"/>
  <c r="J50" i="1" s="1"/>
  <c r="H50" i="1" a="1"/>
  <c r="H50" i="1" s="1"/>
  <c r="AS49" i="1"/>
  <c r="AA49" i="1" s="1"/>
  <c r="AO49" i="1"/>
  <c r="AN49" i="1"/>
  <c r="AM49" i="1"/>
  <c r="AL49" i="1"/>
  <c r="AK49" i="1"/>
  <c r="AJ49" i="1"/>
  <c r="AI49" i="1"/>
  <c r="AH49" i="1"/>
  <c r="AG49" i="1"/>
  <c r="AF49" i="1"/>
  <c r="AE49" i="1"/>
  <c r="AD49" i="1"/>
  <c r="AC49" i="1"/>
  <c r="AB49" i="1"/>
  <c r="Z49" i="1"/>
  <c r="W49" i="1"/>
  <c r="Y49" i="1" s="1"/>
  <c r="V49" i="1"/>
  <c r="T49" i="1"/>
  <c r="R49" i="1"/>
  <c r="Q49" i="1" a="1"/>
  <c r="Q49" i="1" s="1"/>
  <c r="P49" i="1"/>
  <c r="N49" i="1"/>
  <c r="L49" i="1"/>
  <c r="K49" i="1" a="1"/>
  <c r="K49" i="1" s="1"/>
  <c r="U49" i="1" s="1"/>
  <c r="J49" i="1" a="1"/>
  <c r="J49" i="1" s="1"/>
  <c r="H49" i="1" a="1"/>
  <c r="H49" i="1" s="1"/>
  <c r="I49" i="1" s="1"/>
  <c r="S49" i="1" s="1"/>
  <c r="AS48" i="1"/>
  <c r="AA48" i="1" s="1"/>
  <c r="AO48" i="1"/>
  <c r="AN48" i="1"/>
  <c r="AM48" i="1"/>
  <c r="AL48" i="1"/>
  <c r="AK48" i="1"/>
  <c r="AJ48" i="1"/>
  <c r="AI48" i="1"/>
  <c r="AH48" i="1"/>
  <c r="AG48" i="1"/>
  <c r="AF48" i="1"/>
  <c r="AE48" i="1"/>
  <c r="AD48" i="1"/>
  <c r="AC48" i="1"/>
  <c r="AB48" i="1"/>
  <c r="Z48" i="1"/>
  <c r="W48" i="1"/>
  <c r="X48" i="1" s="1"/>
  <c r="V48" i="1"/>
  <c r="T48" i="1"/>
  <c r="R48" i="1"/>
  <c r="Q48" i="1" a="1"/>
  <c r="Q48" i="1" s="1"/>
  <c r="P48" i="1"/>
  <c r="N48" i="1"/>
  <c r="L48" i="1"/>
  <c r="K48" i="1" a="1"/>
  <c r="K48" i="1" s="1"/>
  <c r="U48" i="1" s="1"/>
  <c r="J48" i="1" a="1"/>
  <c r="J48" i="1" s="1"/>
  <c r="H48" i="1" a="1"/>
  <c r="H48" i="1" s="1"/>
  <c r="I48" i="1" s="1"/>
  <c r="S48" i="1" s="1"/>
  <c r="AX47" i="1"/>
  <c r="AF47" i="1" s="1"/>
  <c r="AW47" i="1"/>
  <c r="AE47" i="1" s="1"/>
  <c r="AV47" i="1"/>
  <c r="AD47" i="1" s="1"/>
  <c r="AU47" i="1"/>
  <c r="AC47" i="1" s="1"/>
  <c r="AT47" i="1"/>
  <c r="AB47" i="1" s="1"/>
  <c r="AS47" i="1"/>
  <c r="AA47" i="1" s="1"/>
  <c r="AO47" i="1"/>
  <c r="AN47" i="1"/>
  <c r="AM47" i="1"/>
  <c r="AL47" i="1"/>
  <c r="AK47" i="1"/>
  <c r="AJ47" i="1"/>
  <c r="AI47" i="1"/>
  <c r="AH47" i="1"/>
  <c r="AG47" i="1"/>
  <c r="Z47" i="1"/>
  <c r="W47" i="1"/>
  <c r="X47" i="1" s="1"/>
  <c r="V47" i="1"/>
  <c r="T47" i="1"/>
  <c r="R47" i="1"/>
  <c r="Q47" i="1" a="1"/>
  <c r="Q47" i="1" s="1"/>
  <c r="P47" i="1"/>
  <c r="N47" i="1"/>
  <c r="L47" i="1"/>
  <c r="K47" i="1" a="1"/>
  <c r="K47" i="1" s="1"/>
  <c r="U47" i="1" s="1"/>
  <c r="J47" i="1" a="1"/>
  <c r="J47" i="1" s="1"/>
  <c r="H47" i="1" a="1"/>
  <c r="H47" i="1" s="1"/>
  <c r="AS46" i="1"/>
  <c r="AA46" i="1" s="1"/>
  <c r="AO46" i="1"/>
  <c r="AN46" i="1"/>
  <c r="AM46" i="1"/>
  <c r="AL46" i="1"/>
  <c r="AK46" i="1"/>
  <c r="AJ46" i="1"/>
  <c r="AI46" i="1"/>
  <c r="AH46" i="1"/>
  <c r="AG46" i="1"/>
  <c r="AF46" i="1"/>
  <c r="AE46" i="1"/>
  <c r="AD46" i="1"/>
  <c r="AC46" i="1"/>
  <c r="AB46" i="1"/>
  <c r="Z46" i="1"/>
  <c r="W46" i="1"/>
  <c r="Y46" i="1" s="1"/>
  <c r="V46" i="1"/>
  <c r="T46" i="1"/>
  <c r="R46" i="1"/>
  <c r="Q46" i="1" a="1"/>
  <c r="Q46" i="1" s="1"/>
  <c r="P46" i="1"/>
  <c r="N46" i="1"/>
  <c r="L46" i="1"/>
  <c r="K46" i="1" a="1"/>
  <c r="K46" i="1" s="1"/>
  <c r="U46" i="1" s="1"/>
  <c r="J46" i="1" a="1"/>
  <c r="J46" i="1" s="1"/>
  <c r="H46" i="1" a="1"/>
  <c r="H46" i="1" s="1"/>
  <c r="AT45" i="1"/>
  <c r="AB45" i="1" s="1"/>
  <c r="AS45" i="1"/>
  <c r="AA45" i="1" s="1"/>
  <c r="AO45" i="1"/>
  <c r="AN45" i="1"/>
  <c r="AM45" i="1"/>
  <c r="AL45" i="1"/>
  <c r="AK45" i="1"/>
  <c r="AJ45" i="1"/>
  <c r="AI45" i="1"/>
  <c r="AH45" i="1"/>
  <c r="AG45" i="1"/>
  <c r="AF45" i="1"/>
  <c r="AE45" i="1"/>
  <c r="AD45" i="1"/>
  <c r="AC45" i="1"/>
  <c r="Z45" i="1"/>
  <c r="W45" i="1"/>
  <c r="X45" i="1" s="1"/>
  <c r="V45" i="1"/>
  <c r="T45" i="1"/>
  <c r="R45" i="1"/>
  <c r="Q45" i="1" a="1"/>
  <c r="Q45" i="1" s="1"/>
  <c r="P45" i="1"/>
  <c r="N45" i="1"/>
  <c r="L45" i="1"/>
  <c r="K45" i="1" a="1"/>
  <c r="K45" i="1" s="1"/>
  <c r="U45" i="1" s="1"/>
  <c r="J45" i="1" a="1"/>
  <c r="J45" i="1" s="1"/>
  <c r="H45" i="1" a="1"/>
  <c r="H45" i="1" s="1"/>
  <c r="AU44" i="1"/>
  <c r="AC44" i="1" s="1"/>
  <c r="AT44" i="1"/>
  <c r="AB44" i="1" s="1"/>
  <c r="AS44" i="1"/>
  <c r="AA44" i="1" s="1"/>
  <c r="AO44" i="1"/>
  <c r="AN44" i="1"/>
  <c r="AM44" i="1"/>
  <c r="AL44" i="1"/>
  <c r="AK44" i="1"/>
  <c r="AJ44" i="1"/>
  <c r="AI44" i="1"/>
  <c r="AH44" i="1"/>
  <c r="AG44" i="1"/>
  <c r="AF44" i="1"/>
  <c r="AE44" i="1"/>
  <c r="AD44" i="1"/>
  <c r="Z44" i="1"/>
  <c r="W44" i="1"/>
  <c r="X44" i="1" s="1"/>
  <c r="V44" i="1"/>
  <c r="T44" i="1"/>
  <c r="R44" i="1"/>
  <c r="Q44" i="1" a="1"/>
  <c r="Q44" i="1" s="1"/>
  <c r="P44" i="1"/>
  <c r="N44" i="1"/>
  <c r="L44" i="1"/>
  <c r="K44" i="1" a="1"/>
  <c r="K44" i="1" s="1"/>
  <c r="U44" i="1" s="1"/>
  <c r="J44" i="1" a="1"/>
  <c r="J44" i="1" s="1"/>
  <c r="H44" i="1" a="1"/>
  <c r="H44" i="1" s="1"/>
  <c r="AT43" i="1"/>
  <c r="AB43" i="1" s="1"/>
  <c r="AS43" i="1"/>
  <c r="AA43" i="1" s="1"/>
  <c r="AO43" i="1"/>
  <c r="AN43" i="1"/>
  <c r="AM43" i="1"/>
  <c r="AL43" i="1"/>
  <c r="AK43" i="1"/>
  <c r="AJ43" i="1"/>
  <c r="AI43" i="1"/>
  <c r="AH43" i="1"/>
  <c r="AG43" i="1"/>
  <c r="AF43" i="1"/>
  <c r="AE43" i="1"/>
  <c r="AD43" i="1"/>
  <c r="AC43" i="1"/>
  <c r="Z43" i="1"/>
  <c r="W43" i="1"/>
  <c r="X43" i="1" s="1"/>
  <c r="V43" i="1"/>
  <c r="T43" i="1"/>
  <c r="R43" i="1"/>
  <c r="Q43" i="1" a="1"/>
  <c r="Q43" i="1" s="1"/>
  <c r="P43" i="1"/>
  <c r="N43" i="1"/>
  <c r="L43" i="1"/>
  <c r="K43" i="1" a="1"/>
  <c r="K43" i="1" s="1"/>
  <c r="U43" i="1" s="1"/>
  <c r="J43" i="1" a="1"/>
  <c r="J43" i="1" s="1"/>
  <c r="H43" i="1" a="1"/>
  <c r="H43" i="1" s="1"/>
  <c r="I43" i="1" s="1"/>
  <c r="S43" i="1" s="1"/>
  <c r="AS42" i="1"/>
  <c r="AA42" i="1" s="1"/>
  <c r="AO42" i="1"/>
  <c r="AN42" i="1"/>
  <c r="AM42" i="1"/>
  <c r="AL42" i="1"/>
  <c r="AK42" i="1"/>
  <c r="AJ42" i="1"/>
  <c r="AI42" i="1"/>
  <c r="AH42" i="1"/>
  <c r="AG42" i="1"/>
  <c r="AF42" i="1"/>
  <c r="AE42" i="1"/>
  <c r="AD42" i="1"/>
  <c r="AC42" i="1"/>
  <c r="AB42" i="1"/>
  <c r="Z42" i="1"/>
  <c r="W42" i="1"/>
  <c r="Y42" i="1" s="1"/>
  <c r="V42" i="1"/>
  <c r="T42" i="1"/>
  <c r="R42" i="1"/>
  <c r="Q42" i="1" a="1"/>
  <c r="Q42" i="1" s="1"/>
  <c r="P42" i="1"/>
  <c r="N42" i="1"/>
  <c r="L42" i="1"/>
  <c r="K42" i="1" a="1"/>
  <c r="K42" i="1" s="1"/>
  <c r="U42" i="1" s="1"/>
  <c r="J42" i="1" a="1"/>
  <c r="J42" i="1" s="1"/>
  <c r="H42" i="1" a="1"/>
  <c r="H42" i="1" s="1"/>
  <c r="AS41" i="1"/>
  <c r="AA41" i="1" s="1"/>
  <c r="AO41" i="1"/>
  <c r="AN41" i="1"/>
  <c r="AM41" i="1"/>
  <c r="AL41" i="1"/>
  <c r="AK41" i="1"/>
  <c r="AJ41" i="1"/>
  <c r="AI41" i="1"/>
  <c r="AH41" i="1"/>
  <c r="AG41" i="1"/>
  <c r="AF41" i="1"/>
  <c r="AE41" i="1"/>
  <c r="AD41" i="1"/>
  <c r="AC41" i="1"/>
  <c r="AB41" i="1"/>
  <c r="Z41" i="1"/>
  <c r="W41" i="1"/>
  <c r="Y41" i="1" s="1"/>
  <c r="V41" i="1"/>
  <c r="T41" i="1"/>
  <c r="R41" i="1"/>
  <c r="Q41" i="1" a="1"/>
  <c r="Q41" i="1" s="1"/>
  <c r="P41" i="1"/>
  <c r="N41" i="1"/>
  <c r="L41" i="1"/>
  <c r="K41" i="1" a="1"/>
  <c r="K41" i="1" s="1"/>
  <c r="U41" i="1" s="1"/>
  <c r="J41" i="1" a="1"/>
  <c r="J41" i="1" s="1"/>
  <c r="H41" i="1" a="1"/>
  <c r="H41" i="1" s="1"/>
  <c r="AS40" i="1"/>
  <c r="AA40" i="1" s="1"/>
  <c r="AO40" i="1"/>
  <c r="AN40" i="1"/>
  <c r="AM40" i="1"/>
  <c r="AL40" i="1"/>
  <c r="AK40" i="1"/>
  <c r="AJ40" i="1"/>
  <c r="AI40" i="1"/>
  <c r="AH40" i="1"/>
  <c r="AG40" i="1"/>
  <c r="AF40" i="1"/>
  <c r="AE40" i="1"/>
  <c r="AD40" i="1"/>
  <c r="AC40" i="1"/>
  <c r="AB40" i="1"/>
  <c r="Z40" i="1"/>
  <c r="W40" i="1"/>
  <c r="Y40" i="1" s="1"/>
  <c r="V40" i="1"/>
  <c r="Q40" i="1" a="1"/>
  <c r="Q40" i="1" s="1"/>
  <c r="AS39" i="1"/>
  <c r="AA39" i="1" s="1"/>
  <c r="AO39" i="1"/>
  <c r="AN39" i="1"/>
  <c r="AM39" i="1"/>
  <c r="AL39" i="1"/>
  <c r="AK39" i="1"/>
  <c r="AJ39" i="1"/>
  <c r="AI39" i="1"/>
  <c r="AH39" i="1"/>
  <c r="AG39" i="1"/>
  <c r="AF39" i="1"/>
  <c r="AE39" i="1"/>
  <c r="AD39" i="1"/>
  <c r="AC39" i="1"/>
  <c r="AB39" i="1"/>
  <c r="Z39" i="1"/>
  <c r="W39" i="1"/>
  <c r="X39" i="1" s="1"/>
  <c r="V39" i="1"/>
  <c r="AS38" i="1"/>
  <c r="AA38" i="1" s="1"/>
  <c r="AO38" i="1"/>
  <c r="AN38" i="1"/>
  <c r="AM38" i="1"/>
  <c r="AL38" i="1"/>
  <c r="AK38" i="1"/>
  <c r="AJ38" i="1"/>
  <c r="AI38" i="1"/>
  <c r="AH38" i="1"/>
  <c r="AG38" i="1"/>
  <c r="AF38" i="1"/>
  <c r="AE38" i="1"/>
  <c r="AD38" i="1"/>
  <c r="AC38" i="1"/>
  <c r="AB38" i="1"/>
  <c r="Z38" i="1"/>
  <c r="W38" i="1"/>
  <c r="Y38" i="1" s="1"/>
  <c r="V38" i="1"/>
  <c r="T38" i="1"/>
  <c r="R38" i="1"/>
  <c r="Q38" i="1" a="1"/>
  <c r="Q38" i="1" s="1"/>
  <c r="P38" i="1"/>
  <c r="N38" i="1"/>
  <c r="L38" i="1"/>
  <c r="K38" i="1" a="1"/>
  <c r="K38" i="1" s="1"/>
  <c r="U38" i="1" s="1"/>
  <c r="J38" i="1" a="1"/>
  <c r="J38" i="1" s="1"/>
  <c r="H38" i="1" a="1"/>
  <c r="H38" i="1" s="1"/>
  <c r="I38" i="1" s="1"/>
  <c r="S38" i="1" s="1"/>
  <c r="AS37" i="1"/>
  <c r="AA37" i="1" s="1"/>
  <c r="AO37" i="1"/>
  <c r="AN37" i="1"/>
  <c r="AM37" i="1"/>
  <c r="AL37" i="1"/>
  <c r="AK37" i="1"/>
  <c r="AJ37" i="1"/>
  <c r="AI37" i="1"/>
  <c r="AH37" i="1"/>
  <c r="AG37" i="1"/>
  <c r="AF37" i="1"/>
  <c r="AE37" i="1"/>
  <c r="AD37" i="1"/>
  <c r="AC37" i="1"/>
  <c r="AB37" i="1"/>
  <c r="Z37" i="1"/>
  <c r="W37" i="1"/>
  <c r="X37" i="1" s="1"/>
  <c r="V37" i="1"/>
  <c r="T37" i="1"/>
  <c r="R37" i="1"/>
  <c r="Q37" i="1" a="1"/>
  <c r="Q37" i="1" s="1"/>
  <c r="P37" i="1"/>
  <c r="N37" i="1"/>
  <c r="L37" i="1"/>
  <c r="K37" i="1" a="1"/>
  <c r="K37" i="1" s="1"/>
  <c r="U37" i="1" s="1"/>
  <c r="J37" i="1" a="1"/>
  <c r="J37" i="1" s="1"/>
  <c r="H37" i="1" a="1"/>
  <c r="H37" i="1" s="1"/>
  <c r="AS36" i="1"/>
  <c r="AA36" i="1" s="1"/>
  <c r="AO36" i="1"/>
  <c r="AN36" i="1"/>
  <c r="AM36" i="1"/>
  <c r="AL36" i="1"/>
  <c r="AK36" i="1"/>
  <c r="AJ36" i="1"/>
  <c r="AI36" i="1"/>
  <c r="AH36" i="1"/>
  <c r="AG36" i="1"/>
  <c r="AF36" i="1"/>
  <c r="AE36" i="1"/>
  <c r="AD36" i="1"/>
  <c r="AC36" i="1"/>
  <c r="AB36" i="1"/>
  <c r="Z36" i="1"/>
  <c r="W36" i="1"/>
  <c r="Y36" i="1" s="1"/>
  <c r="V36" i="1"/>
  <c r="T36" i="1"/>
  <c r="R36" i="1"/>
  <c r="Q36" i="1" a="1"/>
  <c r="Q36" i="1" s="1"/>
  <c r="P36" i="1"/>
  <c r="N36" i="1"/>
  <c r="L36" i="1"/>
  <c r="K36" i="1" a="1"/>
  <c r="K36" i="1" s="1"/>
  <c r="U36" i="1" s="1"/>
  <c r="J36" i="1" a="1"/>
  <c r="J36" i="1" s="1"/>
  <c r="H36" i="1" a="1"/>
  <c r="H36" i="1" s="1"/>
  <c r="AT35" i="1"/>
  <c r="AB35" i="1" s="1"/>
  <c r="AS35" i="1"/>
  <c r="AA35" i="1" s="1"/>
  <c r="AO35" i="1"/>
  <c r="AN35" i="1"/>
  <c r="AM35" i="1"/>
  <c r="AL35" i="1"/>
  <c r="AK35" i="1"/>
  <c r="AJ35" i="1"/>
  <c r="AI35" i="1"/>
  <c r="AH35" i="1"/>
  <c r="AG35" i="1"/>
  <c r="AF35" i="1"/>
  <c r="AE35" i="1"/>
  <c r="AD35" i="1"/>
  <c r="AC35" i="1"/>
  <c r="Z35" i="1"/>
  <c r="W35" i="1"/>
  <c r="Y35" i="1" s="1"/>
  <c r="V35" i="1"/>
  <c r="T35" i="1"/>
  <c r="R35" i="1"/>
  <c r="Q35" i="1" a="1"/>
  <c r="Q35" i="1" s="1"/>
  <c r="P35" i="1"/>
  <c r="N35" i="1"/>
  <c r="L35" i="1"/>
  <c r="K35" i="1" a="1"/>
  <c r="K35" i="1" s="1"/>
  <c r="U35" i="1" s="1"/>
  <c r="J35" i="1" a="1"/>
  <c r="J35" i="1" s="1"/>
  <c r="H35" i="1" a="1"/>
  <c r="H35" i="1" s="1"/>
  <c r="AU34" i="1"/>
  <c r="AC34" i="1" s="1"/>
  <c r="AT34" i="1"/>
  <c r="AB34" i="1" s="1"/>
  <c r="AS34" i="1"/>
  <c r="AA34" i="1" s="1"/>
  <c r="AO34" i="1"/>
  <c r="AN34" i="1"/>
  <c r="AM34" i="1"/>
  <c r="AL34" i="1"/>
  <c r="AK34" i="1"/>
  <c r="AJ34" i="1"/>
  <c r="AI34" i="1"/>
  <c r="AH34" i="1"/>
  <c r="AG34" i="1"/>
  <c r="AF34" i="1"/>
  <c r="AE34" i="1"/>
  <c r="AD34" i="1"/>
  <c r="Z34" i="1"/>
  <c r="W34" i="1"/>
  <c r="Y34" i="1" s="1"/>
  <c r="V34" i="1"/>
  <c r="T34" i="1"/>
  <c r="R34" i="1"/>
  <c r="Q34" i="1" a="1"/>
  <c r="Q34" i="1" s="1"/>
  <c r="P34" i="1"/>
  <c r="N34" i="1"/>
  <c r="L34" i="1"/>
  <c r="K34" i="1" a="1"/>
  <c r="K34" i="1" s="1"/>
  <c r="U34" i="1" s="1"/>
  <c r="J34" i="1" a="1"/>
  <c r="J34" i="1" s="1"/>
  <c r="H34" i="1" a="1"/>
  <c r="H34" i="1" s="1"/>
  <c r="AS33" i="1"/>
  <c r="AA33" i="1" s="1"/>
  <c r="AO33" i="1"/>
  <c r="AN33" i="1"/>
  <c r="AM33" i="1"/>
  <c r="AL33" i="1"/>
  <c r="AK33" i="1"/>
  <c r="AJ33" i="1"/>
  <c r="AI33" i="1"/>
  <c r="AH33" i="1"/>
  <c r="AG33" i="1"/>
  <c r="AF33" i="1"/>
  <c r="AE33" i="1"/>
  <c r="AD33" i="1"/>
  <c r="AC33" i="1"/>
  <c r="AB33" i="1"/>
  <c r="Z33" i="1"/>
  <c r="W33" i="1"/>
  <c r="X33" i="1" s="1"/>
  <c r="V33" i="1"/>
  <c r="T33" i="1"/>
  <c r="R33" i="1"/>
  <c r="Q33" i="1" a="1"/>
  <c r="Q33" i="1" s="1"/>
  <c r="P33" i="1"/>
  <c r="N33" i="1"/>
  <c r="L33" i="1"/>
  <c r="K33" i="1" a="1"/>
  <c r="K33" i="1" s="1"/>
  <c r="U33" i="1" s="1"/>
  <c r="J33" i="1" a="1"/>
  <c r="J33" i="1" s="1"/>
  <c r="H33" i="1" a="1"/>
  <c r="H33" i="1" s="1"/>
  <c r="AU32" i="1"/>
  <c r="AC32" i="1" s="1"/>
  <c r="AT32" i="1"/>
  <c r="AB32" i="1" s="1"/>
  <c r="AS32" i="1"/>
  <c r="AA32" i="1" s="1"/>
  <c r="AO32" i="1"/>
  <c r="AN32" i="1"/>
  <c r="AM32" i="1"/>
  <c r="AL32" i="1"/>
  <c r="AK32" i="1"/>
  <c r="AJ32" i="1"/>
  <c r="AI32" i="1"/>
  <c r="AH32" i="1"/>
  <c r="AG32" i="1"/>
  <c r="AF32" i="1"/>
  <c r="AE32" i="1"/>
  <c r="AD32" i="1"/>
  <c r="Z32" i="1"/>
  <c r="W32" i="1"/>
  <c r="Y32" i="1" s="1"/>
  <c r="V32" i="1"/>
  <c r="T32" i="1"/>
  <c r="R32" i="1"/>
  <c r="Q32" i="1" a="1"/>
  <c r="Q32" i="1" s="1"/>
  <c r="P32" i="1"/>
  <c r="N32" i="1"/>
  <c r="L32" i="1"/>
  <c r="K32" i="1" a="1"/>
  <c r="K32" i="1" s="1"/>
  <c r="U32" i="1" s="1"/>
  <c r="J32" i="1" a="1"/>
  <c r="J32" i="1" s="1"/>
  <c r="H32" i="1" a="1"/>
  <c r="H32" i="1" s="1"/>
  <c r="I32" i="1" s="1"/>
  <c r="S32" i="1" s="1"/>
  <c r="AS31" i="1"/>
  <c r="AA31" i="1" s="1"/>
  <c r="AO31" i="1"/>
  <c r="AN31" i="1"/>
  <c r="AM31" i="1"/>
  <c r="AL31" i="1"/>
  <c r="AK31" i="1"/>
  <c r="AJ31" i="1"/>
  <c r="AI31" i="1"/>
  <c r="AH31" i="1"/>
  <c r="AG31" i="1"/>
  <c r="AF31" i="1"/>
  <c r="AE31" i="1"/>
  <c r="AD31" i="1"/>
  <c r="AC31" i="1"/>
  <c r="AB31" i="1"/>
  <c r="Z31" i="1"/>
  <c r="W31" i="1"/>
  <c r="X31" i="1" s="1"/>
  <c r="V31" i="1"/>
  <c r="T31" i="1"/>
  <c r="R31" i="1"/>
  <c r="Q31" i="1" a="1"/>
  <c r="Q31" i="1" s="1"/>
  <c r="P31" i="1"/>
  <c r="N31" i="1"/>
  <c r="L31" i="1"/>
  <c r="K31" i="1" a="1"/>
  <c r="K31" i="1" s="1"/>
  <c r="U31" i="1" s="1"/>
  <c r="J31" i="1" a="1"/>
  <c r="J31" i="1" s="1"/>
  <c r="H31" i="1" a="1"/>
  <c r="H31" i="1" s="1"/>
  <c r="AS30" i="1"/>
  <c r="AA30" i="1" s="1"/>
  <c r="AO30" i="1"/>
  <c r="AN30" i="1"/>
  <c r="AM30" i="1"/>
  <c r="AL30" i="1"/>
  <c r="AK30" i="1"/>
  <c r="AJ30" i="1"/>
  <c r="AI30" i="1"/>
  <c r="AH30" i="1"/>
  <c r="AG30" i="1"/>
  <c r="AF30" i="1"/>
  <c r="AE30" i="1"/>
  <c r="AD30" i="1"/>
  <c r="AC30" i="1"/>
  <c r="AB30" i="1"/>
  <c r="Z30" i="1"/>
  <c r="W30" i="1"/>
  <c r="Y30" i="1" s="1"/>
  <c r="V30" i="1"/>
  <c r="AS29" i="1"/>
  <c r="AA29" i="1" s="1"/>
  <c r="AO29" i="1"/>
  <c r="AN29" i="1"/>
  <c r="AM29" i="1"/>
  <c r="AL29" i="1"/>
  <c r="AK29" i="1"/>
  <c r="AJ29" i="1"/>
  <c r="AI29" i="1"/>
  <c r="AH29" i="1"/>
  <c r="AG29" i="1"/>
  <c r="AF29" i="1"/>
  <c r="AE29" i="1"/>
  <c r="AD29" i="1"/>
  <c r="AC29" i="1"/>
  <c r="AB29" i="1"/>
  <c r="Z29" i="1"/>
  <c r="W29" i="1"/>
  <c r="Y29" i="1" s="1"/>
  <c r="V29" i="1"/>
  <c r="T29" i="1"/>
  <c r="R29" i="1"/>
  <c r="Q29" i="1" a="1"/>
  <c r="Q29" i="1" s="1"/>
  <c r="P29" i="1"/>
  <c r="N29" i="1"/>
  <c r="L29" i="1"/>
  <c r="K29" i="1" a="1"/>
  <c r="K29" i="1" s="1"/>
  <c r="U29" i="1" s="1"/>
  <c r="J29" i="1" a="1"/>
  <c r="J29" i="1" s="1"/>
  <c r="H29" i="1" a="1"/>
  <c r="H29" i="1" s="1"/>
  <c r="AS28" i="1"/>
  <c r="AA28" i="1" s="1"/>
  <c r="AO28" i="1"/>
  <c r="AN28" i="1"/>
  <c r="AM28" i="1"/>
  <c r="AL28" i="1"/>
  <c r="AK28" i="1"/>
  <c r="AJ28" i="1"/>
  <c r="AI28" i="1"/>
  <c r="AH28" i="1"/>
  <c r="AG28" i="1"/>
  <c r="AF28" i="1"/>
  <c r="AE28" i="1"/>
  <c r="AD28" i="1"/>
  <c r="AC28" i="1"/>
  <c r="AB28" i="1"/>
  <c r="Z28" i="1"/>
  <c r="W28" i="1"/>
  <c r="Y28" i="1" s="1"/>
  <c r="V28" i="1"/>
  <c r="T28" i="1"/>
  <c r="R28" i="1"/>
  <c r="Q28" i="1" a="1"/>
  <c r="Q28" i="1" s="1"/>
  <c r="P28" i="1"/>
  <c r="N28" i="1"/>
  <c r="L28" i="1"/>
  <c r="K28" i="1" a="1"/>
  <c r="K28" i="1" s="1"/>
  <c r="U28" i="1" s="1"/>
  <c r="J28" i="1" a="1"/>
  <c r="J28" i="1" s="1"/>
  <c r="H28" i="1" a="1"/>
  <c r="H28" i="1" s="1"/>
  <c r="AS27" i="1"/>
  <c r="AA27" i="1" s="1"/>
  <c r="AO27" i="1"/>
  <c r="AN27" i="1"/>
  <c r="AM27" i="1"/>
  <c r="AL27" i="1"/>
  <c r="AK27" i="1"/>
  <c r="AJ27" i="1"/>
  <c r="AI27" i="1"/>
  <c r="AH27" i="1"/>
  <c r="AG27" i="1"/>
  <c r="AF27" i="1"/>
  <c r="AE27" i="1"/>
  <c r="AD27" i="1"/>
  <c r="AC27" i="1"/>
  <c r="AB27" i="1"/>
  <c r="Z27" i="1"/>
  <c r="W27" i="1"/>
  <c r="Y27" i="1" s="1"/>
  <c r="V27" i="1"/>
  <c r="T27" i="1"/>
  <c r="R27" i="1"/>
  <c r="Q27" i="1" a="1"/>
  <c r="Q27" i="1" s="1"/>
  <c r="P27" i="1"/>
  <c r="N27" i="1"/>
  <c r="L27" i="1"/>
  <c r="K27" i="1" a="1"/>
  <c r="K27" i="1" s="1"/>
  <c r="U27" i="1" s="1"/>
  <c r="J27" i="1" a="1"/>
  <c r="J27" i="1" s="1"/>
  <c r="H27" i="1" a="1"/>
  <c r="H27" i="1" s="1"/>
  <c r="I27" i="1" s="1"/>
  <c r="S27" i="1" s="1"/>
  <c r="AS26" i="1"/>
  <c r="AA26" i="1" s="1"/>
  <c r="AO26" i="1"/>
  <c r="AN26" i="1"/>
  <c r="AM26" i="1"/>
  <c r="AL26" i="1"/>
  <c r="AK26" i="1"/>
  <c r="AJ26" i="1"/>
  <c r="AI26" i="1"/>
  <c r="AH26" i="1"/>
  <c r="AG26" i="1"/>
  <c r="AF26" i="1"/>
  <c r="AE26" i="1"/>
  <c r="AD26" i="1"/>
  <c r="AC26" i="1"/>
  <c r="AB26" i="1"/>
  <c r="Z26" i="1"/>
  <c r="W26" i="1"/>
  <c r="Y26" i="1" s="1"/>
  <c r="V26" i="1"/>
  <c r="T26" i="1"/>
  <c r="R26" i="1"/>
  <c r="Q26" i="1" a="1"/>
  <c r="Q26" i="1" s="1"/>
  <c r="P26" i="1"/>
  <c r="N26" i="1"/>
  <c r="L26" i="1"/>
  <c r="K26" i="1" a="1"/>
  <c r="K26" i="1" s="1"/>
  <c r="U26" i="1" s="1"/>
  <c r="J26" i="1" a="1"/>
  <c r="J26" i="1" s="1"/>
  <c r="H26" i="1" a="1"/>
  <c r="H26" i="1" s="1"/>
  <c r="I26" i="1" s="1"/>
  <c r="S26" i="1" s="1"/>
  <c r="AS25" i="1"/>
  <c r="AA25" i="1" s="1"/>
  <c r="AO25" i="1"/>
  <c r="AN25" i="1"/>
  <c r="AM25" i="1"/>
  <c r="AL25" i="1"/>
  <c r="AK25" i="1"/>
  <c r="AJ25" i="1"/>
  <c r="AI25" i="1"/>
  <c r="AH25" i="1"/>
  <c r="AG25" i="1"/>
  <c r="AF25" i="1"/>
  <c r="AE25" i="1"/>
  <c r="AD25" i="1"/>
  <c r="AC25" i="1"/>
  <c r="AB25" i="1"/>
  <c r="Z25" i="1"/>
  <c r="W25" i="1"/>
  <c r="Y25" i="1" s="1"/>
  <c r="V25" i="1"/>
  <c r="T25" i="1"/>
  <c r="R25" i="1"/>
  <c r="Q25" i="1" a="1"/>
  <c r="Q25" i="1" s="1"/>
  <c r="P25" i="1"/>
  <c r="N25" i="1"/>
  <c r="L25" i="1"/>
  <c r="K25" i="1" a="1"/>
  <c r="K25" i="1" s="1"/>
  <c r="U25" i="1" s="1"/>
  <c r="J25" i="1" a="1"/>
  <c r="J25" i="1" s="1"/>
  <c r="H25" i="1" a="1"/>
  <c r="H25" i="1" s="1"/>
  <c r="AS24" i="1"/>
  <c r="AA24" i="1" s="1"/>
  <c r="AO24" i="1"/>
  <c r="AN24" i="1"/>
  <c r="AM24" i="1"/>
  <c r="AL24" i="1"/>
  <c r="AK24" i="1"/>
  <c r="AJ24" i="1"/>
  <c r="AI24" i="1"/>
  <c r="AH24" i="1"/>
  <c r="AG24" i="1"/>
  <c r="AF24" i="1"/>
  <c r="AE24" i="1"/>
  <c r="AD24" i="1"/>
  <c r="AC24" i="1"/>
  <c r="AB24" i="1"/>
  <c r="Z24" i="1"/>
  <c r="W24" i="1"/>
  <c r="Y24" i="1" s="1"/>
  <c r="V24" i="1"/>
  <c r="AW23" i="1"/>
  <c r="AE23" i="1" s="1"/>
  <c r="AV23" i="1"/>
  <c r="AD23" i="1" s="1"/>
  <c r="AU23" i="1"/>
  <c r="AC23" i="1" s="1"/>
  <c r="AT23" i="1"/>
  <c r="AB23" i="1" s="1"/>
  <c r="AS23" i="1"/>
  <c r="AA23" i="1" s="1"/>
  <c r="AO23" i="1"/>
  <c r="AN23" i="1"/>
  <c r="AM23" i="1"/>
  <c r="AL23" i="1"/>
  <c r="AK23" i="1"/>
  <c r="AJ23" i="1"/>
  <c r="AI23" i="1"/>
  <c r="AH23" i="1"/>
  <c r="AG23" i="1"/>
  <c r="AF23" i="1"/>
  <c r="Z23" i="1"/>
  <c r="W23" i="1"/>
  <c r="Y23" i="1" s="1"/>
  <c r="V23" i="1"/>
  <c r="T23" i="1"/>
  <c r="R23" i="1"/>
  <c r="Q23" i="1" a="1"/>
  <c r="Q23" i="1" s="1"/>
  <c r="P23" i="1"/>
  <c r="N23" i="1"/>
  <c r="L23" i="1"/>
  <c r="K23" i="1" a="1"/>
  <c r="K23" i="1" s="1"/>
  <c r="U23" i="1" s="1"/>
  <c r="J23" i="1" a="1"/>
  <c r="J23" i="1" s="1"/>
  <c r="H23" i="1" a="1"/>
  <c r="H23" i="1" s="1"/>
  <c r="AS22" i="1"/>
  <c r="AA22" i="1" s="1"/>
  <c r="AO22" i="1"/>
  <c r="AN22" i="1"/>
  <c r="AM22" i="1"/>
  <c r="AL22" i="1"/>
  <c r="AK22" i="1"/>
  <c r="AJ22" i="1"/>
  <c r="AI22" i="1"/>
  <c r="AH22" i="1"/>
  <c r="AG22" i="1"/>
  <c r="AF22" i="1"/>
  <c r="AE22" i="1"/>
  <c r="AD22" i="1"/>
  <c r="AC22" i="1"/>
  <c r="AB22" i="1"/>
  <c r="Z22" i="1"/>
  <c r="W22" i="1"/>
  <c r="Y22" i="1" s="1"/>
  <c r="V22" i="1"/>
  <c r="T22" i="1"/>
  <c r="R22" i="1"/>
  <c r="Q22" i="1" a="1"/>
  <c r="Q22" i="1" s="1"/>
  <c r="P22" i="1"/>
  <c r="N22" i="1"/>
  <c r="L22" i="1"/>
  <c r="K22" i="1" a="1"/>
  <c r="K22" i="1" s="1"/>
  <c r="U22" i="1" s="1"/>
  <c r="J22" i="1" a="1"/>
  <c r="J22" i="1" s="1"/>
  <c r="H22" i="1" a="1"/>
  <c r="H22" i="1" s="1"/>
  <c r="AS21" i="1"/>
  <c r="AA21" i="1" s="1"/>
  <c r="AO21" i="1"/>
  <c r="AN21" i="1"/>
  <c r="AM21" i="1"/>
  <c r="AL21" i="1"/>
  <c r="AK21" i="1"/>
  <c r="AJ21" i="1"/>
  <c r="AI21" i="1"/>
  <c r="AH21" i="1"/>
  <c r="AG21" i="1"/>
  <c r="AF21" i="1"/>
  <c r="AE21" i="1"/>
  <c r="AD21" i="1"/>
  <c r="AC21" i="1"/>
  <c r="AB21" i="1"/>
  <c r="Z21" i="1"/>
  <c r="W21" i="1"/>
  <c r="Y21" i="1" s="1"/>
  <c r="V21" i="1"/>
  <c r="T21" i="1"/>
  <c r="R21" i="1"/>
  <c r="Q21" i="1" a="1"/>
  <c r="Q21" i="1" s="1"/>
  <c r="P21" i="1"/>
  <c r="N21" i="1"/>
  <c r="L21" i="1"/>
  <c r="K21" i="1" a="1"/>
  <c r="K21" i="1" s="1"/>
  <c r="U21" i="1" s="1"/>
  <c r="J21" i="1" a="1"/>
  <c r="J21" i="1" s="1"/>
  <c r="H21" i="1" a="1"/>
  <c r="H21" i="1" s="1"/>
  <c r="AT20" i="1"/>
  <c r="AB20" i="1" s="1"/>
  <c r="AS20" i="1"/>
  <c r="AA20" i="1" s="1"/>
  <c r="AO20" i="1"/>
  <c r="AN20" i="1"/>
  <c r="AM20" i="1"/>
  <c r="AL20" i="1"/>
  <c r="AK20" i="1"/>
  <c r="AJ20" i="1"/>
  <c r="AI20" i="1"/>
  <c r="AH20" i="1"/>
  <c r="AG20" i="1"/>
  <c r="AF20" i="1"/>
  <c r="AE20" i="1"/>
  <c r="AD20" i="1"/>
  <c r="AC20" i="1"/>
  <c r="Z20" i="1"/>
  <c r="W20" i="1"/>
  <c r="Y20" i="1" s="1"/>
  <c r="V20" i="1"/>
  <c r="T20" i="1"/>
  <c r="R20" i="1"/>
  <c r="Q20" i="1" a="1"/>
  <c r="Q20" i="1" s="1"/>
  <c r="P20" i="1"/>
  <c r="N20" i="1"/>
  <c r="L20" i="1"/>
  <c r="K20" i="1" a="1"/>
  <c r="K20" i="1" s="1"/>
  <c r="U20" i="1" s="1"/>
  <c r="J20" i="1" a="1"/>
  <c r="J20" i="1" s="1"/>
  <c r="H20" i="1" a="1"/>
  <c r="H20" i="1" s="1"/>
  <c r="AS19" i="1"/>
  <c r="AA19" i="1" s="1"/>
  <c r="AO19" i="1"/>
  <c r="AN19" i="1"/>
  <c r="AM19" i="1"/>
  <c r="AL19" i="1"/>
  <c r="AK19" i="1"/>
  <c r="AJ19" i="1"/>
  <c r="AI19" i="1"/>
  <c r="AH19" i="1"/>
  <c r="AG19" i="1"/>
  <c r="AF19" i="1"/>
  <c r="AE19" i="1"/>
  <c r="AD19" i="1"/>
  <c r="AC19" i="1"/>
  <c r="AB19" i="1"/>
  <c r="Z19" i="1"/>
  <c r="W19" i="1"/>
  <c r="X19" i="1" s="1"/>
  <c r="V19" i="1"/>
  <c r="T19" i="1"/>
  <c r="R19" i="1"/>
  <c r="Q19" i="1" a="1"/>
  <c r="Q19" i="1" s="1"/>
  <c r="P19" i="1"/>
  <c r="N19" i="1"/>
  <c r="L19" i="1"/>
  <c r="K19" i="1" a="1"/>
  <c r="K19" i="1" s="1"/>
  <c r="U19" i="1" s="1"/>
  <c r="J19" i="1" a="1"/>
  <c r="J19" i="1" s="1"/>
  <c r="H19" i="1" a="1"/>
  <c r="H19" i="1" s="1"/>
  <c r="I19" i="1" s="1"/>
  <c r="S19" i="1" s="1"/>
  <c r="AW18" i="1"/>
  <c r="AE18" i="1" s="1"/>
  <c r="AV18" i="1"/>
  <c r="AD18" i="1" s="1"/>
  <c r="AU18" i="1"/>
  <c r="AC18" i="1" s="1"/>
  <c r="AT18" i="1"/>
  <c r="AB18" i="1" s="1"/>
  <c r="AS18" i="1"/>
  <c r="AA18" i="1" s="1"/>
  <c r="AO18" i="1"/>
  <c r="AN18" i="1"/>
  <c r="AM18" i="1"/>
  <c r="AL18" i="1"/>
  <c r="AK18" i="1"/>
  <c r="AJ18" i="1"/>
  <c r="AI18" i="1"/>
  <c r="AH18" i="1"/>
  <c r="AG18" i="1"/>
  <c r="AF18" i="1"/>
  <c r="Z18" i="1"/>
  <c r="W18" i="1"/>
  <c r="X18" i="1" s="1"/>
  <c r="V18" i="1"/>
  <c r="M18" i="1"/>
  <c r="L18" i="1"/>
  <c r="AS17" i="1"/>
  <c r="AA17" i="1" s="1"/>
  <c r="AO17" i="1"/>
  <c r="AN17" i="1"/>
  <c r="AM17" i="1"/>
  <c r="AL17" i="1"/>
  <c r="AK17" i="1"/>
  <c r="AJ17" i="1"/>
  <c r="AI17" i="1"/>
  <c r="AH17" i="1"/>
  <c r="AG17" i="1"/>
  <c r="AF17" i="1"/>
  <c r="AE17" i="1"/>
  <c r="AD17" i="1"/>
  <c r="AC17" i="1"/>
  <c r="AB17" i="1"/>
  <c r="Z17" i="1"/>
  <c r="W17" i="1"/>
  <c r="Y17" i="1" s="1"/>
  <c r="V17" i="1"/>
  <c r="T17" i="1"/>
  <c r="R17" i="1"/>
  <c r="Q17" i="1" a="1"/>
  <c r="Q17" i="1" s="1"/>
  <c r="P17" i="1"/>
  <c r="N17" i="1"/>
  <c r="L17" i="1"/>
  <c r="K17" i="1" a="1"/>
  <c r="K17" i="1" s="1"/>
  <c r="U17" i="1" s="1"/>
  <c r="J17" i="1" a="1"/>
  <c r="J17" i="1" s="1"/>
  <c r="H17" i="1" a="1"/>
  <c r="H17" i="1" s="1"/>
  <c r="AU16" i="1"/>
  <c r="AC16" i="1" s="1"/>
  <c r="AT16" i="1"/>
  <c r="AB16" i="1" s="1"/>
  <c r="AS16" i="1"/>
  <c r="AA16" i="1" s="1"/>
  <c r="AO16" i="1"/>
  <c r="AN16" i="1"/>
  <c r="AM16" i="1"/>
  <c r="AL16" i="1"/>
  <c r="AK16" i="1"/>
  <c r="AJ16" i="1"/>
  <c r="AI16" i="1"/>
  <c r="AH16" i="1"/>
  <c r="AG16" i="1"/>
  <c r="AF16" i="1"/>
  <c r="AE16" i="1"/>
  <c r="AD16" i="1"/>
  <c r="Z16" i="1"/>
  <c r="W16" i="1"/>
  <c r="Y16" i="1" s="1"/>
  <c r="V16" i="1"/>
  <c r="T16" i="1"/>
  <c r="R16" i="1"/>
  <c r="Q16" i="1" a="1"/>
  <c r="Q16" i="1" s="1"/>
  <c r="P16" i="1"/>
  <c r="N16" i="1"/>
  <c r="L16" i="1"/>
  <c r="K16" i="1" a="1"/>
  <c r="K16" i="1" s="1"/>
  <c r="U16" i="1" s="1"/>
  <c r="J16" i="1" a="1"/>
  <c r="J16" i="1" s="1"/>
  <c r="H16" i="1" a="1"/>
  <c r="H16" i="1" s="1"/>
  <c r="AS15" i="1"/>
  <c r="AA15" i="1" s="1"/>
  <c r="AO15" i="1"/>
  <c r="AN15" i="1"/>
  <c r="AM15" i="1"/>
  <c r="AL15" i="1"/>
  <c r="AK15" i="1"/>
  <c r="AJ15" i="1"/>
  <c r="AI15" i="1"/>
  <c r="AH15" i="1"/>
  <c r="AG15" i="1"/>
  <c r="AF15" i="1"/>
  <c r="AE15" i="1"/>
  <c r="AD15" i="1"/>
  <c r="AC15" i="1"/>
  <c r="AB15" i="1"/>
  <c r="Z15" i="1"/>
  <c r="W15" i="1"/>
  <c r="Y15" i="1" s="1"/>
  <c r="V15" i="1"/>
  <c r="T15" i="1"/>
  <c r="R15" i="1"/>
  <c r="Q15" i="1" a="1"/>
  <c r="Q15" i="1" s="1"/>
  <c r="P15" i="1"/>
  <c r="N15" i="1"/>
  <c r="L15" i="1"/>
  <c r="K15" i="1" a="1"/>
  <c r="K15" i="1" s="1"/>
  <c r="U15" i="1" s="1"/>
  <c r="J15" i="1" a="1"/>
  <c r="J15" i="1" s="1"/>
  <c r="H15" i="1" a="1"/>
  <c r="H15" i="1" s="1"/>
  <c r="AS14" i="1"/>
  <c r="AA14" i="1" s="1"/>
  <c r="AO14" i="1"/>
  <c r="AN14" i="1"/>
  <c r="AM14" i="1"/>
  <c r="AL14" i="1"/>
  <c r="AK14" i="1"/>
  <c r="AJ14" i="1"/>
  <c r="AI14" i="1"/>
  <c r="AH14" i="1"/>
  <c r="AG14" i="1"/>
  <c r="AF14" i="1"/>
  <c r="AE14" i="1"/>
  <c r="AD14" i="1"/>
  <c r="AC14" i="1"/>
  <c r="AB14" i="1"/>
  <c r="Z14" i="1"/>
  <c r="W14" i="1"/>
  <c r="Y14" i="1" s="1"/>
  <c r="V14" i="1"/>
  <c r="T14" i="1"/>
  <c r="R14" i="1"/>
  <c r="Q14" i="1" a="1"/>
  <c r="Q14" i="1" s="1"/>
  <c r="P14" i="1"/>
  <c r="N14" i="1"/>
  <c r="L14" i="1"/>
  <c r="K14" i="1" a="1"/>
  <c r="K14" i="1" s="1"/>
  <c r="U14" i="1" s="1"/>
  <c r="J14" i="1" a="1"/>
  <c r="J14" i="1" s="1"/>
  <c r="H14" i="1" a="1"/>
  <c r="H14" i="1" s="1"/>
  <c r="AS13" i="1"/>
  <c r="AA13" i="1" s="1"/>
  <c r="AO13" i="1"/>
  <c r="AN13" i="1"/>
  <c r="AM13" i="1"/>
  <c r="AL13" i="1"/>
  <c r="AK13" i="1"/>
  <c r="AJ13" i="1"/>
  <c r="AI13" i="1"/>
  <c r="AH13" i="1"/>
  <c r="AG13" i="1"/>
  <c r="AF13" i="1"/>
  <c r="AE13" i="1"/>
  <c r="AD13" i="1"/>
  <c r="AC13" i="1"/>
  <c r="AB13" i="1"/>
  <c r="Z13" i="1"/>
  <c r="W13" i="1"/>
  <c r="X13" i="1" s="1"/>
  <c r="V13" i="1"/>
  <c r="T13" i="1"/>
  <c r="R13" i="1"/>
  <c r="Q13" i="1" a="1"/>
  <c r="Q13" i="1" s="1"/>
  <c r="P13" i="1"/>
  <c r="N13" i="1"/>
  <c r="L13" i="1"/>
  <c r="K13" i="1" a="1"/>
  <c r="K13" i="1" s="1"/>
  <c r="U13" i="1" s="1"/>
  <c r="J13" i="1" a="1"/>
  <c r="J13" i="1" s="1"/>
  <c r="H13" i="1" a="1"/>
  <c r="H13" i="1" s="1"/>
  <c r="AS12" i="1"/>
  <c r="AA12" i="1" s="1"/>
  <c r="AO12" i="1"/>
  <c r="AN12" i="1"/>
  <c r="AM12" i="1"/>
  <c r="AL12" i="1"/>
  <c r="AK12" i="1"/>
  <c r="AJ12" i="1"/>
  <c r="AI12" i="1"/>
  <c r="AH12" i="1"/>
  <c r="AG12" i="1"/>
  <c r="AF12" i="1"/>
  <c r="AE12" i="1"/>
  <c r="AD12" i="1"/>
  <c r="AC12" i="1"/>
  <c r="AB12" i="1"/>
  <c r="Z12" i="1"/>
  <c r="W12" i="1"/>
  <c r="X12" i="1" s="1"/>
  <c r="V12" i="1"/>
  <c r="T12" i="1"/>
  <c r="R12" i="1"/>
  <c r="Q12" i="1" a="1"/>
  <c r="Q12" i="1" s="1"/>
  <c r="P12" i="1"/>
  <c r="N12" i="1"/>
  <c r="L12" i="1"/>
  <c r="K12" i="1" a="1"/>
  <c r="K12" i="1" s="1"/>
  <c r="U12" i="1" s="1"/>
  <c r="J12" i="1" a="1"/>
  <c r="J12" i="1" s="1"/>
  <c r="H12" i="1" a="1"/>
  <c r="H12" i="1" s="1"/>
  <c r="AS11" i="1"/>
  <c r="AA11" i="1" s="1"/>
  <c r="AO11" i="1"/>
  <c r="AN11" i="1"/>
  <c r="AM11" i="1"/>
  <c r="AL11" i="1"/>
  <c r="AK11" i="1"/>
  <c r="AJ11" i="1"/>
  <c r="AI11" i="1"/>
  <c r="AH11" i="1"/>
  <c r="AG11" i="1"/>
  <c r="AF11" i="1"/>
  <c r="AE11" i="1"/>
  <c r="AD11" i="1"/>
  <c r="AC11" i="1"/>
  <c r="AB11" i="1"/>
  <c r="Z11" i="1"/>
  <c r="W11" i="1"/>
  <c r="Y11" i="1" s="1"/>
  <c r="V11" i="1"/>
  <c r="T11" i="1"/>
  <c r="R11" i="1"/>
  <c r="Q11" i="1" a="1"/>
  <c r="Q11" i="1" s="1"/>
  <c r="P11" i="1"/>
  <c r="N11" i="1"/>
  <c r="L11" i="1"/>
  <c r="K11" i="1" a="1"/>
  <c r="K11" i="1" s="1"/>
  <c r="U11" i="1" s="1"/>
  <c r="J11" i="1" a="1"/>
  <c r="J11" i="1" s="1"/>
  <c r="H11" i="1" a="1"/>
  <c r="H11" i="1" s="1"/>
  <c r="AS10" i="1"/>
  <c r="AA10" i="1" s="1"/>
  <c r="AO10" i="1"/>
  <c r="AN10" i="1"/>
  <c r="AM10" i="1"/>
  <c r="AL10" i="1"/>
  <c r="AK10" i="1"/>
  <c r="AJ10" i="1"/>
  <c r="AI10" i="1"/>
  <c r="AH10" i="1"/>
  <c r="AG10" i="1"/>
  <c r="AF10" i="1"/>
  <c r="AE10" i="1"/>
  <c r="AD10" i="1"/>
  <c r="AC10" i="1"/>
  <c r="AB10" i="1"/>
  <c r="Z10" i="1"/>
  <c r="W10" i="1"/>
  <c r="Y10" i="1" s="1"/>
  <c r="V10" i="1"/>
  <c r="T10" i="1"/>
  <c r="R10" i="1"/>
  <c r="Q10" i="1" a="1"/>
  <c r="Q10" i="1" s="1"/>
  <c r="P10" i="1"/>
  <c r="N10" i="1"/>
  <c r="L10" i="1"/>
  <c r="K10" i="1" a="1"/>
  <c r="K10" i="1" s="1"/>
  <c r="U10" i="1" s="1"/>
  <c r="J10" i="1" a="1"/>
  <c r="J10" i="1" s="1"/>
  <c r="H10" i="1" a="1"/>
  <c r="H10" i="1" s="1"/>
  <c r="AS9" i="1"/>
  <c r="AA9" i="1" s="1"/>
  <c r="AO9" i="1"/>
  <c r="AN9" i="1"/>
  <c r="AM9" i="1"/>
  <c r="AL9" i="1"/>
  <c r="AK9" i="1"/>
  <c r="AJ9" i="1"/>
  <c r="AI9" i="1"/>
  <c r="AH9" i="1"/>
  <c r="AG9" i="1"/>
  <c r="AF9" i="1"/>
  <c r="AE9" i="1"/>
  <c r="AD9" i="1"/>
  <c r="AC9" i="1"/>
  <c r="AB9" i="1"/>
  <c r="Z9" i="1"/>
  <c r="W9" i="1"/>
  <c r="X9" i="1" s="1"/>
  <c r="V9" i="1"/>
  <c r="T9" i="1"/>
  <c r="R9" i="1"/>
  <c r="Q9" i="1" a="1"/>
  <c r="Q9" i="1" s="1"/>
  <c r="P9" i="1"/>
  <c r="N9" i="1"/>
  <c r="L9" i="1"/>
  <c r="K9" i="1" a="1"/>
  <c r="K9" i="1" s="1"/>
  <c r="U9" i="1" s="1"/>
  <c r="J9" i="1" a="1"/>
  <c r="J9" i="1" s="1"/>
  <c r="H9" i="1" a="1"/>
  <c r="H9" i="1" s="1"/>
  <c r="AS8" i="1"/>
  <c r="AA8" i="1" s="1"/>
  <c r="AO8" i="1"/>
  <c r="AN8" i="1"/>
  <c r="AM8" i="1"/>
  <c r="AL8" i="1"/>
  <c r="AK8" i="1"/>
  <c r="AJ8" i="1"/>
  <c r="AI8" i="1"/>
  <c r="AH8" i="1"/>
  <c r="AG8" i="1"/>
  <c r="AF8" i="1"/>
  <c r="AE8" i="1"/>
  <c r="AD8" i="1"/>
  <c r="AC8" i="1"/>
  <c r="AB8" i="1"/>
  <c r="Z8" i="1"/>
  <c r="W8" i="1"/>
  <c r="X8" i="1" s="1"/>
  <c r="V8" i="1"/>
  <c r="T8" i="1"/>
  <c r="R8" i="1"/>
  <c r="Q8" i="1" a="1"/>
  <c r="Q8" i="1" s="1"/>
  <c r="P8" i="1"/>
  <c r="N8" i="1"/>
  <c r="L8" i="1"/>
  <c r="K8" i="1" a="1"/>
  <c r="K8" i="1" s="1"/>
  <c r="U8" i="1" s="1"/>
  <c r="J8" i="1" a="1"/>
  <c r="J8" i="1" s="1"/>
  <c r="H8" i="1" a="1"/>
  <c r="H8" i="1" s="1"/>
  <c r="AS7" i="1"/>
  <c r="AA7" i="1" s="1"/>
  <c r="AO7" i="1"/>
  <c r="AN7" i="1"/>
  <c r="AM7" i="1"/>
  <c r="AL7" i="1"/>
  <c r="AK7" i="1"/>
  <c r="AJ7" i="1"/>
  <c r="AI7" i="1"/>
  <c r="AH7" i="1"/>
  <c r="AG7" i="1"/>
  <c r="AF7" i="1"/>
  <c r="AE7" i="1"/>
  <c r="AD7" i="1"/>
  <c r="AC7" i="1"/>
  <c r="AB7" i="1"/>
  <c r="Z7" i="1"/>
  <c r="W7" i="1"/>
  <c r="Y7" i="1" s="1"/>
  <c r="V7" i="1"/>
  <c r="T7" i="1"/>
  <c r="R7" i="1"/>
  <c r="Q7" i="1" a="1"/>
  <c r="Q7" i="1" s="1"/>
  <c r="P7" i="1"/>
  <c r="N7" i="1"/>
  <c r="L7" i="1"/>
  <c r="K7" i="1" a="1"/>
  <c r="K7" i="1" s="1"/>
  <c r="U7" i="1" s="1"/>
  <c r="J7" i="1" a="1"/>
  <c r="J7" i="1" s="1"/>
  <c r="H7" i="1" a="1"/>
  <c r="H7" i="1" s="1"/>
  <c r="AS6" i="1"/>
  <c r="AA6" i="1" s="1"/>
  <c r="AO6" i="1"/>
  <c r="AN6" i="1"/>
  <c r="AM6" i="1"/>
  <c r="AL6" i="1"/>
  <c r="AK6" i="1"/>
  <c r="AJ6" i="1"/>
  <c r="AI6" i="1"/>
  <c r="AH6" i="1"/>
  <c r="AG6" i="1"/>
  <c r="AF6" i="1"/>
  <c r="AE6" i="1"/>
  <c r="AD6" i="1"/>
  <c r="AC6" i="1"/>
  <c r="AB6" i="1"/>
  <c r="Z6" i="1"/>
  <c r="W6" i="1"/>
  <c r="Y6" i="1" s="1"/>
  <c r="V6" i="1"/>
  <c r="U6" i="1"/>
  <c r="M6" i="1"/>
  <c r="AS5" i="1"/>
  <c r="AA5" i="1" s="1"/>
  <c r="AO5" i="1"/>
  <c r="AN5" i="1"/>
  <c r="AM5" i="1"/>
  <c r="AL5" i="1"/>
  <c r="AK5" i="1"/>
  <c r="AJ5" i="1"/>
  <c r="AI5" i="1"/>
  <c r="AH5" i="1"/>
  <c r="AG5" i="1"/>
  <c r="AF5" i="1"/>
  <c r="AE5" i="1"/>
  <c r="AD5" i="1"/>
  <c r="AC5" i="1"/>
  <c r="AB5" i="1"/>
  <c r="Z5" i="1"/>
  <c r="W5" i="1"/>
  <c r="X5" i="1" s="1"/>
  <c r="V5" i="1"/>
  <c r="T5" i="1"/>
  <c r="R5" i="1"/>
  <c r="Q5" i="1" a="1"/>
  <c r="Q5" i="1" s="1"/>
  <c r="P5" i="1"/>
  <c r="L5" i="1"/>
  <c r="K5" i="1" a="1"/>
  <c r="K5" i="1" s="1"/>
  <c r="U5" i="1" s="1"/>
  <c r="J5" i="1" a="1"/>
  <c r="J5" i="1" s="1"/>
  <c r="H5" i="1" a="1"/>
  <c r="H5" i="1" s="1"/>
  <c r="AS4" i="1"/>
  <c r="AA4" i="1" s="1"/>
  <c r="AO4" i="1"/>
  <c r="AN4" i="1"/>
  <c r="AM4" i="1"/>
  <c r="AL4" i="1"/>
  <c r="AK4" i="1"/>
  <c r="AJ4" i="1"/>
  <c r="AI4" i="1"/>
  <c r="AH4" i="1"/>
  <c r="AG4" i="1"/>
  <c r="AF4" i="1"/>
  <c r="AE4" i="1"/>
  <c r="AD4" i="1"/>
  <c r="AC4" i="1"/>
  <c r="AB4" i="1"/>
  <c r="Z4" i="1"/>
  <c r="W4" i="1"/>
  <c r="Y4" i="1" s="1"/>
  <c r="V4" i="1"/>
  <c r="T4" i="1"/>
  <c r="R4" i="1"/>
  <c r="Q4" i="1" a="1"/>
  <c r="Q4" i="1" s="1"/>
  <c r="P4" i="1"/>
  <c r="L4" i="1"/>
  <c r="K4" i="1" a="1"/>
  <c r="K4" i="1" s="1"/>
  <c r="U4" i="1" s="1"/>
  <c r="J4" i="1" a="1"/>
  <c r="J4" i="1" s="1"/>
  <c r="H4" i="1" a="1"/>
  <c r="H4" i="1" s="1"/>
  <c r="AS3" i="1"/>
  <c r="AA3" i="1" s="1"/>
  <c r="AO3" i="1"/>
  <c r="AN3" i="1"/>
  <c r="AM3" i="1"/>
  <c r="AL3" i="1"/>
  <c r="AK3" i="1"/>
  <c r="AJ3" i="1"/>
  <c r="AI3" i="1"/>
  <c r="AH3" i="1"/>
  <c r="AG3" i="1"/>
  <c r="AF3" i="1"/>
  <c r="AE3" i="1"/>
  <c r="AD3" i="1"/>
  <c r="AC3" i="1"/>
  <c r="AB3" i="1"/>
  <c r="Z3" i="1"/>
  <c r="W3" i="1"/>
  <c r="Y3" i="1" s="1"/>
  <c r="V3" i="1"/>
  <c r="T3" i="1"/>
  <c r="R3" i="1"/>
  <c r="Q3" i="1" a="1"/>
  <c r="Q3" i="1" s="1"/>
  <c r="P3" i="1"/>
  <c r="L3" i="1"/>
  <c r="K3" i="1" a="1"/>
  <c r="K3" i="1" s="1"/>
  <c r="U3" i="1" s="1"/>
  <c r="J3" i="1" a="1"/>
  <c r="J3" i="1" s="1"/>
  <c r="H3" i="1" a="1"/>
  <c r="H3" i="1" s="1"/>
  <c r="AS2" i="1"/>
  <c r="AA2" i="1" s="1"/>
  <c r="AO2" i="1"/>
  <c r="AN2" i="1"/>
  <c r="AM2" i="1"/>
  <c r="AL2" i="1"/>
  <c r="AK2" i="1"/>
  <c r="AJ2" i="1"/>
  <c r="AI2" i="1"/>
  <c r="AH2" i="1"/>
  <c r="AG2" i="1"/>
  <c r="AF2" i="1"/>
  <c r="AE2" i="1"/>
  <c r="AD2" i="1"/>
  <c r="AC2" i="1"/>
  <c r="AB2" i="1"/>
  <c r="Z2" i="1"/>
  <c r="W2" i="1"/>
  <c r="Y2" i="1" s="1"/>
  <c r="V2" i="1"/>
  <c r="U2" i="1"/>
  <c r="M2" i="1"/>
  <c r="Y563" i="1" l="1"/>
  <c r="Y612" i="1"/>
  <c r="Y970" i="1"/>
  <c r="Y292" i="1"/>
  <c r="Y308" i="1"/>
  <c r="Y1270" i="1"/>
  <c r="Y37" i="1"/>
  <c r="X771" i="1"/>
  <c r="X772" i="1"/>
  <c r="X794" i="1"/>
  <c r="X795" i="1"/>
  <c r="X864" i="1"/>
  <c r="X939" i="1"/>
  <c r="X1001" i="1"/>
  <c r="Y1010" i="1"/>
  <c r="Y1011" i="1"/>
  <c r="Y1098" i="1"/>
  <c r="Y1099" i="1"/>
  <c r="X1199" i="1"/>
  <c r="Y180" i="1"/>
  <c r="Y214" i="1"/>
  <c r="X256" i="1"/>
  <c r="X258" i="1"/>
  <c r="X265" i="1"/>
  <c r="X784" i="1"/>
  <c r="X943" i="1"/>
  <c r="X969" i="1"/>
  <c r="Y1182" i="1"/>
  <c r="X1101" i="1"/>
  <c r="Y1119" i="1"/>
  <c r="X79" i="1"/>
  <c r="Y122" i="1"/>
  <c r="Y136" i="1"/>
  <c r="X137" i="1"/>
  <c r="X164" i="1"/>
  <c r="X173" i="1"/>
  <c r="X184" i="1"/>
  <c r="X195" i="1"/>
  <c r="X240" i="1"/>
  <c r="X243" i="1"/>
  <c r="X253" i="1"/>
  <c r="Y330" i="1"/>
  <c r="Y336" i="1"/>
  <c r="X349" i="1"/>
  <c r="X354" i="1"/>
  <c r="X357" i="1"/>
  <c r="X362" i="1"/>
  <c r="X381" i="1"/>
  <c r="X466" i="1"/>
  <c r="X485" i="1"/>
  <c r="X613" i="1"/>
  <c r="Y614" i="1"/>
  <c r="Y630" i="1"/>
  <c r="X635" i="1"/>
  <c r="Y662" i="1"/>
  <c r="Y678" i="1"/>
  <c r="X679" i="1"/>
  <c r="Y693" i="1"/>
  <c r="Y710" i="1"/>
  <c r="Y711" i="1"/>
  <c r="X713" i="1"/>
  <c r="X752" i="1"/>
  <c r="X808" i="1"/>
  <c r="Y818" i="1"/>
  <c r="X870" i="1"/>
  <c r="Y889" i="1"/>
  <c r="Y890" i="1"/>
  <c r="X891" i="1"/>
  <c r="X921" i="1"/>
  <c r="X997" i="1"/>
  <c r="X1014" i="1"/>
  <c r="X1033" i="1"/>
  <c r="X1043" i="1"/>
  <c r="Y1044" i="1"/>
  <c r="Y1045" i="1"/>
  <c r="X1058" i="1"/>
  <c r="Y1185" i="1"/>
  <c r="Y1191" i="1"/>
  <c r="X1249" i="1"/>
  <c r="Y1254" i="1"/>
  <c r="X73" i="1"/>
  <c r="Y92" i="1"/>
  <c r="X113" i="1"/>
  <c r="Y115" i="1"/>
  <c r="Y127" i="1"/>
  <c r="Y247" i="1"/>
  <c r="X248" i="1"/>
  <c r="X280" i="1"/>
  <c r="Y294" i="1"/>
  <c r="X366" i="1"/>
  <c r="X384" i="1"/>
  <c r="X408" i="1"/>
  <c r="X409" i="1"/>
  <c r="X442" i="1"/>
  <c r="X491" i="1"/>
  <c r="X500" i="1"/>
  <c r="X553" i="1"/>
  <c r="Y555" i="1"/>
  <c r="X566" i="1"/>
  <c r="Y567" i="1"/>
  <c r="X595" i="1"/>
  <c r="Y605" i="1"/>
  <c r="Y623" i="1"/>
  <c r="X628" i="1"/>
  <c r="Y652" i="1"/>
  <c r="Y667" i="1"/>
  <c r="Y805" i="1"/>
  <c r="Y806" i="1"/>
  <c r="X840" i="1"/>
  <c r="Y925" i="1"/>
  <c r="X926" i="1"/>
  <c r="X965" i="1"/>
  <c r="Y992" i="1"/>
  <c r="Y993" i="1"/>
  <c r="X1026" i="1"/>
  <c r="X1041" i="1"/>
  <c r="X1096" i="1"/>
  <c r="X1116" i="1"/>
  <c r="X1126" i="1"/>
  <c r="X90" i="1"/>
  <c r="X110" i="1"/>
  <c r="Y119" i="1"/>
  <c r="X125" i="1"/>
  <c r="Y161" i="1"/>
  <c r="Y192" i="1"/>
  <c r="X1217" i="1"/>
  <c r="X41" i="1"/>
  <c r="X42" i="1"/>
  <c r="Y43" i="1"/>
  <c r="Y44" i="1"/>
  <c r="Y47" i="1"/>
  <c r="Y48" i="1"/>
  <c r="X60" i="1"/>
  <c r="Y71" i="1"/>
  <c r="Y131" i="1"/>
  <c r="Y135" i="1"/>
  <c r="X139" i="1"/>
  <c r="Y144" i="1"/>
  <c r="Y269" i="1"/>
  <c r="X269" i="1"/>
  <c r="X277" i="1"/>
  <c r="Y277" i="1"/>
  <c r="Y18" i="1"/>
  <c r="X25" i="1"/>
  <c r="Y39" i="1"/>
  <c r="X3" i="1"/>
  <c r="X2" i="1"/>
  <c r="Y5" i="1"/>
  <c r="O3" i="1"/>
  <c r="X11" i="1"/>
  <c r="X53" i="1"/>
  <c r="Y67" i="1"/>
  <c r="Y100" i="1"/>
  <c r="X101" i="1"/>
  <c r="Y105" i="1"/>
  <c r="X153" i="1"/>
  <c r="X172" i="1"/>
  <c r="Y176" i="1"/>
  <c r="Y177" i="1"/>
  <c r="X183" i="1"/>
  <c r="X188" i="1"/>
  <c r="Y222" i="1"/>
  <c r="Y224" i="1"/>
  <c r="X225" i="1"/>
  <c r="Y271" i="1"/>
  <c r="X271" i="1"/>
  <c r="X196" i="1"/>
  <c r="Y203" i="1"/>
  <c r="Y207" i="1"/>
  <c r="Y208" i="1"/>
  <c r="Y278" i="1"/>
  <c r="X278" i="1"/>
  <c r="X380" i="1"/>
  <c r="X390" i="1"/>
  <c r="X394" i="1"/>
  <c r="X418" i="1"/>
  <c r="X424" i="1"/>
  <c r="Y445" i="1"/>
  <c r="Y446" i="1"/>
  <c r="Y509" i="1"/>
  <c r="X510" i="1"/>
  <c r="Y539" i="1"/>
  <c r="Y596" i="1"/>
  <c r="Y648" i="1"/>
  <c r="X685" i="1"/>
  <c r="Y685" i="1"/>
  <c r="X779" i="1"/>
  <c r="X780" i="1"/>
  <c r="Y860" i="1"/>
  <c r="X860" i="1"/>
  <c r="Y299" i="1"/>
  <c r="Y304" i="1"/>
  <c r="X307" i="1"/>
  <c r="Y315" i="1"/>
  <c r="X323" i="1"/>
  <c r="X343" i="1"/>
  <c r="X363" i="1"/>
  <c r="X368" i="1"/>
  <c r="Y369" i="1"/>
  <c r="X372" i="1"/>
  <c r="X374" i="1"/>
  <c r="X376" i="1"/>
  <c r="X379" i="1"/>
  <c r="X386" i="1"/>
  <c r="X397" i="1"/>
  <c r="X531" i="1"/>
  <c r="X534" i="1"/>
  <c r="X604" i="1"/>
  <c r="X671" i="1"/>
  <c r="Y671" i="1"/>
  <c r="Y689" i="1"/>
  <c r="Y716" i="1"/>
  <c r="X753" i="1"/>
  <c r="X754" i="1"/>
  <c r="Y288" i="1"/>
  <c r="X291" i="1"/>
  <c r="X746" i="1"/>
  <c r="Y746" i="1"/>
  <c r="Y809" i="1"/>
  <c r="X809" i="1"/>
  <c r="X854" i="1"/>
  <c r="Y854" i="1"/>
  <c r="Y861" i="1"/>
  <c r="X861" i="1"/>
  <c r="Y494" i="1"/>
  <c r="X496" i="1"/>
  <c r="Y502" i="1"/>
  <c r="Y504" i="1"/>
  <c r="X527" i="1"/>
  <c r="Y543" i="1"/>
  <c r="Y575" i="1"/>
  <c r="Y576" i="1"/>
  <c r="Y621" i="1"/>
  <c r="Y647" i="1"/>
  <c r="X674" i="1"/>
  <c r="Y736" i="1"/>
  <c r="X739" i="1"/>
  <c r="Y740" i="1"/>
  <c r="X741" i="1"/>
  <c r="X745" i="1"/>
  <c r="Y745" i="1"/>
  <c r="Y833" i="1"/>
  <c r="X833" i="1"/>
  <c r="Y1248" i="1"/>
  <c r="Y1304" i="1"/>
  <c r="X897" i="1"/>
  <c r="X898" i="1"/>
  <c r="Y899" i="1"/>
  <c r="X917" i="1"/>
  <c r="X919" i="1"/>
  <c r="X929" i="1"/>
  <c r="X932" i="1"/>
  <c r="X936" i="1"/>
  <c r="X946" i="1"/>
  <c r="X952" i="1"/>
  <c r="X991" i="1"/>
  <c r="Y998" i="1"/>
  <c r="X1003" i="1"/>
  <c r="X1004" i="1"/>
  <c r="X1005" i="1"/>
  <c r="X1020" i="1"/>
  <c r="Y1021" i="1"/>
  <c r="Y1023" i="1"/>
  <c r="X1024" i="1"/>
  <c r="Y1039" i="1"/>
  <c r="X1054" i="1"/>
  <c r="X1067" i="1"/>
  <c r="X1074" i="1"/>
  <c r="X1091" i="1"/>
  <c r="Y1093" i="1"/>
  <c r="Y1122" i="1"/>
  <c r="Y1136" i="1"/>
  <c r="X1141" i="1"/>
  <c r="X1160" i="1"/>
  <c r="X1216" i="1"/>
  <c r="X1224" i="1"/>
  <c r="Y1225" i="1"/>
  <c r="Y1229" i="1"/>
  <c r="Y1293" i="1"/>
  <c r="X763" i="1"/>
  <c r="Y765" i="1"/>
  <c r="Y787" i="1"/>
  <c r="Y788" i="1"/>
  <c r="Y801" i="1"/>
  <c r="Y802" i="1"/>
  <c r="X865" i="1"/>
  <c r="Y874" i="1"/>
  <c r="Y881" i="1"/>
  <c r="Y882" i="1"/>
  <c r="X893" i="1"/>
  <c r="Y894" i="1"/>
  <c r="Y895" i="1"/>
  <c r="Y956" i="1"/>
  <c r="Y957" i="1"/>
  <c r="Y978" i="1"/>
  <c r="X980" i="1"/>
  <c r="X981" i="1"/>
  <c r="X987" i="1"/>
  <c r="Y989" i="1"/>
  <c r="Y1006" i="1"/>
  <c r="X1016" i="1"/>
  <c r="Y1018" i="1"/>
  <c r="Y1036" i="1"/>
  <c r="X1037" i="1"/>
  <c r="X1123" i="1"/>
  <c r="X1197" i="1"/>
  <c r="Y1208" i="1"/>
  <c r="Y1221" i="1"/>
  <c r="X1228" i="1"/>
  <c r="X1232" i="1"/>
  <c r="Y1243" i="1"/>
  <c r="Y1266" i="1"/>
  <c r="Y1292" i="1"/>
  <c r="M1067" i="1"/>
  <c r="Y8" i="1"/>
  <c r="Y9" i="1"/>
  <c r="Y12" i="1"/>
  <c r="Y13" i="1"/>
  <c r="X22" i="1"/>
  <c r="X29" i="1"/>
  <c r="X30" i="1"/>
  <c r="X36" i="1"/>
  <c r="X70" i="1"/>
  <c r="X76" i="1"/>
  <c r="X80" i="1"/>
  <c r="X81" i="1"/>
  <c r="Y93" i="1"/>
  <c r="Y114" i="1"/>
  <c r="X123" i="1"/>
  <c r="Y191" i="1"/>
  <c r="X206" i="1"/>
  <c r="X223" i="1"/>
  <c r="Y223" i="1"/>
  <c r="Y234" i="1"/>
  <c r="X234" i="1"/>
  <c r="X201" i="1"/>
  <c r="X202" i="1"/>
  <c r="Y219" i="1"/>
  <c r="X220" i="1"/>
  <c r="Y220" i="1"/>
  <c r="O32" i="1"/>
  <c r="O5" i="1"/>
  <c r="X24" i="1"/>
  <c r="Y45" i="1"/>
  <c r="X46" i="1"/>
  <c r="Y56" i="1"/>
  <c r="Y58" i="1"/>
  <c r="X82" i="1"/>
  <c r="X83" i="1"/>
  <c r="X86" i="1"/>
  <c r="X89" i="1"/>
  <c r="X95" i="1"/>
  <c r="Y99" i="1"/>
  <c r="Y103" i="1"/>
  <c r="X109" i="1"/>
  <c r="X118" i="1"/>
  <c r="Y132" i="1"/>
  <c r="X145" i="1"/>
  <c r="Y147" i="1"/>
  <c r="X165" i="1"/>
  <c r="X169" i="1"/>
  <c r="X187" i="1"/>
  <c r="X197" i="1"/>
  <c r="Y215" i="1"/>
  <c r="X215" i="1"/>
  <c r="Y228" i="1"/>
  <c r="X228" i="1"/>
  <c r="Y238" i="1"/>
  <c r="X238" i="1"/>
  <c r="X230" i="1"/>
  <c r="Y230" i="1"/>
  <c r="Y449" i="1"/>
  <c r="Y490" i="1"/>
  <c r="X515" i="1"/>
  <c r="X517" i="1"/>
  <c r="Y524" i="1"/>
  <c r="Y554" i="1"/>
  <c r="Y564" i="1"/>
  <c r="Y584" i="1"/>
  <c r="Y606" i="1"/>
  <c r="Y276" i="1"/>
  <c r="Y282" i="1"/>
  <c r="X296" i="1"/>
  <c r="Y303" i="1"/>
  <c r="X319" i="1"/>
  <c r="Y321" i="1"/>
  <c r="X325" i="1"/>
  <c r="X333" i="1"/>
  <c r="X345" i="1"/>
  <c r="X346" i="1"/>
  <c r="X350" i="1"/>
  <c r="X359" i="1"/>
  <c r="X365" i="1"/>
  <c r="X377" i="1"/>
  <c r="X417" i="1"/>
  <c r="Y430" i="1"/>
  <c r="X441" i="1"/>
  <c r="X453" i="1"/>
  <c r="X463" i="1"/>
  <c r="Y470" i="1"/>
  <c r="Y473" i="1"/>
  <c r="X478" i="1"/>
  <c r="Y482" i="1"/>
  <c r="X493" i="1"/>
  <c r="X505" i="1"/>
  <c r="X516" i="1"/>
  <c r="X523" i="1"/>
  <c r="X532" i="1"/>
  <c r="X544" i="1"/>
  <c r="Y557" i="1"/>
  <c r="Y580" i="1"/>
  <c r="Y581" i="1"/>
  <c r="X583" i="1"/>
  <c r="Y312" i="1"/>
  <c r="Y316" i="1"/>
  <c r="Y329" i="1"/>
  <c r="Y410" i="1"/>
  <c r="X427" i="1"/>
  <c r="Y436" i="1"/>
  <c r="X472" i="1"/>
  <c r="X481" i="1"/>
  <c r="Y528" i="1"/>
  <c r="X550" i="1"/>
  <c r="Y558" i="1"/>
  <c r="Y559" i="1"/>
  <c r="X570" i="1"/>
  <c r="Y625" i="1"/>
  <c r="Y636" i="1"/>
  <c r="X643" i="1"/>
  <c r="X645" i="1"/>
  <c r="Y670" i="1"/>
  <c r="X697" i="1"/>
  <c r="Y703" i="1"/>
  <c r="X704" i="1"/>
  <c r="Y708" i="1"/>
  <c r="Y718" i="1"/>
  <c r="X719" i="1"/>
  <c r="X723" i="1"/>
  <c r="X725" i="1"/>
  <c r="X727" i="1"/>
  <c r="Y734" i="1"/>
  <c r="Y742" i="1"/>
  <c r="X743" i="1"/>
  <c r="Y751" i="1"/>
  <c r="Y755" i="1"/>
  <c r="Y764" i="1"/>
  <c r="Y773" i="1"/>
  <c r="Y781" i="1"/>
  <c r="X791" i="1"/>
  <c r="X796" i="1"/>
  <c r="Y828" i="1"/>
  <c r="Y829" i="1"/>
  <c r="Y830" i="1"/>
  <c r="X841" i="1"/>
  <c r="Y845" i="1"/>
  <c r="Y846" i="1"/>
  <c r="Y858" i="1"/>
  <c r="Y866" i="1"/>
  <c r="Y908" i="1"/>
  <c r="Y909" i="1"/>
  <c r="Y910" i="1"/>
  <c r="Y911" i="1"/>
  <c r="X911" i="1"/>
  <c r="Y904" i="1"/>
  <c r="X904" i="1"/>
  <c r="Y924" i="1"/>
  <c r="X924" i="1"/>
  <c r="Y819" i="1"/>
  <c r="Y848" i="1"/>
  <c r="Y855" i="1"/>
  <c r="Y916" i="1"/>
  <c r="X916" i="1"/>
  <c r="X632" i="1"/>
  <c r="X659" i="1"/>
  <c r="X700" i="1"/>
  <c r="X702" i="1"/>
  <c r="Y709" i="1"/>
  <c r="Y717" i="1"/>
  <c r="X733" i="1"/>
  <c r="Y747" i="1"/>
  <c r="X768" i="1"/>
  <c r="Y814" i="1"/>
  <c r="Y815" i="1"/>
  <c r="X817" i="1"/>
  <c r="X827" i="1"/>
  <c r="Y844" i="1"/>
  <c r="X849" i="1"/>
  <c r="X857" i="1"/>
  <c r="X862" i="1"/>
  <c r="X885" i="1"/>
  <c r="M903" i="1"/>
  <c r="X947" i="1"/>
  <c r="X955" i="1"/>
  <c r="Y958" i="1"/>
  <c r="Y962" i="1"/>
  <c r="X964" i="1"/>
  <c r="Y966" i="1"/>
  <c r="Y982" i="1"/>
  <c r="X996" i="1"/>
  <c r="X1000" i="1"/>
  <c r="X1022" i="1"/>
  <c r="X1027" i="1"/>
  <c r="X1031" i="1"/>
  <c r="X1035" i="1"/>
  <c r="X1047" i="1"/>
  <c r="X1050" i="1"/>
  <c r="Y1057" i="1"/>
  <c r="X1057" i="1"/>
  <c r="Y1075" i="1"/>
  <c r="X1075" i="1"/>
  <c r="X1083" i="1"/>
  <c r="Y1083" i="1"/>
  <c r="Y1111" i="1"/>
  <c r="Y1117" i="1"/>
  <c r="X1117" i="1"/>
  <c r="Y976" i="1"/>
  <c r="Y1015" i="1"/>
  <c r="Y1025" i="1"/>
  <c r="Y1078" i="1"/>
  <c r="X1078" i="1"/>
  <c r="Y1073" i="1"/>
  <c r="X1073" i="1"/>
  <c r="Y1049" i="1"/>
  <c r="X1049" i="1"/>
  <c r="X1084" i="1"/>
  <c r="Y1084" i="1"/>
  <c r="Y1097" i="1"/>
  <c r="X1097" i="1"/>
  <c r="Y1107" i="1"/>
  <c r="X1107" i="1"/>
  <c r="X1133" i="1"/>
  <c r="X1151" i="1"/>
  <c r="X1178" i="1"/>
  <c r="X1184" i="1"/>
  <c r="Y1205" i="1"/>
  <c r="Y1239" i="1"/>
  <c r="X1244" i="1"/>
  <c r="Y1253" i="1"/>
  <c r="Y1265" i="1"/>
  <c r="Y1273" i="1"/>
  <c r="Y1284" i="1"/>
  <c r="Y1296" i="1"/>
  <c r="Y1297" i="1"/>
  <c r="X1305" i="1"/>
  <c r="M1133" i="1"/>
  <c r="X1142" i="1"/>
  <c r="Y1146" i="1"/>
  <c r="M1184" i="1"/>
  <c r="X1186" i="1"/>
  <c r="Y1198" i="1"/>
  <c r="Y1213" i="1"/>
  <c r="X1220" i="1"/>
  <c r="Y1269" i="1"/>
  <c r="Y1280" i="1"/>
  <c r="Y1289" i="1"/>
  <c r="X1301" i="1"/>
  <c r="Y1285" i="1"/>
  <c r="Y1288" i="1"/>
  <c r="Y1300" i="1"/>
  <c r="I34" i="1"/>
  <c r="S34" i="1" s="1"/>
  <c r="I4" i="1"/>
  <c r="S4" i="1" s="1"/>
  <c r="I9" i="1"/>
  <c r="S9" i="1" s="1"/>
  <c r="I13" i="1"/>
  <c r="S13" i="1" s="1"/>
  <c r="I44" i="1"/>
  <c r="S44" i="1" s="1"/>
  <c r="X4" i="1"/>
  <c r="X7" i="1"/>
  <c r="Y19" i="1"/>
  <c r="X28" i="1"/>
  <c r="Y50" i="1"/>
  <c r="X50" i="1"/>
  <c r="Y61" i="1"/>
  <c r="X61" i="1"/>
  <c r="I75" i="1"/>
  <c r="S75" i="1" s="1"/>
  <c r="I82" i="1"/>
  <c r="S82" i="1" s="1"/>
  <c r="I90" i="1"/>
  <c r="S90" i="1" s="1"/>
  <c r="I111" i="1"/>
  <c r="S111" i="1" s="1"/>
  <c r="I138" i="1"/>
  <c r="S138" i="1" s="1"/>
  <c r="M320" i="1"/>
  <c r="X17" i="1"/>
  <c r="X23" i="1"/>
  <c r="X26" i="1"/>
  <c r="Y31" i="1"/>
  <c r="X34" i="1"/>
  <c r="X35" i="1"/>
  <c r="I47" i="1"/>
  <c r="S47" i="1" s="1"/>
  <c r="I52" i="1"/>
  <c r="S52" i="1" s="1"/>
  <c r="I55" i="1"/>
  <c r="S55" i="1" s="1"/>
  <c r="Y55" i="1"/>
  <c r="I57" i="1"/>
  <c r="S57" i="1" s="1"/>
  <c r="I80" i="1"/>
  <c r="S80" i="1" s="1"/>
  <c r="I101" i="1"/>
  <c r="S101" i="1" s="1"/>
  <c r="I140" i="1"/>
  <c r="S140" i="1" s="1"/>
  <c r="I141" i="1"/>
  <c r="S141" i="1" s="1"/>
  <c r="I142" i="1"/>
  <c r="S142" i="1" s="1"/>
  <c r="I203" i="1"/>
  <c r="S203" i="1" s="1"/>
  <c r="X16" i="1"/>
  <c r="M26" i="1"/>
  <c r="X32" i="1"/>
  <c r="Y33" i="1"/>
  <c r="I37" i="1"/>
  <c r="S37" i="1" s="1"/>
  <c r="M43" i="1"/>
  <c r="M48" i="1"/>
  <c r="I73" i="1"/>
  <c r="S73" i="1" s="1"/>
  <c r="I91" i="1"/>
  <c r="S91" i="1" s="1"/>
  <c r="I122" i="1"/>
  <c r="S122" i="1" s="1"/>
  <c r="I124" i="1"/>
  <c r="S124" i="1" s="1"/>
  <c r="I146" i="1"/>
  <c r="S146" i="1" s="1"/>
  <c r="I297" i="1"/>
  <c r="S297" i="1" s="1"/>
  <c r="I305" i="1"/>
  <c r="S305" i="1" s="1"/>
  <c r="I364" i="1"/>
  <c r="S364" i="1" s="1"/>
  <c r="I366" i="1"/>
  <c r="S366" i="1" s="1"/>
  <c r="X15" i="1"/>
  <c r="M32" i="1"/>
  <c r="I56" i="1"/>
  <c r="S56" i="1" s="1"/>
  <c r="I166" i="1"/>
  <c r="S166" i="1" s="1"/>
  <c r="I170" i="1"/>
  <c r="S170" i="1" s="1"/>
  <c r="I326" i="1"/>
  <c r="S326" i="1" s="1"/>
  <c r="I360" i="1"/>
  <c r="S360" i="1" s="1"/>
  <c r="Y87" i="1"/>
  <c r="Y88" i="1"/>
  <c r="Y98" i="1"/>
  <c r="Y104" i="1"/>
  <c r="Y128" i="1"/>
  <c r="Y129" i="1"/>
  <c r="Y160" i="1"/>
  <c r="Y168" i="1"/>
  <c r="Y229" i="1"/>
  <c r="Y259" i="1"/>
  <c r="Y295" i="1"/>
  <c r="Y355" i="1"/>
  <c r="I370" i="1"/>
  <c r="S370" i="1" s="1"/>
  <c r="I516" i="1"/>
  <c r="S516" i="1" s="1"/>
  <c r="I532" i="1"/>
  <c r="S532" i="1" s="1"/>
  <c r="X72" i="1"/>
  <c r="X84" i="1"/>
  <c r="I85" i="1"/>
  <c r="S85" i="1" s="1"/>
  <c r="X96" i="1"/>
  <c r="I104" i="1"/>
  <c r="S104" i="1" s="1"/>
  <c r="X107" i="1"/>
  <c r="Y156" i="1"/>
  <c r="X205" i="1"/>
  <c r="X209" i="1"/>
  <c r="Y210" i="1"/>
  <c r="X213" i="1"/>
  <c r="Y227" i="1"/>
  <c r="Y232" i="1"/>
  <c r="Y235" i="1"/>
  <c r="Y239" i="1"/>
  <c r="X246" i="1"/>
  <c r="X250" i="1"/>
  <c r="Y254" i="1"/>
  <c r="Y262" i="1"/>
  <c r="X267" i="1"/>
  <c r="Y272" i="1"/>
  <c r="Y275" i="1"/>
  <c r="Y281" i="1"/>
  <c r="X283" i="1"/>
  <c r="X285" i="1"/>
  <c r="X286" i="1"/>
  <c r="I293" i="1"/>
  <c r="S293" i="1" s="1"/>
  <c r="X306" i="1"/>
  <c r="I308" i="1"/>
  <c r="S308" i="1" s="1"/>
  <c r="X310" i="1"/>
  <c r="X311" i="1"/>
  <c r="I312" i="1"/>
  <c r="S312" i="1" s="1"/>
  <c r="I316" i="1"/>
  <c r="S316" i="1" s="1"/>
  <c r="X318" i="1"/>
  <c r="X320" i="1"/>
  <c r="X328" i="1"/>
  <c r="Y344" i="1"/>
  <c r="Y351" i="1"/>
  <c r="M367" i="1"/>
  <c r="X370" i="1"/>
  <c r="Y373" i="1"/>
  <c r="Y378" i="1"/>
  <c r="X378" i="1"/>
  <c r="M380" i="1"/>
  <c r="I382" i="1"/>
  <c r="S382" i="1" s="1"/>
  <c r="Y382" i="1"/>
  <c r="X382" i="1"/>
  <c r="I384" i="1"/>
  <c r="S384" i="1" s="1"/>
  <c r="I414" i="1"/>
  <c r="S414" i="1" s="1"/>
  <c r="I489" i="1"/>
  <c r="S489" i="1" s="1"/>
  <c r="Y389" i="1"/>
  <c r="X389" i="1"/>
  <c r="I395" i="1"/>
  <c r="S395" i="1" s="1"/>
  <c r="Y395" i="1"/>
  <c r="X395" i="1"/>
  <c r="I425" i="1"/>
  <c r="S425" i="1" s="1"/>
  <c r="I477" i="1"/>
  <c r="S477" i="1" s="1"/>
  <c r="I479" i="1"/>
  <c r="S479" i="1" s="1"/>
  <c r="I511" i="1"/>
  <c r="S511" i="1" s="1"/>
  <c r="X63" i="1"/>
  <c r="Y65" i="1"/>
  <c r="X66" i="1"/>
  <c r="I68" i="1"/>
  <c r="S68" i="1" s="1"/>
  <c r="I72" i="1"/>
  <c r="S72" i="1" s="1"/>
  <c r="X78" i="1"/>
  <c r="I84" i="1"/>
  <c r="S84" i="1" s="1"/>
  <c r="X94" i="1"/>
  <c r="I99" i="1"/>
  <c r="S99" i="1" s="1"/>
  <c r="I105" i="1"/>
  <c r="S105" i="1" s="1"/>
  <c r="Y124" i="1"/>
  <c r="Y126" i="1"/>
  <c r="Y138" i="1"/>
  <c r="Y140" i="1"/>
  <c r="Y141" i="1"/>
  <c r="Y142" i="1"/>
  <c r="Y148" i="1"/>
  <c r="Y149" i="1"/>
  <c r="Y154" i="1"/>
  <c r="Y157" i="1"/>
  <c r="Y174" i="1"/>
  <c r="I198" i="1"/>
  <c r="S198" i="1" s="1"/>
  <c r="Y212" i="1"/>
  <c r="X217" i="1"/>
  <c r="Y221" i="1"/>
  <c r="X226" i="1"/>
  <c r="I230" i="1"/>
  <c r="S230" i="1" s="1"/>
  <c r="X261" i="1"/>
  <c r="Y266" i="1"/>
  <c r="Y270" i="1"/>
  <c r="X273" i="1"/>
  <c r="Y274" i="1"/>
  <c r="I289" i="1"/>
  <c r="S289" i="1" s="1"/>
  <c r="X314" i="1"/>
  <c r="M319" i="1"/>
  <c r="Y324" i="1"/>
  <c r="X337" i="1"/>
  <c r="Y347" i="1"/>
  <c r="X348" i="1"/>
  <c r="X352" i="1"/>
  <c r="Y360" i="1"/>
  <c r="Y364" i="1"/>
  <c r="I374" i="1"/>
  <c r="S374" i="1" s="1"/>
  <c r="Y383" i="1"/>
  <c r="X383" i="1"/>
  <c r="I393" i="1"/>
  <c r="S393" i="1" s="1"/>
  <c r="I400" i="1"/>
  <c r="S400" i="1" s="1"/>
  <c r="I419" i="1"/>
  <c r="S419" i="1" s="1"/>
  <c r="I447" i="1"/>
  <c r="S447" i="1" s="1"/>
  <c r="M387" i="1"/>
  <c r="Y387" i="1"/>
  <c r="M391" i="1"/>
  <c r="Y391" i="1"/>
  <c r="M392" i="1"/>
  <c r="Y392" i="1"/>
  <c r="Y399" i="1"/>
  <c r="Y413" i="1"/>
  <c r="M443" i="1"/>
  <c r="Y456" i="1"/>
  <c r="Y467" i="1"/>
  <c r="Y469" i="1"/>
  <c r="Y476" i="1"/>
  <c r="Y501" i="1"/>
  <c r="I537" i="1"/>
  <c r="S537" i="1" s="1"/>
  <c r="I576" i="1"/>
  <c r="S576" i="1" s="1"/>
  <c r="I585" i="1"/>
  <c r="S585" i="1" s="1"/>
  <c r="I622" i="1"/>
  <c r="S622" i="1" s="1"/>
  <c r="X474" i="1"/>
  <c r="Y477" i="1"/>
  <c r="Y479" i="1"/>
  <c r="X484" i="1"/>
  <c r="Y486" i="1"/>
  <c r="I494" i="1"/>
  <c r="S494" i="1" s="1"/>
  <c r="Y498" i="1"/>
  <c r="I507" i="1"/>
  <c r="S507" i="1" s="1"/>
  <c r="I513" i="1"/>
  <c r="S513" i="1" s="1"/>
  <c r="X519" i="1"/>
  <c r="X520" i="1"/>
  <c r="I521" i="1"/>
  <c r="S521" i="1" s="1"/>
  <c r="I528" i="1"/>
  <c r="S528" i="1" s="1"/>
  <c r="X530" i="1"/>
  <c r="I536" i="1"/>
  <c r="S536" i="1" s="1"/>
  <c r="I555" i="1"/>
  <c r="S555" i="1" s="1"/>
  <c r="I602" i="1"/>
  <c r="S602" i="1" s="1"/>
  <c r="I614" i="1"/>
  <c r="S614" i="1" s="1"/>
  <c r="X400" i="1"/>
  <c r="I401" i="1"/>
  <c r="S401" i="1" s="1"/>
  <c r="X402" i="1"/>
  <c r="X404" i="1"/>
  <c r="X405" i="1"/>
  <c r="X412" i="1"/>
  <c r="X414" i="1"/>
  <c r="I415" i="1"/>
  <c r="S415" i="1" s="1"/>
  <c r="X416" i="1"/>
  <c r="X419" i="1"/>
  <c r="I420" i="1"/>
  <c r="S420" i="1" s="1"/>
  <c r="X422" i="1"/>
  <c r="X423" i="1"/>
  <c r="I424" i="1"/>
  <c r="S424" i="1" s="1"/>
  <c r="X429" i="1"/>
  <c r="X433" i="1"/>
  <c r="X435" i="1"/>
  <c r="X439" i="1"/>
  <c r="X454" i="1"/>
  <c r="X457" i="1"/>
  <c r="X458" i="1"/>
  <c r="I459" i="1"/>
  <c r="S459" i="1" s="1"/>
  <c r="X536" i="1"/>
  <c r="Y536" i="1"/>
  <c r="I606" i="1"/>
  <c r="S606" i="1" s="1"/>
  <c r="X398" i="1"/>
  <c r="Y406" i="1"/>
  <c r="X431" i="1"/>
  <c r="Y459" i="1"/>
  <c r="Y464" i="1"/>
  <c r="X468" i="1"/>
  <c r="I470" i="1"/>
  <c r="S470" i="1" s="1"/>
  <c r="I482" i="1"/>
  <c r="S482" i="1" s="1"/>
  <c r="Y489" i="1"/>
  <c r="X514" i="1"/>
  <c r="I529" i="1"/>
  <c r="S529" i="1" s="1"/>
  <c r="Y535" i="1"/>
  <c r="X535" i="1"/>
  <c r="I597" i="1"/>
  <c r="S597" i="1" s="1"/>
  <c r="X538" i="1"/>
  <c r="Y547" i="1"/>
  <c r="Y548" i="1"/>
  <c r="Y561" i="1"/>
  <c r="X574" i="1"/>
  <c r="Y594" i="1"/>
  <c r="Y600" i="1"/>
  <c r="Y601" i="1"/>
  <c r="Y602" i="1"/>
  <c r="Y608" i="1"/>
  <c r="Y609" i="1"/>
  <c r="Y610" i="1"/>
  <c r="Y626" i="1"/>
  <c r="Y634" i="1"/>
  <c r="X640" i="1"/>
  <c r="Y640" i="1"/>
  <c r="X656" i="1"/>
  <c r="Y656" i="1"/>
  <c r="M538" i="1"/>
  <c r="M551" i="1"/>
  <c r="M571" i="1"/>
  <c r="X633" i="1"/>
  <c r="Y633" i="1"/>
  <c r="X637" i="1"/>
  <c r="Y637" i="1"/>
  <c r="X638" i="1"/>
  <c r="Y638" i="1"/>
  <c r="X644" i="1"/>
  <c r="Y644" i="1"/>
  <c r="I680" i="1"/>
  <c r="S680" i="1" s="1"/>
  <c r="I689" i="1"/>
  <c r="S689" i="1" s="1"/>
  <c r="X590" i="1"/>
  <c r="X591" i="1"/>
  <c r="X599" i="1"/>
  <c r="X618" i="1"/>
  <c r="X619" i="1"/>
  <c r="I620" i="1"/>
  <c r="S620" i="1" s="1"/>
  <c r="Y622" i="1"/>
  <c r="Y627" i="1"/>
  <c r="Y629" i="1"/>
  <c r="Y631" i="1"/>
  <c r="I637" i="1"/>
  <c r="S637" i="1" s="1"/>
  <c r="I549" i="1"/>
  <c r="S549" i="1" s="1"/>
  <c r="Y551" i="1"/>
  <c r="X569" i="1"/>
  <c r="Y571" i="1"/>
  <c r="Y572" i="1"/>
  <c r="I610" i="1"/>
  <c r="S610" i="1" s="1"/>
  <c r="X624" i="1"/>
  <c r="I685" i="1"/>
  <c r="S685" i="1" s="1"/>
  <c r="I690" i="1"/>
  <c r="S690" i="1" s="1"/>
  <c r="M691" i="1"/>
  <c r="I693" i="1"/>
  <c r="S693" i="1" s="1"/>
  <c r="Y666" i="1"/>
  <c r="X684" i="1"/>
  <c r="X687" i="1"/>
  <c r="X688" i="1"/>
  <c r="Y691" i="1"/>
  <c r="Y692" i="1"/>
  <c r="M697" i="1"/>
  <c r="Y706" i="1"/>
  <c r="Y715" i="1"/>
  <c r="Y721" i="1"/>
  <c r="X737" i="1"/>
  <c r="Y737" i="1"/>
  <c r="I757" i="1"/>
  <c r="S757" i="1" s="1"/>
  <c r="Y760" i="1"/>
  <c r="X760" i="1"/>
  <c r="I815" i="1"/>
  <c r="S815" i="1" s="1"/>
  <c r="I838" i="1"/>
  <c r="S838" i="1" s="1"/>
  <c r="X641" i="1"/>
  <c r="Y649" i="1"/>
  <c r="Y653" i="1"/>
  <c r="X669" i="1"/>
  <c r="I671" i="1"/>
  <c r="S671" i="1" s="1"/>
  <c r="Y694" i="1"/>
  <c r="Y698" i="1"/>
  <c r="Y705" i="1"/>
  <c r="Y714" i="1"/>
  <c r="Y728" i="1"/>
  <c r="Y732" i="1"/>
  <c r="Y735" i="1"/>
  <c r="M756" i="1"/>
  <c r="I870" i="1"/>
  <c r="S870" i="1" s="1"/>
  <c r="X738" i="1"/>
  <c r="Y738" i="1"/>
  <c r="X744" i="1"/>
  <c r="Y744" i="1"/>
  <c r="Y756" i="1"/>
  <c r="X756" i="1"/>
  <c r="I761" i="1"/>
  <c r="S761" i="1" s="1"/>
  <c r="I806" i="1"/>
  <c r="S806" i="1" s="1"/>
  <c r="I864" i="1"/>
  <c r="S864" i="1" s="1"/>
  <c r="I867" i="1"/>
  <c r="S867" i="1" s="1"/>
  <c r="I875" i="1"/>
  <c r="S875" i="1" s="1"/>
  <c r="I912" i="1"/>
  <c r="S912" i="1" s="1"/>
  <c r="X661" i="1"/>
  <c r="Y663" i="1"/>
  <c r="X673" i="1"/>
  <c r="Y675" i="1"/>
  <c r="Y680" i="1"/>
  <c r="M692" i="1"/>
  <c r="Y701" i="1"/>
  <c r="Y712" i="1"/>
  <c r="Y724" i="1"/>
  <c r="X729" i="1"/>
  <c r="Y757" i="1"/>
  <c r="I765" i="1"/>
  <c r="S765" i="1" s="1"/>
  <c r="Y767" i="1"/>
  <c r="X767" i="1"/>
  <c r="I773" i="1"/>
  <c r="S773" i="1" s="1"/>
  <c r="I890" i="1"/>
  <c r="S890" i="1" s="1"/>
  <c r="I917" i="1"/>
  <c r="S917" i="1" s="1"/>
  <c r="Y930" i="1"/>
  <c r="X930" i="1"/>
  <c r="Y949" i="1"/>
  <c r="X949" i="1"/>
  <c r="I962" i="1"/>
  <c r="S962" i="1" s="1"/>
  <c r="Y968" i="1"/>
  <c r="X968" i="1"/>
  <c r="I1066" i="1"/>
  <c r="S1066" i="1" s="1"/>
  <c r="Y769" i="1"/>
  <c r="X776" i="1"/>
  <c r="X783" i="1"/>
  <c r="Y785" i="1"/>
  <c r="X790" i="1"/>
  <c r="Y792" i="1"/>
  <c r="Y797" i="1"/>
  <c r="Y798" i="1"/>
  <c r="Y810" i="1"/>
  <c r="Y811" i="1"/>
  <c r="Y822" i="1"/>
  <c r="Y824" i="1"/>
  <c r="X832" i="1"/>
  <c r="Y834" i="1"/>
  <c r="Y842" i="1"/>
  <c r="Y847" i="1"/>
  <c r="Y850" i="1"/>
  <c r="X851" i="1"/>
  <c r="X853" i="1"/>
  <c r="X863" i="1"/>
  <c r="X868" i="1"/>
  <c r="X869" i="1"/>
  <c r="X873" i="1"/>
  <c r="I874" i="1"/>
  <c r="S874" i="1" s="1"/>
  <c r="X879" i="1"/>
  <c r="X884" i="1"/>
  <c r="Y886" i="1"/>
  <c r="Y905" i="1"/>
  <c r="X912" i="1"/>
  <c r="X915" i="1"/>
  <c r="Y920" i="1"/>
  <c r="X920" i="1"/>
  <c r="X923" i="1"/>
  <c r="I926" i="1"/>
  <c r="S926" i="1" s="1"/>
  <c r="X928" i="1"/>
  <c r="Y933" i="1"/>
  <c r="X933" i="1"/>
  <c r="X934" i="1"/>
  <c r="X942" i="1"/>
  <c r="Y944" i="1"/>
  <c r="Y748" i="1"/>
  <c r="X759" i="1"/>
  <c r="Y761" i="1"/>
  <c r="X775" i="1"/>
  <c r="Y777" i="1"/>
  <c r="X800" i="1"/>
  <c r="X804" i="1"/>
  <c r="X813" i="1"/>
  <c r="X859" i="1"/>
  <c r="X872" i="1"/>
  <c r="X876" i="1"/>
  <c r="X888" i="1"/>
  <c r="M901" i="1"/>
  <c r="X901" i="1"/>
  <c r="X907" i="1"/>
  <c r="X922" i="1"/>
  <c r="I931" i="1"/>
  <c r="S931" i="1" s="1"/>
  <c r="Y938" i="1"/>
  <c r="X938" i="1"/>
  <c r="M940" i="1"/>
  <c r="Y951" i="1"/>
  <c r="X951" i="1"/>
  <c r="I957" i="1"/>
  <c r="S957" i="1" s="1"/>
  <c r="Y961" i="1"/>
  <c r="X961" i="1"/>
  <c r="I1005" i="1"/>
  <c r="S1005" i="1" s="1"/>
  <c r="M785" i="1"/>
  <c r="M797" i="1"/>
  <c r="M798" i="1"/>
  <c r="M810" i="1"/>
  <c r="M811" i="1"/>
  <c r="M822" i="1"/>
  <c r="M834" i="1"/>
  <c r="M842" i="1"/>
  <c r="M866" i="1"/>
  <c r="M930" i="1"/>
  <c r="I934" i="1"/>
  <c r="S934" i="1" s="1"/>
  <c r="M935" i="1"/>
  <c r="X940" i="1"/>
  <c r="Y940" i="1"/>
  <c r="M947" i="1"/>
  <c r="I948" i="1"/>
  <c r="S948" i="1" s="1"/>
  <c r="X953" i="1"/>
  <c r="Y953" i="1"/>
  <c r="I958" i="1"/>
  <c r="S958" i="1" s="1"/>
  <c r="Y960" i="1"/>
  <c r="X960" i="1"/>
  <c r="X1079" i="1"/>
  <c r="Y1079" i="1"/>
  <c r="Y1087" i="1"/>
  <c r="X1087" i="1"/>
  <c r="X1106" i="1"/>
  <c r="Y1106" i="1"/>
  <c r="I1108" i="1"/>
  <c r="S1108" i="1" s="1"/>
  <c r="I1130" i="1"/>
  <c r="S1130" i="1" s="1"/>
  <c r="X973" i="1"/>
  <c r="X974" i="1"/>
  <c r="X975" i="1"/>
  <c r="I978" i="1"/>
  <c r="S978" i="1" s="1"/>
  <c r="X984" i="1"/>
  <c r="X985" i="1"/>
  <c r="X986" i="1"/>
  <c r="X988" i="1"/>
  <c r="I989" i="1"/>
  <c r="S989" i="1" s="1"/>
  <c r="X1008" i="1"/>
  <c r="M1010" i="1"/>
  <c r="X1012" i="1"/>
  <c r="Y1017" i="1"/>
  <c r="Y1028" i="1"/>
  <c r="Y1032" i="1"/>
  <c r="Y1040" i="1"/>
  <c r="Y1042" i="1"/>
  <c r="Y1046" i="1"/>
  <c r="X1053" i="1"/>
  <c r="X1069" i="1"/>
  <c r="X1072" i="1"/>
  <c r="I1084" i="1"/>
  <c r="S1084" i="1" s="1"/>
  <c r="Y1092" i="1"/>
  <c r="X1092" i="1"/>
  <c r="Y1103" i="1"/>
  <c r="X1103" i="1"/>
  <c r="X1113" i="1"/>
  <c r="Y1113" i="1"/>
  <c r="X1120" i="1"/>
  <c r="Y1120" i="1"/>
  <c r="Y1132" i="1"/>
  <c r="X1132" i="1"/>
  <c r="Y1137" i="1"/>
  <c r="X1137" i="1"/>
  <c r="M944" i="1"/>
  <c r="M982" i="1"/>
  <c r="M993" i="1"/>
  <c r="M994" i="1"/>
  <c r="M1003" i="1"/>
  <c r="M1004" i="1"/>
  <c r="Y1048" i="1"/>
  <c r="M1075" i="1"/>
  <c r="Y1076" i="1"/>
  <c r="Y1088" i="1"/>
  <c r="X1088" i="1"/>
  <c r="X1112" i="1"/>
  <c r="Y1112" i="1"/>
  <c r="Y1129" i="1"/>
  <c r="X1129" i="1"/>
  <c r="I1132" i="1"/>
  <c r="S1132" i="1" s="1"/>
  <c r="M1056" i="1"/>
  <c r="M1064" i="1"/>
  <c r="Y1077" i="1"/>
  <c r="X1077" i="1"/>
  <c r="X1080" i="1"/>
  <c r="Y1080" i="1"/>
  <c r="Y1095" i="1"/>
  <c r="X1095" i="1"/>
  <c r="X1102" i="1"/>
  <c r="Y1102" i="1"/>
  <c r="I1126" i="1"/>
  <c r="S1126" i="1" s="1"/>
  <c r="Y1138" i="1"/>
  <c r="X1138" i="1"/>
  <c r="I1161" i="1"/>
  <c r="S1161" i="1" s="1"/>
  <c r="I1170" i="1"/>
  <c r="S1170" i="1" s="1"/>
  <c r="Y1171" i="1"/>
  <c r="X1171" i="1"/>
  <c r="M1179" i="1"/>
  <c r="M1185" i="1"/>
  <c r="M1129" i="1"/>
  <c r="Y1150" i="1"/>
  <c r="X1157" i="1"/>
  <c r="X1161" i="1"/>
  <c r="X1163" i="1"/>
  <c r="X1164" i="1"/>
  <c r="X1175" i="1"/>
  <c r="Y1176" i="1"/>
  <c r="Y1189" i="1"/>
  <c r="X1189" i="1"/>
  <c r="Y1192" i="1"/>
  <c r="X1192" i="1"/>
  <c r="Y1193" i="1"/>
  <c r="X1193" i="1"/>
  <c r="X1082" i="1"/>
  <c r="Y1089" i="1"/>
  <c r="Y1104" i="1"/>
  <c r="X1105" i="1"/>
  <c r="Y1108" i="1"/>
  <c r="M1125" i="1"/>
  <c r="X1125" i="1"/>
  <c r="I1128" i="1"/>
  <c r="S1128" i="1" s="1"/>
  <c r="X1128" i="1"/>
  <c r="X1134" i="1"/>
  <c r="M1137" i="1"/>
  <c r="M1147" i="1"/>
  <c r="X1148" i="1"/>
  <c r="X1154" i="1"/>
  <c r="X1155" i="1"/>
  <c r="X1156" i="1"/>
  <c r="M1159" i="1"/>
  <c r="X1162" i="1"/>
  <c r="M1167" i="1"/>
  <c r="X1168" i="1"/>
  <c r="Y1169" i="1"/>
  <c r="X1173" i="1"/>
  <c r="Y1180" i="1"/>
  <c r="X1180" i="1"/>
  <c r="M1102" i="1"/>
  <c r="M1112" i="1"/>
  <c r="M1113" i="1"/>
  <c r="M1118" i="1"/>
  <c r="M1120" i="1"/>
  <c r="M1134" i="1"/>
  <c r="Y1153" i="1"/>
  <c r="M1165" i="1"/>
  <c r="M1148" i="1"/>
  <c r="X1196" i="1"/>
  <c r="Y1204" i="1"/>
  <c r="X1210" i="1"/>
  <c r="Y1237" i="1"/>
  <c r="Y1207" i="1"/>
  <c r="X1263" i="1"/>
  <c r="X1276" i="1"/>
  <c r="X1241" i="1"/>
  <c r="X1246" i="1"/>
  <c r="X1259" i="1"/>
  <c r="Y1262" i="1"/>
  <c r="Y1275" i="1"/>
  <c r="X1277" i="1"/>
  <c r="X1209" i="1"/>
  <c r="Y1258" i="1"/>
  <c r="I11" i="1"/>
  <c r="S11" i="1" s="1"/>
  <c r="I86" i="1"/>
  <c r="S86" i="1" s="1"/>
  <c r="I109" i="1"/>
  <c r="S109" i="1" s="1"/>
  <c r="I116" i="1"/>
  <c r="S116" i="1" s="1"/>
  <c r="I158" i="1"/>
  <c r="S158" i="1" s="1"/>
  <c r="I159" i="1"/>
  <c r="S159" i="1" s="1"/>
  <c r="I160" i="1"/>
  <c r="S160" i="1" s="1"/>
  <c r="I162" i="1"/>
  <c r="S162" i="1" s="1"/>
  <c r="I163" i="1"/>
  <c r="S163" i="1" s="1"/>
  <c r="I164" i="1"/>
  <c r="S164" i="1" s="1"/>
  <c r="I190" i="1"/>
  <c r="S190" i="1" s="1"/>
  <c r="I195" i="1"/>
  <c r="S195" i="1" s="1"/>
  <c r="I213" i="1"/>
  <c r="S213" i="1" s="1"/>
  <c r="I228" i="1"/>
  <c r="S228" i="1" s="1"/>
  <c r="I233" i="1"/>
  <c r="S233" i="1" s="1"/>
  <c r="I248" i="1"/>
  <c r="S248" i="1" s="1"/>
  <c r="I261" i="1"/>
  <c r="S261" i="1" s="1"/>
  <c r="I267" i="1"/>
  <c r="S267" i="1" s="1"/>
  <c r="I269" i="1"/>
  <c r="S269" i="1" s="1"/>
  <c r="I273" i="1"/>
  <c r="S273" i="1" s="1"/>
  <c r="I285" i="1"/>
  <c r="S285" i="1" s="1"/>
  <c r="I300" i="1"/>
  <c r="S300" i="1" s="1"/>
  <c r="I301" i="1"/>
  <c r="S301" i="1" s="1"/>
  <c r="I310" i="1"/>
  <c r="S310" i="1" s="1"/>
  <c r="I314" i="1"/>
  <c r="S314" i="1" s="1"/>
  <c r="I7" i="1"/>
  <c r="S7" i="1" s="1"/>
  <c r="I20" i="1"/>
  <c r="S20" i="1" s="1"/>
  <c r="M27" i="1"/>
  <c r="I28" i="1"/>
  <c r="S28" i="1" s="1"/>
  <c r="M38" i="1"/>
  <c r="M49" i="1"/>
  <c r="I50" i="1"/>
  <c r="S50" i="1" s="1"/>
  <c r="M59" i="1"/>
  <c r="I60" i="1"/>
  <c r="S60" i="1" s="1"/>
  <c r="I66" i="1"/>
  <c r="M66" i="1" s="1"/>
  <c r="M77" i="1"/>
  <c r="I78" i="1"/>
  <c r="S78" i="1" s="1"/>
  <c r="I81" i="1"/>
  <c r="S81" i="1" s="1"/>
  <c r="M102" i="1"/>
  <c r="I117" i="1"/>
  <c r="S117" i="1" s="1"/>
  <c r="M121" i="1"/>
  <c r="I127" i="1"/>
  <c r="S127" i="1" s="1"/>
  <c r="I128" i="1"/>
  <c r="S128" i="1" s="1"/>
  <c r="M130" i="1"/>
  <c r="I131" i="1"/>
  <c r="S131" i="1" s="1"/>
  <c r="M133" i="1"/>
  <c r="I143" i="1"/>
  <c r="S143" i="1" s="1"/>
  <c r="I151" i="1"/>
  <c r="S151" i="1" s="1"/>
  <c r="I171" i="1"/>
  <c r="S171" i="1" s="1"/>
  <c r="I175" i="1"/>
  <c r="S175" i="1" s="1"/>
  <c r="I181" i="1"/>
  <c r="S181" i="1" s="1"/>
  <c r="I182" i="1"/>
  <c r="S182" i="1" s="1"/>
  <c r="I183" i="1"/>
  <c r="S183" i="1" s="1"/>
  <c r="M185" i="1"/>
  <c r="I186" i="1"/>
  <c r="S186" i="1" s="1"/>
  <c r="I191" i="1"/>
  <c r="S191" i="1" s="1"/>
  <c r="M193" i="1"/>
  <c r="M200" i="1"/>
  <c r="I211" i="1"/>
  <c r="S211" i="1" s="1"/>
  <c r="I225" i="1"/>
  <c r="S225" i="1" s="1"/>
  <c r="M232" i="1"/>
  <c r="I234" i="1"/>
  <c r="S234" i="1" s="1"/>
  <c r="I236" i="1"/>
  <c r="S236" i="1" s="1"/>
  <c r="I237" i="1"/>
  <c r="S237" i="1" s="1"/>
  <c r="I238" i="1"/>
  <c r="S238" i="1" s="1"/>
  <c r="I250" i="1"/>
  <c r="S250" i="1" s="1"/>
  <c r="I263" i="1"/>
  <c r="S263" i="1" s="1"/>
  <c r="I278" i="1"/>
  <c r="S278" i="1" s="1"/>
  <c r="I280" i="1"/>
  <c r="S280" i="1" s="1"/>
  <c r="I287" i="1"/>
  <c r="S287" i="1" s="1"/>
  <c r="I298" i="1"/>
  <c r="S298" i="1" s="1"/>
  <c r="I302" i="1"/>
  <c r="S302" i="1" s="1"/>
  <c r="M309" i="1"/>
  <c r="M313" i="1"/>
  <c r="I318" i="1"/>
  <c r="S318" i="1" s="1"/>
  <c r="I14" i="1"/>
  <c r="S14" i="1" s="1"/>
  <c r="M19" i="1"/>
  <c r="I21" i="1"/>
  <c r="S21" i="1" s="1"/>
  <c r="I41" i="1"/>
  <c r="S41" i="1" s="1"/>
  <c r="M51" i="1"/>
  <c r="I62" i="1"/>
  <c r="S62" i="1" s="1"/>
  <c r="M65" i="1"/>
  <c r="I70" i="1"/>
  <c r="S70" i="1" s="1"/>
  <c r="M74" i="1"/>
  <c r="I94" i="1"/>
  <c r="S94" i="1" s="1"/>
  <c r="I95" i="1"/>
  <c r="S95" i="1" s="1"/>
  <c r="I96" i="1"/>
  <c r="S96" i="1" s="1"/>
  <c r="M106" i="1"/>
  <c r="I107" i="1"/>
  <c r="S107" i="1" s="1"/>
  <c r="I110" i="1"/>
  <c r="M110" i="1" s="1"/>
  <c r="I118" i="1"/>
  <c r="S118" i="1" s="1"/>
  <c r="M120" i="1"/>
  <c r="I123" i="1"/>
  <c r="S123" i="1" s="1"/>
  <c r="I144" i="1"/>
  <c r="S144" i="1" s="1"/>
  <c r="M148" i="1"/>
  <c r="M149" i="1"/>
  <c r="I152" i="1"/>
  <c r="S152" i="1" s="1"/>
  <c r="I167" i="1"/>
  <c r="S167" i="1" s="1"/>
  <c r="I172" i="1"/>
  <c r="S172" i="1" s="1"/>
  <c r="M174" i="1"/>
  <c r="I176" i="1"/>
  <c r="S176" i="1" s="1"/>
  <c r="I178" i="1"/>
  <c r="S178" i="1" s="1"/>
  <c r="I179" i="1"/>
  <c r="S179" i="1" s="1"/>
  <c r="I180" i="1"/>
  <c r="S180" i="1" s="1"/>
  <c r="M189" i="1"/>
  <c r="M199" i="1"/>
  <c r="M204" i="1"/>
  <c r="I206" i="1"/>
  <c r="S206" i="1" s="1"/>
  <c r="M208" i="1"/>
  <c r="I217" i="1"/>
  <c r="S217" i="1" s="1"/>
  <c r="I218" i="1"/>
  <c r="S218" i="1" s="1"/>
  <c r="I240" i="1"/>
  <c r="S240" i="1" s="1"/>
  <c r="I246" i="1"/>
  <c r="S246" i="1" s="1"/>
  <c r="I255" i="1"/>
  <c r="S255" i="1" s="1"/>
  <c r="I265" i="1"/>
  <c r="S265" i="1" s="1"/>
  <c r="I271" i="1"/>
  <c r="S271" i="1" s="1"/>
  <c r="I283" i="1"/>
  <c r="S283" i="1" s="1"/>
  <c r="I290" i="1"/>
  <c r="S290" i="1" s="1"/>
  <c r="I295" i="1"/>
  <c r="S295" i="1" s="1"/>
  <c r="I306" i="1"/>
  <c r="S306" i="1" s="1"/>
  <c r="M317" i="1"/>
  <c r="I10" i="1"/>
  <c r="S10" i="1" s="1"/>
  <c r="I15" i="1"/>
  <c r="S15" i="1" s="1"/>
  <c r="I17" i="1"/>
  <c r="S17" i="1" s="1"/>
  <c r="I22" i="1"/>
  <c r="S22" i="1" s="1"/>
  <c r="I53" i="1"/>
  <c r="S53" i="1" s="1"/>
  <c r="I61" i="1"/>
  <c r="S61" i="1" s="1"/>
  <c r="I63" i="1"/>
  <c r="S63" i="1" s="1"/>
  <c r="I113" i="1"/>
  <c r="S113" i="1" s="1"/>
  <c r="I114" i="1"/>
  <c r="S114" i="1" s="1"/>
  <c r="I125" i="1"/>
  <c r="S125" i="1" s="1"/>
  <c r="I134" i="1"/>
  <c r="S134" i="1" s="1"/>
  <c r="I153" i="1"/>
  <c r="S153" i="1" s="1"/>
  <c r="I155" i="1"/>
  <c r="S155" i="1" s="1"/>
  <c r="I168" i="1"/>
  <c r="S168" i="1" s="1"/>
  <c r="I194" i="1"/>
  <c r="S194" i="1" s="1"/>
  <c r="I201" i="1"/>
  <c r="S201" i="1" s="1"/>
  <c r="I219" i="1"/>
  <c r="S219" i="1" s="1"/>
  <c r="I223" i="1"/>
  <c r="S223" i="1" s="1"/>
  <c r="I231" i="1"/>
  <c r="S231" i="1" s="1"/>
  <c r="I258" i="1"/>
  <c r="S258" i="1" s="1"/>
  <c r="I259" i="1"/>
  <c r="S259" i="1" s="1"/>
  <c r="I276" i="1"/>
  <c r="S276" i="1" s="1"/>
  <c r="I291" i="1"/>
  <c r="S291" i="1" s="1"/>
  <c r="I3" i="1"/>
  <c r="S3" i="1" s="1"/>
  <c r="I5" i="1"/>
  <c r="S5" i="1" s="1"/>
  <c r="X6" i="1"/>
  <c r="O1180" i="1"/>
  <c r="O1179" i="1"/>
  <c r="O1178" i="1"/>
  <c r="O1171" i="1"/>
  <c r="O1167" i="1"/>
  <c r="O1160" i="1"/>
  <c r="O1149" i="1"/>
  <c r="O1141" i="1"/>
  <c r="O1133" i="1"/>
  <c r="O1129" i="1"/>
  <c r="O1125" i="1"/>
  <c r="O1181" i="1"/>
  <c r="O1175" i="1"/>
  <c r="O1168" i="1"/>
  <c r="O1163" i="1"/>
  <c r="O1161" i="1"/>
  <c r="O1182" i="1"/>
  <c r="O1166" i="1"/>
  <c r="O1164" i="1"/>
  <c r="O1158" i="1"/>
  <c r="O1156" i="1"/>
  <c r="O1152" i="1"/>
  <c r="O1144" i="1"/>
  <c r="O1142" i="1"/>
  <c r="O1140" i="1"/>
  <c r="O1138" i="1"/>
  <c r="O1123" i="1"/>
  <c r="O1119" i="1"/>
  <c r="O1117" i="1"/>
  <c r="O1111" i="1"/>
  <c r="O1098" i="1"/>
  <c r="O1096" i="1"/>
  <c r="O1093" i="1"/>
  <c r="O1092" i="1"/>
  <c r="O1088" i="1"/>
  <c r="O1083" i="1"/>
  <c r="O1078" i="1"/>
  <c r="O1183" i="1"/>
  <c r="O1176" i="1"/>
  <c r="O1173" i="1"/>
  <c r="O1172" i="1"/>
  <c r="O1169" i="1"/>
  <c r="O1165" i="1"/>
  <c r="O1155" i="1"/>
  <c r="O1151" i="1"/>
  <c r="O1143" i="1"/>
  <c r="O1139" i="1"/>
  <c r="O1134" i="1"/>
  <c r="O1132" i="1"/>
  <c r="O1130" i="1"/>
  <c r="O1128" i="1"/>
  <c r="O1126" i="1"/>
  <c r="O1124" i="1"/>
  <c r="O1120" i="1"/>
  <c r="O1118" i="1"/>
  <c r="O1113" i="1"/>
  <c r="O1112" i="1"/>
  <c r="O1108" i="1"/>
  <c r="O1106" i="1"/>
  <c r="O1104" i="1"/>
  <c r="O1102" i="1"/>
  <c r="O1099" i="1"/>
  <c r="O1089" i="1"/>
  <c r="O1084" i="1"/>
  <c r="O1080" i="1"/>
  <c r="O1079" i="1"/>
  <c r="O1177" i="1"/>
  <c r="O1170" i="1"/>
  <c r="O1159" i="1"/>
  <c r="O1154" i="1"/>
  <c r="O1150" i="1"/>
  <c r="O1148" i="1"/>
  <c r="O1147" i="1"/>
  <c r="O1145" i="1"/>
  <c r="O1137" i="1"/>
  <c r="O1135" i="1"/>
  <c r="O1131" i="1"/>
  <c r="O1127" i="1"/>
  <c r="O1121" i="1"/>
  <c r="O1115" i="1"/>
  <c r="O1114" i="1"/>
  <c r="O1109" i="1"/>
  <c r="O1100" i="1"/>
  <c r="O1094" i="1"/>
  <c r="O1090" i="1"/>
  <c r="O1086" i="1"/>
  <c r="O1085" i="1"/>
  <c r="O1081" i="1"/>
  <c r="O1072" i="1"/>
  <c r="O1068" i="1"/>
  <c r="O1067" i="1"/>
  <c r="O1056" i="1"/>
  <c r="O1052" i="1"/>
  <c r="O1157" i="1"/>
  <c r="O1153" i="1"/>
  <c r="O1146" i="1"/>
  <c r="O1136" i="1"/>
  <c r="O1122" i="1"/>
  <c r="O1116" i="1"/>
  <c r="O1110" i="1"/>
  <c r="O1107" i="1"/>
  <c r="O1105" i="1"/>
  <c r="O1103" i="1"/>
  <c r="O1101" i="1"/>
  <c r="O1097" i="1"/>
  <c r="O1095" i="1"/>
  <c r="O1091" i="1"/>
  <c r="O1087" i="1"/>
  <c r="O1082" i="1"/>
  <c r="O1077" i="1"/>
  <c r="O1076" i="1"/>
  <c r="O1074" i="1"/>
  <c r="O1073" i="1"/>
  <c r="O1069" i="1"/>
  <c r="O1057" i="1"/>
  <c r="O1053" i="1"/>
  <c r="O1049" i="1"/>
  <c r="O1071" i="1"/>
  <c r="O1066" i="1"/>
  <c r="O1064" i="1"/>
  <c r="O1062" i="1"/>
  <c r="O1060" i="1"/>
  <c r="O1055" i="1"/>
  <c r="O1045" i="1"/>
  <c r="O1041" i="1"/>
  <c r="O1037" i="1"/>
  <c r="O1033" i="1"/>
  <c r="O1029" i="1"/>
  <c r="O1024" i="1"/>
  <c r="O1020" i="1"/>
  <c r="O1016" i="1"/>
  <c r="O1014" i="1"/>
  <c r="O1058" i="1"/>
  <c r="O1050" i="1"/>
  <c r="O1046" i="1"/>
  <c r="O1042" i="1"/>
  <c r="O1038" i="1"/>
  <c r="O1034" i="1"/>
  <c r="O1030" i="1"/>
  <c r="O1025" i="1"/>
  <c r="O1017" i="1"/>
  <c r="O1015" i="1"/>
  <c r="O1011" i="1"/>
  <c r="O1004" i="1"/>
  <c r="O1065" i="1"/>
  <c r="O1063" i="1"/>
  <c r="O1061" i="1"/>
  <c r="O1059" i="1"/>
  <c r="O1051" i="1"/>
  <c r="O1047" i="1"/>
  <c r="O1043" i="1"/>
  <c r="O1039" i="1"/>
  <c r="O1035" i="1"/>
  <c r="O1031" i="1"/>
  <c r="O1027" i="1"/>
  <c r="O1026" i="1"/>
  <c r="O1022" i="1"/>
  <c r="O1021" i="1"/>
  <c r="O1018" i="1"/>
  <c r="O1070" i="1"/>
  <c r="O1054" i="1"/>
  <c r="O1048" i="1"/>
  <c r="O1044" i="1"/>
  <c r="O1040" i="1"/>
  <c r="O1036" i="1"/>
  <c r="O1032" i="1"/>
  <c r="O1028" i="1"/>
  <c r="O1023" i="1"/>
  <c r="O1019" i="1"/>
  <c r="O1013" i="1"/>
  <c r="O1009" i="1"/>
  <c r="O1007" i="1"/>
  <c r="O1006" i="1"/>
  <c r="O1012" i="1"/>
  <c r="O1008" i="1"/>
  <c r="O1002" i="1"/>
  <c r="O1001" i="1"/>
  <c r="O997" i="1"/>
  <c r="O992" i="1"/>
  <c r="O988" i="1"/>
  <c r="O987" i="1"/>
  <c r="O985" i="1"/>
  <c r="O981" i="1"/>
  <c r="O974" i="1"/>
  <c r="O970" i="1"/>
  <c r="O965" i="1"/>
  <c r="O961" i="1"/>
  <c r="O956" i="1"/>
  <c r="O952" i="1"/>
  <c r="O946" i="1"/>
  <c r="O943" i="1"/>
  <c r="O939" i="1"/>
  <c r="O933" i="1"/>
  <c r="O929" i="1"/>
  <c r="O925" i="1"/>
  <c r="O923" i="1"/>
  <c r="O921" i="1"/>
  <c r="O916" i="1"/>
  <c r="O911" i="1"/>
  <c r="O908" i="1"/>
  <c r="O904" i="1"/>
  <c r="O902" i="1"/>
  <c r="O898" i="1"/>
  <c r="O894" i="1"/>
  <c r="O1010" i="1"/>
  <c r="O1005" i="1"/>
  <c r="O1003" i="1"/>
  <c r="O998" i="1"/>
  <c r="O994" i="1"/>
  <c r="O993" i="1"/>
  <c r="O989" i="1"/>
  <c r="O982" i="1"/>
  <c r="O978" i="1"/>
  <c r="O976" i="1"/>
  <c r="O971" i="1"/>
  <c r="O966" i="1"/>
  <c r="O962" i="1"/>
  <c r="O958" i="1"/>
  <c r="O957" i="1"/>
  <c r="O953" i="1"/>
  <c r="O947" i="1"/>
  <c r="O944" i="1"/>
  <c r="O940" i="1"/>
  <c r="O934" i="1"/>
  <c r="O930" i="1"/>
  <c r="O926" i="1"/>
  <c r="O917" i="1"/>
  <c r="O912" i="1"/>
  <c r="O910" i="1"/>
  <c r="O909" i="1"/>
  <c r="O905" i="1"/>
  <c r="O999" i="1"/>
  <c r="O995" i="1"/>
  <c r="O990" i="1"/>
  <c r="O983" i="1"/>
  <c r="O979" i="1"/>
  <c r="O977" i="1"/>
  <c r="O972" i="1"/>
  <c r="O963" i="1"/>
  <c r="O959" i="1"/>
  <c r="O954" i="1"/>
  <c r="O948" i="1"/>
  <c r="O945" i="1"/>
  <c r="O941" i="1"/>
  <c r="O937" i="1"/>
  <c r="O935" i="1"/>
  <c r="O931" i="1"/>
  <c r="O927" i="1"/>
  <c r="O918" i="1"/>
  <c r="O914" i="1"/>
  <c r="O913" i="1"/>
  <c r="O906" i="1"/>
  <c r="O900" i="1"/>
  <c r="O896" i="1"/>
  <c r="O1000" i="1"/>
  <c r="O996" i="1"/>
  <c r="O991" i="1"/>
  <c r="O984" i="1"/>
  <c r="O980" i="1"/>
  <c r="O973" i="1"/>
  <c r="O969" i="1"/>
  <c r="O968" i="1"/>
  <c r="O964" i="1"/>
  <c r="O960" i="1"/>
  <c r="O955" i="1"/>
  <c r="O951" i="1"/>
  <c r="O949" i="1"/>
  <c r="O942" i="1"/>
  <c r="O938" i="1"/>
  <c r="O936" i="1"/>
  <c r="O932" i="1"/>
  <c r="O928" i="1"/>
  <c r="O922" i="1"/>
  <c r="O920" i="1"/>
  <c r="O919" i="1"/>
  <c r="O915" i="1"/>
  <c r="O907" i="1"/>
  <c r="O903" i="1"/>
  <c r="O901" i="1"/>
  <c r="O897" i="1"/>
  <c r="O893" i="1"/>
  <c r="O895" i="1"/>
  <c r="O889" i="1"/>
  <c r="O885" i="1"/>
  <c r="O873" i="1"/>
  <c r="O869" i="1"/>
  <c r="O863" i="1"/>
  <c r="O862" i="1"/>
  <c r="O860" i="1"/>
  <c r="O854" i="1"/>
  <c r="O850" i="1"/>
  <c r="O844" i="1"/>
  <c r="O840" i="1"/>
  <c r="O836" i="1"/>
  <c r="O832" i="1"/>
  <c r="O827" i="1"/>
  <c r="O817" i="1"/>
  <c r="O813" i="1"/>
  <c r="O808" i="1"/>
  <c r="O804" i="1"/>
  <c r="O800" i="1"/>
  <c r="O795" i="1"/>
  <c r="O794" i="1"/>
  <c r="O790" i="1"/>
  <c r="O783" i="1"/>
  <c r="O779" i="1"/>
  <c r="O775" i="1"/>
  <c r="O771" i="1"/>
  <c r="O767" i="1"/>
  <c r="O763" i="1"/>
  <c r="O759" i="1"/>
  <c r="O753" i="1"/>
  <c r="O750" i="1"/>
  <c r="O899" i="1"/>
  <c r="O892" i="1"/>
  <c r="O890" i="1"/>
  <c r="O886" i="1"/>
  <c r="O882" i="1"/>
  <c r="O881" i="1"/>
  <c r="O874" i="1"/>
  <c r="O870" i="1"/>
  <c r="O866" i="1"/>
  <c r="O864" i="1"/>
  <c r="O858" i="1"/>
  <c r="O855" i="1"/>
  <c r="O845" i="1"/>
  <c r="O841" i="1"/>
  <c r="O837" i="1"/>
  <c r="O833" i="1"/>
  <c r="O828" i="1"/>
  <c r="O823" i="1"/>
  <c r="O821" i="1"/>
  <c r="O818" i="1"/>
  <c r="O814" i="1"/>
  <c r="O809" i="1"/>
  <c r="O805" i="1"/>
  <c r="O801" i="1"/>
  <c r="O796" i="1"/>
  <c r="O791" i="1"/>
  <c r="O787" i="1"/>
  <c r="O784" i="1"/>
  <c r="O780" i="1"/>
  <c r="O776" i="1"/>
  <c r="O772" i="1"/>
  <c r="O768" i="1"/>
  <c r="O764" i="1"/>
  <c r="O760" i="1"/>
  <c r="O755" i="1"/>
  <c r="O754" i="1"/>
  <c r="O752" i="1"/>
  <c r="O751" i="1"/>
  <c r="O891" i="1"/>
  <c r="O887" i="1"/>
  <c r="O883" i="1"/>
  <c r="O880" i="1"/>
  <c r="O875" i="1"/>
  <c r="O871" i="1"/>
  <c r="O867" i="1"/>
  <c r="O856" i="1"/>
  <c r="O852" i="1"/>
  <c r="O848" i="1"/>
  <c r="O847" i="1"/>
  <c r="O846" i="1"/>
  <c r="O842" i="1"/>
  <c r="O838" i="1"/>
  <c r="O834" i="1"/>
  <c r="O830" i="1"/>
  <c r="O829" i="1"/>
  <c r="O824" i="1"/>
  <c r="O822" i="1"/>
  <c r="O819" i="1"/>
  <c r="O815" i="1"/>
  <c r="O811" i="1"/>
  <c r="O810" i="1"/>
  <c r="O806" i="1"/>
  <c r="O802" i="1"/>
  <c r="O798" i="1"/>
  <c r="O797" i="1"/>
  <c r="O792" i="1"/>
  <c r="O788" i="1"/>
  <c r="O785" i="1"/>
  <c r="O781" i="1"/>
  <c r="O777" i="1"/>
  <c r="O773" i="1"/>
  <c r="O769" i="1"/>
  <c r="O765" i="1"/>
  <c r="O888" i="1"/>
  <c r="O884" i="1"/>
  <c r="O879" i="1"/>
  <c r="O878" i="1"/>
  <c r="O876" i="1"/>
  <c r="O872" i="1"/>
  <c r="O868" i="1"/>
  <c r="O859" i="1"/>
  <c r="O857" i="1"/>
  <c r="O853" i="1"/>
  <c r="O851" i="1"/>
  <c r="O849" i="1"/>
  <c r="O843" i="1"/>
  <c r="O839" i="1"/>
  <c r="O835" i="1"/>
  <c r="O831" i="1"/>
  <c r="O826" i="1"/>
  <c r="O825" i="1"/>
  <c r="O820" i="1"/>
  <c r="O816" i="1"/>
  <c r="O812" i="1"/>
  <c r="O807" i="1"/>
  <c r="O803" i="1"/>
  <c r="O799" i="1"/>
  <c r="O793" i="1"/>
  <c r="O789" i="1"/>
  <c r="O786" i="1"/>
  <c r="O782" i="1"/>
  <c r="O778" i="1"/>
  <c r="O774" i="1"/>
  <c r="O770" i="1"/>
  <c r="O766" i="1"/>
  <c r="O762" i="1"/>
  <c r="O758" i="1"/>
  <c r="O749" i="1"/>
  <c r="O747" i="1"/>
  <c r="O742" i="1"/>
  <c r="O738" i="1"/>
  <c r="O737" i="1"/>
  <c r="O730" i="1"/>
  <c r="O726" i="1"/>
  <c r="O720" i="1"/>
  <c r="O716" i="1"/>
  <c r="O712" i="1"/>
  <c r="O711" i="1"/>
  <c r="O696" i="1"/>
  <c r="O692" i="1"/>
  <c r="O691" i="1"/>
  <c r="O761" i="1"/>
  <c r="O748" i="1"/>
  <c r="O743" i="1"/>
  <c r="O739" i="1"/>
  <c r="O731" i="1"/>
  <c r="O727" i="1"/>
  <c r="O723" i="1"/>
  <c r="O721" i="1"/>
  <c r="O717" i="1"/>
  <c r="O713" i="1"/>
  <c r="O704" i="1"/>
  <c r="O697" i="1"/>
  <c r="O693" i="1"/>
  <c r="O744" i="1"/>
  <c r="O740" i="1"/>
  <c r="O735" i="1"/>
  <c r="O734" i="1"/>
  <c r="O732" i="1"/>
  <c r="O728" i="1"/>
  <c r="O724" i="1"/>
  <c r="O718" i="1"/>
  <c r="O714" i="1"/>
  <c r="O705" i="1"/>
  <c r="O703" i="1"/>
  <c r="O701" i="1"/>
  <c r="O698" i="1"/>
  <c r="O694" i="1"/>
  <c r="O756" i="1"/>
  <c r="O746" i="1"/>
  <c r="O745" i="1"/>
  <c r="O741" i="1"/>
  <c r="O736" i="1"/>
  <c r="O733" i="1"/>
  <c r="O729" i="1"/>
  <c r="O725" i="1"/>
  <c r="O719" i="1"/>
  <c r="O715" i="1"/>
  <c r="O710" i="1"/>
  <c r="O708" i="1"/>
  <c r="O707" i="1"/>
  <c r="O706" i="1"/>
  <c r="O702" i="1"/>
  <c r="O699" i="1"/>
  <c r="O690" i="1"/>
  <c r="O686" i="1"/>
  <c r="O681" i="1"/>
  <c r="O677" i="1"/>
  <c r="O676" i="1"/>
  <c r="O672" i="1"/>
  <c r="O668" i="1"/>
  <c r="O664" i="1"/>
  <c r="O660" i="1"/>
  <c r="O657" i="1"/>
  <c r="O654" i="1"/>
  <c r="O650" i="1"/>
  <c r="O645" i="1"/>
  <c r="O641" i="1"/>
  <c r="O639" i="1"/>
  <c r="O632" i="1"/>
  <c r="O628" i="1"/>
  <c r="O624" i="1"/>
  <c r="O617" i="1"/>
  <c r="O615" i="1"/>
  <c r="O611" i="1"/>
  <c r="O607" i="1"/>
  <c r="O603" i="1"/>
  <c r="O598" i="1"/>
  <c r="O593" i="1"/>
  <c r="O589" i="1"/>
  <c r="O587" i="1"/>
  <c r="O586" i="1"/>
  <c r="O582" i="1"/>
  <c r="O577" i="1"/>
  <c r="O573" i="1"/>
  <c r="O568" i="1"/>
  <c r="O687" i="1"/>
  <c r="O678" i="1"/>
  <c r="O673" i="1"/>
  <c r="O669" i="1"/>
  <c r="O665" i="1"/>
  <c r="O661" i="1"/>
  <c r="O658" i="1"/>
  <c r="O655" i="1"/>
  <c r="O651" i="1"/>
  <c r="O646" i="1"/>
  <c r="O642" i="1"/>
  <c r="O633" i="1"/>
  <c r="O629" i="1"/>
  <c r="O625" i="1"/>
  <c r="O618" i="1"/>
  <c r="O612" i="1"/>
  <c r="O608" i="1"/>
  <c r="O604" i="1"/>
  <c r="O599" i="1"/>
  <c r="O595" i="1"/>
  <c r="O594" i="1"/>
  <c r="O590" i="1"/>
  <c r="O583" i="1"/>
  <c r="O579" i="1"/>
  <c r="O578" i="1"/>
  <c r="O574" i="1"/>
  <c r="O569" i="1"/>
  <c r="O563" i="1"/>
  <c r="O695" i="1"/>
  <c r="O688" i="1"/>
  <c r="O684" i="1"/>
  <c r="O679" i="1"/>
  <c r="O674" i="1"/>
  <c r="O670" i="1"/>
  <c r="O666" i="1"/>
  <c r="O662" i="1"/>
  <c r="O659" i="1"/>
  <c r="O656" i="1"/>
  <c r="O652" i="1"/>
  <c r="O648" i="1"/>
  <c r="O647" i="1"/>
  <c r="O643" i="1"/>
  <c r="O636" i="1"/>
  <c r="O635" i="1"/>
  <c r="O634" i="1"/>
  <c r="O630" i="1"/>
  <c r="O626" i="1"/>
  <c r="O621" i="1"/>
  <c r="O619" i="1"/>
  <c r="O613" i="1"/>
  <c r="O609" i="1"/>
  <c r="O605" i="1"/>
  <c r="O601" i="1"/>
  <c r="O600" i="1"/>
  <c r="O596" i="1"/>
  <c r="O591" i="1"/>
  <c r="O584" i="1"/>
  <c r="O580" i="1"/>
  <c r="O575" i="1"/>
  <c r="O570" i="1"/>
  <c r="O566" i="1"/>
  <c r="O689" i="1"/>
  <c r="O685" i="1"/>
  <c r="O680" i="1"/>
  <c r="O675" i="1"/>
  <c r="O671" i="1"/>
  <c r="O667" i="1"/>
  <c r="O663" i="1"/>
  <c r="O653" i="1"/>
  <c r="O649" i="1"/>
  <c r="O644" i="1"/>
  <c r="O640" i="1"/>
  <c r="O638" i="1"/>
  <c r="O637" i="1"/>
  <c r="O631" i="1"/>
  <c r="O627" i="1"/>
  <c r="O623" i="1"/>
  <c r="O622" i="1"/>
  <c r="O620" i="1"/>
  <c r="O616" i="1"/>
  <c r="O614" i="1"/>
  <c r="O610" i="1"/>
  <c r="O606" i="1"/>
  <c r="O602" i="1"/>
  <c r="O597" i="1"/>
  <c r="O592" i="1"/>
  <c r="O588" i="1"/>
  <c r="O585" i="1"/>
  <c r="O581" i="1"/>
  <c r="O576" i="1"/>
  <c r="O572" i="1"/>
  <c r="O571" i="1"/>
  <c r="O565" i="1"/>
  <c r="O559" i="1"/>
  <c r="O555" i="1"/>
  <c r="O551" i="1"/>
  <c r="O549" i="1"/>
  <c r="O545" i="1"/>
  <c r="O540" i="1"/>
  <c r="O537" i="1"/>
  <c r="O533" i="1"/>
  <c r="O529" i="1"/>
  <c r="O525" i="1"/>
  <c r="O521" i="1"/>
  <c r="O513" i="1"/>
  <c r="O511" i="1"/>
  <c r="O507" i="1"/>
  <c r="O506" i="1"/>
  <c r="O502" i="1"/>
  <c r="O498" i="1"/>
  <c r="O494" i="1"/>
  <c r="O489" i="1"/>
  <c r="O486" i="1"/>
  <c r="O482" i="1"/>
  <c r="O479" i="1"/>
  <c r="O477" i="1"/>
  <c r="O475" i="1"/>
  <c r="O470" i="1"/>
  <c r="O464" i="1"/>
  <c r="O459" i="1"/>
  <c r="O455" i="1"/>
  <c r="O451" i="1"/>
  <c r="O447" i="1"/>
  <c r="O443" i="1"/>
  <c r="O438" i="1"/>
  <c r="O437" i="1"/>
  <c r="O431" i="1"/>
  <c r="O424" i="1"/>
  <c r="O419" i="1"/>
  <c r="O414" i="1"/>
  <c r="O410" i="1"/>
  <c r="O406" i="1"/>
  <c r="O400" i="1"/>
  <c r="O395" i="1"/>
  <c r="O392" i="1"/>
  <c r="O391" i="1"/>
  <c r="O387" i="1"/>
  <c r="O384" i="1"/>
  <c r="O382" i="1"/>
  <c r="O380" i="1"/>
  <c r="O374" i="1"/>
  <c r="O370" i="1"/>
  <c r="O366" i="1"/>
  <c r="O364" i="1"/>
  <c r="O360" i="1"/>
  <c r="O352" i="1"/>
  <c r="O348" i="1"/>
  <c r="O345" i="1"/>
  <c r="O339" i="1"/>
  <c r="O337" i="1"/>
  <c r="O567" i="1"/>
  <c r="O560" i="1"/>
  <c r="O556" i="1"/>
  <c r="O552" i="1"/>
  <c r="O546" i="1"/>
  <c r="O542" i="1"/>
  <c r="O541" i="1"/>
  <c r="O534" i="1"/>
  <c r="O530" i="1"/>
  <c r="O526" i="1"/>
  <c r="O522" i="1"/>
  <c r="O518" i="1"/>
  <c r="O514" i="1"/>
  <c r="O512" i="1"/>
  <c r="O508" i="1"/>
  <c r="O503" i="1"/>
  <c r="O499" i="1"/>
  <c r="O497" i="1"/>
  <c r="O495" i="1"/>
  <c r="O492" i="1"/>
  <c r="O487" i="1"/>
  <c r="O483" i="1"/>
  <c r="O480" i="1"/>
  <c r="O471" i="1"/>
  <c r="O465" i="1"/>
  <c r="O460" i="1"/>
  <c r="O452" i="1"/>
  <c r="O448" i="1"/>
  <c r="O444" i="1"/>
  <c r="O440" i="1"/>
  <c r="O432" i="1"/>
  <c r="O428" i="1"/>
  <c r="O426" i="1"/>
  <c r="O425" i="1"/>
  <c r="O421" i="1"/>
  <c r="O420" i="1"/>
  <c r="O415" i="1"/>
  <c r="O411" i="1"/>
  <c r="O407" i="1"/>
  <c r="O401" i="1"/>
  <c r="O396" i="1"/>
  <c r="O393" i="1"/>
  <c r="O388" i="1"/>
  <c r="O375" i="1"/>
  <c r="O371" i="1"/>
  <c r="O367" i="1"/>
  <c r="O361" i="1"/>
  <c r="O353" i="1"/>
  <c r="O342" i="1"/>
  <c r="O341" i="1"/>
  <c r="O340" i="1"/>
  <c r="O335" i="1"/>
  <c r="O327" i="1"/>
  <c r="O326" i="1"/>
  <c r="O319" i="1"/>
  <c r="O561" i="1"/>
  <c r="O557" i="1"/>
  <c r="O553" i="1"/>
  <c r="O547" i="1"/>
  <c r="O543" i="1"/>
  <c r="O535" i="1"/>
  <c r="O531" i="1"/>
  <c r="O527" i="1"/>
  <c r="O523" i="1"/>
  <c r="O519" i="1"/>
  <c r="O517" i="1"/>
  <c r="O515" i="1"/>
  <c r="O509" i="1"/>
  <c r="O504" i="1"/>
  <c r="O500" i="1"/>
  <c r="O496" i="1"/>
  <c r="O493" i="1"/>
  <c r="O491" i="1"/>
  <c r="O484" i="1"/>
  <c r="O481" i="1"/>
  <c r="O474" i="1"/>
  <c r="O472" i="1"/>
  <c r="O466" i="1"/>
  <c r="O461" i="1"/>
  <c r="O457" i="1"/>
  <c r="O453" i="1"/>
  <c r="O449" i="1"/>
  <c r="O445" i="1"/>
  <c r="O441" i="1"/>
  <c r="O439" i="1"/>
  <c r="O435" i="1"/>
  <c r="O433" i="1"/>
  <c r="O429" i="1"/>
  <c r="O427" i="1"/>
  <c r="O422" i="1"/>
  <c r="O416" i="1"/>
  <c r="O408" i="1"/>
  <c r="O404" i="1"/>
  <c r="O402" i="1"/>
  <c r="O398" i="1"/>
  <c r="O397" i="1"/>
  <c r="O389" i="1"/>
  <c r="O378" i="1"/>
  <c r="O376" i="1"/>
  <c r="O372" i="1"/>
  <c r="O368" i="1"/>
  <c r="O362" i="1"/>
  <c r="O356" i="1"/>
  <c r="O355" i="1"/>
  <c r="O354" i="1"/>
  <c r="O350" i="1"/>
  <c r="O349" i="1"/>
  <c r="O343" i="1"/>
  <c r="O329" i="1"/>
  <c r="O328" i="1"/>
  <c r="O320" i="1"/>
  <c r="O564" i="1"/>
  <c r="O562" i="1"/>
  <c r="O558" i="1"/>
  <c r="O554" i="1"/>
  <c r="O550" i="1"/>
  <c r="O548" i="1"/>
  <c r="O544" i="1"/>
  <c r="O539" i="1"/>
  <c r="O538" i="1"/>
  <c r="O536" i="1"/>
  <c r="O532" i="1"/>
  <c r="O528" i="1"/>
  <c r="O524" i="1"/>
  <c r="O520" i="1"/>
  <c r="O516" i="1"/>
  <c r="O510" i="1"/>
  <c r="O505" i="1"/>
  <c r="O501" i="1"/>
  <c r="O490" i="1"/>
  <c r="O488" i="1"/>
  <c r="O485" i="1"/>
  <c r="O473" i="1"/>
  <c r="O469" i="1"/>
  <c r="O467" i="1"/>
  <c r="O463" i="1"/>
  <c r="O462" i="1"/>
  <c r="O458" i="1"/>
  <c r="O456" i="1"/>
  <c r="O454" i="1"/>
  <c r="O450" i="1"/>
  <c r="O446" i="1"/>
  <c r="O442" i="1"/>
  <c r="O436" i="1"/>
  <c r="O430" i="1"/>
  <c r="O423" i="1"/>
  <c r="O418" i="1"/>
  <c r="O417" i="1"/>
  <c r="O413" i="1"/>
  <c r="O409" i="1"/>
  <c r="O405" i="1"/>
  <c r="O399" i="1"/>
  <c r="O394" i="1"/>
  <c r="O390" i="1"/>
  <c r="O386" i="1"/>
  <c r="O379" i="1"/>
  <c r="O377" i="1"/>
  <c r="O373" i="1"/>
  <c r="O369" i="1"/>
  <c r="O365" i="1"/>
  <c r="O363" i="1"/>
  <c r="O359" i="1"/>
  <c r="O357" i="1"/>
  <c r="O351" i="1"/>
  <c r="O347" i="1"/>
  <c r="O344" i="1"/>
  <c r="O336" i="1"/>
  <c r="O330" i="1"/>
  <c r="O324" i="1"/>
  <c r="O321" i="1"/>
  <c r="I8" i="1"/>
  <c r="S8" i="1" s="1"/>
  <c r="O8" i="1"/>
  <c r="X10" i="1"/>
  <c r="I12" i="1"/>
  <c r="S12" i="1" s="1"/>
  <c r="O12" i="1"/>
  <c r="X14" i="1"/>
  <c r="I16" i="1"/>
  <c r="S16" i="1" s="1"/>
  <c r="O16" i="1"/>
  <c r="X20" i="1"/>
  <c r="X21" i="1"/>
  <c r="I23" i="1"/>
  <c r="S23" i="1" s="1"/>
  <c r="O23" i="1"/>
  <c r="I25" i="1"/>
  <c r="S25" i="1" s="1"/>
  <c r="O25" i="1"/>
  <c r="X27" i="1"/>
  <c r="I29" i="1"/>
  <c r="S29" i="1" s="1"/>
  <c r="O29" i="1"/>
  <c r="I31" i="1"/>
  <c r="S31" i="1" s="1"/>
  <c r="O31" i="1"/>
  <c r="I33" i="1"/>
  <c r="S33" i="1" s="1"/>
  <c r="O33" i="1"/>
  <c r="I35" i="1"/>
  <c r="S35" i="1" s="1"/>
  <c r="O35" i="1"/>
  <c r="I36" i="1"/>
  <c r="S36" i="1" s="1"/>
  <c r="O36" i="1"/>
  <c r="X38" i="1"/>
  <c r="X40" i="1"/>
  <c r="I42" i="1"/>
  <c r="S42" i="1" s="1"/>
  <c r="O42" i="1"/>
  <c r="I45" i="1"/>
  <c r="S45" i="1" s="1"/>
  <c r="O45" i="1"/>
  <c r="I46" i="1"/>
  <c r="S46" i="1" s="1"/>
  <c r="O46" i="1"/>
  <c r="X49" i="1"/>
  <c r="X51" i="1"/>
  <c r="X52" i="1"/>
  <c r="X54" i="1"/>
  <c r="X57" i="1"/>
  <c r="X59" i="1"/>
  <c r="X62" i="1"/>
  <c r="I64" i="1"/>
  <c r="S64" i="1" s="1"/>
  <c r="O64" i="1"/>
  <c r="I67" i="1"/>
  <c r="S67" i="1" s="1"/>
  <c r="O67" i="1"/>
  <c r="X69" i="1"/>
  <c r="I71" i="1"/>
  <c r="S71" i="1" s="1"/>
  <c r="O71" i="1"/>
  <c r="X74" i="1"/>
  <c r="X75" i="1"/>
  <c r="X77" i="1"/>
  <c r="I79" i="1"/>
  <c r="S79" i="1" s="1"/>
  <c r="O79" i="1"/>
  <c r="X85" i="1"/>
  <c r="I87" i="1"/>
  <c r="S87" i="1" s="1"/>
  <c r="O87" i="1"/>
  <c r="I88" i="1"/>
  <c r="S88" i="1" s="1"/>
  <c r="O88" i="1"/>
  <c r="X91" i="1"/>
  <c r="I92" i="1"/>
  <c r="S92" i="1" s="1"/>
  <c r="O92" i="1"/>
  <c r="I93" i="1"/>
  <c r="S93" i="1" s="1"/>
  <c r="O93" i="1"/>
  <c r="X97" i="1"/>
  <c r="I98" i="1"/>
  <c r="S98" i="1" s="1"/>
  <c r="O98" i="1"/>
  <c r="X102" i="1"/>
  <c r="I103" i="1"/>
  <c r="S103" i="1" s="1"/>
  <c r="O103" i="1"/>
  <c r="X106" i="1"/>
  <c r="X108" i="1"/>
  <c r="Y112" i="1"/>
  <c r="O113" i="1"/>
  <c r="O114" i="1"/>
  <c r="Y116" i="1"/>
  <c r="Y117" i="1"/>
  <c r="O118" i="1"/>
  <c r="X120" i="1"/>
  <c r="X121" i="1"/>
  <c r="O125" i="1"/>
  <c r="O127" i="1"/>
  <c r="O128" i="1"/>
  <c r="X130" i="1"/>
  <c r="O131" i="1"/>
  <c r="X133" i="1"/>
  <c r="Y134" i="1"/>
  <c r="Y143" i="1"/>
  <c r="O144" i="1"/>
  <c r="X146" i="1"/>
  <c r="Y150" i="1"/>
  <c r="Y151" i="1"/>
  <c r="Y152" i="1"/>
  <c r="O153" i="1"/>
  <c r="X155" i="1"/>
  <c r="X158" i="1"/>
  <c r="Y159" i="1"/>
  <c r="O160" i="1"/>
  <c r="X162" i="1"/>
  <c r="Y163" i="1"/>
  <c r="O164" i="1"/>
  <c r="X166" i="1"/>
  <c r="Y167" i="1"/>
  <c r="O168" i="1"/>
  <c r="X170" i="1"/>
  <c r="Y171" i="1"/>
  <c r="O172" i="1"/>
  <c r="Y175" i="1"/>
  <c r="O176" i="1"/>
  <c r="X178" i="1"/>
  <c r="Y179" i="1"/>
  <c r="O180" i="1"/>
  <c r="X181" i="1"/>
  <c r="Y182" i="1"/>
  <c r="O183" i="1"/>
  <c r="X185" i="1"/>
  <c r="O186" i="1"/>
  <c r="X189" i="1"/>
  <c r="Y190" i="1"/>
  <c r="O191" i="1"/>
  <c r="X193" i="1"/>
  <c r="Y194" i="1"/>
  <c r="O195" i="1"/>
  <c r="X198" i="1"/>
  <c r="X199" i="1"/>
  <c r="X200" i="1"/>
  <c r="I202" i="1"/>
  <c r="S202" i="1" s="1"/>
  <c r="O202" i="1"/>
  <c r="X204" i="1"/>
  <c r="I207" i="1"/>
  <c r="S207" i="1" s="1"/>
  <c r="O207" i="1"/>
  <c r="X211" i="1"/>
  <c r="O225" i="1"/>
  <c r="O230" i="1"/>
  <c r="O232" i="1"/>
  <c r="O236" i="1"/>
  <c r="O240" i="1"/>
  <c r="O248" i="1"/>
  <c r="O250" i="1"/>
  <c r="O255" i="1"/>
  <c r="Y257" i="1"/>
  <c r="O258" i="1"/>
  <c r="Y260" i="1"/>
  <c r="O261" i="1"/>
  <c r="Y264" i="1"/>
  <c r="O265" i="1"/>
  <c r="Y268" i="1"/>
  <c r="O269" i="1"/>
  <c r="O278" i="1"/>
  <c r="Y279" i="1"/>
  <c r="O280" i="1"/>
  <c r="O289" i="1"/>
  <c r="O293" i="1"/>
  <c r="M294" i="1"/>
  <c r="I296" i="1"/>
  <c r="S296" i="1" s="1"/>
  <c r="O296" i="1"/>
  <c r="X298" i="1"/>
  <c r="I299" i="1"/>
  <c r="S299" i="1" s="1"/>
  <c r="O299" i="1"/>
  <c r="X301" i="1"/>
  <c r="I303" i="1"/>
  <c r="S303" i="1" s="1"/>
  <c r="O303" i="1"/>
  <c r="I304" i="1"/>
  <c r="S304" i="1" s="1"/>
  <c r="O304" i="1"/>
  <c r="I307" i="1"/>
  <c r="S307" i="1" s="1"/>
  <c r="O307" i="1"/>
  <c r="X309" i="1"/>
  <c r="I311" i="1"/>
  <c r="S311" i="1" s="1"/>
  <c r="O311" i="1"/>
  <c r="X313" i="1"/>
  <c r="I315" i="1"/>
  <c r="S315" i="1" s="1"/>
  <c r="O315" i="1"/>
  <c r="X317" i="1"/>
  <c r="O322" i="1"/>
  <c r="Y327" i="1"/>
  <c r="X327" i="1"/>
  <c r="M328" i="1"/>
  <c r="M329" i="1"/>
  <c r="O331" i="1"/>
  <c r="M332" i="1"/>
  <c r="M334" i="1"/>
  <c r="M375" i="1"/>
  <c r="I376" i="1"/>
  <c r="S376" i="1" s="1"/>
  <c r="M396" i="1"/>
  <c r="I397" i="1"/>
  <c r="S397" i="1" s="1"/>
  <c r="I404" i="1"/>
  <c r="S404" i="1" s="1"/>
  <c r="I408" i="1"/>
  <c r="S408" i="1" s="1"/>
  <c r="M410" i="1"/>
  <c r="I412" i="1"/>
  <c r="M412" i="1" s="1"/>
  <c r="M421" i="1"/>
  <c r="I422" i="1"/>
  <c r="S422" i="1" s="1"/>
  <c r="I429" i="1"/>
  <c r="S429" i="1" s="1"/>
  <c r="I435" i="1"/>
  <c r="S435" i="1" s="1"/>
  <c r="I437" i="1"/>
  <c r="S437" i="1" s="1"/>
  <c r="I438" i="1"/>
  <c r="S438" i="1" s="1"/>
  <c r="I448" i="1"/>
  <c r="S448" i="1" s="1"/>
  <c r="I453" i="1"/>
  <c r="S453" i="1" s="1"/>
  <c r="M455" i="1"/>
  <c r="M464" i="1"/>
  <c r="I466" i="1"/>
  <c r="S466" i="1" s="1"/>
  <c r="I487" i="1"/>
  <c r="S487" i="1" s="1"/>
  <c r="M498" i="1"/>
  <c r="I500" i="1"/>
  <c r="S500" i="1" s="1"/>
  <c r="M502" i="1"/>
  <c r="I504" i="1"/>
  <c r="S504" i="1" s="1"/>
  <c r="M506" i="1"/>
  <c r="I512" i="1"/>
  <c r="S512" i="1" s="1"/>
  <c r="I522" i="1"/>
  <c r="S522" i="1" s="1"/>
  <c r="M533" i="1"/>
  <c r="M540" i="1"/>
  <c r="I543" i="1"/>
  <c r="S543" i="1" s="1"/>
  <c r="M545" i="1"/>
  <c r="I566" i="1"/>
  <c r="S566" i="1" s="1"/>
  <c r="O4" i="1"/>
  <c r="O7" i="1"/>
  <c r="O11" i="1"/>
  <c r="O15" i="1"/>
  <c r="O17" i="1"/>
  <c r="O22" i="1"/>
  <c r="O28" i="1"/>
  <c r="O41" i="1"/>
  <c r="O50" i="1"/>
  <c r="O53" i="1"/>
  <c r="O60" i="1"/>
  <c r="O61" i="1"/>
  <c r="O63" i="1"/>
  <c r="O70" i="1"/>
  <c r="O78" i="1"/>
  <c r="O81" i="1"/>
  <c r="O86" i="1"/>
  <c r="O94" i="1"/>
  <c r="O95" i="1"/>
  <c r="O96" i="1"/>
  <c r="O107" i="1"/>
  <c r="O109" i="1"/>
  <c r="M115" i="1"/>
  <c r="O116" i="1"/>
  <c r="O117" i="1"/>
  <c r="M119" i="1"/>
  <c r="O123" i="1"/>
  <c r="M126" i="1"/>
  <c r="M129" i="1"/>
  <c r="M132" i="1"/>
  <c r="O134" i="1"/>
  <c r="M135" i="1"/>
  <c r="M137" i="1"/>
  <c r="M139" i="1"/>
  <c r="O143" i="1"/>
  <c r="M145" i="1"/>
  <c r="M147" i="1"/>
  <c r="O151" i="1"/>
  <c r="O152" i="1"/>
  <c r="M154" i="1"/>
  <c r="M156" i="1"/>
  <c r="M157" i="1"/>
  <c r="O159" i="1"/>
  <c r="M161" i="1"/>
  <c r="O163" i="1"/>
  <c r="M165" i="1"/>
  <c r="O167" i="1"/>
  <c r="M169" i="1"/>
  <c r="O171" i="1"/>
  <c r="M173" i="1"/>
  <c r="O175" i="1"/>
  <c r="M177" i="1"/>
  <c r="O179" i="1"/>
  <c r="O182" i="1"/>
  <c r="M184" i="1"/>
  <c r="M187" i="1"/>
  <c r="M188" i="1"/>
  <c r="O190" i="1"/>
  <c r="M192" i="1"/>
  <c r="O194" i="1"/>
  <c r="M196" i="1"/>
  <c r="M197" i="1"/>
  <c r="O201" i="1"/>
  <c r="O206" i="1"/>
  <c r="M210" i="1"/>
  <c r="M212" i="1"/>
  <c r="M216" i="1"/>
  <c r="X218" i="1"/>
  <c r="I220" i="1"/>
  <c r="S220" i="1" s="1"/>
  <c r="O220" i="1"/>
  <c r="I221" i="1"/>
  <c r="S221" i="1" s="1"/>
  <c r="O221" i="1"/>
  <c r="I222" i="1"/>
  <c r="S222" i="1" s="1"/>
  <c r="O222" i="1"/>
  <c r="I224" i="1"/>
  <c r="S224" i="1" s="1"/>
  <c r="O224" i="1"/>
  <c r="M226" i="1"/>
  <c r="I227" i="1"/>
  <c r="S227" i="1" s="1"/>
  <c r="O227" i="1"/>
  <c r="I229" i="1"/>
  <c r="S229" i="1" s="1"/>
  <c r="O229" i="1"/>
  <c r="X231" i="1"/>
  <c r="X233" i="1"/>
  <c r="I235" i="1"/>
  <c r="S235" i="1" s="1"/>
  <c r="O235" i="1"/>
  <c r="X237" i="1"/>
  <c r="I239" i="1"/>
  <c r="S239" i="1" s="1"/>
  <c r="O239" i="1"/>
  <c r="M241" i="1"/>
  <c r="X241" i="1"/>
  <c r="X242" i="1"/>
  <c r="M244" i="1"/>
  <c r="X244" i="1"/>
  <c r="M245" i="1"/>
  <c r="X245" i="1"/>
  <c r="I247" i="1"/>
  <c r="S247" i="1" s="1"/>
  <c r="O247" i="1"/>
  <c r="M249" i="1"/>
  <c r="X249" i="1"/>
  <c r="M251" i="1"/>
  <c r="X251" i="1"/>
  <c r="M252" i="1"/>
  <c r="X252" i="1"/>
  <c r="I254" i="1"/>
  <c r="S254" i="1" s="1"/>
  <c r="O254" i="1"/>
  <c r="M256" i="1"/>
  <c r="I257" i="1"/>
  <c r="S257" i="1" s="1"/>
  <c r="O257" i="1"/>
  <c r="I260" i="1"/>
  <c r="S260" i="1" s="1"/>
  <c r="O260" i="1"/>
  <c r="M262" i="1"/>
  <c r="I264" i="1"/>
  <c r="S264" i="1" s="1"/>
  <c r="O264" i="1"/>
  <c r="M266" i="1"/>
  <c r="I268" i="1"/>
  <c r="S268" i="1" s="1"/>
  <c r="O268" i="1"/>
  <c r="M270" i="1"/>
  <c r="M274" i="1"/>
  <c r="M275" i="1"/>
  <c r="I277" i="1"/>
  <c r="S277" i="1" s="1"/>
  <c r="O277" i="1"/>
  <c r="M281" i="1"/>
  <c r="X284" i="1"/>
  <c r="I286" i="1"/>
  <c r="S286" i="1" s="1"/>
  <c r="O286" i="1"/>
  <c r="X287" i="1"/>
  <c r="I288" i="1"/>
  <c r="S288" i="1" s="1"/>
  <c r="O288" i="1"/>
  <c r="X290" i="1"/>
  <c r="I292" i="1"/>
  <c r="S292" i="1" s="1"/>
  <c r="O292" i="1"/>
  <c r="O295" i="1"/>
  <c r="X297" i="1"/>
  <c r="X300" i="1"/>
  <c r="O302" i="1"/>
  <c r="O306" i="1"/>
  <c r="O310" i="1"/>
  <c r="O314" i="1"/>
  <c r="O318" i="1"/>
  <c r="M322" i="1"/>
  <c r="I324" i="1"/>
  <c r="S324" i="1" s="1"/>
  <c r="M325" i="1"/>
  <c r="O325" i="1"/>
  <c r="Y326" i="1"/>
  <c r="X326" i="1"/>
  <c r="M331" i="1"/>
  <c r="I339" i="1"/>
  <c r="S339" i="1" s="1"/>
  <c r="I343" i="1"/>
  <c r="S343" i="1" s="1"/>
  <c r="I352" i="1"/>
  <c r="S352" i="1" s="1"/>
  <c r="I356" i="1"/>
  <c r="S356" i="1" s="1"/>
  <c r="I361" i="1"/>
  <c r="S361" i="1" s="1"/>
  <c r="M371" i="1"/>
  <c r="I372" i="1"/>
  <c r="S372" i="1" s="1"/>
  <c r="M388" i="1"/>
  <c r="I389" i="1"/>
  <c r="S389" i="1" s="1"/>
  <c r="M406" i="1"/>
  <c r="M407" i="1"/>
  <c r="I427" i="1"/>
  <c r="S427" i="1" s="1"/>
  <c r="I444" i="1"/>
  <c r="S444" i="1" s="1"/>
  <c r="I449" i="1"/>
  <c r="S449" i="1" s="1"/>
  <c r="M451" i="1"/>
  <c r="M475" i="1"/>
  <c r="I480" i="1"/>
  <c r="S480" i="1" s="1"/>
  <c r="I483" i="1"/>
  <c r="S483" i="1" s="1"/>
  <c r="M486" i="1"/>
  <c r="I508" i="1"/>
  <c r="S508" i="1" s="1"/>
  <c r="I514" i="1"/>
  <c r="S514" i="1" s="1"/>
  <c r="I517" i="1"/>
  <c r="S517" i="1" s="1"/>
  <c r="I518" i="1"/>
  <c r="S518" i="1" s="1"/>
  <c r="I530" i="1"/>
  <c r="S530" i="1" s="1"/>
  <c r="O10" i="1"/>
  <c r="O14" i="1"/>
  <c r="O20" i="1"/>
  <c r="O21" i="1"/>
  <c r="O27" i="1"/>
  <c r="O38" i="1"/>
  <c r="O49" i="1"/>
  <c r="O51" i="1"/>
  <c r="O52" i="1"/>
  <c r="O57" i="1"/>
  <c r="O59" i="1"/>
  <c r="O62" i="1"/>
  <c r="O74" i="1"/>
  <c r="O75" i="1"/>
  <c r="O77" i="1"/>
  <c r="O85" i="1"/>
  <c r="O91" i="1"/>
  <c r="O102" i="1"/>
  <c r="O106" i="1"/>
  <c r="O120" i="1"/>
  <c r="O121" i="1"/>
  <c r="O130" i="1"/>
  <c r="O133" i="1"/>
  <c r="O138" i="1"/>
  <c r="O140" i="1"/>
  <c r="O141" i="1"/>
  <c r="O142" i="1"/>
  <c r="O146" i="1"/>
  <c r="O148" i="1"/>
  <c r="O149" i="1"/>
  <c r="O155" i="1"/>
  <c r="O158" i="1"/>
  <c r="O162" i="1"/>
  <c r="O166" i="1"/>
  <c r="O170" i="1"/>
  <c r="O174" i="1"/>
  <c r="O178" i="1"/>
  <c r="O181" i="1"/>
  <c r="O185" i="1"/>
  <c r="O189" i="1"/>
  <c r="O193" i="1"/>
  <c r="O198" i="1"/>
  <c r="O199" i="1"/>
  <c r="O200" i="1"/>
  <c r="O204" i="1"/>
  <c r="O211" i="1"/>
  <c r="O213" i="1"/>
  <c r="O217" i="1"/>
  <c r="O219" i="1"/>
  <c r="O223" i="1"/>
  <c r="O228" i="1"/>
  <c r="O234" i="1"/>
  <c r="X236" i="1"/>
  <c r="O238" i="1"/>
  <c r="O246" i="1"/>
  <c r="O259" i="1"/>
  <c r="O263" i="1"/>
  <c r="O267" i="1"/>
  <c r="O271" i="1"/>
  <c r="O273" i="1"/>
  <c r="O276" i="1"/>
  <c r="O283" i="1"/>
  <c r="O285" i="1"/>
  <c r="X289" i="1"/>
  <c r="O291" i="1"/>
  <c r="X293" i="1"/>
  <c r="O294" i="1"/>
  <c r="O298" i="1"/>
  <c r="O301" i="1"/>
  <c r="O309" i="1"/>
  <c r="O313" i="1"/>
  <c r="O317" i="1"/>
  <c r="I362" i="1"/>
  <c r="S362" i="1" s="1"/>
  <c r="I368" i="1"/>
  <c r="S368" i="1" s="1"/>
  <c r="I378" i="1"/>
  <c r="S378" i="1" s="1"/>
  <c r="I402" i="1"/>
  <c r="S402" i="1" s="1"/>
  <c r="I431" i="1"/>
  <c r="S431" i="1" s="1"/>
  <c r="I433" i="1"/>
  <c r="S433" i="1" s="1"/>
  <c r="I439" i="1"/>
  <c r="S439" i="1" s="1"/>
  <c r="I440" i="1"/>
  <c r="S440" i="1" s="1"/>
  <c r="I445" i="1"/>
  <c r="S445" i="1" s="1"/>
  <c r="I460" i="1"/>
  <c r="S460" i="1" s="1"/>
  <c r="I471" i="1"/>
  <c r="S471" i="1" s="1"/>
  <c r="I481" i="1"/>
  <c r="S481" i="1" s="1"/>
  <c r="I484" i="1"/>
  <c r="S484" i="1" s="1"/>
  <c r="I492" i="1"/>
  <c r="S492" i="1" s="1"/>
  <c r="I495" i="1"/>
  <c r="S495" i="1" s="1"/>
  <c r="I497" i="1"/>
  <c r="S497" i="1" s="1"/>
  <c r="I509" i="1"/>
  <c r="S509" i="1" s="1"/>
  <c r="I519" i="1"/>
  <c r="S519" i="1" s="1"/>
  <c r="I526" i="1"/>
  <c r="S526" i="1" s="1"/>
  <c r="I541" i="1"/>
  <c r="S541" i="1" s="1"/>
  <c r="I546" i="1"/>
  <c r="S546" i="1" s="1"/>
  <c r="I552" i="1"/>
  <c r="S552" i="1" s="1"/>
  <c r="I556" i="1"/>
  <c r="S556" i="1" s="1"/>
  <c r="I560" i="1"/>
  <c r="S560" i="1" s="1"/>
  <c r="O9" i="1"/>
  <c r="O13" i="1"/>
  <c r="O19" i="1"/>
  <c r="O26" i="1"/>
  <c r="O34" i="1"/>
  <c r="O37" i="1"/>
  <c r="O43" i="1"/>
  <c r="O44" i="1"/>
  <c r="O47" i="1"/>
  <c r="O48" i="1"/>
  <c r="O55" i="1"/>
  <c r="O56" i="1"/>
  <c r="O65" i="1"/>
  <c r="O68" i="1"/>
  <c r="O72" i="1"/>
  <c r="O73" i="1"/>
  <c r="O80" i="1"/>
  <c r="O82" i="1"/>
  <c r="O84" i="1"/>
  <c r="O90" i="1"/>
  <c r="O99" i="1"/>
  <c r="O101" i="1"/>
  <c r="O104" i="1"/>
  <c r="O105" i="1"/>
  <c r="O111" i="1"/>
  <c r="O115" i="1"/>
  <c r="O119" i="1"/>
  <c r="O122" i="1"/>
  <c r="O124" i="1"/>
  <c r="O126" i="1"/>
  <c r="O129" i="1"/>
  <c r="O132" i="1"/>
  <c r="O135" i="1"/>
  <c r="O137" i="1"/>
  <c r="O139" i="1"/>
  <c r="O145" i="1"/>
  <c r="O147" i="1"/>
  <c r="O154" i="1"/>
  <c r="O156" i="1"/>
  <c r="O157" i="1"/>
  <c r="O161" i="1"/>
  <c r="O165" i="1"/>
  <c r="O169" i="1"/>
  <c r="O173" i="1"/>
  <c r="O177" i="1"/>
  <c r="O184" i="1"/>
  <c r="O187" i="1"/>
  <c r="O188" i="1"/>
  <c r="O192" i="1"/>
  <c r="O196" i="1"/>
  <c r="O197" i="1"/>
  <c r="O203" i="1"/>
  <c r="O208" i="1"/>
  <c r="O210" i="1"/>
  <c r="O212" i="1"/>
  <c r="O216" i="1"/>
  <c r="O218" i="1"/>
  <c r="O231" i="1"/>
  <c r="O233" i="1"/>
  <c r="O237" i="1"/>
  <c r="O241" i="1"/>
  <c r="O244" i="1"/>
  <c r="O245" i="1"/>
  <c r="O249" i="1"/>
  <c r="O251" i="1"/>
  <c r="O252" i="1"/>
  <c r="O262" i="1"/>
  <c r="O266" i="1"/>
  <c r="O270" i="1"/>
  <c r="O274" i="1"/>
  <c r="O275" i="1"/>
  <c r="O281" i="1"/>
  <c r="O287" i="1"/>
  <c r="O290" i="1"/>
  <c r="O297" i="1"/>
  <c r="O300" i="1"/>
  <c r="O305" i="1"/>
  <c r="O308" i="1"/>
  <c r="O312" i="1"/>
  <c r="O316" i="1"/>
  <c r="I321" i="1"/>
  <c r="S321" i="1" s="1"/>
  <c r="I323" i="1"/>
  <c r="M323" i="1" s="1"/>
  <c r="I330" i="1"/>
  <c r="S330" i="1" s="1"/>
  <c r="O332" i="1"/>
  <c r="O334" i="1"/>
  <c r="I335" i="1"/>
  <c r="S335" i="1" s="1"/>
  <c r="I337" i="1"/>
  <c r="S337" i="1" s="1"/>
  <c r="I345" i="1"/>
  <c r="S345" i="1" s="1"/>
  <c r="I348" i="1"/>
  <c r="S348" i="1" s="1"/>
  <c r="I349" i="1"/>
  <c r="S349" i="1" s="1"/>
  <c r="I350" i="1"/>
  <c r="S350" i="1" s="1"/>
  <c r="I354" i="1"/>
  <c r="S354" i="1" s="1"/>
  <c r="I355" i="1"/>
  <c r="S355" i="1" s="1"/>
  <c r="I398" i="1"/>
  <c r="S398" i="1" s="1"/>
  <c r="I411" i="1"/>
  <c r="S411" i="1" s="1"/>
  <c r="I416" i="1"/>
  <c r="S416" i="1" s="1"/>
  <c r="I441" i="1"/>
  <c r="S441" i="1" s="1"/>
  <c r="I452" i="1"/>
  <c r="S452" i="1" s="1"/>
  <c r="I457" i="1"/>
  <c r="S457" i="1" s="1"/>
  <c r="I461" i="1"/>
  <c r="S461" i="1" s="1"/>
  <c r="I465" i="1"/>
  <c r="S465" i="1" s="1"/>
  <c r="I472" i="1"/>
  <c r="S472" i="1" s="1"/>
  <c r="I474" i="1"/>
  <c r="S474" i="1" s="1"/>
  <c r="I491" i="1"/>
  <c r="S491" i="1" s="1"/>
  <c r="I493" i="1"/>
  <c r="S493" i="1" s="1"/>
  <c r="I496" i="1"/>
  <c r="S496" i="1" s="1"/>
  <c r="I499" i="1"/>
  <c r="S499" i="1" s="1"/>
  <c r="I503" i="1"/>
  <c r="S503" i="1" s="1"/>
  <c r="I523" i="1"/>
  <c r="S523" i="1" s="1"/>
  <c r="M525" i="1"/>
  <c r="I534" i="1"/>
  <c r="S534" i="1" s="1"/>
  <c r="I542" i="1"/>
  <c r="S542" i="1" s="1"/>
  <c r="I547" i="1"/>
  <c r="S547" i="1" s="1"/>
  <c r="I553" i="1"/>
  <c r="S553" i="1" s="1"/>
  <c r="I557" i="1"/>
  <c r="S557" i="1" s="1"/>
  <c r="M559" i="1"/>
  <c r="I561" i="1"/>
  <c r="S561" i="1" s="1"/>
  <c r="M327" i="1"/>
  <c r="X335" i="1"/>
  <c r="I336" i="1"/>
  <c r="S336" i="1" s="1"/>
  <c r="M340" i="1"/>
  <c r="X340" i="1"/>
  <c r="M341" i="1"/>
  <c r="X341" i="1"/>
  <c r="M342" i="1"/>
  <c r="X342" i="1"/>
  <c r="I344" i="1"/>
  <c r="S344" i="1" s="1"/>
  <c r="M346" i="1"/>
  <c r="I347" i="1"/>
  <c r="S347" i="1" s="1"/>
  <c r="I351" i="1"/>
  <c r="S351" i="1" s="1"/>
  <c r="M353" i="1"/>
  <c r="X353" i="1"/>
  <c r="I357" i="1"/>
  <c r="S357" i="1" s="1"/>
  <c r="I359" i="1"/>
  <c r="S359" i="1" s="1"/>
  <c r="X361" i="1"/>
  <c r="I363" i="1"/>
  <c r="S363" i="1" s="1"/>
  <c r="I365" i="1"/>
  <c r="S365" i="1" s="1"/>
  <c r="X367" i="1"/>
  <c r="I369" i="1"/>
  <c r="S369" i="1" s="1"/>
  <c r="X371" i="1"/>
  <c r="I373" i="1"/>
  <c r="S373" i="1" s="1"/>
  <c r="X375" i="1"/>
  <c r="I377" i="1"/>
  <c r="S377" i="1" s="1"/>
  <c r="I379" i="1"/>
  <c r="S379" i="1" s="1"/>
  <c r="I386" i="1"/>
  <c r="S386" i="1" s="1"/>
  <c r="X388" i="1"/>
  <c r="I390" i="1"/>
  <c r="S390" i="1" s="1"/>
  <c r="X393" i="1"/>
  <c r="I394" i="1"/>
  <c r="S394" i="1" s="1"/>
  <c r="X396" i="1"/>
  <c r="I399" i="1"/>
  <c r="S399" i="1" s="1"/>
  <c r="X401" i="1"/>
  <c r="X403" i="1"/>
  <c r="I405" i="1"/>
  <c r="S405" i="1" s="1"/>
  <c r="X407" i="1"/>
  <c r="I409" i="1"/>
  <c r="S409" i="1" s="1"/>
  <c r="X411" i="1"/>
  <c r="I413" i="1"/>
  <c r="S413" i="1" s="1"/>
  <c r="X415" i="1"/>
  <c r="I417" i="1"/>
  <c r="S417" i="1" s="1"/>
  <c r="I418" i="1"/>
  <c r="S418" i="1" s="1"/>
  <c r="X420" i="1"/>
  <c r="X421" i="1"/>
  <c r="I423" i="1"/>
  <c r="S423" i="1" s="1"/>
  <c r="X425" i="1"/>
  <c r="M426" i="1"/>
  <c r="X426" i="1"/>
  <c r="M428" i="1"/>
  <c r="X428" i="1"/>
  <c r="I430" i="1"/>
  <c r="S430" i="1" s="1"/>
  <c r="M432" i="1"/>
  <c r="X432" i="1"/>
  <c r="X434" i="1"/>
  <c r="I436" i="1"/>
  <c r="S436" i="1" s="1"/>
  <c r="X440" i="1"/>
  <c r="I442" i="1"/>
  <c r="S442" i="1" s="1"/>
  <c r="X444" i="1"/>
  <c r="I446" i="1"/>
  <c r="S446" i="1" s="1"/>
  <c r="X448" i="1"/>
  <c r="I450" i="1"/>
  <c r="S450" i="1" s="1"/>
  <c r="X452" i="1"/>
  <c r="I454" i="1"/>
  <c r="S454" i="1" s="1"/>
  <c r="I456" i="1"/>
  <c r="S456" i="1" s="1"/>
  <c r="I458" i="1"/>
  <c r="S458" i="1" s="1"/>
  <c r="X460" i="1"/>
  <c r="I462" i="1"/>
  <c r="S462" i="1" s="1"/>
  <c r="I463" i="1"/>
  <c r="S463" i="1" s="1"/>
  <c r="X465" i="1"/>
  <c r="I467" i="1"/>
  <c r="S467" i="1" s="1"/>
  <c r="I469" i="1"/>
  <c r="S469" i="1" s="1"/>
  <c r="X471" i="1"/>
  <c r="I473" i="1"/>
  <c r="S473" i="1" s="1"/>
  <c r="X480" i="1"/>
  <c r="X483" i="1"/>
  <c r="I485" i="1"/>
  <c r="S485" i="1" s="1"/>
  <c r="X487" i="1"/>
  <c r="I488" i="1"/>
  <c r="S488" i="1" s="1"/>
  <c r="I490" i="1"/>
  <c r="S490" i="1" s="1"/>
  <c r="X492" i="1"/>
  <c r="X495" i="1"/>
  <c r="X497" i="1"/>
  <c r="X499" i="1"/>
  <c r="I501" i="1"/>
  <c r="S501" i="1" s="1"/>
  <c r="X503" i="1"/>
  <c r="I505" i="1"/>
  <c r="S505" i="1" s="1"/>
  <c r="X508" i="1"/>
  <c r="I510" i="1"/>
  <c r="S510" i="1" s="1"/>
  <c r="X512" i="1"/>
  <c r="X518" i="1"/>
  <c r="I520" i="1"/>
  <c r="S520" i="1" s="1"/>
  <c r="X522" i="1"/>
  <c r="I524" i="1"/>
  <c r="S524" i="1" s="1"/>
  <c r="X526" i="1"/>
  <c r="I539" i="1"/>
  <c r="S539" i="1" s="1"/>
  <c r="X541" i="1"/>
  <c r="X542" i="1"/>
  <c r="I544" i="1"/>
  <c r="S544" i="1" s="1"/>
  <c r="X546" i="1"/>
  <c r="I548" i="1"/>
  <c r="S548" i="1" s="1"/>
  <c r="I550" i="1"/>
  <c r="S550" i="1" s="1"/>
  <c r="X552" i="1"/>
  <c r="I554" i="1"/>
  <c r="S554" i="1" s="1"/>
  <c r="X556" i="1"/>
  <c r="I558" i="1"/>
  <c r="S558" i="1" s="1"/>
  <c r="X560" i="1"/>
  <c r="I562" i="1"/>
  <c r="S562" i="1" s="1"/>
  <c r="X562" i="1"/>
  <c r="M563" i="1"/>
  <c r="I564" i="1"/>
  <c r="S564" i="1" s="1"/>
  <c r="M569" i="1"/>
  <c r="I573" i="1"/>
  <c r="S573" i="1" s="1"/>
  <c r="I578" i="1"/>
  <c r="S578" i="1" s="1"/>
  <c r="I586" i="1"/>
  <c r="S586" i="1" s="1"/>
  <c r="I593" i="1"/>
  <c r="S593" i="1" s="1"/>
  <c r="I599" i="1"/>
  <c r="S599" i="1" s="1"/>
  <c r="I603" i="1"/>
  <c r="S603" i="1" s="1"/>
  <c r="I607" i="1"/>
  <c r="S607" i="1" s="1"/>
  <c r="I611" i="1"/>
  <c r="S611" i="1" s="1"/>
  <c r="I615" i="1"/>
  <c r="S615" i="1" s="1"/>
  <c r="I617" i="1"/>
  <c r="S617" i="1" s="1"/>
  <c r="I628" i="1"/>
  <c r="S628" i="1" s="1"/>
  <c r="I634" i="1"/>
  <c r="S634" i="1" s="1"/>
  <c r="I668" i="1"/>
  <c r="S668" i="1" s="1"/>
  <c r="I673" i="1"/>
  <c r="S673" i="1" s="1"/>
  <c r="I678" i="1"/>
  <c r="S678" i="1" s="1"/>
  <c r="I683" i="1"/>
  <c r="M683" i="1" s="1"/>
  <c r="I687" i="1"/>
  <c r="S687" i="1" s="1"/>
  <c r="X322" i="1"/>
  <c r="X331" i="1"/>
  <c r="X332" i="1"/>
  <c r="X334" i="1"/>
  <c r="X437" i="1"/>
  <c r="X438" i="1"/>
  <c r="X443" i="1"/>
  <c r="X447" i="1"/>
  <c r="X451" i="1"/>
  <c r="X455" i="1"/>
  <c r="X506" i="1"/>
  <c r="X507" i="1"/>
  <c r="X511" i="1"/>
  <c r="X513" i="1"/>
  <c r="I515" i="1"/>
  <c r="S515" i="1" s="1"/>
  <c r="X521" i="1"/>
  <c r="X525" i="1"/>
  <c r="I527" i="1"/>
  <c r="S527" i="1" s="1"/>
  <c r="X529" i="1"/>
  <c r="I531" i="1"/>
  <c r="S531" i="1" s="1"/>
  <c r="X533" i="1"/>
  <c r="I535" i="1"/>
  <c r="S535" i="1" s="1"/>
  <c r="X537" i="1"/>
  <c r="X540" i="1"/>
  <c r="X545" i="1"/>
  <c r="X549" i="1"/>
  <c r="I565" i="1"/>
  <c r="S565" i="1" s="1"/>
  <c r="Y565" i="1"/>
  <c r="I568" i="1"/>
  <c r="S568" i="1" s="1"/>
  <c r="Y568" i="1"/>
  <c r="X568" i="1"/>
  <c r="M572" i="1"/>
  <c r="I574" i="1"/>
  <c r="S574" i="1" s="1"/>
  <c r="I582" i="1"/>
  <c r="S582" i="1" s="1"/>
  <c r="I587" i="1"/>
  <c r="S587" i="1" s="1"/>
  <c r="I589" i="1"/>
  <c r="S589" i="1" s="1"/>
  <c r="I594" i="1"/>
  <c r="S594" i="1" s="1"/>
  <c r="I595" i="1"/>
  <c r="S595" i="1" s="1"/>
  <c r="I604" i="1"/>
  <c r="S604" i="1" s="1"/>
  <c r="I608" i="1"/>
  <c r="S608" i="1" s="1"/>
  <c r="I612" i="1"/>
  <c r="S612" i="1" s="1"/>
  <c r="I618" i="1"/>
  <c r="S618" i="1" s="1"/>
  <c r="I624" i="1"/>
  <c r="S624" i="1" s="1"/>
  <c r="I630" i="1"/>
  <c r="S630" i="1" s="1"/>
  <c r="I641" i="1"/>
  <c r="S641" i="1" s="1"/>
  <c r="I643" i="1"/>
  <c r="S643" i="1" s="1"/>
  <c r="I650" i="1"/>
  <c r="S650" i="1" s="1"/>
  <c r="I651" i="1"/>
  <c r="S651" i="1" s="1"/>
  <c r="I652" i="1"/>
  <c r="S652" i="1" s="1"/>
  <c r="I664" i="1"/>
  <c r="S664" i="1" s="1"/>
  <c r="M667" i="1"/>
  <c r="I669" i="1"/>
  <c r="S669" i="1" s="1"/>
  <c r="M581" i="1"/>
  <c r="I583" i="1"/>
  <c r="S583" i="1" s="1"/>
  <c r="I590" i="1"/>
  <c r="S590" i="1" s="1"/>
  <c r="M592" i="1"/>
  <c r="M616" i="1"/>
  <c r="M626" i="1"/>
  <c r="I626" i="1"/>
  <c r="S626" i="1" s="1"/>
  <c r="I639" i="1"/>
  <c r="S639" i="1" s="1"/>
  <c r="I657" i="1"/>
  <c r="S657" i="1" s="1"/>
  <c r="I658" i="1"/>
  <c r="S658" i="1" s="1"/>
  <c r="I659" i="1"/>
  <c r="S659" i="1" s="1"/>
  <c r="I660" i="1"/>
  <c r="S660" i="1" s="1"/>
  <c r="M663" i="1"/>
  <c r="I665" i="1"/>
  <c r="S665" i="1" s="1"/>
  <c r="I676" i="1"/>
  <c r="S676" i="1" s="1"/>
  <c r="M567" i="1"/>
  <c r="I570" i="1"/>
  <c r="S570" i="1" s="1"/>
  <c r="I577" i="1"/>
  <c r="S577" i="1" s="1"/>
  <c r="I579" i="1"/>
  <c r="S579" i="1" s="1"/>
  <c r="M588" i="1"/>
  <c r="I598" i="1"/>
  <c r="S598" i="1" s="1"/>
  <c r="I632" i="1"/>
  <c r="S632" i="1" s="1"/>
  <c r="I645" i="1"/>
  <c r="S645" i="1" s="1"/>
  <c r="I647" i="1"/>
  <c r="S647" i="1" s="1"/>
  <c r="I648" i="1"/>
  <c r="S648" i="1" s="1"/>
  <c r="I654" i="1"/>
  <c r="S654" i="1" s="1"/>
  <c r="I655" i="1"/>
  <c r="S655" i="1" s="1"/>
  <c r="I656" i="1"/>
  <c r="S656" i="1" s="1"/>
  <c r="I661" i="1"/>
  <c r="S661" i="1" s="1"/>
  <c r="I672" i="1"/>
  <c r="S672" i="1" s="1"/>
  <c r="M675" i="1"/>
  <c r="I677" i="1"/>
  <c r="S677" i="1" s="1"/>
  <c r="I681" i="1"/>
  <c r="S681" i="1" s="1"/>
  <c r="I686" i="1"/>
  <c r="S686" i="1" s="1"/>
  <c r="I623" i="1"/>
  <c r="S623" i="1" s="1"/>
  <c r="M625" i="1"/>
  <c r="I627" i="1"/>
  <c r="S627" i="1" s="1"/>
  <c r="M629" i="1"/>
  <c r="I631" i="1"/>
  <c r="S631" i="1" s="1"/>
  <c r="M633" i="1"/>
  <c r="I638" i="1"/>
  <c r="S638" i="1" s="1"/>
  <c r="I640" i="1"/>
  <c r="S640" i="1" s="1"/>
  <c r="M642" i="1"/>
  <c r="X642" i="1"/>
  <c r="I644" i="1"/>
  <c r="S644" i="1" s="1"/>
  <c r="M646" i="1"/>
  <c r="X646" i="1"/>
  <c r="I649" i="1"/>
  <c r="S649" i="1" s="1"/>
  <c r="X651" i="1"/>
  <c r="I653" i="1"/>
  <c r="S653" i="1" s="1"/>
  <c r="X655" i="1"/>
  <c r="X658" i="1"/>
  <c r="I696" i="1"/>
  <c r="S696" i="1" s="1"/>
  <c r="I700" i="1"/>
  <c r="M700" i="1" s="1"/>
  <c r="I706" i="1"/>
  <c r="S706" i="1" s="1"/>
  <c r="I707" i="1"/>
  <c r="S707" i="1" s="1"/>
  <c r="I715" i="1"/>
  <c r="S715" i="1" s="1"/>
  <c r="I719" i="1"/>
  <c r="S719" i="1" s="1"/>
  <c r="I741" i="1"/>
  <c r="S741" i="1" s="1"/>
  <c r="X573" i="1"/>
  <c r="I575" i="1"/>
  <c r="S575" i="1" s="1"/>
  <c r="X577" i="1"/>
  <c r="I580" i="1"/>
  <c r="S580" i="1" s="1"/>
  <c r="X582" i="1"/>
  <c r="I584" i="1"/>
  <c r="S584" i="1" s="1"/>
  <c r="X586" i="1"/>
  <c r="X587" i="1"/>
  <c r="X589" i="1"/>
  <c r="I591" i="1"/>
  <c r="S591" i="1" s="1"/>
  <c r="X593" i="1"/>
  <c r="I596" i="1"/>
  <c r="S596" i="1" s="1"/>
  <c r="X598" i="1"/>
  <c r="I600" i="1"/>
  <c r="S600" i="1" s="1"/>
  <c r="I601" i="1"/>
  <c r="S601" i="1" s="1"/>
  <c r="X603" i="1"/>
  <c r="I605" i="1"/>
  <c r="S605" i="1" s="1"/>
  <c r="X607" i="1"/>
  <c r="I609" i="1"/>
  <c r="S609" i="1" s="1"/>
  <c r="X611" i="1"/>
  <c r="I613" i="1"/>
  <c r="S613" i="1" s="1"/>
  <c r="X615" i="1"/>
  <c r="X617" i="1"/>
  <c r="I619" i="1"/>
  <c r="S619" i="1" s="1"/>
  <c r="I621" i="1"/>
  <c r="S621" i="1" s="1"/>
  <c r="I635" i="1"/>
  <c r="S635" i="1" s="1"/>
  <c r="I636" i="1"/>
  <c r="S636" i="1" s="1"/>
  <c r="X639" i="1"/>
  <c r="X650" i="1"/>
  <c r="X654" i="1"/>
  <c r="X657" i="1"/>
  <c r="X660" i="1"/>
  <c r="I662" i="1"/>
  <c r="S662" i="1" s="1"/>
  <c r="X664" i="1"/>
  <c r="I666" i="1"/>
  <c r="S666" i="1" s="1"/>
  <c r="X668" i="1"/>
  <c r="I670" i="1"/>
  <c r="S670" i="1" s="1"/>
  <c r="X672" i="1"/>
  <c r="I674" i="1"/>
  <c r="S674" i="1" s="1"/>
  <c r="X676" i="1"/>
  <c r="X677" i="1"/>
  <c r="I679" i="1"/>
  <c r="S679" i="1" s="1"/>
  <c r="X681" i="1"/>
  <c r="I682" i="1"/>
  <c r="M682" i="1" s="1"/>
  <c r="I684" i="1"/>
  <c r="S684" i="1" s="1"/>
  <c r="X686" i="1"/>
  <c r="I688" i="1"/>
  <c r="S688" i="1" s="1"/>
  <c r="X690" i="1"/>
  <c r="S691" i="1"/>
  <c r="I698" i="1"/>
  <c r="S698" i="1" s="1"/>
  <c r="I710" i="1"/>
  <c r="S710" i="1" s="1"/>
  <c r="I721" i="1"/>
  <c r="S721" i="1" s="1"/>
  <c r="I725" i="1"/>
  <c r="S725" i="1" s="1"/>
  <c r="I727" i="1"/>
  <c r="S727" i="1" s="1"/>
  <c r="I733" i="1"/>
  <c r="S733" i="1" s="1"/>
  <c r="I752" i="1"/>
  <c r="S752" i="1" s="1"/>
  <c r="X588" i="1"/>
  <c r="X592" i="1"/>
  <c r="X597" i="1"/>
  <c r="X616" i="1"/>
  <c r="X620" i="1"/>
  <c r="M695" i="1"/>
  <c r="I704" i="1"/>
  <c r="S704" i="1" s="1"/>
  <c r="I708" i="1"/>
  <c r="S708" i="1" s="1"/>
  <c r="I713" i="1"/>
  <c r="S713" i="1" s="1"/>
  <c r="I717" i="1"/>
  <c r="S717" i="1" s="1"/>
  <c r="I736" i="1"/>
  <c r="S736" i="1" s="1"/>
  <c r="I743" i="1"/>
  <c r="S743" i="1" s="1"/>
  <c r="M694" i="1"/>
  <c r="Y696" i="1"/>
  <c r="X696" i="1"/>
  <c r="M699" i="1"/>
  <c r="I702" i="1"/>
  <c r="S702" i="1" s="1"/>
  <c r="I723" i="1"/>
  <c r="S723" i="1" s="1"/>
  <c r="I729" i="1"/>
  <c r="S729" i="1" s="1"/>
  <c r="I731" i="1"/>
  <c r="S731" i="1" s="1"/>
  <c r="I739" i="1"/>
  <c r="S739" i="1" s="1"/>
  <c r="I745" i="1"/>
  <c r="S745" i="1" s="1"/>
  <c r="I746" i="1"/>
  <c r="S746" i="1" s="1"/>
  <c r="I754" i="1"/>
  <c r="S754" i="1" s="1"/>
  <c r="I758" i="1"/>
  <c r="S758" i="1" s="1"/>
  <c r="Y758" i="1"/>
  <c r="X758" i="1"/>
  <c r="I763" i="1"/>
  <c r="S763" i="1" s="1"/>
  <c r="I782" i="1"/>
  <c r="S782" i="1" s="1"/>
  <c r="I793" i="1"/>
  <c r="S793" i="1" s="1"/>
  <c r="I795" i="1"/>
  <c r="S795" i="1" s="1"/>
  <c r="I804" i="1"/>
  <c r="S804" i="1" s="1"/>
  <c r="I813" i="1"/>
  <c r="S813" i="1" s="1"/>
  <c r="I825" i="1"/>
  <c r="S825" i="1" s="1"/>
  <c r="I831" i="1"/>
  <c r="S831" i="1" s="1"/>
  <c r="I836" i="1"/>
  <c r="S836" i="1" s="1"/>
  <c r="I840" i="1"/>
  <c r="S840" i="1" s="1"/>
  <c r="I844" i="1"/>
  <c r="S844" i="1" s="1"/>
  <c r="M846" i="1"/>
  <c r="I853" i="1"/>
  <c r="S853" i="1" s="1"/>
  <c r="I859" i="1"/>
  <c r="S859" i="1" s="1"/>
  <c r="I872" i="1"/>
  <c r="S872" i="1" s="1"/>
  <c r="I878" i="1"/>
  <c r="S878" i="1" s="1"/>
  <c r="I879" i="1"/>
  <c r="S879" i="1" s="1"/>
  <c r="I883" i="1"/>
  <c r="S883" i="1" s="1"/>
  <c r="M886" i="1"/>
  <c r="I888" i="1"/>
  <c r="S888" i="1" s="1"/>
  <c r="I701" i="1"/>
  <c r="S701" i="1" s="1"/>
  <c r="I703" i="1"/>
  <c r="S703" i="1" s="1"/>
  <c r="I705" i="1"/>
  <c r="S705" i="1" s="1"/>
  <c r="M711" i="1"/>
  <c r="M712" i="1"/>
  <c r="I714" i="1"/>
  <c r="S714" i="1" s="1"/>
  <c r="M716" i="1"/>
  <c r="I718" i="1"/>
  <c r="S718" i="1" s="1"/>
  <c r="M720" i="1"/>
  <c r="X722" i="1"/>
  <c r="I724" i="1"/>
  <c r="S724" i="1" s="1"/>
  <c r="M726" i="1"/>
  <c r="X726" i="1"/>
  <c r="I728" i="1"/>
  <c r="S728" i="1" s="1"/>
  <c r="M730" i="1"/>
  <c r="X730" i="1"/>
  <c r="I732" i="1"/>
  <c r="S732" i="1" s="1"/>
  <c r="I734" i="1"/>
  <c r="S734" i="1" s="1"/>
  <c r="I735" i="1"/>
  <c r="S735" i="1" s="1"/>
  <c r="M737" i="1"/>
  <c r="M738" i="1"/>
  <c r="I740" i="1"/>
  <c r="S740" i="1" s="1"/>
  <c r="M742" i="1"/>
  <c r="I744" i="1"/>
  <c r="S744" i="1" s="1"/>
  <c r="M747" i="1"/>
  <c r="M749" i="1"/>
  <c r="X750" i="1"/>
  <c r="M751" i="1"/>
  <c r="I770" i="1"/>
  <c r="S770" i="1" s="1"/>
  <c r="I778" i="1"/>
  <c r="S778" i="1" s="1"/>
  <c r="M781" i="1"/>
  <c r="I783" i="1"/>
  <c r="S783" i="1" s="1"/>
  <c r="I789" i="1"/>
  <c r="S789" i="1" s="1"/>
  <c r="M792" i="1"/>
  <c r="I794" i="1"/>
  <c r="S794" i="1" s="1"/>
  <c r="I820" i="1"/>
  <c r="S820" i="1" s="1"/>
  <c r="M824" i="1"/>
  <c r="I826" i="1"/>
  <c r="S826" i="1" s="1"/>
  <c r="M829" i="1"/>
  <c r="M830" i="1"/>
  <c r="I832" i="1"/>
  <c r="S832" i="1" s="1"/>
  <c r="I849" i="1"/>
  <c r="S849" i="1" s="1"/>
  <c r="I855" i="1"/>
  <c r="S855" i="1" s="1"/>
  <c r="M871" i="1"/>
  <c r="M881" i="1"/>
  <c r="M882" i="1"/>
  <c r="I884" i="1"/>
  <c r="S884" i="1" s="1"/>
  <c r="X695" i="1"/>
  <c r="X699" i="1"/>
  <c r="I755" i="1"/>
  <c r="S755" i="1" s="1"/>
  <c r="I760" i="1"/>
  <c r="S760" i="1" s="1"/>
  <c r="I766" i="1"/>
  <c r="S766" i="1" s="1"/>
  <c r="M769" i="1"/>
  <c r="I771" i="1"/>
  <c r="S771" i="1" s="1"/>
  <c r="I774" i="1"/>
  <c r="S774" i="1" s="1"/>
  <c r="M777" i="1"/>
  <c r="I779" i="1"/>
  <c r="S779" i="1" s="1"/>
  <c r="M788" i="1"/>
  <c r="I790" i="1"/>
  <c r="S790" i="1" s="1"/>
  <c r="I799" i="1"/>
  <c r="S799" i="1" s="1"/>
  <c r="M802" i="1"/>
  <c r="I807" i="1"/>
  <c r="S807" i="1" s="1"/>
  <c r="I816" i="1"/>
  <c r="S816" i="1" s="1"/>
  <c r="M819" i="1"/>
  <c r="I827" i="1"/>
  <c r="S827" i="1" s="1"/>
  <c r="I857" i="1"/>
  <c r="S857" i="1" s="1"/>
  <c r="I858" i="1"/>
  <c r="S858" i="1" s="1"/>
  <c r="I868" i="1"/>
  <c r="S868" i="1" s="1"/>
  <c r="I876" i="1"/>
  <c r="S876" i="1" s="1"/>
  <c r="I891" i="1"/>
  <c r="S891" i="1" s="1"/>
  <c r="M748" i="1"/>
  <c r="X749" i="1"/>
  <c r="M750" i="1"/>
  <c r="M753" i="1"/>
  <c r="M759" i="1"/>
  <c r="I762" i="1"/>
  <c r="S762" i="1" s="1"/>
  <c r="I767" i="1"/>
  <c r="S767" i="1" s="1"/>
  <c r="I775" i="1"/>
  <c r="S775" i="1" s="1"/>
  <c r="I786" i="1"/>
  <c r="S786" i="1" s="1"/>
  <c r="I800" i="1"/>
  <c r="S800" i="1" s="1"/>
  <c r="I803" i="1"/>
  <c r="S803" i="1" s="1"/>
  <c r="I808" i="1"/>
  <c r="S808" i="1" s="1"/>
  <c r="I812" i="1"/>
  <c r="S812" i="1" s="1"/>
  <c r="I817" i="1"/>
  <c r="S817" i="1" s="1"/>
  <c r="I835" i="1"/>
  <c r="S835" i="1" s="1"/>
  <c r="I839" i="1"/>
  <c r="S839" i="1" s="1"/>
  <c r="I843" i="1"/>
  <c r="S843" i="1" s="1"/>
  <c r="I851" i="1"/>
  <c r="S851" i="1" s="1"/>
  <c r="I880" i="1"/>
  <c r="S880" i="1" s="1"/>
  <c r="I887" i="1"/>
  <c r="S887" i="1" s="1"/>
  <c r="M764" i="1"/>
  <c r="M768" i="1"/>
  <c r="M772" i="1"/>
  <c r="M776" i="1"/>
  <c r="M780" i="1"/>
  <c r="M784" i="1"/>
  <c r="M787" i="1"/>
  <c r="M791" i="1"/>
  <c r="M796" i="1"/>
  <c r="M801" i="1"/>
  <c r="M805" i="1"/>
  <c r="M809" i="1"/>
  <c r="M814" i="1"/>
  <c r="M818" i="1"/>
  <c r="M821" i="1"/>
  <c r="M823" i="1"/>
  <c r="M828" i="1"/>
  <c r="M833" i="1"/>
  <c r="M837" i="1"/>
  <c r="M841" i="1"/>
  <c r="M845" i="1"/>
  <c r="Y852" i="1"/>
  <c r="Y856" i="1"/>
  <c r="Y867" i="1"/>
  <c r="Y871" i="1"/>
  <c r="Y875" i="1"/>
  <c r="Y877" i="1"/>
  <c r="Y880" i="1"/>
  <c r="Y883" i="1"/>
  <c r="Y887" i="1"/>
  <c r="M893" i="1"/>
  <c r="M895" i="1"/>
  <c r="I896" i="1"/>
  <c r="S896" i="1" s="1"/>
  <c r="X896" i="1"/>
  <c r="Y896" i="1"/>
  <c r="M905" i="1"/>
  <c r="I907" i="1"/>
  <c r="S907" i="1" s="1"/>
  <c r="M914" i="1"/>
  <c r="I915" i="1"/>
  <c r="S915" i="1" s="1"/>
  <c r="M927" i="1"/>
  <c r="I928" i="1"/>
  <c r="S928" i="1" s="1"/>
  <c r="I941" i="1"/>
  <c r="S941" i="1" s="1"/>
  <c r="I959" i="1"/>
  <c r="S959" i="1" s="1"/>
  <c r="I964" i="1"/>
  <c r="S964" i="1" s="1"/>
  <c r="M971" i="1"/>
  <c r="I973" i="1"/>
  <c r="S973" i="1" s="1"/>
  <c r="M976" i="1"/>
  <c r="I979" i="1"/>
  <c r="S979" i="1" s="1"/>
  <c r="I983" i="1"/>
  <c r="S983" i="1" s="1"/>
  <c r="I995" i="1"/>
  <c r="S995" i="1" s="1"/>
  <c r="M998" i="1"/>
  <c r="I1000" i="1"/>
  <c r="S1000" i="1" s="1"/>
  <c r="I847" i="1"/>
  <c r="S847" i="1" s="1"/>
  <c r="I848" i="1"/>
  <c r="S848" i="1" s="1"/>
  <c r="M850" i="1"/>
  <c r="I852" i="1"/>
  <c r="S852" i="1" s="1"/>
  <c r="M854" i="1"/>
  <c r="I856" i="1"/>
  <c r="S856" i="1" s="1"/>
  <c r="M860" i="1"/>
  <c r="M862" i="1"/>
  <c r="M863" i="1"/>
  <c r="M869" i="1"/>
  <c r="M873" i="1"/>
  <c r="M885" i="1"/>
  <c r="M889" i="1"/>
  <c r="X892" i="1"/>
  <c r="Y892" i="1"/>
  <c r="I902" i="1"/>
  <c r="S902" i="1" s="1"/>
  <c r="I936" i="1"/>
  <c r="S936" i="1" s="1"/>
  <c r="I937" i="1"/>
  <c r="S937" i="1" s="1"/>
  <c r="I945" i="1"/>
  <c r="S945" i="1" s="1"/>
  <c r="I949" i="1"/>
  <c r="S949" i="1" s="1"/>
  <c r="I954" i="1"/>
  <c r="S954" i="1" s="1"/>
  <c r="I960" i="1"/>
  <c r="S960" i="1" s="1"/>
  <c r="I969" i="1"/>
  <c r="S969" i="1" s="1"/>
  <c r="I980" i="1"/>
  <c r="S980" i="1" s="1"/>
  <c r="I984" i="1"/>
  <c r="S984" i="1" s="1"/>
  <c r="I990" i="1"/>
  <c r="S990" i="1" s="1"/>
  <c r="I996" i="1"/>
  <c r="S996" i="1" s="1"/>
  <c r="X762" i="1"/>
  <c r="X766" i="1"/>
  <c r="X770" i="1"/>
  <c r="X774" i="1"/>
  <c r="X778" i="1"/>
  <c r="X782" i="1"/>
  <c r="X786" i="1"/>
  <c r="X789" i="1"/>
  <c r="X793" i="1"/>
  <c r="X799" i="1"/>
  <c r="X803" i="1"/>
  <c r="X807" i="1"/>
  <c r="X812" i="1"/>
  <c r="X816" i="1"/>
  <c r="X820" i="1"/>
  <c r="X825" i="1"/>
  <c r="X826" i="1"/>
  <c r="X831" i="1"/>
  <c r="X835" i="1"/>
  <c r="X839" i="1"/>
  <c r="X843" i="1"/>
  <c r="I898" i="1"/>
  <c r="S898" i="1" s="1"/>
  <c r="I932" i="1"/>
  <c r="S932" i="1" s="1"/>
  <c r="I938" i="1"/>
  <c r="S938" i="1" s="1"/>
  <c r="M953" i="1"/>
  <c r="I955" i="1"/>
  <c r="S955" i="1" s="1"/>
  <c r="I968" i="1"/>
  <c r="S968" i="1" s="1"/>
  <c r="I991" i="1"/>
  <c r="S991" i="1" s="1"/>
  <c r="M892" i="1"/>
  <c r="I894" i="1"/>
  <c r="S894" i="1" s="1"/>
  <c r="M897" i="1"/>
  <c r="M899" i="1"/>
  <c r="I900" i="1"/>
  <c r="S900" i="1" s="1"/>
  <c r="X900" i="1"/>
  <c r="Y900" i="1"/>
  <c r="I904" i="1"/>
  <c r="S904" i="1" s="1"/>
  <c r="I906" i="1"/>
  <c r="S906" i="1" s="1"/>
  <c r="M909" i="1"/>
  <c r="M910" i="1"/>
  <c r="M913" i="1"/>
  <c r="M918" i="1"/>
  <c r="I919" i="1"/>
  <c r="S919" i="1" s="1"/>
  <c r="I920" i="1"/>
  <c r="S920" i="1" s="1"/>
  <c r="I922" i="1"/>
  <c r="S922" i="1" s="1"/>
  <c r="I942" i="1"/>
  <c r="S942" i="1" s="1"/>
  <c r="I951" i="1"/>
  <c r="S951" i="1" s="1"/>
  <c r="I963" i="1"/>
  <c r="S963" i="1" s="1"/>
  <c r="M966" i="1"/>
  <c r="I972" i="1"/>
  <c r="S972" i="1" s="1"/>
  <c r="I977" i="1"/>
  <c r="S977" i="1" s="1"/>
  <c r="I999" i="1"/>
  <c r="S999" i="1" s="1"/>
  <c r="Y906" i="1"/>
  <c r="Y913" i="1"/>
  <c r="Y914" i="1"/>
  <c r="Y918" i="1"/>
  <c r="Y927" i="1"/>
  <c r="Y931" i="1"/>
  <c r="Y935" i="1"/>
  <c r="Y937" i="1"/>
  <c r="Y941" i="1"/>
  <c r="Y945" i="1"/>
  <c r="Y948" i="1"/>
  <c r="Y950" i="1"/>
  <c r="Y954" i="1"/>
  <c r="Y959" i="1"/>
  <c r="Y963" i="1"/>
  <c r="Y967" i="1"/>
  <c r="Y972" i="1"/>
  <c r="Y977" i="1"/>
  <c r="Y979" i="1"/>
  <c r="Y983" i="1"/>
  <c r="Y990" i="1"/>
  <c r="Y995" i="1"/>
  <c r="Y999" i="1"/>
  <c r="I1011" i="1"/>
  <c r="S1011" i="1" s="1"/>
  <c r="I1016" i="1"/>
  <c r="S1016" i="1" s="1"/>
  <c r="I1024" i="1"/>
  <c r="S1024" i="1" s="1"/>
  <c r="I1029" i="1"/>
  <c r="S1029" i="1" s="1"/>
  <c r="I1031" i="1"/>
  <c r="S1031" i="1" s="1"/>
  <c r="I1035" i="1"/>
  <c r="S1035" i="1" s="1"/>
  <c r="I1041" i="1"/>
  <c r="S1041" i="1" s="1"/>
  <c r="M908" i="1"/>
  <c r="M911" i="1"/>
  <c r="M916" i="1"/>
  <c r="M921" i="1"/>
  <c r="M923" i="1"/>
  <c r="M925" i="1"/>
  <c r="M929" i="1"/>
  <c r="M933" i="1"/>
  <c r="M939" i="1"/>
  <c r="M943" i="1"/>
  <c r="M946" i="1"/>
  <c r="M952" i="1"/>
  <c r="M956" i="1"/>
  <c r="M961" i="1"/>
  <c r="M965" i="1"/>
  <c r="M970" i="1"/>
  <c r="M974" i="1"/>
  <c r="M981" i="1"/>
  <c r="M985" i="1"/>
  <c r="M987" i="1"/>
  <c r="M988" i="1"/>
  <c r="M992" i="1"/>
  <c r="M997" i="1"/>
  <c r="M1001" i="1"/>
  <c r="M1002" i="1"/>
  <c r="I1007" i="1"/>
  <c r="S1007" i="1" s="1"/>
  <c r="M1008" i="1"/>
  <c r="I1009" i="1"/>
  <c r="S1009" i="1" s="1"/>
  <c r="I1018" i="1"/>
  <c r="S1018" i="1" s="1"/>
  <c r="I1043" i="1"/>
  <c r="S1043" i="1" s="1"/>
  <c r="I1047" i="1"/>
  <c r="S1047" i="1" s="1"/>
  <c r="I1014" i="1"/>
  <c r="S1014" i="1" s="1"/>
  <c r="I1020" i="1"/>
  <c r="S1020" i="1" s="1"/>
  <c r="I1021" i="1"/>
  <c r="S1021" i="1" s="1"/>
  <c r="I1022" i="1"/>
  <c r="S1022" i="1" s="1"/>
  <c r="I1026" i="1"/>
  <c r="S1026" i="1" s="1"/>
  <c r="I1027" i="1"/>
  <c r="S1027" i="1" s="1"/>
  <c r="I1033" i="1"/>
  <c r="S1033" i="1" s="1"/>
  <c r="I1037" i="1"/>
  <c r="S1037" i="1" s="1"/>
  <c r="I1039" i="1"/>
  <c r="S1039" i="1" s="1"/>
  <c r="I1069" i="1"/>
  <c r="S1069" i="1" s="1"/>
  <c r="X1002" i="1"/>
  <c r="I1006" i="1"/>
  <c r="S1006" i="1" s="1"/>
  <c r="Y1007" i="1"/>
  <c r="Y1009" i="1"/>
  <c r="M1012" i="1"/>
  <c r="I1045" i="1"/>
  <c r="S1045" i="1" s="1"/>
  <c r="I1049" i="1"/>
  <c r="S1049" i="1" s="1"/>
  <c r="I1013" i="1"/>
  <c r="S1013" i="1" s="1"/>
  <c r="M1015" i="1"/>
  <c r="M1017" i="1"/>
  <c r="I1019" i="1"/>
  <c r="S1019" i="1" s="1"/>
  <c r="I1023" i="1"/>
  <c r="S1023" i="1" s="1"/>
  <c r="M1025" i="1"/>
  <c r="I1028" i="1"/>
  <c r="S1028" i="1" s="1"/>
  <c r="M1030" i="1"/>
  <c r="X1030" i="1"/>
  <c r="I1032" i="1"/>
  <c r="S1032" i="1" s="1"/>
  <c r="M1034" i="1"/>
  <c r="X1034" i="1"/>
  <c r="I1036" i="1"/>
  <c r="S1036" i="1" s="1"/>
  <c r="M1038" i="1"/>
  <c r="X1038" i="1"/>
  <c r="I1040" i="1"/>
  <c r="S1040" i="1" s="1"/>
  <c r="M1042" i="1"/>
  <c r="I1044" i="1"/>
  <c r="S1044" i="1" s="1"/>
  <c r="M1046" i="1"/>
  <c r="I1048" i="1"/>
  <c r="S1048" i="1" s="1"/>
  <c r="M1054" i="1"/>
  <c r="M1055" i="1"/>
  <c r="X1056" i="1"/>
  <c r="M1057" i="1"/>
  <c r="M1060" i="1"/>
  <c r="M1062" i="1"/>
  <c r="M1071" i="1"/>
  <c r="M1079" i="1"/>
  <c r="M1080" i="1"/>
  <c r="I1082" i="1"/>
  <c r="S1082" i="1" s="1"/>
  <c r="I1087" i="1"/>
  <c r="S1087" i="1" s="1"/>
  <c r="I1100" i="1"/>
  <c r="S1100" i="1" s="1"/>
  <c r="M1104" i="1"/>
  <c r="I1107" i="1"/>
  <c r="S1107" i="1" s="1"/>
  <c r="I1149" i="1"/>
  <c r="S1149" i="1" s="1"/>
  <c r="I1175" i="1"/>
  <c r="S1175" i="1" s="1"/>
  <c r="I1181" i="1"/>
  <c r="S1181" i="1" s="1"/>
  <c r="Y1051" i="1"/>
  <c r="X1051" i="1"/>
  <c r="M1052" i="1"/>
  <c r="Y1059" i="1"/>
  <c r="X1059" i="1"/>
  <c r="Y1061" i="1"/>
  <c r="X1061" i="1"/>
  <c r="Y1063" i="1"/>
  <c r="X1063" i="1"/>
  <c r="Y1065" i="1"/>
  <c r="X1065" i="1"/>
  <c r="M1068" i="1"/>
  <c r="I1070" i="1"/>
  <c r="S1070" i="1" s="1"/>
  <c r="I1074" i="1"/>
  <c r="S1074" i="1" s="1"/>
  <c r="I1077" i="1"/>
  <c r="S1077" i="1" s="1"/>
  <c r="I1094" i="1"/>
  <c r="S1094" i="1" s="1"/>
  <c r="M1099" i="1"/>
  <c r="I1101" i="1"/>
  <c r="S1101" i="1" s="1"/>
  <c r="M1106" i="1"/>
  <c r="I1109" i="1"/>
  <c r="S1109" i="1" s="1"/>
  <c r="I1114" i="1"/>
  <c r="S1114" i="1" s="1"/>
  <c r="M1124" i="1"/>
  <c r="I1186" i="1"/>
  <c r="M1186" i="1" s="1"/>
  <c r="X1013" i="1"/>
  <c r="X1019" i="1"/>
  <c r="M1050" i="1"/>
  <c r="M1051" i="1"/>
  <c r="X1052" i="1"/>
  <c r="M1053" i="1"/>
  <c r="M1058" i="1"/>
  <c r="M1059" i="1"/>
  <c r="M1061" i="1"/>
  <c r="M1063" i="1"/>
  <c r="M1065" i="1"/>
  <c r="X1068" i="1"/>
  <c r="I1073" i="1"/>
  <c r="S1073" i="1" s="1"/>
  <c r="I1076" i="1"/>
  <c r="S1076" i="1" s="1"/>
  <c r="I1085" i="1"/>
  <c r="S1085" i="1" s="1"/>
  <c r="I1090" i="1"/>
  <c r="S1090" i="1" s="1"/>
  <c r="I1095" i="1"/>
  <c r="S1095" i="1" s="1"/>
  <c r="I1097" i="1"/>
  <c r="S1097" i="1" s="1"/>
  <c r="I1103" i="1"/>
  <c r="S1103" i="1" s="1"/>
  <c r="I1110" i="1"/>
  <c r="S1110" i="1" s="1"/>
  <c r="I1115" i="1"/>
  <c r="S1115" i="1" s="1"/>
  <c r="I1121" i="1"/>
  <c r="S1121" i="1" s="1"/>
  <c r="I1150" i="1"/>
  <c r="S1150" i="1" s="1"/>
  <c r="Y1055" i="1"/>
  <c r="X1055" i="1"/>
  <c r="Y1060" i="1"/>
  <c r="X1060" i="1"/>
  <c r="Y1062" i="1"/>
  <c r="X1062" i="1"/>
  <c r="Y1064" i="1"/>
  <c r="X1064" i="1"/>
  <c r="Y1066" i="1"/>
  <c r="X1066" i="1"/>
  <c r="Y1071" i="1"/>
  <c r="X1071" i="1"/>
  <c r="M1072" i="1"/>
  <c r="I1081" i="1"/>
  <c r="S1081" i="1" s="1"/>
  <c r="I1086" i="1"/>
  <c r="S1086" i="1" s="1"/>
  <c r="M1089" i="1"/>
  <c r="I1091" i="1"/>
  <c r="S1091" i="1" s="1"/>
  <c r="I1105" i="1"/>
  <c r="S1105" i="1" s="1"/>
  <c r="I1116" i="1"/>
  <c r="S1116" i="1" s="1"/>
  <c r="I1122" i="1"/>
  <c r="S1122" i="1" s="1"/>
  <c r="I1145" i="1"/>
  <c r="S1145" i="1" s="1"/>
  <c r="I1163" i="1"/>
  <c r="S1163" i="1" s="1"/>
  <c r="I1168" i="1"/>
  <c r="S1168" i="1" s="1"/>
  <c r="Y1081" i="1"/>
  <c r="Y1085" i="1"/>
  <c r="Y1086" i="1"/>
  <c r="Y1090" i="1"/>
  <c r="Y1094" i="1"/>
  <c r="Y1100" i="1"/>
  <c r="Y1109" i="1"/>
  <c r="Y1114" i="1"/>
  <c r="Y1115" i="1"/>
  <c r="X1118" i="1"/>
  <c r="Y1121" i="1"/>
  <c r="Y1139" i="1"/>
  <c r="Y1143" i="1"/>
  <c r="X1149" i="1"/>
  <c r="M1153" i="1"/>
  <c r="M1157" i="1"/>
  <c r="M1158" i="1"/>
  <c r="M1166" i="1"/>
  <c r="X1167" i="1"/>
  <c r="X1174" i="1"/>
  <c r="X1179" i="1"/>
  <c r="M1180" i="1"/>
  <c r="Y1195" i="1"/>
  <c r="X1195" i="1"/>
  <c r="X1200" i="1"/>
  <c r="X1206" i="1"/>
  <c r="X1211" i="1"/>
  <c r="M1078" i="1"/>
  <c r="M1083" i="1"/>
  <c r="M1088" i="1"/>
  <c r="M1092" i="1"/>
  <c r="M1093" i="1"/>
  <c r="M1096" i="1"/>
  <c r="M1098" i="1"/>
  <c r="M1111" i="1"/>
  <c r="M1117" i="1"/>
  <c r="M1119" i="1"/>
  <c r="M1123" i="1"/>
  <c r="M1136" i="1"/>
  <c r="M1138" i="1"/>
  <c r="M1140" i="1"/>
  <c r="M1142" i="1"/>
  <c r="M1144" i="1"/>
  <c r="M1146" i="1"/>
  <c r="M1154" i="1"/>
  <c r="Y1159" i="1"/>
  <c r="X1159" i="1"/>
  <c r="M1160" i="1"/>
  <c r="Y1170" i="1"/>
  <c r="X1170" i="1"/>
  <c r="M1171" i="1"/>
  <c r="Y1177" i="1"/>
  <c r="X1177" i="1"/>
  <c r="M1178" i="1"/>
  <c r="Y1201" i="1"/>
  <c r="X1201" i="1"/>
  <c r="Y1203" i="1"/>
  <c r="X1203" i="1"/>
  <c r="Y1212" i="1"/>
  <c r="X1212" i="1"/>
  <c r="Y1165" i="1"/>
  <c r="X1165" i="1"/>
  <c r="M1177" i="1"/>
  <c r="Y1183" i="1"/>
  <c r="X1183" i="1"/>
  <c r="Y1194" i="1"/>
  <c r="X1194" i="1"/>
  <c r="X1124" i="1"/>
  <c r="I1127" i="1"/>
  <c r="S1127" i="1" s="1"/>
  <c r="Y1127" i="1"/>
  <c r="I1131" i="1"/>
  <c r="S1131" i="1" s="1"/>
  <c r="Y1131" i="1"/>
  <c r="I1135" i="1"/>
  <c r="S1135" i="1" s="1"/>
  <c r="Y1135" i="1"/>
  <c r="M1139" i="1"/>
  <c r="X1140" i="1"/>
  <c r="M1141" i="1"/>
  <c r="M1143" i="1"/>
  <c r="X1144" i="1"/>
  <c r="I1151" i="1"/>
  <c r="S1151" i="1" s="1"/>
  <c r="M1152" i="1"/>
  <c r="I1155" i="1"/>
  <c r="S1155" i="1" s="1"/>
  <c r="M1156" i="1"/>
  <c r="Y1158" i="1"/>
  <c r="X1158" i="1"/>
  <c r="M1164" i="1"/>
  <c r="Y1166" i="1"/>
  <c r="X1166" i="1"/>
  <c r="I1169" i="1"/>
  <c r="S1169" i="1" s="1"/>
  <c r="I1172" i="1"/>
  <c r="S1172" i="1" s="1"/>
  <c r="I1173" i="1"/>
  <c r="S1173" i="1" s="1"/>
  <c r="I1176" i="1"/>
  <c r="S1176" i="1" s="1"/>
  <c r="M1182" i="1"/>
  <c r="M1183" i="1"/>
  <c r="Y1187" i="1"/>
  <c r="X1187" i="1"/>
  <c r="M1188" i="1"/>
  <c r="Y1190" i="1"/>
  <c r="X1190" i="1"/>
  <c r="M1198" i="1"/>
  <c r="Y1214" i="1"/>
  <c r="X1214" i="1"/>
  <c r="Y1226" i="1"/>
  <c r="X1226" i="1"/>
  <c r="Y1230" i="1"/>
  <c r="X1230" i="1"/>
  <c r="Y1218" i="1"/>
  <c r="X1218" i="1"/>
  <c r="Y1234" i="1"/>
  <c r="X1234" i="1"/>
  <c r="Y1222" i="1"/>
  <c r="X1222" i="1"/>
  <c r="Y1240" i="1"/>
  <c r="Y1247" i="1"/>
  <c r="Y1250" i="1"/>
  <c r="X1251" i="1"/>
  <c r="X1255" i="1"/>
  <c r="X1260" i="1"/>
  <c r="X1267" i="1"/>
  <c r="X1271" i="1"/>
  <c r="X1274" i="1"/>
  <c r="X1278" i="1"/>
  <c r="X1282" i="1"/>
  <c r="X1286" i="1"/>
  <c r="X1290" i="1"/>
  <c r="X1294" i="1"/>
  <c r="X1298" i="1"/>
  <c r="X1302" i="1"/>
  <c r="X1215" i="1"/>
  <c r="X1219" i="1"/>
  <c r="X1223" i="1"/>
  <c r="X1227" i="1"/>
  <c r="X1231" i="1"/>
  <c r="X1235" i="1"/>
  <c r="X1238" i="1"/>
  <c r="X1242" i="1"/>
  <c r="X1245" i="1"/>
  <c r="X1252" i="1"/>
  <c r="X1257" i="1"/>
  <c r="X1261" i="1"/>
  <c r="X1264" i="1"/>
  <c r="X1268" i="1"/>
  <c r="X1272" i="1"/>
  <c r="X1279" i="1"/>
  <c r="X1283" i="1"/>
  <c r="X1287" i="1"/>
  <c r="X1291" i="1"/>
  <c r="X1295" i="1"/>
  <c r="X1299" i="1"/>
  <c r="X1303" i="1"/>
  <c r="M917" i="1" l="1"/>
  <c r="M585" i="1"/>
  <c r="M1018" i="1"/>
  <c r="M1007" i="1"/>
  <c r="M660" i="1"/>
  <c r="M721" i="1"/>
  <c r="M707" i="1"/>
  <c r="M190" i="1"/>
  <c r="M719" i="1"/>
  <c r="M408" i="1"/>
  <c r="M857" i="1"/>
  <c r="M760" i="1"/>
  <c r="M556" i="1"/>
  <c r="M96" i="1"/>
  <c r="M779" i="1"/>
  <c r="M348" i="1"/>
  <c r="M4" i="1"/>
  <c r="M698" i="1"/>
  <c r="M283" i="1"/>
  <c r="M928" i="1"/>
  <c r="M888" i="1"/>
  <c r="M647" i="1"/>
  <c r="M441" i="1"/>
  <c r="M330" i="1"/>
  <c r="M808" i="1"/>
  <c r="M649" i="1"/>
  <c r="M481" i="1"/>
  <c r="M61" i="1"/>
  <c r="M109" i="1"/>
  <c r="M142" i="1"/>
  <c r="M689" i="1"/>
  <c r="M80" i="1"/>
  <c r="M1087" i="1"/>
  <c r="M1021" i="1"/>
  <c r="M1044" i="1"/>
  <c r="M959" i="1"/>
  <c r="M820" i="1"/>
  <c r="M783" i="1"/>
  <c r="M778" i="1"/>
  <c r="M729" i="1"/>
  <c r="M655" i="1"/>
  <c r="M632" i="1"/>
  <c r="M465" i="1"/>
  <c r="M452" i="1"/>
  <c r="M356" i="1"/>
  <c r="M466" i="1"/>
  <c r="M453" i="1"/>
  <c r="M237" i="1"/>
  <c r="M175" i="1"/>
  <c r="M300" i="1"/>
  <c r="M163" i="1"/>
  <c r="M1066" i="1"/>
  <c r="M962" i="1"/>
  <c r="M420" i="1"/>
  <c r="M140" i="1"/>
  <c r="M82" i="1"/>
  <c r="M13" i="1"/>
  <c r="M1168" i="1"/>
  <c r="M1109" i="1"/>
  <c r="M1070" i="1"/>
  <c r="M1039" i="1"/>
  <c r="M775" i="1"/>
  <c r="M681" i="1"/>
  <c r="M650" i="1"/>
  <c r="M526" i="1"/>
  <c r="M444" i="1"/>
  <c r="M874" i="1"/>
  <c r="M606" i="1"/>
  <c r="M904" i="1"/>
  <c r="M604" i="1"/>
  <c r="M546" i="1"/>
  <c r="M259" i="1"/>
  <c r="M11" i="1"/>
  <c r="M1161" i="1"/>
  <c r="M1084" i="1"/>
  <c r="M773" i="1"/>
  <c r="M765" i="1"/>
  <c r="M815" i="1"/>
  <c r="M757" i="1"/>
  <c r="M690" i="1"/>
  <c r="M537" i="1"/>
  <c r="M152" i="1"/>
  <c r="M144" i="1"/>
  <c r="M99" i="1"/>
  <c r="M1022" i="1"/>
  <c r="M964" i="1"/>
  <c r="M941" i="1"/>
  <c r="M774" i="1"/>
  <c r="M733" i="1"/>
  <c r="M613" i="1"/>
  <c r="M523" i="1"/>
  <c r="M496" i="1"/>
  <c r="M491" i="1"/>
  <c r="M484" i="1"/>
  <c r="M155" i="1"/>
  <c r="M63" i="1"/>
  <c r="M53" i="1"/>
  <c r="M290" i="1"/>
  <c r="M271" i="1"/>
  <c r="M255" i="1"/>
  <c r="M178" i="1"/>
  <c r="M287" i="1"/>
  <c r="M186" i="1"/>
  <c r="M182" i="1"/>
  <c r="M195" i="1"/>
  <c r="M164" i="1"/>
  <c r="M116" i="1"/>
  <c r="M86" i="1"/>
  <c r="M890" i="1"/>
  <c r="M521" i="1"/>
  <c r="M72" i="1"/>
  <c r="M203" i="1"/>
  <c r="M141" i="1"/>
  <c r="M101" i="1"/>
  <c r="M57" i="1"/>
  <c r="M1040" i="1"/>
  <c r="M1048" i="1"/>
  <c r="M1019" i="1"/>
  <c r="M1041" i="1"/>
  <c r="M770" i="1"/>
  <c r="M715" i="1"/>
  <c r="M706" i="1"/>
  <c r="M677" i="1"/>
  <c r="M654" i="1"/>
  <c r="M648" i="1"/>
  <c r="M688" i="1"/>
  <c r="M601" i="1"/>
  <c r="M389" i="1"/>
  <c r="M276" i="1"/>
  <c r="M285" i="1"/>
  <c r="M1128" i="1"/>
  <c r="M989" i="1"/>
  <c r="M931" i="1"/>
  <c r="M838" i="1"/>
  <c r="M685" i="1"/>
  <c r="M610" i="1"/>
  <c r="M549" i="1"/>
  <c r="M680" i="1"/>
  <c r="M622" i="1"/>
  <c r="M576" i="1"/>
  <c r="M289" i="1"/>
  <c r="M34" i="1"/>
  <c r="M1114" i="1"/>
  <c r="M1100" i="1"/>
  <c r="M1082" i="1"/>
  <c r="M1163" i="1"/>
  <c r="M1069" i="1"/>
  <c r="M767" i="1"/>
  <c r="M755" i="1"/>
  <c r="M855" i="1"/>
  <c r="M754" i="1"/>
  <c r="M739" i="1"/>
  <c r="M734" i="1"/>
  <c r="M651" i="1"/>
  <c r="M621" i="1"/>
  <c r="M634" i="1"/>
  <c r="M493" i="1"/>
  <c r="M461" i="1"/>
  <c r="M560" i="1"/>
  <c r="M552" i="1"/>
  <c r="M541" i="1"/>
  <c r="M440" i="1"/>
  <c r="M431" i="1"/>
  <c r="M422" i="1"/>
  <c r="M234" i="1"/>
  <c r="M211" i="1"/>
  <c r="M620" i="1"/>
  <c r="M482" i="1"/>
  <c r="M198" i="1"/>
  <c r="M73" i="1"/>
  <c r="M37" i="1"/>
  <c r="M623" i="1"/>
  <c r="M442" i="1"/>
  <c r="M459" i="1"/>
  <c r="M401" i="1"/>
  <c r="M507" i="1"/>
  <c r="M55" i="1"/>
  <c r="M138" i="1"/>
  <c r="M90" i="1"/>
  <c r="M75" i="1"/>
  <c r="M1081" i="1"/>
  <c r="M1094" i="1"/>
  <c r="M1074" i="1"/>
  <c r="M1175" i="1"/>
  <c r="M1035" i="1"/>
  <c r="M1024" i="1"/>
  <c r="M1011" i="1"/>
  <c r="M977" i="1"/>
  <c r="M968" i="1"/>
  <c r="M990" i="1"/>
  <c r="M980" i="1"/>
  <c r="M960" i="1"/>
  <c r="M949" i="1"/>
  <c r="M937" i="1"/>
  <c r="M983" i="1"/>
  <c r="M800" i="1"/>
  <c r="M876" i="1"/>
  <c r="M799" i="1"/>
  <c r="M832" i="1"/>
  <c r="M844" i="1"/>
  <c r="M836" i="1"/>
  <c r="M813" i="1"/>
  <c r="M795" i="1"/>
  <c r="M763" i="1"/>
  <c r="M703" i="1"/>
  <c r="M740" i="1"/>
  <c r="M713" i="1"/>
  <c r="M661" i="1"/>
  <c r="M577" i="1"/>
  <c r="M676" i="1"/>
  <c r="M658" i="1"/>
  <c r="M639" i="1"/>
  <c r="M583" i="1"/>
  <c r="M636" i="1"/>
  <c r="M612" i="1"/>
  <c r="M594" i="1"/>
  <c r="M587" i="1"/>
  <c r="M673" i="1"/>
  <c r="M599" i="1"/>
  <c r="M586" i="1"/>
  <c r="M561" i="1"/>
  <c r="M557" i="1"/>
  <c r="M542" i="1"/>
  <c r="M416" i="1"/>
  <c r="M355" i="1"/>
  <c r="M321" i="1"/>
  <c r="M497" i="1"/>
  <c r="M492" i="1"/>
  <c r="M460" i="1"/>
  <c r="M368" i="1"/>
  <c r="M518" i="1"/>
  <c r="M372" i="1"/>
  <c r="M339" i="1"/>
  <c r="M566" i="1"/>
  <c r="M512" i="1"/>
  <c r="M172" i="1"/>
  <c r="M151" i="1"/>
  <c r="M81" i="1"/>
  <c r="M50" i="1"/>
  <c r="M314" i="1"/>
  <c r="M248" i="1"/>
  <c r="M159" i="1"/>
  <c r="M1126" i="1"/>
  <c r="M1132" i="1"/>
  <c r="M1130" i="1"/>
  <c r="M934" i="1"/>
  <c r="M1005" i="1"/>
  <c r="M957" i="1"/>
  <c r="M875" i="1"/>
  <c r="M864" i="1"/>
  <c r="M761" i="1"/>
  <c r="M870" i="1"/>
  <c r="M693" i="1"/>
  <c r="M637" i="1"/>
  <c r="M529" i="1"/>
  <c r="M602" i="1"/>
  <c r="M536" i="1"/>
  <c r="M424" i="1"/>
  <c r="M528" i="1"/>
  <c r="M447" i="1"/>
  <c r="M400" i="1"/>
  <c r="M479" i="1"/>
  <c r="M425" i="1"/>
  <c r="M395" i="1"/>
  <c r="M230" i="1"/>
  <c r="M84" i="1"/>
  <c r="M489" i="1"/>
  <c r="M384" i="1"/>
  <c r="M382" i="1"/>
  <c r="M516" i="1"/>
  <c r="M316" i="1"/>
  <c r="M293" i="1"/>
  <c r="M104" i="1"/>
  <c r="M85" i="1"/>
  <c r="M326" i="1"/>
  <c r="M166" i="1"/>
  <c r="M364" i="1"/>
  <c r="M297" i="1"/>
  <c r="M124" i="1"/>
  <c r="M91" i="1"/>
  <c r="M47" i="1"/>
  <c r="M1151" i="1"/>
  <c r="M619" i="1"/>
  <c r="M524" i="1"/>
  <c r="M462" i="1"/>
  <c r="M671" i="1"/>
  <c r="M494" i="1"/>
  <c r="M312" i="1"/>
  <c r="M52" i="1"/>
  <c r="M111" i="1"/>
  <c r="M1176" i="1"/>
  <c r="M1173" i="1"/>
  <c r="M1131" i="1"/>
  <c r="M1086" i="1"/>
  <c r="M1077" i="1"/>
  <c r="M1181" i="1"/>
  <c r="M1149" i="1"/>
  <c r="M1047" i="1"/>
  <c r="M1029" i="1"/>
  <c r="M1016" i="1"/>
  <c r="M999" i="1"/>
  <c r="M972" i="1"/>
  <c r="M894" i="1"/>
  <c r="M991" i="1"/>
  <c r="M955" i="1"/>
  <c r="M898" i="1"/>
  <c r="M996" i="1"/>
  <c r="M984" i="1"/>
  <c r="M969" i="1"/>
  <c r="M954" i="1"/>
  <c r="M945" i="1"/>
  <c r="M936" i="1"/>
  <c r="M995" i="1"/>
  <c r="M979" i="1"/>
  <c r="M907" i="1"/>
  <c r="M851" i="1"/>
  <c r="M817" i="1"/>
  <c r="M891" i="1"/>
  <c r="M868" i="1"/>
  <c r="M840" i="1"/>
  <c r="M804" i="1"/>
  <c r="M723" i="1"/>
  <c r="M702" i="1"/>
  <c r="M718" i="1"/>
  <c r="M727" i="1"/>
  <c r="M672" i="1"/>
  <c r="M579" i="1"/>
  <c r="M665" i="1"/>
  <c r="M657" i="1"/>
  <c r="M590" i="1"/>
  <c r="M666" i="1"/>
  <c r="M643" i="1"/>
  <c r="M630" i="1"/>
  <c r="M595" i="1"/>
  <c r="M589" i="1"/>
  <c r="M678" i="1"/>
  <c r="M670" i="1"/>
  <c r="M593" i="1"/>
  <c r="M578" i="1"/>
  <c r="M562" i="1"/>
  <c r="M558" i="1"/>
  <c r="M550" i="1"/>
  <c r="M535" i="1"/>
  <c r="M469" i="1"/>
  <c r="M417" i="1"/>
  <c r="M354" i="1"/>
  <c r="M519" i="1"/>
  <c r="M495" i="1"/>
  <c r="M471" i="1"/>
  <c r="M530" i="1"/>
  <c r="M361" i="1"/>
  <c r="M522" i="1"/>
  <c r="M435" i="1"/>
  <c r="M231" i="1"/>
  <c r="M246" i="1"/>
  <c r="M217" i="1"/>
  <c r="M94" i="1"/>
  <c r="M62" i="1"/>
  <c r="M318" i="1"/>
  <c r="M280" i="1"/>
  <c r="M236" i="1"/>
  <c r="M181" i="1"/>
  <c r="M128" i="1"/>
  <c r="M78" i="1"/>
  <c r="M160" i="1"/>
  <c r="M1170" i="1"/>
  <c r="M1108" i="1"/>
  <c r="M978" i="1"/>
  <c r="M958" i="1"/>
  <c r="M948" i="1"/>
  <c r="M926" i="1"/>
  <c r="M912" i="1"/>
  <c r="M867" i="1"/>
  <c r="M806" i="1"/>
  <c r="M597" i="1"/>
  <c r="M470" i="1"/>
  <c r="M614" i="1"/>
  <c r="M555" i="1"/>
  <c r="M415" i="1"/>
  <c r="M513" i="1"/>
  <c r="M419" i="1"/>
  <c r="M393" i="1"/>
  <c r="M374" i="1"/>
  <c r="M511" i="1"/>
  <c r="M477" i="1"/>
  <c r="M105" i="1"/>
  <c r="M68" i="1"/>
  <c r="M414" i="1"/>
  <c r="M532" i="1"/>
  <c r="M370" i="1"/>
  <c r="M308" i="1"/>
  <c r="M360" i="1"/>
  <c r="M170" i="1"/>
  <c r="M56" i="1"/>
  <c r="M366" i="1"/>
  <c r="M305" i="1"/>
  <c r="M146" i="1"/>
  <c r="M122" i="1"/>
  <c r="M44" i="1"/>
  <c r="M9" i="1"/>
  <c r="M852" i="1"/>
  <c r="M735" i="1"/>
  <c r="M627" i="1"/>
  <c r="M456" i="1"/>
  <c r="M359" i="1"/>
  <c r="M515" i="1"/>
  <c r="M413" i="1"/>
  <c r="M390" i="1"/>
  <c r="M373" i="1"/>
  <c r="M336" i="1"/>
  <c r="M463" i="1"/>
  <c r="M423" i="1"/>
  <c r="M418" i="1"/>
  <c r="M409" i="1"/>
  <c r="M299" i="1"/>
  <c r="M268" i="1"/>
  <c r="M224" i="1"/>
  <c r="M98" i="1"/>
  <c r="M12" i="1"/>
  <c r="M306" i="1"/>
  <c r="M257" i="1"/>
  <c r="M220" i="1"/>
  <c r="M206" i="1"/>
  <c r="M167" i="1"/>
  <c r="M123" i="1"/>
  <c r="M95" i="1"/>
  <c r="M88" i="1"/>
  <c r="M41" i="1"/>
  <c r="M23" i="1"/>
  <c r="M16" i="1"/>
  <c r="M298" i="1"/>
  <c r="M264" i="1"/>
  <c r="M250" i="1"/>
  <c r="M225" i="1"/>
  <c r="M183" i="1"/>
  <c r="M171" i="1"/>
  <c r="M143" i="1"/>
  <c r="M127" i="1"/>
  <c r="M7" i="1"/>
  <c r="M315" i="1"/>
  <c r="M222" i="1"/>
  <c r="M87" i="1"/>
  <c r="M35" i="1"/>
  <c r="M1172" i="1"/>
  <c r="M1155" i="1"/>
  <c r="M1127" i="1"/>
  <c r="M1122" i="1"/>
  <c r="M1105" i="1"/>
  <c r="M1121" i="1"/>
  <c r="M1110" i="1"/>
  <c r="M1097" i="1"/>
  <c r="M1090" i="1"/>
  <c r="M1076" i="1"/>
  <c r="M1101" i="1"/>
  <c r="M1107" i="1"/>
  <c r="M1045" i="1"/>
  <c r="M1037" i="1"/>
  <c r="M1028" i="1"/>
  <c r="M1026" i="1"/>
  <c r="M1014" i="1"/>
  <c r="M1043" i="1"/>
  <c r="M1013" i="1"/>
  <c r="M1032" i="1"/>
  <c r="M951" i="1"/>
  <c r="M922" i="1"/>
  <c r="M919" i="1"/>
  <c r="M900" i="1"/>
  <c r="M932" i="1"/>
  <c r="M1000" i="1"/>
  <c r="M887" i="1"/>
  <c r="M843" i="1"/>
  <c r="M835" i="1"/>
  <c r="M812" i="1"/>
  <c r="M803" i="1"/>
  <c r="M786" i="1"/>
  <c r="M807" i="1"/>
  <c r="M790" i="1"/>
  <c r="M771" i="1"/>
  <c r="M766" i="1"/>
  <c r="M884" i="1"/>
  <c r="M856" i="1"/>
  <c r="M849" i="1"/>
  <c r="M879" i="1"/>
  <c r="M872" i="1"/>
  <c r="M853" i="1"/>
  <c r="M825" i="1"/>
  <c r="M793" i="1"/>
  <c r="M758" i="1"/>
  <c r="M746" i="1"/>
  <c r="M743" i="1"/>
  <c r="M736" i="1"/>
  <c r="M714" i="1"/>
  <c r="M708" i="1"/>
  <c r="M744" i="1"/>
  <c r="M728" i="1"/>
  <c r="M725" i="1"/>
  <c r="M710" i="1"/>
  <c r="M684" i="1"/>
  <c r="M656" i="1"/>
  <c r="M640" i="1"/>
  <c r="M598" i="1"/>
  <c r="M570" i="1"/>
  <c r="M662" i="1"/>
  <c r="M659" i="1"/>
  <c r="M591" i="1"/>
  <c r="M669" i="1"/>
  <c r="M664" i="1"/>
  <c r="M652" i="1"/>
  <c r="M641" i="1"/>
  <c r="M635" i="1"/>
  <c r="M624" i="1"/>
  <c r="M618" i="1"/>
  <c r="M605" i="1"/>
  <c r="M596" i="1"/>
  <c r="M574" i="1"/>
  <c r="M668" i="1"/>
  <c r="M628" i="1"/>
  <c r="M615" i="1"/>
  <c r="M607" i="1"/>
  <c r="M600" i="1"/>
  <c r="M553" i="1"/>
  <c r="M547" i="1"/>
  <c r="M534" i="1"/>
  <c r="M499" i="1"/>
  <c r="M488" i="1"/>
  <c r="M472" i="1"/>
  <c r="M458" i="1"/>
  <c r="M436" i="1"/>
  <c r="M411" i="1"/>
  <c r="M398" i="1"/>
  <c r="M350" i="1"/>
  <c r="M337" i="1"/>
  <c r="M564" i="1"/>
  <c r="M510" i="1"/>
  <c r="M446" i="1"/>
  <c r="M433" i="1"/>
  <c r="M402" i="1"/>
  <c r="M378" i="1"/>
  <c r="M363" i="1"/>
  <c r="M531" i="1"/>
  <c r="M514" i="1"/>
  <c r="M480" i="1"/>
  <c r="M450" i="1"/>
  <c r="M352" i="1"/>
  <c r="M343" i="1"/>
  <c r="M543" i="1"/>
  <c r="M527" i="1"/>
  <c r="M504" i="1"/>
  <c r="M500" i="1"/>
  <c r="M448" i="1"/>
  <c r="M437" i="1"/>
  <c r="M430" i="1"/>
  <c r="M404" i="1"/>
  <c r="M377" i="1"/>
  <c r="M296" i="1"/>
  <c r="M277" i="1"/>
  <c r="M260" i="1"/>
  <c r="M258" i="1"/>
  <c r="M223" i="1"/>
  <c r="M202" i="1"/>
  <c r="M194" i="1"/>
  <c r="M134" i="1"/>
  <c r="M114" i="1"/>
  <c r="M93" i="1"/>
  <c r="M33" i="1"/>
  <c r="M17" i="1"/>
  <c r="M10" i="1"/>
  <c r="M304" i="1"/>
  <c r="M218" i="1"/>
  <c r="M180" i="1"/>
  <c r="M64" i="1"/>
  <c r="M45" i="1"/>
  <c r="M36" i="1"/>
  <c r="M21" i="1"/>
  <c r="M14" i="1"/>
  <c r="M303" i="1"/>
  <c r="M263" i="1"/>
  <c r="M238" i="1"/>
  <c r="M221" i="1"/>
  <c r="M29" i="1"/>
  <c r="M20" i="1"/>
  <c r="M310" i="1"/>
  <c r="M269" i="1"/>
  <c r="M261" i="1"/>
  <c r="M239" i="1"/>
  <c r="M229" i="1"/>
  <c r="M213" i="1"/>
  <c r="M158" i="1"/>
  <c r="M1169" i="1"/>
  <c r="M1023" i="1"/>
  <c r="M1036" i="1"/>
  <c r="M847" i="1"/>
  <c r="M732" i="1"/>
  <c r="M705" i="1"/>
  <c r="M701" i="1"/>
  <c r="M644" i="1"/>
  <c r="M631" i="1"/>
  <c r="M609" i="1"/>
  <c r="M584" i="1"/>
  <c r="M575" i="1"/>
  <c r="M568" i="1"/>
  <c r="M365" i="1"/>
  <c r="M347" i="1"/>
  <c r="M520" i="1"/>
  <c r="M490" i="1"/>
  <c r="M386" i="1"/>
  <c r="M369" i="1"/>
  <c r="M485" i="1"/>
  <c r="M357" i="1"/>
  <c r="M454" i="1"/>
  <c r="M292" i="1"/>
  <c r="M67" i="1"/>
  <c r="M307" i="1"/>
  <c r="M207" i="1"/>
  <c r="M42" i="1"/>
  <c r="M31" i="1"/>
  <c r="M227" i="1"/>
  <c r="M301" i="1"/>
  <c r="M288" i="1"/>
  <c r="M273" i="1"/>
  <c r="M267" i="1"/>
  <c r="M254" i="1"/>
  <c r="M235" i="1"/>
  <c r="M228" i="1"/>
  <c r="M1135" i="1"/>
  <c r="M1145" i="1"/>
  <c r="M1116" i="1"/>
  <c r="M1091" i="1"/>
  <c r="M1150" i="1"/>
  <c r="M1115" i="1"/>
  <c r="M1103" i="1"/>
  <c r="M1095" i="1"/>
  <c r="M1085" i="1"/>
  <c r="M1073" i="1"/>
  <c r="M1049" i="1"/>
  <c r="M1033" i="1"/>
  <c r="M1027" i="1"/>
  <c r="M1020" i="1"/>
  <c r="M1006" i="1"/>
  <c r="M1009" i="1"/>
  <c r="M1031" i="1"/>
  <c r="M963" i="1"/>
  <c r="M942" i="1"/>
  <c r="M920" i="1"/>
  <c r="M906" i="1"/>
  <c r="M938" i="1"/>
  <c r="M902" i="1"/>
  <c r="M973" i="1"/>
  <c r="M915" i="1"/>
  <c r="M896" i="1"/>
  <c r="M880" i="1"/>
  <c r="M848" i="1"/>
  <c r="M839" i="1"/>
  <c r="M762" i="1"/>
  <c r="M858" i="1"/>
  <c r="M827" i="1"/>
  <c r="M816" i="1"/>
  <c r="M826" i="1"/>
  <c r="M794" i="1"/>
  <c r="M789" i="1"/>
  <c r="M883" i="1"/>
  <c r="M878" i="1"/>
  <c r="M859" i="1"/>
  <c r="M831" i="1"/>
  <c r="M782" i="1"/>
  <c r="M745" i="1"/>
  <c r="M731" i="1"/>
  <c r="M724" i="1"/>
  <c r="M717" i="1"/>
  <c r="M704" i="1"/>
  <c r="M752" i="1"/>
  <c r="M741" i="1"/>
  <c r="M696" i="1"/>
  <c r="M686" i="1"/>
  <c r="M674" i="1"/>
  <c r="M645" i="1"/>
  <c r="M580" i="1"/>
  <c r="M653" i="1"/>
  <c r="M638" i="1"/>
  <c r="M608" i="1"/>
  <c r="M582" i="1"/>
  <c r="M687" i="1"/>
  <c r="M679" i="1"/>
  <c r="M617" i="1"/>
  <c r="M611" i="1"/>
  <c r="M603" i="1"/>
  <c r="M573" i="1"/>
  <c r="M565" i="1"/>
  <c r="M554" i="1"/>
  <c r="M548" i="1"/>
  <c r="M503" i="1"/>
  <c r="M474" i="1"/>
  <c r="M467" i="1"/>
  <c r="M457" i="1"/>
  <c r="M399" i="1"/>
  <c r="M351" i="1"/>
  <c r="M349" i="1"/>
  <c r="M345" i="1"/>
  <c r="M335" i="1"/>
  <c r="M509" i="1"/>
  <c r="M473" i="1"/>
  <c r="M445" i="1"/>
  <c r="M439" i="1"/>
  <c r="M379" i="1"/>
  <c r="M362" i="1"/>
  <c r="M517" i="1"/>
  <c r="M508" i="1"/>
  <c r="M483" i="1"/>
  <c r="M449" i="1"/>
  <c r="M427" i="1"/>
  <c r="M394" i="1"/>
  <c r="M344" i="1"/>
  <c r="M324" i="1"/>
  <c r="M544" i="1"/>
  <c r="M539" i="1"/>
  <c r="M505" i="1"/>
  <c r="M501" i="1"/>
  <c r="M487" i="1"/>
  <c r="M438" i="1"/>
  <c r="M429" i="1"/>
  <c r="M405" i="1"/>
  <c r="M397" i="1"/>
  <c r="M376" i="1"/>
  <c r="M291" i="1"/>
  <c r="M219" i="1"/>
  <c r="M201" i="1"/>
  <c r="M168" i="1"/>
  <c r="M153" i="1"/>
  <c r="M125" i="1"/>
  <c r="M113" i="1"/>
  <c r="M22" i="1"/>
  <c r="M15" i="1"/>
  <c r="M3" i="1"/>
  <c r="M295" i="1"/>
  <c r="M265" i="1"/>
  <c r="M247" i="1"/>
  <c r="M240" i="1"/>
  <c r="M179" i="1"/>
  <c r="M176" i="1"/>
  <c r="M118" i="1"/>
  <c r="M107" i="1"/>
  <c r="M92" i="1"/>
  <c r="M70" i="1"/>
  <c r="M25" i="1"/>
  <c r="M5" i="1"/>
  <c r="M302" i="1"/>
  <c r="M278" i="1"/>
  <c r="M191" i="1"/>
  <c r="M131" i="1"/>
  <c r="M117" i="1"/>
  <c r="M79" i="1"/>
  <c r="M71" i="1"/>
  <c r="M60" i="1"/>
  <c r="M28" i="1"/>
  <c r="M311" i="1"/>
  <c r="M286" i="1"/>
  <c r="M233" i="1"/>
  <c r="M162" i="1"/>
  <c r="M103" i="1"/>
  <c r="M46" i="1"/>
  <c r="M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5" authorId="0" shapeId="0" xr:uid="{D8E103B6-1DEA-4765-8E7B-48560270DA75}">
      <text>
        <r>
          <rPr>
            <sz val="10"/>
            <color rgb="FF000000"/>
            <rFont val="Arial"/>
          </rPr>
          <t>+babra@digestafrica.com check duplicate
_Assigned to Unknown_
	-Kenneth Legesi</t>
        </r>
      </text>
    </comment>
    <comment ref="A40" authorId="0" shapeId="0" xr:uid="{4127A9DA-1D99-495D-BB23-31358E57B999}">
      <text>
        <r>
          <rPr>
            <sz val="10"/>
            <color rgb="FF000000"/>
            <rFont val="Arial"/>
          </rPr>
          <t>+babra@digestafrica.com check duplicate
_Assigned to Unknown_
	-Kenneth Legesi</t>
        </r>
      </text>
    </comment>
    <comment ref="A51" authorId="0" shapeId="0" xr:uid="{D12DD7B2-202D-4253-A1AF-280CD27C24B7}">
      <text>
        <r>
          <rPr>
            <sz val="10"/>
            <color rgb="FF000000"/>
            <rFont val="Arial"/>
          </rPr>
          <t>+babra@digestafrica.com check duplicate
_Assigned to Unknown_
	-Kenneth Legesi</t>
        </r>
      </text>
    </comment>
    <comment ref="A52" authorId="0" shapeId="0" xr:uid="{F91F60D2-E230-4791-8E22-97AEA694CDBD}">
      <text>
        <r>
          <rPr>
            <sz val="10"/>
            <color rgb="FF000000"/>
            <rFont val="Arial"/>
          </rPr>
          <t>+babra@digestafrica.com check duplicate
_Assigned to Unknown_
	-Kenneth Legesi</t>
        </r>
      </text>
    </comment>
    <comment ref="A56" authorId="0" shapeId="0" xr:uid="{67433115-A4D6-454D-9A90-85897596125D}">
      <text>
        <r>
          <rPr>
            <sz val="10"/>
            <color rgb="FF000000"/>
            <rFont val="Arial"/>
          </rPr>
          <t>+babra@digestafrica.com check duplicate
_Assigned to Unknown_
	-Kenneth Legesi</t>
        </r>
      </text>
    </comment>
    <comment ref="A63" authorId="0" shapeId="0" xr:uid="{61FFFC28-DADA-471C-99D8-2A5A962F1499}">
      <text>
        <r>
          <rPr>
            <sz val="10"/>
            <color rgb="FF000000"/>
            <rFont val="Arial"/>
          </rPr>
          <t>+babra@digestafrica.com check duplicate
_Assigned to Unknown_
	-Kenneth Legesi</t>
        </r>
      </text>
    </comment>
    <comment ref="A80" authorId="0" shapeId="0" xr:uid="{DB9DF96F-717C-4C88-991D-0AA69743DC52}">
      <text>
        <r>
          <rPr>
            <sz val="10"/>
            <color rgb="FF000000"/>
            <rFont val="Arial"/>
          </rPr>
          <t>+babra@digestafrica.com check duplicate
_Assigned to Unknown_
	-Kenneth Legesi</t>
        </r>
      </text>
    </comment>
    <comment ref="A701" authorId="0" shapeId="0" xr:uid="{D8458BBF-2D89-4250-A981-467FA0292AF1}">
      <text>
        <r>
          <rPr>
            <sz val="10"/>
            <color rgb="FF000000"/>
            <rFont val="Arial"/>
          </rPr>
          <t>+babra@digestafrica.com appear duplicates. Also please cross check total funding per Crunchbase, we are missing the earlier funding rounds:
https://www.crunchbase.com/organization/ampersand-2#section-funding-rounds
_Assigned to Unknown_
	-Kenneth Legesi
Yes, we wre missing out on three earlier deals, which i have added, plus there are no duplicates
	-Unknown</t>
        </r>
      </text>
    </comment>
  </commentList>
</comments>
</file>

<file path=xl/sharedStrings.xml><?xml version="1.0" encoding="utf-8"?>
<sst xmlns="http://schemas.openxmlformats.org/spreadsheetml/2006/main" count="5417" uniqueCount="2648">
  <si>
    <t>1_post_date</t>
  </si>
  <si>
    <t>2_post_title</t>
  </si>
  <si>
    <t>3_amount</t>
  </si>
  <si>
    <t>4_Stake</t>
  </si>
  <si>
    <t>5_funding_round</t>
  </si>
  <si>
    <t>6_investors</t>
  </si>
  <si>
    <t>7_source</t>
  </si>
  <si>
    <t>Country/Town</t>
  </si>
  <si>
    <t>Country(HQ)</t>
  </si>
  <si>
    <t>Category</t>
  </si>
  <si>
    <t>main_sector</t>
  </si>
  <si>
    <t>Check vs Companies</t>
  </si>
  <si>
    <t>Deals Information, Level of Completeness</t>
  </si>
  <si>
    <t>duplicated_conc</t>
  </si>
  <si>
    <t>Duplication</t>
  </si>
  <si>
    <t xml:space="preserve">Disclosed </t>
  </si>
  <si>
    <t>Founded</t>
  </si>
  <si>
    <t>Total  Disclosed Funding</t>
  </si>
  <si>
    <t>DA Classification_African Company (Yes = 0; No = 1)</t>
  </si>
  <si>
    <t>funding round, DA</t>
  </si>
  <si>
    <t>Industry, DA</t>
  </si>
  <si>
    <t>Year</t>
  </si>
  <si>
    <t>Month</t>
  </si>
  <si>
    <t>Quarter</t>
  </si>
  <si>
    <t>Half</t>
  </si>
  <si>
    <t>Number of Investors</t>
  </si>
  <si>
    <t>Investor 1</t>
  </si>
  <si>
    <t>Investor 2</t>
  </si>
  <si>
    <t>Investor 3</t>
  </si>
  <si>
    <t>Investor 4</t>
  </si>
  <si>
    <t>Investor 5</t>
  </si>
  <si>
    <t>Investor 6</t>
  </si>
  <si>
    <t>Investor 7</t>
  </si>
  <si>
    <t>Investor 8</t>
  </si>
  <si>
    <t>Investor 9</t>
  </si>
  <si>
    <t>Investor 10</t>
  </si>
  <si>
    <t>Investor 11</t>
  </si>
  <si>
    <t>Investor 12</t>
  </si>
  <si>
    <t>Investor 13</t>
  </si>
  <si>
    <t>Investor 14</t>
  </si>
  <si>
    <t>Investor 15</t>
  </si>
  <si>
    <t>Cummulative Deals (Disclosed)</t>
  </si>
  <si>
    <t>Cummulative Deals (Undisclosed)</t>
  </si>
  <si>
    <t>Cummulative Amount</t>
  </si>
  <si>
    <t>biNu</t>
  </si>
  <si>
    <t>Seed</t>
  </si>
  <si>
    <t>Artesian VC</t>
  </si>
  <si>
    <t>https://www.crunchbase.com/search/funding_rounds/field/organizations/num_funding_rounds/binu</t>
  </si>
  <si>
    <t>Angel</t>
  </si>
  <si>
    <t>Undisclosed</t>
  </si>
  <si>
    <t>AllLife</t>
  </si>
  <si>
    <t>Private Equity</t>
  </si>
  <si>
    <t>LeapFrog Investments</t>
  </si>
  <si>
    <t>http://www.prnewswire.co.uk/news-releases/leapfrog-invests-us6m-in-alllife-innovative-african-hiv-and-diabetes-insurer-155632325.html</t>
  </si>
  <si>
    <t>Bridge International Academies</t>
  </si>
  <si>
    <t>Grant</t>
  </si>
  <si>
    <t>Omidyar Network</t>
  </si>
  <si>
    <t>http://foundationcenter.org/pnd/news/story.jhtml?id=277200002</t>
  </si>
  <si>
    <t>Kopo Kopo</t>
  </si>
  <si>
    <t>First Light Ventures</t>
  </si>
  <si>
    <t>https://www.crunchbase.com/organization/kopo-kopo#section-funding-rounds</t>
  </si>
  <si>
    <t>Paga</t>
  </si>
  <si>
    <t>Tim Draper</t>
  </si>
  <si>
    <t>https://www.crunchbase.com/funding_round/paga-angel--42b98e44#section-investors</t>
  </si>
  <si>
    <t>Wuzzuf</t>
  </si>
  <si>
    <t>https://www.crunchbase.com/funding_round/wuzzuf-grant--43836ae1#section-overview</t>
  </si>
  <si>
    <t>African Leadership Academy</t>
  </si>
  <si>
    <t>https://www.crunchbase.com/funding_round/african-leadership-academy-grant--85c17ee3#section-lead-investors</t>
  </si>
  <si>
    <t>M-KOPA</t>
  </si>
  <si>
    <t>Series A</t>
  </si>
  <si>
    <t>https://www.crunchbase.com/funding_round/m-kopa-series-a--85447685</t>
  </si>
  <si>
    <t>Cellulant</t>
  </si>
  <si>
    <t>TBL Mirror Fund</t>
  </si>
  <si>
    <t>https://www.businessdailyafrica.com/markets/Kenya-leads-E-Africa-in-private-equity-funding--/539552-1360596-10rcf4t/index.html</t>
  </si>
  <si>
    <t>https://www.sec.gov/Archives/edgar/data/1533431/000153343111000001/xslFormDX01/primary_doc.xml</t>
  </si>
  <si>
    <t>iROKOtv</t>
  </si>
  <si>
    <t>Tiger Global Management</t>
  </si>
  <si>
    <t>https://www.crunchbase.com/funding_round/irokotv-series-a--f4245302</t>
  </si>
  <si>
    <t>Jumia Group</t>
  </si>
  <si>
    <t>Blakeney Management, Rocket Internet, Millicom Systems</t>
  </si>
  <si>
    <t>https://www.crunchbase.com/funding_round/jumia-group-series-a--34abf581#section-investors</t>
  </si>
  <si>
    <t>Konga</t>
  </si>
  <si>
    <t>Kinnevik AB</t>
  </si>
  <si>
    <t>https://www.crunchbase.com/organization/konga-online-shopping-limited#section-funding-rounds</t>
  </si>
  <si>
    <t>Series C</t>
  </si>
  <si>
    <t>Khosla Impact, Khosla Ventures, Learn Capital, MHS Capital, New Enterprise Associates</t>
  </si>
  <si>
    <t>elmenus</t>
  </si>
  <si>
    <t>https://www.crunchbase.com/funding_round/elmenus-angel--2e1606d0#section-overview</t>
  </si>
  <si>
    <t>Zoona</t>
  </si>
  <si>
    <t>Accion, Omidyar Network</t>
  </si>
  <si>
    <t>http://zoonaafrica.blogspot.com/2012/03/omidyar-network-and-accion-invest-us-32.html</t>
  </si>
  <si>
    <t>Debt Financing</t>
  </si>
  <si>
    <t>Mennonite Economic Development Associates</t>
  </si>
  <si>
    <t>Africa's Talking</t>
  </si>
  <si>
    <t>Better Ventures</t>
  </si>
  <si>
    <t>https://www.crunchbase.com/funding_round/africas-talking-seed--895e6a8a#section-overview</t>
  </si>
  <si>
    <t>Omidyar Network, Goodwell Investments, Capricorn Investment Group, Adlevo Capital, Acumen</t>
  </si>
  <si>
    <t>https://www.crunchbase.com/funding_round/paga-series-a--283029d0#section-investors</t>
  </si>
  <si>
    <t>TomorrowVentures</t>
  </si>
  <si>
    <t>http://pando.com/2012/08/15/binu-raises-2m-gives-3g-speeds-to-2g-feature-phones/</t>
  </si>
  <si>
    <t>Zando</t>
  </si>
  <si>
    <t>J.P. Morgan Asset Management</t>
  </si>
  <si>
    <t>http://www.finsmes.com/2012/09/zando-receives-investment-j-p-morgan-asset-management.html</t>
  </si>
  <si>
    <t>Bkam</t>
  </si>
  <si>
    <t>Osman Ahmed Osman</t>
  </si>
  <si>
    <t>https://www.crunchbase.com/funding_round/bkam-angel--1d1d59eb#section-overview</t>
  </si>
  <si>
    <t>Nomanini</t>
  </si>
  <si>
    <t>eVentues Africa Fund</t>
  </si>
  <si>
    <t>https://www.crunchbase.com/organization/nomanini#section-funding-rounds</t>
  </si>
  <si>
    <t>Taskty</t>
  </si>
  <si>
    <t>Flat6Labs</t>
  </si>
  <si>
    <t>https://magnitt.com/startups/taskty</t>
  </si>
  <si>
    <t>Series B</t>
  </si>
  <si>
    <t>Summit Partners</t>
  </si>
  <si>
    <t>http://www.finsmes.com/2012/11/zando-co-za-receives-e20m-equity-investment-summit-partners.html</t>
  </si>
  <si>
    <t>Series A II</t>
  </si>
  <si>
    <t>500 Startups, PanAfrican Investment Company, Square Peg Capital, Savannah Fund</t>
  </si>
  <si>
    <t>http://pando.com/2012/11/21/extra-bandwidth-binu-closes-4-3-million-series-a/</t>
  </si>
  <si>
    <t>https://www.crunchbase.com/funding_round/m-kopa-series-b--abeb026b</t>
  </si>
  <si>
    <t>Copia Global</t>
  </si>
  <si>
    <t>Savannah Fund, Opes Impact Fund, Data Collective DCVC</t>
  </si>
  <si>
    <t>https://www.crunchbase.com/funding_round/copia-global-seed--fa96a36a#section-investors</t>
  </si>
  <si>
    <t>Jabbar Internet Group</t>
  </si>
  <si>
    <t>https://www.crunchbase.com/funding_round/bkam-series-a--b3585f92#section-overview</t>
  </si>
  <si>
    <t>Millicom Systems, Rocket Internet, MTN Group</t>
  </si>
  <si>
    <t>https://www.crunchbase.com/funding_round/jumia-group-series-b--5e1b9770#section-investors</t>
  </si>
  <si>
    <t>Naspers Ventures, Kinnevik AB</t>
  </si>
  <si>
    <t>PropertyPro Nigeria</t>
  </si>
  <si>
    <t>Spark</t>
  </si>
  <si>
    <t>https://www.crunchbase.com/funding_round/tolet-seed--926e1b50</t>
  </si>
  <si>
    <t>Eneza Education</t>
  </si>
  <si>
    <t>Savannah Fund</t>
  </si>
  <si>
    <t>https://www.crunchbase.com/funding_round/eneza-education-seed--bc2b2f74</t>
  </si>
  <si>
    <t>One Africa Media</t>
  </si>
  <si>
    <t>Seek</t>
  </si>
  <si>
    <t>https://www.crunchbase.com/funding_round/one-africa-media-series-a--6cf4cada#section-recent-news</t>
  </si>
  <si>
    <t>Wealth Migrate</t>
  </si>
  <si>
    <t>https://www.crunchbase.com/search/funding_rounds/field/organizations/num_funding_rounds/wealth-migrate</t>
  </si>
  <si>
    <t>Afrimarket</t>
  </si>
  <si>
    <t>Kima Ventures</t>
  </si>
  <si>
    <t>Edfa3ly</t>
  </si>
  <si>
    <t>Tamkeen capital</t>
  </si>
  <si>
    <t>https://www.wamda.com/2013/078/edfa3ly-plans-regional-expansion-following-series-a-investment-from-tamkeen-capital?ref=fb</t>
  </si>
  <si>
    <t>Elwafeyat</t>
  </si>
  <si>
    <t>https://www.flat6labs.com/press/flat6labs-6th-demo-day-flat6labs-expands-its-portfolio-into-thirty-six-companies/</t>
  </si>
  <si>
    <t>Eventtus</t>
  </si>
  <si>
    <t>Vodafone Ventures, Cairo Angels</t>
  </si>
  <si>
    <t>https://magnitt.com/startups/eventtus</t>
  </si>
  <si>
    <t>Javelin Venture Partners,  Accion Venture Lab, Khosla Impact</t>
  </si>
  <si>
    <t>https://www.sec.gov/Archives/edgar/data/1533431/000153343113000001/xslFormDX01/primary_doc.xml</t>
  </si>
  <si>
    <t>Endure capital, 500 startups</t>
  </si>
  <si>
    <t>https://www.crunchbase.com/funding_round/wuzzuf-seed--e0a4f54a#section-investors</t>
  </si>
  <si>
    <t>Paykind Inc</t>
  </si>
  <si>
    <t>http://disrupt-africa.com/2015/09/kenyan-startup-paykind-to-launch-e-voucher-system/</t>
  </si>
  <si>
    <t>Instabug</t>
  </si>
  <si>
    <t>Flat6Labs, Middle East Venture Partners (MEVP), Georges Harik, Cairo Angels, Amr Awadallah, Ihab Hinnawi</t>
  </si>
  <si>
    <t>https://www.crunchbase.com/funding_round/instabug-seed--5679c9a4</t>
  </si>
  <si>
    <t>Tugende</t>
  </si>
  <si>
    <t>https://www.crunchbase.com/funding_round/tugende-angel--00bc723c</t>
  </si>
  <si>
    <t>Jobartis</t>
  </si>
  <si>
    <t>https://www.crunchbase.com/funding_round/jobartis-seed--68608c0f</t>
  </si>
  <si>
    <t>Series D</t>
  </si>
  <si>
    <t>Tiger Global Management, Kinnevik AB, Rise Capital</t>
  </si>
  <si>
    <t>https://www.crunchbase.com/funding_round/irokotv-series-d--c934fac9</t>
  </si>
  <si>
    <t>Africa Courier Express</t>
  </si>
  <si>
    <t>https://www.crunchbase.com/funding_round/ace-2-seed--e2e17f1c</t>
  </si>
  <si>
    <t>Jumo</t>
  </si>
  <si>
    <t>Anthemis Group</t>
  </si>
  <si>
    <t>https://www.crunchbase.com/funding_round/jumo-2-series-unknown--d30585d6#section-investors</t>
  </si>
  <si>
    <t>Series C II</t>
  </si>
  <si>
    <t>CDC Group, International Finance Corporation, Rethink Education</t>
  </si>
  <si>
    <t>http://www.ifc.org/wps/wcm/connect/industry_ext_content/ifc_external_corporate_site/industries/health+and+education/news/bridgeschools_feature</t>
  </si>
  <si>
    <t>Ampersand Electric Motorcycles</t>
  </si>
  <si>
    <t>Startupbootcamp Smart Transportation &amp; Energy Berlin, Startupbootcamp</t>
  </si>
  <si>
    <t>https://www.crunchbase.com/funding_round/ampersand-2-seed--bf5353e7</t>
  </si>
  <si>
    <t>Commercial Bank of Africa</t>
  </si>
  <si>
    <t>https://www.crunchbase.com/funding_round/m-kopa-debt-financing--2b61f86a</t>
  </si>
  <si>
    <t>https://www.crunchbase.com/funding_round/m-kopa-series-c--1053a21c</t>
  </si>
  <si>
    <t>10X Investments</t>
  </si>
  <si>
    <t>Old Mutual Private Equity</t>
  </si>
  <si>
    <t>https://www.cover.co.za/old-mutual-private-equity-acquires-stake-in-10x-investments/</t>
  </si>
  <si>
    <t>Velocity Capital Private Equity</t>
  </si>
  <si>
    <t>https://www.crunchbase.com/funding_round/cellulant-series-b--f09e809a#section-investors</t>
  </si>
  <si>
    <t>d.light</t>
  </si>
  <si>
    <t>DFJ, Omidyar Network, Nexus Venture Partners, Garage Technology Ventures, Acumen, Gray Ghost Ventures</t>
  </si>
  <si>
    <t>https://www.crunchbase.com/funding_round/d-light-design-series-c--8a44a7c1</t>
  </si>
  <si>
    <t xml:space="preserve">Zola Electric </t>
  </si>
  <si>
    <t>SolarCity, Omidyar Network, Vulcan Capital</t>
  </si>
  <si>
    <t>https://www.crunchbase.com/funding_round/off-grid-electric-series-a--c0b540e9#section-investors</t>
  </si>
  <si>
    <t>OneFi</t>
  </si>
  <si>
    <t>https://www.crunchbase.com/funding_round/one-finance-and-investments-limited-seed--2167afc0#section-overview</t>
  </si>
  <si>
    <t>Nawah Scientific</t>
  </si>
  <si>
    <t>https://www.crunchbase.com/funding_round/nawah-seed--1e5f2ad1</t>
  </si>
  <si>
    <t>Mines</t>
  </si>
  <si>
    <t>XSeed Capital</t>
  </si>
  <si>
    <t>https://www.crunchbase.com/funding_round/mines-io-seed--e2567cf0#section-lead-investors</t>
  </si>
  <si>
    <t>Umati Capital</t>
  </si>
  <si>
    <t>Accion Venture Lab</t>
  </si>
  <si>
    <t>https://www.crunchbase.com/funding_round/umati-capital-seed--f02aa2f1</t>
  </si>
  <si>
    <t>SPARK Schools</t>
  </si>
  <si>
    <t>Pearson Ventures</t>
  </si>
  <si>
    <t>https://www.edsurge.com/news/2014-05-20-pearson-invests-in-blended-learning-in-south-africa-india</t>
  </si>
  <si>
    <t>Takealot</t>
  </si>
  <si>
    <t>https://techcrunch.com/2014/05/23/south-african-e-commerce-giant-takealot-raises-100m-from-tiger-global/</t>
  </si>
  <si>
    <t>BitPesa</t>
  </si>
  <si>
    <t>Future Perfect Ventures, Firestartr, Digital Currency Group</t>
  </si>
  <si>
    <t>https://www.crunchbase.com/funding_round/bitpesa-seed--ec918dc0#section-investors</t>
  </si>
  <si>
    <t>Dopay</t>
  </si>
  <si>
    <t>Barclays Accelerator</t>
  </si>
  <si>
    <t>http://www.techstars.com/content/blog/announcing-11-new-companies-for-barclays-accelerator-powered-by-techstars/</t>
  </si>
  <si>
    <t>Kiro'o Games</t>
  </si>
  <si>
    <t>https://www.crunchbase.com/funding_round/kiroo-games-seed--572e0a15</t>
  </si>
  <si>
    <t>Yoco</t>
  </si>
  <si>
    <t>CRE Venture Capital</t>
  </si>
  <si>
    <t>https://www.crunchbase.com/funding_round/yoco-seed--9fe81824#section-overview</t>
  </si>
  <si>
    <t>BRCK</t>
  </si>
  <si>
    <t>Urban Us, Synergy Growth, Omvestments, Invested Development, Gary Scheft, Cheryl Heller</t>
  </si>
  <si>
    <t>https://www.crunchbase.com/funding_round/brck-inc-seed--a2dbb7fe#section-overview</t>
  </si>
  <si>
    <t>Industrial Development Corporation</t>
  </si>
  <si>
    <t>Andela</t>
  </si>
  <si>
    <t>Susa Ventures, Steve Case, SparkLabs Global Ventures, Rothenberg Ventures, Peak Ventures, Omidyar Network, Melo7 Tech Partners, Learn Capital, HIGHLINEvc, GSV AcceleraTE, Founder Collective, Chris Hughes, CRE Venture Capital, Arena Ventures</t>
  </si>
  <si>
    <t>https://www.crunchbase.com/funding_round/andela-seed--8705b3fb/investors/investors_list#section-investors</t>
  </si>
  <si>
    <t>Vezeeta</t>
  </si>
  <si>
    <t>Silicon Badia</t>
  </si>
  <si>
    <t>Yumamia</t>
  </si>
  <si>
    <t>https://www.crunchbase.com/funding_round/yumamia-angel--3254c052</t>
  </si>
  <si>
    <t>500 Startups</t>
  </si>
  <si>
    <t>https://500.co/500-startups-announces-batch-11-in-mountain-view/</t>
  </si>
  <si>
    <t>Summit Partners, Rocket Internet, Orange, Millicom Systems, MTN Group, Goldman Sachs, CDC Group, AXA Group</t>
  </si>
  <si>
    <t>https://techcrunch.com/2014/11/26/rocket-internet-backed-jumia-raises-150m-for-its-african-e-commerce-business/</t>
  </si>
  <si>
    <t>Zouk Capital, Vulcan Capital, SolarCity, IFC Venture Capital Group</t>
  </si>
  <si>
    <t>https://techcrunch.com/2014/12/08/the-electrical-revolution/</t>
  </si>
  <si>
    <t>Cairo Angels</t>
  </si>
  <si>
    <t>OkHi</t>
  </si>
  <si>
    <t>Pre-Seed</t>
  </si>
  <si>
    <t>https://techcabal.com/2015/12/17/kenyan-address-creation-startup-okhi-raises-750k-funding-in-seed-round/</t>
  </si>
  <si>
    <t>DOB Equity</t>
  </si>
  <si>
    <t>https://www.crunchbase.com/funding_round/copia-global-undisclosed--fc2e1615#section-investors</t>
  </si>
  <si>
    <t>Fastvan</t>
  </si>
  <si>
    <t>Daud Nur</t>
  </si>
  <si>
    <t>https://www.crunchbase.com/funding_round/fastvan-2-seed--cdc49c82</t>
  </si>
  <si>
    <t>Shelter Afrique</t>
  </si>
  <si>
    <t>KFW</t>
  </si>
  <si>
    <t>https://www.crunchbase.com/funding_round/shelter-afrique-debt-financing--a0eba823</t>
  </si>
  <si>
    <t>CanGo</t>
  </si>
  <si>
    <t>SOSV, Carma Axlr8r</t>
  </si>
  <si>
    <t>https://www.crunchbase.com/funding_round/safemotos-seed--37accbb3#section-overview</t>
  </si>
  <si>
    <t>Jibu</t>
  </si>
  <si>
    <t xml:space="preserve">Undisclosed </t>
  </si>
  <si>
    <t>https://www.sec.gov/Archives/edgar/data/1617301/000161730115000001/xslFormDX01/primary_doc.xml</t>
  </si>
  <si>
    <t>Ellior Group, Orange</t>
  </si>
  <si>
    <t>https://www.telecompaper.com/news/orange-invests-eur-1-million-in-afrimarket--1062059</t>
  </si>
  <si>
    <t>https://www.crunchbase.com/funding_round/tugende-seed--c5893f48</t>
  </si>
  <si>
    <t>LocalGlobe, Blue Haven Initiative, LGT Venture Philanthropy, Lundin Foundation</t>
  </si>
  <si>
    <t>https://www.crunchbase.com/funding_round/m-kopa-series-d--1ab7d8b9</t>
  </si>
  <si>
    <t>Stephens Investment Management, Pantera Capital, Future Perfect Ventures, Digital Currency Group, Colle Capital Partners, Blockchain Capital</t>
  </si>
  <si>
    <t>https://www.crunchbase.com/funding_round/bitpesa-seed--23b576a1#section-investors</t>
  </si>
  <si>
    <t>Savannah Fund, Interswitch, CRE Venture Capital</t>
  </si>
  <si>
    <t>https://techcabal.com/2015/02/16/african-courier-express-raises-850000-funding-interswitch/</t>
  </si>
  <si>
    <t>DealDey Limited</t>
  </si>
  <si>
    <t>Rocket Internet, Kinnevik AB</t>
  </si>
  <si>
    <t>https://www.crunchbase.com/funding_round/dealdey-limited-series-b--102f045f</t>
  </si>
  <si>
    <t>M4JAM</t>
  </si>
  <si>
    <t>Tencent Holdings, Naspers</t>
  </si>
  <si>
    <t>https://www.crunchbase.com/organization/m4jam#section-overview</t>
  </si>
  <si>
    <t>Asoko Insight</t>
  </si>
  <si>
    <t>Lateral Capital</t>
  </si>
  <si>
    <t>https://www.crunchbase.com/funding_round/asoko-insight-seed--fb8a7820#section-investors</t>
  </si>
  <si>
    <t xml:space="preserve">Chan Zuckerberg Initiative, Omidyar Network, The Pershing Square Foundation, World Bank
</t>
  </si>
  <si>
    <t>http://techmoran.com/facebooks-mr-zuckerberg-invests-10-million-bridge-international-academies/</t>
  </si>
  <si>
    <t>Naspers Ventures</t>
  </si>
  <si>
    <t>Pre-Series B</t>
  </si>
  <si>
    <t>https://techmoran.com/2015/04/29/one-africa-media-raises-10m-from-seek-acquires-100-of-nigerias-jobberman/</t>
  </si>
  <si>
    <t>ACE &amp; Company</t>
  </si>
  <si>
    <t>http://techcrunch.com/2015/04/30/dopay-seed/?ncid=rss</t>
  </si>
  <si>
    <t>GoMyWay</t>
  </si>
  <si>
    <t>Co-Creation Hub Nigeria</t>
  </si>
  <si>
    <t>https://www.crunchbase.com/funding_round/gomyway-seed--b200f947</t>
  </si>
  <si>
    <t>Sweepsouth</t>
  </si>
  <si>
    <t>Vinny Lingham, Newtown Partners, Africa Angels Network (AAN), Identity Development Fund (IDF)</t>
  </si>
  <si>
    <t>https://techcabal.com/2015/05/06/sweepsouth-has-closed-a-funding-round-to-scale-up-its-service-in-south-africa/</t>
  </si>
  <si>
    <t>https://www.crunchbase.com/funding_round/kiroo-games-seed--01610b8f</t>
  </si>
  <si>
    <t>SureGroup</t>
  </si>
  <si>
    <t>GreenHouse Capital, CRE Venture Capital</t>
  </si>
  <si>
    <t>https://www.crunchbase.com/organization/suregifts#section-funding-rounds</t>
  </si>
  <si>
    <t>https://www.crunchbase.com/funding_round/yumamia-seed--d3609de1</t>
  </si>
  <si>
    <t>Sendy</t>
  </si>
  <si>
    <t>Convertible Note</t>
  </si>
  <si>
    <t>Yago Arbeloa</t>
  </si>
  <si>
    <t>https://www.crunchbase.com/funding_round/sendy-convertible-note--efa28181#section-investors</t>
  </si>
  <si>
    <t>Net1 UEPS Technologies</t>
  </si>
  <si>
    <t>https://www.crunchbase.com/funding_round/one-finance-and-investments-limited-debt-financing--6e8d7678#section-overview</t>
  </si>
  <si>
    <t>Ovamba Solutions</t>
  </si>
  <si>
    <t>Spark Capital, GV, International Finance Corporation, Susa Ventures, PlayFair Capital, GSV Acceleration, Arena Ventures, CRE Venture Capital, Golden Palm Investments, Future Perfect Ventures</t>
  </si>
  <si>
    <t>https://techcrunch.com/2015/06/25/backed-by-spark-capital-andela-will-develop-a-continent-of-tech-talent/</t>
  </si>
  <si>
    <t>MoneyFellows</t>
  </si>
  <si>
    <t>Startupbootcamp FinTech</t>
  </si>
  <si>
    <t>https://www.startupbootcamp.org/blog/2015/07/startupbootcamp-announces-2015-cohort-of-rising-stars-in-london-fintech/</t>
  </si>
  <si>
    <t>Fintec Labs</t>
  </si>
  <si>
    <t>Daniel van Tonder, Willem van Zyl</t>
  </si>
  <si>
    <t>https://www.crunchbase.com/funding_round/fintec-labs-pre-seed--616fb0cc</t>
  </si>
  <si>
    <t>Oolu</t>
  </si>
  <si>
    <t>Y Combinator, Investo</t>
  </si>
  <si>
    <t>https://www.crunchbase.com/funding_round/oolu-seed--1c10980f</t>
  </si>
  <si>
    <t>Afrostream</t>
  </si>
  <si>
    <t>Y Combinator</t>
  </si>
  <si>
    <t>https://www.crunchbase.com/funding_round/afrostream-seed--694f38c2</t>
  </si>
  <si>
    <t>Vostok New Ventures, Piton Capital, Endure Capital, 500 Startups</t>
  </si>
  <si>
    <t>https://techcrunch.com/2015/08/26/wuzzuf-secures-egypts-largest-funding-round-led-by-european-vcs/</t>
  </si>
  <si>
    <t>Max.ng</t>
  </si>
  <si>
    <t>Techstars New York City Accelerator, Techstars</t>
  </si>
  <si>
    <t>https://www.crunchbase.com/funding_round/max-2-seed--054b468d#section-overview</t>
  </si>
  <si>
    <t>WhereIsMyTransport</t>
  </si>
  <si>
    <t>Infotech Ventures</t>
  </si>
  <si>
    <t>https://africacapitaldigest.com/whereismytransport-raises-900000-in-oversubscribed-seed-round/</t>
  </si>
  <si>
    <t>TalentBase</t>
  </si>
  <si>
    <t>Venture Garden Group</t>
  </si>
  <si>
    <t>https://static1.squarespace.com/static/5840136215d5dbe2c9527e04/t/59d60f4849fc2b1e317db16d/1507200873271/talentbase.pdf</t>
  </si>
  <si>
    <t>AJUA</t>
  </si>
  <si>
    <t>Cross Culture Ventures</t>
  </si>
  <si>
    <t>https://www.crunchbase.com/funding_round/msurvey-seed--29468c79#section-investors</t>
  </si>
  <si>
    <t>Right Side Capital Management, Amadeo Brenninkmeijer</t>
  </si>
  <si>
    <t>https://www.crunchbase.com/funding_round/max-2-convertible-note--ae559f82#section-investors</t>
  </si>
  <si>
    <t xml:space="preserve">Angel </t>
  </si>
  <si>
    <t>CRE Venture Capital, Greg Kidd, Robby Hilkowitz</t>
  </si>
  <si>
    <t>https://www.crunchbase.com/funding_round/yoco-angel--97a14f3b</t>
  </si>
  <si>
    <t>Omidyar Network, Goodwell Investments, Capricorn Investment Group, Adlevo Capital</t>
  </si>
  <si>
    <t>https://www.forbes.com/sites/mfonobongnsehe/2015/10/07/nigerian-money-transfer-firm-paga-raises-13-million/</t>
  </si>
  <si>
    <t>Venture Round</t>
  </si>
  <si>
    <t>ACE &amp; Company, The Family, Cross Culture Ventures, Orange Digital Ventures</t>
  </si>
  <si>
    <t>https://www.crunchbase.com/funding_round/afrostream-series-unknown--2bdcb05a</t>
  </si>
  <si>
    <t>Accion Venture Lab, Bamboo Finance, Javelin Venture Partners</t>
  </si>
  <si>
    <t>DBL Investors, Western Technology Investment, Vulcan Capital, Serious Change, Omidyar Network, Energy Access Ventures, Aster</t>
  </si>
  <si>
    <t>http://www.greentechmedia.com/articles/read/Off-Grid-Electric-Raises-25M-From-DBL-Partners-and-SolarCity-for-Micro-Sol</t>
  </si>
  <si>
    <t>Blue Haven Initiative, Lundin Foundation</t>
  </si>
  <si>
    <t>https://www.crunchbase.com/organization/umati-capital#section-funding-rounds</t>
  </si>
  <si>
    <t>M-Tiba</t>
  </si>
  <si>
    <t>Pfizer Foundation</t>
  </si>
  <si>
    <t>https://www.balancingact-africa.com/news/telecoms_en/35104/pfizer-foundation-injects-us15-million-into-kenyas-first-mobile-health-wallet-platform</t>
  </si>
  <si>
    <t>Sendy Ltd</t>
  </si>
  <si>
    <t>North Base Media, Lateral Capital, J.E. Berman Associates, CRE Venture Capital</t>
  </si>
  <si>
    <t>https://www.crunchbase.com/funding_round/asoko-insight-seed--5608c388#section-investors</t>
  </si>
  <si>
    <t>Travelbeta</t>
  </si>
  <si>
    <t>https://techpoint.africa/2015/11/18/travelbeta-rairian-investors/</t>
  </si>
  <si>
    <t>Q4 Investments (Pty) Ltd</t>
  </si>
  <si>
    <t>https://www.crunchbase.com/funding_round/fintec-labs-seed--d17b53df</t>
  </si>
  <si>
    <t>Farmerline</t>
  </si>
  <si>
    <t>Pitch@Palace</t>
  </si>
  <si>
    <t>https://www.crunchbase.com/funding_round/farmerline-non-equity-assistance--9ccc1505#section-investors</t>
  </si>
  <si>
    <t>Revolution, Virgin Group, Generation Investment Management, Jean Case</t>
  </si>
  <si>
    <t>https://www.crunchbase.com/funding_round/m-kopa-series-unknown--ee7d8065</t>
  </si>
  <si>
    <t>Powerhive</t>
  </si>
  <si>
    <t>Enel Green Power</t>
  </si>
  <si>
    <t>https://www.crunchbase.com/funding_round/powerhive-series-unknown--d3e80f75#section-lead-investors</t>
  </si>
  <si>
    <t>Payme</t>
  </si>
  <si>
    <t xml:space="preserve"> AUC Venture Lab</t>
  </si>
  <si>
    <t>http://disrupt-africa.com/2015/12/cairos-auc-venture-lab-graduates-12-incubated-startups/</t>
  </si>
  <si>
    <t>Eventerprise</t>
  </si>
  <si>
    <t>http://disrupt-africa.com/2015/12/sas-eventerprise-raises-400k-plans-expansion-to-uae-europe/</t>
  </si>
  <si>
    <t>Garage Technology Ventures, Patrick Pichette, Garage Capital</t>
  </si>
  <si>
    <t>http://disrupt-africa.com/2015/12/kenyan-addressing-startup-okhi-raises-750k-funding/</t>
  </si>
  <si>
    <t>Off Grid Electric</t>
  </si>
  <si>
    <t>United States Agency for International Development (USAID)</t>
  </si>
  <si>
    <t>http://disrupt-africa.com/2015/12/usaid-grants-tanzanian-solar-startup-off-grid-electric-5m/</t>
  </si>
  <si>
    <t>Ousta</t>
  </si>
  <si>
    <t>Omar Salah, Nader El-Batrawi</t>
  </si>
  <si>
    <t>https://www.crunchbase.com/funding_round/ousta-seed--3002243e</t>
  </si>
  <si>
    <t>Werpx</t>
  </si>
  <si>
    <t>Yakout Sallam, Mahmoud Barakat</t>
  </si>
  <si>
    <t>https://www.crunchbase.com/funding_round/werpx-seed--f0fd6a3c</t>
  </si>
  <si>
    <t xml:space="preserve">Jean and Steve Case, Jim Sorenson, TED, MKS Alternative Investments, Synergy Energy </t>
  </si>
  <si>
    <t>http://disrupt-africa.com/2016/01/kenyas-brck-raises-3m-to-expand-operations/</t>
  </si>
  <si>
    <t>PayGo Energy</t>
  </si>
  <si>
    <t>D-Prize</t>
  </si>
  <si>
    <t>https://www.crunchbase.com/funding_round/paygo-energy-grant--89575d5f#section-overview</t>
  </si>
  <si>
    <t>XSeed Capital, Nyca Partners, GreenHouse Capital, First Ally Capital, FinTech Collective</t>
  </si>
  <si>
    <t>https://www.crunchbase.com/funding_round/mines-io-seed--95c5e125#section-overview</t>
  </si>
  <si>
    <t>OMG Digital</t>
  </si>
  <si>
    <t>https://www.crunchbase.com/funding_round/omg-digital-convertible-note--ea0b9400</t>
  </si>
  <si>
    <t>SweepSouth</t>
  </si>
  <si>
    <t>Vumela Fund,  Vinny Lingham, Llew Claasen’s Newtown Partners</t>
  </si>
  <si>
    <t>http://disrupt-africa.com/2016/01/sa-on-demand-home-cleaning-startup-sweepsouth-raises-600k/</t>
  </si>
  <si>
    <t>Caterpillar Ventures, Prelude Ventures, Total Energy Ventures, Tao Capital Partners, Pi Investments</t>
  </si>
  <si>
    <t>http://disrupt-africa.com/2016/01/kenyan-microgrid-provider-powerhive-raises-20m-funding-round/</t>
  </si>
  <si>
    <t>Series E</t>
  </si>
  <si>
    <t>Kinnevik AB, Canal+</t>
  </si>
  <si>
    <t>http://disrupt-africa.com/2016/01/iroko-closes-19m-content-capital-deals/</t>
  </si>
  <si>
    <t>mPharma</t>
  </si>
  <si>
    <t xml:space="preserve">Golden Palm Investments Holding Co., Olive Tree Ventures, Social Capital </t>
  </si>
  <si>
    <t>https://www.sec.gov/Archives/edgar/data/1664913/000121390016010426/xslFormDX01/primary_doc.xml</t>
  </si>
  <si>
    <t>Seed II</t>
  </si>
  <si>
    <t>Force Over Mass Capital, Techstars Ventures</t>
  </si>
  <si>
    <t>http://www.wamda.com/2016/01/egypt-focused-fintech-startup-dopay-raising</t>
  </si>
  <si>
    <t>TravelStart</t>
  </si>
  <si>
    <t>Amadeus Capital Partners, MTN Group</t>
  </si>
  <si>
    <t>http://ventureburn.com/2016/02/travel-booking-site-travelstart-lands-40m-asserts-investor-confidence/</t>
  </si>
  <si>
    <t>Hepstar</t>
  </si>
  <si>
    <t>Amadeus Capital Partners</t>
  </si>
  <si>
    <t>http://disrupt-africa.com/2016/02/cape-town-insurance-startup-hepstar-bags-2m-funding/</t>
  </si>
  <si>
    <t>Twiga Foods</t>
  </si>
  <si>
    <t>1776 Ventures</t>
  </si>
  <si>
    <t>https://www.crunchbase.com/funding_round/twiga-foods-convertible-note--39ff8edf#section-investors</t>
  </si>
  <si>
    <t>BitFury Capital</t>
  </si>
  <si>
    <t>https://www.crunchbase.com/funding_round/bitpesa-series-unknown--be18f1fa#section-lead-investors</t>
  </si>
  <si>
    <t>Middle East venture Partners, vodafone Ventures, Raed VC</t>
  </si>
  <si>
    <t>Rocket Internet, MTN Group, Orange, Goldman Sachs, CDC Group, AXA Group</t>
  </si>
  <si>
    <t>https://techcrunch.com/2016/03/03/rocket-internets-africa-internet-group-raises-326m-from-goldman-sachs-and-others/</t>
  </si>
  <si>
    <t>Giraffe</t>
  </si>
  <si>
    <t>Seedstars</t>
  </si>
  <si>
    <t>http://disrupt-africa.com/2016/03/sas-giraffe-wins-500k-investment-at-seedstars-world/</t>
  </si>
  <si>
    <t>Ma3Route</t>
  </si>
  <si>
    <t>EchoVC Partners</t>
  </si>
  <si>
    <t>http://disrupt-africa.com/2016/03/kenyas-ma3route-raises-25k-pre-seed-round/</t>
  </si>
  <si>
    <t>Village Capital</t>
  </si>
  <si>
    <t>https://www.crunchbase.com/funding_round/paygo-energy-convertible-note--336a511d</t>
  </si>
  <si>
    <t>S&amp;T Media</t>
  </si>
  <si>
    <t>http://disrupt-africa.com/2016/03/nigerias-st-media-raises-1m-for-petrol-pump-digital-advertising/</t>
  </si>
  <si>
    <t>Mvelani</t>
  </si>
  <si>
    <t>http://disrupt-africa.com/2016/03/malawian-music-streaming-startup-mvelani-raises-57k/</t>
  </si>
  <si>
    <t>https://www.crunchbase.com/funding_round/instabug-seed--b46db9ba</t>
  </si>
  <si>
    <t>https://www.sec.gov/Archives/edgar/data/1670475/000167047516000001/xslFormDX01/primary_doc.xml</t>
  </si>
  <si>
    <t>SafeBoda</t>
  </si>
  <si>
    <t>Global Inovation Fund (GIF)</t>
  </si>
  <si>
    <t>http://disrupt-africa.com/2016/04/ugandan-motorcycle-app-safeboda-raises-227k-from-gif/</t>
  </si>
  <si>
    <t>Custos Media Technologies</t>
  </si>
  <si>
    <t>Digital Currency Group</t>
  </si>
  <si>
    <t>http://disrupt-africa.com/2016/04/sa-anti-piracy-startup-custos-media-technologies-raises-265k/</t>
  </si>
  <si>
    <t>https://www.crunchbase.com/funding_round/fastvan-2-seed--74dd93e8</t>
  </si>
  <si>
    <t>https://www.sec.gov/Archives/edgar/data/1671889/000167188916000002/xslFormDX01/primary_doc.xml</t>
  </si>
  <si>
    <t>https://www.crunchbase.com/funding_round/omg-digital-convertible-note--6850f102#section-overview</t>
  </si>
  <si>
    <t>Catalyst Fund</t>
  </si>
  <si>
    <t>https://www.crunchbase.com/funding_round/paygo-energy-grant--96a42ea4</t>
  </si>
  <si>
    <t>https://www.crunchbase.com/funding_round/jumo-2-private-equity--3b42ad3d#section-lead-investors</t>
  </si>
  <si>
    <t>ThisIsMe</t>
  </si>
  <si>
    <t>http://disrupt-africa.com/2016/05/sa-online-verification-startup-thisisme-raises-2-5m-funding/</t>
  </si>
  <si>
    <t>https://www.crunchbase.com/funding_round/m-kopa-debt-financing--da4a8914</t>
  </si>
  <si>
    <t>SolarNow</t>
  </si>
  <si>
    <t>SunFunder</t>
  </si>
  <si>
    <t>http://disrupt-africa.com/2016/05/ugandas-solarnow-gets-2m-loan-facility/</t>
  </si>
  <si>
    <t>delvv.io</t>
  </si>
  <si>
    <t>Kevin Gaskell</t>
  </si>
  <si>
    <t>http://disrupt-africa.com/2016/05/sa-marketing-tech-startup-delvv-io-raises-127k-funding/</t>
  </si>
  <si>
    <t>Expensya</t>
  </si>
  <si>
    <t>https://www.crunchbase.com/funding_round/expensya-seed--e7e569ab#section-overview</t>
  </si>
  <si>
    <t>https://www.crunchbase.com/funding_round/ampersand-2-convertible-note--a696bbcd</t>
  </si>
  <si>
    <t>Snapt</t>
  </si>
  <si>
    <t>Convergence Partners</t>
  </si>
  <si>
    <t>http://disrupt-africa.com/2016/06/sa-software-startup-snapt-raises-1m-to-aid-expansion/</t>
  </si>
  <si>
    <t>Faden Media</t>
  </si>
  <si>
    <t>https://www.crunchbase.com/funding_round/yumamia-seed--e008ca4c</t>
  </si>
  <si>
    <t>Factor E Ventures</t>
  </si>
  <si>
    <t>https://www.crunchbase.com/funding_round/ampersand-2-convertible-note--a8f06af3#section-investors</t>
  </si>
  <si>
    <t>Accel, Amr Awadallah, Jim Payne, Sharif El-Badawi</t>
  </si>
  <si>
    <t>http://disrupt-africa.com/2016/06/egyptian-bug-reporting-startup-instabug-raises-1-7m/</t>
  </si>
  <si>
    <t>Sokowatch</t>
  </si>
  <si>
    <t>SpeedUPAfrica</t>
  </si>
  <si>
    <t>https://www.crunchbase.com/funding_round/sokowatch-non-equity-assistance--1e4a4fed#section-overview</t>
  </si>
  <si>
    <t>Chalkboard Education</t>
  </si>
  <si>
    <t>SpeedUp Africa</t>
  </si>
  <si>
    <t>https://www.crunchbase.com/funding_round/chalkboard-education-non-equity-assistance--5930b04e</t>
  </si>
  <si>
    <t>SpacePointe</t>
  </si>
  <si>
    <t>http://disrupt-africa.com/2016/06/nigerias-spacepointe-raises-1-2m-to-launch-pos-applications/</t>
  </si>
  <si>
    <t>Chan Zuckerberg Initiative, Spark Capital, Social Impact Capital, Omidyar Network, Learn Capital, GV, GSV Acceleration, Flat World Partners, Battery Road Digital Holdings</t>
  </si>
  <si>
    <t>http://disrupt-africa.com/2016/06/andela-raises-24m-in-round-led-by-chan-zuckerberg-initiative/</t>
  </si>
  <si>
    <t>PEG Africa</t>
  </si>
  <si>
    <t>Energy Access Ventures, Blue Haven Initiative, Investisseurs &amp; Partenaires (I&amp;P), ENGIE Rassembleurs d'Energies</t>
  </si>
  <si>
    <t>http://disrupt-africa.com/2016/06/payg-solar-firm-peg-ghana-raises-7-5m-for-west-african-expansion/</t>
  </si>
  <si>
    <t>https://www.crunchbase.com/funding_round/safemotos-non-equity-assistance--44e6c34a#section-overview</t>
  </si>
  <si>
    <t>Shezlong</t>
  </si>
  <si>
    <t>Endure Capital, A15</t>
  </si>
  <si>
    <t>https://magnitt.com/startups/shezlong</t>
  </si>
  <si>
    <t>Digital Cabinet</t>
  </si>
  <si>
    <t>HAVAIC</t>
  </si>
  <si>
    <t>http://disrupt-africa.com/2017/07/sa-cloud-storage-startup-digital-cabinet-raising-375k/</t>
  </si>
  <si>
    <t>Payment24</t>
  </si>
  <si>
    <t>StartupBootcamp</t>
  </si>
  <si>
    <t>https://www.startupbootcamp.org/blog/2016/07/startupbootcamp-smart-transportation-energy-announces-11-startups/</t>
  </si>
  <si>
    <t>Orcas​</t>
  </si>
  <si>
    <t>Kamelizer</t>
  </si>
  <si>
    <t>https://enterprise.press/stories/2016/07/17/angel-fund-kamelizer-invests-in-cairo-sitters-will-change-its-name/</t>
  </si>
  <si>
    <t>Sky.Garden</t>
  </si>
  <si>
    <t>https://www.crunchbase.com/funding_round/sky-garden-convertible-note--eab045eb#section-overview</t>
  </si>
  <si>
    <t>Mumm</t>
  </si>
  <si>
    <t>A15</t>
  </si>
  <si>
    <t>https://dailynewsegypt.com/2016/07/16/mumm-and-a15-join-forces-to-provide-home-made-food-online/</t>
  </si>
  <si>
    <t>Jumpin Rides</t>
  </si>
  <si>
    <t>https://www.crunchbase.com/funding_round/jump-in-rides-seed--ecc3b044</t>
  </si>
  <si>
    <t>Safaricom</t>
  </si>
  <si>
    <t>https://www.crunchbase.com/funding_round/eneza-education-series-unknown--619b2cb8</t>
  </si>
  <si>
    <t>Helios Investment Partners</t>
  </si>
  <si>
    <t>https://techmoran.com/2016/08/10/off-grid-electric-secures-18-million-helios-investment-partners-responsability-power-africa/</t>
  </si>
  <si>
    <t>Flutterwave</t>
  </si>
  <si>
    <t>Zillionize Angel, Y Combinator, Rayyan Islam, Palm Drive Capital, Lynett Capital, Green Visor Capital, Golden Palm Investments, Data Collective DCVC, Courtney Broadus, Arab Angel Fund</t>
  </si>
  <si>
    <t>https://www.crunchbase.com/funding_round/flutterwave-seed--5ccd5499/investors/investors_list#section-investors</t>
  </si>
  <si>
    <t>International Finance Corporation (IFC), 4Di, Omidyar Network, Quona Capital,  Patrick Pichette</t>
  </si>
  <si>
    <t>http://disrupt-africa.com/2016/08/sa-fintech-startup-zoona-raises-15m-from-ifc-4di/</t>
  </si>
  <si>
    <t>ogaVenue</t>
  </si>
  <si>
    <t>Spark, Hotels.ng</t>
  </si>
  <si>
    <t>http://disrupt-africa.com/2016/08/nigerias-ogavenue-raises-45k-from-spark-hotels-ng/</t>
  </si>
  <si>
    <t>Zillionize Angel, Y Combinator</t>
  </si>
  <si>
    <t>https://www.crunchbase.com/funding_round/omg-digital-seed--4ee685f5#section-overview</t>
  </si>
  <si>
    <t>Susan Kimberlin, Steven Tamm, Safaricom, Cross Culture Ventures, Alpha Angels</t>
  </si>
  <si>
    <t>https://www.crunchbase.com/funding_round/msurvey-seed--25924833#section-investors</t>
  </si>
  <si>
    <t>TIA</t>
  </si>
  <si>
    <t>http://disrupt-africa.com/2016/08/sas-anti-piracy-startup-custos-raises-420k-from-tia/</t>
  </si>
  <si>
    <t>https://www.crunchbase.com/funding_round/twiga-foods-private-equity--09762cd9</t>
  </si>
  <si>
    <t>http://disrupt-africa.com/2016/08/egyptian-taxi-app-ousta-raises-1-25m-to-accelerate-growth/</t>
  </si>
  <si>
    <t>Goodwell Investments,  Omidyar Network, Horizen Ventures, Marcos Vercelli-Forster</t>
  </si>
  <si>
    <t>http://disrupt-africa.com/2016/08/sas-whereismytransport-raises-1-5m-funding/</t>
  </si>
  <si>
    <t xml:space="preserve">Global Innovation Fund, Jacques Antoine Granjon, Kima Ventures, Olivier Mathiot, Orange, Proparco
</t>
  </si>
  <si>
    <t>https://www.frenchweb.fr/afrimarket-leve-10-millions-deuros-pour-etendre-son-modele-de-marketplace-en-afrique/254366</t>
  </si>
  <si>
    <t>Flare</t>
  </si>
  <si>
    <t>http://disrupt-africa.com/2016/09/funding-for-kenyan-ambulance-app-flare-rises-to-150k/</t>
  </si>
  <si>
    <t>Vapulus</t>
  </si>
  <si>
    <t>https://www.crunchbase.com/funding_round/vapulus-seed--0b46e244#section-overview</t>
  </si>
  <si>
    <t>Driversng.com</t>
  </si>
  <si>
    <t>Ventures Platform</t>
  </si>
  <si>
    <t>https://www.crunchbase.com/funding_round/driversng-seed--3d97b248#section-overview</t>
  </si>
  <si>
    <t>KawiSafi Ventures Fund, Energy Access Ventures, Omidyar Network, NewQuest Capital Partners, Draper Fisher Jurvetson (DFJ)</t>
  </si>
  <si>
    <t>https://index.co/company/dlightdesign/funding/series-d</t>
  </si>
  <si>
    <t>Shell Foundation, U.S. Agency for International Development (USAID), UNCDF</t>
  </si>
  <si>
    <t>https://www.prnewswire.com/news-releases/dlight-raises-over-22-million-to-expand-paygo-business-into-new-off-grid-solar-markets-300331524.html</t>
  </si>
  <si>
    <t>https://techcabal.com/2016/09/22/kenyan-solar-company-d-light-has-raised-22-5million-in-funding/</t>
  </si>
  <si>
    <t>Frontier Digital Ventures</t>
  </si>
  <si>
    <t>http://disrupt-africa.com/2016/09/nigerian-real-estate-classifieds-startup-tolet-com-ng-raises-1-2m/</t>
  </si>
  <si>
    <t>Kalido</t>
  </si>
  <si>
    <t>http://disrupt-africa.com/2016/09/sas-kalido-raises-funds-to-launch-business-matchmaking-app/</t>
  </si>
  <si>
    <t>Buupass</t>
  </si>
  <si>
    <t>Hult Prize</t>
  </si>
  <si>
    <t>https://techweez.com/2018/10/22/buupass-api-partnerships/</t>
  </si>
  <si>
    <t xml:space="preserve">The Sun Exchange </t>
  </si>
  <si>
    <t xml:space="preserve"> BoostVC</t>
  </si>
  <si>
    <t>http://disrupt-africa.com/2016/09/sa-bitcoin-crowdfunding-startup-the-sun-exchange-raises-60k/</t>
  </si>
  <si>
    <t>Apollo Agriculture</t>
  </si>
  <si>
    <t>OEL Venture Investments, Factor E Ventures, Accion Venture Lab</t>
  </si>
  <si>
    <t>https://www.crunchbase.com/funding_round/apollo-agriculture-seed--a78a3f28#section-investors</t>
  </si>
  <si>
    <t>Mawingu Networks</t>
  </si>
  <si>
    <t>The Overseas Private Investment Corporation (OPIC)</t>
  </si>
  <si>
    <t>http://disrupt-africa.com/2016/09/kenyan-solar-internet-startup-raises-4-1m-opic-loan/</t>
  </si>
  <si>
    <t>https://www.crunchbase.com/funding_round/m-kopa-series-unknown--391b0267</t>
  </si>
  <si>
    <t>Jamii Africa</t>
  </si>
  <si>
    <t>Seedstars, Techstars, Zahra Nasser, George G, The Bill &amp; Melinda Gates Foundation, Financial Sector Deepening Trust</t>
  </si>
  <si>
    <t>http://disrupt-africa.com/2017/01/tanzanias-jamii-raises-750k-funding-for-expansion/</t>
  </si>
  <si>
    <t>TroTro Tractor</t>
  </si>
  <si>
    <t>KOSMOS Energy, MEST Africa</t>
  </si>
  <si>
    <t>http://disrupt-africa.com/2016/10/ghanas-trotro-tractor-raises-50k-from-kosmos-energy/</t>
  </si>
  <si>
    <t>Lulalend</t>
  </si>
  <si>
    <t>Newid capital, Accion Venture Lab, HALLMANN HOLDING International Investment GmbH</t>
  </si>
  <si>
    <t>https://www.crunchbase.com/funding_round/lulalend-series-unknown--fd16f54c#section-lead-investors</t>
  </si>
  <si>
    <t>HireHunt</t>
  </si>
  <si>
    <t>https://www.crunchbase.com/funding_round/hirehunt-angel--13888c71</t>
  </si>
  <si>
    <t>https://www.crunchbase.com/funding_round/safemotos-seed--6b623a66</t>
  </si>
  <si>
    <t>Magic Bus Ticketing</t>
  </si>
  <si>
    <t>EF Education First</t>
  </si>
  <si>
    <t>http://disrupt-africa.com/2016/10/kenyan-transport-startup-wins-1m-hult-prize/</t>
  </si>
  <si>
    <t>https://businesstech.co.za/news/business/140511/private-education-group-raises-r121-million-in-funding-for-expansion/</t>
  </si>
  <si>
    <t>The Student Hub</t>
  </si>
  <si>
    <t>Bill Paladino, Jacques Ludik, Maude Gliwa</t>
  </si>
  <si>
    <t>http://disrupt-africa.com/2016/10/sas-the-student-hub-raises-300k-to-launch-learning-platform/</t>
  </si>
  <si>
    <t>Developing World Markets</t>
  </si>
  <si>
    <t>https://www.crunchbase.com/funding_round/d-light-design-debt-financing--3ea2ec71</t>
  </si>
  <si>
    <t>Shield</t>
  </si>
  <si>
    <t>https://www.crunchbase.com/organization/shield#section-funding-rounds</t>
  </si>
  <si>
    <t>ZayRide</t>
  </si>
  <si>
    <t>Crowdfunding</t>
  </si>
  <si>
    <t>https://www.crunchbase.com/funding_round/zayride-equity-crowdfunding--9de87872</t>
  </si>
  <si>
    <t>WeFarm</t>
  </si>
  <si>
    <t xml:space="preserve">Wayra, LocalGlobe, ADV </t>
  </si>
  <si>
    <t>https://techcabal.com/2016/11/17/kenyas-wefarm-has-raised-1-6-million-in-seed-funding/</t>
  </si>
  <si>
    <t>iono.fm</t>
  </si>
  <si>
    <t>Clifftop Colony Capital Partners</t>
  </si>
  <si>
    <t>https://techcabal.com/2016/11/17/south-african-podcast-platform-iono-has-raised-175000-in-seed-funding/</t>
  </si>
  <si>
    <t>http://disrupt-africa.com/2016/11/aella-credit-talentbase-join-500-startups-cohort/</t>
  </si>
  <si>
    <t>Aella Credit</t>
  </si>
  <si>
    <t>https://www.crunchbase.com/funding_round/aella-credit-seed--eb8484ca</t>
  </si>
  <si>
    <t>http://disrupt-africa.com/2016/11/sa-marketing-tech-startup-delvv-io-closes-457k-round/</t>
  </si>
  <si>
    <t>Bamba Group</t>
  </si>
  <si>
    <t>Darshan Chandaria</t>
  </si>
  <si>
    <t>http://disrupt-africa.com/2016/11/kenyas-bamba-group-raises-250k-on-lions-den/</t>
  </si>
  <si>
    <t>https://www.crunchbase.com/funding_round/fintec-labs-series-a--e0c48c04</t>
  </si>
  <si>
    <t>Zebra Cabs</t>
  </si>
  <si>
    <t>Futuregrowth Asset Management</t>
  </si>
  <si>
    <t>https://techcabal.com/2016/12/07/african-tech-roundup-zebra-cabs-raises-21-6-million-to-take-on-uber-and-taxify-in-south-africa/</t>
  </si>
  <si>
    <t>La Reina</t>
  </si>
  <si>
    <t>AUC Venture Lab</t>
  </si>
  <si>
    <t>https://www.crunchbase.com/funding_round/la-reina-non-equity-assistance--78b3ca36</t>
  </si>
  <si>
    <t>Guanxi Invest</t>
  </si>
  <si>
    <t>https://www.crunchbase.com/funding_round/guanxi-investment-seed--2725f274</t>
  </si>
  <si>
    <t>BECO Capital, Silicon Badia, TDF Capital, Vostok New Ventures</t>
  </si>
  <si>
    <t>https://www.dailynewsegypt.com/2017/01/01/vezeeta-secures-5m-regional-expansion/</t>
  </si>
  <si>
    <t>Paat Soil Clinic</t>
  </si>
  <si>
    <t>Tony Elumelu Foundation</t>
  </si>
  <si>
    <t>Shell Foundation, Beyond the Grid</t>
  </si>
  <si>
    <t>https://www.crunchbase.com/funding_round/d-light-design-grant--e6b2c190</t>
  </si>
  <si>
    <t>Norfund</t>
  </si>
  <si>
    <t>https://www.crunchbase.com/funding_round/d-light-design-series-unknown--bb2a23ba</t>
  </si>
  <si>
    <t>GreenPath Food</t>
  </si>
  <si>
    <t>Engineers Without Borders Canada</t>
  </si>
  <si>
    <t>http://techmoran.com/ethiopia-based-greenpath-food-raises-seed-funding-engineers-without-borders-canada/</t>
  </si>
  <si>
    <t>Amazon Web Services</t>
  </si>
  <si>
    <t>https://www.crunchbase.com/funding_round/werpx-grant--9a0b5738</t>
  </si>
  <si>
    <t>Daystar Power Africa</t>
  </si>
  <si>
    <t>Sunray Ventures</t>
  </si>
  <si>
    <t>https://www.crunchbase.com/funding_round/daystar-power-seed--74616836#section-investors</t>
  </si>
  <si>
    <t>OffGridBox</t>
  </si>
  <si>
    <t>Techstars, Right Side Capital Management, Techstars Boston Accelerator</t>
  </si>
  <si>
    <t>https://www.crunchbase.com/funding_round/offgridbox-pre-seed--301f695f</t>
  </si>
  <si>
    <t>Tupuca</t>
  </si>
  <si>
    <t>https://www.crunchbase.com/funding_round/tupuca-seed--54f3940c</t>
  </si>
  <si>
    <t>500 Startups, ACE &amp; Company</t>
  </si>
  <si>
    <t>https://www.wamda.com/2017/02/edfa3ly-finds-kuwaiti-safe-haven</t>
  </si>
  <si>
    <t>Printivo.com</t>
  </si>
  <si>
    <t>http://disrupt-africa.com/2017/02/nigerias-printivo-selected-for-500-startups-programme/</t>
  </si>
  <si>
    <t>GLI Finance, South Carolina Angels, Sacramento Angels</t>
  </si>
  <si>
    <t>Azuri Technologies</t>
  </si>
  <si>
    <t>Standard Chartered Bank</t>
  </si>
  <si>
    <t>https://techmoran.com/2017/02/22/azuri-raises-5m-support-renewable-energy-sub-saharan-africa/</t>
  </si>
  <si>
    <t>Afrikrea</t>
  </si>
  <si>
    <t>Id4 ventures</t>
  </si>
  <si>
    <t>https://www.crunchbase.com/funding_round/afrikrea-angel--12b10df5</t>
  </si>
  <si>
    <t>Interswitch</t>
  </si>
  <si>
    <t>TA Associates</t>
  </si>
  <si>
    <t>http://innovation-village.com/ta-associates-acquires-minority-stake-interswitch/</t>
  </si>
  <si>
    <t>Bosta</t>
  </si>
  <si>
    <t>Numu Capital</t>
  </si>
  <si>
    <t>https://www.crunchbase.com/funding_round/bosta-seed--19edc810</t>
  </si>
  <si>
    <t>Africa Logistics Properties</t>
  </si>
  <si>
    <t>Mbuyu Capital Partners, Maris Capital, International Finance Corporation (IFC), CDC Group</t>
  </si>
  <si>
    <t>http://africacapitaldigest.com/investor-consortium-backs-africa-logistics-properties-with-48mln/</t>
  </si>
  <si>
    <t>WaystoCap</t>
  </si>
  <si>
    <t>https://www.crunchbase.com/funding_round/waystocap-seed--1a824335#section-investors</t>
  </si>
  <si>
    <t>https://www.crunchbase.com/funding_round/aella-credit-seed--cf3011a3</t>
  </si>
  <si>
    <t>Kudi</t>
  </si>
  <si>
    <t>https://www.crunchbase.com/funding_round/kudi-seed--c4e0bc00#section-overview</t>
  </si>
  <si>
    <t>European Investment Bank</t>
  </si>
  <si>
    <t>https://www.crunchbase.com/funding_round/d-light-design-series-unknown--de1a5b23</t>
  </si>
  <si>
    <t>Mydawa</t>
  </si>
  <si>
    <t>Ion Equity</t>
  </si>
  <si>
    <t>https://techmoran.com/2017/03/28/mydawa-com-raises-5-million-bring-prescription-drugs-online-kenya/</t>
  </si>
  <si>
    <t>Lidya</t>
  </si>
  <si>
    <t>https://www.sec.gov/Archives/edgar/data/1696738/000114036118033068/xslFormDX01/primary_doc.xml</t>
  </si>
  <si>
    <t>Western Technology Investment</t>
  </si>
  <si>
    <t>https://www.crunchbase.com/funding_round/mines-io-debt-financing--56dfd4ee#section-lead-investors</t>
  </si>
  <si>
    <t>Alternative Circle</t>
  </si>
  <si>
    <t>CreditInfo</t>
  </si>
  <si>
    <t>http://bitcoinagile.com/C6647E/kenyan-fintech-startup-alternative-circle-raises-11m-funding_stream</t>
  </si>
  <si>
    <t>LoftyInc Capital Management</t>
  </si>
  <si>
    <t>https://www.crunchbase.com/funding_round/flutterwave-series-a--7571dcbe</t>
  </si>
  <si>
    <t>Edves</t>
  </si>
  <si>
    <t>https://www.crunchbase.com/funding_round/edves-grant--392a7203#section-overview</t>
  </si>
  <si>
    <t>Elmenus</t>
  </si>
  <si>
    <t>Algebra Ventures</t>
  </si>
  <si>
    <t>https://www.menabytes.com/elmenus-1-5-million/</t>
  </si>
  <si>
    <t>Corporate Venture</t>
  </si>
  <si>
    <t>Naspers</t>
  </si>
  <si>
    <t>https://www.iafrikan.com/2017/04/11/naspers-invests-69-million-into-south-african-e-commerce-business-takealot-takes-its-shareholding-to-over-50/</t>
  </si>
  <si>
    <t>Outsource Now</t>
  </si>
  <si>
    <t>Discover PreAccelerator</t>
  </si>
  <si>
    <t>https://www.crunchbase.com/funding_round/outsource-now-non-equity-assistance--35a80551#section-overview</t>
  </si>
  <si>
    <t>Jonathan Ruffer</t>
  </si>
  <si>
    <t>Village Capital, Novastar Ventures, Global Partnerships/Eleos Social Venture Fund, Global Innovation Fund, Energy Access Ventures, D-Prize, Aster</t>
  </si>
  <si>
    <t>https://www.crunchbase.com/funding_round/paygo-energy-seed--951b69f6#section-investors</t>
  </si>
  <si>
    <t>Aerobotics</t>
  </si>
  <si>
    <t xml:space="preserve">Startupbootcamp, Startupbootcamp InsurTech London
</t>
  </si>
  <si>
    <t>https://www.crunchbase.com/funding_round/aerobotics-seed--2c8f4508#section-investors</t>
  </si>
  <si>
    <t>GSMA Ecosystem Accelerator</t>
  </si>
  <si>
    <t>https://www.crunchbase.com/funding_round/safemotos-grant--c437e5e4</t>
  </si>
  <si>
    <t>https://www.crunchbase.com/funding_round/twiga-foods-grant--cb4392a0</t>
  </si>
  <si>
    <t>https://enterprise.press/stories/2017/05/24/cairo-angels-invests-in-edtech-startup-orcas/</t>
  </si>
  <si>
    <t>Cars45</t>
  </si>
  <si>
    <t>New Enterprise Associates, Balderton Capital Balderton Capital, TPG Growth, EchoVC Partners, Frontier Car Group</t>
  </si>
  <si>
    <t>https://www.crunchbase.com/organization/cars45#section-funding-rounds</t>
  </si>
  <si>
    <t>MIT Enterprise Forum</t>
  </si>
  <si>
    <t>https://www.prnewswire.com/news-releases/mit-enterprise-forum-arab-startup-competition-final-award-ceremony-was-held-in-bahrain-in-partnership-with-community-jameel-zain-group-and-tamkeen-621036473.html</t>
  </si>
  <si>
    <t>GoodsMart</t>
  </si>
  <si>
    <t>https://www.bizcommunity.com/Article/65/188/161200.html</t>
  </si>
  <si>
    <t>Semyon Dukach, Ty Danco, Ground Squirrel Ventures, Troy Billett, Rob Stevens, Warren Katz, Mike Zelnick, Marco Cecchini</t>
  </si>
  <si>
    <t>https://www.crunchbase.com/funding_round/offgridbox-angel--199d70c3</t>
  </si>
  <si>
    <t>LeapFrog Investments, Quona Capital</t>
  </si>
  <si>
    <t>http://www.finsmes.com/2017/05/insurtech-startup-alllife-closes-funding-round.html</t>
  </si>
  <si>
    <t>https://www.crunchbase.com/funding_round/printivo-seed--ac67c466#section-overview</t>
  </si>
  <si>
    <t>https://techmoran.com/2017/05/11/africa-logistics-properties-raises-4m-from-dob-equity-to-improve-logistics-warehousing-in-kenya/</t>
  </si>
  <si>
    <t>Thrive Agric</t>
  </si>
  <si>
    <t>https://www.crunchbase.com/funding_round/thrive-agric-seed--f9f544ea</t>
  </si>
  <si>
    <t>Endeavor, Silicon Badia, Vostok New Ventures, Vulkan Equity</t>
  </si>
  <si>
    <t>https://www.wamda.com/2017/05/endeavor-catalyst-fund-closes-500000-investment-egypt</t>
  </si>
  <si>
    <t>Tizeti</t>
  </si>
  <si>
    <t>Zeno Ventures, Y Combinator, Western Technology Investment, Vy Capital, Social Capital, Picus Capital, Michael Seibel, Lynett Capital, Golden Palm Investments, Gabriel Hammond, Friále, ACE &amp; Company</t>
  </si>
  <si>
    <t>https://www.crunchbase.com/funding_round/tizeti-seed--27c8dc4f#section-overview</t>
  </si>
  <si>
    <t>Google Launchpad Accelerator</t>
  </si>
  <si>
    <t>https://www.crunchbase.com/funding_round/flutterwave-non-equity-assistance--14c783dd#section-overview</t>
  </si>
  <si>
    <t>https://www.crunchbase.com/funding_round/jumo-2-non-equity-assistance--50ba5d1c#section-lead-investors</t>
  </si>
  <si>
    <t>https://www.crunchbase.com/funding_round/twiga-foods-non-equity-assistance--de2fa80c</t>
  </si>
  <si>
    <t>Tripdizer</t>
  </si>
  <si>
    <t>https://www.crunchbase.com/organization/tripdizer#section-funding-rounds</t>
  </si>
  <si>
    <t>Imaginators</t>
  </si>
  <si>
    <t>Innoventures</t>
  </si>
  <si>
    <t>https://www.crunchbase.com/funding_round/imaginators-seed--7e9d60fc</t>
  </si>
  <si>
    <t>Story Ventures, Soma Capital, Pascal Levy-Garboua, Palm Drive Capital, Neon Capital, Michael Seibel, Lynett Capital, Jude Gomil, Endure Capital, Battery Ventures, Amino Capital, 4DX</t>
  </si>
  <si>
    <t>https://www.crunchbase.com/funding_round/waystocap-seed--d5f4a63c#section-overview</t>
  </si>
  <si>
    <t>Once Sync Limited</t>
  </si>
  <si>
    <t>https://www.crunchbase.com/organization/once-sync-limited#section-funding-rounds</t>
  </si>
  <si>
    <t>Babymigo</t>
  </si>
  <si>
    <t>https://www.crunchbase.com/funding_round/babymigo-non-equity-assistance--70c4c1a0</t>
  </si>
  <si>
    <t>Spring Accelerator</t>
  </si>
  <si>
    <t>https://www.crunchbase.com/funding_round/paygo-energy-non-equity-assistance--2811c28b#section-investors</t>
  </si>
  <si>
    <t>Mobile Decisioning</t>
  </si>
  <si>
    <t>http://disrupt-africa.com/2017/06/spring-announces-19-startups-joining-east-africa-cohort/</t>
  </si>
  <si>
    <t>Cherehani Africa</t>
  </si>
  <si>
    <t>United States African Development Foundation, Spring Accelerator, Levi Strauss &amp; Co., Citi Foundation</t>
  </si>
  <si>
    <t>https://www.crunchbase.com/funding_round/cherehani-africa-grant--38a0404c#section-investors</t>
  </si>
  <si>
    <t>Pawame</t>
  </si>
  <si>
    <t>Goldfish Fund</t>
  </si>
  <si>
    <t>https://www.crunchbase.com/funding_round/pawame-seed--e9f494ab#section-overview</t>
  </si>
  <si>
    <t>Orange</t>
  </si>
  <si>
    <t>https://www.crunchbase.com/funding_round/imaginators-grant--49c25fde</t>
  </si>
  <si>
    <t>SWVL</t>
  </si>
  <si>
    <t>Careem</t>
  </si>
  <si>
    <t>http://disrupt-africa.com/2017/07/egyptian-ridesharing-startup-swvl-raises-500k-from-careem/</t>
  </si>
  <si>
    <t>Xineoh</t>
  </si>
  <si>
    <t>King and Bay West</t>
  </si>
  <si>
    <t>http://disrupt-africa.com/2017/06/sa-marketing-startup-xineoh-raises-2m/</t>
  </si>
  <si>
    <t>Goodwell Investments, Bombardier</t>
  </si>
  <si>
    <t>http://disrupt-africa.com/2017/06/sas-whereismytransport-raises-further-800k/</t>
  </si>
  <si>
    <t>Polysmart</t>
  </si>
  <si>
    <t>CDC Gestion</t>
  </si>
  <si>
    <t>http://disrupt-africa.com/2017/06/tunisian-gaming-startup-polysmart-raises-600k/</t>
  </si>
  <si>
    <t>Will Sternlicht, Soma Capital, Social Capital, M &amp; Y Growth Partners, Kima Ventures, Josh Buckley, Frances Xavier Helgesen, Comcast Ventures</t>
  </si>
  <si>
    <t>http://disrupt-africa.com/2017/06/ghanas-omg-digital-closes-1-1m-funding-round/</t>
  </si>
  <si>
    <t>Eric Nadalin</t>
  </si>
  <si>
    <t>https://www.crunchbase.com/funding_round/kudi-seed--304671a5#section-investors</t>
  </si>
  <si>
    <t>https://www.crunchbase.com/funding_round/bosta-seed--3a9b4a68</t>
  </si>
  <si>
    <t>hearX Group</t>
  </si>
  <si>
    <t>https://www.crunchbase.com/funding_round/hearx-group-seed--2a4d5a6b</t>
  </si>
  <si>
    <t>https://www.crunchbase.com/funding_round/hearx-group-grant--e88fa844</t>
  </si>
  <si>
    <t>U.S. Agency for International Development (USAID)</t>
  </si>
  <si>
    <t>https://www.crunchbase.com/funding_round/twiga-foods-grant--dd73d332</t>
  </si>
  <si>
    <t>Omidyar Network,  1776 Ventures, Wamda Capital, DOB Equity,  Blue Haven Initiative</t>
  </si>
  <si>
    <t>http://disrupt-africa.com/2017/07/kenyas-twiga-foods-raises-10-3m-series-a-funding-round/</t>
  </si>
  <si>
    <t>Jacobs Foundation</t>
  </si>
  <si>
    <t>https://www.crunchbase.com/funding_round/chalkboard-education-seed--49f76230#section-overview</t>
  </si>
  <si>
    <t>Katapult Accelerator</t>
  </si>
  <si>
    <t>https://www.crunchbase.com/funding_round/sky-garden-undisclosed--449e398a</t>
  </si>
  <si>
    <t>Y Combinator, Plug and Play, Greycroft, Glynn Capital Management, Green Visor Capital</t>
  </si>
  <si>
    <t>http://disrupt-africa.com/2017/08/flutterwave-raises-10m-series-a-funding/</t>
  </si>
  <si>
    <t>http://disrupt-africa.com/2017/08/500-startups-invests-200k-in-egyptian-food-delivery-startup-mumm/</t>
  </si>
  <si>
    <t>Farmcrowdy</t>
  </si>
  <si>
    <t>Right Side Capital Management</t>
  </si>
  <si>
    <t>https://www.crunchbase.com/funding_round/farmcrowdy-convertible-note--5ea11ce2</t>
  </si>
  <si>
    <t>4Di Capital, Savannah Fund</t>
  </si>
  <si>
    <t>http://disrupt-africa.com/2017/08/sas-aerobotics-raises-600k-funding-from-4di-savannah-fund/</t>
  </si>
  <si>
    <t>http://disrupt-africa.com/2017/08/ghanas-chalkboard-education-secures-237k-expansion-funding/</t>
  </si>
  <si>
    <t>https://techmoran.com/2017/08/04/sky-garden-raises-100000-funding-katapult-accelerator-fill-gap-left-kaymu/</t>
  </si>
  <si>
    <t>Releaf</t>
  </si>
  <si>
    <t xml:space="preserve">Y Combinator </t>
  </si>
  <si>
    <t>http://disrupt-africa.com/2017/08/nigerias-releaf-selected-for-y-combinator-secures-120k/</t>
  </si>
  <si>
    <t>https://500.co/announcing-500-startups-batch-22/</t>
  </si>
  <si>
    <t>MOBIcure</t>
  </si>
  <si>
    <t>Startupbootcamp Afritech</t>
  </si>
  <si>
    <t>https://ventureburn.com/2017/08/startupbootcamp-cape-town-announces-10-finalists/</t>
  </si>
  <si>
    <t>F</t>
  </si>
  <si>
    <t>Sanlam Private Equity</t>
  </si>
  <si>
    <t>https://businesstech.co.za/news/business/192502/sanlam-to-buy-r100-million-stake-in-easyequities/</t>
  </si>
  <si>
    <t>getWorth</t>
  </si>
  <si>
    <t>http://disrupt-africa.com/2017/08/cape-towns-getworth-takes-total-funding-to-1-38m/</t>
  </si>
  <si>
    <t>Publicis Groupe, Faden Media</t>
  </si>
  <si>
    <t>https://www.crunchbase.com/funding_round/yumamia-convertible-note--9b4d514d</t>
  </si>
  <si>
    <t>https://www.crunchbase.com/funding_round/paygo-energy-grant--a8f0e724#section-overview</t>
  </si>
  <si>
    <t>SnapnSave</t>
  </si>
  <si>
    <t>Kalon Venture Partners, Smollan</t>
  </si>
  <si>
    <t>http://disrupt-africa.com/2017/08/sa-e-commerce-startup-snapnsave-raises-1m/</t>
  </si>
  <si>
    <t>Eversend</t>
  </si>
  <si>
    <t>Bpifrance</t>
  </si>
  <si>
    <t>https://www.crunchbase.com/funding_round/eversend-grant--b01db2c6</t>
  </si>
  <si>
    <t>Greycroft partners &amp; Plug and play</t>
  </si>
  <si>
    <t>http://disrupt-africa.com/2017/08/kenyas-bitpesa-secures-more-investment-to-hit-10m-total-funding/</t>
  </si>
  <si>
    <t>RxAll</t>
  </si>
  <si>
    <t>Yale University, Merck and Equilateral Ventures</t>
  </si>
  <si>
    <t>https://technext.ng/2019/03/29/rxall-is-the-ambitious-nigerian-startup-using-blockchain-to-fight-fake-drugs/</t>
  </si>
  <si>
    <t>Pineapple</t>
  </si>
  <si>
    <t>Lireas Holdings</t>
  </si>
  <si>
    <t>http://disrupt-africa.com/2017/09/sa-insurtech-startup-pineapple-raises-400k-funding/</t>
  </si>
  <si>
    <t>Iprocure</t>
  </si>
  <si>
    <t>https://techmoran.com/2017/09/08/safaricom-spark-fund-invests-agricultural-inputs-supply-chain-platform-iprocure/</t>
  </si>
  <si>
    <t>Arabian Venture Capital</t>
  </si>
  <si>
    <t>https://magnitt.com/news/egyptian-fintech-startup-vapulus-lands-250000-investment</t>
  </si>
  <si>
    <t>Shortlist</t>
  </si>
  <si>
    <t>University Ventures, Zephyr Acorn, Spike Ventures, Bodley Group</t>
  </si>
  <si>
    <t>https://www.crunchbase.com/funding_round/shortlist-5-seed--3837ea6c#section-investors</t>
  </si>
  <si>
    <t>Watu Credit</t>
  </si>
  <si>
    <t>Shinnecok Partners LP</t>
  </si>
  <si>
    <t>https://www.crunchbase.com/organization/watu-credit#section-funding-rounds</t>
  </si>
  <si>
    <t>AfricaSokoni</t>
  </si>
  <si>
    <t>https://www.crunchbase.com/funding_round/africasokoni-seed--6980e9b3</t>
  </si>
  <si>
    <t>Fawry</t>
  </si>
  <si>
    <t>responsAbility Investments AG</t>
  </si>
  <si>
    <t>https://www.responsability.com/en/private-equity-investment-leading-mobile-payments-platform</t>
  </si>
  <si>
    <t>Cloud9Xp</t>
  </si>
  <si>
    <t>http://disrupt-africa.com/2017/10/kenyas-cloud9-raises-73k-on-lions-den/</t>
  </si>
  <si>
    <t>Zumi</t>
  </si>
  <si>
    <t>Chandaria Capital, Majlis Investment Management</t>
  </si>
  <si>
    <t>http://disrupt-africa.com/2017/10/kenyan-fashion-startup-zumi-closes-250k-round/</t>
  </si>
  <si>
    <t>Y Combinator, Persistent Energy Capital</t>
  </si>
  <si>
    <t>http://disrupt-africa.com/2017/10/senegalese-solar-startup-oolu-raises-3-2m-funding/</t>
  </si>
  <si>
    <t>Chandaria Industries</t>
  </si>
  <si>
    <t>https://www.crunchbase.com/funding_round/sokowatch-corporate-round--7a18dcd6#section-investors</t>
  </si>
  <si>
    <t>https://www.crunchbase.com/funding_round/m-kopa-debt-financing--3cce48c8</t>
  </si>
  <si>
    <t>Lori Systems</t>
  </si>
  <si>
    <t>TechCrunch Startup Battlefield</t>
  </si>
  <si>
    <t>https://techcrunch.com/2017/10/11/lori-systems-wins-best-of-show-at-startup-battlefield-africa/?ncid=rss</t>
  </si>
  <si>
    <t>https://www.crunchbase.com/funding_round/azuri-technologies-equity-crowdfunding--40d06616#section-overview</t>
  </si>
  <si>
    <t>Expo 2020 Dubai</t>
  </si>
  <si>
    <t>http://disrupt-africa.com/2017/10/nigerian-e-health-startup-mobicure-wins-expo-live-grant/</t>
  </si>
  <si>
    <t>Y Combinator, 500 Startups, Zeno Ventures, Vy Capital, Unis Venture Fund</t>
  </si>
  <si>
    <t>http://disrupt-africa.com/2017/10/nigerias-aella-credit-raises-funding-from-500-startups-y-combinator/</t>
  </si>
  <si>
    <t>Kalon Venture Partners, BoostVC, Techstars, PowerHouse</t>
  </si>
  <si>
    <t>http://disrupt-africa.com/2017/10/sas-the-sun-exchange-raises-1-6m-to-accelerate-growth/</t>
  </si>
  <si>
    <t>responsAbility, SunFunder</t>
  </si>
  <si>
    <t>http://disrupt-africa.com/2017/10/ugandas-solarnow-secures-6m-debt-facility/</t>
  </si>
  <si>
    <t>UAV Industries</t>
  </si>
  <si>
    <t>Glenheim Venture Capital Company</t>
  </si>
  <si>
    <t>http://disrupt-africa.com/2017/10/cape-town-drone-company-uav-industries-raises-499k/</t>
  </si>
  <si>
    <t>SOSV</t>
  </si>
  <si>
    <t>https://www.crunchbase.com/funding_round/safemotos-convertible-note--4254004d</t>
  </si>
  <si>
    <t>Buseet</t>
  </si>
  <si>
    <t>Startupbootcamp</t>
  </si>
  <si>
    <t>https://www.startupbootcamp.org/blog/2017/10/top-smart-city-dubai-startups-selected/</t>
  </si>
  <si>
    <t>EAV, Investisseurs &amp; Partenaires (I&amp;P), ENGIE Rassembleurs d’Energies, Acumen, PCG Investments</t>
  </si>
  <si>
    <t>http://disrupt-africa.com/2017/10/solar-company-peg-africa-secures-13-5m-funding/</t>
  </si>
  <si>
    <t>Naked Insurance</t>
  </si>
  <si>
    <t>Corporate Round</t>
  </si>
  <si>
    <t>Yellowwood Partners, Hollard</t>
  </si>
  <si>
    <t>http://disrupt-africa.com/2017/10/sas-insurtech-startup-naked-raises-1-4m/</t>
  </si>
  <si>
    <t>Asaak</t>
  </si>
  <si>
    <t>Resolute Ventures, Social Capital, Locke Mountain Ventures, HOF Capital, Catalyst Fund, 500 Startups</t>
  </si>
  <si>
    <t>https://digestafrica.com/after-announcing-seed-round-uganda-based-asaak/#.XE8Kv1wzbb0</t>
  </si>
  <si>
    <t>JobJack</t>
  </si>
  <si>
    <t>https://www.crunchbase.com/funding_round/jobjack-seed--70107944</t>
  </si>
  <si>
    <t>MassChallenge</t>
  </si>
  <si>
    <t>https://www.crunchbase.com/funding_round/offgridbox-grant--cae79480</t>
  </si>
  <si>
    <t>Digital Growth Africa Middle East Investment Company, Old Mutual Private Equity</t>
  </si>
  <si>
    <t>https://www.liquidafrica.com/digame-acquires-a-stake-in-sa-local-asset-manager-10x/</t>
  </si>
  <si>
    <t>Finnfund (Finnish Fund for Industrial Cooperation Ltd.)</t>
  </si>
  <si>
    <t>http://www.itwebafrica.com/fintech/853-africa/241351-african-fintech-company-jumo-raises-us24m-for-expansion</t>
  </si>
  <si>
    <t>CRE Venture Capital, TLcom Capital Partners, Salesforce Ventures, Golden Palm Investments, GV, DBL Partners, Chan Zuckerberg Initiative, Aera VC, Amplo</t>
  </si>
  <si>
    <t>http://disrupt-africa.com/2017/10/andela-raises-40m-in-landmark-funding-deal/</t>
  </si>
  <si>
    <t>Trend Forward Capital</t>
  </si>
  <si>
    <t>https://www.crunchbase.com/funding_round/instabug-series-unknown--0159c926</t>
  </si>
  <si>
    <t>The MasterCard Foundation</t>
  </si>
  <si>
    <t>https://www.crunchbase.com/funding_round/jumo-2-grant--33cca489#section-lead-investors</t>
  </si>
  <si>
    <t>Singularity Investments</t>
  </si>
  <si>
    <t>https://www.crunchbase.com/funding_round/asoko-insight-seed--be542a91#section-lead-investors</t>
  </si>
  <si>
    <t>500 Startups, Vodafone Ventures, Algebra Ventures</t>
  </si>
  <si>
    <t>http://disrupt-africa.com/2017/11/kenyas-sendy-raises-3m-funding-round/</t>
  </si>
  <si>
    <t>Ozow</t>
  </si>
  <si>
    <t>Kalon Venture Partners</t>
  </si>
  <si>
    <t>https://ventureburn.com/2017/11/ipay-r10m/</t>
  </si>
  <si>
    <t>https://www.crunchbase.com/funding_round/aerobotics-non-equity-assistance--22be34d6#section-lead-investors</t>
  </si>
  <si>
    <t>https://www.crunchbase.com/funding_round/one-finance-and-investments-limited-non-equity-assistance--14aa6b36#section-overview</t>
  </si>
  <si>
    <t>Spicyauto</t>
  </si>
  <si>
    <t>https://www.crunchbase.com/funding_round/spicyauto-pre-seed--e38653b8#section-overview</t>
  </si>
  <si>
    <t>KFW DEG</t>
  </si>
  <si>
    <t>https://www.crunchbase.com/funding_round/daystar-power-seed--05c42fff#section-overview</t>
  </si>
  <si>
    <t>https://www.crunchbase.com/funding_round/guanxi-investment-seed--8b0b2652</t>
  </si>
  <si>
    <t>https://www.crunchbase.com/funding_round/bosta-seed--f78cef3c</t>
  </si>
  <si>
    <t>LegitCar</t>
  </si>
  <si>
    <t>https://www.crunchbase.com/funding_round/legitcar-grant--02d9aff0</t>
  </si>
  <si>
    <t>Enko Education</t>
  </si>
  <si>
    <t>OikiCredit</t>
  </si>
  <si>
    <t>https://enkoeducation.com/enko-education-raises-1-5-million-euros-with-oikocredit/</t>
  </si>
  <si>
    <t>VC4A</t>
  </si>
  <si>
    <t>https://www.crunchbase.com/funding_round/imaginators-grant--09a0608c</t>
  </si>
  <si>
    <t>Trukto Technologies</t>
  </si>
  <si>
    <t>https://www.crunchbase.com/funding_round/trukto-technologies-seed--da38de66</t>
  </si>
  <si>
    <t>Elves</t>
  </si>
  <si>
    <t>Emaar, Kauffman Fellows, Dubai Angel Investors</t>
  </si>
  <si>
    <t>http://disrupt-africa.com/2017/12/egyptian-ai-startup-elves-raises-2m-seed-round/</t>
  </si>
  <si>
    <t>Wilco</t>
  </si>
  <si>
    <t>https://www.crunchbase.com/funding_round/eversend-debt-financing--7f22551c</t>
  </si>
  <si>
    <t>Techstars</t>
  </si>
  <si>
    <t>https://www.crunchbase.com/funding_round/eversend-convertible-note--aafc9a95</t>
  </si>
  <si>
    <t>Sxuirrel</t>
  </si>
  <si>
    <t>https://www.crunchbase.com/funding_round/sxuirrel-seed--b9177b29</t>
  </si>
  <si>
    <t>MetLife Foundation Inclusion Plus</t>
  </si>
  <si>
    <t>http://justmeans.com/press-release/moneyfellows-wins-metlife-foundation-financial-innovation-competition-powered-by-verb</t>
  </si>
  <si>
    <t>http://disrupt-africa.com/2017/12/stellenbosch-startup-sxuirrel-raises-176k-funding/</t>
  </si>
  <si>
    <t>SmartBlade</t>
  </si>
  <si>
    <t xml:space="preserve"> WFSA-Fresenius Innovation Award</t>
  </si>
  <si>
    <t>https://www.timeslive.co.za/news/south-africa/2017-12-15-sa-doctor-wins-international-prize-for-new-treatment-tool/</t>
  </si>
  <si>
    <t>Tyler Scriven,Techstars Atlanta in partnership with Cox Enterprises,Techstars,Social Capital, Michael Cohn, Josephine Group, Hallett Capital, FC Agro Allied SPV, Cox Enterprises, Christof Walter</t>
  </si>
  <si>
    <t>https://www.crunchbase.com/funding_round/farmcrowdy-seed--f23ef3e6#section-overview</t>
  </si>
  <si>
    <t>https://magnitt.com/news/egypt-based-bosta-receives-seed-investment-fawry</t>
  </si>
  <si>
    <t>Rology</t>
  </si>
  <si>
    <t>HIMangel</t>
  </si>
  <si>
    <t>https://www.crunchbase.com/funding_round/rology-seed--e8a44ec1</t>
  </si>
  <si>
    <t>Nozol</t>
  </si>
  <si>
    <t>https://www.crunchbase.com/funding_round/nozol-business-seed--019ba7ab</t>
  </si>
  <si>
    <t>https://www.crunchbase.com/funding_round/iono-fm-seed--ce5d0cd2#section-lead-investors</t>
  </si>
  <si>
    <t>WideBot</t>
  </si>
  <si>
    <t>https://www.crunchbase.com/funding_round/widebot-seed--2a8a5b46</t>
  </si>
  <si>
    <t>ElMawkaa</t>
  </si>
  <si>
    <t>https://www.crunchbase.com/funding_round/elmawkaa-%D8%A7%D9%84%D9%85%D9%88%D9%82%D8%B9-grant--c2d799f7</t>
  </si>
  <si>
    <t xml:space="preserve">4DX Ventures, Breyer Capital, Social Capital, Golden Palm Investments Holding Co., Shravin Bharti Mittal, </t>
  </si>
  <si>
    <t>https://medium.com/mpharma-insights/mpharma-raises-6-6-million-in-series-a-funding-463dafda6e0b</t>
  </si>
  <si>
    <t>Halan</t>
  </si>
  <si>
    <t>Battery Road Digital Holdings</t>
  </si>
  <si>
    <t>https://www.sec.gov/Archives/edgar/data/1723373/000172337317000001/xslFormDX01/primary_doc.xml</t>
  </si>
  <si>
    <t>Lynk</t>
  </si>
  <si>
    <t>Novastar Ventures, Steel Africa, Safaricom, Mercy Corps</t>
  </si>
  <si>
    <t>TheVentureCity</t>
  </si>
  <si>
    <t>https://medium.com/theventurecity/theventurecity-strengthens-its-commitment-to-startups-with-more-investment-and-support-9725c03325b8</t>
  </si>
  <si>
    <t>Accept</t>
  </si>
  <si>
    <t>https://archives.forbesmiddleeast.com/en/egyptian-payment-startup-accept-sets-its-sights-on-the-gcc/</t>
  </si>
  <si>
    <t>Scale</t>
  </si>
  <si>
    <t>https://www.crunchbase.com/funding_round/scale-ma-seed--30a5206b</t>
  </si>
  <si>
    <t>Elk</t>
  </si>
  <si>
    <t>Endure Capital, 500 Startups, Flat5Labs, Khaled Alashmouny, Karim Hussein, Con O'Donnell</t>
  </si>
  <si>
    <t>http://www.startupsceneme.com/INVESTMENTS/Egypt-s-Blockchain-Startup-Elkrem-Closes-75-000-From-San-Franciscan-Accelerator-Tachyo</t>
  </si>
  <si>
    <t>MyFoodness</t>
  </si>
  <si>
    <t>http://www.gpweekly.com/business/local-app-myfoodness-secures-european-investors</t>
  </si>
  <si>
    <t>You, Baby and I</t>
  </si>
  <si>
    <t>IDF Capital SA</t>
  </si>
  <si>
    <t>https://www.crunchbase.com/funding_round/you-baby-and-i-seed--0393eb29#section-overview</t>
  </si>
  <si>
    <t>Xpay</t>
  </si>
  <si>
    <t>EFG-EG</t>
  </si>
  <si>
    <t>https://www.crunchbase.com/funding_round/xpaytech-seed--1cd2720e#section-overview</t>
  </si>
  <si>
    <t>Teradix</t>
  </si>
  <si>
    <t>https://www.crunchbase.com/funding_round/teradix-seed--5f0b0996</t>
  </si>
  <si>
    <t>Zaagel Xpress</t>
  </si>
  <si>
    <t>https://www.crunchbase.com/funding_round/zaagel-xpress-seed--970b06b9</t>
  </si>
  <si>
    <t>United Nations Development Program</t>
  </si>
  <si>
    <t>https://digestafrica.com/uganda-safeboda-raised-money-million/#.XAttSnQzbb0</t>
  </si>
  <si>
    <t>Buzzkito</t>
  </si>
  <si>
    <t>AfricInvest</t>
  </si>
  <si>
    <t>https://www.entrepreneur.com/article/306820</t>
  </si>
  <si>
    <t>Rensource</t>
  </si>
  <si>
    <t>https://www.sec.gov/Archives/edgar/data/1726749/000114036118000037/xslFormDX01/primary_doc.xml</t>
  </si>
  <si>
    <t>Passerine Aircraft Corporation</t>
  </si>
  <si>
    <t>https://www.crunchbase.com/funding_round/passerine-aircraft-corporation-seed--a112a417#section-overview</t>
  </si>
  <si>
    <t>FJ Labs</t>
  </si>
  <si>
    <t>https://digestafrica.com/lori-systems-raised-sec-filing/#.XBN6kVwzbb0</t>
  </si>
  <si>
    <t>Student Accommod8</t>
  </si>
  <si>
    <t xml:space="preserve">Consonance Investment Managers </t>
  </si>
  <si>
    <t>https://digestafrica.com/Consonance%20Investment%20Managers</t>
  </si>
  <si>
    <t>Findworka</t>
  </si>
  <si>
    <t>https://is.gd/5N5C7W</t>
  </si>
  <si>
    <t>Tapsnapp</t>
  </si>
  <si>
    <t>500 Startups, Dubai Angel Investors</t>
  </si>
  <si>
    <t>https://www.forbesmiddleeast.com/egyptian-fintech-startup-moneyfellows-secures-investment</t>
  </si>
  <si>
    <t>500 Startups, Endure Capital, Averroes Ventures, Egypt Ventures, Ahmed Abdelhamid</t>
  </si>
  <si>
    <t>https://www.crunchbase.com/funding_round/nawah-convertible-note--33bb4356</t>
  </si>
  <si>
    <t xml:space="preserve">Kamtar </t>
  </si>
  <si>
    <t>Saviu Ventures</t>
  </si>
  <si>
    <t>http://www.afrikatech.com/start-business/start-week-kamtar-company-revolutionizing-logistics-ivory-coast/</t>
  </si>
  <si>
    <t>Wutiko</t>
  </si>
  <si>
    <t>U.S. African Development Foundation (USADF)</t>
  </si>
  <si>
    <t>https://www.usadf.gov/blog/2018/3/9/kemos-vision</t>
  </si>
  <si>
    <t>SureRemit</t>
  </si>
  <si>
    <t>ICO</t>
  </si>
  <si>
    <t>-</t>
  </si>
  <si>
    <t>http://disrupt-africa.com/2018/01/nigerias-sureremit-raises-7m-via-ico/</t>
  </si>
  <si>
    <t>Helios Investment Partners, GE Ventures, Total Energy Ventures, Tesla, EDF, DBL Partners</t>
  </si>
  <si>
    <t>https://www.heliosinvestment.com/uploads/files/Off-Grid-Electric-Secures-55-Million-Series-D-Funding.pdf</t>
  </si>
  <si>
    <t>Abalobi</t>
  </si>
  <si>
    <t>Quona Capital</t>
  </si>
  <si>
    <t>https://catalyst-fund.org/abalobi/</t>
  </si>
  <si>
    <t>Awfar</t>
  </si>
  <si>
    <t>HIMAngel</t>
  </si>
  <si>
    <t>https://www.crunchbase.com/funding_round/awfar-market-seed--e505310b#section-recent-news</t>
  </si>
  <si>
    <t>TRINE, Electrification Financing Initiative</t>
  </si>
  <si>
    <t>https://techmoran.com/2018/01/22/azuri-technologies-raises-20m-debt-financing-expand-off-grid-energy-service-east-africa/</t>
  </si>
  <si>
    <t>TabAds</t>
  </si>
  <si>
    <t>Foresight Ventures Kenya</t>
  </si>
  <si>
    <t>http://disrupt-africa.com/2018/01/kenyas-tabads-raises-funding-for-in-cab-digital-advertising-model/</t>
  </si>
  <si>
    <t>IAME</t>
  </si>
  <si>
    <t>Ka'resh Eswar</t>
  </si>
  <si>
    <t>https://www.crunchbase.com/funding_round/iame-seed--57d9cb95</t>
  </si>
  <si>
    <t>ZAR X</t>
  </si>
  <si>
    <t>Public Investment Corporation</t>
  </si>
  <si>
    <t>https://techcentral.co.za/pic-buys-25-zar-x/79252/</t>
  </si>
  <si>
    <t>Centbee</t>
  </si>
  <si>
    <t>nChain</t>
  </si>
  <si>
    <t>http://www.finsmes.com/2018/01/centbee-raises-equity-funding-from-nchain.html?utm_source=feedburner&amp;utm_medium=twitter&amp;utm_campaign=Feed%3A+finsmes%2FcNHu+%28FinSMEs%29</t>
  </si>
  <si>
    <t>wiGroup</t>
  </si>
  <si>
    <t>Virgin Group, Smollan</t>
  </si>
  <si>
    <t>http://ventureburn.com/2018/01/wigroup-funding-smollan-virgin/</t>
  </si>
  <si>
    <t>Mondo Ride</t>
  </si>
  <si>
    <t>http://techweez.com/2018/01/31/mondo-ride-2-million-dollar-financing-round/</t>
  </si>
  <si>
    <t>Asia Africa Investment &amp; Consulting, The Danone Communities Mutual Fund, Stone Family Foundation, Segal Family Foundation, NRD Capital Management, Maclellan Foundation, Conrad N. Hilton Foundation</t>
  </si>
  <si>
    <t>http://www.finsmes.com/2018/02/jibu-completes-7m-series-b-financing.html</t>
  </si>
  <si>
    <t>Futuristic.vc</t>
  </si>
  <si>
    <t>https://www.crunchbase.com/funding_round/sky-garden-seed--56ac5aa5#section-investors</t>
  </si>
  <si>
    <t>Pura Soda</t>
  </si>
  <si>
    <t>Knife Capital</t>
  </si>
  <si>
    <t>https://www.crunchbase.com/organization/pura-soda#section-overview</t>
  </si>
  <si>
    <t>HUB2.io</t>
  </si>
  <si>
    <t>Compass Venture Capital</t>
  </si>
  <si>
    <t>https://www.crunchbase.com/funding_round/hub2-io-seed--2b5f7118#section-recent-news</t>
  </si>
  <si>
    <t>https://digestafrica.com/south-africa-fastvan-seed-round/#.XBjZGVwzbb0</t>
  </si>
  <si>
    <t>Ahmed Habib</t>
  </si>
  <si>
    <t>https://www.crunchbase.com/funding_round/werpx-angel--023fa584</t>
  </si>
  <si>
    <t>https://www.crunchbase.com/funding_round/jobjack-seed--012029c0#section-overview</t>
  </si>
  <si>
    <t>Dios Dental Group</t>
  </si>
  <si>
    <t>Kiva</t>
  </si>
  <si>
    <t>Predictive Insights</t>
  </si>
  <si>
    <t>Alphawave group</t>
  </si>
  <si>
    <t>https://www.itweb.co.za/content/o1Jr5MxEkyXqKdWL</t>
  </si>
  <si>
    <t>iCog Labs</t>
  </si>
  <si>
    <t>U.S. Embassy Ethiopia</t>
  </si>
  <si>
    <t>https://drive.google.com/file/d/1fEyn4Hnn-ARigAdN24v0iTAwBK117SeL/view</t>
  </si>
  <si>
    <t>DOB Equity, CFAO GROUP</t>
  </si>
  <si>
    <t>Katapult Accelerator, TRK Group, Danish Business Angels, Jesper Drescher</t>
  </si>
  <si>
    <t>https://techmoran.com/2018/02/06/kenyas-ecommerce-firm-sky-garden-raises-1-2-million-launch-next-generation-merchant-platform/</t>
  </si>
  <si>
    <t xml:space="preserve">LifeBank </t>
  </si>
  <si>
    <t>EchoVC Partners, Co-Creation Hub Nigeria, Fola Laoye</t>
  </si>
  <si>
    <t>https://techmoran.com/nigerias-digital-blood-bank-lifebank-raised-200k-echovc-cchub-others/</t>
  </si>
  <si>
    <t>Jonathan Evrard</t>
  </si>
  <si>
    <t>https://www.crunchbase.com/funding_round/iame-seed--eee90663</t>
  </si>
  <si>
    <t>https://www.crunchbase.com/funding_round/lynk-3-grant--72f4f9bd#section-overview</t>
  </si>
  <si>
    <t>Ensibuuko</t>
  </si>
  <si>
    <t>https://www.gsma.com/mobilefordevelopment/programme/ecosystem-accelerator/ecosystem-accelerator-innovation-fund-start-portfolio/</t>
  </si>
  <si>
    <t>http://ventureburn.com/2018/10/five-agritech-startups-aim-take-africa-greener-pastures/</t>
  </si>
  <si>
    <t>MaTontine</t>
  </si>
  <si>
    <t>https://www.crunchbase.com/funding_round/matontine-grant--efdb8ee1#section-recent-news</t>
  </si>
  <si>
    <t>Musanga</t>
  </si>
  <si>
    <t>https://www.crunchbase.com/funding_round/musanga-seed--3d536a9d#section-locked-charts</t>
  </si>
  <si>
    <t>Medico Plus</t>
  </si>
  <si>
    <t>https://www.crunchbase.com/funding_round/bespoke-health-services-seed--c55bcdd7</t>
  </si>
  <si>
    <t>PrepClass</t>
  </si>
  <si>
    <t>https://techmoran.com/gsma-ecosystem-accelerator-innovation-fund-injects-millions-equity-free-grants-african-startups/</t>
  </si>
  <si>
    <t>WiRE Microsystems</t>
  </si>
  <si>
    <t>https://www.crunchbase.com/funding_round/wire-microsystems-seed--feca1269</t>
  </si>
  <si>
    <t>NG Clearing Limited</t>
  </si>
  <si>
    <t>Consonance Investment Managers</t>
  </si>
  <si>
    <t>HiCarByeCar</t>
  </si>
  <si>
    <t>http://disrupt-africa.com/2018/03/sas-hicarbyecar-raises-funding-from-swiss-investor/</t>
  </si>
  <si>
    <t>https://www.crunchbase.com/funding_round/afrikrea-seed--be821a57#section-overview</t>
  </si>
  <si>
    <t xml:space="preserve">Pawame </t>
  </si>
  <si>
    <t>http://disrupt-africa.com/2018/03/kenyan-solar-startup-pawame-raises-2m-funding/</t>
  </si>
  <si>
    <t>Hi5</t>
  </si>
  <si>
    <t>Getihu</t>
  </si>
  <si>
    <t>http://ventureburn.com/2018/06/hi5/</t>
  </si>
  <si>
    <t>Manal Al Alem</t>
  </si>
  <si>
    <t>https://www.menabytes.com/yumamia-manal-al-alem/</t>
  </si>
  <si>
    <t>True Ventures, Norrsken Foundation, Niklas Zennström, Matt Mullenweg, LocalGlobe, Bryan Meehan, ADV</t>
  </si>
  <si>
    <t>http://www.finsmes.com/2018/03/wefarm-secures-5m-new-financing-round.html</t>
  </si>
  <si>
    <t>CDC Group, Generation Investment Management, LGT Venture Philanthropy</t>
  </si>
  <si>
    <t>https://www.crunchbase.com/funding_round/m-kopa-series-unknown--8dfedb95</t>
  </si>
  <si>
    <t>myPadi</t>
  </si>
  <si>
    <t>https://techpoint.africa/2018/03/15/mypadi-raises-fund-from-echovc/</t>
  </si>
  <si>
    <t xml:space="preserve">Merck Accelerator </t>
  </si>
  <si>
    <t>https://techpoint.africa/reports/nigerian-startup-funding/</t>
  </si>
  <si>
    <t>iFixng</t>
  </si>
  <si>
    <t xml:space="preserve">Yomi Martins </t>
  </si>
  <si>
    <t>https://techpoint.africa/2018/04/03/ifixng-raises-50000/</t>
  </si>
  <si>
    <t>Clintonel Technologies</t>
  </si>
  <si>
    <t>Ford Foundation</t>
  </si>
  <si>
    <t>https://goo.gl/zHaBXu</t>
  </si>
  <si>
    <t>Ogwugo</t>
  </si>
  <si>
    <t>https://www.crunchbase.com/funding_round/ogwugo-grant--59dc7e58</t>
  </si>
  <si>
    <t>M-Birr</t>
  </si>
  <si>
    <t>DEG - Deutsche Investitions- und Entwicklungsgesellschaft, European Investment Bank (EIB)</t>
  </si>
  <si>
    <t>http://www.africanreview.com/finance/banking-a-finance/standard-bank-acts-as-lead-adviser-on-m-birr-s-us-9-87mn-equity-raise</t>
  </si>
  <si>
    <t>DataProphet</t>
  </si>
  <si>
    <t>https://is.gd/FbD6rk</t>
  </si>
  <si>
    <t>GoDoChurch</t>
  </si>
  <si>
    <t>AngelHub Ventures</t>
  </si>
  <si>
    <t>https://www.crunchbase.com/funding_round/godochurch-series-a--893fb180#section-lead-investors</t>
  </si>
  <si>
    <t>https://enterprise.press/stories/2018/03/25/halan-a-ridesharing-app-for-tuktuks-and-motorcycles-closes-in-on-usd-2-mn-fundraising-round/</t>
  </si>
  <si>
    <t>Optimalogistic</t>
  </si>
  <si>
    <t>https://www.crunchbase.com/funding_round/optimalogistic-sa-seed--76790d80</t>
  </si>
  <si>
    <t>Gokada</t>
  </si>
  <si>
    <t>Adventure Capital</t>
  </si>
  <si>
    <t>https://www.sec.gov/Archives/edgar/data/1735262/000173526218000001/xslFormDX01/primary_doc.xml</t>
  </si>
  <si>
    <t>Arone</t>
  </si>
  <si>
    <t>Chibuzo Ujam, Echukwudi Daniel</t>
  </si>
  <si>
    <t>http://disrupt-africa.com/2018/03/nigerian-drone-startup-raises-angel-funding/</t>
  </si>
  <si>
    <t>Terragon Group</t>
  </si>
  <si>
    <t xml:space="preserve">TLcom Capital Partners </t>
  </si>
  <si>
    <t>http://ventureburn.com/2018/04/terragon-tl/</t>
  </si>
  <si>
    <t>GICMED</t>
  </si>
  <si>
    <t>https://www.crunchbase.com/funding_round/gicmed-seed--671b667a</t>
  </si>
  <si>
    <t>ConnectMed</t>
  </si>
  <si>
    <t>Villgro Kenya</t>
  </si>
  <si>
    <t>https://www.crunchbase.com/funding_round/connectedmed-grant--414d81e0#section-lead-investors</t>
  </si>
  <si>
    <t>https://techmoran.com/2018/04/05/azuri-technologies-raises-1-7m-via-the-energise-africa-platform-for-electrifying-africa/</t>
  </si>
  <si>
    <t>Proparco, The MasterCard Foundation, FinnFund</t>
  </si>
  <si>
    <t>https://www.proparco.fr/en/innovation-proparco-announces-its-first-investment-fintech-develop-mobile-loans-africa</t>
  </si>
  <si>
    <t>North Base Media, LC Partners, Spice Fund, Zephyr Acorn, CRE Ventures, Singularity Investments, Spice Capital / OTEO Investment, Outlierz Ventures</t>
  </si>
  <si>
    <t>https://nairametrics.com/asoko-insights-raises-3-6-million-in-series-a-funding-round/</t>
  </si>
  <si>
    <t>AppZone</t>
  </si>
  <si>
    <t>https://www.crunchbase.com/funding_round/appzone-seed--ca7dc870</t>
  </si>
  <si>
    <t>OZÉ</t>
  </si>
  <si>
    <t>Ingressive Capital, Meltwater Entrepreneurial School of Technology</t>
  </si>
  <si>
    <t>OZE</t>
  </si>
  <si>
    <t>Vula Mobile</t>
  </si>
  <si>
    <t>http://ventureburn.com/2018/04/healthtech-vula-havaic-seed-round/</t>
  </si>
  <si>
    <t>Nala</t>
  </si>
  <si>
    <t>Digital Financial Service Lab</t>
  </si>
  <si>
    <t>https://innovation-village.com/dfs-lab-to-invest-200000-in-four-african-startups/</t>
  </si>
  <si>
    <t>AgroCenta</t>
  </si>
  <si>
    <t>http://disrupt-africa.com/2018/04/ghanas-agrocenta-crowned-seedstars-global-winner/</t>
  </si>
  <si>
    <t>EnerGrow</t>
  </si>
  <si>
    <t>Ministry of ICT &amp; National Guidance (Uganda)</t>
  </si>
  <si>
    <t>https://www.softpower.ug/govt-identifies-12-tech-startups-for-seed-funding/</t>
  </si>
  <si>
    <t>European Investment Bank (EIB), responsAbility, SunFunder, SIMA Funds</t>
  </si>
  <si>
    <t>https://www.crunchbase.com/funding_round/d-light-design-debt-financing--460c7394</t>
  </si>
  <si>
    <t>https://techpoint.africa/reports/nigerian-startup-funding-q2-2018/</t>
  </si>
  <si>
    <t>Nobuntu</t>
  </si>
  <si>
    <t>DFS Lab</t>
  </si>
  <si>
    <t>https://www.crunchbase.com/funding_round/nobuntu-seed--de5df696</t>
  </si>
  <si>
    <t>https://www.crunchbase.com/funding_round/cherehani-africa-seed--1157b90e#section-investors</t>
  </si>
  <si>
    <t>https://www.crunchbase.com/funding_round/nala-money-pre-seed--11b428a2</t>
  </si>
  <si>
    <t>Airbuy</t>
  </si>
  <si>
    <t>https://www.itweb.co.za/content/wbrpO7gPXZYMDLZn</t>
  </si>
  <si>
    <t>Vumela Fund, Omidyar Network, Forever Young Capital, Catapult Trust</t>
  </si>
  <si>
    <t>http://disrupt-africa.com/2018/04/sa-recruitment-startup-giraffe-raises-funding-round/</t>
  </si>
  <si>
    <t>Annona</t>
  </si>
  <si>
    <t>PeaceTech Accelerator</t>
  </si>
  <si>
    <t>https://www.crunchbase.com/funding_round/annona-series-unknown--ca00b211</t>
  </si>
  <si>
    <t>TLcom Capital Partners, Cross Culture Ventures, Alpha Angels, Social Capital, Safaricom, Kapor Capital, Golden Palm Investments</t>
  </si>
  <si>
    <t>http://ventureburn.com/2018/04/msurvey-tlcom-capital-series-a-round/</t>
  </si>
  <si>
    <t>500 Startups, Endure Capital, HIMangel</t>
  </si>
  <si>
    <t>https://www.menabytes.com/shezlong-350k/</t>
  </si>
  <si>
    <t>Lagare.ma</t>
  </si>
  <si>
    <t>https://www.menabytes.com/lagare-ma-200k/</t>
  </si>
  <si>
    <t>BECO Capital, DiGame, Silicon Badia, Careem</t>
  </si>
  <si>
    <t>https://www.magnitt.com/news/egypt-based-swvl-raises-8-million-series-funding?platform=hootsuite</t>
  </si>
  <si>
    <t>UTU technologies</t>
  </si>
  <si>
    <t>Zeroth</t>
  </si>
  <si>
    <t>http://disrupt-africa.com/2018/04/kenyan-ai-startup-utu-raises-funding-from-zeroth/</t>
  </si>
  <si>
    <t xml:space="preserve">Skillup Tutors </t>
  </si>
  <si>
    <t xml:space="preserve">Knife Capital </t>
  </si>
  <si>
    <t>https://techmoran.com/cape-town-based-skillup-tutors-raises-undisclosed-series-a-round-from-knife-capital-to-scale-the-business-internationally/</t>
  </si>
  <si>
    <t>CoinAfrique</t>
  </si>
  <si>
    <t>Mercure International, French Partners, Investisseurs &amp; Partenaires (I&amp;P)</t>
  </si>
  <si>
    <t>https://is.gd/p3y1OV</t>
  </si>
  <si>
    <t xml:space="preserve">International Finance Corporation, Orange Digital Ventures, Social Capital </t>
  </si>
  <si>
    <t>https://blog.africastalking.com/investing-in-the-future-of-developers-in-africa-11add215c42e</t>
  </si>
  <si>
    <t>Trade Depot</t>
  </si>
  <si>
    <t>Partech Partners</t>
  </si>
  <si>
    <t>http://ventureburn.com/2018/04/tradedepot-investment-partech/</t>
  </si>
  <si>
    <t>Mobius Motors</t>
  </si>
  <si>
    <t>Overseas Private Investment Corporation</t>
  </si>
  <si>
    <t>https://techmoran.com/kenyas-mobius-motors-raises-a-5-million-debt-financing-to-set-up-a-manufacturing-facility-in-nairobi/</t>
  </si>
  <si>
    <t>CDL</t>
  </si>
  <si>
    <t>Harmonica</t>
  </si>
  <si>
    <t>500 startups</t>
  </si>
  <si>
    <t>https://startupbahrain.com/matchmaking-app-harmonica-to-receive-150000-in-funding-from-500-startups/</t>
  </si>
  <si>
    <t>PiggyVest</t>
  </si>
  <si>
    <t>VilCap Investments</t>
  </si>
  <si>
    <t>https://www.pulse.ng/news/tech/piggybank-olivine-land-50k-in-funding-from-village-capital-id6613892.html</t>
  </si>
  <si>
    <t>Easyshop Easycook</t>
  </si>
  <si>
    <t>https://is.gd/MZ8Dvp</t>
  </si>
  <si>
    <t>https://www.crunchbase.com/funding_round/ampersand-2-seed--85d66019#section-investors</t>
  </si>
  <si>
    <t xml:space="preserve">Shagga3App </t>
  </si>
  <si>
    <t>Hazem Shisha</t>
  </si>
  <si>
    <t>https://magnitt.com/news/shagga3app-secures-100000-seed-funding</t>
  </si>
  <si>
    <t>Algebra Ventures, 500 Startups</t>
  </si>
  <si>
    <t>https://ventureburn.com/2018/04/egypt-la-reina-500-startups/</t>
  </si>
  <si>
    <t>https://www.crunchbase.com/funding_round/nawah-debt-financing--54b89438#section-overview</t>
  </si>
  <si>
    <t>Nestle</t>
  </si>
  <si>
    <t>https://www.crunchbase.com/funding_round/mumm-grant--1a844d47#section-locked-marketplace</t>
  </si>
  <si>
    <t>Tareeqi</t>
  </si>
  <si>
    <t>https://www.crunchbase.com/funding_round/tareeqi-seed--275dfc38</t>
  </si>
  <si>
    <t>Zomila</t>
  </si>
  <si>
    <t>Injini</t>
  </si>
  <si>
    <t>http://ventureburn.com/2018/11/zelda-learning-r500k-angel/</t>
  </si>
  <si>
    <t>E-Estates</t>
  </si>
  <si>
    <t>https://www.crunchbase.com/funding_round/e-estates-app-seed--d9c3b5a4#section-investors</t>
  </si>
  <si>
    <t>European Bank for Reconstruction and Development, Kingsway Capital, Endure Capital</t>
  </si>
  <si>
    <t>https://www.menabytes.com/basharsoft-series-b/</t>
  </si>
  <si>
    <t>Medsaf</t>
  </si>
  <si>
    <t>https://www.sec.gov/Archives/edgar/data/1740707/000174070718000001/xslFormDX01/primary_doc.xml</t>
  </si>
  <si>
    <t>Nocofio</t>
  </si>
  <si>
    <t>Start-Up Chile</t>
  </si>
  <si>
    <t>http://www.startupchile.org/seed-results-welcome-generation-seedg20/</t>
  </si>
  <si>
    <t>Inyenyeri</t>
  </si>
  <si>
    <t>Oikocredit International</t>
  </si>
  <si>
    <t>https://nextbillion.net/news/oikocredit-invests-1-2-million-inyenyeri-company-support-clean-cooking-solutions/</t>
  </si>
  <si>
    <t>CRE Venture Capital, Draper Dark Flow, Identity Partners</t>
  </si>
  <si>
    <t>http://disrupt-africa.com/2017/05/sas-sweepsouth-concludes-series-a-funding-round/</t>
  </si>
  <si>
    <t>Sensor Networks</t>
  </si>
  <si>
    <t>Sanari Capital, ASISA ESD Fund, 4Di Capital</t>
  </si>
  <si>
    <t>http://disrupt-africa.com/2018/05/sas-sensor-networks-secures-1m-funding-round/</t>
  </si>
  <si>
    <t>BirdPreneuer</t>
  </si>
  <si>
    <t>Iowa AgriTech Accelerator</t>
  </si>
  <si>
    <t>https://www.crunchbase.com/funding_round/birdpreneur-seed--2d330732#section-locked-marketplace</t>
  </si>
  <si>
    <t>http://ventureburn.com/2018/05/four-startups-cchubs-2018-cohort/</t>
  </si>
  <si>
    <t>Track Your Build</t>
  </si>
  <si>
    <t>Touchabl Pictures</t>
  </si>
  <si>
    <t>Genesys Tech Hub</t>
  </si>
  <si>
    <t>http://techativeng.com/2018/05/12/picture-touching-app-touchabl-raises-20000-funding-from-hubly/</t>
  </si>
  <si>
    <t>The Rise fund, Satya Capital, Endeavor Catalyst, Velocity Capital, Progression Africa.</t>
  </si>
  <si>
    <t>https://techmoran.com/2018/05/14/cellulant-raises-47-5-million-series-c-from-the-rise-fund-to-expand-its-digital-payments-across-africa/</t>
  </si>
  <si>
    <t>Funtrench</t>
  </si>
  <si>
    <t>Positrust LLC</t>
  </si>
  <si>
    <t>https://www.crunchbase.com/funding_round/funtrench-seed--c7ff1334#section-lead-investors</t>
  </si>
  <si>
    <t>Kopa Technologies</t>
  </si>
  <si>
    <t>https://www.sec.gov/Archives/edgar/data/1740021/000174002118000001/xslFormDX01/primary_doc.xml</t>
  </si>
  <si>
    <t>Selina Wamucii</t>
  </si>
  <si>
    <t>Expo Live</t>
  </si>
  <si>
    <t>http://ventureburn.com/2018/05/kenyan-agritech-startup-selina-wamucii-receives-100k-grant-expo-live/</t>
  </si>
  <si>
    <t>Mosawer</t>
  </si>
  <si>
    <t>https://www.menabytes.com/flat6labs-cairo-tenth-cycle/</t>
  </si>
  <si>
    <t>Tombeely</t>
  </si>
  <si>
    <t>7aweshly</t>
  </si>
  <si>
    <t>Arza2</t>
  </si>
  <si>
    <t>Chefaa</t>
  </si>
  <si>
    <t>MedMisr</t>
  </si>
  <si>
    <t>iSagha</t>
  </si>
  <si>
    <t>Weelo</t>
  </si>
  <si>
    <t>Wasel</t>
  </si>
  <si>
    <t>Transpooler</t>
  </si>
  <si>
    <t>Izyshop</t>
  </si>
  <si>
    <t>DHD Holding</t>
  </si>
  <si>
    <t>http://disrupt-africa.com/2018/05/mozambiques-izyshop-secures-funding-round/</t>
  </si>
  <si>
    <t>Janngo</t>
  </si>
  <si>
    <t>Clipperton, Soeximex, Pole Innovation Metiers</t>
  </si>
  <si>
    <t>https://www.altafrica.com/janngo-raises-eur-1mn-in-seed-funding/</t>
  </si>
  <si>
    <t>Omidyar Network, Tekton Ventures, Newid capital, Bamboo Capital Partners, Alitheia Capital, Accion Venture Lab</t>
  </si>
  <si>
    <t>https://www.omidyar.com/news/lidya-raises-69-million-series-round-led-omidyar-network</t>
  </si>
  <si>
    <t>TRINE</t>
  </si>
  <si>
    <t>http://www.newtelegraphng.com/2018/05/african-solar-start-up-raises-543000-via-crowdfunding-campaign/</t>
  </si>
  <si>
    <t>Teliman</t>
  </si>
  <si>
    <t>CFAO Automotive</t>
  </si>
  <si>
    <t>https://digestafrica.com/mali-teliman-toyota-africa-subsidiary/#.XAuM03Qzbb0</t>
  </si>
  <si>
    <t>Entlaqa</t>
  </si>
  <si>
    <t>Mohamed ben Saleh Ba Wazier, Salem ben Saleh Ba Wazier</t>
  </si>
  <si>
    <t>https://www.wamda.com/en/2018/05/egyptian-software-company-raised-300k-saudi-investors</t>
  </si>
  <si>
    <t>CompareInsurance.com.ng</t>
  </si>
  <si>
    <t>Connecticut's Global Venture Challenge</t>
  </si>
  <si>
    <t>https://is.gd/129fZA</t>
  </si>
  <si>
    <t>Trade Ghana</t>
  </si>
  <si>
    <t>Bill &amp; Melinda Gates Foundation</t>
  </si>
  <si>
    <t>https://news.brown.edu/articles/2016/05/cusack</t>
  </si>
  <si>
    <t>Bermoda</t>
  </si>
  <si>
    <t>https://www.menabytes.com/bermoda-seed/</t>
  </si>
  <si>
    <t>Aura</t>
  </si>
  <si>
    <t>http://ventureburn.com/2018/05/aura-partners-r6-million/</t>
  </si>
  <si>
    <t>Brantu</t>
  </si>
  <si>
    <t>Helhjärtad Finans AB</t>
  </si>
  <si>
    <t>https://www.menabytes.com/brantu-seed/</t>
  </si>
  <si>
    <t>O-Mobile Multimedia Ltd</t>
  </si>
  <si>
    <t>So.Sui.Ben Foundation</t>
  </si>
  <si>
    <t>https://guardian.ng/news/o-mobile-secures-10m-grant-to-promote-digital-economy/</t>
  </si>
  <si>
    <t>Beat Drone</t>
  </si>
  <si>
    <t>Diamond Bank</t>
  </si>
  <si>
    <t>LeadPath Nigeria, Village Capital, Ventures Platform</t>
  </si>
  <si>
    <t>https://techcrunch.com/2018/05/31/nigerias-piggybank-ng-raises-1-1m-announces-group-investment-product/</t>
  </si>
  <si>
    <t>Outlierz Ventures</t>
  </si>
  <si>
    <t>https://www.crunchbase.com/funding_round/waystocap-seed--5c654dbe</t>
  </si>
  <si>
    <t>MaxAB</t>
  </si>
  <si>
    <t>https://www.crunchbase.com/funding_round/maxab-seed--b568e4c8</t>
  </si>
  <si>
    <t>https://www.crunchbase.com/funding_round/africasokoni-seed--b88b6aab#section-overview</t>
  </si>
  <si>
    <t>Shopmeaway</t>
  </si>
  <si>
    <t>https://www.crunchbase.com/funding_round/shopmeaway-pre-seed--452d966f</t>
  </si>
  <si>
    <t>Lush Plans</t>
  </si>
  <si>
    <t>https://www.crunchbase.com/funding_round/lush-plans-non-equity-assistance--3590798f</t>
  </si>
  <si>
    <t>Tanda</t>
  </si>
  <si>
    <t>White Rhino Ventures</t>
  </si>
  <si>
    <t>https://techmoran.com/kenyas-tanda-raises-undisclosed-funding-to-launch-its-platform-for-new-generation-retailers/</t>
  </si>
  <si>
    <t>Golix</t>
  </si>
  <si>
    <t>https://digestafrica.com/icos-blockchain-startups-operating-in-africa/#.XA5uYnQzbb1</t>
  </si>
  <si>
    <t>TalkLift</t>
  </si>
  <si>
    <t>Pangea Accelerator</t>
  </si>
  <si>
    <t>http://disrupt-africa.com/2018/06/pangea-invests-in-3-kenyan-startups-at-demo-day/</t>
  </si>
  <si>
    <t>Onesha</t>
  </si>
  <si>
    <t>TozzaPlus</t>
  </si>
  <si>
    <t>MDaas Global</t>
  </si>
  <si>
    <t>https://www.techstars.com/content/accelerators/announcing-2018-class-techstars-impact/</t>
  </si>
  <si>
    <t>Little Cab</t>
  </si>
  <si>
    <t>https://techmoran.com/2018/06/04/little-raises-3m-war-chest-for-east-africa-holds-nigeria-launch-as-it-eyes-more-investor-cash/</t>
  </si>
  <si>
    <t>Ground Squirrel Ventures</t>
  </si>
  <si>
    <t>https://www.crunchbase.com/funding_round/musanga-seed--8b1635c1#section-investors</t>
  </si>
  <si>
    <t>Lumkani</t>
  </si>
  <si>
    <t>Lireas Holdings, 4Di Capital, Accion Venture Lab</t>
  </si>
  <si>
    <t>http://disrupt-africa.com/2018/06/sas-lumkani-closes-seed-funding-round-from-accion-4di/</t>
  </si>
  <si>
    <t>Questworks</t>
  </si>
  <si>
    <t>https://www.pv-tech.org/news/sunfunder-announces-us1.2-million-in-financing-for-questworks-pv-pipeline-i</t>
  </si>
  <si>
    <t>CowryWise</t>
  </si>
  <si>
    <t>Microtraction</t>
  </si>
  <si>
    <t>https://techpoint.africa/2018/07/23/cowrywise-y-combinator/</t>
  </si>
  <si>
    <t>Matibabu</t>
  </si>
  <si>
    <t>Royal Academy of Engineering</t>
  </si>
  <si>
    <t>http://disrupt-africa.com/2018/06/ugandas-matibabu-wins-africa-prize-for-engineering/</t>
  </si>
  <si>
    <t>HouseMe</t>
  </si>
  <si>
    <t>http://disrupt-africa.com/2018/06/sas-houseme-secures-follow-on-funding-for-expansion/</t>
  </si>
  <si>
    <t>Shieldfy</t>
  </si>
  <si>
    <t>Arzan Venture Capital</t>
  </si>
  <si>
    <t>https://www.menabytes.com/shieldfy-pre-seed/</t>
  </si>
  <si>
    <t>Oxfam’s Enterprise Development Programme, Novastar Ventures</t>
  </si>
  <si>
    <t>https://www.ewb.ca/en/news-and-events/news/news-engineers-without-borders-canada-portfolio-venture-greenpath-food-raises-series-a/</t>
  </si>
  <si>
    <t>Accounteer</t>
  </si>
  <si>
    <t>MEST Africa</t>
  </si>
  <si>
    <t>ClinicPesa</t>
  </si>
  <si>
    <t>https://is.gd/WeObx0</t>
  </si>
  <si>
    <t>Casky</t>
  </si>
  <si>
    <t>https://www.crunchbase.com/funding_round/casky-seed--2ab4c02c</t>
  </si>
  <si>
    <t>MamaOpe</t>
  </si>
  <si>
    <t>https://impactalpha.com/villgro-kenya-seeds-ugandan-health-startups-mamaope-and-clinicpesa/</t>
  </si>
  <si>
    <t>BuyCoins</t>
  </si>
  <si>
    <t>Staffbus</t>
  </si>
  <si>
    <t>The Noella Tinubu Foundation</t>
  </si>
  <si>
    <t>https://businesspost.ng/2018/06/27/staff-bus-nigeria-picks-tinubus-n5m-startup-grant/</t>
  </si>
  <si>
    <t>Kobo360</t>
  </si>
  <si>
    <t>Western Technology Investment,Africa Future Limited</t>
  </si>
  <si>
    <t>http://disrupt-africa.com/2018/07/nigerias-kobo360-raises-1-2m-pre-seed-funding/</t>
  </si>
  <si>
    <t>ZPOS</t>
  </si>
  <si>
    <t>https://digestafrica.com/zambia-zpos-pos-machine-smes/#.XAeef2gzbb0</t>
  </si>
  <si>
    <t>https://www.crunchbase.com/funding_round/outsource-now-seed--549f3757</t>
  </si>
  <si>
    <t>https://techcrunch-com.cdn.ampproject.org/c/s/techcrunch.com/2018/06/28/nigerian-logistics-startup-kobo360-accepted-into-yc-raises-1-2-million/amp/</t>
  </si>
  <si>
    <t>Powah Limited</t>
  </si>
  <si>
    <t>TDB</t>
  </si>
  <si>
    <t>https://www.sautitech.com/startups/how-powah-is-investing-shs95m-grant-from-tdb/</t>
  </si>
  <si>
    <t>Briglobe</t>
  </si>
  <si>
    <t>https://www.crunchbase.com/funding_round/briglobe-com-seed--0b45334b#section-lead-investors</t>
  </si>
  <si>
    <t>https://www.crunchbase.com/funding_round/jobjack-seed--e15f294f#section-overview</t>
  </si>
  <si>
    <t>Solatrify</t>
  </si>
  <si>
    <t>https://www.crunchbase.com/funding_round/solatrify-seed--b51ab8aa</t>
  </si>
  <si>
    <t>TLcom Capital Partners, International Finance Corporation</t>
  </si>
  <si>
    <t>https://www.crunchbase.com/funding_round/twiga-foods-series-unknown--f941a372#section-lead-investors</t>
  </si>
  <si>
    <t xml:space="preserve">Anders Holch Povlsen, Omidyar Network, </t>
  </si>
  <si>
    <t>https://qz.com/africa/1515015/african-leadership-university-raises-30-million-series-b/</t>
  </si>
  <si>
    <t>Bismart Insurance</t>
  </si>
  <si>
    <t>GreenTec Capital Partners</t>
  </si>
  <si>
    <t>https://digestafrica.com/greentec-capital-bismart-kenya/#.XD4V4lwzbb1</t>
  </si>
  <si>
    <t>Africa Delivery Technologies Ltd</t>
  </si>
  <si>
    <t>https://www.crunchbase.com/funding_round/africa-delivery-technologies-ltd-pre-seed--cd999c69#section-overview</t>
  </si>
  <si>
    <t>Ubapesa</t>
  </si>
  <si>
    <t>https://techmoran.com/this-cryptocurrency-wallet-has-raised-more-than-0-5m-in-seed-funding-to-help-users-transact-via-sms/</t>
  </si>
  <si>
    <t>Webville</t>
  </si>
  <si>
    <t>http://www.startupsceneme.com/BehindTheStartup/He-Set-Off-on-A-Mission-to-Hack-Digital-Injustice-And-Now-Just-Raised-100-000-in-Oma</t>
  </si>
  <si>
    <t>BlueMoon</t>
  </si>
  <si>
    <t>Danish International Development Agency</t>
  </si>
  <si>
    <t>https://addisfortune.net/articles/bluemoon-gets-seed-for-agri-tech-lab/</t>
  </si>
  <si>
    <t>GAIA Impact Fund</t>
  </si>
  <si>
    <t>http://gaia-impactfund.com/gaia-impact-fund-announces-investment-in-leading-west-african-solar-company-oolu/</t>
  </si>
  <si>
    <t>FMO, Rabobank Foundation</t>
  </si>
  <si>
    <t>http://disrupt-africa.com/2018/07/kenyas-apollo-agriculture-secures-500k-funding/</t>
  </si>
  <si>
    <t>Redbird Health Tech</t>
  </si>
  <si>
    <t>Gray Matters Capital</t>
  </si>
  <si>
    <t>http://ventureburn.com/2018/07/us-impact-investor-invests-250k-ghanaian-startup-redbird-health-tech/</t>
  </si>
  <si>
    <t>LearnFactory Nigeria</t>
  </si>
  <si>
    <t>http://disrupt-africa.com/2018/07/sa-ed-tech-incubator-injini-announces-2nd-cohort/</t>
  </si>
  <si>
    <t>eLimu</t>
  </si>
  <si>
    <t>LangBot</t>
  </si>
  <si>
    <t>LightBulb</t>
  </si>
  <si>
    <t>Nedbank, AgFunder</t>
  </si>
  <si>
    <t>http://ventureburn.com/2018/07/aerobotics-secures-undisclosed-funding-nedbank/</t>
  </si>
  <si>
    <t>ARED</t>
  </si>
  <si>
    <t>https://digestafrica.com/ared-crowdfunding-rwanda-germany/#.XAk6PGgzbb0</t>
  </si>
  <si>
    <t>RentSmallSmall</t>
  </si>
  <si>
    <t>Nahana Africa</t>
  </si>
  <si>
    <t>http://ventureburn.com/2018/07/edtech-incubator-injini-unveils-second-cohort/</t>
  </si>
  <si>
    <t>CredPal</t>
  </si>
  <si>
    <t>http://ventureburn.com/2018/07/sbc-afritech-10-startups-second-cohort/</t>
  </si>
  <si>
    <t xml:space="preserve">Inclusive Financial Technologies </t>
  </si>
  <si>
    <t>Akiba Digital</t>
  </si>
  <si>
    <t>Bankly Technologies</t>
  </si>
  <si>
    <t>Brandbook Analytics</t>
  </si>
  <si>
    <t>Digitech Group</t>
  </si>
  <si>
    <t>Kudabank</t>
  </si>
  <si>
    <t>MPost</t>
  </si>
  <si>
    <t>Prospa</t>
  </si>
  <si>
    <t>https://www.crunchbase.com/funding_round/tupuca-seed--dbe8eb23#section-overview</t>
  </si>
  <si>
    <t>LÜLA</t>
  </si>
  <si>
    <t>Goonery Investment Group</t>
  </si>
  <si>
    <t>https://www.crunchbase.com/funding_round/l%C3%BCla-angel--d3db6353#section-investors</t>
  </si>
  <si>
    <t>TaxiTV</t>
  </si>
  <si>
    <t>Beta. Ventures, Collins Onuegbu, Sam Senbanjo</t>
  </si>
  <si>
    <t>https://techpoint.africa/2018/07/16/taxitv-raises-seed-fund/</t>
  </si>
  <si>
    <t>Neopenda</t>
  </si>
  <si>
    <t>https://www.americaninno.com/chicago/inno-news-chicago/here-are-the-10-startups-in-techstars-chicagos-2018-class/</t>
  </si>
  <si>
    <t>Julaya</t>
  </si>
  <si>
    <t>Damien Guermonprez</t>
  </si>
  <si>
    <t>https://www.crunchbase.com/funding_round/julaya-pre-seed--96a1f92d</t>
  </si>
  <si>
    <t>Aeternity Ventures</t>
  </si>
  <si>
    <t>https://techmoran.com/2018/07/19/kenyas-utu-technologies-receives-250000-to-bring-trust-in-the-sharing-economy/</t>
  </si>
  <si>
    <t>Department for International Development (DFID)</t>
  </si>
  <si>
    <t>https://www.crunchbase.com/funding_round/ampersand-2-grant--7965576f#section-investors</t>
  </si>
  <si>
    <t>SunCulture</t>
  </si>
  <si>
    <t>EDF, Energy Access Ventures, Partners Group</t>
  </si>
  <si>
    <t>http://disrupt-africa.com/2018/08/kenyan-solar-startup-sunculture-secures-edf-funding/</t>
  </si>
  <si>
    <t>Tulaa</t>
  </si>
  <si>
    <t>AHL Venture Partners</t>
  </si>
  <si>
    <t>http://digestafrica.com/tulaa-seed-round-ahl-venture-partners/</t>
  </si>
  <si>
    <t>4DX Ventures, Village Global, Lynett Capital, Golden, Palm Investments, Outlierz Ventures</t>
  </si>
  <si>
    <t>https://techcrunch.com/2018/07/26/sokowatch-closes-2-million-seed-round-to-modernize-africas-b2b-retail/</t>
  </si>
  <si>
    <t>Mookh Africa</t>
  </si>
  <si>
    <t>VISA Everywhere Initiative</t>
  </si>
  <si>
    <t>https://techmoran.com/2018/07/26/kenyas-mookh-wins-50000-top-prize-as-nigerias-credpal-zowasel-get-second-place-in-visas-everywhere-initiative/</t>
  </si>
  <si>
    <t>Visa Everywhere Initiative</t>
  </si>
  <si>
    <t>https://techpoint.africa/2018/07/25/nigerian-startups-emerge-winners-of-visa-everywhere-initiative/</t>
  </si>
  <si>
    <t>https://impactalpha.com/zola-secures-20-million-debt-funding-for-off-grid-solar-expansion/</t>
  </si>
  <si>
    <t>https://www.itweb.co.za/content/mQwkoq6KdYWv3r9A</t>
  </si>
  <si>
    <t>TemTem</t>
  </si>
  <si>
    <t>https://www.menabytes.com/temtem-1-7-million/</t>
  </si>
  <si>
    <t>OPIC - Overseas Private Investment Corporation</t>
  </si>
  <si>
    <t>https://digestafrica.com/andrew-mwenada-tugende-opic/#.XAuqvnQzbb0</t>
  </si>
  <si>
    <t>https://techpoint.africa/2018/08/01/rensource-debt-financing/</t>
  </si>
  <si>
    <t>ScholarX</t>
  </si>
  <si>
    <t>https://techpoint.africa/reports/q3/</t>
  </si>
  <si>
    <t>Bluebic</t>
  </si>
  <si>
    <t>SlateCube</t>
  </si>
  <si>
    <t>Growsel</t>
  </si>
  <si>
    <t>https://is.gd/ihSKb9</t>
  </si>
  <si>
    <t>Hydrolite</t>
  </si>
  <si>
    <t>All On, Co-Creation Hub Nigeria</t>
  </si>
  <si>
    <t>https://www.dailytrust.com.ng/clean-energy-4-firms-clinch-10-000-capital-prize-264708.html</t>
  </si>
  <si>
    <t>Hydrotriciton</t>
  </si>
  <si>
    <t>Aspire Power Solutions</t>
  </si>
  <si>
    <t>ZeroElectric</t>
  </si>
  <si>
    <t>https://www.crunchbase.com/funding_round/tupuca-series-a--9da022c3#section-overview</t>
  </si>
  <si>
    <t>Findit.ke</t>
  </si>
  <si>
    <t>https://techmoran.com/2019/02/19/business-directory-findit-ke-raises-200000-to-disrupt-how-users-interact-with-businesses-in-kenya/</t>
  </si>
  <si>
    <t>Courier Lite</t>
  </si>
  <si>
    <t>https://www.crunchbase.com/funding_round/courier-lite-seed--3afee502</t>
  </si>
  <si>
    <t>OffCampus</t>
  </si>
  <si>
    <t>https://www.crunchbase.com/funding_round/offcampus-seed--023f43b5</t>
  </si>
  <si>
    <t>Tender NG</t>
  </si>
  <si>
    <t>https://www.crunchbase.com/funding_round/tender-ng-seed--38af43c5</t>
  </si>
  <si>
    <t>Luxchizie.net</t>
  </si>
  <si>
    <t>https://www.crunchbase.com/funding_round/luxchizie-net-seed--8a785eca#section-overview</t>
  </si>
  <si>
    <t>Proparco, Investisseurs &amp; Partenaires (I&amp;P)</t>
  </si>
  <si>
    <t>http://innovation-village.com/enko-education-raises-2-2-million-series-funding/</t>
  </si>
  <si>
    <t>Taz Technologies</t>
  </si>
  <si>
    <t>https://techmoran.com/2018/08/03/taz-technologies-secures-kes-1-7m-funding-from-afritech-accelerator/</t>
  </si>
  <si>
    <t>VEhSEh</t>
  </si>
  <si>
    <t>https://www.crunchbase.com/funding_round/vehseh-series-a--96e5f49b</t>
  </si>
  <si>
    <t>Cold Hubs</t>
  </si>
  <si>
    <t>Airband Grant Fund</t>
  </si>
  <si>
    <t>https://is.gd/DNtzMa</t>
  </si>
  <si>
    <t>Zonful Energy</t>
  </si>
  <si>
    <t>Persistent Energy Capital</t>
  </si>
  <si>
    <t>https://weetracker.com/2018/08/06/zimbabwean-startup-zonful-energy-secures-usd-300k-in-funding-from-persistent-energy-capital/</t>
  </si>
  <si>
    <t xml:space="preserve">The Medical Concierge Group </t>
  </si>
  <si>
    <t>https://digestafrica.com/medical-concierge-group-raised-200000/#.XAuXbHQzbb0</t>
  </si>
  <si>
    <t>Agsol</t>
  </si>
  <si>
    <t>http://disrupt-africa.com/2018/08/3-african-internet-provision-startups-secure-microsoft-grants/</t>
  </si>
  <si>
    <t>MeshPower</t>
  </si>
  <si>
    <t>Pezesha</t>
  </si>
  <si>
    <t>http://disrupt-africa.com/2018/08/kenyan-fintech-startup-pezesha-secures-seed-investment/</t>
  </si>
  <si>
    <t>Seedstars, Zahra Nasser, GSMA, Patrick Munis</t>
  </si>
  <si>
    <t>https://kenyanwallstreet.com/tanzanian-based-jamii-africa-raises-1m-in-q3-as-interest-in-insurtech-firms-soars-globally/</t>
  </si>
  <si>
    <t>Spare Payments</t>
  </si>
  <si>
    <t>https://app.cbinsights.com/profiles/c/jYRQ5/fundings</t>
  </si>
  <si>
    <t>Kazang Solar</t>
  </si>
  <si>
    <t xml:space="preserve">Africa Enterprise Challenge Fund </t>
  </si>
  <si>
    <t>https://www.azuri-technologies.com/news/africa-renewable-energy-fund-awards-1-6m-to-azuri-distributor-in-zambia-to-deliver-solar-home-lighting-to-7000-homes</t>
  </si>
  <si>
    <t>The Rise Fund, Velocity Capital Private Equity, First Ally Capital, Nyca Partners, Singularity Investments, Trans Sahara Investment Corporation, Western Technology Investment, X/Seed Capital Partners</t>
  </si>
  <si>
    <t>https://techcrunch.com/2018/08/10/offering-a-white-labeled-lending-service-in-emerging-markets-mines-raises-13-million/</t>
  </si>
  <si>
    <t>Shield Finders</t>
  </si>
  <si>
    <t>https://www.crunchbase.com/funding_round/shield-finders-seed--3713f7c4</t>
  </si>
  <si>
    <t>Exuus</t>
  </si>
  <si>
    <t>Leapfrog Ventures</t>
  </si>
  <si>
    <t>https://is.gd/lA4K77</t>
  </si>
  <si>
    <t>https://www.crunchbase.com/funding_round/l%C3%BCla-grant--a0514a4e#section-lead-investors</t>
  </si>
  <si>
    <t>https://www.crunchbase.com/funding_round/hirehunt-seed--3976a311</t>
  </si>
  <si>
    <t>HelloSolar</t>
  </si>
  <si>
    <t>IBEX Frontier LLC</t>
  </si>
  <si>
    <t>Farmru</t>
  </si>
  <si>
    <t>SAB Foundation</t>
  </si>
  <si>
    <t>https://is.gd/pztLaU</t>
  </si>
  <si>
    <t>Scienup</t>
  </si>
  <si>
    <t xml:space="preserve"> Flat6Labs Cairo</t>
  </si>
  <si>
    <t>https://magnitt.com/startups/scienup</t>
  </si>
  <si>
    <t>Enqaz Dot Net</t>
  </si>
  <si>
    <t>https://www.crunchbase.com/funding_round/enqaz-dot-net-seed--e8d2b362</t>
  </si>
  <si>
    <t>Wallets Africa</t>
  </si>
  <si>
    <t>Allpro Technologies</t>
  </si>
  <si>
    <t>https://www.crunchbase.com/funding_round/buycoins-seed--842371c8#section-investors</t>
  </si>
  <si>
    <t>https://www.crunchbase.com/funding_round/cowrywise-seed--ae0320c3</t>
  </si>
  <si>
    <t>Names &amp; Faces</t>
  </si>
  <si>
    <t>https://techcrunch.com/2018/08/20/here-are-the-63-startups-that-launched-today-at-y-combinators-s18-demo-day-1/</t>
  </si>
  <si>
    <t>Awamo</t>
  </si>
  <si>
    <t>FinLab</t>
  </si>
  <si>
    <t>https://www.crunchbase.com/funding_round/awamo-seed--766d5b33#section-recent-news</t>
  </si>
  <si>
    <t>Sweetkiwi</t>
  </si>
  <si>
    <t>Union Kitchen</t>
  </si>
  <si>
    <t>https://www.crunchbase.com/funding_round/sweetkiwi-seed--355e32cf</t>
  </si>
  <si>
    <t>Lendable</t>
  </si>
  <si>
    <t>FMO</t>
  </si>
  <si>
    <t>http://ventureburn.com/2018/08/lendable-fmo-450k/</t>
  </si>
  <si>
    <t>ThankUCash</t>
  </si>
  <si>
    <t>Microtraction, Ventures Platform</t>
  </si>
  <si>
    <t>https://www.crunchbase.com/funding_round/connected-analytics-seed--8a05a338#section-overview</t>
  </si>
  <si>
    <t>The Farmer's Son Cycles</t>
  </si>
  <si>
    <t>https://www.crunchbase.com/organization/the-farmer-s-son-cycles</t>
  </si>
  <si>
    <t>Rise Capital</t>
  </si>
  <si>
    <t>https://www.sec.gov/Archives/edgar/data/1751253/000175125318000001/xslFormDX01/primary_doc.xml</t>
  </si>
  <si>
    <t>Leapfrog Ventures Japan</t>
  </si>
  <si>
    <t>http://digestafrica.com/takuma-leapfrog-ventures-kenya-biasharabot/</t>
  </si>
  <si>
    <t>https://www.crunchbase.com/funding_round/connected-analytics-seed--bdf2ab5d#section-investors</t>
  </si>
  <si>
    <t>Paystack</t>
  </si>
  <si>
    <t>Stripe, Y Combinator, Tencent Holdings, Visa</t>
  </si>
  <si>
    <t>https://www.sec.gov/Archives/edgar/data/1751829/000175182918000001/xslFormDX01/primary_doc.xml</t>
  </si>
  <si>
    <t>Tencent Holdings, Comcast Ventures, Singularity Investments</t>
  </si>
  <si>
    <t>http://disrupt-africa.com/2016/12/nigerias-paystack-gets-1-3m-seed-funding/</t>
  </si>
  <si>
    <t>https://techcrunch.com/2016/03/22/y-combinator-demo-day-winter-2016/</t>
  </si>
  <si>
    <t>https://techweez.com/2018/08/28/twiga-foods-gets-multimillion-dollar-funding-for-distribution-network/</t>
  </si>
  <si>
    <t>https://www.sec.gov/Archives/edgar/data/1672574/000167257418000001/xslFormDX01/primary_doc.xml</t>
  </si>
  <si>
    <t>Livestock Trade Services</t>
  </si>
  <si>
    <t>Xente</t>
  </si>
  <si>
    <t>https://digestafrica.com/leapfrog-ventures-xente-swipe2pay-francom/#.XAvrdXQzbb1</t>
  </si>
  <si>
    <t>Francom</t>
  </si>
  <si>
    <t>https://is.gd/7BnBzg</t>
  </si>
  <si>
    <t>Swipe2Pay</t>
  </si>
  <si>
    <t>https://digestafrica.com/leapfrog-ventures-xente-swipe2pay-francom/#.XAuFg3Qzbb1</t>
  </si>
  <si>
    <t>Massachusetts Institute of Technology Legatum Centre,  Mastercard Foundation</t>
  </si>
  <si>
    <t>https://techpoint.africa/2018/08/30/3-startups-shines-at-the-2018-zambezi-prize/</t>
  </si>
  <si>
    <t>RecyclePoints</t>
  </si>
  <si>
    <t>Massachusetts Institute of Technology Legatum Centre, Mastercard Foundation</t>
  </si>
  <si>
    <t>https://www.sec.gov/Archives/edgar/data/1751635/000175163518000002/xslFormDX01/primary_doc.xml</t>
  </si>
  <si>
    <t>Nvoicia</t>
  </si>
  <si>
    <t>https://digestafrica.com/mest-invest-african-startups/#.XAquI2gzbb0</t>
  </si>
  <si>
    <t>RedRaven</t>
  </si>
  <si>
    <t>http://techativeng.com/2018/09/24/redraven-limited-raises-15000-in-pre-seed-funding-to-build-a-blockchain-payment-gateway-in-africa/</t>
  </si>
  <si>
    <t>https://www.crunchbase.com/funding_round/zaagel-xpress-seed--6801acd6</t>
  </si>
  <si>
    <t>Mandulis Energy</t>
  </si>
  <si>
    <t>Laudato Si 'Challenge</t>
  </si>
  <si>
    <t>https://www.economyup.it/energia/laudato-si-challenge-cosa-fanno-le-9-startup-benedette-dal-vaticano-che-hanno-ottenuto-900mila-euro/</t>
  </si>
  <si>
    <t>DARA</t>
  </si>
  <si>
    <t>https://www.crunchbase.com/funding_round/dara-pre-seed--c3ddee56</t>
  </si>
  <si>
    <t>ElRoshetta</t>
  </si>
  <si>
    <t>Falak Startups</t>
  </si>
  <si>
    <t>https://www.crunchbase.com/funding_round/elroshetta-seed--706d202b#section-overview</t>
  </si>
  <si>
    <t>Cycles</t>
  </si>
  <si>
    <t>FbStart</t>
  </si>
  <si>
    <t>https://www.crunchbase.com/funding_round/cycles-pre-seed--05624f8c</t>
  </si>
  <si>
    <t>HealthApp Group</t>
  </si>
  <si>
    <t>http://disrupt-africa.com/2019/07/egyptian-e-health-startup-7keema-to-expand-across-africa-via-quasi-franchising-model/</t>
  </si>
  <si>
    <t>Versara Finance</t>
  </si>
  <si>
    <t>https://www.crunchbase.com/funding_round/versara-finance-seed--6b860f71</t>
  </si>
  <si>
    <t>Africa Incubator</t>
  </si>
  <si>
    <t>Leapfrog Ventures, Monex Ventures, ANRI</t>
  </si>
  <si>
    <t>https://japan.cnet.com/article/35124791/</t>
  </si>
  <si>
    <t>Aqarmap</t>
  </si>
  <si>
    <t>Wamda Capital, KISP Ventures, Raed Ventures</t>
  </si>
  <si>
    <t>https://www.menabytes.com/aqarmap-investment/</t>
  </si>
  <si>
    <t>Bwala Africa</t>
  </si>
  <si>
    <t>CFC Stanbic</t>
  </si>
  <si>
    <t>https://www.capitalfm.co.ke/business/2018/09/logistics-firm-bwala-africa-secures-sh10m-financing-to-expand-fleet/</t>
  </si>
  <si>
    <t>MDaaS Global</t>
  </si>
  <si>
    <t>https://digestafrica.com/ventures-platform-nigeria-mdaas-global/#.XAqkTWgzbb1</t>
  </si>
  <si>
    <t>AlMaqarr Coworking Space</t>
  </si>
  <si>
    <t>Cairo Angels, Alex Angels</t>
  </si>
  <si>
    <t>https://www.menabytes.com/almaqarr-investment/</t>
  </si>
  <si>
    <t>4DX Ventures, Y Combinator, Western Technology Investment, Social Capital, Lynett Capital, Golden Palm Investments</t>
  </si>
  <si>
    <t>https://techcrunch.com/2018/09/04/expanding-its-internet-service-to-more-countries-in-africa-tizeti-raises-3-million/</t>
  </si>
  <si>
    <t>Ecobank Fintech Challenge</t>
  </si>
  <si>
    <t>http://disrupt-africa.com/2018/09/tanzanias-nala-wins-ecobank-fintech-challenge/</t>
  </si>
  <si>
    <t>http://www.startup365.fr/africa-tanzanias-nala-wins-ecobank-fintech-challenge/</t>
  </si>
  <si>
    <t>FreshSource</t>
  </si>
  <si>
    <t>https://www.menabytes.com/freshsource-seed/</t>
  </si>
  <si>
    <t>Partech Partners, Orange Digital Ventures, Dutch Development Bank, Futuregrowth Asset Management, Quona Capital, Velocity Capital Private Equity</t>
  </si>
  <si>
    <t>https://www.thepaypers.com/payments-general/south-african-payments-startup-yoco-raises-usd-16-mln/774739-27?utm_source=feedburner&amp;utm_medium=feed&amp;utm_campaign=Feed%3A+thepaypers%2FcfKW+%28The+Paypers+Headlines%29</t>
  </si>
  <si>
    <t>Global Innovation Fund, Unreasonable Capital, Goodwell Investments, Adlevo Capital, Omidyar Network</t>
  </si>
  <si>
    <t>https://techpoint.africa/2018/09/06/paga-series-b2-global/</t>
  </si>
  <si>
    <t>Sendroid AI</t>
  </si>
  <si>
    <t>https://www.crunchbase.com/funding_round/sendroid-ai-pre-seed--378468f4</t>
  </si>
  <si>
    <t>Tachyon by Consensys Ventures</t>
  </si>
  <si>
    <t>http://digestafrica.com/elkrem-egypt-blockchain/#.W5Z6rxRRXeQ</t>
  </si>
  <si>
    <t>LGT group</t>
  </si>
  <si>
    <t>https://www.crunchbase.com/funding_round/copia-global-series-unknown--fcd2d576#section-investors</t>
  </si>
  <si>
    <t>Hovo</t>
  </si>
  <si>
    <t>https://www.crunchbase.com/funding_round/hovo-seed--e64259c9#section-overview</t>
  </si>
  <si>
    <t>Swiver</t>
  </si>
  <si>
    <t>Compagnie d’Assurance et de Réassurance Tuniso-Européenne (Carte)</t>
  </si>
  <si>
    <t>https://www.ecofinagency.com/finance/1009-38939-tunisia-swiver-raises-about-tnd500-000-for-its-development</t>
  </si>
  <si>
    <t>FinAccess</t>
  </si>
  <si>
    <t>https://techmoran.com/2018/09/10/the-katapult-accelerator-invests-450000-into-kenyas-finaccess-egypts-praxilabs-tunisias-think-it/</t>
  </si>
  <si>
    <t>Think.IT</t>
  </si>
  <si>
    <t>PraxiLabs</t>
  </si>
  <si>
    <t>Hashtag Our Stories</t>
  </si>
  <si>
    <t>Snap</t>
  </si>
  <si>
    <t>https://is.gd/aTqHu4</t>
  </si>
  <si>
    <t>http://www.sec.gov/Archives/edgar/data/1745877/000174587718000001/xslFormDX01/primary_doc.xml</t>
  </si>
  <si>
    <t>DabaDoc</t>
  </si>
  <si>
    <t>Axa Insurance Morocco</t>
  </si>
  <si>
    <t>https://is.gd/JU0sw5</t>
  </si>
  <si>
    <t>Jumeni</t>
  </si>
  <si>
    <t>https://digestafrica.com/mest-invest-african-startups/#.XBIMUnQzbb2</t>
  </si>
  <si>
    <t>BACE Group</t>
  </si>
  <si>
    <t xml:space="preserve">CodeIn </t>
  </si>
  <si>
    <t>Judy</t>
  </si>
  <si>
    <t>ShareHouse</t>
  </si>
  <si>
    <t>https://digestafrica.com/mest-invest-african-startups/#.XBILFnQzbb0</t>
  </si>
  <si>
    <t>Truckr Technologies</t>
  </si>
  <si>
    <t>https://digestafrica.com/mest-invest-african-startups/#.XBIL-HQzbb1</t>
  </si>
  <si>
    <t>Crop2Cash</t>
  </si>
  <si>
    <t>Wennovation Hub</t>
  </si>
  <si>
    <t>http://crop2cash.com.ng/</t>
  </si>
  <si>
    <t>Dilivasbox</t>
  </si>
  <si>
    <t>https://dilivasbox.com/</t>
  </si>
  <si>
    <t>Voyc.ai</t>
  </si>
  <si>
    <t>https://www.techstars.com/content/accelerators/introducing-2018-class-sap-io-foundry-powered-techstars-accelerator-berlin/</t>
  </si>
  <si>
    <t>Atura</t>
  </si>
  <si>
    <t>Blue Garnet Investments, Investec, Crossfin</t>
  </si>
  <si>
    <t>http://ventureburn.com/2018/09/nml-atura-investec-investment/</t>
  </si>
  <si>
    <t>OTO English</t>
  </si>
  <si>
    <t>HIMangel, EdVentures</t>
  </si>
  <si>
    <t>https://www.menabytes.com/oto-english-seed/?fbclid=IwAR2FXBx1HAVRYRB_eUkM1sq1SptRL3qC03-gVE30JHzteAC1bYnUh3zLzT4</t>
  </si>
  <si>
    <t>YenePay</t>
  </si>
  <si>
    <t>Enova Robotics</t>
  </si>
  <si>
    <t>Capsa Capital Partners</t>
  </si>
  <si>
    <t>https://www.menabytes.com/enova-robotics-1-6-million/</t>
  </si>
  <si>
    <t>Goldman Sachs, Proparco, Finnfund, Vostok Emerging Finance, Gemcorp Capital, LeapFrog Investments.</t>
  </si>
  <si>
    <t>http://digestafrica.com/cape-town-jumo-goldman-sachs/#.W6D_DRRRXeR</t>
  </si>
  <si>
    <t>STV, Silicon Badia, BECO Capital, Vostock New Ventures, Crescent Enterprise Venture Capital</t>
  </si>
  <si>
    <t>https://techcrunch.com/2018/09/19/vezeeta-the-leading-mena-healthcare-startup-secures-12m-series-c-led-by-stv/</t>
  </si>
  <si>
    <t xml:space="preserve">Fashpa </t>
  </si>
  <si>
    <t>Farfetch</t>
  </si>
  <si>
    <t>http://disrupt-africa.com/2018/09/nigerias-fashpa-chosen-for-lisbon-fashion-accelerator/</t>
  </si>
  <si>
    <t>MAYDAY</t>
  </si>
  <si>
    <t>VFlock</t>
  </si>
  <si>
    <t>https://magnitt.com/news/mayday-disrupting-roadside-assistance-egypt?platform=hootsuite</t>
  </si>
  <si>
    <t>Enov8 Solutions</t>
  </si>
  <si>
    <t>SPHINX Capital</t>
  </si>
  <si>
    <t>https://techpoint.africa/2018/09/21/information-technology-startup-enov8-solutions-bold-ambition-to-take-over/</t>
  </si>
  <si>
    <t>servixme</t>
  </si>
  <si>
    <t>Benson Ajabor</t>
  </si>
  <si>
    <t>https://www.crunchbase.com/funding_round/servixme-seed--1671f0c3</t>
  </si>
  <si>
    <t>BeneFactors</t>
  </si>
  <si>
    <t>http://disrupt-africa.com/2018/09/rwandas-benefactors-raises-funds-for-scale-after-reaching-break-even/</t>
  </si>
  <si>
    <t>Medallion Communications</t>
  </si>
  <si>
    <t>Cairo Angels, 500 Startups</t>
  </si>
  <si>
    <t>https://www.crunchbase.com/funding_round/buseet-seed--490424c4</t>
  </si>
  <si>
    <t>https://www.sec.gov/Archives/edgar/data/1754780/000175478018000001/xslFormDX01/primary_doc.xml</t>
  </si>
  <si>
    <t>Intelligra</t>
  </si>
  <si>
    <t>LifeBank</t>
  </si>
  <si>
    <t>MIT Global Challenge</t>
  </si>
  <si>
    <t>https://technext.ng/2018/09/24/nigerian-healthcare-startup-lifebank-emerges-winner-2018-mit-solve-finals/</t>
  </si>
  <si>
    <t>FoodLocker</t>
  </si>
  <si>
    <t>https://is.gd/Wsdc15</t>
  </si>
  <si>
    <t>Betaksys Systeme</t>
  </si>
  <si>
    <t>https://www.crunchbase.com/funding_round/betaksys-systeme-seed--b59ccb38</t>
  </si>
  <si>
    <t>Solarworks!</t>
  </si>
  <si>
    <t>EDP Renovaveis SA, Persistent Energy Capital</t>
  </si>
  <si>
    <t>https://digestafrica.com/solarworks-raised-2m-international-expansion/#.XBJL1nQzbb0</t>
  </si>
  <si>
    <t>Good Energies, DOEN Participaties, EEP Africa</t>
  </si>
  <si>
    <t>https://www.crunchbase.com/funding_round/offgridbox-seed--b47f6e07</t>
  </si>
  <si>
    <t>Tastemakers Africa</t>
  </si>
  <si>
    <t>Precursor Ventures, CRE Venture Capital, Pipeline Angels, Metis Investments, Christopher Isaacs</t>
  </si>
  <si>
    <t>https://digestafrica.com/precursor-ventures-africa-investments/#.XAwUp3Qzbb0</t>
  </si>
  <si>
    <t>Datavora</t>
  </si>
  <si>
    <t>UGFS, Intilaq</t>
  </si>
  <si>
    <t>https://www.crunchbase.com/funding_round/datavora-seed--42531c00#section-investors</t>
  </si>
  <si>
    <t>Lapaire Glasses</t>
  </si>
  <si>
    <t>Aklabaity</t>
  </si>
  <si>
    <t>Savour Ventures</t>
  </si>
  <si>
    <t>https://www.crunchbase.com/funding_round/aklabaity-seed--e05d5c0b</t>
  </si>
  <si>
    <t>https://www.crunchbase.com/funding_round/medsaf-seed--28270077#section-overview</t>
  </si>
  <si>
    <t>iCommunity</t>
  </si>
  <si>
    <t>https://www.menabytes.com/icommunity-600k/</t>
  </si>
  <si>
    <t>AnaMehani</t>
  </si>
  <si>
    <t>https://www.crunchbase.com/funding_round/anamehani-seed--754ece36</t>
  </si>
  <si>
    <t>Jetstream Africa</t>
  </si>
  <si>
    <t>https://www.crunchbase.com/funding_round/jetstream-africa-seed--61af15f6</t>
  </si>
  <si>
    <t>UN Women</t>
  </si>
  <si>
    <t>https://weetracker.com/2018/10/06/ugandan-startup-neopenda-wins-usd-30-k-un-women-prize/</t>
  </si>
  <si>
    <t>Augmentors</t>
  </si>
  <si>
    <t>Newtown Partners</t>
  </si>
  <si>
    <t>https://www.businessinsider.co.za/this-1million-sa-game-lets-you-fight-in-augmented-reality-and-buy-and-sell-characters-2018-9</t>
  </si>
  <si>
    <t>https://opentraction.com/manage-your-financial-books-with-accounteer-d17e6a17508a</t>
  </si>
  <si>
    <t>Parcel-It</t>
  </si>
  <si>
    <t>https://greentec-capital.com/2018/10/08/greentec-invests-into-nigerian-logistics-solution-parcel-it/</t>
  </si>
  <si>
    <t>Alphabit Fund</t>
  </si>
  <si>
    <t>http://ventureburn.com/2018/10/sun-exchange-500k-investment-alphabit/</t>
  </si>
  <si>
    <t>BreastIT</t>
  </si>
  <si>
    <t>Global Innovation Fund</t>
  </si>
  <si>
    <t>https://is.gd/RMD9Ob</t>
  </si>
  <si>
    <t>RippleWorks</t>
  </si>
  <si>
    <t>https://weetracker.com/2018/10/12/zoona-funding-rippleworks/</t>
  </si>
  <si>
    <t>https://www.crunchbase.com/funding_round/connected-analytics-series-unknown--0695a5cd</t>
  </si>
  <si>
    <t>Trace</t>
  </si>
  <si>
    <t>http://ventureburn.com/2018/11/trace-acquires-coinafrique-stake/</t>
  </si>
  <si>
    <t>Raba Capital, Mastercard, FinTech Collective, CRE Venture Capital, 4DX Ventures</t>
  </si>
  <si>
    <t>https://digestafrica.com/flutterwave-20m-in-total-funding/#.XA5Pk3Qzbb0</t>
  </si>
  <si>
    <t>Hustlenomics</t>
  </si>
  <si>
    <t>https://is.gd/vzZPHi</t>
  </si>
  <si>
    <t>Invoiceworx</t>
  </si>
  <si>
    <t>http://ventureburn.com/2018/10/sab-foundation-innovation-awards/</t>
  </si>
  <si>
    <t>Instant Property</t>
  </si>
  <si>
    <t>http://ventureburn.com/2018/10/havaic-stake-instant-property/</t>
  </si>
  <si>
    <t>Simply</t>
  </si>
  <si>
    <t>Yellowwoods</t>
  </si>
  <si>
    <t>http://disrupt-africa.com/2018/10/sa-insurtech-startup-simply-raises-funding-for-growth/</t>
  </si>
  <si>
    <t>HitchHiker</t>
  </si>
  <si>
    <t>https://is.gd/Q2X9hF</t>
  </si>
  <si>
    <t>Click2Sure</t>
  </si>
  <si>
    <t>Greenlight Reinsurance</t>
  </si>
  <si>
    <t>https://is.gd/iRiNAC</t>
  </si>
  <si>
    <t>https://www.crunchbase.com/funding_round/safemotos-convertible-note--b57c0911</t>
  </si>
  <si>
    <t>PEBL</t>
  </si>
  <si>
    <t>https://greentec-capital.com/2018/10/23/greentec-invests-in-namibian-technology-manufacturer-pebl/</t>
  </si>
  <si>
    <t>Uprise.Africa</t>
  </si>
  <si>
    <t>Nexus Ventures</t>
  </si>
  <si>
    <t>http://disrupt-africa.com/2018/10/sa-crowdfunding-platform-uprise-africa-secures-funding/</t>
  </si>
  <si>
    <t>BoostMe360</t>
  </si>
  <si>
    <t>https://www.itweb.co.za/content/j5alrvQlLxyqpYQk</t>
  </si>
  <si>
    <t>Mastercard Foundation Fund for Rural Prosperity</t>
  </si>
  <si>
    <t>http://disrupt-africa.com/2018/10/african-startups-secure-grant-money-from-mastercard-fund/</t>
  </si>
  <si>
    <t>Riby Finance</t>
  </si>
  <si>
    <t>http://disrupt-africa.com/2018/10/nigerian-fintech-startup-riby-raises-funding-from-microtraction/</t>
  </si>
  <si>
    <t>MFS Africa</t>
  </si>
  <si>
    <t>LUN Partners Group, Goodwell Investments, FSD Africa, Equator Capital Partners</t>
  </si>
  <si>
    <t>http://ventureburn.com/2018/10/mfs-africa-funding-14m/</t>
  </si>
  <si>
    <t>https://techcrunch.com/2018/10/31/a-look-at-all-the-companies-participating-in-500-startups-24th-accelerator-program/</t>
  </si>
  <si>
    <t>Amplify</t>
  </si>
  <si>
    <t>DIFC FinTech Hive</t>
  </si>
  <si>
    <t>https://www.crunchbase.com/organization/amplifiedpaymentsystems#section-overview</t>
  </si>
  <si>
    <t>https://www.crunchbase.com/organization/eneza-education</t>
  </si>
  <si>
    <t>GiftedMom</t>
  </si>
  <si>
    <t>https://www.crunchbase.com/organization/giftedmom#section-funding-rounds</t>
  </si>
  <si>
    <t>KEA Medicals</t>
  </si>
  <si>
    <t>https://www.crunchbase.com/organization/kea-medicals</t>
  </si>
  <si>
    <t>quip.link</t>
  </si>
  <si>
    <t>https://www.crunchbase.com/organization/kodi-f9b8#section-overview</t>
  </si>
  <si>
    <t>SOL Wallet</t>
  </si>
  <si>
    <t>Skywell Capital</t>
  </si>
  <si>
    <t>https://www.crunchbase.com/organization/sol-wallet#section-funding-rounds</t>
  </si>
  <si>
    <t>SunFunder, Oikocredit International</t>
  </si>
  <si>
    <t>http://www.ietp.com/en/content/peg-africa-raises-15-million-support-distribution-solar-home-systems-ghana</t>
  </si>
  <si>
    <t>https://www.crunchbase.com/funding_round/afrikrea-seed--0acfef8a</t>
  </si>
  <si>
    <t>Koann</t>
  </si>
  <si>
    <t>https://www.crunchbase.com/organization/koann</t>
  </si>
  <si>
    <t>Chinook Capital, Co-creation Hub Nigeria</t>
  </si>
  <si>
    <t>http://ventureburn.com/2018/11/edtech-edves-seed-funding/</t>
  </si>
  <si>
    <t>Netwookie</t>
  </si>
  <si>
    <t>https://weetracker.com/2018/11/05/greentec-invests-netwookie/</t>
  </si>
  <si>
    <t>PharmaScout</t>
  </si>
  <si>
    <t>http://disrupt-africa.com/2018/11/sa-startup-pharmascout-raises-series-a-funding-from-knife-capital/</t>
  </si>
  <si>
    <t>AwaBike</t>
  </si>
  <si>
    <t>Ingressive Capital</t>
  </si>
  <si>
    <t>https://weetracker.com/2018/11/08/ingressive-capital-invests-in-nigerian-bicycle-sharing-startup-awabike/</t>
  </si>
  <si>
    <t>Kukua</t>
  </si>
  <si>
    <t>EchoVC Partners, Kima Ventures, Founders Factory, Burda Principle Investments, First Minute Capital</t>
  </si>
  <si>
    <t>https://digestafrica.com/kukua-seed-round-echovc-partners/#.XAo6nWgzbb1</t>
  </si>
  <si>
    <t>Yusudi</t>
  </si>
  <si>
    <t>https://greentec-capital.com/2018/11/09/greentec-expands-into-edtech-sector-with-investment-into-kenya-based-yusudi-ltd/?fbclid=IwAR3oashY4RRpkp4mfhXL5UtvC9G9mA7SDPbBRFbBJJFk5ZKIVtoUJFWd-s0</t>
  </si>
  <si>
    <t>CowTribe</t>
  </si>
  <si>
    <t>Draper Richards Kaplan Foundation</t>
  </si>
  <si>
    <t>https://is.gd/yuDAnY</t>
  </si>
  <si>
    <t>NanoDoors</t>
  </si>
  <si>
    <t>https://www.crunchbase.com/funding_round/nanodoors-pre-seed--6b516fbf</t>
  </si>
  <si>
    <t>Sompo Holdings</t>
  </si>
  <si>
    <t>https://news.bitcoin.com/sompo-holdings-acquires-10-stake-in-kenyan-cryptocurrency-exchange-bitpesa/</t>
  </si>
  <si>
    <t>International Finance Corporation, 1776 Ventures, Wamda Capital, TLcom Capital Partners, DOB Equity</t>
  </si>
  <si>
    <t>https://www.wamda.com/2018/11/twiga-foods-raises-10-million</t>
  </si>
  <si>
    <t>Fakahany</t>
  </si>
  <si>
    <t>Endure Capital</t>
  </si>
  <si>
    <t>https://www.menabytes.com/fakahany-seed/</t>
  </si>
  <si>
    <t>FinChatBot</t>
  </si>
  <si>
    <t>Kalon Venture Partners, Compass Capital</t>
  </si>
  <si>
    <t>http://disrupt-africa.com/2018/11/sas-finchatbot-secures-investment-from-kalon-compass/</t>
  </si>
  <si>
    <t>Farm.ink</t>
  </si>
  <si>
    <t>Fall Armyworm Tech Prize</t>
  </si>
  <si>
    <t>https://techmoran.com/kenyas-farm-ink-brings-home-150000-after-winning-usaids-future-fall-armyworm-tech-grand-prize/</t>
  </si>
  <si>
    <t>Greenage Technologies</t>
  </si>
  <si>
    <t>https://techpoint.africa/2018/11/22/genesysignite-2018-enugu/</t>
  </si>
  <si>
    <t>LawyerApp</t>
  </si>
  <si>
    <t>Henson Geodata Technologies</t>
  </si>
  <si>
    <t>http://disrupt-africa.com/2018/11/nairobi-based-startup-wins-usaids-fall-armyworm-tech-prize/</t>
  </si>
  <si>
    <t>eHealth Africa</t>
  </si>
  <si>
    <t>GBarena</t>
  </si>
  <si>
    <t>https://www.crunchbase.com/funding_round/gbarena-seed--0f97054a#section-lead-investors</t>
  </si>
  <si>
    <t>Akorion</t>
  </si>
  <si>
    <t>http://pctechmag.com/2018/11/akorion-secures-usd75000-as-runners-up-for-usaids-fall-armyworm-tech-prize/</t>
  </si>
  <si>
    <t>Fixxr</t>
  </si>
  <si>
    <t>IBM</t>
  </si>
  <si>
    <t>http://ventureburn.com/2018/11/uber-platform-mechanics-fixxr-wins-r500k-ibm/</t>
  </si>
  <si>
    <t>BECO Capital, Raed Ventures, Silicon Badia, Arzan Venture Capital</t>
  </si>
  <si>
    <t>https://www.menabytes.com/biggest-tech-investments-2018/</t>
  </si>
  <si>
    <t>SonoCare</t>
  </si>
  <si>
    <t>https://digestafrica.com/nigerias-sonocare-raises-250000-from-gray-matters-capital/#.XAo7FWgzbb2</t>
  </si>
  <si>
    <t>Justin Drennan, Frederik Gerner, Bas Hochstenbach</t>
  </si>
  <si>
    <t>Telkom Kenya</t>
  </si>
  <si>
    <t>European Investment Bank (EIB)</t>
  </si>
  <si>
    <t>https://af.reuters.com/article/investingNews/idAFKCN1NS0OL-OZABS?utm_content=buffer6abdc&amp;utm_medium=social&amp;utm_source=twitter.com&amp;utm_campaign=buffer</t>
  </si>
  <si>
    <t>Seemba</t>
  </si>
  <si>
    <t>https://www.crunchbase.com/funding_round/seemba-2-pre-seed--60dbe422</t>
  </si>
  <si>
    <t>iSON Xperiences</t>
  </si>
  <si>
    <t>AfricInvest, Gulf Capital</t>
  </si>
  <si>
    <t>http://www.africanews.com/2018/11/26/gulf-capital-and-africinvest-invest-us-51-million-into-ison-xperiences-the-largest-customer-service-and-outsourcing-provider-in-sub-saharan-africa/</t>
  </si>
  <si>
    <t>Kasha</t>
  </si>
  <si>
    <t>Optimizer Foundation</t>
  </si>
  <si>
    <t>https://www.dn.se/ekonomi/global-utveckling/investering-i-mensskydd-ska-fa-flickor-tillbaka-till-skolan/</t>
  </si>
  <si>
    <t>Arifu</t>
  </si>
  <si>
    <t>https://www.dn.se/ekonomi/global-utveckling/svenska-tech-miljoner-till-sociala-entreprenorer-i-ostafrika/</t>
  </si>
  <si>
    <t>AkiraChix</t>
  </si>
  <si>
    <t>Motorola Solutions Foundation</t>
  </si>
  <si>
    <t>http://akirachix.com/news-release-akirachix-receives-motorola-solutions-foundation-grant/?platform=hootsuite</t>
  </si>
  <si>
    <t>Access Ventures, Aster</t>
  </si>
  <si>
    <t>https://impactalpha.com/zimbabwes-zonful-raises-early-funding-for-pay-as-you-go-solar/</t>
  </si>
  <si>
    <t>Legafrik</t>
  </si>
  <si>
    <t>https://greentec-capital.com/2018/11/28/greentec-invests-into-cote-divoire-based-saas-and-legaltech-provider-legafrik/</t>
  </si>
  <si>
    <t>Mettlestate</t>
  </si>
  <si>
    <t>Smartcall</t>
  </si>
  <si>
    <t>https://esportsobserver.com/smartcall-south-africa-mettlestate/</t>
  </si>
  <si>
    <t>HelpMum</t>
  </si>
  <si>
    <t>Google Impact Challenge Nigeria</t>
  </si>
  <si>
    <t>https://impactchallenge.withgoogle.com/nigeria2018/charities</t>
  </si>
  <si>
    <t>UjuziKilimo Solutions</t>
  </si>
  <si>
    <t>Google Impact Challenge Kenya</t>
  </si>
  <si>
    <t>https://impactchallenge.withgoogle.com/kenya2018/charities</t>
  </si>
  <si>
    <t>Rwanda Motor Cycle Company</t>
  </si>
  <si>
    <t>https://www.sec.gov/Archives/edgar/data/1671689/000167168918000001/xslFormDX01/primary_doc.xml</t>
  </si>
  <si>
    <t>M-Shule</t>
  </si>
  <si>
    <t>Sauti East Africa</t>
  </si>
  <si>
    <t>VetSark</t>
  </si>
  <si>
    <t>Itanna Accelerator</t>
  </si>
  <si>
    <t>https://techmoran.com/2018/11/30/kolopay-accounteer-tradebuza-powercube-raise-100k-from-nigerias-itanna-accelerator/</t>
  </si>
  <si>
    <t>KoloPay</t>
  </si>
  <si>
    <t>PowerCube</t>
  </si>
  <si>
    <t>TradeBuza</t>
  </si>
  <si>
    <t>Spurbuddy</t>
  </si>
  <si>
    <t>https://www.crunchbase.com/organization/spurbuddy#section-overview</t>
  </si>
  <si>
    <t>Bridgeur</t>
  </si>
  <si>
    <t>Shenai Bridglall</t>
  </si>
  <si>
    <t>https://www.crunchbase.com/organization/bridgeur#section-funding-rounds</t>
  </si>
  <si>
    <t>Numbers</t>
  </si>
  <si>
    <t>https://www.crunchbase.com/organization/numbers-5de4#section-overview</t>
  </si>
  <si>
    <t>Battery Road Digital Holdings, Algebra Ventures</t>
  </si>
  <si>
    <t>https://digestafrica.com/egypt-halan-funding-algebra-ventures/#.XBN6-1wzbb0</t>
  </si>
  <si>
    <t>Yellowwoods, Hollard Insurance</t>
  </si>
  <si>
    <t>https://digestafrica.com/south-africa-naked-insurance-funding/#.XAqrWWgzbb0</t>
  </si>
  <si>
    <t>Kuramo Capital</t>
  </si>
  <si>
    <t>https://techmoran.com/2018/12/05/america-firm-kuramo-cap-to-buy-12-of-micro-lendor-pezesha/</t>
  </si>
  <si>
    <t>Vision Ventures</t>
  </si>
  <si>
    <t>https://www.menabytes.com/vision-ventures-buseet/</t>
  </si>
  <si>
    <t>Nedbank, Sanari Capital, Convergence Partners</t>
  </si>
  <si>
    <t>https://blog.snapt.net/snapt-series-a-funding/</t>
  </si>
  <si>
    <t>International Finance Corporation, Y Combinator, TLcom Capital Partners</t>
  </si>
  <si>
    <t>https://techcrunch.com/2018/12/07/nigerian-logistics-startup-kobo360-raises-6m-expands-in-africa/</t>
  </si>
  <si>
    <t>International Finance Corporation</t>
  </si>
  <si>
    <t>https://www.menabytes.com/vezeeta-ifc/</t>
  </si>
  <si>
    <t>Energy Shift</t>
  </si>
  <si>
    <t>Technology Innovation Agency</t>
  </si>
  <si>
    <t>http://ventureburn.com/2018/12/savant-startups-tia-grants/</t>
  </si>
  <si>
    <t>Global Energy</t>
  </si>
  <si>
    <t>Jonga</t>
  </si>
  <si>
    <t>ATTRI Orthopaedics</t>
  </si>
  <si>
    <t>RiseUp</t>
  </si>
  <si>
    <t>Endure Capital, 500 Startups, Kamelizer, Enara Capital</t>
  </si>
  <si>
    <t>https://www.menabytes.com/riseup-seed/</t>
  </si>
  <si>
    <t>Endure Capital, 500 Startups, Enara Capital, Kamelizer</t>
  </si>
  <si>
    <t>Averroes Ventures, Egypt Ventures, 500 Startups, Endure Capital, Alex Angels</t>
  </si>
  <si>
    <t>https://www.menabytes.com/nawah-scientific-pre-series-a/?utm_source=dlvr.it&amp;utm_medium=twitter</t>
  </si>
  <si>
    <t>Utopixar</t>
  </si>
  <si>
    <t>UNICEF Innovation Fund</t>
  </si>
  <si>
    <t>https://digestafrica.com/tunisia-blockchain-utopixar-unicef/#.XBN9Vlwzbb0</t>
  </si>
  <si>
    <t>Charge Ko Technologies</t>
  </si>
  <si>
    <t>FMO, Symbiotics</t>
  </si>
  <si>
    <t>https://digestafrica.com/zola-electric-expand-funding-tanzania/#.XBJ1AXQzbb0</t>
  </si>
  <si>
    <t>http://ventureburn.com/2018/12/nala-seedstars-dar-es-salaam-y-combinator/</t>
  </si>
  <si>
    <t>M-SCAN</t>
  </si>
  <si>
    <t>TechCrunch Startup Battlefield Africa</t>
  </si>
  <si>
    <t>https://techcrunch.com/2018/12/11/ultra-affordable-ultrasound-startup-m-scan-wins-techcrunch-startup-battlefield-africa/</t>
  </si>
  <si>
    <t>https://ventureburn.com/2018/12/nala-seedstars-dar-es-salaam-y-combinator/</t>
  </si>
  <si>
    <t>Odey Asset Management</t>
  </si>
  <si>
    <t>https://techcrunch.com/2018/12/13/jumo-raises-12-5m/?utm_source=feedburner&amp;utm_medium=feed&amp;utm_campaign=Feed%3A+techcrunch%2Ffundings-exits+%28TechCrunch+%C2%BB+Fundings+%26+Exits%29</t>
  </si>
  <si>
    <t>Wasla Browser</t>
  </si>
  <si>
    <t>Omar Barakat</t>
  </si>
  <si>
    <t>https://digestafrica.com/egypts-wasla-pre-seed-funding/#.XBEA3HQzbb0</t>
  </si>
  <si>
    <t>Pulse PerfectFit Studio</t>
  </si>
  <si>
    <t>African Entrepreneurship Award</t>
  </si>
  <si>
    <t>http://www.leseco.ma/entreprises/72458-african-entrepreneurship-award-treize-laureats-recompenses.html</t>
  </si>
  <si>
    <t>Plentify</t>
  </si>
  <si>
    <t>Sooretul</t>
  </si>
  <si>
    <t>Ugabus</t>
  </si>
  <si>
    <t>https://www.crunchbase.com/organization/africa-delivery-technologies-ltd#section-overview</t>
  </si>
  <si>
    <t>Mon Artisan</t>
  </si>
  <si>
    <t>Medtrucks</t>
  </si>
  <si>
    <t>Green Tech Africa</t>
  </si>
  <si>
    <t>AkooBooks Audio</t>
  </si>
  <si>
    <t>GoZem</t>
  </si>
  <si>
    <t>Reengine Ventures</t>
  </si>
  <si>
    <t>http://disrupt-africa.com/2018/12/ride-hailing-startup-gozem-launches-in-togo-with-grand-plans/</t>
  </si>
  <si>
    <t>ISAI,  Seventure Partners</t>
  </si>
  <si>
    <t>https://www.menabytes.com/expensya-4-5-million/</t>
  </si>
  <si>
    <t>Doen Foundation, Good Energies Foundations, Banque Populaire du Rwanda</t>
  </si>
  <si>
    <t>https://digestafrica.com/offgridbox-rwanda-seed-funding/#.XBN8zlwzbb0</t>
  </si>
  <si>
    <t>Rent To Own Africa</t>
  </si>
  <si>
    <t>AHL Venture Partners, Small Foundation , Jordan Engineering</t>
  </si>
  <si>
    <t>https://weetracker.com/2018/12/14/rent-to-own-seed-round/</t>
  </si>
  <si>
    <t>GSMA Ecosystem Accelerator, Seedstars</t>
  </si>
  <si>
    <t>http://disrupt-africa.com/2018/12/ghanaian-agri-tech-startup-agrocenta-closes-650k-seed-round-of-funding/</t>
  </si>
  <si>
    <t>Fintec Ventures</t>
  </si>
  <si>
    <t>https://www.fintec.group/news/2019/1/18/fintec-labs-closes-r65mil-series-b-funding-round</t>
  </si>
  <si>
    <t>Absa Bank</t>
  </si>
  <si>
    <t>https://www.crunchbase.com/funding_round/fintec-labs-non-equity-assistance--2998cc81#section-investors</t>
  </si>
  <si>
    <t>TaskMoby</t>
  </si>
  <si>
    <t>http://disrupt-africa.com/2018/12/gsma-backs-6-african-startups-through-innovation-fund/</t>
  </si>
  <si>
    <t>http://disrupt-africa.com/2018/12/sa-property-startup-houseme-secures-latest-funding-round/</t>
  </si>
  <si>
    <t>SomaApps</t>
  </si>
  <si>
    <t>https://digestafrica.com/funding-rounds-2018-took-place/#.XDXCjFwzbb0</t>
  </si>
  <si>
    <t>Newdigit</t>
  </si>
  <si>
    <t>https://www.crunchbase.com/organization/newdigit#section-overview</t>
  </si>
  <si>
    <t>Sumitomo Corporation</t>
  </si>
  <si>
    <t>https://digestafrica.com/m-kopa-japan-sumitomo-corporation/#.XDLwsFwzbb0</t>
  </si>
  <si>
    <t>Pernod Ricard</t>
  </si>
  <si>
    <t>https://digestafrica.com/french-pernod-ricard-stake-jumia/#.XBp6xlwzbb0</t>
  </si>
  <si>
    <t>Norfund, FMO, Swedfund International, Inspired Evolution Investment Management</t>
  </si>
  <si>
    <t>https://www.crunchbase.com/funding_round/d-light-design-series-unknown--bf8fc10f</t>
  </si>
  <si>
    <t>Kairos</t>
  </si>
  <si>
    <t>https://www.inc.com/anna-meyer/top-emerging-companies-2018-global-affordability.html</t>
  </si>
  <si>
    <t>Pula</t>
  </si>
  <si>
    <t>https://digestafrica.com/mastercard-uganda-burundi-malawi/#.XCr2B1wzbb0</t>
  </si>
  <si>
    <t>Prothem Usine</t>
  </si>
  <si>
    <t>Enviu BV Limited</t>
  </si>
  <si>
    <t>LSE Generate</t>
  </si>
  <si>
    <t>http://www.lse.ac.uk/News/Latest-news-from-LSE/2018/12-December-2018/LSE-entrepreneurs-win-funding-for-their-business-ideas</t>
  </si>
  <si>
    <t>Wakanow</t>
  </si>
  <si>
    <t>The Carlyle Group</t>
  </si>
  <si>
    <t>https://digestafrica.com/carlyle-group-invest-nigeria-wakanow/#.XBujflwzbb0</t>
  </si>
  <si>
    <t>Maisha Meds</t>
  </si>
  <si>
    <t>https://digestafrica.com/health-startups-villgro-kenya/</t>
  </si>
  <si>
    <t>Turaco</t>
  </si>
  <si>
    <t>UTU Technologies</t>
  </si>
  <si>
    <t>DEEPCORE</t>
  </si>
  <si>
    <t>http://disrupt-africa.com/2018/12/kenyan-ai-startup-utu-raises-further-seed-funding/</t>
  </si>
  <si>
    <t>VetCode</t>
  </si>
  <si>
    <t xml:space="preserve">Pmaestro </t>
  </si>
  <si>
    <t>https://magnitt.com/news/vetcode-raises-450k-seed-funding</t>
  </si>
  <si>
    <t>Seedstars, Silverback Capital, NISK Capital</t>
  </si>
  <si>
    <t>Zooba Eats</t>
  </si>
  <si>
    <t>https://digestafrica.com/egypt-zooba-eats-new-york/</t>
  </si>
  <si>
    <t>Zaytech</t>
  </si>
  <si>
    <t>https://digestafrica.com/ethiopia-ride-hailing-zayride-zaytech/#.XEBZtlwzbb0</t>
  </si>
  <si>
    <t>Bumba</t>
  </si>
  <si>
    <t>https://www.crunchbase.com/organization/bumba#section-overview</t>
  </si>
  <si>
    <t>FONERWA</t>
  </si>
  <si>
    <t>https://www.crunchbase.com/funding_round/ampersand-2-grant--586b7238</t>
  </si>
  <si>
    <t>IDF3</t>
  </si>
  <si>
    <t>https://www.crunchbase.com/funding_round/idf3-pre-seed--20d4a6fd</t>
  </si>
  <si>
    <t>https://www.crunchbase.com/organization/mayday-89a1#section-overview</t>
  </si>
  <si>
    <t>Prime Bank</t>
  </si>
  <si>
    <t>AfricInvest, Catalyst Princinpal Partners</t>
  </si>
  <si>
    <t>https://www.reuters.com/article/kenya-privateequity/private-equity-firms-africinvest-catalyst-invest-in-kenyas-prime-bank-idUSL8N1Z819E</t>
  </si>
  <si>
    <t>SunFunder, Oikocredit International, ResponsAbility</t>
  </si>
  <si>
    <t>https://digestafrica.com/solarnow-off-grid-solar-uganda/#.XDTQRFwzbb3</t>
  </si>
  <si>
    <t>Digital Boom</t>
  </si>
  <si>
    <t xml:space="preserve"> Family &amp; Friends FF.</t>
  </si>
  <si>
    <t>https://www.crunchbase.com/organization/digital-boom#section-funding-rounds</t>
  </si>
  <si>
    <t>Musoni</t>
  </si>
  <si>
    <t>Alterfin</t>
  </si>
  <si>
    <t>http://musonisystem.com/2019/01/alterfin-musoni/</t>
  </si>
  <si>
    <t>Goodwell Investments, Liil Ventures</t>
  </si>
  <si>
    <t>https://www.itnewsafrica.com/2019/01/south-african-startup-secures-additional-1-85-million-funding/</t>
  </si>
  <si>
    <t>Bboxx</t>
  </si>
  <si>
    <t>Africa Infrastructure Investment Managers</t>
  </si>
  <si>
    <t>https://digestafrica.com/aiim-invest-bboxx-stake/#.XDzeRVwzbb0</t>
  </si>
  <si>
    <t>https://www.crunchbase.com/funding_round/afrikrea-seed--e5779341</t>
  </si>
  <si>
    <t>https://www.crunchbase.com/organization/kamtar#section-overview</t>
  </si>
  <si>
    <t>Vollar</t>
  </si>
  <si>
    <t>Daniel James</t>
  </si>
  <si>
    <t>https://www.crunchbase.com/organization/vollar#section-overview</t>
  </si>
  <si>
    <t>http://disrupt-africa.com/2019/01/ethiopian-startup-behind-zayride-taxi-app-secures-seed-funding/</t>
  </si>
  <si>
    <t>SolarWorks!</t>
  </si>
  <si>
    <t>SunFunder, MFX Solutions</t>
  </si>
  <si>
    <t>https://digestafrica.com/solarworks-debt-sunfunder-mfx-solutions/</t>
  </si>
  <si>
    <t>French Development Agency</t>
  </si>
  <si>
    <t>https://hapakenya.com/2019/01/23/the-french-development-agency-invests-ksh-150-million-in-m-tiba/</t>
  </si>
  <si>
    <t>Osman Ahmed Osman, Jabbar Internet Group, ACE &amp; Company</t>
  </si>
  <si>
    <t>https://www.menabytes.com/failed-startups-bkam/?utm_source=dlvr.it&amp;utm_medium=twitter</t>
  </si>
  <si>
    <t>Talent2Africa</t>
  </si>
  <si>
    <t>https://digestafrica.com/mauritius-talent2africa-seed-funding/#.XGvPbOgzbb0</t>
  </si>
  <si>
    <t>https://republic.co/neopenda</t>
  </si>
  <si>
    <t>Oui Capital</t>
  </si>
  <si>
    <t>https://impactalpha.com/oui-capital-launches-to-fill-capital-and-mentorship-gaps-for-african-startups/</t>
  </si>
  <si>
    <t>Goodwell Investments</t>
  </si>
  <si>
    <t>https://digestafrica.com/goodwell-investments-kenya-copia-global/#.XEWOeVwzbb0</t>
  </si>
  <si>
    <t>Med.tn</t>
  </si>
  <si>
    <t>CARTE Group</t>
  </si>
  <si>
    <t>https://thd.tn/med-tn-premiere-levee-de-fonds-de-2-millions-de-dinars-concretisee/</t>
  </si>
  <si>
    <t>SuperFluids Labs</t>
  </si>
  <si>
    <t>https://greentec-capital.com/2019/01/22/greentec-invests-into-superfluid-labs/</t>
  </si>
  <si>
    <t>TheBoardroom Africa</t>
  </si>
  <si>
    <t>CDC Group</t>
  </si>
  <si>
    <t>https://digestafrica.com/cdc-theboardroom-africa-funding/#.XEcAA1wzbb0</t>
  </si>
  <si>
    <t>Startupbootcamp FinTech Dubai</t>
  </si>
  <si>
    <t>https://www.crunchbase.com/organization/nocofio#section-funding-rounds</t>
  </si>
  <si>
    <t>Generation Investment Management, Chan Zuckerberg Initiative, GV, Spark Capital, CRE Venture Capital</t>
  </si>
  <si>
    <t>https://digestafrica.com/al-gore-firm-andela-series-d/#.XEhV8Fwzbb0</t>
  </si>
  <si>
    <t>https://weetracker.com/2019/01/24/south-african-sun-exchange-raises-usd-1-mn-from-recently-concluded-ico/</t>
  </si>
  <si>
    <t>Estate Intel</t>
  </si>
  <si>
    <t>Techpoint</t>
  </si>
  <si>
    <t>https://techpoint.africa/2019/01/26/estate-intel-wins-pitch-storm-2019/</t>
  </si>
  <si>
    <t>Provider</t>
  </si>
  <si>
    <t>Rowland Eno</t>
  </si>
  <si>
    <t>https://www.crunchbase.com/organization/provider#section-funding-rounds</t>
  </si>
  <si>
    <t>Stack Dx</t>
  </si>
  <si>
    <t>https://opentraction.com/advanced-diagnostics-and-genetic-history-tests-with-stack-dx-32447351d4d1</t>
  </si>
  <si>
    <t>Flow</t>
  </si>
  <si>
    <t>https://digestafrica.com/kalon-venture-partners-leads-1-5m-series-a-for-sa-startup-flow/#.XE9D9Fwzbb0</t>
  </si>
  <si>
    <t>Blue Haven Initiative, Compass Venture Capital, Zephyr Acorn</t>
  </si>
  <si>
    <t>https://digestafrica.com/india-east-africa-shortlist-series-a/</t>
  </si>
  <si>
    <t>Mavin Records</t>
  </si>
  <si>
    <t>Kupanda Holdings</t>
  </si>
  <si>
    <t>https://digestafrica.com/nigeria-mavin-records-funding-kupanda-holdings/#.XFKVdFwzbb1</t>
  </si>
  <si>
    <t>Airtel Africa</t>
  </si>
  <si>
    <t>Qatar Investment Authority</t>
  </si>
  <si>
    <t>https://www.vccircle.com/qatar-investment-authority-to-invest-200-mn-in-airtel-africa</t>
  </si>
  <si>
    <t>Ctrl</t>
  </si>
  <si>
    <t>Santam</t>
  </si>
  <si>
    <t>https://businesstech.co.za/news/banking/296554/santam-concludes-minority-investment-in-insurtech-start-up-ctrl/</t>
  </si>
  <si>
    <t>Pinoffer</t>
  </si>
  <si>
    <t>500startups</t>
  </si>
  <si>
    <t>https://www.crunchbase.com/organization/pinoffer#section-overview</t>
  </si>
  <si>
    <t>FarmDrive</t>
  </si>
  <si>
    <t>EWB Canada, AK IMPACT INVESTORS, 1 to 4 Foundation, ADAP SEED FUND 2, The Lakes Charitable Foundation</t>
  </si>
  <si>
    <t>https://digestafrica.com/kenya-farmdrive-investment-existing-backer/#.XFWL-Fwzbb0</t>
  </si>
  <si>
    <t>Innovation Management Research Institute</t>
  </si>
  <si>
    <t>https://www.crunchbase.com/organization/innovation-management-research-institute#section-overview</t>
  </si>
  <si>
    <t>Eskom</t>
  </si>
  <si>
    <t>https://www.iol.co.za/news/politics/debt-ridden-eskom-secures-r15-billion-loan-19087276</t>
  </si>
  <si>
    <t>Naiste</t>
  </si>
  <si>
    <t>Shenall Bridglall</t>
  </si>
  <si>
    <t>https://www.crunchbase.com/organization/naiste#section-overview</t>
  </si>
  <si>
    <t>Compareha</t>
  </si>
  <si>
    <t>International Finance Corporation (IFC), Pharos Holding, AlexBank, German Agency for International Cooperation and Sustainable Development (GIZ), Visa, Ayady, Sanad’s Entrepreneurship Academy, Export Development Bank of Egypt (EBE)</t>
  </si>
  <si>
    <t>https://www.crunchbase.com/funding_round/compareha-pre-seed--229c792f</t>
  </si>
  <si>
    <t>VestedWorld</t>
  </si>
  <si>
    <t>https://digestafrica.com/vestedworld-kasha-backers/#.XFqXHFwzbb0</t>
  </si>
  <si>
    <t>Kora</t>
  </si>
  <si>
    <t>https://startupheretoronto.com/type/startup-news/techstars-toronto-accelerator-welcomes-its-2019-class/</t>
  </si>
  <si>
    <t>Cortex Logic</t>
  </si>
  <si>
    <t>https://www.itnewsafrica.com/2019/02/cortex-logic-secures-investment-to-grow-business-beyond-africa/</t>
  </si>
  <si>
    <t>PG Impact Investments</t>
  </si>
  <si>
    <t>http://pg-impact.com/2019/02/04/pg-impact-investments-makes-a-usd-5m-debt-investment-into-tugende-expanding-employment-opportunities-and-financial-inclusion-in-uganda/</t>
  </si>
  <si>
    <t>Equity Crowdfunding</t>
  </si>
  <si>
    <t>Cloudshift</t>
  </si>
  <si>
    <t>IntilaQ</t>
  </si>
  <si>
    <t>https://thd.tn/intilaq-fast-track-un-million-de-dinars-pour-les-5-startups-gagnantes/</t>
  </si>
  <si>
    <t>Appro.tn</t>
  </si>
  <si>
    <t>Deepera</t>
  </si>
  <si>
    <t>Attila Tel</t>
  </si>
  <si>
    <t>Wescore</t>
  </si>
  <si>
    <t>Hive</t>
  </si>
  <si>
    <t>https://www.menabytes.com/just-launched-hive/</t>
  </si>
  <si>
    <t>RapidDeploy</t>
  </si>
  <si>
    <t>GreatPoint Ventures, Samsung NEXT Ventures</t>
  </si>
  <si>
    <t>https://www.itweb.co.za/content/KBpdg7pPgwe7LEew</t>
  </si>
  <si>
    <t>Wade Flemons</t>
  </si>
  <si>
    <t>https://www.itweb.co.za/content/dgp45vaGmQAMX9l8</t>
  </si>
  <si>
    <t>Justin Caldbeck</t>
  </si>
  <si>
    <t>https://www.crunchbase.com/funding_round/bwala-seed--c6c7f24e#section-overview</t>
  </si>
  <si>
    <t>Proparco</t>
  </si>
  <si>
    <t>https://techweez.com/2019/02/18/msurvey-series-a-funding-supplement/</t>
  </si>
  <si>
    <t>https://www.menabytes.com/goodsmart-algebra/</t>
  </si>
  <si>
    <t>https://www.crunchbase.com/funding_round/eversend-convertible-note--1b1bc09a#section-overview</t>
  </si>
  <si>
    <t>https://www.crunchbase.com/funding_round/eversend-pre-seed--9ec5d927</t>
  </si>
  <si>
    <t>Ubongo</t>
  </si>
  <si>
    <t>Telecoming</t>
  </si>
  <si>
    <t>https://www.itnewsafrica.com/2019/02/international-telecoms-invest-in-african-edtech/</t>
  </si>
  <si>
    <t>Payabill</t>
  </si>
  <si>
    <t>Sasfin</t>
  </si>
  <si>
    <t>https://businesstech.co.za/news/banking/301152/sasfin-invests-in-fintech-lender-payabill/</t>
  </si>
  <si>
    <t xml:space="preserve">Coindirect </t>
  </si>
  <si>
    <t>Concentric, Blockchain.com, MakerDAO</t>
  </si>
  <si>
    <t>https://digestafrica.com/coindirect-seed-round-concentric/#.XG_K7Igzbb0</t>
  </si>
  <si>
    <t>https://qz.com/africa/1671174/e-commerce-in-africa-works-better-as-b2b-finds-kenyas-sokowatch/?hootPostID=9c2fe18405cb6dead82d81e475a28250</t>
  </si>
  <si>
    <t>Trella</t>
  </si>
  <si>
    <t>Algebra Ventures, Esther Dyson</t>
  </si>
  <si>
    <t>https://www.menabytes.com/trella-pre-seed/</t>
  </si>
  <si>
    <t xml:space="preserve">Revix </t>
  </si>
  <si>
    <t>http://ventureburn.com/2019/02/revix-to-launch-with-jse-listed-firm-r11m/</t>
  </si>
  <si>
    <t>Paper Plane Ventures</t>
  </si>
  <si>
    <t>http://ventureburn.com/2019/02/aerobotics-secures-r29m-in-funding/</t>
  </si>
  <si>
    <t>Trine</t>
  </si>
  <si>
    <t>https://www.businessinsider.com/bboxx-crowdfunded-68-million-for-africa-solar-project-2019-2?r=US&amp;IR=T</t>
  </si>
  <si>
    <t>TeamApt</t>
  </si>
  <si>
    <t>Quantum Capital Partners</t>
  </si>
  <si>
    <t>https://techcrunch.com/2019/02/28/nigerian-fintech-firm-teamapt-raises-5m-eyes-global-expansion/</t>
  </si>
  <si>
    <t>Valr</t>
  </si>
  <si>
    <t>Bittrex</t>
  </si>
  <si>
    <t>https://digestafrica.com/bittrex-south-africa-crypto-valr/#.XHjCMogzbb0</t>
  </si>
  <si>
    <t>Google</t>
  </si>
  <si>
    <t>https://www.crunchbase.com/funding_round/werpx-grant--ef267a88#section-overview</t>
  </si>
  <si>
    <t>Segal Family Foundation, Pace-Able Foundation, Rich Hoops, Ed Svenson</t>
  </si>
  <si>
    <t>AvidBeam</t>
  </si>
  <si>
    <t>Egypt Ventures</t>
  </si>
  <si>
    <t>https://www.menabytes.com/avidbeam-series-a/</t>
  </si>
  <si>
    <t>InvestSure</t>
  </si>
  <si>
    <t>Lireas Holdings, Compass Insure, 4Di Capital</t>
  </si>
  <si>
    <t>http://disrupt-africa.com/2019/03/sa-insurtech-startup-investsure-raises-685k-funding-round/</t>
  </si>
  <si>
    <t>Retail Capital</t>
  </si>
  <si>
    <t>Crossfin Technology</t>
  </si>
  <si>
    <t>https://www.itweb.co.za/content/8OKdWqDEPAOvbznQ</t>
  </si>
  <si>
    <t>Lima Kwanza Limited</t>
  </si>
  <si>
    <t>https://www.crunchbase.com/organization/lima-kwanza-limited</t>
  </si>
  <si>
    <t>Blue Haven Initiative</t>
  </si>
  <si>
    <t>https://weetracker.com/2019/03/07/exclusive-nairobi-based-youth-focused-social-enterprise-yusudi-raises-usd-250-k-from-blue-haven-initiative/</t>
  </si>
  <si>
    <t>https://digestafrica.com/kenya-marketplace-africasokoni-angel</t>
  </si>
  <si>
    <t>http://ventureburn.com/2019/03/onefi-5m-debt-facility/</t>
  </si>
  <si>
    <t>Greenlight Planet</t>
  </si>
  <si>
    <t>https://techmoran.com/2019/03/11/greenlight-planet-raises-e1-8-million-to-bring-solar-energy-to-half-a-million-people/</t>
  </si>
  <si>
    <t>Mobile Clinic</t>
  </si>
  <si>
    <t>Sandoz Healthcare Access Challenge</t>
  </si>
  <si>
    <t>https://pharmaphorum.com/news/sandoz-announces-results-of-digital-innovation-hack/</t>
  </si>
  <si>
    <t>Dsquares</t>
  </si>
  <si>
    <t xml:space="preserve">Algebra Ventures &amp; Ezdehar </t>
  </si>
  <si>
    <t>https://www.menabytes.com/dsquares-investment/</t>
  </si>
  <si>
    <t>https://www.fmo.nl/news-detail/59fab89c-1be4-4009-b725-b570167b68c8/fmo-supports-dopay-to-digitize-payroll-in-egypt</t>
  </si>
  <si>
    <t>CoinFlex</t>
  </si>
  <si>
    <t>Digital Currency Group, PolyChain Capital</t>
  </si>
  <si>
    <t>https://www.coindesk.com/polychain-dcg-invest-in-crypto-futures-exchange-coinflex</t>
  </si>
  <si>
    <t>FanCam</t>
  </si>
  <si>
    <t>Stadia Ventures</t>
  </si>
  <si>
    <t>https://www.bizjournals.com/stlouis/news/2019/03/13/st-louis-sports-business-accelerator-invests-in-6.html</t>
  </si>
  <si>
    <t>Digsconnect</t>
  </si>
  <si>
    <t>http://disrupt-africa.com/2019/03/sa-student-accommodation-startup-digsconnect-raises-830k/</t>
  </si>
  <si>
    <t>https://blog.ycombinator.com/meet-23-companies-from-the-yc-w19-batch-part-5/</t>
  </si>
  <si>
    <t>Tambua Health Inc.</t>
  </si>
  <si>
    <t>Backstage Accelerator</t>
  </si>
  <si>
    <t>https://pulse2.com/backstage-capital-accelerator-program-first-cohort/?utm_source=feedburner&amp;utm_campaign=Feed%3A+pulse2+%28Pulse+2.0+-+Technology+News+and+Reviews%29</t>
  </si>
  <si>
    <t>Middletrust</t>
  </si>
  <si>
    <t>https://www.crunchbase.com/organization/middletrust#section-overview</t>
  </si>
  <si>
    <t>Africa Healthcare Network</t>
  </si>
  <si>
    <t>Polaris Partners, Africa Healthcare Fund</t>
  </si>
  <si>
    <t>https://africacapitaldigest.com/africa-healthcare-network-closes-its-series-a/</t>
  </si>
  <si>
    <t>https://www.crunchbase.com/organization/thrive-agric#section-overview</t>
  </si>
  <si>
    <t>https://www.crunchbase.com/funding_round/credpal-seed--088033b0#section-overview</t>
  </si>
  <si>
    <t>Schoolable</t>
  </si>
  <si>
    <t>https://www.crunchbase.com/search/funding_rounds/field/organizations/funding_total/schoolable</t>
  </si>
  <si>
    <t>https://www.crunchbase.com/organization/wallet-ng</t>
  </si>
  <si>
    <t>https://500.co/announcing-batch-1-of-the-misk-500-mena-accelerator-program/</t>
  </si>
  <si>
    <t>Transsnet Music</t>
  </si>
  <si>
    <t>https://www.crunchbase.com/funding_round/transsnet-music-limited-seed--a220e922#section-overview</t>
  </si>
  <si>
    <t>FlexClub</t>
  </si>
  <si>
    <t>https://techcrunch.com/2019/03/19/south-africas-flexclub-raises-1-2m-partners-with-uber-mexico/?ct=t(EMAIL_CAMPAIGN_3_19_2019_12_47)&amp;mc_cid=6f5eec5596&amp;mc_eid=e3f02581a2</t>
  </si>
  <si>
    <t>CDC Group, ResponsAbility, SunFunder</t>
  </si>
  <si>
    <t>https://weetracker.com/2019/03/20/west-african-solar-company-pega-africa-brings-its-total-funding-to-usd-50-mn-with-recent-usd-25-mn-series-c/</t>
  </si>
  <si>
    <t>Energy Access Ventures, Blue Haven Initiative, I&amp;P Afrique Entrepreneurs, Acumen Fund, Total Energy Ventures, the Renewable Energy Performance Platform (REPP)</t>
  </si>
  <si>
    <t>54gene</t>
  </si>
  <si>
    <t>https://innovation-village.com/meet-the-seven-african-focused-startups-that-took-part-in-y-combinators-demo-day/</t>
  </si>
  <si>
    <t>Sendbox</t>
  </si>
  <si>
    <t>https://opentraction.com/discover-pay-and-deliver-with-sendbox-3012c7d3d2b2</t>
  </si>
  <si>
    <t>https://techmoran.com/2019/03/22/daystar-power-receives-10-million-us-dollars-for-expansion-of-solar-power-operations-in-west-africa/</t>
  </si>
  <si>
    <t>Persistent Energy Capital, Verod Capital Management</t>
  </si>
  <si>
    <t>https://weetracker.com/2019/03/21/persistent-energy-and-verod-capital-invests-usd-10-mn-in-west-african-solar-solutions-firm-daystar-power/</t>
  </si>
  <si>
    <t>FarmCrowdy</t>
  </si>
  <si>
    <t>Cox Enterprises, Techstars, Ajayi solutions</t>
  </si>
  <si>
    <t>https://techmoran.com/2019/03/21/nigerias-farmcrowdy-closes-on-additional-seed-funding-of-1-million/</t>
  </si>
  <si>
    <t>Wecyclers</t>
  </si>
  <si>
    <t>King Baudouin Foundation</t>
  </si>
  <si>
    <t>https://kenyan-digest.com/this-waste-management-startup-has-received-227000-to-scale-in-nigeria/</t>
  </si>
  <si>
    <t>Varkey Foundation</t>
  </si>
  <si>
    <t>https://www.forbes.com/sites/mfonobongnsehe/2019/03/24/african-edutainment-company-ubongo-wins-next-billion-edtech-prize/#60dfdce35330</t>
  </si>
  <si>
    <t>Buycoins</t>
  </si>
  <si>
    <t>https://www.crunchbase.com/funding_round/buycoins-seed--79463760#section-overview</t>
  </si>
  <si>
    <t>SeamlessHR</t>
  </si>
  <si>
    <t>Tofino Capital Invests</t>
  </si>
  <si>
    <t>https://weetracker.com/2019/03/25/%EF%BB%BFtofino-capital-invests-usd-150-k-in-nigerian-hr-company-seamlesshr/</t>
  </si>
  <si>
    <t>https://www.menabytes.com/gbarena-seed/</t>
  </si>
  <si>
    <t>BNP Paribas</t>
  </si>
  <si>
    <t>https://techmoran.com/2019/03/27/nigerias-rxall-wins-e100000s-hello-tomorrow-challenge-for-its-portable-drug-authenticator/</t>
  </si>
  <si>
    <t>Chocolate City Entertainment</t>
  </si>
  <si>
    <t>Warner Music Group</t>
  </si>
  <si>
    <t>https://qz.com/africa/1582570/warner-music-bets-on-afrobeats-nigeria-label-chocolate-city/</t>
  </si>
  <si>
    <t>4DX Ventures, Novastar Ventures, Unbound Ventures</t>
  </si>
  <si>
    <t>https://qz.com/africa/1582487/ghanas-mpharma-buys-kenya-pharmacy-haltons/</t>
  </si>
  <si>
    <t>Coliba</t>
  </si>
  <si>
    <t>Dakar Network Angels</t>
  </si>
  <si>
    <t>https://techcrunch.com/2019/03/28/dakar-network-angels-begins-startup-investments-in-francophone-africa/</t>
  </si>
  <si>
    <t>MARLINVEST</t>
  </si>
  <si>
    <t>https://digestafrica.com/kwik-delivery-seed-round-launch-lagos</t>
  </si>
  <si>
    <t>Ovex</t>
  </si>
  <si>
    <t>Newton Partners</t>
  </si>
  <si>
    <t>http://ventureburn.com/2019/04/vinny-lingham-newtown-partners-invests-in-crypo-exchange-ovex/?fbclid=IwAR2pKbRf9wMx-kPJA_we-4lb-CwgE0F8EXZ21YDSU6yS-VgGjvxdeXnj7MQ</t>
  </si>
  <si>
    <t>Skoll Foundation</t>
  </si>
  <si>
    <t>https://techmoran.com/2019/04/02/mpharma-receives-1-5-million-from-skoll-foundation-acquires-haltons-pharmacy/</t>
  </si>
  <si>
    <t>Brimore</t>
  </si>
  <si>
    <t>Algebra Ventures, Endure Capital, Flat6Labs, 500Startups</t>
  </si>
  <si>
    <t>http://enterprise.press/wp-content/uploads/2019/04/Brimore-Investment-Announcement-Final-1.pdf</t>
  </si>
  <si>
    <t>Boomplay Music</t>
  </si>
  <si>
    <t>Maison Capital, Seas Capital</t>
  </si>
  <si>
    <t>https://qz.com/africa/1588155/transsions-boomplay-gets-20-million-series-a-for-african-music/</t>
  </si>
  <si>
    <t>https://techmoran.com/2019/04/05/kudi-secures-5m-series-a-raise-led-by-partech-to-accelerate-the-growth-of-its-distributed-banks-agents-in-nigeria/</t>
  </si>
  <si>
    <t>https://ventureburn.com/2019/04/medsaf-iyeza-health-10k-gates-foundation/</t>
  </si>
  <si>
    <t>Iyeza Health</t>
  </si>
  <si>
    <t>Sidai Africa Ltd</t>
  </si>
  <si>
    <t>Devenish</t>
  </si>
  <si>
    <t>http://www.northernirelandchamber.com/member-news/devenish-invests-2-25m-kenyan-company-sidai-africa-ltd/</t>
  </si>
  <si>
    <t>SUNU CAPITAL, Axel Johnson Inc</t>
  </si>
  <si>
    <t>https://www.americaninno.com/chicago/funding-chicago/chicago-startup-neopenda-raises-1m-to-reduce-newborn-fatalities/</t>
  </si>
  <si>
    <t>Cash4Trash</t>
  </si>
  <si>
    <t>Redefine Properties</t>
  </si>
  <si>
    <t>https://ventureburn.com/2019/04/recycling-startup-cash4trash-redefine/</t>
  </si>
  <si>
    <t>https://www.crunchbase.com/organization/l%C3%BCla#section-overview</t>
  </si>
  <si>
    <t>MerQ Artificial Intelligence</t>
  </si>
  <si>
    <t>Ahmed Kamal Selim</t>
  </si>
  <si>
    <t>https://www.wamda.com/2019/04/merq-closes-seed-funding-round</t>
  </si>
  <si>
    <t>TORA Africa</t>
  </si>
  <si>
    <t>Idris Ayodeji Bello</t>
  </si>
  <si>
    <t>https://idrisbello.com/2019/04/15/why-i-am-investing-in-my-first-female-founded-african-startup-we-are-tora/</t>
  </si>
  <si>
    <t>Sabvest Limited</t>
  </si>
  <si>
    <t>https://www.crunchbase.com/funding_round/revix-series-unknown--b42a729e</t>
  </si>
  <si>
    <t>Peepz</t>
  </si>
  <si>
    <t>Sozala Media</t>
  </si>
  <si>
    <t>https://www.crunchbase.com/funding_round/peepz-seed--12f4689d</t>
  </si>
  <si>
    <t>Mos</t>
  </si>
  <si>
    <t>Garrett Camp, studio Expa,  John Doerr, Base Ventures,  Sweet Capital</t>
  </si>
  <si>
    <t>https://techmoran.com/2019/04/16/tunisian-activist-launches-mos-an-edtech-platform-for-students-to-apply-for-financial-aid/</t>
  </si>
  <si>
    <t>Kudigo</t>
  </si>
  <si>
    <t xml:space="preserve"> Founders Factory Africa.</t>
  </si>
  <si>
    <t>https://digestafrica.com/founders-factory-africa</t>
  </si>
  <si>
    <t>LipaLater</t>
  </si>
  <si>
    <t>Eazyhire</t>
  </si>
  <si>
    <t>Digest Africa</t>
  </si>
  <si>
    <t>South/South-East (SSE) Angel Network</t>
  </si>
  <si>
    <t>http://disrupt-africa.com/2019/04/southern-nigerian-angel-network-makes-first-investments/</t>
  </si>
  <si>
    <t>Ahmini</t>
  </si>
  <si>
    <t>MIT Enterprise Forum Pan Arab</t>
  </si>
  <si>
    <t>https://www.menabytes.com/mitef-arab-startup-competition-winners-2019/</t>
  </si>
  <si>
    <t>Alphotazi Farms</t>
  </si>
  <si>
    <t>Southern Nigerian angel network</t>
  </si>
  <si>
    <t>ZeroPrime Technologies (CanBank)</t>
  </si>
  <si>
    <t>Furnwish</t>
  </si>
  <si>
    <t>Calvin Ayre</t>
  </si>
  <si>
    <t>http://www.finsmes.com/2019/04/centbee-raises-1m-in-series-a-funding.html?utm_source=feedburner&amp;utm_medium=twitter&amp;utm_campaign=Feed%3A+finsmes%2FcNHu+%28FinSMEs%29</t>
  </si>
  <si>
    <t>https://digestafrica.com/ghana-kudigo-cseed-round-led-by-founders-factory-africa</t>
  </si>
  <si>
    <t>http://disrupt-africa.com/2019/04/nigerian-fintech-startups-awarded-efina-grant-funding/</t>
  </si>
  <si>
    <t>Extramile Africa</t>
  </si>
  <si>
    <t>Social Lender</t>
  </si>
  <si>
    <t>SmartTeller</t>
  </si>
  <si>
    <t>Capricorn Digital</t>
  </si>
  <si>
    <t>E-Health Zone</t>
  </si>
  <si>
    <t>https://www.crunchbase.com/organization/e-health-zone</t>
  </si>
  <si>
    <t>http://disrupt-africa.com/2019/04/cameroons-kiroo-games-raises-200k-in-latest-crowdfunding-campaign/</t>
  </si>
  <si>
    <t>http://disrupt-africa.com/2019/04/4-egyptian-startups-selected-for-500-startups-mena-dojo-programme/</t>
  </si>
  <si>
    <t>Garment IO</t>
  </si>
  <si>
    <t xml:space="preserve"> Blue Garnet Ventures</t>
  </si>
  <si>
    <t>https://ventureburn.com/2019/04/nobuntu-blue-garnet-ventures/</t>
  </si>
  <si>
    <t>Ringa Mzansi</t>
  </si>
  <si>
    <t xml:space="preserve"> Embassy of France, French Institute in South Africa (IFAS)</t>
  </si>
  <si>
    <t>http://disrupt-africa.com/2019/05/10-african-creatives-share-29k-prize-money-in-digital-lab-africa-competition/</t>
  </si>
  <si>
    <t>Cartographie Des Regions Musicales Du Mali</t>
  </si>
  <si>
    <t>Re/member your Descendants</t>
  </si>
  <si>
    <t>Swaggify</t>
  </si>
  <si>
    <t>Sunkambe</t>
  </si>
  <si>
    <t>Trvlr</t>
  </si>
  <si>
    <t>Falling Up Studios</t>
  </si>
  <si>
    <t>Trove Finance</t>
  </si>
  <si>
    <t>https://innovation-village.com/trove-finance-secures-undisclosed-funding-ventures-platform/</t>
  </si>
  <si>
    <t>InstaDeep</t>
  </si>
  <si>
    <t>AfricInvest, Endeavor Catalyst</t>
  </si>
  <si>
    <t>https://digestafrica.com/instadeep-series-a-africinvest</t>
  </si>
  <si>
    <t>Reneworld</t>
  </si>
  <si>
    <t>Inside Capital Partners</t>
  </si>
  <si>
    <t>https://www.altafrica.com/inside-capital-partners-invests-1-5mn-in-reneworld/</t>
  </si>
  <si>
    <t>BuildHer</t>
  </si>
  <si>
    <t>UK’s Department for International Development (DFID)</t>
  </si>
  <si>
    <t>https://www.businessdailyafrica.com/corporate/enterprise/Startups-win-Sh65m-in-innovation-drive/4003126-5113512-4ld50b/index.html</t>
  </si>
  <si>
    <t>Ten Senses Africa</t>
  </si>
  <si>
    <t>TakaTaka Solutions</t>
  </si>
  <si>
    <t>Savanna Circuit Technologies</t>
  </si>
  <si>
    <t>Mancala Plus</t>
  </si>
  <si>
    <t>Marlinvest SAS</t>
  </si>
  <si>
    <t>https://www.crunchbase.com/funding_round/africa-delivery-technologies-ltd-seed--440ee112#section-overview</t>
  </si>
  <si>
    <t>Umba</t>
  </si>
  <si>
    <t>ACT Venture Capital, Bloom Equity, Frontline Ventures</t>
  </si>
  <si>
    <t>https://weetracker.com/2019/05/06/irish-fintech-umba-lend-usd-1-mn-africa/</t>
  </si>
  <si>
    <t>Allianz X, Go-Ventures</t>
  </si>
  <si>
    <t>https://digestafrica.com/allianz-x-safeboda-series-b-go-jek</t>
  </si>
  <si>
    <t>GESR</t>
  </si>
  <si>
    <t>Credit Agricole Egypt</t>
  </si>
  <si>
    <t>https://www.menabytes.com/credit-agricole-gesr-incubator/</t>
  </si>
  <si>
    <t>Payitup</t>
  </si>
  <si>
    <t>Thawer Fund Management</t>
  </si>
  <si>
    <t>https://www.techzim.co.zw/2019/05/zimbabwean-fintech-startup-gets-funded-by-european-institutional-fund-at-a-usd20-million-valuation/</t>
  </si>
  <si>
    <t>Seven Seas Capital Management, Indigo Venture Partners</t>
  </si>
  <si>
    <t>https://techmoran.com/2019/05/07/mydawa-secures-3m-funding-to-fuel-expansion/</t>
  </si>
  <si>
    <t>Odiggo</t>
  </si>
  <si>
    <t>Saeed Al Jaberi</t>
  </si>
  <si>
    <t>https://www.wamda.com/2019/05/cairo-based-odiggo-raises-180000-seed-funding</t>
  </si>
  <si>
    <t>AirQo</t>
  </si>
  <si>
    <t>https://www.crunchbase.com/funding_round/airqo-grant--ec0d9c40</t>
  </si>
  <si>
    <t>CrowdFunding</t>
  </si>
  <si>
    <t>https://techmoran.com/2019/05/08/daystar-power-to-raise-eur-500000-via-trine-for-captive-power-installations-in-togo-senegal/</t>
  </si>
  <si>
    <t>Chipper Cash</t>
  </si>
  <si>
    <t>Deciens Capital</t>
  </si>
  <si>
    <t>https://techcrunch.com/2019/05/09/chipper-cash-convinces-joe-montana-to-invest-in-african-fintech/</t>
  </si>
  <si>
    <t>CarePay</t>
  </si>
  <si>
    <t>PharmAccess Group, ELMA Investments</t>
  </si>
  <si>
    <t>https://www.carepay.com/news</t>
  </si>
  <si>
    <t>Fundis</t>
  </si>
  <si>
    <t>Kuria Capital</t>
  </si>
  <si>
    <t>http://disrupt-africa.com/2019/05/kenyan-find-a-craftsman-startup-fundis-raises-seed-funding/</t>
  </si>
  <si>
    <t>https://www.wamda.com/en/2019/05/egypts-xpay-preseed</t>
  </si>
  <si>
    <t>Intergreatme</t>
  </si>
  <si>
    <t>http://disrupt-africa.com/2019/05/sa-regtech-startup-intergreatme-crowdfunds-2m-in-6-days/</t>
  </si>
  <si>
    <t>https://digestafrica.com/south-africa-sun-exchange-seed-funding</t>
  </si>
  <si>
    <t>Facility for Energy Inclusion Off-Grid Energy Access Fund (FEI OGEF)</t>
  </si>
  <si>
    <t>https://www.pv-tech.org/news/50693</t>
  </si>
  <si>
    <t>Pure Consulting</t>
  </si>
  <si>
    <t>https://www.menabytes.com/yumamia-pre-series-a/</t>
  </si>
  <si>
    <t>500 Startups, A15</t>
  </si>
  <si>
    <t>https://www.menabytes.com/mumm-prime/</t>
  </si>
  <si>
    <t>Rise Capital, Adventure Capital,  First MidWest Group, IC Global Partners</t>
  </si>
  <si>
    <t>http://disrupt-africa.com/2019/05/nigerian-on-demand-motorcycle-taxi-startup-gokada-raises-5-3m-series-a-funding/</t>
  </si>
  <si>
    <t>Rucove</t>
  </si>
  <si>
    <t>https://www.crunchbase.com/funding_round/rucove-pre-seed--3b5d740e#section-overview</t>
  </si>
  <si>
    <t>Mintrics</t>
  </si>
  <si>
    <t>Blue Startups Accelerator</t>
  </si>
  <si>
    <t>https://weetracker.com/2019/05/27/north-africa-focused-video-analytics-startup-mintrics-banks-investment-from-blue-startups-joins-accelerator-program/</t>
  </si>
  <si>
    <t xml:space="preserve">MVXchange </t>
  </si>
  <si>
    <t>Oui Capital, Neon Ventures, Zircon Marine</t>
  </si>
  <si>
    <t>http://disrupt-africa.com/2019/05/nigerian-maritime-logistics-platform-mvxchange-closes-pre-seed-funding-round/</t>
  </si>
  <si>
    <t>Travelstart</t>
  </si>
  <si>
    <t>HarbourVest</t>
  </si>
  <si>
    <t>https://techmoran.com/2019/05/28/travelstart-raises-undisclosed-funding-round-from-harbourvest-for-expansion/</t>
  </si>
  <si>
    <t>GovChat</t>
  </si>
  <si>
    <t>Capital Appreciation</t>
  </si>
  <si>
    <t>https://ventureburn.com/2019/05/govchat-r20m-capital-appreciation/</t>
  </si>
  <si>
    <t>https://www.sec.gov/Archives/edgar/data/1724556/000172455619000001/xslFormDX01/primary_doc.xml</t>
  </si>
  <si>
    <t>http://disrupt-africa.com/2019/05/sa-regtech-startup-intergreatme-ends-crowdfunding-campaign-after-securing-2-19m/</t>
  </si>
  <si>
    <t>ElGameya</t>
  </si>
  <si>
    <t>http://disrupt-africa.com/2019/05/10-startups-pitch-at-startupbootcamp-pride-fintech-cairo-demo-day/</t>
  </si>
  <si>
    <t>El Zatona</t>
  </si>
  <si>
    <t>Fawaterak</t>
  </si>
  <si>
    <t>Neqabty</t>
  </si>
  <si>
    <t>Netsahem</t>
  </si>
  <si>
    <t>Seventail</t>
  </si>
  <si>
    <t>Youspital</t>
  </si>
  <si>
    <t>https://techeconomy.ng/2019/06/03/greenage-seed-funding-increases-to-54000-appoints-prof-umezuruike-linus-opara-as-board-chair/</t>
  </si>
  <si>
    <t>Marubeni Corporation</t>
  </si>
  <si>
    <t>https://techmoran.com/2019/06/04/azuri-technologies-raises-26m-to-bolster-its-solar-energy-distribution-efforts-in-africa/</t>
  </si>
  <si>
    <t>Savant</t>
  </si>
  <si>
    <t>https://ventureburn.com/2019/06/savant-venture-fund-smartblade-investment/</t>
  </si>
  <si>
    <t>Pelebox</t>
  </si>
  <si>
    <t>The Royal Academy Of Engineering</t>
  </si>
  <si>
    <t>https://weetracker.com/2019/06/06/south-african-neo-hutiri-wina-africa-prize-royal-academy-engineering/</t>
  </si>
  <si>
    <t>Tymebank</t>
  </si>
  <si>
    <t>Ethos Private Equity, African Rainbow Partners</t>
  </si>
  <si>
    <t>https://businesstech.co.za/news/banking/322387/tymebank-receives-r200-million-investment/</t>
  </si>
  <si>
    <t>https://techmoran.com/2019/06/11/havaic-invests-into-kenyan-virtual-postbox-startup-mpost-and-gears-up-to-participate-in-its-us2-million-series-a-round/</t>
  </si>
  <si>
    <t>Algebra Ventures​, NFX Capital</t>
  </si>
  <si>
    <t>https://techmoran.com/2019/06/11/orcas-cairos-edtech-marketplace-raises-500k-in-pre-series-a-round-led-by-algebra-ventures/</t>
  </si>
  <si>
    <t xml:space="preserve">Creadev </t>
  </si>
  <si>
    <t>https://www.businessdailyafrica.com/corporate/companies/French-billionaire-family-acquires-stake-in-Twiga/4003102-5155176-kn3c9tz/index.html</t>
  </si>
  <si>
    <t>https://weetracker.com/2019/07/10/kenyas-lynk-secures-usd-lateral-capital/</t>
  </si>
  <si>
    <t>TechCircle</t>
  </si>
  <si>
    <t>https://ventureburn.com/2019/06/ghanaian-startup-trukrtech-wins-one-million-naira-in-techcircles-pitch2win/</t>
  </si>
  <si>
    <t>Inclusivity Solutions</t>
  </si>
  <si>
    <t>Goodwell Investments, RGAx, Allan Gray</t>
  </si>
  <si>
    <t>http://inclusivitysolutions.com/inclusivity-solutions-secures-us1-56-million-series-a-round/</t>
  </si>
  <si>
    <t>Snode Technologies</t>
  </si>
  <si>
    <t>Meltwater Entrepreneurial School of Technology (MEST)</t>
  </si>
  <si>
    <t>https://techmoran.com/2019/06/13/kenyas-wayawaya-ghanas-oze-snode-technologies-from-south-africa-win-mest-africa-challenge-2019/</t>
  </si>
  <si>
    <t>WayaWaya</t>
  </si>
  <si>
    <t>Microsoft</t>
  </si>
  <si>
    <t>Novastar Ventures, Yamaha, Breakthrough Energy Ventures, Zrosk Investment Management, Alitheia Capital</t>
  </si>
  <si>
    <t>https://techcrunch.com/2019/06/20/max-ng-raises-7m-round-backed-by-yamaha-and-pilots-evs-in-nigeria/</t>
  </si>
  <si>
    <t>Eksab</t>
  </si>
  <si>
    <t>https://magnitt.com/news/eksab-raises-seed-investment-500-startups-and-poised-become-leading-daily-fantasy-sports-platform</t>
  </si>
  <si>
    <t>African Development Bank</t>
  </si>
  <si>
    <t>http://disrupt-africa.com/2019/06/ghanaian-agri-tech-startup-farmerline-secures-afdb-grant-funding/</t>
  </si>
  <si>
    <t>Savannah Brands</t>
  </si>
  <si>
    <t>Chandaria Capital</t>
  </si>
  <si>
    <t>https://www.linkedin.com/posts/estherndeti_business-deals-privateequity-activity-6559397927385649152-T_0N</t>
  </si>
  <si>
    <t>Kwangu Kwako</t>
  </si>
  <si>
    <t>MIT D-Lab Scale-Ups fellowship</t>
  </si>
  <si>
    <t>https://techmoran.com/2019/06/18/six-east-african-startup-entrepreneurs-receive-12000-from-mit-d-lab-scale-ups-fellowships-program/</t>
  </si>
  <si>
    <t>Solar Freeze</t>
  </si>
  <si>
    <t>EcoAct Tanzania</t>
  </si>
  <si>
    <t>Expressions Global Group</t>
  </si>
  <si>
    <t>Clinicpesa</t>
  </si>
  <si>
    <t>FixChap</t>
  </si>
  <si>
    <t>https://ventureburn.com/2019/06/eksab-investment-500-startups/</t>
  </si>
  <si>
    <t>Swvl</t>
  </si>
  <si>
    <t>Vostok New Ventures, BECO Capital, Endeavor Catalyst, OTF Jasoor Venture, Sawari Ventures, DASH Ventures</t>
  </si>
  <si>
    <t>https://magnitt.com/news/egyptian-rival-uber-raises-42-million-african-expansion?utm_source=Funding+Updates&amp;utm_campaign=7c7aa4073f-eksab_funding_COPY_01&amp;utm_medium=email&amp;utm_term=0_cca7bdcb23-7c7aa4073f-109132265#utm_source=newsletter&amp;utm_medium=email&amp;utm_campaign=swvl</t>
  </si>
  <si>
    <t>Naspers Foundry</t>
  </si>
  <si>
    <t>https://ventureburn.com/2019/06/naspers-foundry-first-deal-r30m-sweepsouth/</t>
  </si>
  <si>
    <t>Consonance Investment Managers, Techstars, Finca Ventures, Greetree Investment Company</t>
  </si>
  <si>
    <t>https://ventureburn.com/2019/06/mdaas-global-seed-round/</t>
  </si>
  <si>
    <t>PayNas</t>
  </si>
  <si>
    <t>Seamless North Africa</t>
  </si>
  <si>
    <t>https://www.menabytes.com/paynas-seamless-north-africa/</t>
  </si>
  <si>
    <t>Taimba Limited</t>
  </si>
  <si>
    <t>https://techtrendske.co.ke/taimba-secures-100k-funding-from-gray-matters-capitals-colabs/</t>
  </si>
  <si>
    <t>http://www.startup365.fr/usa-african-fintech-dominates-catalyst-funds-2019-startup-cohort/</t>
  </si>
  <si>
    <t>Enoch Diary</t>
  </si>
  <si>
    <t>https://www.crunchbase.com/funding_round/enoch-diary-seed--81454324</t>
  </si>
  <si>
    <t>WidEnergy Africa Ltd</t>
  </si>
  <si>
    <t>https://greentec-capital.com/2019/06/21/greentec-capital-invests-into-zambias-widenergy-africa-ltd/</t>
  </si>
  <si>
    <t>https://ventureburn.com/2019/06/ozow-follow-on-funding-kalon-series-a/</t>
  </si>
  <si>
    <t>Arnergy</t>
  </si>
  <si>
    <t>Breakthrough Energy Ventures, All On Energy, ElectriFI, NorFund</t>
  </si>
  <si>
    <t>https://weetracker.com/2019/06/24/arnergy-raises-usd-9-mn-series-a/</t>
  </si>
  <si>
    <t>http://disrupt-africa.com/2019/06/nigerian-ed-tech-startup-scholarx-raises-100k-in-pre-seed-round/</t>
  </si>
  <si>
    <t>Julian Dames</t>
  </si>
  <si>
    <t>https://www.menabytes.com/elmenus-julian-dames-investment/</t>
  </si>
  <si>
    <t>Breadfast</t>
  </si>
  <si>
    <t>500 Startups, Mohamed El Sewedy</t>
  </si>
  <si>
    <t>https://www.menabytes.com/breadfast-yc-series-a/</t>
  </si>
  <si>
    <t>afriQloud</t>
  </si>
  <si>
    <t>Imprimatur Capital</t>
  </si>
  <si>
    <t>https://techmoran.com/2019/06/25/afriqloud-raises-undisclosed-funding-from-imprimatur-capital-to-launch-in-uganda/</t>
  </si>
  <si>
    <t>https://www.menabytes.com/sprii-series-a/</t>
  </si>
  <si>
    <t>Cisco Global Problem Solver Challenge</t>
  </si>
  <si>
    <t>https://founder360mag.com/kenyan-agritech-startups-solar-freeze-illuminum-greenhouses-bank-us100000-at-cisco-global-problem-solver-challenge-2019/</t>
  </si>
  <si>
    <t>Ogaranya</t>
  </si>
  <si>
    <t>Labs By ARM, Ventures Platform Foundation</t>
  </si>
  <si>
    <t>http://disrupt-africa.com/2019/06/6-nigerian-fintech-startups-secure-equity-free-funding-from-arm-labs/</t>
  </si>
  <si>
    <t>FINT</t>
  </si>
  <si>
    <t>Payday Investor</t>
  </si>
  <si>
    <t>Tsaron Technologies</t>
  </si>
  <si>
    <t>Asusu Technology Limited</t>
  </si>
  <si>
    <t>Vidr</t>
  </si>
  <si>
    <t>Made Agency</t>
  </si>
  <si>
    <t>https://ventureburn.com/2019/06/on-demand-video-production-vidr-nets-investment/</t>
  </si>
  <si>
    <t>International Finance Corporation, Quona Capital</t>
  </si>
  <si>
    <t>https://techcrunch.com/2019/06/26/south-african-sme-finance-startup-lulalend-raises-6-5m-series-a/?fbclid=IwAR2Nn1CfL_AnJimHED8UmKIqPf9Fpb9IoqMwdap15PEOaycJ1_1hwK0e8TM</t>
  </si>
  <si>
    <t>Raintree Farms</t>
  </si>
  <si>
    <t>Pearl Capital Partners</t>
  </si>
  <si>
    <t>https://raintreefarms.com/2019/06/the-yield-uganda-investment-fund-invests-ugx-3-9bn-in-raintree-farms-limited/</t>
  </si>
  <si>
    <t>http://disrupt-africa.com/2019/06/kenyan-insurtech-startup-turaco-secures-non-equity-investment/</t>
  </si>
  <si>
    <t>DrugStoc</t>
  </si>
  <si>
    <t>Growth Capital</t>
  </si>
  <si>
    <t>https://ventureburn.com/2019/06/growth-capital-drugstoc-investment/</t>
  </si>
  <si>
    <t>https://www.sec.gov/Archives/edgar/data/1735262/000173526219000006/xslFormDX01/primary_doc.xml</t>
  </si>
  <si>
    <t>Business Valley</t>
  </si>
  <si>
    <t>https://www.menabytes.com/wide-bot-pre-series-a/?utm_source=dlvr.it&amp;utm_medium=twitter</t>
  </si>
  <si>
    <t>Fundrr</t>
  </si>
  <si>
    <t>https://ventureburn.com/2019/07/fundrr-lands-funding-after-50-rejections/</t>
  </si>
  <si>
    <t>Better Ventures,  Fifty Years Fund, Hack VC, Techammer, KdT Ventures, Y Combinator</t>
  </si>
  <si>
    <t>https://techcabal.com/2019/07/02/54gene-raises-fund-create-african-dna-biobank/?utm_source=dlvr.it&amp;utm_medium=twitter</t>
  </si>
  <si>
    <t>Cradle Technology Services</t>
  </si>
  <si>
    <t>Knife Capital,</t>
  </si>
  <si>
    <t>https://weetracker.com/2019/07/08/knife-capital-invests-undisclosed-series-a-cradle-technologies/</t>
  </si>
  <si>
    <t>Triple Jump BV</t>
  </si>
  <si>
    <t>https://rtoafrica.com/rent-to-own-secures-eur-1-0m-investment-from-dggf-managed-by-triple-jump-bv/</t>
  </si>
  <si>
    <t>TechStars</t>
  </si>
  <si>
    <t>https://www.techstars.com/content/accelerators/techstars-making-impact-meet-2019-techstars-impact-class/</t>
  </si>
  <si>
    <t>WellaHealth</t>
  </si>
  <si>
    <t>The Rosehip Company</t>
  </si>
  <si>
    <t>One Thousand And One Voices</t>
  </si>
  <si>
    <t>https://innovation-village.com/one-thousand-one-voices-announces-investment-in-the-rosehip-company/</t>
  </si>
  <si>
    <t>Toyota Tsusho Corporation, Kouros, To:org, Tao Capital, James Sandler, Prelude Ventures, Caterpillar Ventures, Total Energy Ventures</t>
  </si>
  <si>
    <t>https://www.prnewswire.com/news-releases/toyota-tsusho-participates-in-powerhive-series-b-round-300881734.html</t>
  </si>
  <si>
    <t>OPay</t>
  </si>
  <si>
    <t>GSR Ventures, IDG Capital, Meituan Dianping, Opera, Source Code Capital, Sequoia Capital China</t>
  </si>
  <si>
    <t>https://techcrunch.com/2019/07/09/opera-founded-starup-opay-raises-50m-for-mobile-finance-in-nigeria/</t>
  </si>
  <si>
    <t>HotelOnline</t>
  </si>
  <si>
    <t>Trond Riiber Knudsen Group, Shravan Shroff</t>
  </si>
  <si>
    <t>https://techmoran.com/2019/07/11/hotelonline-raises-320000-oyo-rooms-early-investor-sharavan-shroff/</t>
  </si>
  <si>
    <t>Kriterion</t>
  </si>
  <si>
    <t>OCP Group</t>
  </si>
  <si>
    <t>http://disrupt-africa.com/2019/07/african-tech-startups-winners-at-ocp-mining-challenge-in-morocco/</t>
  </si>
  <si>
    <t>Ethnic Brand</t>
  </si>
  <si>
    <t>MAGIC Global Accelerator Programme</t>
  </si>
  <si>
    <t>https://techmoran.com/2019/07/13/kenyas-uber-for-fashion-manufacturers-ethnic-brand-raises-500k-seed-investment-from-magic-malaysia/</t>
  </si>
  <si>
    <t>Space in Africa</t>
  </si>
  <si>
    <t>AC Ventures</t>
  </si>
  <si>
    <t>https://www.prnewswire.com/news-releases/space-in-africa-closes-investment-round-expands-staff-to-eleven-people-across-five-african-nations-300884746.html</t>
  </si>
  <si>
    <t>COLNN</t>
  </si>
  <si>
    <t>Edventures</t>
  </si>
  <si>
    <t>https://www.wamda.com/2019/07/colnn-raises-100000-seed-round</t>
  </si>
  <si>
    <t>Cryptyd Games</t>
  </si>
  <si>
    <t>Alexandria Angels, Cairo Angels</t>
  </si>
  <si>
    <t>https://www.menabytes.com/cryptyd-pre-series-a/?fbclid=IwAR1MpjICl-C4dPL656r5tjgQjibEBWSyZ9XRHlDFEYGzWHl2JCSASL8TgcA</t>
  </si>
  <si>
    <t>Crop Nutrition Laboratory Services (Cropnuts)</t>
  </si>
  <si>
    <t>AHL Venture Partners, DOB Equity</t>
  </si>
  <si>
    <t>https://www.linkedin.com/feed/update/urn:li:activity:6557274225390997504</t>
  </si>
  <si>
    <t>Africado</t>
  </si>
  <si>
    <t>AgDevCo</t>
  </si>
  <si>
    <t>http://www.globalaginvesting.com/agdevco-invests-avocado-production-kilimanjaro-region-tanzania/</t>
  </si>
  <si>
    <t>https://enkoeducation.com/pre-series-b-fundraising/</t>
  </si>
  <si>
    <t>Kijani Limited</t>
  </si>
  <si>
    <t>RENEW</t>
  </si>
  <si>
    <t>https://nguvu.africa/index.php/2019/07/27/kijani-gets-renew-support/</t>
  </si>
  <si>
    <t>Optimetriks</t>
  </si>
  <si>
    <t>http://disrupt-africa.com/2019/07/kenyan-sales-force-automation-startup-optimetriks-secures-330k-debt-financing/</t>
  </si>
  <si>
    <t>Mobii Systems</t>
  </si>
  <si>
    <t>Blue Label Ventures</t>
  </si>
  <si>
    <t>https://techfinancials.co.za/2019/07/30/blue-label-ventures-invest-in-sports-data-startup-mobii-systems/</t>
  </si>
  <si>
    <t>Healthcent</t>
  </si>
  <si>
    <t>Allan Gray, Umkathi Wethu Ventures</t>
  </si>
  <si>
    <t>https://ventureburn.com/2019/07/healthcent-r8m-investment-deal/</t>
  </si>
  <si>
    <t>Solarise Africa</t>
  </si>
  <si>
    <t>Electrification Financing Initiative, Energy Access Ventures</t>
  </si>
  <si>
    <t>https://techmoran.com/2019/07/31/solarise-africa-announces-second-closing-of-its-series-a-round-of-funding/</t>
  </si>
  <si>
    <t>GONA</t>
  </si>
  <si>
    <t>Pre-Series A</t>
  </si>
  <si>
    <t>Crystal Stream Capital, UnityVC, Shaka VC</t>
  </si>
  <si>
    <t>https://techpoint.africa/2019/08/02/gona-raises-fund/?ct=t(EMAIL_CAMPAIGN_8_6_2019_17_9)&amp;mc_cid=d121d4ba4e&amp;mc_eid=a7646ea2e2</t>
  </si>
  <si>
    <t>https://www.menabytes.com/moneyfellows-1-million/</t>
  </si>
  <si>
    <t>Kakbima</t>
  </si>
  <si>
    <t>Baobab Network</t>
  </si>
  <si>
    <t>http://disrupt-africa.com/2019/08/5-african-startups-secure-25k-funding-each-via-baobab-network-accelerator/</t>
  </si>
  <si>
    <t>BeBlocky</t>
  </si>
  <si>
    <t>Dr Cadx</t>
  </si>
  <si>
    <t>GladePay</t>
  </si>
  <si>
    <t>Pennysmart</t>
  </si>
  <si>
    <t>IlaraHealth</t>
  </si>
  <si>
    <t>Chandaria Capital, Villgro Kenya, ShakaVC, Esther Dyson, Nijhad Jamal, Aadil Mamujee, Selma Ribica , Shakir Merali</t>
  </si>
  <si>
    <t>https://ventureburn.com/2019/08/diagnostics-startup-ilara-health/</t>
  </si>
  <si>
    <t>HCL Technologies</t>
  </si>
  <si>
    <t>https://www.vccircle.com/hcl-technologies-picks-up-minority-stake-in-london-based-startup-kalido</t>
  </si>
  <si>
    <t>TechAdvance</t>
  </si>
  <si>
    <t>Lamar Holding</t>
  </si>
  <si>
    <t>https://www.businesswire.com/news/home/20190808005368/en/Lamar-Holding-Invests-USD-1M-TechAdvance-Support/?feedref=JjAwJuNHiystnCoBq_hl-Q-tiwWZwkcswR1UZtV7eGe24xL9TZOyQUMS3J72mJlQ7fxFuNFTHSunhvli30RlBNXya2izy9YOgHlBiZQk2LOzmn6JePCpHPCiYGaEx4DL1Rq8pNwkf3Aar</t>
  </si>
  <si>
    <t>WeMove Technologies</t>
  </si>
  <si>
    <t>BeepTool</t>
  </si>
  <si>
    <t>Ndubuisi Ekekwe</t>
  </si>
  <si>
    <t>https://www.tekedia.com/ndubuisi-ekekwe-takes-equity-and-joins-beeptool-board-photos/</t>
  </si>
  <si>
    <t>Mobu</t>
  </si>
  <si>
    <t>Pecunio</t>
  </si>
  <si>
    <t>https://www.crunchbase.com/funding_round/mobu-seed--c1d0921c#section-overview</t>
  </si>
  <si>
    <t>Raino Tech4Impact</t>
  </si>
  <si>
    <t>Samurai Incubate Africa, Growth Africa</t>
  </si>
  <si>
    <t>https://techmoran.com/2019/08/12/raino-tech4impactreceives-100k-equity-investment-from-samurai-incubate-africa/</t>
  </si>
  <si>
    <t>Flat6Labs, 500 Startups</t>
  </si>
  <si>
    <t>http://disrupt-africa.com/2019/08/egyptian-e-health-startup-chefaa-closes-seed-funding-round/</t>
  </si>
  <si>
    <t>Asia Africa Investment Consulting, Goldman Sachs, International Finance Corporation, TLcom Capital, Y Combinator</t>
  </si>
  <si>
    <t>http://www.startup365.fr/nigerias-kobo360-closes-whopping-20m-series-a-round-led-by-goldman-sachs/</t>
  </si>
  <si>
    <t xml:space="preserve">Trella </t>
  </si>
  <si>
    <t>https://www.menabytes.com/trella-joins-yc/</t>
  </si>
  <si>
    <t>https://techcabal.com/2019/08/14/kobo360-raises-us-30m-sets-its-sights-on-the-1-3-trillion-intra-african-trade-opportunity/</t>
  </si>
  <si>
    <t>Ukheshe</t>
  </si>
  <si>
    <t>FiTech Ventures, Ocean on 76 Group</t>
  </si>
  <si>
    <t>https://ventureburn.com/2019/08/fintech-ukheshe-r7m-investment/</t>
  </si>
  <si>
    <t>Savant Venture Fund</t>
  </si>
  <si>
    <t>https://ventureburn.com/2019/08/savant-venture-fund-jonga/</t>
  </si>
  <si>
    <t>http://ventureburn.com/2017/08/cape-town-based-security-startup-jonga-wins-santam-safety-ideas-campaign/</t>
  </si>
  <si>
    <t>Dale Williams, Melvyn Lubega, Mark Forreste</t>
  </si>
  <si>
    <t>http://disrupt-africa.com/2018/08/ucts-bertha-centre-dishes-out-50k-startup-grant-funding/</t>
  </si>
  <si>
    <t>SeedStars World</t>
  </si>
  <si>
    <t>Helium Health</t>
  </si>
  <si>
    <t>Tencent Holdings, Y Combinator, The Chrysalis Capital, Western Technology Investment (WTI), Vy Capital, Venturesouq</t>
  </si>
  <si>
    <t>Chrysalis Capital</t>
  </si>
  <si>
    <t>Carbon</t>
  </si>
  <si>
    <t>https://www.pulse.ng/news/one-credit-net1-invests-in-nigerias-leading-consumer-finance-provider/wg59v4w</t>
  </si>
  <si>
    <t>NMPi</t>
  </si>
  <si>
    <t>https://www.crunchbase.com/funding_round/clicks2customers-series-a--1a170ebd#section-overview</t>
  </si>
  <si>
    <t>Mr Green Africa</t>
  </si>
  <si>
    <t>DBO Equity, Global Innovation Fund</t>
  </si>
  <si>
    <t>https://www.privateequitywire.co.uk/2019/08/19/278095/dob-equity-and-global-innovation-fund-invest-african-recycling-business</t>
  </si>
  <si>
    <t>Vistafront</t>
  </si>
  <si>
    <t>Landwey</t>
  </si>
  <si>
    <t>https://weetracker.com/2019/08/16/landwey-acquires-25-percent-stake-in-vistafront/</t>
  </si>
  <si>
    <t>Spoon Money</t>
  </si>
  <si>
    <t>AlphaCode</t>
  </si>
  <si>
    <t>http://disrupt-africa.com/2019/08/8-sa-fintech-startups-share-1m-worth-in-funding-support-from-alphacode/</t>
  </si>
  <si>
    <t>IsiDuli</t>
  </si>
  <si>
    <t>Oyi Medical Card</t>
  </si>
  <si>
    <t>Budgie</t>
  </si>
  <si>
    <t>Olova</t>
  </si>
  <si>
    <t>GetVanced</t>
  </si>
  <si>
    <t>Mari</t>
  </si>
  <si>
    <t>okGo.live</t>
  </si>
  <si>
    <t>Nadia</t>
  </si>
  <si>
    <t>https://techcrunch.com/2019/08/21/african-incubator-mest-has-a-new-md-and-11-fresh-startup-investments/</t>
  </si>
  <si>
    <t>BezoMoney</t>
  </si>
  <si>
    <t>Zuri</t>
  </si>
  <si>
    <t>Massira</t>
  </si>
  <si>
    <t>CoFundie</t>
  </si>
  <si>
    <t>Niqao</t>
  </si>
  <si>
    <t>Saada</t>
  </si>
  <si>
    <t>Kweza</t>
  </si>
  <si>
    <t>CoVibes</t>
  </si>
  <si>
    <t>Adi+Bolga</t>
  </si>
  <si>
    <t>Farmula</t>
  </si>
  <si>
    <t>Standard Bank, Goodwell Investments</t>
  </si>
  <si>
    <t>https://nomanini.pr.co/181760-fintech-nomanini-raises-4m-in-funding-round-led-by-standard-bank</t>
  </si>
  <si>
    <t>FundingHub</t>
  </si>
  <si>
    <t>Fincheck</t>
  </si>
  <si>
    <t>https://ventureburn.com/2019/08/fincheck-acquires-stake-in-fundinghub/</t>
  </si>
  <si>
    <t>Trolley</t>
  </si>
  <si>
    <t>Angel Round</t>
  </si>
  <si>
    <t>https://www.wamda.com/2019/08/trolley-raises-200000-seed-fund</t>
  </si>
  <si>
    <t>Naasakle</t>
  </si>
  <si>
    <t>Palladium Group</t>
  </si>
  <si>
    <t>http://thepalladiumgroup.com/news/impact-investments-shea-nut-ghana</t>
  </si>
  <si>
    <t>Mitsubishi, Bamboo Capital Partners, Doen Participaties, MacKinnon Bennett, ENGIE</t>
  </si>
  <si>
    <t>https://www.cityam.com/mitsubishi-leads-50m-funding-round-for-london-solar-startup/</t>
  </si>
  <si>
    <t>Khosla Impact, Synergy Growth</t>
  </si>
  <si>
    <t>https://www.pehub.com/2013/11/uk-solar-power-startup-bboxx-snags-1-9-mln/</t>
  </si>
  <si>
    <t>Bamboo Finance, DOEN Foundation, MacKinnon Bennet &amp; Co.</t>
  </si>
  <si>
    <t>http://www.finsmes.com/2015/03/bboxx-raises-us3m-in-series-b-funding.html</t>
  </si>
  <si>
    <t>Bamboo Finance, DOEN Foundation, ENGIE, KawiSafi Ventures, Khosla Impact, MacKinnon, Bennett &amp; Co.</t>
  </si>
  <si>
    <t>https://ventureburn.com/2016/09/bboxx-20-million-investment/</t>
  </si>
  <si>
    <t>Hospitalia</t>
  </si>
  <si>
    <t>Changelabs</t>
  </si>
  <si>
    <t>http://disrupt-africa.com/2019/08/2-egyptian-startups-share-120k-grant-funding-at-changelabs-demo-day/</t>
  </si>
  <si>
    <t>Proteinea</t>
  </si>
  <si>
    <t>NowPay</t>
  </si>
  <si>
    <t>Endure Capital, 500 Startups</t>
  </si>
  <si>
    <t>https://ventureburn.com/2019/08/egyptian-fintech-nowpay-seed/</t>
  </si>
  <si>
    <t>Mastercard</t>
  </si>
  <si>
    <t>https://www.bloomberg.com/news/articles/2019-04-01/mastercard-to-become-investor-in-african-online-retailer-jumia</t>
  </si>
  <si>
    <t>Takumo Terakubo</t>
  </si>
  <si>
    <t>https://ventureburn.com/2019/08/mpost-leapfrog-ventures-investment/</t>
  </si>
  <si>
    <t>Livestock Wealth</t>
  </si>
  <si>
    <t>https://weetracker.com/2019/09/02/south-african-startup-investing-in-livestock-among-three-fintech-startups-that-have-landed-an-investment-deal/</t>
  </si>
  <si>
    <t>Zande Africa</t>
  </si>
  <si>
    <t>Bright On Capital</t>
  </si>
  <si>
    <t>Electrification Financing Initiative</t>
  </si>
  <si>
    <t>http://disrupt-africa.com/2019/09/peg-africa-raises-5m-debt-funding-from-electrifi-to-continue-west-african-expansion/</t>
  </si>
  <si>
    <t>Erada Technology Alliance</t>
  </si>
  <si>
    <t>De Beers Group</t>
  </si>
  <si>
    <t>https://www.360dx.com/immunoassays/de-beers-funds-startup-erada-technology-288k-develop-worlds-first-malaria-spit-test</t>
  </si>
  <si>
    <t>Bulrush Agritech</t>
  </si>
  <si>
    <t>https://ventureburn.com/2019/09/agritech-startup-bulrush-r250k/</t>
  </si>
  <si>
    <t>Doctoorum</t>
  </si>
  <si>
    <t>https://www.wamda.com/2019/09/doctoorum-raises-seed-funding</t>
  </si>
  <si>
    <t>Lifebank</t>
  </si>
  <si>
    <t>Johnson &amp; Johnson</t>
  </si>
  <si>
    <t>https://jnjinnovation.com/sites/jji/files/AIC2_0Announcement%20PR_For_Immediate%20Release_5Sept2019.pdf</t>
  </si>
  <si>
    <t>Uganics</t>
  </si>
  <si>
    <t>M-Scan</t>
  </si>
  <si>
    <t>The Hope Initiative</t>
  </si>
  <si>
    <t>DREET</t>
  </si>
  <si>
    <t>Tiny Hearts Technologies</t>
  </si>
  <si>
    <t xml:space="preserve">Haresh Aswani, Ragnar Meitern </t>
  </si>
  <si>
    <t>http://www.startup365.fr/usa-nigerian-online-only-bank-startup-kuda-raises-1-6m/</t>
  </si>
  <si>
    <t>Snapnsave</t>
  </si>
  <si>
    <t>Vunani Capital</t>
  </si>
  <si>
    <t>https://ventureburn.com/2019/09/vunani-capital-invests-in-snapnsave/</t>
  </si>
  <si>
    <t>Digemy</t>
  </si>
  <si>
    <t>Greenwold Capital</t>
  </si>
  <si>
    <t>https://ventureburn.com/2019/09/digemy-raises-r1m-follow-on/</t>
  </si>
  <si>
    <t>Profish</t>
  </si>
  <si>
    <t>Technical Centre for Agricultural and Rural Co-operation</t>
  </si>
  <si>
    <t>https://techmoran.com/2019/09/13/pitch-agrihack-awards-over-60k-into-african-innovators-transforming-agriculture/</t>
  </si>
  <si>
    <t>Savanna Circuit Technologies Ltd</t>
  </si>
  <si>
    <t>Jaguza Tech</t>
  </si>
  <si>
    <t>Arinifu</t>
  </si>
  <si>
    <t>Trackball Global Technologies</t>
  </si>
  <si>
    <t>Foodlocker</t>
  </si>
  <si>
    <t>TechShelta Company Ltd</t>
  </si>
  <si>
    <t>Seedstars, Vision Ventures</t>
  </si>
  <si>
    <t>https://startupbahrain.com/news/misk-foundations-growth-accelerator-program-picks-11-mena-based-tech-startups-in-1st-cohort/</t>
  </si>
  <si>
    <t>Career180</t>
  </si>
  <si>
    <t>https://thestartupscene.me/INVESTMENTS/Egyptian-Career-Advising-Platform-Career180-Raises-100-000-Seed-Investment-from-EdVentures</t>
  </si>
  <si>
    <t>Yebo Fresh</t>
  </si>
  <si>
    <t>Bas Hochstenbach, Frederik Gerner, Mark Forrester, Neil Watson</t>
  </si>
  <si>
    <t>https://ventureburn.com/2019/09/yebo-fresh-investment-e4eafrica-founders/</t>
  </si>
  <si>
    <t>Dabchy</t>
  </si>
  <si>
    <t>500 Startups, Flat6Labs, Saudi Venture Capital Company, Vision Ventures, Daal</t>
  </si>
  <si>
    <t>https://www.menabytes.com/dabchy-seed/</t>
  </si>
  <si>
    <t>Sesi Technologies</t>
  </si>
  <si>
    <t>GoGettaz Agripreneur Prize</t>
  </si>
  <si>
    <t>https://disrupt-africa.com/2019/09/botswanan-ghanaian-startups-win-50k-each-from-gogettaz-agripreneur-competition/</t>
  </si>
  <si>
    <t>Maungo 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</si>
</sst>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quot;$&quot;#,##0.00"/>
    <numFmt numFmtId="166" formatCode="mm/dd/yyyy"/>
  </numFmts>
  <fonts count="14">
    <font>
      <sz val="10"/>
      <color rgb="FF000000"/>
      <name val="Arial"/>
    </font>
    <font>
      <b/>
      <sz val="10"/>
      <name val="Arial"/>
    </font>
    <font>
      <b/>
      <sz val="10"/>
      <color rgb="FFB7B7B7"/>
      <name val="Arial"/>
    </font>
    <font>
      <b/>
      <sz val="10"/>
      <color rgb="FFFF0000"/>
      <name val="Arial"/>
    </font>
    <font>
      <b/>
      <u/>
      <sz val="10"/>
      <color rgb="FFB7B7B7"/>
      <name val="Arial"/>
    </font>
    <font>
      <sz val="10"/>
      <name val="Arial"/>
    </font>
    <font>
      <u/>
      <sz val="10"/>
      <color rgb="FF0000FF"/>
      <name val="Arial"/>
    </font>
    <font>
      <sz val="11"/>
      <name val="Arial"/>
    </font>
    <font>
      <u/>
      <sz val="10"/>
      <color rgb="FF1155CC"/>
      <name val="Arial"/>
    </font>
    <font>
      <u/>
      <sz val="10"/>
      <color rgb="FF000000"/>
      <name val="Arial"/>
    </font>
    <font>
      <sz val="10"/>
      <name val="Helvetica Neue"/>
    </font>
    <font>
      <u/>
      <sz val="10"/>
      <name val="Arial"/>
    </font>
    <font>
      <b/>
      <u/>
      <sz val="10"/>
      <color rgb="FF0000FF"/>
      <name val="Arial"/>
    </font>
    <font>
      <sz val="10"/>
      <color rgb="FF19232D"/>
      <name val="Arial"/>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2">
    <border>
      <left/>
      <right/>
      <top/>
      <bottom/>
      <diagonal/>
    </border>
    <border>
      <left/>
      <right style="thin">
        <color rgb="FFFFFFFF"/>
      </right>
      <top/>
      <bottom/>
      <diagonal/>
    </border>
  </borders>
  <cellStyleXfs count="1">
    <xf numFmtId="0" fontId="0" fillId="0" borderId="0"/>
  </cellStyleXfs>
  <cellXfs count="48">
    <xf numFmtId="0" fontId="0" fillId="0" borderId="0" xfId="0"/>
    <xf numFmtId="0" fontId="1" fillId="0" borderId="0" xfId="0" applyFont="1" applyAlignment="1">
      <alignment horizontal="left" vertical="top"/>
    </xf>
    <xf numFmtId="164" fontId="1" fillId="0" borderId="0" xfId="0" applyNumberFormat="1" applyFont="1" applyAlignment="1">
      <alignment horizontal="left" vertical="top"/>
    </xf>
    <xf numFmtId="0" fontId="2" fillId="0" borderId="0" xfId="0" applyFont="1" applyAlignment="1">
      <alignment horizontal="left" vertical="top"/>
    </xf>
    <xf numFmtId="0" fontId="3" fillId="0" borderId="0" xfId="0" applyFont="1" applyAlignment="1">
      <alignment horizontal="left" vertical="top" wrapText="1"/>
    </xf>
    <xf numFmtId="0" fontId="4" fillId="0" borderId="0" xfId="0" applyFont="1" applyAlignment="1">
      <alignment horizontal="left" vertical="top" wrapText="1"/>
    </xf>
    <xf numFmtId="0" fontId="2"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14" fontId="5" fillId="0" borderId="0" xfId="0" applyNumberFormat="1" applyFont="1" applyAlignment="1">
      <alignment horizontal="right"/>
    </xf>
    <xf numFmtId="0" fontId="5" fillId="0" borderId="0" xfId="0" applyFont="1"/>
    <xf numFmtId="164" fontId="5" fillId="0" borderId="0" xfId="0" applyNumberFormat="1" applyFont="1" applyAlignment="1">
      <alignment horizontal="right"/>
    </xf>
    <xf numFmtId="0" fontId="5" fillId="0" borderId="0" xfId="0" applyFont="1" applyAlignment="1">
      <alignment horizontal="right"/>
    </xf>
    <xf numFmtId="0" fontId="6" fillId="0" borderId="0" xfId="0" applyFont="1"/>
    <xf numFmtId="0" fontId="5" fillId="0" borderId="0" xfId="0" applyFont="1" applyAlignment="1">
      <alignment vertical="top"/>
    </xf>
    <xf numFmtId="10" fontId="5" fillId="0" borderId="0" xfId="0" applyNumberFormat="1" applyFont="1" applyAlignment="1">
      <alignment vertical="top"/>
    </xf>
    <xf numFmtId="0" fontId="5" fillId="2" borderId="0" xfId="0" applyFont="1" applyFill="1" applyAlignment="1">
      <alignment vertical="top"/>
    </xf>
    <xf numFmtId="3" fontId="5" fillId="0" borderId="0" xfId="0" applyNumberFormat="1" applyFont="1" applyAlignment="1">
      <alignment vertical="top"/>
    </xf>
    <xf numFmtId="14" fontId="5" fillId="0" borderId="0" xfId="0" applyNumberFormat="1" applyFont="1" applyAlignment="1">
      <alignment horizontal="right" vertical="top"/>
    </xf>
    <xf numFmtId="164" fontId="5" fillId="0" borderId="0" xfId="0" applyNumberFormat="1" applyFont="1" applyAlignment="1">
      <alignment horizontal="right" vertical="top"/>
    </xf>
    <xf numFmtId="0" fontId="5" fillId="0" borderId="0" xfId="0" applyFont="1" applyAlignment="1">
      <alignment horizontal="left" vertical="top"/>
    </xf>
    <xf numFmtId="0" fontId="6" fillId="0" borderId="0" xfId="0" applyFont="1" applyAlignment="1">
      <alignment vertical="top"/>
    </xf>
    <xf numFmtId="0" fontId="5" fillId="0" borderId="0" xfId="0" applyFont="1" applyAlignment="1">
      <alignment horizontal="right" vertical="top"/>
    </xf>
    <xf numFmtId="0" fontId="5" fillId="2" borderId="0" xfId="0" applyFont="1" applyFill="1"/>
    <xf numFmtId="0" fontId="7" fillId="0" borderId="0" xfId="0" applyFont="1"/>
    <xf numFmtId="0" fontId="5" fillId="3" borderId="0" xfId="0" applyFont="1" applyFill="1"/>
    <xf numFmtId="0" fontId="6" fillId="2" borderId="0" xfId="0" applyFont="1" applyFill="1" applyAlignment="1">
      <alignment vertical="top"/>
    </xf>
    <xf numFmtId="0" fontId="8" fillId="0" borderId="0" xfId="0" applyFont="1" applyAlignment="1">
      <alignment vertical="top"/>
    </xf>
    <xf numFmtId="0" fontId="6" fillId="0" borderId="0" xfId="0" applyFont="1" applyAlignment="1">
      <alignment horizontal="left" vertical="top"/>
    </xf>
    <xf numFmtId="3" fontId="5" fillId="0" borderId="0" xfId="0" applyNumberFormat="1" applyFont="1"/>
    <xf numFmtId="14" fontId="5" fillId="0" borderId="0" xfId="0" applyNumberFormat="1" applyFont="1"/>
    <xf numFmtId="0" fontId="9" fillId="0" borderId="0" xfId="0" applyFont="1" applyAlignment="1">
      <alignment vertical="top"/>
    </xf>
    <xf numFmtId="0" fontId="8" fillId="0" borderId="0" xfId="0" applyFont="1"/>
    <xf numFmtId="9" fontId="5" fillId="0" borderId="0" xfId="0" applyNumberFormat="1" applyFont="1" applyAlignment="1">
      <alignment horizontal="right" vertical="top"/>
    </xf>
    <xf numFmtId="0" fontId="10" fillId="0" borderId="0" xfId="0" applyFont="1"/>
    <xf numFmtId="3" fontId="5" fillId="0" borderId="0" xfId="0" applyNumberFormat="1" applyFont="1" applyAlignment="1">
      <alignment horizontal="right" vertical="top"/>
    </xf>
    <xf numFmtId="165" fontId="5" fillId="0" borderId="0" xfId="0" applyNumberFormat="1" applyFont="1" applyAlignment="1">
      <alignment horizontal="right" vertical="top"/>
    </xf>
    <xf numFmtId="0" fontId="11" fillId="0" borderId="0" xfId="0" applyFont="1" applyAlignment="1">
      <alignment vertical="top"/>
    </xf>
    <xf numFmtId="9" fontId="5" fillId="0" borderId="0" xfId="0" applyNumberFormat="1" applyFont="1" applyAlignment="1">
      <alignment horizontal="right"/>
    </xf>
    <xf numFmtId="0" fontId="12" fillId="0" borderId="0" xfId="0" applyFont="1"/>
    <xf numFmtId="0" fontId="5" fillId="0" borderId="1" xfId="0" applyFont="1" applyBorder="1"/>
    <xf numFmtId="0" fontId="6" fillId="0" borderId="1" xfId="0" applyFont="1" applyBorder="1"/>
    <xf numFmtId="164" fontId="5" fillId="0" borderId="0" xfId="0" applyNumberFormat="1" applyFont="1"/>
    <xf numFmtId="166" fontId="5" fillId="0" borderId="0" xfId="0" applyNumberFormat="1" applyFont="1" applyAlignment="1">
      <alignment horizontal="right"/>
    </xf>
    <xf numFmtId="10" fontId="5" fillId="0" borderId="0" xfId="0" applyNumberFormat="1" applyFont="1"/>
    <xf numFmtId="9" fontId="5" fillId="0" borderId="0" xfId="0" applyNumberFormat="1" applyFont="1"/>
    <xf numFmtId="166" fontId="5" fillId="2" borderId="0" xfId="0" applyNumberFormat="1" applyFont="1" applyFill="1" applyAlignment="1">
      <alignment horizontal="right"/>
    </xf>
    <xf numFmtId="0" fontId="13" fillId="2" borderId="0" xfId="0" applyFont="1" applyFill="1"/>
  </cellXfs>
  <cellStyles count="1">
    <cellStyle name="Normal" xfId="0" builtinId="0"/>
  </cellStyles>
  <dxfs count="6">
    <dxf>
      <fill>
        <patternFill patternType="solid">
          <fgColor rgb="FFB7E1CD"/>
          <bgColor rgb="FFB7E1CD"/>
        </patternFill>
      </fill>
    </dxf>
    <dxf>
      <fill>
        <patternFill patternType="solid">
          <fgColor rgb="FFB7E1CD"/>
          <bgColor rgb="FFB7E1CD"/>
        </patternFill>
      </fill>
    </dxf>
    <dxf>
      <fill>
        <patternFill patternType="solid">
          <fgColor rgb="FF6AA84F"/>
          <bgColor rgb="FF6AA84F"/>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igest%20Africa%20_%20Data%20about%20Afric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ummary"/>
      <sheetName val="Summary_Venture"/>
      <sheetName val="Funding Analysis_Month"/>
      <sheetName val="Funding Analysis_Quarter"/>
      <sheetName val="Funding Analysis_Half"/>
      <sheetName val="Lists"/>
      <sheetName val="Analysis_Companies"/>
      <sheetName val="Analysis_Deals"/>
      <sheetName val="Lookups"/>
      <sheetName val="Investors"/>
      <sheetName val="Companies"/>
      <sheetName val="Deals (investment)"/>
      <sheetName val="Deals (Exits)"/>
      <sheetName val="Deals(investment) 2016"/>
      <sheetName val="Deals(Investment) 2018"/>
      <sheetName val="Deals(investment 2017)"/>
      <sheetName val="Deals (Fund)"/>
      <sheetName val="Deals(Investment) 2019"/>
      <sheetName val="People"/>
      <sheetName val="Accelerators"/>
      <sheetName val="Hubs"/>
      <sheetName val="Angel Networks"/>
      <sheetName val="Clients"/>
      <sheetName val="NEXT 25 (2019)"/>
      <sheetName val="Postmortems"/>
      <sheetName val="Techblogs, News Letters (Data S"/>
    </sheetNames>
    <sheetDataSet>
      <sheetData sheetId="0"/>
      <sheetData sheetId="1"/>
      <sheetData sheetId="2"/>
      <sheetData sheetId="3"/>
      <sheetData sheetId="4"/>
      <sheetData sheetId="5"/>
      <sheetData sheetId="6"/>
      <sheetData sheetId="7"/>
      <sheetData sheetId="8"/>
      <sheetData sheetId="9">
        <row r="3">
          <cell r="B3" t="str">
            <v>Industry Classification, Reported</v>
          </cell>
          <cell r="C3" t="str">
            <v>Industry Classification, Applied</v>
          </cell>
          <cell r="H3" t="str">
            <v>Funding Round, Reported</v>
          </cell>
          <cell r="I3" t="str">
            <v>Funding Round Applied, Digest Africa</v>
          </cell>
          <cell r="P3" t="str">
            <v>Month</v>
          </cell>
          <cell r="Q3" t="str">
            <v>Quarter</v>
          </cell>
          <cell r="R3" t="str">
            <v>Half</v>
          </cell>
          <cell r="S3" t="str">
            <v>Quarter Labelled</v>
          </cell>
          <cell r="T3" t="str">
            <v>Month Labelled</v>
          </cell>
          <cell r="U3" t="str">
            <v>Hallf Labelled</v>
          </cell>
          <cell r="V3" t="str">
            <v>Country</v>
          </cell>
          <cell r="W3" t="str">
            <v>Region</v>
          </cell>
          <cell r="X3" t="str">
            <v>Continent</v>
          </cell>
          <cell r="Y3" t="str">
            <v>African (Yes = 0, No =1)</v>
          </cell>
        </row>
        <row r="4">
          <cell r="B4" t="str">
            <v>Advertising</v>
          </cell>
          <cell r="C4" t="str">
            <v>Media &amp; Entertainment</v>
          </cell>
          <cell r="H4" t="str">
            <v>Pre-Series A</v>
          </cell>
          <cell r="I4" t="str">
            <v>3. Early Venture</v>
          </cell>
          <cell r="P4">
            <v>1</v>
          </cell>
          <cell r="Q4">
            <v>1</v>
          </cell>
          <cell r="R4">
            <v>1</v>
          </cell>
          <cell r="S4" t="str">
            <v>Q1</v>
          </cell>
          <cell r="T4" t="str">
            <v>January</v>
          </cell>
          <cell r="U4" t="str">
            <v>H1</v>
          </cell>
          <cell r="V4" t="str">
            <v>Algeria</v>
          </cell>
          <cell r="W4" t="str">
            <v>Northern</v>
          </cell>
          <cell r="X4" t="str">
            <v>Africa</v>
          </cell>
          <cell r="Y4">
            <v>0</v>
          </cell>
        </row>
        <row r="5">
          <cell r="B5" t="str">
            <v>Advertising and Marketing</v>
          </cell>
          <cell r="C5" t="str">
            <v>Media &amp; Entertainment</v>
          </cell>
          <cell r="H5" t="str">
            <v>Seed</v>
          </cell>
          <cell r="I5" t="str">
            <v>2. Seed</v>
          </cell>
          <cell r="P5">
            <v>2</v>
          </cell>
          <cell r="Q5">
            <v>1</v>
          </cell>
          <cell r="R5">
            <v>1</v>
          </cell>
          <cell r="S5" t="str">
            <v>Q1</v>
          </cell>
          <cell r="T5" t="str">
            <v>February</v>
          </cell>
          <cell r="U5" t="str">
            <v>H1</v>
          </cell>
          <cell r="V5" t="str">
            <v>Angola</v>
          </cell>
          <cell r="W5" t="str">
            <v>Central</v>
          </cell>
          <cell r="X5" t="str">
            <v>Africa</v>
          </cell>
          <cell r="Y5">
            <v>0</v>
          </cell>
        </row>
        <row r="6">
          <cell r="B6" t="str">
            <v>Agriculture</v>
          </cell>
          <cell r="C6" t="str">
            <v>Agriculture</v>
          </cell>
          <cell r="H6" t="str">
            <v>Series A</v>
          </cell>
          <cell r="I6" t="str">
            <v>3. Early Venture</v>
          </cell>
          <cell r="P6">
            <v>3</v>
          </cell>
          <cell r="Q6">
            <v>1</v>
          </cell>
          <cell r="R6">
            <v>1</v>
          </cell>
          <cell r="S6" t="str">
            <v>Q1</v>
          </cell>
          <cell r="T6" t="str">
            <v>March</v>
          </cell>
          <cell r="U6" t="str">
            <v>H1</v>
          </cell>
          <cell r="V6" t="str">
            <v>Benin</v>
          </cell>
          <cell r="W6" t="str">
            <v>Western</v>
          </cell>
          <cell r="X6" t="str">
            <v>Africa</v>
          </cell>
          <cell r="Y6">
            <v>0</v>
          </cell>
        </row>
        <row r="7">
          <cell r="B7" t="str">
            <v>Airlines/Aviation</v>
          </cell>
          <cell r="C7" t="str">
            <v>Transport &amp; Logistics</v>
          </cell>
          <cell r="H7" t="str">
            <v>Series A II</v>
          </cell>
          <cell r="I7" t="str">
            <v>3. Early Venture</v>
          </cell>
          <cell r="P7">
            <v>4</v>
          </cell>
          <cell r="Q7">
            <v>2</v>
          </cell>
          <cell r="R7">
            <v>1</v>
          </cell>
          <cell r="S7" t="str">
            <v>Q2</v>
          </cell>
          <cell r="T7" t="str">
            <v>April</v>
          </cell>
          <cell r="U7" t="str">
            <v>H1</v>
          </cell>
          <cell r="V7" t="str">
            <v>Botswana</v>
          </cell>
          <cell r="W7" t="str">
            <v>Southern</v>
          </cell>
          <cell r="X7" t="str">
            <v>Africa</v>
          </cell>
          <cell r="Y7">
            <v>0</v>
          </cell>
        </row>
        <row r="8">
          <cell r="B8" t="str">
            <v>Art, Fashion &amp; Handicraft</v>
          </cell>
          <cell r="C8" t="str">
            <v>Media &amp; Entertainment</v>
          </cell>
          <cell r="H8" t="str">
            <v>Series B</v>
          </cell>
          <cell r="I8" t="str">
            <v>3. Early Venture</v>
          </cell>
          <cell r="P8">
            <v>5</v>
          </cell>
          <cell r="Q8">
            <v>2</v>
          </cell>
          <cell r="R8">
            <v>1</v>
          </cell>
          <cell r="S8" t="str">
            <v>Q2</v>
          </cell>
          <cell r="T8" t="str">
            <v>May</v>
          </cell>
          <cell r="U8" t="str">
            <v>H1</v>
          </cell>
          <cell r="V8" t="str">
            <v>Burkina Faso</v>
          </cell>
          <cell r="W8" t="str">
            <v>Western</v>
          </cell>
          <cell r="X8" t="str">
            <v>Africa</v>
          </cell>
          <cell r="Y8">
            <v>0</v>
          </cell>
        </row>
        <row r="9">
          <cell r="B9" t="str">
            <v>Artificial Intelligence</v>
          </cell>
          <cell r="C9" t="str">
            <v>Emerging Technologies</v>
          </cell>
          <cell r="H9" t="str">
            <v>Debt Financing</v>
          </cell>
          <cell r="I9" t="str">
            <v>5. Debt Financing</v>
          </cell>
          <cell r="P9">
            <v>6</v>
          </cell>
          <cell r="Q9">
            <v>2</v>
          </cell>
          <cell r="R9">
            <v>1</v>
          </cell>
          <cell r="S9" t="str">
            <v>Q2</v>
          </cell>
          <cell r="T9" t="str">
            <v>June</v>
          </cell>
          <cell r="U9" t="str">
            <v>H1</v>
          </cell>
          <cell r="V9" t="str">
            <v>Burundi</v>
          </cell>
          <cell r="W9" t="str">
            <v>Eastern</v>
          </cell>
          <cell r="X9" t="str">
            <v>Africa</v>
          </cell>
          <cell r="Y9">
            <v>0</v>
          </cell>
        </row>
        <row r="10">
          <cell r="B10" t="str">
            <v>Automotive</v>
          </cell>
          <cell r="C10" t="str">
            <v>Emerging Technologies</v>
          </cell>
          <cell r="H10" t="str">
            <v>Development Support</v>
          </cell>
          <cell r="I10" t="str">
            <v xml:space="preserve">1. Grant
</v>
          </cell>
          <cell r="P10">
            <v>7</v>
          </cell>
          <cell r="Q10">
            <v>3</v>
          </cell>
          <cell r="R10">
            <v>2</v>
          </cell>
          <cell r="S10" t="str">
            <v>Q3</v>
          </cell>
          <cell r="T10" t="str">
            <v>July</v>
          </cell>
          <cell r="U10" t="str">
            <v>H2</v>
          </cell>
          <cell r="V10" t="str">
            <v>Cameroon</v>
          </cell>
          <cell r="W10" t="str">
            <v>Central</v>
          </cell>
          <cell r="X10" t="str">
            <v>Africa</v>
          </cell>
          <cell r="Y10">
            <v>0</v>
          </cell>
        </row>
        <row r="11">
          <cell r="B11" t="str">
            <v>Aviation &amp; Aerospace</v>
          </cell>
          <cell r="C11" t="str">
            <v>Transport &amp; Logistics</v>
          </cell>
          <cell r="H11" t="str">
            <v>Corporate Minority</v>
          </cell>
          <cell r="I11" t="str">
            <v>3. Early Venture</v>
          </cell>
          <cell r="P11">
            <v>8</v>
          </cell>
          <cell r="Q11">
            <v>3</v>
          </cell>
          <cell r="R11">
            <v>2</v>
          </cell>
          <cell r="S11" t="str">
            <v>Q3</v>
          </cell>
          <cell r="T11" t="str">
            <v>August</v>
          </cell>
          <cell r="U11" t="str">
            <v>H2</v>
          </cell>
          <cell r="V11" t="str">
            <v>Cape Verde</v>
          </cell>
          <cell r="W11" t="str">
            <v>Western</v>
          </cell>
          <cell r="X11" t="str">
            <v>Africa</v>
          </cell>
          <cell r="Y11">
            <v>0</v>
          </cell>
        </row>
        <row r="12">
          <cell r="B12" t="str">
            <v>Beauty</v>
          </cell>
          <cell r="C12" t="str">
            <v>Other Technologies &amp; Information Technology</v>
          </cell>
          <cell r="H12" t="str">
            <v>Non-Equity Assistance</v>
          </cell>
          <cell r="I12" t="str">
            <v xml:space="preserve">1. Grant
</v>
          </cell>
          <cell r="P12">
            <v>9</v>
          </cell>
          <cell r="Q12">
            <v>3</v>
          </cell>
          <cell r="R12">
            <v>2</v>
          </cell>
          <cell r="S12" t="str">
            <v>Q3</v>
          </cell>
          <cell r="T12" t="str">
            <v>September</v>
          </cell>
          <cell r="U12" t="str">
            <v>H2</v>
          </cell>
          <cell r="V12" t="str">
            <v>Central African Republic</v>
          </cell>
          <cell r="W12" t="str">
            <v>Central</v>
          </cell>
          <cell r="X12" t="str">
            <v>Africa</v>
          </cell>
          <cell r="Y12">
            <v>0</v>
          </cell>
        </row>
        <row r="13">
          <cell r="B13" t="str">
            <v>Biomass, Renewable energy, Waste management and recycling</v>
          </cell>
          <cell r="C13" t="str">
            <v>Energy &amp; Resources</v>
          </cell>
          <cell r="H13" t="str">
            <v>Series D</v>
          </cell>
          <cell r="I13" t="str">
            <v>4. Late Venture</v>
          </cell>
          <cell r="P13">
            <v>10</v>
          </cell>
          <cell r="Q13">
            <v>4</v>
          </cell>
          <cell r="R13">
            <v>2</v>
          </cell>
          <cell r="S13" t="str">
            <v>Q4</v>
          </cell>
          <cell r="T13" t="str">
            <v>October</v>
          </cell>
          <cell r="U13" t="str">
            <v>H2</v>
          </cell>
          <cell r="V13" t="str">
            <v>Chad</v>
          </cell>
          <cell r="W13" t="str">
            <v>Central</v>
          </cell>
          <cell r="X13" t="str">
            <v>Africa</v>
          </cell>
          <cell r="Y13">
            <v>0</v>
          </cell>
        </row>
        <row r="14">
          <cell r="B14" t="str">
            <v>Blockchain</v>
          </cell>
          <cell r="C14" t="str">
            <v>Emerging Technologies</v>
          </cell>
          <cell r="H14" t="str">
            <v>Seriec C</v>
          </cell>
          <cell r="I14" t="str">
            <v>4. Late Venture</v>
          </cell>
          <cell r="P14">
            <v>11</v>
          </cell>
          <cell r="Q14">
            <v>4</v>
          </cell>
          <cell r="R14">
            <v>2</v>
          </cell>
          <cell r="S14" t="str">
            <v>Q4</v>
          </cell>
          <cell r="T14" t="str">
            <v>November</v>
          </cell>
          <cell r="U14" t="str">
            <v>H2</v>
          </cell>
          <cell r="V14" t="str">
            <v>Comoros</v>
          </cell>
          <cell r="W14" t="str">
            <v>Eastern</v>
          </cell>
          <cell r="X14" t="str">
            <v>Africa</v>
          </cell>
          <cell r="Y14">
            <v>0</v>
          </cell>
        </row>
        <row r="15">
          <cell r="B15" t="str">
            <v>Blockchain technology</v>
          </cell>
          <cell r="C15" t="str">
            <v>Emerging Technologies</v>
          </cell>
          <cell r="H15" t="str">
            <v>Undisclosed</v>
          </cell>
          <cell r="P15">
            <v>12</v>
          </cell>
          <cell r="Q15">
            <v>4</v>
          </cell>
          <cell r="R15">
            <v>2</v>
          </cell>
          <cell r="S15" t="str">
            <v>Q4</v>
          </cell>
          <cell r="T15" t="str">
            <v>December</v>
          </cell>
          <cell r="U15" t="str">
            <v>H2</v>
          </cell>
          <cell r="V15" t="str">
            <v>Republic of the Congo</v>
          </cell>
          <cell r="W15" t="str">
            <v>Central</v>
          </cell>
          <cell r="X15" t="str">
            <v>Africa</v>
          </cell>
          <cell r="Y15">
            <v>0</v>
          </cell>
        </row>
        <row r="16">
          <cell r="B16" t="str">
            <v>Civic Technology</v>
          </cell>
          <cell r="C16" t="str">
            <v>Other Technologies &amp; Information Technology</v>
          </cell>
          <cell r="H16" t="str">
            <v>Non-equity Assistance</v>
          </cell>
          <cell r="I16" t="str">
            <v>1. Grant</v>
          </cell>
          <cell r="V16" t="str">
            <v>Democratic Republic of the Congo</v>
          </cell>
          <cell r="W16" t="str">
            <v>Central</v>
          </cell>
          <cell r="X16" t="str">
            <v>Africa</v>
          </cell>
          <cell r="Y16">
            <v>0</v>
          </cell>
        </row>
        <row r="17">
          <cell r="B17" t="str">
            <v>Clean technology, Internet-of-things, Solar power</v>
          </cell>
          <cell r="C17" t="str">
            <v>Energy &amp; Resources</v>
          </cell>
          <cell r="H17" t="str">
            <v>Crowdfunding</v>
          </cell>
          <cell r="I17" t="str">
            <v>7. Offerings</v>
          </cell>
          <cell r="V17" t="str">
            <v>Djibouti</v>
          </cell>
          <cell r="W17" t="str">
            <v>Eastern</v>
          </cell>
          <cell r="X17" t="str">
            <v>Africa</v>
          </cell>
          <cell r="Y17">
            <v>0</v>
          </cell>
        </row>
        <row r="18">
          <cell r="B18" t="str">
            <v>Cloud Computing</v>
          </cell>
          <cell r="C18" t="str">
            <v>Other Technologies &amp; Information Technology</v>
          </cell>
          <cell r="H18" t="str">
            <v>Unknown</v>
          </cell>
          <cell r="V18" t="str">
            <v>Egypt</v>
          </cell>
          <cell r="W18" t="str">
            <v>Northern</v>
          </cell>
          <cell r="X18" t="str">
            <v>Africa</v>
          </cell>
          <cell r="Y18">
            <v>0</v>
          </cell>
        </row>
        <row r="19">
          <cell r="B19" t="str">
            <v>Co-founder, CEO</v>
          </cell>
          <cell r="C19" t="str">
            <v>Other Technologies &amp; Information Technology</v>
          </cell>
          <cell r="H19" t="str">
            <v>Private Equity</v>
          </cell>
          <cell r="I19" t="str">
            <v>6. Private Equity</v>
          </cell>
          <cell r="V19" t="str">
            <v>Equatorial Guinea</v>
          </cell>
          <cell r="W19" t="str">
            <v>Central</v>
          </cell>
          <cell r="X19" t="str">
            <v>Africa</v>
          </cell>
          <cell r="Y19">
            <v>0</v>
          </cell>
        </row>
        <row r="20">
          <cell r="B20" t="str">
            <v>Computer Manufacturing</v>
          </cell>
          <cell r="C20" t="str">
            <v>Manufacturing</v>
          </cell>
          <cell r="H20" t="str">
            <v>Convertible Note</v>
          </cell>
          <cell r="I20" t="str">
            <v>5. Debt Financing</v>
          </cell>
          <cell r="V20" t="str">
            <v>Eritrea</v>
          </cell>
          <cell r="W20" t="str">
            <v>Eastern</v>
          </cell>
          <cell r="X20" t="str">
            <v>Africa</v>
          </cell>
          <cell r="Y20">
            <v>0</v>
          </cell>
        </row>
        <row r="21">
          <cell r="B21" t="str">
            <v>Computer Software</v>
          </cell>
          <cell r="C21" t="str">
            <v>Other Technologies &amp; Information Technology</v>
          </cell>
          <cell r="H21" t="str">
            <v>Series C</v>
          </cell>
          <cell r="I21" t="str">
            <v>4. Late Venture</v>
          </cell>
          <cell r="V21" t="str">
            <v>Ethiopia</v>
          </cell>
          <cell r="W21" t="str">
            <v>Eastern</v>
          </cell>
          <cell r="X21" t="str">
            <v>Africa</v>
          </cell>
          <cell r="Y21">
            <v>0</v>
          </cell>
        </row>
        <row r="22">
          <cell r="B22" t="str">
            <v>Construction</v>
          </cell>
          <cell r="C22" t="str">
            <v>Construction &amp; Real Estate</v>
          </cell>
          <cell r="H22" t="str">
            <v>Venture Round</v>
          </cell>
          <cell r="I22" t="str">
            <v>4. Late Venture</v>
          </cell>
          <cell r="V22" t="str">
            <v>Gabon</v>
          </cell>
          <cell r="W22" t="str">
            <v>Central</v>
          </cell>
          <cell r="X22" t="str">
            <v>Africa</v>
          </cell>
          <cell r="Y22">
            <v>0</v>
          </cell>
        </row>
        <row r="23">
          <cell r="B23" t="str">
            <v>Consumer Electronics</v>
          </cell>
          <cell r="C23" t="str">
            <v>Other Technologies &amp; Information Technology</v>
          </cell>
          <cell r="H23" t="str">
            <v>Pre-Seed</v>
          </cell>
          <cell r="I23" t="str">
            <v>2. Seed</v>
          </cell>
          <cell r="V23" t="str">
            <v>Gambia</v>
          </cell>
          <cell r="W23" t="str">
            <v>Western</v>
          </cell>
          <cell r="X23" t="str">
            <v>Africa</v>
          </cell>
          <cell r="Y23">
            <v>0</v>
          </cell>
        </row>
        <row r="24">
          <cell r="B24" t="str">
            <v>CRM</v>
          </cell>
          <cell r="C24" t="str">
            <v>Other Technologies &amp; Information Technology</v>
          </cell>
          <cell r="H24" t="str">
            <v>Bridge</v>
          </cell>
          <cell r="I24" t="str">
            <v>2. Seed</v>
          </cell>
          <cell r="V24" t="str">
            <v>Ghana</v>
          </cell>
          <cell r="W24" t="str">
            <v>Western</v>
          </cell>
          <cell r="X24" t="str">
            <v>Africa</v>
          </cell>
          <cell r="Y24">
            <v>0</v>
          </cell>
        </row>
        <row r="25">
          <cell r="B25" t="str">
            <v>Data Science &amp; Analytics</v>
          </cell>
          <cell r="C25" t="str">
            <v>Emerging Technologies</v>
          </cell>
          <cell r="V25" t="str">
            <v>Guinea</v>
          </cell>
          <cell r="W25" t="str">
            <v>Western</v>
          </cell>
          <cell r="X25" t="str">
            <v>Africa</v>
          </cell>
          <cell r="Y25">
            <v>0</v>
          </cell>
        </row>
        <row r="26">
          <cell r="B26" t="str">
            <v>E-commerce</v>
          </cell>
          <cell r="C26" t="str">
            <v>E-commerce &amp; Retail</v>
          </cell>
          <cell r="H26" t="str">
            <v>Corporate Round</v>
          </cell>
          <cell r="I26" t="str">
            <v>4. Late Venture</v>
          </cell>
          <cell r="V26" t="str">
            <v>Guinea-Bissau</v>
          </cell>
          <cell r="W26" t="str">
            <v>Western</v>
          </cell>
          <cell r="X26" t="str">
            <v>Africa</v>
          </cell>
          <cell r="Y26">
            <v>0</v>
          </cell>
        </row>
        <row r="27">
          <cell r="B27" t="str">
            <v>E-commerce</v>
          </cell>
          <cell r="C27" t="str">
            <v>E-commerce &amp; Retail</v>
          </cell>
          <cell r="H27" t="str">
            <v>Prize Money</v>
          </cell>
          <cell r="I27" t="str">
            <v>1. Grant</v>
          </cell>
          <cell r="V27" t="str">
            <v>Ivory Coast</v>
          </cell>
          <cell r="W27" t="str">
            <v>Western</v>
          </cell>
          <cell r="X27" t="str">
            <v>Africa</v>
          </cell>
          <cell r="Y27">
            <v>0</v>
          </cell>
        </row>
        <row r="28">
          <cell r="B28" t="str">
            <v>E-commerce &amp; Retail</v>
          </cell>
          <cell r="C28" t="str">
            <v>E-commerce &amp; Retail</v>
          </cell>
          <cell r="H28" t="str">
            <v>Grants</v>
          </cell>
          <cell r="I28" t="str">
            <v>1. Grant</v>
          </cell>
          <cell r="V28" t="str">
            <v>Kenya</v>
          </cell>
          <cell r="W28" t="str">
            <v>Eastern</v>
          </cell>
          <cell r="X28" t="str">
            <v>Africa</v>
          </cell>
          <cell r="Y28">
            <v>0</v>
          </cell>
        </row>
        <row r="29">
          <cell r="B29" t="str">
            <v>Education</v>
          </cell>
          <cell r="C29" t="str">
            <v>Education</v>
          </cell>
          <cell r="H29" t="str">
            <v>Corporate Venture</v>
          </cell>
          <cell r="I29" t="str">
            <v>4. Late Venture</v>
          </cell>
          <cell r="V29" t="str">
            <v>Lesotho</v>
          </cell>
          <cell r="W29" t="str">
            <v>Southern</v>
          </cell>
          <cell r="X29" t="str">
            <v>Africa</v>
          </cell>
          <cell r="Y29">
            <v>0</v>
          </cell>
        </row>
        <row r="30">
          <cell r="B30" t="str">
            <v>E-Learning</v>
          </cell>
          <cell r="C30" t="str">
            <v>Education</v>
          </cell>
          <cell r="H30" t="str">
            <v>Angel</v>
          </cell>
          <cell r="I30" t="str">
            <v>2. Seed</v>
          </cell>
          <cell r="V30" t="str">
            <v>Liberia</v>
          </cell>
          <cell r="W30" t="str">
            <v>Western</v>
          </cell>
          <cell r="X30" t="str">
            <v>Africa</v>
          </cell>
          <cell r="Y30">
            <v>0</v>
          </cell>
        </row>
        <row r="31">
          <cell r="B31" t="str">
            <v>Electrical/Electronic Manufacturing</v>
          </cell>
          <cell r="C31" t="str">
            <v>Manufacturing</v>
          </cell>
          <cell r="H31" t="str">
            <v>Pre-Series B</v>
          </cell>
          <cell r="I31" t="str">
            <v>3. Early Venture</v>
          </cell>
          <cell r="V31" t="str">
            <v>Libya</v>
          </cell>
          <cell r="W31" t="str">
            <v>Northern</v>
          </cell>
          <cell r="X31" t="str">
            <v>Africa</v>
          </cell>
          <cell r="Y31">
            <v>0</v>
          </cell>
        </row>
        <row r="32">
          <cell r="B32" t="str">
            <v>E-lerning</v>
          </cell>
          <cell r="C32" t="str">
            <v>Education</v>
          </cell>
          <cell r="H32" t="str">
            <v>Series E</v>
          </cell>
          <cell r="I32" t="str">
            <v>4. Late Venture</v>
          </cell>
          <cell r="V32" t="str">
            <v>Madagascar</v>
          </cell>
          <cell r="W32" t="str">
            <v>Eastern</v>
          </cell>
          <cell r="X32" t="str">
            <v>Africa</v>
          </cell>
          <cell r="Y32">
            <v>0</v>
          </cell>
        </row>
        <row r="33">
          <cell r="B33" t="str">
            <v>Emerging Technologies</v>
          </cell>
          <cell r="C33" t="str">
            <v>Emerging Technologies</v>
          </cell>
          <cell r="H33" t="str">
            <v xml:space="preserve">Bridge </v>
          </cell>
          <cell r="I33" t="str">
            <v>2. Seed</v>
          </cell>
          <cell r="V33" t="str">
            <v>Malawi</v>
          </cell>
          <cell r="W33" t="str">
            <v>Eastern</v>
          </cell>
          <cell r="X33" t="str">
            <v>Africa</v>
          </cell>
          <cell r="Y33">
            <v>0</v>
          </cell>
        </row>
        <row r="34">
          <cell r="B34" t="str">
            <v>Emerging Technology</v>
          </cell>
          <cell r="C34" t="str">
            <v>Emerging Technologies</v>
          </cell>
          <cell r="H34" t="str">
            <v>Pre-Series C</v>
          </cell>
          <cell r="I34" t="str">
            <v>3. Early Venture</v>
          </cell>
          <cell r="V34" t="str">
            <v>Mali</v>
          </cell>
          <cell r="W34" t="str">
            <v>Western</v>
          </cell>
          <cell r="X34" t="str">
            <v>Africa</v>
          </cell>
          <cell r="Y34">
            <v>0</v>
          </cell>
        </row>
        <row r="35">
          <cell r="B35" t="str">
            <v>Energy</v>
          </cell>
          <cell r="C35" t="str">
            <v>Energy &amp; Resources</v>
          </cell>
          <cell r="H35" t="str">
            <v>Equity Crowdfunding</v>
          </cell>
          <cell r="I35" t="str">
            <v>7. Offerings</v>
          </cell>
          <cell r="V35" t="str">
            <v>Mauritania</v>
          </cell>
          <cell r="W35" t="str">
            <v>Western</v>
          </cell>
          <cell r="X35" t="str">
            <v>Africa</v>
          </cell>
          <cell r="Y35">
            <v>0</v>
          </cell>
        </row>
        <row r="36">
          <cell r="B36" t="str">
            <v>Energy &amp; Resources</v>
          </cell>
          <cell r="C36" t="str">
            <v>Energy &amp; Resources</v>
          </cell>
          <cell r="H36" t="str">
            <v>Angel Round</v>
          </cell>
          <cell r="I36" t="str">
            <v>2. Seed</v>
          </cell>
          <cell r="V36" t="str">
            <v>Mauritius</v>
          </cell>
          <cell r="W36" t="str">
            <v>Eastern</v>
          </cell>
          <cell r="X36" t="str">
            <v>Africa</v>
          </cell>
          <cell r="Y36">
            <v>0</v>
          </cell>
        </row>
        <row r="37">
          <cell r="B37" t="str">
            <v>Enterprise Software</v>
          </cell>
          <cell r="C37" t="str">
            <v>Other Technologies &amp; Information Technology</v>
          </cell>
          <cell r="H37" t="str">
            <v>Corporate Majority</v>
          </cell>
          <cell r="I37" t="str">
            <v>4. Late Venture</v>
          </cell>
          <cell r="V37" t="str">
            <v>Morocco</v>
          </cell>
          <cell r="W37" t="str">
            <v>Northern</v>
          </cell>
          <cell r="X37" t="str">
            <v>Africa</v>
          </cell>
          <cell r="Y37">
            <v>0</v>
          </cell>
        </row>
        <row r="38">
          <cell r="B38" t="str">
            <v>Entertainment</v>
          </cell>
          <cell r="C38" t="str">
            <v>Media &amp; Entertainment</v>
          </cell>
          <cell r="H38" t="str">
            <v>Accelerator</v>
          </cell>
          <cell r="I38" t="str">
            <v>2. Seed</v>
          </cell>
          <cell r="V38" t="str">
            <v>Mozambique</v>
          </cell>
          <cell r="W38" t="str">
            <v>Eastern</v>
          </cell>
          <cell r="X38" t="str">
            <v>Africa</v>
          </cell>
          <cell r="Y38">
            <v>0</v>
          </cell>
        </row>
        <row r="39">
          <cell r="B39" t="str">
            <v>Event Services</v>
          </cell>
          <cell r="C39" t="str">
            <v>Media &amp; Entertainment</v>
          </cell>
          <cell r="H39" t="str">
            <v xml:space="preserve">Pre-Seed </v>
          </cell>
          <cell r="I39" t="str">
            <v>2. Seed</v>
          </cell>
          <cell r="V39" t="str">
            <v>Namibia</v>
          </cell>
          <cell r="W39" t="str">
            <v>Southern</v>
          </cell>
          <cell r="X39" t="str">
            <v>Africa</v>
          </cell>
          <cell r="Y39">
            <v>0</v>
          </cell>
        </row>
        <row r="40">
          <cell r="B40" t="str">
            <v>Events</v>
          </cell>
          <cell r="C40" t="str">
            <v>Media &amp; Entertainment</v>
          </cell>
          <cell r="H40" t="str">
            <v>Debt Facility</v>
          </cell>
          <cell r="I40" t="str">
            <v>5. Debt Financing</v>
          </cell>
          <cell r="V40" t="str">
            <v>Niger</v>
          </cell>
          <cell r="W40" t="str">
            <v>Western</v>
          </cell>
          <cell r="X40" t="str">
            <v>Africa</v>
          </cell>
          <cell r="Y40">
            <v>0</v>
          </cell>
        </row>
        <row r="41">
          <cell r="B41" t="str">
            <v>Farming</v>
          </cell>
          <cell r="C41" t="str">
            <v>Agriculture</v>
          </cell>
          <cell r="H41" t="str">
            <v>Seed Round</v>
          </cell>
          <cell r="I41" t="str">
            <v>2. Seed</v>
          </cell>
          <cell r="V41" t="str">
            <v>Nigeria</v>
          </cell>
          <cell r="W41" t="str">
            <v>Western</v>
          </cell>
          <cell r="X41" t="str">
            <v>Africa</v>
          </cell>
          <cell r="Y41">
            <v>0</v>
          </cell>
        </row>
        <row r="42">
          <cell r="B42" t="str">
            <v>Fashion</v>
          </cell>
          <cell r="C42" t="str">
            <v>E-commerce &amp; Retail</v>
          </cell>
          <cell r="H42" t="str">
            <v>Grant</v>
          </cell>
          <cell r="I42" t="str">
            <v>1. Grant</v>
          </cell>
          <cell r="V42" t="str">
            <v>Rwanda</v>
          </cell>
          <cell r="W42" t="str">
            <v>Eastern</v>
          </cell>
          <cell r="X42" t="str">
            <v>Africa</v>
          </cell>
          <cell r="Y42">
            <v>0</v>
          </cell>
        </row>
        <row r="43">
          <cell r="B43" t="str">
            <v>Financial Services</v>
          </cell>
          <cell r="C43" t="str">
            <v>Financial Services</v>
          </cell>
          <cell r="H43" t="str">
            <v>Convertible Note</v>
          </cell>
          <cell r="I43" t="str">
            <v>2. Seed</v>
          </cell>
          <cell r="V43" t="str">
            <v>Sao Tome and Principe</v>
          </cell>
          <cell r="W43" t="str">
            <v>Central</v>
          </cell>
          <cell r="X43" t="str">
            <v>Africa</v>
          </cell>
          <cell r="Y43">
            <v>0</v>
          </cell>
        </row>
        <row r="44">
          <cell r="B44" t="str">
            <v>Financial services, Fintech</v>
          </cell>
          <cell r="C44" t="str">
            <v>Financial Services</v>
          </cell>
          <cell r="H44" t="str">
            <v>Primary Equity Issuance</v>
          </cell>
          <cell r="I44" t="str">
            <v>7. Offerings</v>
          </cell>
          <cell r="V44" t="str">
            <v>Senegal</v>
          </cell>
          <cell r="W44" t="str">
            <v>Western</v>
          </cell>
          <cell r="X44" t="str">
            <v>Africa</v>
          </cell>
          <cell r="Y44">
            <v>0</v>
          </cell>
        </row>
        <row r="45">
          <cell r="B45" t="str">
            <v>Financial services, Internet, Mobile</v>
          </cell>
          <cell r="C45" t="str">
            <v>Financial Services</v>
          </cell>
          <cell r="H45" t="str">
            <v>Venture</v>
          </cell>
          <cell r="I45" t="str">
            <v>4. Late Venture</v>
          </cell>
          <cell r="V45" t="str">
            <v>Seychelles</v>
          </cell>
          <cell r="W45" t="str">
            <v>Eastern</v>
          </cell>
          <cell r="X45" t="str">
            <v>Africa</v>
          </cell>
          <cell r="Y45">
            <v>0</v>
          </cell>
        </row>
        <row r="46">
          <cell r="B46" t="str">
            <v>Financial technology</v>
          </cell>
          <cell r="C46" t="str">
            <v>Financial Services</v>
          </cell>
          <cell r="H46" t="str">
            <v>Series B II</v>
          </cell>
          <cell r="I46" t="str">
            <v>3. Early Venture</v>
          </cell>
          <cell r="V46" t="str">
            <v>Sierra Leone</v>
          </cell>
          <cell r="W46" t="str">
            <v>Western</v>
          </cell>
          <cell r="X46" t="str">
            <v>Africa</v>
          </cell>
          <cell r="Y46">
            <v>0</v>
          </cell>
        </row>
        <row r="47">
          <cell r="B47" t="str">
            <v>Food &amp; Beverages</v>
          </cell>
          <cell r="C47" t="str">
            <v>Travel &amp; Leisure</v>
          </cell>
          <cell r="H47" t="str">
            <v>Acquisition</v>
          </cell>
          <cell r="I47" t="str">
            <v>8. Exits</v>
          </cell>
          <cell r="V47" t="str">
            <v>Somalia</v>
          </cell>
          <cell r="W47" t="str">
            <v>Eastern</v>
          </cell>
          <cell r="X47" t="str">
            <v>Africa</v>
          </cell>
          <cell r="Y47">
            <v>0</v>
          </cell>
        </row>
        <row r="48">
          <cell r="B48" t="str">
            <v>Gaming</v>
          </cell>
          <cell r="C48" t="str">
            <v>Media &amp; Entertainment</v>
          </cell>
          <cell r="V48" t="str">
            <v>South Africa</v>
          </cell>
          <cell r="W48" t="str">
            <v>Southern</v>
          </cell>
          <cell r="X48" t="str">
            <v>Africa</v>
          </cell>
          <cell r="Y48">
            <v>0</v>
          </cell>
        </row>
        <row r="49">
          <cell r="B49" t="str">
            <v>Healrh</v>
          </cell>
          <cell r="C49" t="str">
            <v>Health &amp; Pharmaceuticals</v>
          </cell>
          <cell r="V49" t="str">
            <v>South Sudan</v>
          </cell>
          <cell r="W49" t="str">
            <v>Eastern</v>
          </cell>
          <cell r="X49" t="str">
            <v>Africa</v>
          </cell>
          <cell r="Y49">
            <v>0</v>
          </cell>
        </row>
        <row r="50">
          <cell r="B50" t="str">
            <v>Health</v>
          </cell>
          <cell r="C50" t="str">
            <v>Health &amp; Pharmaceuticals</v>
          </cell>
          <cell r="V50" t="str">
            <v>Sudan</v>
          </cell>
          <cell r="W50" t="str">
            <v>Northern</v>
          </cell>
          <cell r="X50" t="str">
            <v>Africa</v>
          </cell>
          <cell r="Y50">
            <v>0</v>
          </cell>
        </row>
        <row r="51">
          <cell r="B51" t="str">
            <v>Health &amp; Pharma</v>
          </cell>
          <cell r="C51" t="str">
            <v>Health &amp; Pharmaceuticals</v>
          </cell>
          <cell r="V51" t="str">
            <v>Eswatini (Swaziland)</v>
          </cell>
          <cell r="W51" t="str">
            <v>Southern</v>
          </cell>
          <cell r="X51" t="str">
            <v>Africa</v>
          </cell>
          <cell r="Y51">
            <v>0</v>
          </cell>
        </row>
        <row r="52">
          <cell r="B52" t="str">
            <v>Health &amp; Pharmaceuticals</v>
          </cell>
          <cell r="C52" t="str">
            <v>Health &amp; Pharmaceuticals</v>
          </cell>
          <cell r="V52" t="str">
            <v>Tanzania</v>
          </cell>
          <cell r="W52" t="str">
            <v>Eastern</v>
          </cell>
          <cell r="X52" t="str">
            <v>Africa</v>
          </cell>
          <cell r="Y52">
            <v>0</v>
          </cell>
        </row>
        <row r="53">
          <cell r="B53" t="str">
            <v>Home Services</v>
          </cell>
          <cell r="C53" t="str">
            <v>Other Technologies &amp; Information Technology</v>
          </cell>
          <cell r="V53" t="str">
            <v>Togo</v>
          </cell>
          <cell r="W53" t="str">
            <v>Western</v>
          </cell>
          <cell r="X53" t="str">
            <v>Africa</v>
          </cell>
          <cell r="Y53">
            <v>0</v>
          </cell>
        </row>
        <row r="54">
          <cell r="B54" t="str">
            <v>Human Resource</v>
          </cell>
          <cell r="C54" t="str">
            <v>Employment, Talent &amp; Labour</v>
          </cell>
          <cell r="V54" t="str">
            <v>Tunisia</v>
          </cell>
          <cell r="W54" t="str">
            <v>Northern</v>
          </cell>
          <cell r="X54" t="str">
            <v>Africa</v>
          </cell>
          <cell r="Y54">
            <v>0</v>
          </cell>
        </row>
        <row r="55">
          <cell r="B55" t="str">
            <v>Human Resources</v>
          </cell>
          <cell r="C55" t="str">
            <v>Employment, Talent &amp; Labour</v>
          </cell>
          <cell r="V55" t="str">
            <v>Uganda</v>
          </cell>
          <cell r="W55" t="str">
            <v>Eastern</v>
          </cell>
          <cell r="X55" t="str">
            <v>Africa</v>
          </cell>
          <cell r="Y55">
            <v>0</v>
          </cell>
        </row>
        <row r="56">
          <cell r="B56" t="str">
            <v>Human Resource &amp; Recruitment</v>
          </cell>
          <cell r="C56" t="str">
            <v>Employment, Talent &amp; Labour</v>
          </cell>
          <cell r="V56" t="str">
            <v>Zambia</v>
          </cell>
          <cell r="W56" t="str">
            <v>Southern</v>
          </cell>
          <cell r="X56" t="str">
            <v>Africa</v>
          </cell>
          <cell r="Y56">
            <v>0</v>
          </cell>
        </row>
        <row r="57">
          <cell r="B57" t="str">
            <v>Import and Export</v>
          </cell>
          <cell r="C57" t="str">
            <v>Transport &amp; Logistics</v>
          </cell>
          <cell r="V57" t="str">
            <v>Zimbabwe</v>
          </cell>
          <cell r="W57" t="str">
            <v>Southern</v>
          </cell>
          <cell r="X57" t="str">
            <v>Africa</v>
          </cell>
          <cell r="Y57">
            <v>0</v>
          </cell>
        </row>
        <row r="58">
          <cell r="B58" t="str">
            <v>Information &amp; Technology</v>
          </cell>
          <cell r="C58" t="str">
            <v>Other Technologies &amp; Information Technology</v>
          </cell>
          <cell r="V58" t="str">
            <v>Afghanistan</v>
          </cell>
          <cell r="X58" t="str">
            <v>Asia</v>
          </cell>
          <cell r="Y58">
            <v>1</v>
          </cell>
        </row>
        <row r="59">
          <cell r="B59" t="str">
            <v>Infomation Services</v>
          </cell>
          <cell r="C59" t="str">
            <v>Other Technologies &amp; Information Technology</v>
          </cell>
          <cell r="V59" t="str">
            <v>Bahrain</v>
          </cell>
          <cell r="X59" t="str">
            <v>Asia</v>
          </cell>
          <cell r="Y59">
            <v>1</v>
          </cell>
        </row>
        <row r="60">
          <cell r="B60" t="str">
            <v>Information Technology</v>
          </cell>
          <cell r="C60" t="str">
            <v>Other Technologies &amp; Information Technology</v>
          </cell>
          <cell r="V60" t="str">
            <v>Bangladesh</v>
          </cell>
          <cell r="X60" t="str">
            <v>Asia</v>
          </cell>
          <cell r="Y60">
            <v>1</v>
          </cell>
        </row>
        <row r="61">
          <cell r="B61" t="str">
            <v>Other Technologies &amp; Information Technology</v>
          </cell>
          <cell r="C61" t="str">
            <v>Other Technologies &amp; Information Technology</v>
          </cell>
          <cell r="V61" t="str">
            <v>Bhutan</v>
          </cell>
          <cell r="X61" t="str">
            <v>Asia</v>
          </cell>
          <cell r="Y61">
            <v>1</v>
          </cell>
        </row>
        <row r="62">
          <cell r="B62" t="str">
            <v>Information Technology &amp; Services</v>
          </cell>
          <cell r="C62" t="str">
            <v>Other Technologies &amp; Information Technology</v>
          </cell>
          <cell r="V62" t="str">
            <v>Brunei</v>
          </cell>
          <cell r="X62" t="str">
            <v>Asia</v>
          </cell>
          <cell r="Y62">
            <v>1</v>
          </cell>
        </row>
        <row r="63">
          <cell r="B63" t="str">
            <v>Information technology &amp; Services</v>
          </cell>
          <cell r="C63" t="str">
            <v>Other Technologies &amp; Information Technology</v>
          </cell>
          <cell r="V63" t="str">
            <v>Burma (Myanmar)</v>
          </cell>
          <cell r="X63" t="str">
            <v>Asia</v>
          </cell>
          <cell r="Y63">
            <v>1</v>
          </cell>
        </row>
        <row r="64">
          <cell r="B64" t="str">
            <v>Information Technology and Services</v>
          </cell>
          <cell r="C64" t="str">
            <v>Other Technologies &amp; Information Technology</v>
          </cell>
          <cell r="V64" t="str">
            <v>Cambodia</v>
          </cell>
          <cell r="X64" t="str">
            <v>Asia</v>
          </cell>
          <cell r="Y64">
            <v>1</v>
          </cell>
        </row>
        <row r="65">
          <cell r="B65" t="str">
            <v>Insurance</v>
          </cell>
          <cell r="C65" t="str">
            <v>Financial Services</v>
          </cell>
          <cell r="V65" t="str">
            <v>China</v>
          </cell>
          <cell r="X65" t="str">
            <v>Asia</v>
          </cell>
          <cell r="Y65">
            <v>1</v>
          </cell>
        </row>
        <row r="66">
          <cell r="B66" t="str">
            <v>Internet</v>
          </cell>
          <cell r="C66" t="str">
            <v>Other Technologies &amp; Information Technology</v>
          </cell>
          <cell r="V66" t="str">
            <v>East Timor</v>
          </cell>
          <cell r="X66" t="str">
            <v>Asia</v>
          </cell>
          <cell r="Y66">
            <v>1</v>
          </cell>
        </row>
        <row r="67">
          <cell r="B67" t="str">
            <v>Internet &amp; Logistics</v>
          </cell>
          <cell r="C67" t="str">
            <v>Transport &amp; Logistics</v>
          </cell>
          <cell r="V67" t="str">
            <v>India</v>
          </cell>
          <cell r="X67" t="str">
            <v>Asia</v>
          </cell>
          <cell r="Y67">
            <v>1</v>
          </cell>
        </row>
        <row r="68">
          <cell r="B68" t="str">
            <v>Internet of Things</v>
          </cell>
          <cell r="C68" t="str">
            <v>Emerging Technologies</v>
          </cell>
          <cell r="V68" t="str">
            <v>Indonesia</v>
          </cell>
          <cell r="X68" t="str">
            <v>Asia</v>
          </cell>
          <cell r="Y68">
            <v>1</v>
          </cell>
        </row>
        <row r="69">
          <cell r="B69" t="str">
            <v>Investment Management</v>
          </cell>
          <cell r="C69" t="str">
            <v>Financial Services</v>
          </cell>
          <cell r="V69" t="str">
            <v>Iran</v>
          </cell>
          <cell r="X69" t="str">
            <v>Asia</v>
          </cell>
          <cell r="Y69">
            <v>1</v>
          </cell>
        </row>
        <row r="70">
          <cell r="B70" t="str">
            <v>Legal</v>
          </cell>
          <cell r="C70" t="str">
            <v>Professional Services</v>
          </cell>
          <cell r="V70" t="str">
            <v>Iraq</v>
          </cell>
          <cell r="X70" t="str">
            <v>Asia</v>
          </cell>
          <cell r="Y70">
            <v>1</v>
          </cell>
        </row>
        <row r="71">
          <cell r="B71" t="str">
            <v>Legal Services</v>
          </cell>
          <cell r="C71" t="str">
            <v>Professional Services</v>
          </cell>
          <cell r="V71" t="str">
            <v>Israel</v>
          </cell>
          <cell r="X71" t="str">
            <v>Asia</v>
          </cell>
          <cell r="Y71">
            <v>1</v>
          </cell>
        </row>
        <row r="72">
          <cell r="B72" t="str">
            <v>Logistics</v>
          </cell>
          <cell r="C72" t="str">
            <v>Transport &amp; Logistics</v>
          </cell>
          <cell r="V72" t="str">
            <v>Japan</v>
          </cell>
          <cell r="X72" t="str">
            <v>Asia</v>
          </cell>
          <cell r="Y72">
            <v>1</v>
          </cell>
        </row>
        <row r="73">
          <cell r="B73" t="str">
            <v>Logistics &amp; Transport</v>
          </cell>
          <cell r="C73" t="str">
            <v>Transport &amp; Logistics</v>
          </cell>
          <cell r="V73" t="str">
            <v>Jordan</v>
          </cell>
          <cell r="X73" t="str">
            <v>Asia</v>
          </cell>
          <cell r="Y73">
            <v>1</v>
          </cell>
        </row>
        <row r="74">
          <cell r="B74" t="str">
            <v>Logistics and Supply Chain</v>
          </cell>
          <cell r="C74" t="str">
            <v>Transport &amp; Logistics</v>
          </cell>
          <cell r="V74" t="str">
            <v>Kazakhstan</v>
          </cell>
          <cell r="X74" t="str">
            <v>Asia</v>
          </cell>
          <cell r="Y74">
            <v>1</v>
          </cell>
        </row>
        <row r="75">
          <cell r="B75" t="str">
            <v>logistics, e-commerce</v>
          </cell>
          <cell r="C75" t="str">
            <v>E-commerce &amp; Retail</v>
          </cell>
          <cell r="V75" t="str">
            <v>Korea, North</v>
          </cell>
          <cell r="X75" t="str">
            <v>Asia</v>
          </cell>
          <cell r="Y75">
            <v>1</v>
          </cell>
        </row>
        <row r="76">
          <cell r="B76" t="str">
            <v>Machine Learning</v>
          </cell>
          <cell r="C76" t="str">
            <v>Emerging Technologies</v>
          </cell>
          <cell r="V76" t="str">
            <v>Korea, South</v>
          </cell>
          <cell r="X76" t="str">
            <v>Asia</v>
          </cell>
          <cell r="Y76">
            <v>1</v>
          </cell>
        </row>
        <row r="77">
          <cell r="B77" t="str">
            <v>Marketing &amp; Advertising</v>
          </cell>
          <cell r="C77" t="str">
            <v>Media &amp; Entertainment</v>
          </cell>
          <cell r="V77" t="str">
            <v>Kuwait</v>
          </cell>
          <cell r="X77" t="str">
            <v>Asia</v>
          </cell>
          <cell r="Y77">
            <v>1</v>
          </cell>
        </row>
        <row r="78">
          <cell r="B78" t="str">
            <v>Management Consulting</v>
          </cell>
          <cell r="C78" t="str">
            <v>Professional Services</v>
          </cell>
          <cell r="V78" t="str">
            <v>Kyrgyzstan</v>
          </cell>
          <cell r="X78" t="str">
            <v>Asia</v>
          </cell>
          <cell r="Y78">
            <v>1</v>
          </cell>
        </row>
        <row r="79">
          <cell r="B79" t="str">
            <v>Manufacturing</v>
          </cell>
          <cell r="C79" t="str">
            <v>Manufacturing</v>
          </cell>
          <cell r="V79" t="str">
            <v>Laos</v>
          </cell>
          <cell r="X79" t="str">
            <v>Asia</v>
          </cell>
          <cell r="Y79">
            <v>1</v>
          </cell>
        </row>
        <row r="80">
          <cell r="B80" t="str">
            <v>Marketing</v>
          </cell>
          <cell r="C80" t="str">
            <v>Media &amp; Entertainment</v>
          </cell>
          <cell r="V80" t="str">
            <v>Lebanon</v>
          </cell>
          <cell r="X80" t="str">
            <v>Asia</v>
          </cell>
          <cell r="Y80">
            <v>1</v>
          </cell>
        </row>
        <row r="81">
          <cell r="B81" t="str">
            <v>Marketing and Advertising</v>
          </cell>
          <cell r="C81" t="str">
            <v>Media &amp; Entertainment</v>
          </cell>
          <cell r="V81" t="str">
            <v>Malaysia</v>
          </cell>
          <cell r="X81" t="str">
            <v>Asia</v>
          </cell>
          <cell r="Y81">
            <v>1</v>
          </cell>
        </row>
        <row r="82">
          <cell r="B82" t="str">
            <v>Marketplace</v>
          </cell>
          <cell r="C82" t="str">
            <v>E-commerce &amp; Retail</v>
          </cell>
          <cell r="V82" t="str">
            <v>Maldives</v>
          </cell>
          <cell r="X82" t="str">
            <v>Asia</v>
          </cell>
          <cell r="Y82">
            <v>1</v>
          </cell>
        </row>
        <row r="83">
          <cell r="B83" t="str">
            <v>Media &amp; Entertainment</v>
          </cell>
          <cell r="C83" t="str">
            <v>Media &amp; Entertainment</v>
          </cell>
          <cell r="V83" t="str">
            <v>Mongolia</v>
          </cell>
          <cell r="X83" t="str">
            <v>Asia</v>
          </cell>
          <cell r="Y83">
            <v>1</v>
          </cell>
        </row>
        <row r="84">
          <cell r="B84" t="str">
            <v>Media and Entertainment</v>
          </cell>
          <cell r="C84" t="str">
            <v>Media &amp; Entertainment</v>
          </cell>
          <cell r="V84" t="str">
            <v>Nepal</v>
          </cell>
          <cell r="X84" t="str">
            <v>Asia</v>
          </cell>
          <cell r="Y84">
            <v>1</v>
          </cell>
        </row>
        <row r="85">
          <cell r="B85" t="str">
            <v>Media and Research</v>
          </cell>
          <cell r="C85" t="str">
            <v>Media &amp; Entertainment</v>
          </cell>
          <cell r="V85" t="str">
            <v>Oman</v>
          </cell>
          <cell r="X85" t="str">
            <v>Asia</v>
          </cell>
          <cell r="Y85">
            <v>1</v>
          </cell>
        </row>
        <row r="86">
          <cell r="B86" t="str">
            <v>Media Production</v>
          </cell>
          <cell r="C86" t="str">
            <v>Media &amp; Entertainment</v>
          </cell>
          <cell r="V86" t="str">
            <v>Pakistan</v>
          </cell>
          <cell r="X86" t="str">
            <v>Asia</v>
          </cell>
          <cell r="Y86">
            <v>1</v>
          </cell>
        </row>
        <row r="87">
          <cell r="B87" t="str">
            <v>Other Technologies</v>
          </cell>
          <cell r="C87" t="str">
            <v>Other Technologies &amp; Information Technology</v>
          </cell>
          <cell r="V87" t="str">
            <v>Philippines</v>
          </cell>
          <cell r="X87" t="str">
            <v>Asia</v>
          </cell>
          <cell r="Y87">
            <v>1</v>
          </cell>
        </row>
        <row r="88">
          <cell r="B88" t="str">
            <v>Philanthropy</v>
          </cell>
          <cell r="C88" t="str">
            <v>Other Technologies &amp; Information Technology</v>
          </cell>
          <cell r="V88" t="str">
            <v>Qatar</v>
          </cell>
          <cell r="X88" t="str">
            <v>Asia</v>
          </cell>
          <cell r="Y88">
            <v>1</v>
          </cell>
        </row>
        <row r="89">
          <cell r="B89" t="str">
            <v>Printing</v>
          </cell>
          <cell r="C89" t="str">
            <v>Emerging Technologies</v>
          </cell>
          <cell r="V89" t="str">
            <v>Russian Federation</v>
          </cell>
          <cell r="X89" t="str">
            <v>Asia</v>
          </cell>
          <cell r="Y89">
            <v>1</v>
          </cell>
        </row>
        <row r="90">
          <cell r="B90" t="str">
            <v>Real estate</v>
          </cell>
          <cell r="C90" t="str">
            <v>Construction &amp; Real Estate</v>
          </cell>
          <cell r="V90" t="str">
            <v>Saudi Arabia</v>
          </cell>
          <cell r="X90" t="str">
            <v>Asia</v>
          </cell>
          <cell r="Y90">
            <v>1</v>
          </cell>
        </row>
        <row r="91">
          <cell r="B91" t="str">
            <v>Real Estate</v>
          </cell>
          <cell r="C91" t="str">
            <v>Construction &amp; Real Estate</v>
          </cell>
          <cell r="V91" t="str">
            <v>Singapore</v>
          </cell>
          <cell r="X91" t="str">
            <v>Asia</v>
          </cell>
          <cell r="Y91">
            <v>1</v>
          </cell>
        </row>
        <row r="92">
          <cell r="B92" t="str">
            <v>Real Estate and Construction</v>
          </cell>
          <cell r="C92" t="str">
            <v>Construction &amp; Real Estate</v>
          </cell>
          <cell r="V92" t="str">
            <v>Sri Lanka</v>
          </cell>
          <cell r="X92" t="str">
            <v>Asia</v>
          </cell>
          <cell r="Y92">
            <v>1</v>
          </cell>
        </row>
        <row r="93">
          <cell r="B93" t="str">
            <v>Renewable Energy</v>
          </cell>
          <cell r="C93" t="str">
            <v>Energy &amp; Resources</v>
          </cell>
          <cell r="V93" t="str">
            <v>Syria</v>
          </cell>
          <cell r="X93" t="str">
            <v>Asia</v>
          </cell>
          <cell r="Y93">
            <v>1</v>
          </cell>
        </row>
        <row r="94">
          <cell r="B94" t="str">
            <v>Renewables &amp; Environment</v>
          </cell>
          <cell r="C94" t="str">
            <v>Energy &amp; Resources</v>
          </cell>
          <cell r="V94" t="str">
            <v>Tajikistan</v>
          </cell>
          <cell r="X94" t="str">
            <v>Asia</v>
          </cell>
          <cell r="Y94">
            <v>1</v>
          </cell>
        </row>
        <row r="95">
          <cell r="B95" t="str">
            <v>Restaurants</v>
          </cell>
          <cell r="C95" t="str">
            <v>Travel &amp; Leisure</v>
          </cell>
          <cell r="V95" t="str">
            <v>Thailand</v>
          </cell>
          <cell r="X95" t="str">
            <v>Asia</v>
          </cell>
          <cell r="Y95">
            <v>1</v>
          </cell>
        </row>
        <row r="96">
          <cell r="B96" t="str">
            <v>Retail</v>
          </cell>
          <cell r="C96" t="str">
            <v>E-commerce &amp; Retail</v>
          </cell>
          <cell r="V96" t="str">
            <v>Turkey</v>
          </cell>
          <cell r="X96" t="str">
            <v>Asia</v>
          </cell>
          <cell r="Y96">
            <v>1</v>
          </cell>
        </row>
        <row r="97">
          <cell r="B97" t="str">
            <v>Robotics</v>
          </cell>
          <cell r="C97" t="str">
            <v>Emerging Technologies</v>
          </cell>
          <cell r="V97" t="str">
            <v>Turkmenistan</v>
          </cell>
          <cell r="X97" t="str">
            <v>Asia</v>
          </cell>
          <cell r="Y97">
            <v>1</v>
          </cell>
        </row>
        <row r="98">
          <cell r="B98" t="str">
            <v>SaaS</v>
          </cell>
          <cell r="C98" t="str">
            <v>Other Technologies &amp; Information Technology</v>
          </cell>
          <cell r="V98" t="str">
            <v>United Arab Emirates</v>
          </cell>
          <cell r="X98" t="str">
            <v>Asia</v>
          </cell>
          <cell r="Y98">
            <v>1</v>
          </cell>
        </row>
        <row r="99">
          <cell r="B99" t="str">
            <v>Security</v>
          </cell>
          <cell r="C99" t="str">
            <v>Other Technologies &amp; Information Technology</v>
          </cell>
          <cell r="V99" t="str">
            <v>Uzbekistan</v>
          </cell>
          <cell r="X99" t="str">
            <v>Asia</v>
          </cell>
          <cell r="Y99">
            <v>1</v>
          </cell>
        </row>
        <row r="100">
          <cell r="B100" t="str">
            <v>Security Systems</v>
          </cell>
          <cell r="C100" t="str">
            <v>Other Technologies &amp; Information Technology</v>
          </cell>
          <cell r="V100" t="str">
            <v>Vietnam</v>
          </cell>
          <cell r="X100" t="str">
            <v>Asia</v>
          </cell>
          <cell r="Y100">
            <v>1</v>
          </cell>
        </row>
        <row r="101">
          <cell r="B101" t="str">
            <v>Security &amp; Investigations</v>
          </cell>
          <cell r="C101" t="str">
            <v>Other Technologies &amp; Information Technology</v>
          </cell>
          <cell r="V101" t="str">
            <v>Yemen</v>
          </cell>
          <cell r="X101" t="str">
            <v>Asia</v>
          </cell>
          <cell r="Y101">
            <v>1</v>
          </cell>
        </row>
        <row r="102">
          <cell r="B102" t="str">
            <v>Shopping</v>
          </cell>
          <cell r="C102" t="str">
            <v>E-commerce &amp; Retail</v>
          </cell>
          <cell r="V102" t="str">
            <v>Albania</v>
          </cell>
          <cell r="X102" t="str">
            <v>Europe</v>
          </cell>
          <cell r="Y102">
            <v>1</v>
          </cell>
        </row>
        <row r="103">
          <cell r="B103" t="str">
            <v>Social Network</v>
          </cell>
          <cell r="C103" t="str">
            <v>Media &amp; Entertainment</v>
          </cell>
          <cell r="V103" t="str">
            <v>Andorra</v>
          </cell>
          <cell r="X103" t="str">
            <v>Europe</v>
          </cell>
          <cell r="Y103">
            <v>1</v>
          </cell>
        </row>
        <row r="104">
          <cell r="B104" t="str">
            <v>Software</v>
          </cell>
          <cell r="C104" t="str">
            <v>Other Technologies &amp; Information Technology</v>
          </cell>
          <cell r="V104" t="str">
            <v>Armenia</v>
          </cell>
          <cell r="X104" t="str">
            <v>Europe</v>
          </cell>
          <cell r="Y104">
            <v>1</v>
          </cell>
        </row>
        <row r="105">
          <cell r="B105" t="str">
            <v>Software Development</v>
          </cell>
          <cell r="C105" t="str">
            <v>Other Technologies &amp; Information Technology</v>
          </cell>
          <cell r="V105" t="str">
            <v>Austria</v>
          </cell>
          <cell r="X105" t="str">
            <v>Europe</v>
          </cell>
          <cell r="Y105">
            <v>1</v>
          </cell>
        </row>
        <row r="106">
          <cell r="B106" t="str">
            <v>Solar Power</v>
          </cell>
          <cell r="C106" t="str">
            <v>Energy &amp; Resources</v>
          </cell>
          <cell r="V106" t="str">
            <v>Azerbaijan</v>
          </cell>
          <cell r="X106" t="str">
            <v>Europe</v>
          </cell>
          <cell r="Y106">
            <v>1</v>
          </cell>
        </row>
        <row r="107">
          <cell r="B107" t="str">
            <v>Sports</v>
          </cell>
          <cell r="C107" t="str">
            <v>Media &amp; Entertainment</v>
          </cell>
          <cell r="V107" t="str">
            <v>Belarus</v>
          </cell>
          <cell r="X107" t="str">
            <v>Europe</v>
          </cell>
          <cell r="Y107">
            <v>1</v>
          </cell>
        </row>
        <row r="108">
          <cell r="B108" t="str">
            <v>Transport &amp; Logistics</v>
          </cell>
          <cell r="C108" t="str">
            <v>Transport &amp; Logistics</v>
          </cell>
          <cell r="V108" t="str">
            <v>Belgium</v>
          </cell>
          <cell r="X108" t="str">
            <v>Europe</v>
          </cell>
          <cell r="Y108">
            <v>1</v>
          </cell>
        </row>
        <row r="109">
          <cell r="B109" t="str">
            <v>Transportation &amp; Logistics</v>
          </cell>
          <cell r="C109" t="str">
            <v>Transport &amp; Logistics</v>
          </cell>
          <cell r="V109" t="str">
            <v>Bosnia and Herzegovina</v>
          </cell>
          <cell r="X109" t="str">
            <v>Europe</v>
          </cell>
          <cell r="Y109">
            <v>1</v>
          </cell>
        </row>
        <row r="110">
          <cell r="B110" t="str">
            <v>Transportation</v>
          </cell>
          <cell r="C110" t="str">
            <v>Transport &amp; Logistics</v>
          </cell>
          <cell r="V110" t="str">
            <v>Bulgaria</v>
          </cell>
          <cell r="X110" t="str">
            <v>Europe</v>
          </cell>
          <cell r="Y110">
            <v>1</v>
          </cell>
        </row>
        <row r="111">
          <cell r="B111" t="str">
            <v>Travel</v>
          </cell>
          <cell r="C111" t="str">
            <v>Travel &amp; Leisure</v>
          </cell>
          <cell r="V111" t="str">
            <v>Croatia</v>
          </cell>
          <cell r="X111" t="str">
            <v>Europe</v>
          </cell>
          <cell r="Y111">
            <v>1</v>
          </cell>
        </row>
        <row r="112">
          <cell r="B112" t="str">
            <v>Travel &amp; Leisure</v>
          </cell>
          <cell r="C112" t="str">
            <v>Travel &amp; Leisure</v>
          </cell>
          <cell r="V112" t="str">
            <v>Cyprus</v>
          </cell>
          <cell r="X112" t="str">
            <v>Europe</v>
          </cell>
          <cell r="Y112">
            <v>1</v>
          </cell>
        </row>
        <row r="113">
          <cell r="B113" t="str">
            <v>Warehousing</v>
          </cell>
          <cell r="C113" t="str">
            <v>Transport &amp; Logistics</v>
          </cell>
          <cell r="V113" t="str">
            <v>Czech Republic</v>
          </cell>
          <cell r="X113" t="str">
            <v>Europe</v>
          </cell>
          <cell r="Y113">
            <v>1</v>
          </cell>
        </row>
        <row r="114">
          <cell r="B114" t="str">
            <v>Recruitment</v>
          </cell>
          <cell r="C114" t="str">
            <v>Employment, Talent &amp; Labour</v>
          </cell>
          <cell r="V114" t="str">
            <v>Denmark</v>
          </cell>
          <cell r="X114" t="str">
            <v>Europe</v>
          </cell>
          <cell r="Y114">
            <v>1</v>
          </cell>
        </row>
        <row r="115">
          <cell r="B115" t="str">
            <v>Human Resources, Internet, Software</v>
          </cell>
          <cell r="C115" t="str">
            <v>Employment, Talent &amp; Labour</v>
          </cell>
          <cell r="V115" t="str">
            <v>Estonia</v>
          </cell>
          <cell r="X115" t="str">
            <v>Europe</v>
          </cell>
          <cell r="Y115">
            <v>1</v>
          </cell>
        </row>
        <row r="116">
          <cell r="B116" t="str">
            <v>Healthcare</v>
          </cell>
          <cell r="C116" t="str">
            <v>Health &amp; Pharmaceuticals</v>
          </cell>
          <cell r="V116" t="str">
            <v>Finland</v>
          </cell>
          <cell r="X116" t="str">
            <v>Europe</v>
          </cell>
          <cell r="Y116">
            <v>1</v>
          </cell>
        </row>
        <row r="117">
          <cell r="B117" t="str">
            <v>Telecommunications</v>
          </cell>
          <cell r="C117" t="str">
            <v>Other Technologies &amp; Information Technology</v>
          </cell>
          <cell r="V117" t="str">
            <v>France</v>
          </cell>
          <cell r="X117" t="str">
            <v>Europe</v>
          </cell>
          <cell r="Y117">
            <v>1</v>
          </cell>
        </row>
        <row r="118">
          <cell r="B118" t="str">
            <v>Energy and Resources</v>
          </cell>
          <cell r="C118" t="str">
            <v>Energy &amp; Resources</v>
          </cell>
          <cell r="V118" t="str">
            <v>Georgia</v>
          </cell>
          <cell r="X118" t="str">
            <v>Europe</v>
          </cell>
          <cell r="Y118">
            <v>1</v>
          </cell>
        </row>
        <row r="119">
          <cell r="B119" t="str">
            <v>Post, Courier and Delivery</v>
          </cell>
          <cell r="C119" t="str">
            <v>Transport &amp; Logistics</v>
          </cell>
          <cell r="V119" t="str">
            <v>Germany</v>
          </cell>
          <cell r="X119" t="str">
            <v>Europe</v>
          </cell>
          <cell r="Y119">
            <v>1</v>
          </cell>
        </row>
        <row r="120">
          <cell r="B120" t="str">
            <v>Creative &amp; Arts</v>
          </cell>
          <cell r="C120" t="str">
            <v>Media &amp; Entertainment</v>
          </cell>
          <cell r="V120" t="str">
            <v>Greece</v>
          </cell>
          <cell r="X120" t="str">
            <v>Europe</v>
          </cell>
          <cell r="Y120">
            <v>1</v>
          </cell>
        </row>
        <row r="121">
          <cell r="B121" t="str">
            <v>Communication Services</v>
          </cell>
          <cell r="C121" t="str">
            <v>Other Technologies &amp; Information Technology</v>
          </cell>
          <cell r="V121" t="str">
            <v>Hungary</v>
          </cell>
          <cell r="X121" t="str">
            <v>Europe</v>
          </cell>
          <cell r="Y121">
            <v>1</v>
          </cell>
        </row>
        <row r="122">
          <cell r="B122" t="str">
            <v>Software Solutions</v>
          </cell>
          <cell r="C122" t="str">
            <v>Other Technologies &amp; Information Technology</v>
          </cell>
          <cell r="V122" t="str">
            <v>Iceland</v>
          </cell>
          <cell r="X122" t="str">
            <v>Europe</v>
          </cell>
          <cell r="Y122">
            <v>1</v>
          </cell>
        </row>
        <row r="123">
          <cell r="B123" t="str">
            <v>Upskill, Talent and Jobs</v>
          </cell>
          <cell r="C123" t="str">
            <v>Employment, Talent &amp; Labour</v>
          </cell>
          <cell r="V123" t="str">
            <v>Ireland</v>
          </cell>
          <cell r="X123" t="str">
            <v>Europe</v>
          </cell>
          <cell r="Y123">
            <v>1</v>
          </cell>
        </row>
        <row r="124">
          <cell r="B124" t="str">
            <v>Job matching marketplace</v>
          </cell>
          <cell r="C124" t="str">
            <v>Employment, Talent &amp; Labour</v>
          </cell>
          <cell r="V124" t="str">
            <v>Italy</v>
          </cell>
          <cell r="X124" t="str">
            <v>Europe</v>
          </cell>
          <cell r="Y124">
            <v>1</v>
          </cell>
        </row>
        <row r="125">
          <cell r="B125" t="str">
            <v>Blockchain, financial technology</v>
          </cell>
          <cell r="C125" t="str">
            <v>Emerging Technologies</v>
          </cell>
          <cell r="V125" t="str">
            <v>Latvia</v>
          </cell>
          <cell r="X125" t="str">
            <v>Europe</v>
          </cell>
          <cell r="Y125">
            <v>1</v>
          </cell>
        </row>
        <row r="126">
          <cell r="B126" t="str">
            <v>Animal Healthcare</v>
          </cell>
          <cell r="C126" t="str">
            <v>Agriculture</v>
          </cell>
          <cell r="V126" t="str">
            <v>Liechtenstein</v>
          </cell>
          <cell r="X126" t="str">
            <v>Europe</v>
          </cell>
          <cell r="Y126">
            <v>1</v>
          </cell>
        </row>
        <row r="127">
          <cell r="B127" t="str">
            <v xml:space="preserve">Commercial and Professional Services
</v>
          </cell>
          <cell r="C127" t="str">
            <v>Other Technologies &amp; Information Technology</v>
          </cell>
          <cell r="V127" t="str">
            <v>Lithuania</v>
          </cell>
          <cell r="X127" t="str">
            <v>Europe</v>
          </cell>
          <cell r="Y127">
            <v>1</v>
          </cell>
        </row>
        <row r="128">
          <cell r="B128" t="str">
            <v>Healthcare &amp; Pharma</v>
          </cell>
          <cell r="C128" t="str">
            <v>Health &amp; Pharmaceuticals</v>
          </cell>
          <cell r="V128" t="str">
            <v>Luxembourg</v>
          </cell>
          <cell r="X128" t="str">
            <v>Europe</v>
          </cell>
          <cell r="Y128">
            <v>1</v>
          </cell>
        </row>
        <row r="129">
          <cell r="B129" t="str">
            <v>Resource &amp; Energy</v>
          </cell>
          <cell r="C129" t="str">
            <v>Energy &amp; Resources</v>
          </cell>
          <cell r="V129" t="str">
            <v>Macedonia</v>
          </cell>
          <cell r="X129" t="str">
            <v>Europe</v>
          </cell>
          <cell r="Y129">
            <v>1</v>
          </cell>
        </row>
        <row r="130">
          <cell r="B130" t="str">
            <v>Energy &amp; Environment</v>
          </cell>
          <cell r="C130" t="str">
            <v>Energy &amp; Resources</v>
          </cell>
          <cell r="V130" t="str">
            <v>Malta</v>
          </cell>
          <cell r="X130" t="str">
            <v>Europe</v>
          </cell>
          <cell r="Y130">
            <v>1</v>
          </cell>
        </row>
        <row r="131">
          <cell r="B131" t="str">
            <v>Travel and Leisure</v>
          </cell>
          <cell r="C131" t="str">
            <v>Travel &amp; Leisure</v>
          </cell>
          <cell r="V131" t="str">
            <v>Moldova</v>
          </cell>
          <cell r="X131" t="str">
            <v>Europe</v>
          </cell>
          <cell r="Y131">
            <v>1</v>
          </cell>
        </row>
        <row r="132">
          <cell r="B132" t="str">
            <v>Commercial and Professional Services</v>
          </cell>
          <cell r="C132" t="str">
            <v>Other Technologies &amp; Information Technology</v>
          </cell>
          <cell r="V132" t="str">
            <v>Monaco</v>
          </cell>
          <cell r="X132" t="str">
            <v>Europe</v>
          </cell>
          <cell r="Y132">
            <v>1</v>
          </cell>
        </row>
        <row r="133">
          <cell r="B133" t="str">
            <v>Information Services</v>
          </cell>
          <cell r="C133" t="str">
            <v>Media &amp; Entertainment</v>
          </cell>
          <cell r="V133" t="str">
            <v>Montenegro</v>
          </cell>
          <cell r="X133" t="str">
            <v>Europe</v>
          </cell>
          <cell r="Y133">
            <v>1</v>
          </cell>
        </row>
        <row r="134">
          <cell r="B134" t="str">
            <v>Government Administration</v>
          </cell>
          <cell r="C134" t="str">
            <v>Other Technologies &amp; Information Technology</v>
          </cell>
          <cell r="V134" t="str">
            <v>Netherlands</v>
          </cell>
          <cell r="X134" t="str">
            <v>Europe</v>
          </cell>
          <cell r="Y134">
            <v>1</v>
          </cell>
        </row>
        <row r="135">
          <cell r="B135" t="str">
            <v>Utilities and Telecommunication Services</v>
          </cell>
          <cell r="C135" t="str">
            <v>Other Technologies &amp; Information Technology</v>
          </cell>
          <cell r="V135" t="str">
            <v>Norway</v>
          </cell>
          <cell r="X135" t="str">
            <v>Europe</v>
          </cell>
          <cell r="Y135">
            <v>1</v>
          </cell>
        </row>
        <row r="136">
          <cell r="B136" t="str">
            <v>Recruitment, Human Resource</v>
          </cell>
          <cell r="C136" t="str">
            <v>Employment, Talent &amp; Labour</v>
          </cell>
          <cell r="V136" t="str">
            <v>Poland</v>
          </cell>
          <cell r="X136" t="str">
            <v>Europe</v>
          </cell>
          <cell r="Y136">
            <v>1</v>
          </cell>
        </row>
        <row r="137">
          <cell r="B137" t="str">
            <v>Information</v>
          </cell>
          <cell r="C137" t="str">
            <v>Media &amp; Entertainment</v>
          </cell>
          <cell r="V137" t="str">
            <v>Portugal</v>
          </cell>
          <cell r="X137" t="str">
            <v>Europe</v>
          </cell>
          <cell r="Y137">
            <v>1</v>
          </cell>
        </row>
        <row r="138">
          <cell r="B138" t="str">
            <v>Leisure, Travel</v>
          </cell>
          <cell r="C138" t="str">
            <v>Travel &amp; Leisure</v>
          </cell>
          <cell r="V138" t="str">
            <v>Romania</v>
          </cell>
          <cell r="X138" t="str">
            <v>Europe</v>
          </cell>
          <cell r="Y138">
            <v>1</v>
          </cell>
        </row>
        <row r="139">
          <cell r="B139" t="str">
            <v>Media/ Entertainment</v>
          </cell>
          <cell r="C139" t="str">
            <v>Media &amp; Entertainment</v>
          </cell>
          <cell r="V139" t="str">
            <v>San Marino</v>
          </cell>
          <cell r="X139" t="str">
            <v>Europe</v>
          </cell>
          <cell r="Y139">
            <v>1</v>
          </cell>
        </row>
        <row r="140">
          <cell r="B140" t="str">
            <v>Solar Energy, Energy and Resources</v>
          </cell>
          <cell r="C140" t="str">
            <v>Energy &amp; Resources</v>
          </cell>
          <cell r="V140" t="str">
            <v>Serbia</v>
          </cell>
          <cell r="X140" t="str">
            <v>Europe</v>
          </cell>
          <cell r="Y140">
            <v>1</v>
          </cell>
        </row>
        <row r="141">
          <cell r="B141" t="str">
            <v>Healthcare &amp; Pharma</v>
          </cell>
          <cell r="C141" t="str">
            <v>Health &amp; Pharmaceuticals</v>
          </cell>
          <cell r="V141" t="str">
            <v>Slovakia</v>
          </cell>
          <cell r="X141" t="str">
            <v>Europe</v>
          </cell>
          <cell r="Y141">
            <v>1</v>
          </cell>
        </row>
        <row r="142">
          <cell r="B142" t="str">
            <v>Commercial &amp; Professional Services</v>
          </cell>
          <cell r="C142" t="str">
            <v>Other Technologies &amp; Information Technology</v>
          </cell>
          <cell r="V142" t="str">
            <v>Slovenia</v>
          </cell>
          <cell r="X142" t="str">
            <v>Europe</v>
          </cell>
          <cell r="Y142">
            <v>1</v>
          </cell>
        </row>
        <row r="143">
          <cell r="V143" t="str">
            <v>Spain</v>
          </cell>
          <cell r="X143" t="str">
            <v>Europe</v>
          </cell>
          <cell r="Y143">
            <v>1</v>
          </cell>
        </row>
        <row r="144">
          <cell r="V144" t="str">
            <v>Sweden</v>
          </cell>
          <cell r="X144" t="str">
            <v>Europe</v>
          </cell>
          <cell r="Y144">
            <v>1</v>
          </cell>
        </row>
        <row r="145">
          <cell r="V145" t="str">
            <v>Switzerland</v>
          </cell>
          <cell r="X145" t="str">
            <v>Europe</v>
          </cell>
          <cell r="Y145">
            <v>1</v>
          </cell>
        </row>
        <row r="146">
          <cell r="V146" t="str">
            <v>Ukraine</v>
          </cell>
          <cell r="X146" t="str">
            <v>Europe</v>
          </cell>
          <cell r="Y146">
            <v>1</v>
          </cell>
        </row>
        <row r="147">
          <cell r="V147" t="str">
            <v>United Kingdom</v>
          </cell>
          <cell r="X147" t="str">
            <v>Europe</v>
          </cell>
          <cell r="Y147">
            <v>1</v>
          </cell>
        </row>
        <row r="148">
          <cell r="V148" t="str">
            <v>Vatican City</v>
          </cell>
          <cell r="X148" t="str">
            <v>Europe</v>
          </cell>
          <cell r="Y148">
            <v>1</v>
          </cell>
        </row>
        <row r="149">
          <cell r="V149" t="str">
            <v>Antigua and Barbuda</v>
          </cell>
          <cell r="X149" t="str">
            <v>North America</v>
          </cell>
          <cell r="Y149">
            <v>1</v>
          </cell>
        </row>
        <row r="150">
          <cell r="V150" t="str">
            <v>Bahamas</v>
          </cell>
          <cell r="X150" t="str">
            <v>North America</v>
          </cell>
          <cell r="Y150">
            <v>1</v>
          </cell>
        </row>
        <row r="151">
          <cell r="V151" t="str">
            <v>Barbados</v>
          </cell>
          <cell r="X151" t="str">
            <v>North America</v>
          </cell>
          <cell r="Y151">
            <v>1</v>
          </cell>
        </row>
        <row r="152">
          <cell r="V152" t="str">
            <v>Belize</v>
          </cell>
          <cell r="X152" t="str">
            <v>North America</v>
          </cell>
          <cell r="Y152">
            <v>1</v>
          </cell>
        </row>
        <row r="153">
          <cell r="V153" t="str">
            <v>Canada</v>
          </cell>
          <cell r="X153" t="str">
            <v>North America</v>
          </cell>
          <cell r="Y153">
            <v>1</v>
          </cell>
        </row>
        <row r="154">
          <cell r="V154" t="str">
            <v>Costa Rica</v>
          </cell>
          <cell r="X154" t="str">
            <v>North America</v>
          </cell>
          <cell r="Y154">
            <v>1</v>
          </cell>
        </row>
        <row r="155">
          <cell r="V155" t="str">
            <v>Cuba</v>
          </cell>
          <cell r="X155" t="str">
            <v>North America</v>
          </cell>
          <cell r="Y155">
            <v>1</v>
          </cell>
        </row>
        <row r="156">
          <cell r="V156" t="str">
            <v>Dominica</v>
          </cell>
          <cell r="X156" t="str">
            <v>North America</v>
          </cell>
          <cell r="Y156">
            <v>1</v>
          </cell>
        </row>
        <row r="157">
          <cell r="V157" t="str">
            <v>Dominican Republic</v>
          </cell>
          <cell r="X157" t="str">
            <v>North America</v>
          </cell>
          <cell r="Y157">
            <v>1</v>
          </cell>
        </row>
        <row r="158">
          <cell r="V158" t="str">
            <v>El Salvador</v>
          </cell>
          <cell r="X158" t="str">
            <v>North America</v>
          </cell>
          <cell r="Y158">
            <v>1</v>
          </cell>
        </row>
        <row r="159">
          <cell r="V159" t="str">
            <v>Grenada</v>
          </cell>
          <cell r="X159" t="str">
            <v>North America</v>
          </cell>
          <cell r="Y159">
            <v>1</v>
          </cell>
        </row>
        <row r="160">
          <cell r="V160" t="str">
            <v>Guatemala</v>
          </cell>
          <cell r="X160" t="str">
            <v>North America</v>
          </cell>
          <cell r="Y160">
            <v>1</v>
          </cell>
        </row>
        <row r="161">
          <cell r="V161" t="str">
            <v>Haiti</v>
          </cell>
          <cell r="X161" t="str">
            <v>North America</v>
          </cell>
          <cell r="Y161">
            <v>1</v>
          </cell>
        </row>
        <row r="162">
          <cell r="V162" t="str">
            <v>Honduras</v>
          </cell>
          <cell r="X162" t="str">
            <v>North America</v>
          </cell>
          <cell r="Y162">
            <v>1</v>
          </cell>
        </row>
        <row r="163">
          <cell r="V163" t="str">
            <v>Jamaica</v>
          </cell>
          <cell r="X163" t="str">
            <v>North America</v>
          </cell>
          <cell r="Y163">
            <v>1</v>
          </cell>
        </row>
        <row r="164">
          <cell r="V164" t="str">
            <v>Mexico</v>
          </cell>
          <cell r="X164" t="str">
            <v>North America</v>
          </cell>
          <cell r="Y164">
            <v>1</v>
          </cell>
        </row>
        <row r="165">
          <cell r="V165" t="str">
            <v>Nicaragua</v>
          </cell>
          <cell r="X165" t="str">
            <v>North America</v>
          </cell>
          <cell r="Y165">
            <v>1</v>
          </cell>
        </row>
        <row r="166">
          <cell r="V166" t="str">
            <v>Panama</v>
          </cell>
          <cell r="X166" t="str">
            <v>North America</v>
          </cell>
          <cell r="Y166">
            <v>1</v>
          </cell>
        </row>
        <row r="167">
          <cell r="V167" t="str">
            <v>Saint Kitts and Nevis</v>
          </cell>
          <cell r="X167" t="str">
            <v>North America</v>
          </cell>
          <cell r="Y167">
            <v>1</v>
          </cell>
        </row>
        <row r="168">
          <cell r="V168" t="str">
            <v>Saint Lucia</v>
          </cell>
          <cell r="X168" t="str">
            <v>North America</v>
          </cell>
          <cell r="Y168">
            <v>1</v>
          </cell>
        </row>
        <row r="169">
          <cell r="V169" t="str">
            <v>Saint Vincent and the Grenadines</v>
          </cell>
          <cell r="X169" t="str">
            <v>North America</v>
          </cell>
          <cell r="Y169">
            <v>1</v>
          </cell>
        </row>
        <row r="170">
          <cell r="V170" t="str">
            <v>Trinidad and Tobago</v>
          </cell>
          <cell r="X170" t="str">
            <v>North America</v>
          </cell>
          <cell r="Y170">
            <v>1</v>
          </cell>
        </row>
        <row r="171">
          <cell r="V171" t="str">
            <v>United States of America</v>
          </cell>
          <cell r="X171" t="str">
            <v>North America</v>
          </cell>
          <cell r="Y171">
            <v>1</v>
          </cell>
        </row>
        <row r="172">
          <cell r="V172" t="str">
            <v>Australia</v>
          </cell>
          <cell r="X172" t="str">
            <v>Oceania</v>
          </cell>
          <cell r="Y172">
            <v>1</v>
          </cell>
        </row>
        <row r="173">
          <cell r="V173" t="str">
            <v>Fiji</v>
          </cell>
          <cell r="X173" t="str">
            <v>Oceania</v>
          </cell>
          <cell r="Y173">
            <v>1</v>
          </cell>
        </row>
        <row r="174">
          <cell r="V174" t="str">
            <v>Kiribati</v>
          </cell>
          <cell r="X174" t="str">
            <v>Oceania</v>
          </cell>
          <cell r="Y174">
            <v>1</v>
          </cell>
        </row>
        <row r="175">
          <cell r="V175" t="str">
            <v>Marshall Islands</v>
          </cell>
          <cell r="X175" t="str">
            <v>Oceania</v>
          </cell>
          <cell r="Y175">
            <v>1</v>
          </cell>
        </row>
        <row r="176">
          <cell r="V176" t="str">
            <v>Micronesia</v>
          </cell>
          <cell r="X176" t="str">
            <v>Oceania</v>
          </cell>
          <cell r="Y176">
            <v>1</v>
          </cell>
        </row>
        <row r="177">
          <cell r="V177" t="str">
            <v>Nauru</v>
          </cell>
          <cell r="X177" t="str">
            <v>Oceania</v>
          </cell>
          <cell r="Y177">
            <v>1</v>
          </cell>
        </row>
        <row r="178">
          <cell r="V178" t="str">
            <v>New Zealand</v>
          </cell>
          <cell r="X178" t="str">
            <v>Oceania</v>
          </cell>
          <cell r="Y178">
            <v>1</v>
          </cell>
        </row>
        <row r="179">
          <cell r="V179" t="str">
            <v>Palau</v>
          </cell>
          <cell r="X179" t="str">
            <v>Oceania</v>
          </cell>
          <cell r="Y179">
            <v>1</v>
          </cell>
        </row>
        <row r="180">
          <cell r="V180" t="str">
            <v>Papua New Guinea</v>
          </cell>
          <cell r="X180" t="str">
            <v>Oceania</v>
          </cell>
          <cell r="Y180">
            <v>1</v>
          </cell>
        </row>
        <row r="181">
          <cell r="V181" t="str">
            <v>Samoa</v>
          </cell>
          <cell r="X181" t="str">
            <v>Oceania</v>
          </cell>
          <cell r="Y181">
            <v>1</v>
          </cell>
        </row>
        <row r="182">
          <cell r="V182" t="str">
            <v>Solomon Islands</v>
          </cell>
          <cell r="X182" t="str">
            <v>Oceania</v>
          </cell>
          <cell r="Y182">
            <v>1</v>
          </cell>
        </row>
        <row r="183">
          <cell r="V183" t="str">
            <v>Tonga</v>
          </cell>
          <cell r="X183" t="str">
            <v>Oceania</v>
          </cell>
          <cell r="Y183">
            <v>1</v>
          </cell>
        </row>
        <row r="184">
          <cell r="V184" t="str">
            <v>Tuvalu</v>
          </cell>
          <cell r="X184" t="str">
            <v>Oceania</v>
          </cell>
          <cell r="Y184">
            <v>1</v>
          </cell>
        </row>
        <row r="185">
          <cell r="V185" t="str">
            <v>Vanuatu</v>
          </cell>
          <cell r="X185" t="str">
            <v>Oceania</v>
          </cell>
          <cell r="Y185">
            <v>1</v>
          </cell>
        </row>
        <row r="186">
          <cell r="V186" t="str">
            <v>Argentina</v>
          </cell>
          <cell r="X186" t="str">
            <v>South America</v>
          </cell>
          <cell r="Y186">
            <v>1</v>
          </cell>
        </row>
        <row r="187">
          <cell r="V187" t="str">
            <v>Bolivia</v>
          </cell>
          <cell r="X187" t="str">
            <v>South America</v>
          </cell>
          <cell r="Y187">
            <v>1</v>
          </cell>
        </row>
        <row r="188">
          <cell r="V188" t="str">
            <v>Brazil</v>
          </cell>
          <cell r="X188" t="str">
            <v>South America</v>
          </cell>
          <cell r="Y188">
            <v>1</v>
          </cell>
        </row>
        <row r="189">
          <cell r="V189" t="str">
            <v>Chile</v>
          </cell>
          <cell r="X189" t="str">
            <v>South America</v>
          </cell>
          <cell r="Y189">
            <v>1</v>
          </cell>
        </row>
        <row r="190">
          <cell r="V190" t="str">
            <v>Colombia</v>
          </cell>
          <cell r="X190" t="str">
            <v>South America</v>
          </cell>
          <cell r="Y190">
            <v>1</v>
          </cell>
        </row>
        <row r="191">
          <cell r="V191" t="str">
            <v>Ecuador</v>
          </cell>
          <cell r="X191" t="str">
            <v>South America</v>
          </cell>
          <cell r="Y191">
            <v>1</v>
          </cell>
        </row>
        <row r="192">
          <cell r="V192" t="str">
            <v>Guyana</v>
          </cell>
          <cell r="X192" t="str">
            <v>South America</v>
          </cell>
          <cell r="Y192">
            <v>1</v>
          </cell>
        </row>
        <row r="193">
          <cell r="V193" t="str">
            <v>Paraguay</v>
          </cell>
          <cell r="X193" t="str">
            <v>South America</v>
          </cell>
          <cell r="Y193">
            <v>1</v>
          </cell>
        </row>
        <row r="194">
          <cell r="V194" t="str">
            <v>Peru</v>
          </cell>
          <cell r="X194" t="str">
            <v>South America</v>
          </cell>
          <cell r="Y194">
            <v>1</v>
          </cell>
        </row>
        <row r="195">
          <cell r="V195" t="str">
            <v>Suriname</v>
          </cell>
          <cell r="X195" t="str">
            <v>South America</v>
          </cell>
          <cell r="Y195">
            <v>1</v>
          </cell>
        </row>
        <row r="196">
          <cell r="V196" t="str">
            <v>Uruguay</v>
          </cell>
          <cell r="X196" t="str">
            <v>South America</v>
          </cell>
          <cell r="Y196">
            <v>1</v>
          </cell>
        </row>
        <row r="197">
          <cell r="V197" t="str">
            <v>Venezuela</v>
          </cell>
          <cell r="X197" t="str">
            <v>South America</v>
          </cell>
          <cell r="Y197">
            <v>1</v>
          </cell>
        </row>
      </sheetData>
      <sheetData sheetId="10"/>
      <sheetData sheetId="11">
        <row r="1">
          <cell r="A1" t="str">
            <v>1_Company_name</v>
          </cell>
          <cell r="B1" t="str">
            <v>2_Company_description</v>
          </cell>
          <cell r="C1" t="str">
            <v>3_Status</v>
          </cell>
          <cell r="D1" t="str">
            <v>4_Year_founded</v>
          </cell>
          <cell r="G1" t="str">
            <v>7.1_Country HQ</v>
          </cell>
          <cell r="X1" t="str">
            <v>21_Main_sector</v>
          </cell>
          <cell r="Y1" t="str">
            <v>22_Categories</v>
          </cell>
        </row>
        <row r="2">
          <cell r="A2" t="str">
            <v>Jumia Group</v>
          </cell>
          <cell r="B2" t="str">
            <v>Jumia is connecting consumers and businesses across Africa and beyond. Through Jumia online platforms, consumers can access a wide range of products and services, from basic consumer goods to online travel. We help them “save time and save money”. Businesses use Jumia in order to distribute their products and services in a more efficient and scalable way. We help them grow their business and benefit from the massive shift of consumers to online.</v>
          </cell>
          <cell r="C2" t="str">
            <v>Active</v>
          </cell>
          <cell r="D2">
            <v>2012</v>
          </cell>
          <cell r="G2" t="str">
            <v>Nigeria</v>
          </cell>
          <cell r="X2" t="str">
            <v>E-Commerce &amp; Retail</v>
          </cell>
          <cell r="Y2" t="str">
            <v>E-Commerce, Internet, Shopping Online</v>
          </cell>
        </row>
        <row r="3">
          <cell r="A3" t="str">
            <v>Andela</v>
          </cell>
          <cell r="B3" t="str">
            <v>Andela invests in Africa’s most talented software engineers to help companies solve the technical talent shortage and build high-performing distributed engineering teams.</v>
          </cell>
          <cell r="C3" t="str">
            <v>Active</v>
          </cell>
          <cell r="D3">
            <v>2014</v>
          </cell>
          <cell r="G3" t="str">
            <v>United States</v>
          </cell>
          <cell r="X3" t="str">
            <v>Commercial &amp; Professional Services</v>
          </cell>
          <cell r="Y3" t="str">
            <v>Edtech, BPO, Recruitment, Software, Training</v>
          </cell>
        </row>
        <row r="4">
          <cell r="A4" t="str">
            <v>Takealot</v>
          </cell>
          <cell r="B4" t="str">
            <v>takealot.com is one of SA's largest online retailers with 9+ million products to choose from across 17 categories. Order online &amp; we'll deliver anywhere in SA! Founded in 2011, takealot.com's mission is to be the most customer-centric online shopping destination in Africa, built around the simple concept that the customer comes first.</v>
          </cell>
          <cell r="C4" t="str">
            <v>Acquired</v>
          </cell>
          <cell r="D4">
            <v>2011</v>
          </cell>
          <cell r="G4" t="str">
            <v>South Africa</v>
          </cell>
          <cell r="X4" t="str">
            <v>E-Commerce &amp; Retail</v>
          </cell>
          <cell r="Y4" t="str">
            <v>E-Commerce, Logistics, Retail</v>
          </cell>
        </row>
        <row r="5">
          <cell r="A5" t="str">
            <v xml:space="preserve">Zola Electric </v>
          </cell>
          <cell r="B5" t="str">
            <v>ZOLA Electric (formerly Off Grid Electric) is the leading renewable energy brand in Africa, helping customers to light their homes, power small businesses, stay connected and expand opportunities for work and study. By providing solar technology that is affordable, accessible and reliable, ZOLA Electric’s offerings allow the average home or business to leapfrog the grid. ZOLA Electric designs renewable energy solutions based on the latest in solar, battery and power electronics technology. Adaptable to energy need and income, ZOLA Electric’s solar systems can be bought over time using PAYGo micro-finance leasing and mobile money payments. ZOLA Electric powers more than 180,000 homes and businesses across Tanzania, Rwanda, Côte d’Ivoire, and Ghana. Investors include Tesla, Vulcan Capital, DBL Partners, Helios Investment Partners, EDF, Total, and GE Ventures. ZOLA Electric is a recipient of the UN Momentum for Change Award, the Zayed Future Energy Prize and is a member of the Global Cleantech 100 🌞⚡️</v>
          </cell>
          <cell r="C5" t="str">
            <v>Active</v>
          </cell>
          <cell r="D5">
            <v>2011</v>
          </cell>
          <cell r="G5" t="str">
            <v>Tanzania</v>
          </cell>
          <cell r="X5" t="str">
            <v>Energy &amp; Environment Resources</v>
          </cell>
          <cell r="Y5" t="str">
            <v>Electrical Distribution, Energy, Renewable Energy, Solar</v>
          </cell>
        </row>
        <row r="6">
          <cell r="A6" t="str">
            <v>d.light</v>
          </cell>
          <cell r="B6" t="str">
            <v>d.light is a global leader in delivering affordable solar-powered solutions</v>
          </cell>
          <cell r="C6" t="str">
            <v>Active</v>
          </cell>
          <cell r="D6">
            <v>2007</v>
          </cell>
          <cell r="G6" t="str">
            <v>Kenya</v>
          </cell>
          <cell r="X6" t="str">
            <v>Energy &amp; Environment Resources</v>
          </cell>
          <cell r="Y6" t="str">
            <v>Energy, Renewable Energy, Solar</v>
          </cell>
        </row>
        <row r="7">
          <cell r="A7" t="str">
            <v>Swvl</v>
          </cell>
          <cell r="B7" t="str">
            <v>Swvl is the premium alternative to public transportation in Egypt. Through our app you can book fixed rate affordable rides on our existing routes. We offer affordable, quality, convenient and reliable everyday bus rides.</v>
          </cell>
          <cell r="C7" t="str">
            <v>Active</v>
          </cell>
          <cell r="D7">
            <v>2017</v>
          </cell>
          <cell r="G7" t="str">
            <v>Egypt</v>
          </cell>
          <cell r="X7" t="str">
            <v>Transport &amp; Logistics</v>
          </cell>
          <cell r="Y7" t="str">
            <v>Internet, Mobile Apps, Transportation, Travel, Ride hailing</v>
          </cell>
        </row>
        <row r="8">
          <cell r="A8" t="str">
            <v>Konga</v>
          </cell>
          <cell r="B8" t="str">
            <v>Konga Online Shopping Limited is Nigeria's Online Mall. Using several payment systems such as ‘Cash on Delivery’ , "Debit Cards"​, etc, Konga Online Shopping Limited is a pioneer in the changing face of the retail industry in West Africa.</v>
          </cell>
          <cell r="C8" t="str">
            <v>Active</v>
          </cell>
          <cell r="D8">
            <v>2012</v>
          </cell>
          <cell r="G8" t="str">
            <v>Nigeria</v>
          </cell>
          <cell r="X8" t="str">
            <v>E-Commerce &amp; Retail</v>
          </cell>
          <cell r="Y8" t="str">
            <v>Retail, E-Commerce, Customer Service, Delivery Service, Online Shopping</v>
          </cell>
        </row>
        <row r="9">
          <cell r="A9" t="str">
            <v>Jumo</v>
          </cell>
          <cell r="B9" t="str">
            <v>JUMO is a financial technology company that partners with banks, MNOs and other e-commerce players to deliver progressive financial choices to customers in emerging markets across Africa and Asia. At JUMO we connect people to opportunities. Two billion people worldwide have limited access to formal financial services such as borrowing and saving. We’ve built a large-scale, multi-sided technology platform and designed progressive financial choices to reach them. We use their digital footprint to create a financial identity using only behavioural data.</v>
          </cell>
          <cell r="C9" t="str">
            <v>Active</v>
          </cell>
          <cell r="D9">
            <v>2014</v>
          </cell>
          <cell r="G9" t="str">
            <v>South Africa</v>
          </cell>
          <cell r="X9" t="str">
            <v>Financial Services</v>
          </cell>
          <cell r="Y9" t="str">
            <v>Technology, Mobile Money, Big Data, Digital Financial Services, Mobile Financial Services, Financial Technology</v>
          </cell>
        </row>
        <row r="10">
          <cell r="A10" t="str">
            <v>M-Kopa</v>
          </cell>
          <cell r="B10" t="str">
            <v>M-KOPA has connected more than 500,000 homes in Kenya, Tanzania and Uganda to solar power, with over 500 new homes being added every day. Each 8W battery powered-system comes with three lights, mobile phone-charging and a solar powered radio. Customers can now opt for a 20W system with digital TV.</v>
          </cell>
          <cell r="C10" t="str">
            <v>Active</v>
          </cell>
          <cell r="D10">
            <v>2011</v>
          </cell>
          <cell r="G10" t="str">
            <v>Kenya</v>
          </cell>
          <cell r="X10" t="str">
            <v>Energy &amp; Environment Resources</v>
          </cell>
          <cell r="Y10" t="str">
            <v>Energy, Financial Services, Mobile</v>
          </cell>
        </row>
        <row r="11">
          <cell r="A11" t="str">
            <v>Cellulant</v>
          </cell>
          <cell r="B11" t="str">
            <v>Cellulant is a leading Pan-African payments company providing a one-stop digital payments platform.</v>
          </cell>
          <cell r="C11" t="str">
            <v>Active</v>
          </cell>
          <cell r="D11">
            <v>2004</v>
          </cell>
          <cell r="G11" t="str">
            <v>Kenya</v>
          </cell>
          <cell r="X11" t="str">
            <v>Financial Services</v>
          </cell>
          <cell r="Y11" t="str">
            <v>Mobile Payments, Digital Payments, eCommerce, FinTech, mobile commerce, Fintech Africa, BlockChain, and MobileMoney</v>
          </cell>
        </row>
        <row r="12">
          <cell r="A12" t="str">
            <v>African Leadership Academy</v>
          </cell>
          <cell r="B12" t="str">
            <v>African Leadership Academy (ALA) seeks to transform Africa by developing a powerful network of over 6,000 leaders who will work together to address Africa’s greatest challenges, achieve extraordinary social impact and accelerate the continent’s growth trajectory</v>
          </cell>
          <cell r="C12" t="str">
            <v>Active</v>
          </cell>
          <cell r="D12">
            <v>2008</v>
          </cell>
          <cell r="G12" t="str">
            <v>South Africa</v>
          </cell>
          <cell r="X12" t="str">
            <v>Education</v>
          </cell>
          <cell r="Y12" t="str">
            <v>E-Learning, Education, Tutoring</v>
          </cell>
        </row>
        <row r="13">
          <cell r="A13" t="str">
            <v>OPay</v>
          </cell>
          <cell r="B13" t="str">
            <v>OPay is designed to make financial services more accessible to everyday customers –– whether it’s for the bills they have to pay, or the transfer &amp; withdrawal of money</v>
          </cell>
          <cell r="C13" t="str">
            <v>Active</v>
          </cell>
          <cell r="D13">
            <v>2018</v>
          </cell>
          <cell r="G13" t="str">
            <v>Nigeria</v>
          </cell>
          <cell r="X13" t="str">
            <v>Financial Services</v>
          </cell>
          <cell r="Y13" t="str">
            <v>E-Payment, Mobile Money Services</v>
          </cell>
        </row>
        <row r="14">
          <cell r="A14" t="str">
            <v>CarePay</v>
          </cell>
          <cell r="B14" t="str">
            <v>CarePay has developed a mobile health data &amp; payment distribution platform that has the potential to fundamentally change healthcare.</v>
          </cell>
          <cell r="C14" t="str">
            <v>Active</v>
          </cell>
          <cell r="D14">
            <v>2015</v>
          </cell>
          <cell r="G14" t="str">
            <v>Kenya</v>
          </cell>
          <cell r="X14" t="str">
            <v>Financial Services</v>
          </cell>
          <cell r="Y14" t="str">
            <v>Finance, FinTech, Health Care, Hospital, InsurTech</v>
          </cell>
        </row>
        <row r="15">
          <cell r="A15" t="str">
            <v>Powerhive</v>
          </cell>
          <cell r="B15" t="str">
            <v>Powerhive’s technology platform enables financing and monetization of distributed microgrids by reducing costs and stabilizing investment risk. Our cloud-based software application and proprietary smart meter automate account management tasks, remotely monitor and control microgrid operations and run real-time data analytics.</v>
          </cell>
          <cell r="C15" t="str">
            <v>Active</v>
          </cell>
          <cell r="D15">
            <v>2011</v>
          </cell>
          <cell r="G15" t="str">
            <v>Kenya</v>
          </cell>
          <cell r="X15" t="str">
            <v>Energy &amp; Environment Resources</v>
          </cell>
          <cell r="Y15" t="str">
            <v>Cloud Computing, Energy, SaaS, Software, Solar</v>
          </cell>
        </row>
        <row r="16">
          <cell r="A16" t="str">
            <v>Travelstart</v>
          </cell>
          <cell r="B16" t="str">
            <v>Travelstart is a leading online travel agency that helps today’s business and leisure travellers search, compare and book the best flight, hotel and car options with all your favourite airline and accommodation suppliers.</v>
          </cell>
          <cell r="C16" t="str">
            <v>Active</v>
          </cell>
          <cell r="D16">
            <v>1999</v>
          </cell>
          <cell r="G16" t="str">
            <v>South Africa</v>
          </cell>
          <cell r="X16" t="str">
            <v>Travel &amp; Leisure</v>
          </cell>
          <cell r="Y16" t="str">
            <v>Flights, Hotels, Car Hire, Package Holidays, Travel Tech, e-commerce, Technology, and Travel</v>
          </cell>
        </row>
        <row r="17">
          <cell r="A17" t="str">
            <v>Paga</v>
          </cell>
          <cell r="B17" t="str">
            <v>Paga is a mobile payment company. We are building an ecosystem to enable people to digitally send and receive money, and creating simple financial access for everyone. Our mission is to make it simple for one billion people to access and use money. Our first market is Nigeria where Paga is the leading mobile payment company with over 9 million customers and 17,000 agents.</v>
          </cell>
          <cell r="C17" t="str">
            <v>Active</v>
          </cell>
          <cell r="D17">
            <v>2009</v>
          </cell>
          <cell r="G17" t="str">
            <v>Nigeria</v>
          </cell>
          <cell r="X17" t="str">
            <v>Financial Services</v>
          </cell>
          <cell r="Y17" t="str">
            <v>Money Transfer, Airtime, Bill Payments, and SME Business</v>
          </cell>
        </row>
        <row r="18">
          <cell r="A18" t="str">
            <v>One Africa Media</v>
          </cell>
          <cell r="B18" t="str">
            <v>One Africa Media is Africa's largest online classifieds group by traffic, page views, ad volume and revenue.We own, operate and invest in a portfolio of market leading online marketplaces in the segments of employment, autos, property and travel throughout Africa.</v>
          </cell>
          <cell r="C18" t="str">
            <v>Acquired</v>
          </cell>
          <cell r="D18">
            <v>2012</v>
          </cell>
          <cell r="G18" t="str">
            <v>South Africa</v>
          </cell>
          <cell r="X18" t="str">
            <v>E-Commerce &amp; Retail</v>
          </cell>
          <cell r="Y18" t="str">
            <v>Advertising, Employment, Internet, Marketplace, Travel</v>
          </cell>
        </row>
        <row r="19">
          <cell r="A19" t="str">
            <v>iROKOtv</v>
          </cell>
          <cell r="B19" t="str">
            <v>IROKO is Africa's leading entertainment technology company. Launched in 2010, by Jason Njoku and Bastian Gotter, it is one of the most talked about African internet start-ups, thanks to its flagship Nollywood movie platform iROKOtv. Head quartered in Lagos, Nigeria, the company has pioneered Video-On-Demand for Nollywood content (Nigerian movies) and has aggregated the world's largest online catalogue of African content, totalling 10,000+ hours.</v>
          </cell>
          <cell r="C19" t="str">
            <v>Active</v>
          </cell>
          <cell r="D19">
            <v>2010</v>
          </cell>
          <cell r="G19" t="str">
            <v>Nigeria</v>
          </cell>
          <cell r="X19" t="str">
            <v>Media &amp; Entertainment</v>
          </cell>
          <cell r="Y19" t="str">
            <v>Online Media, Nollywood Movies, Online Movie and Music Streaming, African Music, Content Distribution, Technology, Subscription Video on Demand</v>
          </cell>
        </row>
        <row r="20">
          <cell r="A20" t="str">
            <v>Twiga Foods</v>
          </cell>
          <cell r="B20" t="str">
            <v>Twiga is on our way to being Africa’s largest grocer. We’re using a mobile-based, cashless, business-to-business (B2B) supply platform to access distribution into the millions of small and medium size vendors in African urban markets. This allows us to drastically lower their daily costs of goods by exploiting latent value in broken, informal, value-chains and wholesale providers. Nairobi alone has at least 18,000 small and medium size vendors buying $55 a day in stock, our goal is to be their single source of supply. In the coming years will be expanding our platform to five African markets.</v>
          </cell>
          <cell r="C20" t="str">
            <v>Active</v>
          </cell>
          <cell r="D20">
            <v>2013</v>
          </cell>
          <cell r="G20" t="str">
            <v>Kenya</v>
          </cell>
          <cell r="X20" t="str">
            <v>E-Commerce &amp; Retail</v>
          </cell>
          <cell r="Y20" t="str">
            <v>mCommerce, Distribution, and Agriculture</v>
          </cell>
        </row>
        <row r="21">
          <cell r="A21" t="str">
            <v>PEG Africa</v>
          </cell>
          <cell r="B21" t="str">
            <v>PEG Ghana Ltd. is an asset financing company currently selling Pay As You Go solar energy products to off-grid customers in Ghana. PEG’s Pay As You Go solar systems give our customers access to better quality light, mobile phone charging, and appliances like radios.</v>
          </cell>
          <cell r="C21" t="str">
            <v>Active</v>
          </cell>
          <cell r="D21">
            <v>2013</v>
          </cell>
          <cell r="G21" t="str">
            <v>Ghana</v>
          </cell>
          <cell r="X21" t="str">
            <v>Energy &amp; Environment Resources</v>
          </cell>
          <cell r="Y21" t="str">
            <v>Asset Financing, Pay As You Go Solar, and Solar Energy</v>
          </cell>
        </row>
        <row r="22">
          <cell r="A22" t="str">
            <v>Azuri Technologies</v>
          </cell>
          <cell r="B22" t="str">
            <v>Azuri's objective is to bring power at scale to off-grid customers worldwide.</v>
          </cell>
          <cell r="C22" t="str">
            <v>Active</v>
          </cell>
          <cell r="D22">
            <v>2012</v>
          </cell>
          <cell r="G22" t="str">
            <v>United Kingdom</v>
          </cell>
          <cell r="X22" t="str">
            <v>Energy &amp; Environment Resources</v>
          </cell>
          <cell r="Y22" t="str">
            <v>Energy, Renewable Energy, Solar</v>
          </cell>
        </row>
        <row r="23">
          <cell r="A23" t="str">
            <v>mPharma</v>
          </cell>
          <cell r="B23" t="str">
            <v>mPharma's mission is to increase patient access to high quality medications. Through our drug benefits service, we offer a number of solutions to health insurance companies and pharmaceutical companies to make it easier for patients to afford their medications.</v>
          </cell>
          <cell r="C23" t="str">
            <v>Active</v>
          </cell>
          <cell r="D23">
            <v>2014</v>
          </cell>
          <cell r="G23" t="str">
            <v>Ghana</v>
          </cell>
          <cell r="X23" t="str">
            <v>Healthcare &amp; Pharma</v>
          </cell>
          <cell r="Y23" t="str">
            <v>Health Care, Information Technology, Management Information Systems, Digital Healthcare</v>
          </cell>
        </row>
        <row r="24">
          <cell r="A24" t="str">
            <v>Vezeeta</v>
          </cell>
          <cell r="B24" t="str">
            <v>Vezeeta.com is the leading digital healthcare platform in MEA that connects patients with healthcare providers and health services</v>
          </cell>
          <cell r="C24" t="str">
            <v>Active</v>
          </cell>
          <cell r="D24">
            <v>2012</v>
          </cell>
          <cell r="G24" t="str">
            <v>Egypt</v>
          </cell>
          <cell r="X24" t="str">
            <v>Healthcare &amp; Pharma</v>
          </cell>
          <cell r="Y24" t="str">
            <v>Healthcare, Internet, Marketplace, Medical, Paas, Saas</v>
          </cell>
        </row>
        <row r="25">
          <cell r="A25" t="str">
            <v>Zando</v>
          </cell>
          <cell r="B25" t="str">
            <v>Zando.co.za is South Africa’s largest fashion e-commerce retailer offering choice and accessibility to customers. With hundreds of local and international brands there are thousands of styles to choose from. Enjoy incredible benefits such as free and fast delivery nationwide and free returns within 14 days. This secure online store has multiple payment methods to choose from, such as Debit/ Cheque/ Credit Card, eBucks, Instant Credit and Cash on delivery in selected major cities</v>
          </cell>
          <cell r="C25" t="str">
            <v>Active</v>
          </cell>
          <cell r="D25">
            <v>2011</v>
          </cell>
          <cell r="G25" t="str">
            <v>South Africa</v>
          </cell>
          <cell r="X25" t="str">
            <v>E-Commerce &amp; Retail</v>
          </cell>
          <cell r="Y25" t="str">
            <v>E-Commerce, Fashion, Wearables</v>
          </cell>
        </row>
        <row r="26">
          <cell r="A26" t="str">
            <v>Flutterwave</v>
          </cell>
          <cell r="B26" t="str">
            <v>We’re changing the way the world does business globally. Our mission is to inspire a new wave of prosperity across Africa by building payments infrastructure to connect Africa to the global economy. We’ve made it easier for Africans to build global businesses that can make and accept any payment, anywhere from across Africa and around the world. The world’s digital economy is progressing around us and we want to include African businesses in the journey.</v>
          </cell>
          <cell r="C26" t="str">
            <v>Active</v>
          </cell>
          <cell r="D26">
            <v>2016</v>
          </cell>
          <cell r="G26" t="str">
            <v>United States</v>
          </cell>
          <cell r="X26" t="str">
            <v>Financial Services</v>
          </cell>
          <cell r="Y26" t="str">
            <v>Payments, Fintech, Financial Technology</v>
          </cell>
        </row>
        <row r="27">
          <cell r="A27" t="str">
            <v>Boomplay Music</v>
          </cell>
          <cell r="B27" t="str">
            <v>Boomplay Music is a media streaming and download service developed by Transsnet Music Limited.</v>
          </cell>
          <cell r="C27" t="str">
            <v>Active</v>
          </cell>
          <cell r="D27">
            <v>2015</v>
          </cell>
          <cell r="G27" t="str">
            <v>Nigeria</v>
          </cell>
          <cell r="X27" t="str">
            <v>Media &amp; Entertainment</v>
          </cell>
          <cell r="Y27" t="str">
            <v>Media &amp; Entertainment</v>
          </cell>
        </row>
        <row r="28">
          <cell r="A28" t="str">
            <v>Zoona</v>
          </cell>
          <cell r="B28" t="str">
            <v>Zoona is an African start-up set to change our continent! We bring together the drive of young entrepreneurs and the power of cutting-edge technology to bring safe and reliable financial services to underserved communities all over Africa!</v>
          </cell>
          <cell r="C28" t="str">
            <v>Active</v>
          </cell>
          <cell r="D28">
            <v>2009</v>
          </cell>
          <cell r="G28" t="str">
            <v>Zambia</v>
          </cell>
          <cell r="X28" t="str">
            <v>Financial Services</v>
          </cell>
          <cell r="Y28" t="str">
            <v>Mobile Money Transfer, Fintech</v>
          </cell>
        </row>
        <row r="29">
          <cell r="A29" t="str">
            <v>Yoco</v>
          </cell>
          <cell r="B29" t="str">
            <v>Yoco is an African technology company that builds tools and services to help small businesses get paid, run their business better, and grow. We believe that by opening up more possibilities for entrepreneurs to be successful, we can help create more jobs, enable people to thrive and help to drive our economy forward.</v>
          </cell>
          <cell r="C29" t="str">
            <v>Active</v>
          </cell>
          <cell r="D29">
            <v>2013</v>
          </cell>
          <cell r="G29" t="str">
            <v>South Africa</v>
          </cell>
          <cell r="X29" t="str">
            <v>Financial Services</v>
          </cell>
          <cell r="Y29" t="str">
            <v>FinTech, Mobile Payments, Payments, Point of Sale, SaaS, Small and Medium Businesses</v>
          </cell>
        </row>
        <row r="30">
          <cell r="A30" t="str">
            <v>Mines</v>
          </cell>
          <cell r="B30" t="str">
            <v>Mines is a fintech startup redefining credit in emerging markets. Imagine a world where every time you go to the doctor you pay cash up front before you are treated, where every time you rent an apartment you pay 2 years cash up front, or where your monthly paycheck is frequently delayed for months at a time. Then imagine that same world without credit cards or bank accounts or robust credit bureaus. This is every day life for more than 3 billion adults around the world and we are on a mission to change it.</v>
          </cell>
          <cell r="C30" t="str">
            <v>Active</v>
          </cell>
          <cell r="D30">
            <v>2014</v>
          </cell>
          <cell r="G30" t="str">
            <v>Nigeria</v>
          </cell>
          <cell r="X30" t="str">
            <v>Financial Services</v>
          </cell>
          <cell r="Y30" t="str">
            <v>Microfinance, Distributed Systems, Machine Learning, Functional Programming, Parallel Programming, Microservices, and Metaprogramming.</v>
          </cell>
        </row>
        <row r="31">
          <cell r="A31" t="str">
            <v>Bitpesa</v>
          </cell>
          <cell r="B31" t="str">
            <v>BitPesa is a digital foreign exchange and payment platform that leverages blockchain settlement to significantly lower the cost and increase the speed of business payments to and from frontier markets. BitPesa is a market-maker in every major African currency and opens corridors for business payments and trade between frontier markets and the rest of the world. Founded in 2013, BitPesa was the first blockchain company to be licensed by the UK's Financial Conduct Authority and follows stringent KYC practices.</v>
          </cell>
          <cell r="C31" t="str">
            <v>Active</v>
          </cell>
          <cell r="D31">
            <v>2013</v>
          </cell>
          <cell r="G31" t="str">
            <v>Kenya</v>
          </cell>
          <cell r="X31" t="str">
            <v>Financial Services</v>
          </cell>
          <cell r="Y31" t="str">
            <v>Blockchain, Cryptocurrencies, Exchange, Fintech</v>
          </cell>
        </row>
        <row r="32">
          <cell r="A32" t="str">
            <v>Lori Systems</v>
          </cell>
          <cell r="B32" t="str">
            <v>Lori is a venture-backed start-up building the cutting-edge logistics infrastructure for trucking in Africa. The start-up is tackling a massive issue - $180 billion is spent annually on haulage across Africa, which means that up to 75% of a product’s cost is due to logistics (compared to 6% in the US).</v>
          </cell>
          <cell r="C32" t="str">
            <v>Active</v>
          </cell>
          <cell r="D32">
            <v>2016</v>
          </cell>
          <cell r="G32" t="str">
            <v>Kenya</v>
          </cell>
          <cell r="X32" t="str">
            <v>Transport &amp; Logistics</v>
          </cell>
          <cell r="Y32" t="str">
            <v>Logistics, Railroad, Transportation</v>
          </cell>
        </row>
        <row r="33">
          <cell r="A33" t="str">
            <v>MFS Africa</v>
          </cell>
          <cell r="B33" t="str">
            <v>MFS Africa is a pan-African fintech company that develops innovative value added services for mobile wallets. The company works in close partnership with mobile network operators and financial institutions to bring simple and relevant financial services to un- and under-banked customers. MFS Africa currently connects over 170 million mobile wallet customers in sub-Saharan Africa. The MFS Hub also connects money transfer operators, banks, and merchants to mobile wallets in Africa, allowing these partners to take advantage of the growing popularity of mobile wallets as safe, convenient, compliant, and cost effective delivery channel for international remittances. For more information visit www.mfsafrica.com.</v>
          </cell>
          <cell r="C33" t="str">
            <v>Active</v>
          </cell>
          <cell r="D33">
            <v>2010</v>
          </cell>
          <cell r="G33" t="str">
            <v>South Africa</v>
          </cell>
          <cell r="X33" t="str">
            <v>Financial Services</v>
          </cell>
          <cell r="Y33" t="str">
            <v>Financial Services, FinTech, Mobile Payments, Payments</v>
          </cell>
        </row>
        <row r="34">
          <cell r="A34" t="str">
            <v>Payitup</v>
          </cell>
          <cell r="B34" t="str">
            <v>PayItUp aggregates various payments services on a web and mobile application.</v>
          </cell>
          <cell r="C34" t="str">
            <v>Active</v>
          </cell>
          <cell r="D34">
            <v>2017</v>
          </cell>
          <cell r="G34" t="str">
            <v>Zimbabwe</v>
          </cell>
          <cell r="X34" t="str">
            <v>Financial Services</v>
          </cell>
          <cell r="Y34" t="str">
            <v>Fintech, Payments</v>
          </cell>
        </row>
        <row r="35">
          <cell r="A35" t="str">
            <v>RapidDeploy</v>
          </cell>
          <cell r="B35" t="str">
            <v>RapidDeploy is the Cloud Aided Dispatch company that alleviates the most common problems in public safety today, slow response times and lack of situational awareness. RapidDeploy solves the complexity of emergency dispatch and response with intuitive, easy-to-use cloud-based incident management tools and its analytics helps to predict future trending events</v>
          </cell>
          <cell r="C35" t="str">
            <v>Active</v>
          </cell>
          <cell r="D35">
            <v>2014</v>
          </cell>
          <cell r="G35" t="str">
            <v>South Africa</v>
          </cell>
          <cell r="X35" t="str">
            <v>Information Technology</v>
          </cell>
          <cell r="Y35" t="str">
            <v>Business Intelligence, CAD, Cloud Computing, Field Support, Information Technology, Public Safety, SaaS</v>
          </cell>
        </row>
        <row r="36">
          <cell r="A36" t="str">
            <v>Paystack</v>
          </cell>
          <cell r="B36" t="str">
            <v>Paystack is a technology company solving payments problems for ambitious businesses. Our mission is to help businesses in Africa become profitable, envied, and loved.</v>
          </cell>
          <cell r="C36" t="str">
            <v>Active</v>
          </cell>
          <cell r="D36">
            <v>2015</v>
          </cell>
          <cell r="G36" t="str">
            <v>Nigeria</v>
          </cell>
          <cell r="X36" t="str">
            <v>Financial Services</v>
          </cell>
          <cell r="Y36" t="str">
            <v>Financial Services, Internet, Payments, Fintech</v>
          </cell>
        </row>
        <row r="37">
          <cell r="A37" t="str">
            <v>Sendy</v>
          </cell>
          <cell r="B37" t="str">
            <v>Sendy was launched in Kenya in 2014 with the mission to build partnerships that unlock new possibilities for businesses and individuals. The Kenya-based company is a delivery platform that connects businesses and individuals with drivers of all vehicle types making deliveries simple and transparent using a cutting edge, user-focused technology.</v>
          </cell>
          <cell r="C37" t="str">
            <v>Active</v>
          </cell>
          <cell r="D37">
            <v>2014</v>
          </cell>
          <cell r="G37" t="str">
            <v>Kenya</v>
          </cell>
          <cell r="X37" t="str">
            <v>Transport &amp; Logistics</v>
          </cell>
          <cell r="Y37" t="str">
            <v>Logistics, Deliveries, Courier, Packages, Food Delivery, E-Commerce, Mobile Apps, and On demand courier solutions</v>
          </cell>
        </row>
        <row r="38">
          <cell r="A38" t="str">
            <v>Daystar Power Africa</v>
          </cell>
          <cell r="B38" t="str">
            <v>Daystar Power provides commercial and industrial clients in Africa with captive solar power solutions in long-term service fee models.</v>
          </cell>
          <cell r="C38" t="str">
            <v>Active</v>
          </cell>
          <cell r="D38">
            <v>2017</v>
          </cell>
          <cell r="G38" t="str">
            <v>Mauritius</v>
          </cell>
          <cell r="X38" t="str">
            <v>Renewables &amp; Environment</v>
          </cell>
          <cell r="Y38" t="str">
            <v>Electronics, Solar</v>
          </cell>
        </row>
        <row r="39">
          <cell r="A39" t="str">
            <v>Arnergy</v>
          </cell>
          <cell r="B39" t="str">
            <v>Arnergy provides solar power systems to homes and businesses, with a special focus on companies spanning the hospitality, education, financial, agriculture, and healthcare industries.</v>
          </cell>
          <cell r="C39" t="str">
            <v>Active</v>
          </cell>
          <cell r="D39">
            <v>2013</v>
          </cell>
          <cell r="G39" t="str">
            <v>Nigeria</v>
          </cell>
          <cell r="X39" t="str">
            <v>Energy &amp; Environment Resources</v>
          </cell>
          <cell r="Y39" t="str">
            <v>Energy and Resources, Solar</v>
          </cell>
        </row>
        <row r="40">
          <cell r="A40" t="str">
            <v>Africa's Talking</v>
          </cell>
          <cell r="B40" t="str">
            <v>Africa’s Talking is the go-to platform for developers in Africa that helps make ideas come to life, with ease. We make the process simple and walk with developers throughout their journeys towards achieving their goals – changing the way that Africa does business while we’re at it. We have created world class mobile communication APIs(SMS, VOICE, USSD, PAYMENTS, AIRTIME) that developers can easily integrate with to power their solutions.</v>
          </cell>
          <cell r="C40" t="str">
            <v>Active</v>
          </cell>
          <cell r="D40">
            <v>2010</v>
          </cell>
          <cell r="G40" t="str">
            <v>Kenya</v>
          </cell>
          <cell r="X40" t="str">
            <v>Information Technology</v>
          </cell>
          <cell r="Y40" t="str">
            <v>Developer APIs, Information Technology, Mobile, Telecommunications</v>
          </cell>
        </row>
        <row r="41">
          <cell r="A41" t="str">
            <v>Lidya</v>
          </cell>
          <cell r="B41" t="str">
            <v>Lidya is building the financial services platform of the future for Africans worldwide. We use mobile-first technology, fantastic customer experience and proprietary credit scoring algorithms to help African businesses and individuals open an account online in 15 minutes, manage funds, and access credit needed to grow their businesses and plan their futures.</v>
          </cell>
          <cell r="C41" t="str">
            <v>Active</v>
          </cell>
          <cell r="D41">
            <v>2016</v>
          </cell>
          <cell r="G41" t="str">
            <v>Nigeria</v>
          </cell>
          <cell r="X41" t="str">
            <v>Financial Services</v>
          </cell>
          <cell r="Y41" t="str">
            <v>Fintech, Small Medium Businesses, Working Capital, Frontier &amp; Emerging Markets, and Credit Score</v>
          </cell>
        </row>
        <row r="42">
          <cell r="A42" t="str">
            <v>Jibu</v>
          </cell>
          <cell r="B42" t="str">
            <v>Jibu provides a comprehensive, turn-key start-up package for local entrepreneurs to start their own neighborhood businesses by treating and packaging water in reusable bottles</v>
          </cell>
          <cell r="C42" t="str">
            <v>Active</v>
          </cell>
          <cell r="D42">
            <v>2012</v>
          </cell>
          <cell r="G42" t="str">
            <v>Rwanda</v>
          </cell>
          <cell r="X42" t="str">
            <v>Utilities and Telecommunication Services</v>
          </cell>
          <cell r="Y42" t="str">
            <v>Health Care, Social Entrepreneurship, Water</v>
          </cell>
        </row>
        <row r="43">
          <cell r="A43" t="str">
            <v>Asoko Insight</v>
          </cell>
          <cell r="B43" t="str">
            <v>Asoko Insight is the world’s largest provider of data and analytics of unlisted African companies. We leverage in-country research teams, institutional partnerships and web-crawling technology to gain insight in Africa’s most promising businesses, particularly those operating in the middle market.</v>
          </cell>
          <cell r="C43" t="str">
            <v>Active</v>
          </cell>
          <cell r="D43">
            <v>2014</v>
          </cell>
          <cell r="G43" t="str">
            <v>Nigeria</v>
          </cell>
          <cell r="X43" t="str">
            <v>Media &amp; Entertainment</v>
          </cell>
          <cell r="Y43" t="str">
            <v>Company Information, Data Analysis, Business Development, Investment Research, Company Profiling, News &amp; Analysis, Due Diligence, Africa, Market Research, private equity, and African Data</v>
          </cell>
        </row>
        <row r="44">
          <cell r="A44" t="str">
            <v>Wuzzuf</v>
          </cell>
          <cell r="B44" t="str">
            <v>Wuzzuf is a technology start-up specialized in developing solutions for Online Recruitment / Talent Acquisition, Talent Management, and Workforce Planning. We help organizations acquire the best talents, and then make the most out of them when they join.</v>
          </cell>
          <cell r="C44" t="str">
            <v>Active</v>
          </cell>
          <cell r="D44">
            <v>2009</v>
          </cell>
          <cell r="G44" t="str">
            <v>Egypt</v>
          </cell>
          <cell r="X44" t="str">
            <v>Recruitment</v>
          </cell>
          <cell r="Y44" t="str">
            <v>Information Services, Information Technology, Software, Web Development</v>
          </cell>
        </row>
        <row r="45">
          <cell r="A45" t="str">
            <v>Kobo360</v>
          </cell>
          <cell r="B45" t="str">
            <v>Kobo is a technology company providing SMEs with turn-key solutions to challenges hampering their ability to scale. The company was founded on the desire to provide solutions that drive efficiency and growth in verticals where these are challenges.</v>
          </cell>
          <cell r="C45" t="str">
            <v>Active</v>
          </cell>
          <cell r="D45">
            <v>2017</v>
          </cell>
          <cell r="G45" t="str">
            <v>Nigeria</v>
          </cell>
          <cell r="X45" t="str">
            <v>Transport &amp; Logistics</v>
          </cell>
          <cell r="Y45" t="str">
            <v>SMEs export/import solution, E-commerce Supply Chain, Mail/Parcel, Office/Home Moving, Haulage, Air Freight, Project Cargo, Sea Freight, Agribusiness</v>
          </cell>
        </row>
        <row r="46">
          <cell r="A46" t="str">
            <v>Max.ng</v>
          </cell>
          <cell r="B46" t="str">
            <v>MAX is a mobility platform that connects businesses and consumers to professional motorcycle-taxis on demand. MAX onboards drivers using adaptive psychometric tests and guarantees safety with real-time mobile telematics. MAX was founded at MIT in 2015 and is a Techstars New York alumnus.</v>
          </cell>
          <cell r="C46" t="str">
            <v>Active</v>
          </cell>
          <cell r="D46">
            <v>2015</v>
          </cell>
          <cell r="G46" t="str">
            <v>Nigeria</v>
          </cell>
          <cell r="X46" t="str">
            <v>Transport &amp; Logistics</v>
          </cell>
          <cell r="Y46" t="str">
            <v>Hyperlocal logistics, On-demand Delivery, Transportation, Delivery Services, E-Commerce Logsitics, Okada, and Moto-Taxi, Ride-Hailing</v>
          </cell>
        </row>
        <row r="47">
          <cell r="A47" t="str">
            <v>InstaDeep</v>
          </cell>
          <cell r="B47" t="str">
            <v>InstaDeep host of AI solutions, ranging from optimized pattern-recognition, GPU-accelerated insights, self-learning decision making systems.</v>
          </cell>
          <cell r="C47" t="str">
            <v>Active</v>
          </cell>
          <cell r="D47">
            <v>2014</v>
          </cell>
          <cell r="G47" t="str">
            <v>United Kingdom</v>
          </cell>
          <cell r="X47" t="str">
            <v>Information Technology</v>
          </cell>
          <cell r="Y47" t="str">
            <v>Artificial Intelligence</v>
          </cell>
        </row>
        <row r="48">
          <cell r="A48" t="str">
            <v>Halan</v>
          </cell>
          <cell r="B48" t="str">
            <v>Halan is a ride-hailing/on-demand-logistics application offering smart transportation for the masses; by offering on demand 2 and 3 wheelers</v>
          </cell>
          <cell r="C48" t="str">
            <v>Active</v>
          </cell>
          <cell r="D48">
            <v>2017</v>
          </cell>
          <cell r="G48" t="str">
            <v>Egypt</v>
          </cell>
          <cell r="X48" t="str">
            <v>Transport &amp; Logistics</v>
          </cell>
          <cell r="Y48" t="str">
            <v>Logistics, Ride Sharing, Sharing Economy, Transportation</v>
          </cell>
        </row>
        <row r="49">
          <cell r="A49" t="str">
            <v>Wefarm</v>
          </cell>
          <cell r="B49" t="str">
            <v>Wefarm, the world’s largest farmer-to-farmer digital network, is a social enterprise that lets small-scale farmers connect with one another to solve problems, share ideas, and spread innovation. Utilising the latest machine learning technology, Wefarm’s service works both online and over SMS. Knowledge shared on Wefarm can help farmers produce higher quality product, increase yields, gain insight into pricing, tackle the effects of climate change, source the best seeds, fertiliser, and loans, diversify agricultural interests, and more.</v>
          </cell>
          <cell r="C49" t="str">
            <v>Active</v>
          </cell>
          <cell r="D49">
            <v>2015</v>
          </cell>
          <cell r="G49" t="str">
            <v>Kenya</v>
          </cell>
          <cell r="X49" t="str">
            <v>Agriculture</v>
          </cell>
          <cell r="Y49" t="str">
            <v>Agriculture, AgTech, Crowdsourcing, Internet</v>
          </cell>
        </row>
        <row r="50">
          <cell r="A50" t="str">
            <v>Kopo Kopo</v>
          </cell>
          <cell r="B50" t="str">
            <v>Kopo Kopo's software powers the largest independent merchant network in the mobile money industry.</v>
          </cell>
          <cell r="C50" t="str">
            <v>Active</v>
          </cell>
          <cell r="D50">
            <v>2011</v>
          </cell>
          <cell r="G50" t="str">
            <v>Kenya</v>
          </cell>
          <cell r="X50" t="str">
            <v>Financial Services</v>
          </cell>
          <cell r="Y50" t="str">
            <v>Enterprise Software, Financial Services, Information Technology, Mobile Payments, Payments, Social Entrepreneurship, Telecommunications</v>
          </cell>
        </row>
        <row r="51">
          <cell r="A51" t="str">
            <v>Lulalend</v>
          </cell>
          <cell r="B51" t="str">
            <v>Lulalend is an online lending company that provides fast and easy working capital funding to small businesses in South Africa.</v>
          </cell>
          <cell r="C51" t="str">
            <v>Active</v>
          </cell>
          <cell r="D51">
            <v>2014</v>
          </cell>
          <cell r="G51" t="str">
            <v>South Africa</v>
          </cell>
          <cell r="X51" t="str">
            <v>Financial Services</v>
          </cell>
          <cell r="Y51" t="str">
            <v>Customer Service, Financial Services, FinTech</v>
          </cell>
        </row>
        <row r="52">
          <cell r="A52" t="str">
            <v>Copia Global</v>
          </cell>
          <cell r="B52" t="str">
            <v>Copia Global is a consumer catalog order and delivery system for nonperishable and durable goods serving people in the rural villages</v>
          </cell>
          <cell r="C52" t="str">
            <v>Active</v>
          </cell>
          <cell r="D52">
            <v>2012</v>
          </cell>
          <cell r="G52" t="str">
            <v>Kenya</v>
          </cell>
          <cell r="X52" t="str">
            <v>E-Commerce &amp; Retail</v>
          </cell>
          <cell r="Y52" t="str">
            <v>Consumer Goods, Delivery, E-Commerce</v>
          </cell>
        </row>
        <row r="53">
          <cell r="A53" t="str">
            <v>WhereIsMyTransport</v>
          </cell>
          <cell r="B53" t="str">
            <v>WhereIsMyTransport is a technology company with offices in London and Cape Town. We collect and provide access to public transport data from African cities, overcoming the complexity of local networks and enabling customer success through our unique data and services. Our offerings include data collection, data access, and journey planning.</v>
          </cell>
          <cell r="C53" t="str">
            <v>Active</v>
          </cell>
          <cell r="D53">
            <v>2015</v>
          </cell>
          <cell r="G53" t="str">
            <v>South Africa</v>
          </cell>
          <cell r="X53" t="str">
            <v>Transport &amp; Logistics</v>
          </cell>
          <cell r="Y53" t="str">
            <v>Public Transport Data, Professional Services</v>
          </cell>
        </row>
        <row r="54">
          <cell r="A54" t="str">
            <v>Gokada</v>
          </cell>
          <cell r="B54" t="str">
            <v>Gokada is revolutionizing the way we move around in lagos making it possible to move safely without worries of traffic or exorbitant prices.</v>
          </cell>
          <cell r="C54" t="str">
            <v>Active</v>
          </cell>
          <cell r="D54">
            <v>2017</v>
          </cell>
          <cell r="G54" t="str">
            <v>Nigeria</v>
          </cell>
          <cell r="X54" t="str">
            <v>Transport &amp; Logistics</v>
          </cell>
          <cell r="Y54" t="str">
            <v>Private Transport, Logistics, Ride-Hailing, Transportation, Moto-Taxi, Okada, logistics</v>
          </cell>
        </row>
        <row r="55">
          <cell r="A55" t="str">
            <v>TeamApt</v>
          </cell>
          <cell r="B55" t="str">
            <v>TeamApt is a financial technology company focused developing Digital Banking, Business Solutions and Payments Infrastructure</v>
          </cell>
          <cell r="C55" t="str">
            <v>Active</v>
          </cell>
          <cell r="D55">
            <v>2015</v>
          </cell>
          <cell r="G55" t="str">
            <v>Nigeria</v>
          </cell>
          <cell r="X55" t="str">
            <v>Financial Services</v>
          </cell>
          <cell r="Y55" t="str">
            <v>Banking, Financial Services, FinTech, Payments</v>
          </cell>
        </row>
        <row r="56">
          <cell r="A56" t="str">
            <v>Kudi</v>
          </cell>
          <cell r="B56" t="str">
            <v>KUDI is a financial service provider focused on providing access to electronic banking and financial services by leveraging conversational interfaces, natural language processing and artificial intelligence to provider faster access, frictionless experience, and ultimately boost financial inclusion in emerging markets</v>
          </cell>
          <cell r="C56" t="str">
            <v>Active</v>
          </cell>
          <cell r="D56">
            <v>2016</v>
          </cell>
          <cell r="G56" t="str">
            <v>Nigeria</v>
          </cell>
          <cell r="X56" t="str">
            <v>Financial Services</v>
          </cell>
          <cell r="Y56" t="str">
            <v>Artificial Intelligence, Banking, Finance, Financial Services, FinTech</v>
          </cell>
        </row>
        <row r="57">
          <cell r="A57" t="str">
            <v>Tizeti</v>
          </cell>
          <cell r="B57" t="str">
            <v>Tizeti Network (wifi.com.ng) provides uncapped broadband internet services through the deployment of solar powered Wi-Fi access points. The company’s target customer base is low-income, residential communities and small businesses.</v>
          </cell>
          <cell r="C57" t="str">
            <v>Active</v>
          </cell>
          <cell r="D57">
            <v>2014</v>
          </cell>
          <cell r="G57" t="str">
            <v>Nigeria</v>
          </cell>
          <cell r="X57" t="str">
            <v>Information Technology</v>
          </cell>
          <cell r="Y57" t="str">
            <v>Internet, WIFI, VOIP, and IPTV</v>
          </cell>
        </row>
        <row r="58">
          <cell r="A58" t="str">
            <v>Cars45</v>
          </cell>
          <cell r="B58" t="str">
            <v>We are Nigeria's largest car buying service with the goal of helping hundreds of customers to sell their cars.</v>
          </cell>
          <cell r="C58" t="str">
            <v>Active</v>
          </cell>
          <cell r="D58">
            <v>2016</v>
          </cell>
          <cell r="G58" t="str">
            <v>Nigeria</v>
          </cell>
          <cell r="X58" t="str">
            <v>E-Commerce &amp; Retail</v>
          </cell>
          <cell r="Y58" t="str">
            <v>Automotive, E-Commerce, E-Commerce Platforms</v>
          </cell>
        </row>
        <row r="59">
          <cell r="A59" t="str">
            <v>DealDey Limited</v>
          </cell>
          <cell r="B59" t="str">
            <v>DealDey features a daily deal on things to do, see, eat, and buy in Lagos and Abuja</v>
          </cell>
          <cell r="C59" t="str">
            <v>Dead</v>
          </cell>
          <cell r="D59">
            <v>2011</v>
          </cell>
          <cell r="G59" t="str">
            <v>Nigeria</v>
          </cell>
          <cell r="X59" t="str">
            <v>E-Commerce &amp; Retail</v>
          </cell>
          <cell r="Y59" t="str">
            <v>Internet, Local Business, Retail</v>
          </cell>
        </row>
        <row r="60">
          <cell r="A60" t="str">
            <v>Terragon Group</v>
          </cell>
          <cell r="B60" t="str">
            <v>Terragon Group is a digital media business focused on Africa. Within the digital ecosystem, Terragon Group understands the interplay between content and platform and has business verticals that deliver on components of the digital world.</v>
          </cell>
          <cell r="C60" t="str">
            <v>Active</v>
          </cell>
          <cell r="D60">
            <v>2009</v>
          </cell>
          <cell r="G60" t="str">
            <v>Nigeria</v>
          </cell>
          <cell r="X60" t="str">
            <v>Media &amp; Entertainment</v>
          </cell>
          <cell r="Y60" t="str">
            <v>Billing, Content, CRM, Digital Media, Local, Mobile, Mobile Advertising, Music, Social Media, Social Media Marketing</v>
          </cell>
        </row>
        <row r="61">
          <cell r="A61" t="str">
            <v>PayGo Energy</v>
          </cell>
          <cell r="B61" t="str">
            <v>PayGo Energy is a revolutionary cookstove solution and distribution system that enables consumers to access clean and efficient fuel at a price point that is within their daily energy budget.</v>
          </cell>
          <cell r="C61" t="str">
            <v>Active</v>
          </cell>
          <cell r="D61">
            <v>2014</v>
          </cell>
          <cell r="G61" t="str">
            <v>Kenya</v>
          </cell>
          <cell r="X61" t="str">
            <v>Energy &amp; Environment Resources</v>
          </cell>
          <cell r="Y61" t="str">
            <v>Clean Energy, Oil and Gas</v>
          </cell>
        </row>
        <row r="62">
          <cell r="A62" t="str">
            <v>54gene</v>
          </cell>
          <cell r="B62" t="str">
            <v>Improving drug discovery by researching the genetically diverse African population</v>
          </cell>
          <cell r="C62" t="str">
            <v>Active</v>
          </cell>
          <cell r="D62">
            <v>2019</v>
          </cell>
          <cell r="G62" t="str">
            <v>Nigeria</v>
          </cell>
          <cell r="X62" t="str">
            <v>Healthcare &amp; Pharma</v>
          </cell>
          <cell r="Y62" t="str">
            <v>HealthCare</v>
          </cell>
        </row>
        <row r="63">
          <cell r="A63" t="str">
            <v>Aerobotics</v>
          </cell>
          <cell r="B63" t="str">
            <v>Aerobotics is an aerial data analytics company based in Cape Town. Through applying machine learning to high-resolution imagery, the company provides insight and competitive advantages to farmers.</v>
          </cell>
          <cell r="C63" t="str">
            <v>Active</v>
          </cell>
          <cell r="D63">
            <v>2014</v>
          </cell>
          <cell r="G63" t="str">
            <v>South Africa</v>
          </cell>
          <cell r="X63" t="str">
            <v>Emerging Technologies</v>
          </cell>
          <cell r="Y63" t="str">
            <v>Data Analytics, Aerial Engineering Design and Manufacture, Machine Learning, and Image Processing, Agtech, Drones, Farming, Software</v>
          </cell>
        </row>
        <row r="64">
          <cell r="A64" t="str">
            <v>Expensya</v>
          </cell>
          <cell r="B64" t="str">
            <v>Expensya is a complete and intelligent expense management system. With Expensya, no more hours lost filling tables and finding bills!</v>
          </cell>
          <cell r="C64" t="str">
            <v>Active</v>
          </cell>
          <cell r="D64">
            <v>2014</v>
          </cell>
          <cell r="G64" t="str">
            <v>Tunisia</v>
          </cell>
          <cell r="X64" t="str">
            <v>Financial Services</v>
          </cell>
          <cell r="Y64" t="str">
            <v>Accounting, Financial Services, Mobile Apps, FInance Management</v>
          </cell>
        </row>
        <row r="65">
          <cell r="A65" t="str">
            <v>SOL Wallet</v>
          </cell>
          <cell r="B65" t="str">
            <v>SOL Wallet is a neobank for South African people</v>
          </cell>
          <cell r="C65" t="str">
            <v>Active</v>
          </cell>
          <cell r="D65">
            <v>2017</v>
          </cell>
          <cell r="G65" t="str">
            <v>South Africa</v>
          </cell>
          <cell r="X65" t="str">
            <v>Financial Services</v>
          </cell>
          <cell r="Y65" t="str">
            <v>Cryptocurrency, Financial Exchanges, Financial Services, Mobile Payments, Personal Finance, Stock Exchanges, Trading Platform</v>
          </cell>
        </row>
        <row r="66">
          <cell r="A66" t="str">
            <v>Fintec Labs</v>
          </cell>
          <cell r="B66" t="str">
            <v>Fintec Labs is a B2B technology provider to major banking and insurance enterprises in South Africa</v>
          </cell>
          <cell r="C66" t="str">
            <v>Active</v>
          </cell>
          <cell r="D66">
            <v>2015</v>
          </cell>
          <cell r="G66" t="str">
            <v>South Africa</v>
          </cell>
          <cell r="X66" t="str">
            <v>Financial Services</v>
          </cell>
          <cell r="Y66" t="str">
            <v>Banking, FinTech, Incubators</v>
          </cell>
        </row>
        <row r="67">
          <cell r="A67" t="str">
            <v>Brck</v>
          </cell>
          <cell r="B67" t="str">
            <v>BRCK is the only company in East Africa that has a full stack of engineering for products: electrical engineers, mechanical engineers, firmware and OS software teams, as well as full-stack cloud engineers. Beyond that, we have in-house design, user experience and product management, making BRCK a truly unique company in the region.</v>
          </cell>
          <cell r="C67" t="str">
            <v>Active</v>
          </cell>
          <cell r="D67">
            <v>2013</v>
          </cell>
          <cell r="G67" t="str">
            <v>Kenya</v>
          </cell>
          <cell r="X67" t="str">
            <v>Commercial &amp; Professional Services</v>
          </cell>
          <cell r="Y67" t="str">
            <v>Networking and Hardware Design and Manufacuture</v>
          </cell>
        </row>
        <row r="68">
          <cell r="A68" t="str">
            <v>Oolu</v>
          </cell>
          <cell r="B68" t="str">
            <v>Oolu was founded in 2015 by Nilmi Senaratna and Dan Rosa, and incubated in Y Combinator. The company’s mission is to provide off-grid households with high quality products at an affordable price. For a low monthly fee, paid through mobile money, Oolu installs a pay-as-you-go solar kit that can power various in-home devices such as lights, phone chargers, radios, fans and televisions, and performs any necessary maintenance, including free battery replacements and system upgrades. The offer appeals to off-grid clients who often struggle with unreliable and dangerous lighting sources, such as flashlights, candles and kerosene, and are forced to walk long distances to charge their phones.</v>
          </cell>
          <cell r="C68" t="str">
            <v>Active</v>
          </cell>
          <cell r="D68">
            <v>2015</v>
          </cell>
          <cell r="G68" t="str">
            <v>Senegal</v>
          </cell>
          <cell r="X68" t="str">
            <v>Energy &amp; Environment Resources</v>
          </cell>
          <cell r="Y68" t="str">
            <v>Environmental Consulting, Financial Services, Renewable Energy, Solar</v>
          </cell>
        </row>
        <row r="69">
          <cell r="A69" t="str">
            <v>Zooba Eats</v>
          </cell>
          <cell r="B69" t="str">
            <v>Zooba Eats is a celebration of Egyptian street food culture. They believe that Egyptian street food rivals the best in the world and that through Zooba they can proudly share Egypt’s utterly unique street dishes.</v>
          </cell>
          <cell r="C69" t="str">
            <v>Active</v>
          </cell>
          <cell r="D69">
            <v>2012</v>
          </cell>
          <cell r="G69" t="str">
            <v>Egypt</v>
          </cell>
          <cell r="X69" t="str">
            <v>E-Commerce &amp; Retail</v>
          </cell>
          <cell r="Y69" t="str">
            <v>Street Food, Vendor</v>
          </cell>
        </row>
        <row r="70">
          <cell r="A70" t="str">
            <v>Snapt</v>
          </cell>
          <cell r="B70" t="str">
            <v>Snapt develops high-end solutions for application delivery. We provide load balancing, web acceleration, caching and security for critical services.</v>
          </cell>
          <cell r="C70" t="str">
            <v>Active</v>
          </cell>
          <cell r="D70">
            <v>2012</v>
          </cell>
          <cell r="G70" t="str">
            <v>South Africa</v>
          </cell>
          <cell r="X70" t="str">
            <v>Information Technology</v>
          </cell>
          <cell r="Y70" t="str">
            <v>Load Balancing, Development, Linux, ADC, Application Delivery Controller, Load Balancer, WAF, Web Accelerator, Devops, Application Delivery, and SAAS</v>
          </cell>
        </row>
        <row r="71">
          <cell r="A71" t="str">
            <v>Lynk</v>
          </cell>
          <cell r="B71" t="str">
            <v>Lynk is transforming Africa’s informal labor sector by providing a technology platform that connects workers to clients.</v>
          </cell>
          <cell r="C71" t="str">
            <v>Active</v>
          </cell>
          <cell r="D71">
            <v>2017</v>
          </cell>
          <cell r="G71" t="str">
            <v>Kenya</v>
          </cell>
          <cell r="X71" t="str">
            <v>Commercial &amp; Professional Services</v>
          </cell>
          <cell r="Y71" t="str">
            <v>Professional Services, Labour</v>
          </cell>
        </row>
        <row r="72">
          <cell r="A72" t="str">
            <v>OffGridBox</v>
          </cell>
          <cell r="B72" t="str">
            <v>OffGridBox, a provider of affordable renewable energy and clean water</v>
          </cell>
          <cell r="C72" t="str">
            <v>Active</v>
          </cell>
          <cell r="D72">
            <v>2016</v>
          </cell>
          <cell r="G72" t="str">
            <v>Rwanda</v>
          </cell>
          <cell r="X72" t="str">
            <v>Energy &amp; Environment Resources</v>
          </cell>
          <cell r="Y72" t="str">
            <v>Renewables &amp; Environment</v>
          </cell>
        </row>
        <row r="73">
          <cell r="A73" t="str">
            <v>Naked Insurance</v>
          </cell>
          <cell r="B73" t="str">
            <v>Naked Insurance is the new generation: effortless, transparent and sincere. Naked Insurance offers short-term retail insurance products.</v>
          </cell>
          <cell r="C73" t="str">
            <v>Active</v>
          </cell>
          <cell r="D73">
            <v>2016</v>
          </cell>
          <cell r="G73" t="str">
            <v>South Africa</v>
          </cell>
          <cell r="X73" t="str">
            <v>Financial Services</v>
          </cell>
          <cell r="Y73" t="str">
            <v>Financial Services, Information Technology, Insurance</v>
          </cell>
        </row>
        <row r="74">
          <cell r="A74" t="str">
            <v>AJUA</v>
          </cell>
          <cell r="B74" t="str">
            <v>AJUA (formely Msurvey) is a mobile survey platform driving decision-making for businesses across the continent of Africa and the Caribbean. mSurvey works with some well-known brands across the world; reducing churn, improving customer service, and increasing their Net Promoter Score.</v>
          </cell>
          <cell r="C74" t="str">
            <v>Active</v>
          </cell>
          <cell r="D74">
            <v>2012</v>
          </cell>
          <cell r="G74" t="str">
            <v>Kenya</v>
          </cell>
          <cell r="X74" t="str">
            <v>Information Technology</v>
          </cell>
          <cell r="Y74" t="str">
            <v>Data, Insights, Mobile surveys, Mobile rewards, Voice of the Customer, NPS, Feedback Loop, Surveys, Health and Academic Research, Customer Feedback, Customer Loyalty, Net Promoter Score, NPS, Customer Acquisition, Customer Retention</v>
          </cell>
        </row>
        <row r="75">
          <cell r="A75" t="str">
            <v>Xineoh</v>
          </cell>
          <cell r="B75" t="str">
            <v>Xineoh predicts customer behaviour using artificial intelligence (AI), and prides itself in helping its clients out-predict their competition in order to maximise efficiency and customer satisfaction.</v>
          </cell>
          <cell r="C75" t="str">
            <v>Active</v>
          </cell>
          <cell r="D75">
            <v>2015</v>
          </cell>
          <cell r="G75" t="str">
            <v>South Africa</v>
          </cell>
          <cell r="X75" t="str">
            <v>Emerging Technologies</v>
          </cell>
          <cell r="Y75" t="str">
            <v>Information Technology, Software</v>
          </cell>
        </row>
        <row r="76">
          <cell r="A76" t="str">
            <v>Africa Courier Express</v>
          </cell>
          <cell r="B76" t="str">
            <v>ACE is an indigenous African enterprise, delivering world-class logistics solutions to both businesses and consumers. Founded in 2013, Africa Courier Express (ACE) is currently in 5 cities in Nigeria and expanding rapidly.</v>
          </cell>
          <cell r="C76" t="str">
            <v>Active</v>
          </cell>
          <cell r="D76">
            <v>2013</v>
          </cell>
          <cell r="G76" t="str">
            <v>Nigeria</v>
          </cell>
          <cell r="X76" t="str">
            <v>Transport &amp; Logistics</v>
          </cell>
          <cell r="Y76" t="str">
            <v>Freight Service, Logistics, Packaging Services</v>
          </cell>
        </row>
        <row r="77">
          <cell r="A77" t="str">
            <v>Names &amp; Faces</v>
          </cell>
          <cell r="B77" t="str">
            <v>Names &amp; Faces creates tools to help organizations build fast, beautiful directories of their teams to help people orient themselves, feel more welcome and to encourage more real-life interactions</v>
          </cell>
          <cell r="C77" t="str">
            <v>Active</v>
          </cell>
          <cell r="D77">
            <v>2016</v>
          </cell>
          <cell r="G77" t="str">
            <v>South Africa</v>
          </cell>
          <cell r="X77" t="str">
            <v>Information Technology</v>
          </cell>
          <cell r="Y77" t="str">
            <v>Information Services, Information Technology, Software</v>
          </cell>
        </row>
        <row r="78">
          <cell r="A78" t="str">
            <v>WaystoCap</v>
          </cell>
          <cell r="B78" t="str">
            <v>WaystoCap is a B2B marketplace where businesses in Africa can buy and sell products.</v>
          </cell>
          <cell r="C78" t="str">
            <v>Active</v>
          </cell>
          <cell r="D78">
            <v>2014</v>
          </cell>
          <cell r="G78" t="str">
            <v>Morocco</v>
          </cell>
          <cell r="X78" t="str">
            <v>E-Commerce &amp; Retail</v>
          </cell>
          <cell r="Y78" t="str">
            <v>B2B, E-Commerce, E-Commerce Platforms</v>
          </cell>
        </row>
        <row r="79">
          <cell r="A79" t="str">
            <v>Coinafrique</v>
          </cell>
          <cell r="B79" t="str">
            <v>CoinAfrique is the first geolocalized mobile service of classified ads for French speaking Africa.</v>
          </cell>
          <cell r="C79" t="str">
            <v>Active</v>
          </cell>
          <cell r="D79">
            <v>2015</v>
          </cell>
          <cell r="G79" t="str">
            <v>Mauritius</v>
          </cell>
          <cell r="X79" t="str">
            <v>E-Commerce &amp; Retail</v>
          </cell>
          <cell r="Y79" t="str">
            <v>Mobile Marketplace</v>
          </cell>
        </row>
        <row r="80">
          <cell r="A80" t="str">
            <v>Little Cab</v>
          </cell>
          <cell r="B80" t="str">
            <v>Little integrates car transportation within Kenya onto a technology platform, ensuring convenient, transparent and quick service fulfillment for the customers and driver partners</v>
          </cell>
          <cell r="C80" t="str">
            <v>Active</v>
          </cell>
          <cell r="D80">
            <v>2016</v>
          </cell>
          <cell r="G80" t="str">
            <v>Kenya</v>
          </cell>
          <cell r="X80" t="str">
            <v>Transport &amp; Logistics</v>
          </cell>
          <cell r="Y80" t="str">
            <v>Taxi Hailing Platform, Taxi, Taxi App, Taxi Aggregator, App, transport logistic, Wallet, SOS, Rider, Driver, Africa, kenya, and Mobile App</v>
          </cell>
        </row>
        <row r="81">
          <cell r="A81" t="str">
            <v>Mydawa</v>
          </cell>
          <cell r="B81" t="str">
            <v>Mydawa mission is to deliver quality, affordable, products and experiences that enable our customers live positive, healthy, lifestyles.</v>
          </cell>
          <cell r="C81" t="str">
            <v>Active</v>
          </cell>
          <cell r="D81">
            <v>2015</v>
          </cell>
          <cell r="G81" t="str">
            <v>Kenya</v>
          </cell>
          <cell r="X81" t="str">
            <v>Healthcare &amp; Pharma</v>
          </cell>
          <cell r="Y81" t="str">
            <v>Apps, Mobile Apps, Wellness</v>
          </cell>
        </row>
        <row r="82">
          <cell r="A82" t="str">
            <v>Shortlist</v>
          </cell>
          <cell r="B82" t="str">
            <v>Shortlist works in India and East Africa to help growing enterprises hire based on skills and potential, rather than pedigree. The Shortlist platform screens candidates using predictive chat-based interviews and online competency-based assessments, letting employers skip the most time-consuming and bias-prone phases of hiring. Founded in 2016, over 80 companies including Ather Energy, M-KOPA, MicroEnsure, and Xynteo now partner with Shortlist to build high-performing teams.</v>
          </cell>
          <cell r="C82" t="str">
            <v>Active</v>
          </cell>
          <cell r="D82">
            <v>2016</v>
          </cell>
          <cell r="G82" t="str">
            <v>Kenya</v>
          </cell>
          <cell r="X82" t="str">
            <v>Recruitment</v>
          </cell>
          <cell r="Y82" t="str">
            <v>Recruiting, Talent, Hiring, Human Resources, Applicant Screening</v>
          </cell>
        </row>
        <row r="83">
          <cell r="A83" t="str">
            <v>Trade Depot</v>
          </cell>
          <cell r="B83" t="str">
            <v>TradeDepot is a mobile B2B trade platform that connects Retailers in Emerging Markets directly to Consumer Goods Brands for ordering and delivery. Unlike other more traditional route-to-market approaches, TradeDepot leverages a hyper-local marketplace to save Suppliers up to 25% of delivery logistics costs and provides millions of small retail outlets with reliable product supply at the best prices.</v>
          </cell>
          <cell r="C83" t="str">
            <v>Active</v>
          </cell>
          <cell r="D83">
            <v>2015</v>
          </cell>
          <cell r="G83" t="str">
            <v>Nigeria</v>
          </cell>
          <cell r="X83" t="str">
            <v>SaaS</v>
          </cell>
          <cell r="Y83" t="str">
            <v>Secondary Distribution, Trade Insights, Salesforce Automation, B2B, Consumer Goods</v>
          </cell>
        </row>
        <row r="84">
          <cell r="A84" t="str">
            <v xml:space="preserve">The Sun Exchange </v>
          </cell>
          <cell r="B84" t="str">
            <v xml:space="preserve">The Sun Exchange is peer-to-peer solar panel micro-leasing platform that allows anyone in the world to generate and sell electricity to business and communities in emerging markets. </v>
          </cell>
          <cell r="C84" t="str">
            <v>Active</v>
          </cell>
          <cell r="D84">
            <v>2015</v>
          </cell>
          <cell r="G84" t="str">
            <v>South Africa</v>
          </cell>
          <cell r="X84" t="str">
            <v>Financial Services</v>
          </cell>
          <cell r="Y84" t="str">
            <v>Solar Energy Project Financing, Solar Power, Blockchain, Internet of Things, Ethereum Smart Contracts, Bitcoin</v>
          </cell>
        </row>
        <row r="85">
          <cell r="A85" t="str">
            <v>Yumamia</v>
          </cell>
          <cell r="B85" t="str">
            <v>Yumamia is a virtual food delivery chain that offers affordable gourmet meals to busy professionals through on demand &amp; subscription plans</v>
          </cell>
          <cell r="C85" t="str">
            <v>Active</v>
          </cell>
          <cell r="D85">
            <v>2014</v>
          </cell>
          <cell r="G85" t="str">
            <v>Egypt</v>
          </cell>
          <cell r="X85" t="str">
            <v>E-Commerce &amp; Retail</v>
          </cell>
          <cell r="Y85" t="str">
            <v>Catering, Delivery, Food and Beverage, Food Delivery, Marketplace, Subscription Service</v>
          </cell>
        </row>
        <row r="86">
          <cell r="A86" t="str">
            <v>Sweepsouth</v>
          </cell>
          <cell r="B86" t="str">
            <v>We provide a convenient way to book home cleaning services online from a phone, tablet or computer, connecting clients to cleaners in minutes. By bringing technology into the process, we aim to modernise the domestic cleaning services industry. The idea for SweepSouth came in December 2013 when husband and wife team Alen Ribic and Aisha R. Pandor struggled to find a part-time domestic cleaner over the holidays. The aim was to make getting your home cleaned, at short notice, a hassle-free experience. SweepSouth currently operates in most areas of Cape Town, Johannesburg, Centurion and Pretoria and will be expanding into other regions soon.</v>
          </cell>
          <cell r="C86" t="str">
            <v>Active</v>
          </cell>
          <cell r="D86">
            <v>2014</v>
          </cell>
          <cell r="G86" t="str">
            <v>South Africa</v>
          </cell>
          <cell r="X86" t="str">
            <v>Commercial &amp; Professional Services</v>
          </cell>
          <cell r="Y86" t="str">
            <v>Home Improvement, Home Services, Internet</v>
          </cell>
        </row>
        <row r="87">
          <cell r="A87" t="str">
            <v>Eventtus</v>
          </cell>
          <cell r="B87" t="str">
            <v>Eventtus is an engagement platform for events and the leading event app provider in MENA. We create an interactive event app for attendees networking, sharing agenda updates, and speakers bios.</v>
          </cell>
          <cell r="C87" t="str">
            <v>Active</v>
          </cell>
          <cell r="D87">
            <v>2012</v>
          </cell>
          <cell r="G87" t="str">
            <v>Egypt</v>
          </cell>
          <cell r="X87" t="str">
            <v>Commercial &amp; Professional Services</v>
          </cell>
          <cell r="Y87" t="str">
            <v>Event Management, Event Apps, Conferences</v>
          </cell>
        </row>
        <row r="88">
          <cell r="A88" t="str">
            <v>Kukua</v>
          </cell>
          <cell r="B88" t="str">
            <v>Kukua is a startup company that leverages new media and technology to empower children to learn through magically engaging experiences. SEMA, our flagship product, is an adventure game in which our protagonist will be happy to help you.</v>
          </cell>
          <cell r="C88" t="str">
            <v>Active</v>
          </cell>
          <cell r="D88">
            <v>2014</v>
          </cell>
          <cell r="G88" t="str">
            <v>Kenya</v>
          </cell>
          <cell r="X88" t="str">
            <v>Education</v>
          </cell>
          <cell r="Y88" t="str">
            <v>Software, Media</v>
          </cell>
        </row>
        <row r="89">
          <cell r="A89" t="str">
            <v>Thisisme</v>
          </cell>
          <cell r="B89" t="str">
            <v>We bring trust into transactions through proprietary, true identification technology. We enable businesses to reduce fraud, automate KYC checks, improve on-boarding &amp; increase revenue while providing an on-demand, seamless customer experience.</v>
          </cell>
          <cell r="C89" t="str">
            <v>Active</v>
          </cell>
          <cell r="D89">
            <v>2014</v>
          </cell>
          <cell r="G89" t="str">
            <v>South Africa</v>
          </cell>
          <cell r="X89" t="str">
            <v>Information Technology</v>
          </cell>
          <cell r="Y89" t="str">
            <v>Cloud Computing, Identity Management, Information Services, Internet</v>
          </cell>
        </row>
        <row r="90">
          <cell r="A90" t="str">
            <v>Somaapps</v>
          </cell>
          <cell r="B90" t="str">
            <v>Somaapps Technologies is a solution-centric company with a mission to accelerate the advent of mobile software technologies, AI and IoT</v>
          </cell>
          <cell r="C90" t="str">
            <v>Active</v>
          </cell>
          <cell r="D90">
            <v>2016</v>
          </cell>
          <cell r="G90" t="str">
            <v>Tanzania</v>
          </cell>
          <cell r="X90" t="str">
            <v>Information Technology</v>
          </cell>
          <cell r="Y90" t="str">
            <v>Information Technology</v>
          </cell>
        </row>
        <row r="91">
          <cell r="A91" t="str">
            <v>Chipper Cash</v>
          </cell>
          <cell r="B91" t="str">
            <v>Chipper Cash offers instant cross-border mobile money transfers in Africa as easy as sending a text message</v>
          </cell>
          <cell r="C91" t="str">
            <v>Active</v>
          </cell>
          <cell r="D91">
            <v>2017</v>
          </cell>
          <cell r="G91" t="str">
            <v>United States</v>
          </cell>
          <cell r="X91" t="str">
            <v>Financial Services</v>
          </cell>
          <cell r="Y91" t="str">
            <v>Financial Services, Mobile Apps, Mobile Payments, Payments</v>
          </cell>
        </row>
        <row r="92">
          <cell r="A92" t="str">
            <v>Solarworks!</v>
          </cell>
          <cell r="B92" t="str">
            <v>SolarWorks! develops, manufactures and markets high quality solar solutions for lighting and low voltage (6-12V) electricity provision for occasions where there is no or limited access to electricity. Product development takes place in The Netherlands but our main markets are countries where access to electricity is unfortunately not part of daily life yet. Even though we are represented in a large part of the world our strongest presence is in Southern Africa with our commercial head quarters in Johannesburg.</v>
          </cell>
          <cell r="C92" t="str">
            <v>Active</v>
          </cell>
          <cell r="D92">
            <v>2007</v>
          </cell>
          <cell r="G92" t="str">
            <v>South Africa</v>
          </cell>
          <cell r="X92" t="str">
            <v>Energy &amp; Environment Resources</v>
          </cell>
          <cell r="Y92" t="str">
            <v>Solar products, Distribution in emerging markets, Product design, and After sales support</v>
          </cell>
        </row>
        <row r="93">
          <cell r="A93" t="str">
            <v>Sidai Africa Ltd</v>
          </cell>
          <cell r="B93" t="str">
            <v>Sidai Africa Ltd supplies crop and livestock services to farmers throughout Kenya with a unique ‘last-mile’ delivery service model which enables the company to reach some of the country’s most remote areas.</v>
          </cell>
          <cell r="C93" t="str">
            <v>Active</v>
          </cell>
          <cell r="D93">
            <v>2011</v>
          </cell>
          <cell r="G93" t="str">
            <v>Kenya</v>
          </cell>
          <cell r="X93" t="str">
            <v>Agriculture</v>
          </cell>
          <cell r="Y93" t="str">
            <v>Supplies, Agriculture</v>
          </cell>
        </row>
        <row r="94">
          <cell r="A94" t="str">
            <v>hearX Group</v>
          </cell>
          <cell r="B94" t="str">
            <v>The hearX Group offers the world's first clinical smartphone hearing test solutions. Our award-winning products are used in over 25 countries. Our aim is to impact on an individual, community and global level by creating sustainable, smart solutions for hearing health for everyone.</v>
          </cell>
          <cell r="C94" t="str">
            <v>Active</v>
          </cell>
          <cell r="D94">
            <v>2015</v>
          </cell>
          <cell r="G94" t="str">
            <v>South Africa</v>
          </cell>
          <cell r="X94" t="str">
            <v>Healthcare &amp; Pharma</v>
          </cell>
          <cell r="Y94" t="str">
            <v>Health Care, Software, Audiology, audiometry, mHealth, eHealth</v>
          </cell>
        </row>
        <row r="95">
          <cell r="A95" t="str">
            <v>Instabug</v>
          </cell>
          <cell r="B95" t="str">
            <v>Instabug is a platform for mobile developers that help them communicate with their users, collaborate with their teams and build better apps.</v>
          </cell>
          <cell r="C95" t="str">
            <v>Active</v>
          </cell>
          <cell r="D95">
            <v>2013</v>
          </cell>
          <cell r="G95" t="str">
            <v>Egypt</v>
          </cell>
          <cell r="X95" t="str">
            <v>Software</v>
          </cell>
          <cell r="Y95" t="str">
            <v>iOS, Mobile, Software</v>
          </cell>
        </row>
        <row r="96">
          <cell r="A96" t="str">
            <v>Farmcrowdy</v>
          </cell>
          <cell r="B96" t="str">
            <v>Farmcrowdy is Nigeria’s First Digital Agriculture Platform that empowers rural farmers by providing them with improved seeds, farm inputs, training on modern farming techniques and sales of their farm produce which gives them the capacity to farm more acres, and leads to increased food production and security in Africa.</v>
          </cell>
          <cell r="C96" t="str">
            <v>Active</v>
          </cell>
          <cell r="D96">
            <v>2016</v>
          </cell>
          <cell r="G96" t="str">
            <v>Nigeria</v>
          </cell>
          <cell r="X96" t="str">
            <v>Financial Services</v>
          </cell>
          <cell r="Y96" t="str">
            <v>Farming, Agriculture, Digital Farming, Technology Farming, Agtech</v>
          </cell>
        </row>
        <row r="97">
          <cell r="A97" t="str">
            <v>TheBoardroom Africa</v>
          </cell>
          <cell r="B97" t="str">
            <v>The Boardroom Africa (TBR Africa) promotes exceptional female talent to boards across the continent. We break down barriers to help organisations realize the benefits of increased diversity on boards. We’re accelerating the placement of female leaders by connecting peer-endorsed, board-ready women with CEOs and Board Executives across Africa and beyond.</v>
          </cell>
          <cell r="C97" t="str">
            <v>Active</v>
          </cell>
          <cell r="D97">
            <v>2016</v>
          </cell>
          <cell r="G97" t="str">
            <v>Mauritius</v>
          </cell>
          <cell r="X97" t="str">
            <v>Recruitment</v>
          </cell>
          <cell r="Y97" t="str">
            <v>Executive Search, Board Search, Diversity, Training, Gender Strategy, Recruitment</v>
          </cell>
        </row>
        <row r="98">
          <cell r="A98" t="str">
            <v>Elves</v>
          </cell>
          <cell r="B98" t="str">
            <v>Text a real person - they'll help find, book, buy, and deliver things for you, anywhere.</v>
          </cell>
          <cell r="C98" t="str">
            <v>Active</v>
          </cell>
          <cell r="D98">
            <v>2016</v>
          </cell>
          <cell r="G98" t="str">
            <v>Egypt</v>
          </cell>
          <cell r="X98" t="str">
            <v>E-Commerce &amp; Retail</v>
          </cell>
          <cell r="Y98" t="str">
            <v>Artificial Intelligence, Machine Learning, Messaging, Mobile, Travel, Virtual Assistant</v>
          </cell>
        </row>
        <row r="99">
          <cell r="A99" t="str">
            <v>Mondo Ride</v>
          </cell>
          <cell r="B99" t="str">
            <v>Mondo Ride is a smart taxi application that currently operates in Kenya. The application connects passengers with nearby drivers and ensures getting a ride within a short amount of time, as well as, guaranteeing safety and comfort for the passenger.</v>
          </cell>
          <cell r="C99" t="str">
            <v>Active</v>
          </cell>
          <cell r="D99">
            <v>2013</v>
          </cell>
          <cell r="G99" t="str">
            <v>Kenya</v>
          </cell>
          <cell r="X99" t="str">
            <v>Transport &amp; Logistics</v>
          </cell>
          <cell r="Y99" t="str">
            <v>Apps, Information Technology, Internet, Transportation, Ride Hailing</v>
          </cell>
        </row>
        <row r="100">
          <cell r="A100" t="str">
            <v xml:space="preserve">Pawame </v>
          </cell>
          <cell r="B100" t="str">
            <v>Pawame's mission is to provide energy access as a gateway to enhancing the quality of life of off-grid communities in Sub-Saharan Africa. Their solar home systems are capable of leapfrogging traditional power lines and offer an innovative, affordable rent-to-own, pay-as-you-go business model</v>
          </cell>
          <cell r="C100" t="str">
            <v>Active</v>
          </cell>
          <cell r="D100">
            <v>2016</v>
          </cell>
          <cell r="G100" t="str">
            <v>Kenya</v>
          </cell>
          <cell r="X100" t="str">
            <v>Energy &amp; Environment Resources</v>
          </cell>
          <cell r="Y100" t="str">
            <v>Energy, Environmental Engineering, Renewable Energy, Solar</v>
          </cell>
        </row>
        <row r="101">
          <cell r="A101" t="str">
            <v>Sokowatch</v>
          </cell>
          <cell r="B101" t="str">
            <v>Sokowatch offers on demand inventory distribution for small shops in informal urban areas. These small retailers are the backbone of African economies accounting for 90% of all consumer good transactions. The primary problem these retailers face is cost effective product availability. On demand orders are sent via toll free SMS/Calls or mobile app and then automatically assigned to a Sokowatch delivery agent covering the relevant area via small truck. Average delivery time is now three hours and profit is made from distribution agreements with manufacturers as well as the mark-up on products.</v>
          </cell>
          <cell r="C101" t="str">
            <v>Active</v>
          </cell>
          <cell r="D101">
            <v>2015</v>
          </cell>
          <cell r="G101" t="str">
            <v>Kenya</v>
          </cell>
          <cell r="X101" t="str">
            <v>Transport &amp; Logistics</v>
          </cell>
          <cell r="Y101" t="str">
            <v>Distribution, Data, Emerging Markets, Logistics, and E-Commerce</v>
          </cell>
        </row>
        <row r="102">
          <cell r="A102" t="str">
            <v>Travelbeta</v>
          </cell>
          <cell r="B102" t="str">
            <v>Nigeria's premium online travel agency providing flights to over 900 destinations and 300,000 hotels on their website</v>
          </cell>
          <cell r="C102" t="str">
            <v>Active</v>
          </cell>
          <cell r="D102">
            <v>2014</v>
          </cell>
          <cell r="G102" t="str">
            <v>Nigeria</v>
          </cell>
          <cell r="X102" t="str">
            <v>E-Commerce &amp; Retail</v>
          </cell>
          <cell r="Y102" t="str">
            <v>E-Commerce, Tourism, Travel</v>
          </cell>
        </row>
        <row r="103">
          <cell r="A103" t="str">
            <v>Hepstar</v>
          </cell>
          <cell r="B103" t="str">
            <v>Hepstar increases travel insurance sales in travel retail distribution channels through personalised and targeted customer engagement using its advanced e-merchandising technology.</v>
          </cell>
          <cell r="C103" t="str">
            <v>Active</v>
          </cell>
          <cell r="D103">
            <v>2013</v>
          </cell>
          <cell r="G103" t="str">
            <v>South Africa</v>
          </cell>
          <cell r="X103" t="str">
            <v>Financial Services</v>
          </cell>
          <cell r="Y103" t="str">
            <v>FinTech, Information Technology, Insurance, InsurTech, Travel</v>
          </cell>
        </row>
        <row r="104">
          <cell r="A104" t="str">
            <v>Nawah Scientific</v>
          </cell>
          <cell r="B104" t="str">
            <v>Nawah is a core hub of advanced equipment specialized in natural and medical sciences. Nawah's online platform receives experiments requests, Nawah's scientists carry them out and return results online</v>
          </cell>
          <cell r="C104" t="str">
            <v>Active</v>
          </cell>
          <cell r="D104">
            <v>2014</v>
          </cell>
          <cell r="G104" t="str">
            <v>Egypt</v>
          </cell>
          <cell r="X104" t="str">
            <v>Healthcare &amp; Pharma</v>
          </cell>
          <cell r="Y104" t="str">
            <v>Biopharma, Biotechnology, Life Science</v>
          </cell>
        </row>
        <row r="105">
          <cell r="A105" t="str">
            <v>TemTem</v>
          </cell>
          <cell r="B105" t="str">
            <v>With Tem Tem, order your private driver in Algiers and Oran in 1 click. tem: tem revolutionizes your travels: - races in the immediate future or in advance - competitive rates and differentiated according to the range of the vehicle - prices fixed in advance - drivers selected and trained to guarantee the quality of the service</v>
          </cell>
          <cell r="C105" t="str">
            <v>Active</v>
          </cell>
          <cell r="D105">
            <v>2017</v>
          </cell>
          <cell r="G105" t="str">
            <v>Algeria</v>
          </cell>
          <cell r="X105" t="str">
            <v>Transport &amp; Logistics</v>
          </cell>
          <cell r="Y105" t="str">
            <v>Information Services</v>
          </cell>
        </row>
        <row r="106">
          <cell r="A106" t="str">
            <v>Buzzkito</v>
          </cell>
          <cell r="B106" t="str">
            <v>Buzzkito Network is disrupting the Avertising Industry by being the first BRAND TECH company in the MENA region. They fuse technology and brand building to make our clients happy. They are a data and psychological driven.</v>
          </cell>
          <cell r="C106" t="str">
            <v>Active</v>
          </cell>
          <cell r="D106">
            <v>2006</v>
          </cell>
          <cell r="G106" t="str">
            <v>Morocco</v>
          </cell>
          <cell r="X106" t="str">
            <v>Media &amp; Entertainment</v>
          </cell>
          <cell r="Y106" t="str">
            <v>Advertising Platforms, Media and Entertainment, News, Psychology</v>
          </cell>
        </row>
        <row r="107">
          <cell r="A107" t="str">
            <v>Kopa Technologies</v>
          </cell>
          <cell r="B107" t="str">
            <v>Kopa Technologies is a travel &amp; technology based company</v>
          </cell>
          <cell r="C107" t="str">
            <v>Active</v>
          </cell>
          <cell r="D107">
            <v>2010</v>
          </cell>
          <cell r="G107" t="str">
            <v>Mauritius</v>
          </cell>
          <cell r="X107" t="str">
            <v>Travel &amp; Leisure</v>
          </cell>
          <cell r="Y107" t="str">
            <v>Android, B2B, B2C, Business Development, Digital Marketing, E-Commerce, E-Commerce Platforms, Enterprise Applications, Enterprise Software, Food Delivery, iOS, Marketplace, Mobile Apps, Product Design, Retail Technology, Social Media, Social Media Marketing, Software, Web Development</v>
          </cell>
        </row>
        <row r="108">
          <cell r="A108" t="str">
            <v>Enova Robotics</v>
          </cell>
          <cell r="B108" t="str">
            <v>Enova Robotics is a company specialized in robot design and manufacturing through combined expertise in software, hardware and perception.</v>
          </cell>
          <cell r="C108" t="str">
            <v>Active</v>
          </cell>
          <cell r="D108">
            <v>2014</v>
          </cell>
          <cell r="G108" t="str">
            <v>Tunisia</v>
          </cell>
          <cell r="X108" t="str">
            <v>Robotics</v>
          </cell>
          <cell r="Y108" t="str">
            <v>Industrial Engineering, Robotics</v>
          </cell>
        </row>
        <row r="109">
          <cell r="A109" t="str">
            <v>Inclusivity Solutions</v>
          </cell>
          <cell r="B109" t="str">
            <v>We design, build and operate digital insurance businesses in emerging markets</v>
          </cell>
          <cell r="C109" t="str">
            <v>Active</v>
          </cell>
          <cell r="D109">
            <v>2015</v>
          </cell>
          <cell r="G109" t="str">
            <v>South Africa</v>
          </cell>
          <cell r="X109" t="str">
            <v>Financial Services</v>
          </cell>
          <cell r="Y109" t="str">
            <v>Emerging Markets, FinTech, Insurance, InsurTech</v>
          </cell>
        </row>
        <row r="110">
          <cell r="A110" t="str">
            <v>Ousta</v>
          </cell>
          <cell r="B110" t="str">
            <v>OUSTA is a trusted network of limousine drivers/companies to help people move easier. OUSTA only relies on licensed and professional drivers to provide users with convenient, reliable, cost effective, and safe rides</v>
          </cell>
          <cell r="C110" t="str">
            <v>Active</v>
          </cell>
          <cell r="D110">
            <v>2016</v>
          </cell>
          <cell r="G110" t="str">
            <v>Egypt</v>
          </cell>
          <cell r="X110" t="str">
            <v>Transport &amp; Logistics</v>
          </cell>
          <cell r="Y110" t="str">
            <v>Railroad, Transportation, Travel</v>
          </cell>
        </row>
        <row r="111">
          <cell r="A111" t="str">
            <v>Elmenus</v>
          </cell>
          <cell r="B111" t="str">
            <v>Elmenus is a venture-backed food discovery startup based in Egypt that serves over 1 Million monthly users. We are building a platform that combines a social, visual and personalized experience to help people discover and order the food they will love.</v>
          </cell>
          <cell r="C111" t="str">
            <v>Active</v>
          </cell>
          <cell r="D111">
            <v>2011</v>
          </cell>
          <cell r="G111" t="str">
            <v>Egypt</v>
          </cell>
          <cell r="X111" t="str">
            <v>E-Commerce &amp; Retail</v>
          </cell>
          <cell r="Y111" t="str">
            <v>Ediscovery, Hospitality, Mobile, Restaurants, Food and Beverages</v>
          </cell>
        </row>
        <row r="112">
          <cell r="A112" t="str">
            <v>Medsaf</v>
          </cell>
          <cell r="B112" t="str">
            <v>Medsaf is making the process of buying and selling medication in Africa's complex health system easy and efficient. We get medications directly from leading local and foreign manufacturers, eliminating issues relating to quality control and ensuring fair pricing, and deliver these medications to hospitals, pharmacies, and clinics all over the country</v>
          </cell>
          <cell r="C112" t="str">
            <v>Active</v>
          </cell>
          <cell r="D112">
            <v>2017</v>
          </cell>
          <cell r="G112" t="str">
            <v>Nigeria</v>
          </cell>
          <cell r="X112" t="str">
            <v>Healthcare &amp; Pharma</v>
          </cell>
          <cell r="Y112" t="str">
            <v>Health Care, Pharmaceutical, SaaS</v>
          </cell>
        </row>
        <row r="113">
          <cell r="A113" t="str">
            <v>Flow</v>
          </cell>
          <cell r="B113" t="str">
            <v>Flow rewards great tenants. Get up to 20% of your rent back in rewards, every month. Have one app to manage your entire rental experience. Download the Flow app on iOS or Android today.</v>
          </cell>
          <cell r="C113" t="str">
            <v>Active</v>
          </cell>
          <cell r="D113">
            <v>2017</v>
          </cell>
          <cell r="G113" t="str">
            <v>South Africa</v>
          </cell>
          <cell r="X113" t="str">
            <v>Real Estate</v>
          </cell>
          <cell r="Y113" t="str">
            <v>Property, Tenant</v>
          </cell>
        </row>
        <row r="114">
          <cell r="A114" t="str">
            <v>Valr</v>
          </cell>
          <cell r="B114" t="str">
            <v>VALR bridges the gap between our traditional financial system and the new world of cryptocurrencies</v>
          </cell>
          <cell r="C114" t="str">
            <v>Active</v>
          </cell>
          <cell r="D114">
            <v>2018</v>
          </cell>
          <cell r="G114" t="str">
            <v>South Africa</v>
          </cell>
          <cell r="X114" t="str">
            <v>Financial Services</v>
          </cell>
          <cell r="Y114" t="str">
            <v>Bitcoin, Blockchain, Cryptocurrency, Ethereum, Trading Platform</v>
          </cell>
        </row>
        <row r="115">
          <cell r="A115" t="str">
            <v>Asaak</v>
          </cell>
          <cell r="B115" t="str">
            <v>At Asaak, our products are designed to meet people at their level. For some, that means having little to no credit history or savings. For others, that means having a thriving business. So we have developed a revolutionary, mobile-based system and coupled it with extraordinary customer service to offer financial products that anyone can access anywhere, without the hassle or judgement of traditional institutions.</v>
          </cell>
          <cell r="C115" t="str">
            <v>Active</v>
          </cell>
          <cell r="D115">
            <v>2016</v>
          </cell>
          <cell r="G115" t="str">
            <v>Uganda</v>
          </cell>
          <cell r="X115" t="str">
            <v>Financial Services</v>
          </cell>
          <cell r="Y115" t="str">
            <v>Big Data, Finance, Financial Services, Micro-Loans, Lending</v>
          </cell>
        </row>
        <row r="116">
          <cell r="A116" t="str">
            <v>Sky.Garden</v>
          </cell>
          <cell r="B116" t="str">
            <v>Sky.Garden is a mobile first SaaS eCommerce Platform for African retailers, delivering a stellar experience from product through guaranteed fulfilment. Sky.Garden gives back control to the individual retailer by allowing inventory control and immediate payment reconciliation in an automated platform, where local shipping and payment options come out-of-the-box and customer care is handled by the Sky.Garden framework.</v>
          </cell>
          <cell r="C116" t="str">
            <v>Active</v>
          </cell>
          <cell r="D116">
            <v>2015</v>
          </cell>
          <cell r="G116" t="str">
            <v>Kenya</v>
          </cell>
          <cell r="X116" t="str">
            <v>E-Commerce &amp; Retail</v>
          </cell>
          <cell r="Y116" t="str">
            <v>Internet, Marketplace, Mobile Payments, Trading Platform</v>
          </cell>
        </row>
        <row r="117">
          <cell r="A117" t="str">
            <v>PropertyPro Nigeria</v>
          </cell>
          <cell r="B117" t="str">
            <v>PropertyPro.ng is the leading real estate property centre platform in Nigeria. With a web-based platform for property rentals and sales, we provide users with the best property search experience both online and offline by connecting them with legitimate and verified real estate agents</v>
          </cell>
          <cell r="C117" t="str">
            <v>Active</v>
          </cell>
          <cell r="D117">
            <v>2013</v>
          </cell>
          <cell r="G117" t="str">
            <v>Nigeria</v>
          </cell>
          <cell r="X117" t="str">
            <v>Real Estate</v>
          </cell>
          <cell r="Y117" t="str">
            <v>E-Commerce, Internet, Real Estate</v>
          </cell>
        </row>
        <row r="118">
          <cell r="A118" t="str">
            <v>Getworth</v>
          </cell>
          <cell r="B118" t="str">
            <v>getWorth is an information driven business that helps people to buy and sell cars for what they are really worth. It is a smart and convenient alternative to the traditional way of doing things.</v>
          </cell>
          <cell r="C118" t="str">
            <v>Active</v>
          </cell>
          <cell r="D118">
            <v>2016</v>
          </cell>
          <cell r="G118" t="str">
            <v>South Africa</v>
          </cell>
          <cell r="X118" t="str">
            <v>E-Commerce &amp; Retail</v>
          </cell>
          <cell r="Y118" t="str">
            <v>Information Services, Sales, Social Media Marketing</v>
          </cell>
        </row>
        <row r="119">
          <cell r="A119" t="str">
            <v>Student Accommod8</v>
          </cell>
          <cell r="B119" t="str">
            <v>Student Accommod8 is Nigeria's first and only purpose built student accommodation brand</v>
          </cell>
          <cell r="C119" t="str">
            <v>Active</v>
          </cell>
          <cell r="D119">
            <v>2016</v>
          </cell>
          <cell r="G119" t="str">
            <v>Nigeria</v>
          </cell>
          <cell r="X119" t="str">
            <v>Education</v>
          </cell>
          <cell r="Y119" t="str">
            <v>Education</v>
          </cell>
        </row>
        <row r="120">
          <cell r="A120" t="str">
            <v>Centbee</v>
          </cell>
          <cell r="B120" t="str">
            <v>Centbee is a payment company specialising in merchant payments, cross-border remittances and other cryptocurrency related products. Founded in 2017 its stated goal is to "Bring Bitcoin to Africa"​.</v>
          </cell>
          <cell r="C120" t="str">
            <v>Active</v>
          </cell>
          <cell r="D120">
            <v>2017</v>
          </cell>
          <cell r="G120" t="str">
            <v>South Africa</v>
          </cell>
          <cell r="X120" t="str">
            <v>Financial Services</v>
          </cell>
          <cell r="Y120" t="str">
            <v>Bitcoin, Cryptocurrency, Payments</v>
          </cell>
        </row>
        <row r="121">
          <cell r="A121" t="str">
            <v>Mdaas Global</v>
          </cell>
          <cell r="B121" t="str">
            <v>MDaaS Global is building Africa's largest network of private diagnostic and primary care facilities, providing convenient, high-quality, and affordable care for the continent’s next billion.</v>
          </cell>
          <cell r="C121" t="str">
            <v>Active</v>
          </cell>
          <cell r="D121">
            <v>2016</v>
          </cell>
          <cell r="G121" t="str">
            <v>Nigeria</v>
          </cell>
          <cell r="X121" t="str">
            <v>Healthcare &amp; Pharma</v>
          </cell>
          <cell r="Y121" t="str">
            <v>Medical Equipment, Medical Equipment Maintenance &amp; Repair, Training, Medical Equipment Financing, Economic Development, Shipping and Logistics, Biomedical Training, Medical Diagnostics, and Primary Care</v>
          </cell>
        </row>
        <row r="122">
          <cell r="A122" t="str">
            <v>Jamii Africa</v>
          </cell>
          <cell r="B122" t="str">
            <v>Jamii, is a mobile micro-health insurance product for the low income and informal sector, commercially launched in June 2017 after pilots done in 2015 &amp; 2016. The service is provided through a mobile policy management platform which performs all the administration activities of the insurer and allows users to access affordable insurance via USSD and claims to process their claims through a device and a mobile application..</v>
          </cell>
          <cell r="C122" t="str">
            <v>Active</v>
          </cell>
          <cell r="D122">
            <v>2016</v>
          </cell>
          <cell r="G122" t="str">
            <v>Tanzania</v>
          </cell>
          <cell r="X122" t="str">
            <v>Financial Services</v>
          </cell>
          <cell r="Y122" t="str">
            <v>Health Insurance</v>
          </cell>
        </row>
        <row r="123">
          <cell r="A123" t="str">
            <v>Buycoins</v>
          </cell>
          <cell r="B123" t="str">
            <v>BuyCoins is a service provided by Bitkoin Africa which allows users to trade cryptocurrency instantly with no wait time. Through the BuyCoins app, users can buy/sell cryptocurrency directly from/to BuyCoins without the hassle of looking for traders to buy from or sell to.</v>
          </cell>
          <cell r="C123" t="str">
            <v>Active</v>
          </cell>
          <cell r="D123">
            <v>2017</v>
          </cell>
          <cell r="G123" t="str">
            <v>Nigeria</v>
          </cell>
          <cell r="X123" t="str">
            <v>Financial Services</v>
          </cell>
          <cell r="Y123" t="str">
            <v>Bitcoin, Cryptocurrency, Mobile Apps</v>
          </cell>
        </row>
        <row r="124">
          <cell r="A124" t="str">
            <v>Omg Digital</v>
          </cell>
          <cell r="B124" t="str">
            <v>We create the next gen digital media brands for African audiences. Our media properties include: OMGVoice and Bitnode</v>
          </cell>
          <cell r="C124" t="str">
            <v>Active</v>
          </cell>
          <cell r="D124">
            <v>2016</v>
          </cell>
          <cell r="G124" t="str">
            <v>Ghana</v>
          </cell>
          <cell r="X124" t="str">
            <v>Media &amp; Entertainment</v>
          </cell>
          <cell r="Y124" t="str">
            <v>Digital Marketing, Marketing, Social Media Management</v>
          </cell>
        </row>
        <row r="125">
          <cell r="A125" t="str">
            <v>Brantu</v>
          </cell>
          <cell r="B125" t="str">
            <v>BRANTU is an online platform that delivers new trends in fashion. We're young fashion enthusiasts looking forward to change the fashion scene in Egypt and the region.</v>
          </cell>
          <cell r="C125" t="str">
            <v>Active</v>
          </cell>
          <cell r="D125">
            <v>2016</v>
          </cell>
          <cell r="G125" t="str">
            <v>Egypt</v>
          </cell>
          <cell r="X125" t="str">
            <v>E-Commerce &amp; Retail</v>
          </cell>
          <cell r="Y125" t="str">
            <v>e-commerce, online shopping, and Fashion</v>
          </cell>
        </row>
        <row r="126">
          <cell r="A126" t="str">
            <v>Spacepointe</v>
          </cell>
          <cell r="B126" t="str">
            <v>SpacePointe is a global payments technology company that focuses on the digital transformation of both formal and informal sector in Africa</v>
          </cell>
          <cell r="C126" t="str">
            <v>Active</v>
          </cell>
          <cell r="D126">
            <v>2014</v>
          </cell>
          <cell r="G126" t="str">
            <v>Nigeria</v>
          </cell>
          <cell r="X126" t="str">
            <v>Financial Services</v>
          </cell>
          <cell r="Y126" t="str">
            <v>FinTech, Government, Retail, Retail Technology, Small and Medium Businesses</v>
          </cell>
        </row>
        <row r="127">
          <cell r="A127" t="str">
            <v>Flexclub</v>
          </cell>
          <cell r="B127" t="str">
            <v>FlexClub is a managed marketplace that simplifies investing in car rental fleets for the gig economy and transforms the experience for renters using gig platforms to earn money.</v>
          </cell>
          <cell r="C127" t="str">
            <v>Active</v>
          </cell>
          <cell r="D127">
            <v>2018</v>
          </cell>
          <cell r="G127" t="str">
            <v>South Africa</v>
          </cell>
          <cell r="X127" t="str">
            <v>Financial Services</v>
          </cell>
          <cell r="Y127" t="str">
            <v>FinTech, Fleet Management, Marketplace, Rental, Small and Medium Businesses</v>
          </cell>
        </row>
        <row r="128">
          <cell r="A128" t="str">
            <v>Livestock Trade Services</v>
          </cell>
          <cell r="B128" t="str">
            <v>Livestock Trade Services is focused on providing integrated end – to – end processing, quarantine and export of Livestock (small ruminants) in Africa.</v>
          </cell>
          <cell r="C128" t="str">
            <v>Active</v>
          </cell>
          <cell r="D128">
            <v>2005</v>
          </cell>
          <cell r="G128" t="str">
            <v>United Kingdom</v>
          </cell>
          <cell r="X128" t="str">
            <v>Agriculture</v>
          </cell>
          <cell r="Y128" t="str">
            <v>Agribusiness, Technical Support</v>
          </cell>
        </row>
        <row r="129">
          <cell r="A129" t="str">
            <v>Neopenda</v>
          </cell>
          <cell r="B129" t="str">
            <v>At Neopenda, we believe that the most vulnerable patient populations in the world deserve access to high quality health care. We’re a social enterprise startup passionate about improving newborn health in low-resource settings.</v>
          </cell>
          <cell r="C129" t="str">
            <v>Active</v>
          </cell>
          <cell r="D129">
            <v>2015</v>
          </cell>
          <cell r="G129" t="str">
            <v>Uganda</v>
          </cell>
          <cell r="X129" t="str">
            <v>Healthcare &amp; Pharma</v>
          </cell>
          <cell r="Y129" t="str">
            <v>Baby, Crowdfunding, Health Care, Medical Device, Wearables</v>
          </cell>
        </row>
        <row r="130">
          <cell r="A130" t="str">
            <v>AgroCenta</v>
          </cell>
          <cell r="B130" t="str">
            <v>AgroCenta is an online platform that connects all the stakeholders in the staple food value chain from smallholder farmers, partners, logistics suppliers, off-loaders to buyers under one umbrella for effective trading.</v>
          </cell>
          <cell r="C130" t="str">
            <v>Active</v>
          </cell>
          <cell r="D130">
            <v>2016</v>
          </cell>
          <cell r="G130" t="str">
            <v>Ghana</v>
          </cell>
          <cell r="X130" t="str">
            <v>Agriculture</v>
          </cell>
          <cell r="Y130" t="str">
            <v>Farmers Market, Logistics, Software</v>
          </cell>
        </row>
        <row r="131">
          <cell r="A131" t="str">
            <v>PiggyVest</v>
          </cell>
          <cell r="B131" t="str">
            <v>PiggyVest (formerly Piggybank) is a simple web app that helps individuals and businesses manage their finances effectively. You can choose to save little amounts daily, weekly or monthly automatically from your debit card towards a savings target.</v>
          </cell>
          <cell r="C131" t="str">
            <v>Active</v>
          </cell>
          <cell r="D131">
            <v>2016</v>
          </cell>
          <cell r="G131" t="str">
            <v>Nigeria</v>
          </cell>
          <cell r="X131" t="str">
            <v>Financial Services</v>
          </cell>
          <cell r="Y131" t="str">
            <v>Banking, Debit Cards, Finance, Financial Services, Fintech</v>
          </cell>
        </row>
        <row r="132">
          <cell r="A132" t="str">
            <v>Janngo</v>
          </cell>
          <cell r="B132" t="str">
            <v>Janngo builds, grows and invests in pan-African digital champions with proven business models and inclusive social impact. We build digital ecosystems in high growth sectors by providing business support and digital platforms allowing Small and Medium Enterprises (SMEs) to scale and contribute to the economic empowerment of youth and women through job creation and capacity building.</v>
          </cell>
          <cell r="C132" t="str">
            <v>Active</v>
          </cell>
          <cell r="D132">
            <v>2018</v>
          </cell>
          <cell r="G132" t="str">
            <v>Ivory Coast</v>
          </cell>
          <cell r="X132" t="str">
            <v>Marketing</v>
          </cell>
          <cell r="Y132" t="str">
            <v>Digital Marketing, Digital Media, Internet</v>
          </cell>
        </row>
        <row r="133">
          <cell r="A133" t="str">
            <v xml:space="preserve">Coindirect </v>
          </cell>
          <cell r="B133" t="str">
            <v>CoinDirect was founded in March 2014 as a software-as-a-service (SaaS) company who facilitates payments in Bitcoin. CoinDirect is different from other Bitcoin payment service providersin that we provide the matching of customers to products, invoicing, facilitating payment collection, and confirming the transaction all without ever having access to or holding any Bitcoin.</v>
          </cell>
          <cell r="C133" t="str">
            <v>Dead</v>
          </cell>
          <cell r="D133">
            <v>2017</v>
          </cell>
          <cell r="G133" t="str">
            <v>South Africa</v>
          </cell>
          <cell r="X133" t="str">
            <v>Financial Services</v>
          </cell>
          <cell r="Y133" t="str">
            <v>Blockchain, Cryptocurrency, E-Commerce, Internet, Payments</v>
          </cell>
        </row>
        <row r="134">
          <cell r="A134" t="str">
            <v>Alternative Circle</v>
          </cell>
          <cell r="B134" t="str">
            <v>Alternative Circle is channel for financial institutions who do not have the human capital or infrastructure to give micro loans to disburse micro loans to Shika customers.</v>
          </cell>
          <cell r="C134" t="str">
            <v>Active</v>
          </cell>
          <cell r="D134">
            <v>2016</v>
          </cell>
          <cell r="G134" t="str">
            <v>Kenya</v>
          </cell>
          <cell r="X134" t="str">
            <v>Financial Services</v>
          </cell>
          <cell r="Y134" t="str">
            <v>FinTech, Marketing, Lending, Micro-Loans</v>
          </cell>
        </row>
        <row r="135">
          <cell r="A135" t="str">
            <v>Safeboda</v>
          </cell>
          <cell r="B135" t="str">
            <v>SafeBoda is a rapidly growing consumer platform that is revolutionizing transportation, payments and on-demad services in Africa’s cities.</v>
          </cell>
          <cell r="C135" t="str">
            <v>Active</v>
          </cell>
          <cell r="D135">
            <v>2015</v>
          </cell>
          <cell r="G135" t="str">
            <v>Uganda</v>
          </cell>
          <cell r="X135" t="str">
            <v>Transport &amp; Logistics</v>
          </cell>
          <cell r="Y135" t="str">
            <v>Apps, Consumer, Transportation</v>
          </cell>
        </row>
        <row r="136">
          <cell r="A136" t="str">
            <v>Tugende</v>
          </cell>
          <cell r="B136" t="str">
            <v>At Tugende, we create opportunity through ownership. We’re a for-profit social enterprise in Uganda that helps safe, reliable motorcycle taxi (boda-boda) drivers buy their own motorcycles, giving them the means to control their own tools of employment and kick starting a path to financial independence.</v>
          </cell>
          <cell r="C136" t="str">
            <v>Active</v>
          </cell>
          <cell r="D136">
            <v>2012</v>
          </cell>
          <cell r="G136" t="str">
            <v>Uganda</v>
          </cell>
          <cell r="X136" t="str">
            <v>Financial Services</v>
          </cell>
          <cell r="Y136" t="str">
            <v>Car Sharing, Financial Services, Web Development, Asset Financing, Boda Boda</v>
          </cell>
        </row>
        <row r="137">
          <cell r="A137" t="str">
            <v>Afrikrea</v>
          </cell>
          <cell r="B137" t="str">
            <v>Afrikrea is a market place to discover, buy and sell african inspired items Fashion - Art - Handicraft.</v>
          </cell>
          <cell r="C137" t="str">
            <v>Active</v>
          </cell>
          <cell r="D137">
            <v>2012</v>
          </cell>
          <cell r="G137" t="str">
            <v>Ivory Coast</v>
          </cell>
          <cell r="X137" t="str">
            <v>E-Commerce &amp; Retail</v>
          </cell>
          <cell r="Y137" t="str">
            <v>Art, E-Commerce, Fashion, Handmade</v>
          </cell>
        </row>
        <row r="138">
          <cell r="A138" t="str">
            <v>Nomanini</v>
          </cell>
          <cell r="B138" t="str">
            <v>Nomanini provides banks, mobile networks and mobile money operators with merchant tools and management platforms to enable widespread and convenient access to VAS products, cash transfers, bill payments and bank transactions for people in informal markets.</v>
          </cell>
          <cell r="C138" t="str">
            <v>Active</v>
          </cell>
          <cell r="D138">
            <v>2011</v>
          </cell>
          <cell r="G138" t="str">
            <v>South Africa</v>
          </cell>
          <cell r="X138" t="str">
            <v>Financial Services</v>
          </cell>
          <cell r="Y138" t="str">
            <v>Mobile, Payments, Telecommunications</v>
          </cell>
        </row>
        <row r="139">
          <cell r="A139" t="str">
            <v>Rent To Own Africa</v>
          </cell>
          <cell r="B139" t="str">
            <v>Rent to Own is an impact-focused for-profit venture based in Zambia. RTO distributes and sells farm and small-business assets in rural areas with a package of financing and services that enables small-scale farmers and entrepreneurs to purchase and profit from income-generating equipment.</v>
          </cell>
          <cell r="C139" t="str">
            <v>Active</v>
          </cell>
          <cell r="D139">
            <v>2010</v>
          </cell>
          <cell r="G139" t="str">
            <v>Zambia</v>
          </cell>
          <cell r="X139" t="str">
            <v>Agriculture</v>
          </cell>
          <cell r="Y139" t="str">
            <v>Asset Financing, Pay As You Go Solar, Farm Machinery</v>
          </cell>
        </row>
        <row r="140">
          <cell r="A140" t="str">
            <v>Sensor Networks</v>
          </cell>
          <cell r="B140" t="str">
            <v>Sensor Networks helps insurance companies improve risk mitigation, enhance loss management and better engage with customers through smart sensors. We've created Sensor Desk, an Internet of Things (IoT) platform that controls and manages a range of internally developed and third-party-connected sensors. Our focus is to predict and prevent loss or damage insurance claims, improve operational efficiency and reduce costs for end users.</v>
          </cell>
          <cell r="C140" t="str">
            <v>Active</v>
          </cell>
          <cell r="D140">
            <v>2015</v>
          </cell>
          <cell r="G140" t="str">
            <v>South Africa</v>
          </cell>
          <cell r="X140" t="str">
            <v>Emerging Technologies</v>
          </cell>
          <cell r="Y140" t="str">
            <v>Internet, Internet of Things, Risk Management</v>
          </cell>
        </row>
        <row r="141">
          <cell r="A141" t="str">
            <v>Edfa3ly</v>
          </cell>
          <cell r="B141" t="str">
            <v>Edfa3ly is an e-commerce retailer that enables shoppers from the Middle East and Africa to order anything they please from U.S.</v>
          </cell>
          <cell r="C141" t="str">
            <v>Active</v>
          </cell>
          <cell r="D141">
            <v>2010</v>
          </cell>
          <cell r="G141" t="str">
            <v>Egypt</v>
          </cell>
          <cell r="X141" t="str">
            <v>E-Commerce &amp; Retail</v>
          </cell>
          <cell r="Y141" t="str">
            <v xml:space="preserve">Online trading, E-Shipping </v>
          </cell>
        </row>
        <row r="142">
          <cell r="A142" t="str">
            <v>La Reina</v>
          </cell>
          <cell r="B142" t="str">
            <v>We connect people and products – opening up a world of possibility. From wedding to evening and accessories – we give you access to a wide range of Designer dresses with a 10% off the retail price, your one night dress destination.</v>
          </cell>
          <cell r="C142" t="str">
            <v>Active</v>
          </cell>
          <cell r="D142">
            <v>2015</v>
          </cell>
          <cell r="G142" t="str">
            <v>Egypt</v>
          </cell>
          <cell r="X142" t="str">
            <v>E-Commerce &amp; Retail</v>
          </cell>
          <cell r="Y142" t="str">
            <v>Fashion, Jewelry, Marketplace, Retail, Wearables, Wedding</v>
          </cell>
        </row>
        <row r="143">
          <cell r="A143" t="str">
            <v>GreenPath Food</v>
          </cell>
          <cell r="B143" t="str">
            <v>GreenPath Food produces and sources premium, organic food in the Southern Highlands of Ethiopia.</v>
          </cell>
          <cell r="C143" t="str">
            <v>Active</v>
          </cell>
          <cell r="D143">
            <v>2014</v>
          </cell>
          <cell r="G143" t="str">
            <v>Ethiopia</v>
          </cell>
          <cell r="X143" t="str">
            <v>Agriculture</v>
          </cell>
          <cell r="Y143" t="str">
            <v>Agriculture, Artificial Intelligence, Biotechnology, Food and Beverage, Health Care</v>
          </cell>
        </row>
        <row r="144">
          <cell r="A144" t="str">
            <v>HelloSolar</v>
          </cell>
          <cell r="B144" t="str">
            <v>HelloSolar is the first Pay-as-you-Go solar energy provider to operate in Ethiopia. HelloSolar distributes solar home systems (SHS) to Ethiopian off-grid areas and communities suffering from an unreliable grid</v>
          </cell>
          <cell r="C144" t="str">
            <v>Active</v>
          </cell>
          <cell r="D144">
            <v>2018</v>
          </cell>
          <cell r="G144" t="str">
            <v>Ethiopia</v>
          </cell>
          <cell r="X144" t="str">
            <v>Energy &amp; Environment Resources</v>
          </cell>
          <cell r="Y144" t="str">
            <v>Renewables &amp; Environment</v>
          </cell>
        </row>
        <row r="145">
          <cell r="A145" t="str">
            <v>CDL</v>
          </cell>
          <cell r="B145" t="str">
            <v>CDL Warrior is connecting truck drivers and small fleets to the supply chain. They are doing this using the smartphones that truck drivers already own and building tools that help drivers, fleets and shippers improve productivity and communication</v>
          </cell>
          <cell r="C145" t="str">
            <v>Active</v>
          </cell>
          <cell r="D145">
            <v>2014</v>
          </cell>
          <cell r="G145" t="str">
            <v>Kenya</v>
          </cell>
          <cell r="X145" t="str">
            <v>Transport &amp; Logistics</v>
          </cell>
          <cell r="Y145" t="str">
            <v>Developer Tools, Information Technology, Logistics, Mobile</v>
          </cell>
        </row>
        <row r="146">
          <cell r="A146" t="str">
            <v>Rensource</v>
          </cell>
          <cell r="B146" t="str">
            <v>Rensource, a fast growing, Nigeria-based solar distribution company aims to provide a local solution to thecountry’s energy constraints. The company provides innovativesolar solutions and financing to consumers and SMEs in urban/peri-urban Nigeria – thereby bridging the wide electricity demand-grid supply gap. The company aims to replace individual fossil-fuel generators across Nigeria on a large scale using distributed solar assets and a scalable Power-as-a-Service (PaaS) model. Solar systems are installed at customers’ premises which are owned and maintained by Rensource for a monthly subscription fee.</v>
          </cell>
          <cell r="C146" t="str">
            <v>Active</v>
          </cell>
          <cell r="D146">
            <v>2015</v>
          </cell>
          <cell r="G146" t="str">
            <v>Nigeria</v>
          </cell>
          <cell r="X146" t="str">
            <v>Energy &amp; Environment Resources</v>
          </cell>
          <cell r="Y146" t="str">
            <v>Energy, PaaS, Renewable Energy</v>
          </cell>
        </row>
        <row r="147">
          <cell r="A147" t="str">
            <v>S&amp;T Media</v>
          </cell>
          <cell r="B147" t="str">
            <v>S&amp;T Media Ltd is a Young and Dynamic company specializing in out of home advertising. We offer companies the latest digital platforms to advertise their brands and reach their target demographics.</v>
          </cell>
          <cell r="C147" t="str">
            <v>Active</v>
          </cell>
          <cell r="D147">
            <v>2015</v>
          </cell>
          <cell r="G147" t="str">
            <v>Nigeria</v>
          </cell>
          <cell r="X147" t="str">
            <v>Media &amp; Entertainment</v>
          </cell>
          <cell r="Y147" t="str">
            <v>Advertising, Media, and Digital Platforms, Marketing</v>
          </cell>
        </row>
        <row r="148">
          <cell r="A148" t="str">
            <v>Talent2Africa</v>
          </cell>
          <cell r="B148" t="str">
            <v>Talent2Africa is the leading platform for hiring global African professionals whose objective is to bring talents from the diaspora and companies together</v>
          </cell>
          <cell r="C148" t="str">
            <v>Active</v>
          </cell>
          <cell r="D148">
            <v>2016</v>
          </cell>
          <cell r="G148" t="str">
            <v>Senegal</v>
          </cell>
          <cell r="X148" t="str">
            <v>Recruitment</v>
          </cell>
          <cell r="Y148" t="str">
            <v>Consulting, Human Resources, Social Recruiting</v>
          </cell>
        </row>
        <row r="149">
          <cell r="A149" t="str">
            <v>Augmentors</v>
          </cell>
          <cell r="B149" t="str">
            <v>Forged by the great powers of augmented reality and blockchain technologies, Augmentors puts you in control of fantastical creatures. Collect an army of powerful and rare creatures as you battle, train, buy and sell them. You, oh Heroic One, will become the greatest Augmentors player in the augmented reality world.</v>
          </cell>
          <cell r="C149" t="str">
            <v>Active</v>
          </cell>
          <cell r="D149">
            <v>2015</v>
          </cell>
          <cell r="G149" t="str">
            <v>South Africa</v>
          </cell>
          <cell r="X149" t="str">
            <v>Media &amp; Entertainment</v>
          </cell>
          <cell r="Y149" t="str">
            <v>Augmented Reality, Game Development, Blockchain Integration, DataBits</v>
          </cell>
        </row>
        <row r="150">
          <cell r="A150" t="str">
            <v>Snapnsave</v>
          </cell>
          <cell r="B150" t="str">
            <v>SNAPnSAVE is a shopping app that gives you cash back when you shop in-store. No paper coupons, no plastic cards and no loyalty points. Just real cash back on items that you buy everyday, leaving you with more to spend on the things you want. Ka ching!</v>
          </cell>
          <cell r="C150" t="str">
            <v>Active</v>
          </cell>
          <cell r="D150">
            <v>2015</v>
          </cell>
          <cell r="G150" t="str">
            <v>South Africa</v>
          </cell>
          <cell r="X150" t="str">
            <v>E-Commerce &amp; Retail</v>
          </cell>
          <cell r="Y150" t="str">
            <v>Apps, Marketing, Shopping</v>
          </cell>
        </row>
        <row r="151">
          <cell r="A151" t="str">
            <v>AfricaSokoni</v>
          </cell>
          <cell r="B151" t="str">
            <v>AfricaSokoni Ltd is an e-commerce company bringing African consumers and retailers together by leveraging the power of the internet</v>
          </cell>
          <cell r="C151" t="str">
            <v>Active</v>
          </cell>
          <cell r="D151">
            <v>2017</v>
          </cell>
          <cell r="G151" t="str">
            <v>Kenya</v>
          </cell>
          <cell r="X151" t="str">
            <v>E-Commerce &amp; Retail</v>
          </cell>
          <cell r="Y151" t="str">
            <v>Consumer, E-Commerce, Internet, Retail, Marketplace</v>
          </cell>
        </row>
        <row r="152">
          <cell r="A152" t="str">
            <v>Tastemakers Africa</v>
          </cell>
          <cell r="B152" t="str">
            <v>Tastemakers connects travelers to vetted local insiders in African cities.. We focus on helping millennials looking to see Africa beyond safaris find authentic experiences hosted by creatives and entrepreneurs.</v>
          </cell>
          <cell r="C152" t="str">
            <v>Active</v>
          </cell>
          <cell r="D152">
            <v>2014</v>
          </cell>
          <cell r="G152" t="str">
            <v>South Africa</v>
          </cell>
          <cell r="X152" t="str">
            <v>Travel &amp; Leisure</v>
          </cell>
          <cell r="Y152" t="str">
            <v>Marketplace, Travel</v>
          </cell>
        </row>
        <row r="153">
          <cell r="A153" t="str">
            <v>Shezlong</v>
          </cell>
          <cell r="B153" t="str">
            <v>The first online mental health Practice in MENA , allowing patients to connect licensed therapists via Video or text Visit via mobile or web.</v>
          </cell>
          <cell r="C153" t="str">
            <v>Active</v>
          </cell>
          <cell r="D153">
            <v>2015</v>
          </cell>
          <cell r="G153" t="str">
            <v>Egypt</v>
          </cell>
          <cell r="X153" t="str">
            <v>Healthcare &amp; Pharma</v>
          </cell>
          <cell r="Y153" t="str">
            <v>Health Care, Medical, mHealth</v>
          </cell>
        </row>
        <row r="154">
          <cell r="A154" t="str">
            <v>Digsconnect</v>
          </cell>
          <cell r="B154" t="str">
            <v>DigsConnect is the largest student accommodation marketplace in South Africa. They have connected hundreds of landlords with student tenants, and students with digs mates.Their vision is to create a self sustaining community of people listing and finding safe accommodation options close to places of learning, and a place where lifelong friendships are made.</v>
          </cell>
          <cell r="C154" t="str">
            <v>Active</v>
          </cell>
          <cell r="D154">
            <v>2017</v>
          </cell>
          <cell r="G154" t="str">
            <v>South Africa</v>
          </cell>
          <cell r="X154" t="str">
            <v>Information Technology</v>
          </cell>
          <cell r="Y154" t="str">
            <v>Marketplace</v>
          </cell>
        </row>
        <row r="155">
          <cell r="A155" t="str">
            <v>Brimore</v>
          </cell>
          <cell r="B155" t="str">
            <v>Brimore is a technology-powered retail distribution platform that allows manufacturers direct access to local communities who can both promote and consume their products</v>
          </cell>
          <cell r="C155" t="str">
            <v>Active</v>
          </cell>
          <cell r="D155">
            <v>2017</v>
          </cell>
          <cell r="G155" t="str">
            <v>Egypt</v>
          </cell>
          <cell r="X155" t="str">
            <v>Transport &amp; Logistics</v>
          </cell>
          <cell r="Y155" t="str">
            <v>Manufacturing</v>
          </cell>
        </row>
        <row r="156">
          <cell r="A156" t="str">
            <v>MerQ Artificial Intelligence</v>
          </cell>
          <cell r="B156" t="str">
            <v>MerQ is an Artificial intelligence startup specialized in developing cognitive chatbots in the form of virtual assistants. MerQ aims to make these virtual assistants support audience 24/7, answer their inquiries, reduce cost and save people's time</v>
          </cell>
          <cell r="C156" t="str">
            <v>Active</v>
          </cell>
          <cell r="D156">
            <v>2018</v>
          </cell>
          <cell r="G156" t="str">
            <v>Egypt</v>
          </cell>
          <cell r="X156" t="str">
            <v>Information Technology</v>
          </cell>
          <cell r="Y156" t="str">
            <v>Artificial Intelligence</v>
          </cell>
        </row>
        <row r="157">
          <cell r="A157" t="str">
            <v xml:space="preserve">Revix </v>
          </cell>
          <cell r="B157" t="str">
            <v>Revix is an intelligent investment management platform which allows anyone, anywhere to create a diversified portfolio or "Bundle"​ of the world's top cryptocurrencies. Our Bundle Technology means that investor's Bundles are automatically rebalanced every month to ensure that they remain up to date with the fast-changing market</v>
          </cell>
          <cell r="C157" t="str">
            <v>Active</v>
          </cell>
          <cell r="D157">
            <v>2018</v>
          </cell>
          <cell r="G157" t="str">
            <v>South Africa</v>
          </cell>
          <cell r="X157" t="str">
            <v>Financial Services</v>
          </cell>
          <cell r="Y157" t="str">
            <v>Cryptocurrency, Information Technology, Software</v>
          </cell>
        </row>
        <row r="158">
          <cell r="A158" t="str">
            <v>Goodsmart</v>
          </cell>
          <cell r="B158" t="str">
            <v>GoodsMart is a premium household shopping app that revamped the hectic grocery shopping process and transformed it into an effortless experience.</v>
          </cell>
          <cell r="C158" t="str">
            <v>Active</v>
          </cell>
          <cell r="D158">
            <v>2013</v>
          </cell>
          <cell r="G158" t="str">
            <v>Egypt</v>
          </cell>
          <cell r="X158" t="str">
            <v>E-Commerce &amp; Retail</v>
          </cell>
          <cell r="Y158" t="str">
            <v>Apps, Delivery Service, Shopping</v>
          </cell>
        </row>
        <row r="159">
          <cell r="A159" t="str">
            <v>OkHi</v>
          </cell>
          <cell r="B159" t="str">
            <v>A physical addressing platform for emerging markets – on a mission to enable the billions without a physical address to “be included</v>
          </cell>
          <cell r="C159" t="str">
            <v>Active</v>
          </cell>
          <cell r="D159">
            <v>2014</v>
          </cell>
          <cell r="G159" t="str">
            <v>Kenya</v>
          </cell>
          <cell r="X159" t="str">
            <v>Transport &amp; Logistics</v>
          </cell>
          <cell r="Y159" t="str">
            <v>Apps, Logistics, Supply Chain Management</v>
          </cell>
        </row>
        <row r="160">
          <cell r="A160" t="str">
            <v>OneFi</v>
          </cell>
          <cell r="B160" t="str">
            <v>OneFi provides small loans quickly to the financially underserved mass retail segment, via their mobile app "Paylater</v>
          </cell>
          <cell r="C160" t="str">
            <v>Active</v>
          </cell>
          <cell r="D160">
            <v>2012</v>
          </cell>
          <cell r="G160" t="str">
            <v>Nigeria</v>
          </cell>
          <cell r="X160" t="str">
            <v>Financial Services</v>
          </cell>
          <cell r="Y160" t="str">
            <v>Consumer Lending, FinTech</v>
          </cell>
        </row>
        <row r="161">
          <cell r="A161" t="str">
            <v>Africa Incubator</v>
          </cell>
          <cell r="B161" t="str">
            <v>Afri-inc (Africa Incubator Ltd.) is an ICT company with extensive experience in mobile application development, and technology strategy. Headquarter and Development Centre in Tokyo, Japan. Branches in Kenya, Uganda and Nigeria.</v>
          </cell>
          <cell r="C161" t="str">
            <v>Active</v>
          </cell>
          <cell r="D161">
            <v>2015</v>
          </cell>
          <cell r="G161" t="str">
            <v>Kenya</v>
          </cell>
          <cell r="X161" t="str">
            <v>Information Technology</v>
          </cell>
          <cell r="Y161" t="str">
            <v>Information Technology</v>
          </cell>
        </row>
        <row r="162">
          <cell r="A162" t="str">
            <v>Mettlestate</v>
          </cell>
          <cell r="B162" t="str">
            <v>Mettlestate is a premium esports authority in South Africa aiming to be the leader in content creation by combining outstanding production, excellent talent and lively events to cultivate more interest in the competitive gaming industry as well as compliment the casual video gaming scene</v>
          </cell>
          <cell r="C162" t="str">
            <v>Active</v>
          </cell>
          <cell r="D162">
            <v>2016</v>
          </cell>
          <cell r="G162" t="str">
            <v>South Africa</v>
          </cell>
          <cell r="X162" t="str">
            <v>Media &amp; Entertainment</v>
          </cell>
          <cell r="Y162" t="str">
            <v>eSports</v>
          </cell>
        </row>
        <row r="163">
          <cell r="A163" t="str">
            <v>Ozow</v>
          </cell>
          <cell r="B163" t="str">
            <v>Ozow is the easy, fast and trusted way to pay online. Formerly known as i-Pay, Ozow is the same secure platform with a fresh new look.</v>
          </cell>
          <cell r="C163" t="str">
            <v>Active</v>
          </cell>
          <cell r="D163">
            <v>2014</v>
          </cell>
          <cell r="G163" t="str">
            <v>South Africa</v>
          </cell>
          <cell r="X163" t="str">
            <v>Financial Services</v>
          </cell>
          <cell r="Y163" t="str">
            <v>Instant EFT Payments</v>
          </cell>
        </row>
        <row r="164">
          <cell r="A164" t="str">
            <v>Naiste</v>
          </cell>
          <cell r="B164" t="str">
            <v>Naiste (Pty) Ltd is a dual-gender, luxury lifestyle brand</v>
          </cell>
          <cell r="C164" t="str">
            <v>Active</v>
          </cell>
          <cell r="D164">
            <v>2019</v>
          </cell>
          <cell r="G164" t="str">
            <v>South Africa</v>
          </cell>
          <cell r="X164" t="str">
            <v>E-Commerce &amp; Retail</v>
          </cell>
          <cell r="Y164" t="str">
            <v>Retail</v>
          </cell>
        </row>
        <row r="165">
          <cell r="A165" t="str">
            <v>Fakahany</v>
          </cell>
          <cell r="B165" t="str">
            <v>Fakahany provides you with your daily needs of fresh quality fruits and vegetables at the comfort of your doorstep.</v>
          </cell>
          <cell r="C165" t="str">
            <v>Active</v>
          </cell>
          <cell r="D165">
            <v>2017</v>
          </cell>
          <cell r="G165" t="str">
            <v>Egypt</v>
          </cell>
          <cell r="X165" t="str">
            <v>E-Commerce &amp; Retail</v>
          </cell>
          <cell r="Y165" t="str">
            <v>Food and Beverage</v>
          </cell>
        </row>
        <row r="166">
          <cell r="A166" t="str">
            <v>Teliman</v>
          </cell>
          <cell r="B166" t="str">
            <v>Launched in May 2018 by young Malian entrepreneurs, Teliman is the first ever on-demand motorcycle taxi service in Bamako.</v>
          </cell>
          <cell r="C166" t="str">
            <v>Active</v>
          </cell>
          <cell r="D166">
            <v>2018</v>
          </cell>
          <cell r="G166" t="str">
            <v>Mali</v>
          </cell>
          <cell r="X166" t="str">
            <v>Transport &amp; Logistics</v>
          </cell>
          <cell r="Y166" t="str">
            <v>Bikes, Ride hailing, Apps, Logistics</v>
          </cell>
        </row>
        <row r="167">
          <cell r="A167" t="str">
            <v>Fastvan</v>
          </cell>
          <cell r="B167" t="str">
            <v>Fastvan is a global white label transportation management platform, it helps companies optimize and automate all the transportation functions (orders management, sourcing carriers, planning, optimizing and execution, settlement, visibility and reporting) and in doing so it helps companies reduce their transportation costs through optimization, it helps them gain greater visibility and achieve customer satisfaction by managing their own deliveries, it helps them improve their process efficiencies by automating core function and it helps them expand in a global basis as they take their product to new markets or source suppliers in new parts of the world.</v>
          </cell>
          <cell r="C167" t="str">
            <v>Active</v>
          </cell>
          <cell r="D167">
            <v>2015</v>
          </cell>
          <cell r="G167" t="str">
            <v>South Africa</v>
          </cell>
          <cell r="X167" t="str">
            <v>Transport &amp; Logistics</v>
          </cell>
          <cell r="Y167" t="str">
            <v>Collaborative Consumption, Logistics, Shipping</v>
          </cell>
        </row>
        <row r="168">
          <cell r="A168" t="str">
            <v xml:space="preserve">Kamtar </v>
          </cell>
          <cell r="B168" t="str">
            <v>Kamtar is an online platform for transporting goods in West Africa. It connects verified drivers and their trucks with customers. Transport is a real pain in Africa, and Kamtar's mission is to finally make it easy</v>
          </cell>
          <cell r="C168" t="str">
            <v>Active</v>
          </cell>
          <cell r="D168">
            <v>2018</v>
          </cell>
          <cell r="G168" t="str">
            <v>Ivory Coast</v>
          </cell>
          <cell r="X168" t="str">
            <v>Transport &amp; Logistics</v>
          </cell>
          <cell r="Y168" t="str">
            <v>E-Commerce, Internet, Transportation</v>
          </cell>
        </row>
        <row r="169">
          <cell r="A169" t="str">
            <v>Investsure</v>
          </cell>
          <cell r="B169" t="str">
            <v>InvestSure is a technology company that uses its software to enable partner investment platforms to sell its unique Investment Indemnity (insurance) product to their clients. InvestSure provides a full set of APIs that trading platform developers can use to integrate the Investure Investment Indemnity product seamlessly and easily into their websites and mobile applications. Once InvestSure technology is added to a trading platform, it enables users to buy insurance on their shares with a single click. The full process from buying to insurance to settling claims is fully automated.</v>
          </cell>
          <cell r="C169" t="str">
            <v>Active</v>
          </cell>
          <cell r="D169">
            <v>2015</v>
          </cell>
          <cell r="G169" t="str">
            <v>South Africa</v>
          </cell>
          <cell r="X169" t="str">
            <v>Financial Services</v>
          </cell>
          <cell r="Y169" t="str">
            <v>Fin Tech, Insur Tech</v>
          </cell>
        </row>
        <row r="170">
          <cell r="A170" t="str">
            <v>Custos Media Technologies</v>
          </cell>
          <cell r="B170" t="str">
            <v>We use imperceptible watermarking technology and the Bitcoin blockchain to protect digital media files from online piracy.</v>
          </cell>
          <cell r="C170" t="str">
            <v>Active</v>
          </cell>
          <cell r="D170">
            <v>2014</v>
          </cell>
          <cell r="G170" t="str">
            <v>South Africa</v>
          </cell>
          <cell r="X170" t="str">
            <v>Security</v>
          </cell>
          <cell r="Y170" t="str">
            <v>Digital Watermarking, Content Protection, Blockchain</v>
          </cell>
        </row>
        <row r="171">
          <cell r="A171" t="str">
            <v>Med.Tn</v>
          </cell>
          <cell r="B171" t="str">
            <v>Med.tn is an innovative platform that allows you to quickly find a doctor closest to you and make an appointment online for free. Med.tn allows you to ask your questions online directly to physicians respecting the terms of confidentiality.</v>
          </cell>
          <cell r="C171" t="str">
            <v>Active</v>
          </cell>
          <cell r="D171">
            <v>2016</v>
          </cell>
          <cell r="G171" t="str">
            <v>Tunisia</v>
          </cell>
          <cell r="X171" t="str">
            <v>Healthcare &amp; Pharma</v>
          </cell>
          <cell r="Y171" t="str">
            <v>Health Services, Information Technology</v>
          </cell>
        </row>
        <row r="172">
          <cell r="A172" t="str">
            <v>SmartBlade</v>
          </cell>
          <cell r="B172" t="str">
            <v>SmartBlade offers a cost effective, novel and practical solution to the management of a difficult airway.SmartBlade has harnessed advanced smartphone application technology and cohesively linked it with video laryngoscopy in a sleek design, simplified by cutting edge biomedical engineering</v>
          </cell>
          <cell r="C172" t="str">
            <v>Active</v>
          </cell>
          <cell r="D172">
            <v>2016</v>
          </cell>
          <cell r="G172" t="str">
            <v>South Africa</v>
          </cell>
          <cell r="X172" t="str">
            <v>Healthcare &amp; Pharma</v>
          </cell>
          <cell r="Y172" t="str">
            <v>Apps, Hospital, Video</v>
          </cell>
        </row>
        <row r="173">
          <cell r="A173" t="str">
            <v>Tulaa</v>
          </cell>
          <cell r="B173" t="str">
            <v>Tulaa, Esoko's new mobile commerce business, enables farmers to access inputs, finance, information and markets in a virtual marketplace. Incubated inside of Esoko and launched in Ghana in 2016, the solution uses mobile technology and mobile money to enable farmers to save and borrow to purchase inputs, receive tailored agronomic advice, and market their crops at harvest time.</v>
          </cell>
          <cell r="C173" t="str">
            <v>Active</v>
          </cell>
          <cell r="D173">
            <v>2016</v>
          </cell>
          <cell r="G173" t="str">
            <v>Kenya</v>
          </cell>
          <cell r="X173" t="str">
            <v>Financial Services</v>
          </cell>
          <cell r="Y173" t="str">
            <v>AgTech, FinTech, agribusiness</v>
          </cell>
        </row>
        <row r="174">
          <cell r="A174" t="str">
            <v>Thrive Agric</v>
          </cell>
          <cell r="B174" t="str">
            <v>Thrive Agric is an agricultural technology company that provides farmers with best agricultural practices, funds to farm and access to premium market. People and organizations who provide these funds get to monitor the farming process virtually and share in the profit after the farm cycle. visit www.thriveagri.com for more information.</v>
          </cell>
          <cell r="C174" t="str">
            <v>Active</v>
          </cell>
          <cell r="D174">
            <v>2016</v>
          </cell>
          <cell r="G174" t="str">
            <v>Nigeria</v>
          </cell>
          <cell r="X174" t="str">
            <v>Agriculture</v>
          </cell>
          <cell r="Y174" t="str">
            <v>Agriculture, AgTech, Information Technology</v>
          </cell>
        </row>
        <row r="175">
          <cell r="A175" t="str">
            <v>Icommunity</v>
          </cell>
          <cell r="B175" t="str">
            <v>Community is a community management platform that engages residents in a close gated community while supporting their needs. It is a direct communication tool for neighbors, their home owner association and the community management.</v>
          </cell>
          <cell r="C175" t="str">
            <v>Active</v>
          </cell>
          <cell r="D175">
            <v>2016</v>
          </cell>
          <cell r="G175" t="str">
            <v>Egypt</v>
          </cell>
          <cell r="X175" t="str">
            <v>Media &amp; Entertainment</v>
          </cell>
          <cell r="Y175" t="str">
            <v>Community Builder, Communication Platform, Facility Management, Security Management Solution</v>
          </cell>
        </row>
        <row r="176">
          <cell r="A176" t="str">
            <v>Trella</v>
          </cell>
          <cell r="B176" t="str">
            <v>Trella is a technology platform that connects shippers to carriers. Trella empowers drivers, improves their efficiency, boosts their earnings and utilization as well as provide job opportunities. Trella also works to reduce costs for shippers, introduce a transparent pricing structure, provide them with a more reliable source of carriers while allowing them to track their shipments in real-time as well as report key insights on their transportation trends and performance.</v>
          </cell>
          <cell r="C176" t="str">
            <v>Active</v>
          </cell>
          <cell r="D176">
            <v>2018</v>
          </cell>
          <cell r="G176" t="str">
            <v>Egypt</v>
          </cell>
          <cell r="X176" t="str">
            <v>Transport &amp; Logistics</v>
          </cell>
          <cell r="Y176" t="str">
            <v>Shipping, Transportation, Freight</v>
          </cell>
        </row>
        <row r="177">
          <cell r="A177" t="str">
            <v>Polysmart</v>
          </cell>
          <cell r="B177" t="str">
            <v>Promotion of the development of video games in Africa and Tunisia especially.</v>
          </cell>
          <cell r="C177" t="str">
            <v>Active</v>
          </cell>
          <cell r="D177">
            <v>2015</v>
          </cell>
          <cell r="G177" t="str">
            <v>Tunisia</v>
          </cell>
          <cell r="X177" t="str">
            <v>Media &amp; Entertainment</v>
          </cell>
          <cell r="Y177" t="str">
            <v>Video Games, Graphic Designs</v>
          </cell>
        </row>
        <row r="178">
          <cell r="A178" t="str">
            <v>Zonful Energy</v>
          </cell>
          <cell r="B178" t="str">
            <v>Zonful Energy is a provider of turnkey off-grid PV systems on a Pay As You Go business model.</v>
          </cell>
          <cell r="C178" t="str">
            <v>Active</v>
          </cell>
          <cell r="D178">
            <v>2013</v>
          </cell>
          <cell r="G178" t="str">
            <v>Zimbabwe</v>
          </cell>
          <cell r="X178" t="str">
            <v>Energy &amp; Environment Resources</v>
          </cell>
          <cell r="Y178" t="str">
            <v>Clean Energy, Energy, Solar</v>
          </cell>
        </row>
        <row r="179">
          <cell r="A179" t="str">
            <v>Delvv.Io</v>
          </cell>
          <cell r="B179" t="str">
            <v>We are delvv.io, an innovative research platform that allows brands around the world to get feedback from Creative Professionals.</v>
          </cell>
          <cell r="C179" t="str">
            <v>Active</v>
          </cell>
          <cell r="D179">
            <v>2016</v>
          </cell>
          <cell r="G179" t="str">
            <v>South Africa</v>
          </cell>
          <cell r="X179" t="str">
            <v>Media &amp; Entertainment</v>
          </cell>
          <cell r="Y179" t="str">
            <v>Advertising, Information Technology, Product Research</v>
          </cell>
        </row>
        <row r="180">
          <cell r="A180" t="str">
            <v>Ampersand Electric Motorcycles</v>
          </cell>
          <cell r="B180" t="str">
            <v>Ampersand makes better, cheaper, more powerful motorcycles for the millions of motorcycle taxis in East Africa. And they're electric.</v>
          </cell>
          <cell r="C180" t="str">
            <v>Active</v>
          </cell>
          <cell r="D180">
            <v>2014</v>
          </cell>
          <cell r="G180" t="str">
            <v>Rwanda</v>
          </cell>
          <cell r="X180" t="str">
            <v>Automotive</v>
          </cell>
          <cell r="Y180" t="str">
            <v>Automotive, Electric Vehicle, Emerging Markets, Transportation</v>
          </cell>
        </row>
        <row r="181">
          <cell r="A181" t="str">
            <v>Finchatbot</v>
          </cell>
          <cell r="B181" t="str">
            <v>We are developing chat bots to help financial service providers acquire &amp; retain customers thanks to AI-powered conversations</v>
          </cell>
          <cell r="C181" t="str">
            <v>Active</v>
          </cell>
          <cell r="D181">
            <v>2016</v>
          </cell>
          <cell r="G181" t="str">
            <v>South Africa</v>
          </cell>
          <cell r="X181" t="str">
            <v>Financial Services</v>
          </cell>
          <cell r="Y181" t="str">
            <v>Machine learning, Artificial Intelligence, Chat bot, FinTech</v>
          </cell>
        </row>
        <row r="182">
          <cell r="A182" t="str">
            <v>Africa Delivery Technologies Ltd</v>
          </cell>
          <cell r="B182" t="str">
            <v>Aiming to become a key participant in the structuration, facilitation and growth of e-commerce in Sub-Saharan Africa</v>
          </cell>
          <cell r="C182" t="str">
            <v>Active</v>
          </cell>
          <cell r="D182">
            <v>2018</v>
          </cell>
          <cell r="G182" t="str">
            <v>Nigeria</v>
          </cell>
          <cell r="X182" t="str">
            <v>Transport &amp; Logistics</v>
          </cell>
          <cell r="Y182" t="str">
            <v>Delivery Services, Location Based Services, Logistics</v>
          </cell>
        </row>
        <row r="183">
          <cell r="A183" t="str">
            <v>Pezesha</v>
          </cell>
          <cell r="B183" t="str">
            <v>Pezesha is a Peer-to-Peer micro lending Marketplace that connects lenders with high quality underserved low income borrowers. Pezesha exists to give choice, inclusion and affordable digital financial services to low-income borrowers in Africa to bring freedom, equality and hope to them and their communities to be part of the formal financial system.</v>
          </cell>
          <cell r="C183" t="str">
            <v>Active</v>
          </cell>
          <cell r="D183">
            <v>2016</v>
          </cell>
          <cell r="G183" t="str">
            <v>Kenya</v>
          </cell>
          <cell r="X183" t="str">
            <v>Financial Services</v>
          </cell>
          <cell r="Y183" t="str">
            <v>Finance, Financial Services, Fintech, p2P lending</v>
          </cell>
        </row>
        <row r="184">
          <cell r="A184" t="str">
            <v>Benefactors</v>
          </cell>
          <cell r="B184" t="str">
            <v>BeneFactors Ltd. is a Rwandan factoring company, providing tailored working capital solutions to firms. Factoring is a financial service, where future payments from your buyers are sold to a third party, the factor for cash. We can work with pending invoices or purchase orders for delivery. This means that you can continue working even if your buyers take a long time to pay or take on more clients at the same time - allowing you peace of mind as you grow your business.</v>
          </cell>
          <cell r="C184" t="str">
            <v>Active</v>
          </cell>
          <cell r="D184">
            <v>2017</v>
          </cell>
          <cell r="G184" t="str">
            <v>Rwanda</v>
          </cell>
          <cell r="X184" t="str">
            <v>Financial Services</v>
          </cell>
          <cell r="Y184" t="str">
            <v>Factoring, Working Capital, Fintech</v>
          </cell>
        </row>
        <row r="185">
          <cell r="A185" t="str">
            <v>Tupuca</v>
          </cell>
          <cell r="B185" t="str">
            <v>Angola's first all-in-one delivery platform that allows users to order almost anything-on-demand</v>
          </cell>
          <cell r="C185" t="str">
            <v>Active</v>
          </cell>
          <cell r="D185">
            <v>2015</v>
          </cell>
          <cell r="G185" t="str">
            <v>Angola</v>
          </cell>
          <cell r="X185" t="str">
            <v>E-Commerce &amp; Retail</v>
          </cell>
          <cell r="Y185" t="str">
            <v>Delivery Service, E-Commerce, Food Delivery, Mobile Apps, Taxi Service</v>
          </cell>
        </row>
        <row r="186">
          <cell r="A186" t="str">
            <v>Mintrics</v>
          </cell>
          <cell r="B186" t="str">
            <v>Mintrics helps video publishers understand how their content is performing. With the help of utilizing machine learning algorithms, it gives recommendations on how to enhance future videos, spots the latest trends and acquires detailed analytics and insights on how their client’s competition is performing</v>
          </cell>
          <cell r="C186" t="str">
            <v>Active</v>
          </cell>
          <cell r="D186">
            <v>2016</v>
          </cell>
          <cell r="G186" t="str">
            <v>Egypt</v>
          </cell>
          <cell r="X186" t="str">
            <v>Information Technology</v>
          </cell>
          <cell r="Y186" t="str">
            <v>Analytics, Big Data, Content Creators, Content Marketing</v>
          </cell>
        </row>
        <row r="187">
          <cell r="A187" t="str">
            <v>Orcas​</v>
          </cell>
          <cell r="B187" t="str">
            <v>Orcas​, a mobile marketplace that connects parents and students with tutors and babysitters</v>
          </cell>
          <cell r="C187" t="str">
            <v>Active</v>
          </cell>
          <cell r="D187">
            <v>2014</v>
          </cell>
          <cell r="G187" t="str">
            <v>Egypt</v>
          </cell>
          <cell r="X187" t="str">
            <v>Education</v>
          </cell>
          <cell r="Y187" t="str">
            <v>E-Commerce, Education, Internet</v>
          </cell>
        </row>
        <row r="188">
          <cell r="A188" t="str">
            <v>Bkam</v>
          </cell>
          <cell r="B188" t="str">
            <v>Bkam is the leading price comparison website and mobile application in the MENA region</v>
          </cell>
          <cell r="C188" t="str">
            <v>Dead</v>
          </cell>
          <cell r="D188">
            <v>2012</v>
          </cell>
          <cell r="G188" t="str">
            <v>Egypt</v>
          </cell>
          <cell r="X188" t="str">
            <v>Information Technology</v>
          </cell>
          <cell r="Y188" t="str">
            <v>E-Commerce, Information Technology, Price Comparison</v>
          </cell>
        </row>
        <row r="189">
          <cell r="A189" t="str">
            <v>Ethnic Brand</v>
          </cell>
          <cell r="B189" t="str">
            <v>Ethnic Brand seeks to provide virtual factory services for fashion brands and artisans globally, through manufacturing as a service.</v>
          </cell>
          <cell r="C189" t="str">
            <v>Active</v>
          </cell>
          <cell r="D189">
            <v>2018</v>
          </cell>
          <cell r="G189" t="str">
            <v>Kenya</v>
          </cell>
          <cell r="X189" t="str">
            <v>Commercial &amp; Professional Services</v>
          </cell>
          <cell r="Y189" t="str">
            <v>Manufacturing</v>
          </cell>
        </row>
        <row r="190">
          <cell r="A190" t="str">
            <v>Medallion Communications</v>
          </cell>
          <cell r="B190" t="str">
            <v>Medallion telecommunications is an interconnect clearinghouse and Co-location Data service Company with existing connections to all the telecom operators in Nigeria</v>
          </cell>
          <cell r="C190" t="str">
            <v>Active</v>
          </cell>
          <cell r="D190">
            <v>2005</v>
          </cell>
          <cell r="G190" t="str">
            <v>Nigeria</v>
          </cell>
          <cell r="X190" t="str">
            <v>Information Technology</v>
          </cell>
          <cell r="Y190" t="str">
            <v>Internet, iOS, Mobile, Telecommunications</v>
          </cell>
        </row>
        <row r="191">
          <cell r="A191" t="str">
            <v>Giraffe</v>
          </cell>
          <cell r="B191" t="str">
            <v>When we founded Giraffe in 2015, we had one objective in mind and that was to tackle South Africa’s unemployment problem head on. Unemployment is arguably the biggest issue facing South African society today, with over 25% of the population lacking dependable income. We noticed that a common issue facing South African employers is staff attrition. Employers have positions to fill and job seekers need employment, so they often ‘take what they can get’. But this culture of job seekers settling for any job and employers settling for any candidate is problematic, as job seekers soon leave for a better opportunities or jobs closer to home.</v>
          </cell>
          <cell r="C191" t="str">
            <v>Active</v>
          </cell>
          <cell r="D191">
            <v>2015</v>
          </cell>
          <cell r="G191" t="str">
            <v>South Africa</v>
          </cell>
          <cell r="X191" t="str">
            <v>Recruitment</v>
          </cell>
          <cell r="Y191" t="str">
            <v>Analytics, Recruitment, Artificial Intelligence</v>
          </cell>
        </row>
        <row r="192">
          <cell r="A192" t="str">
            <v>RxAll</v>
          </cell>
          <cell r="B192" t="str">
            <v>AI-Blockchain Hyperspectral Platform for drug quality authentication and tracking using mobile phones</v>
          </cell>
          <cell r="C192" t="str">
            <v>Active</v>
          </cell>
          <cell r="D192">
            <v>2016</v>
          </cell>
          <cell r="G192" t="str">
            <v>United States of America</v>
          </cell>
          <cell r="X192" t="str">
            <v>Emerging Technologies</v>
          </cell>
          <cell r="Y192" t="str">
            <v>Artificial Intelligence, Blockchain, Database, Hardware, Software</v>
          </cell>
        </row>
        <row r="193">
          <cell r="A193" t="str">
            <v>Uav Industries</v>
          </cell>
          <cell r="B193" t="str">
            <v>UAV Industries is an organisation focused on the education, integration and safe operations of UAVs (drones) globally. With physical infrastructure in South Africa UAV Industries offers potential clients a turnkey solution to licencing and testing of UAVs.</v>
          </cell>
          <cell r="C193" t="str">
            <v>Active</v>
          </cell>
          <cell r="D193">
            <v>2015</v>
          </cell>
          <cell r="G193" t="str">
            <v>South Africa</v>
          </cell>
          <cell r="X193" t="str">
            <v>Education</v>
          </cell>
          <cell r="Y193" t="str">
            <v>Education, Legal, Training, Drones, Edtech</v>
          </cell>
        </row>
        <row r="194">
          <cell r="A194" t="str">
            <v>Kudigo</v>
          </cell>
          <cell r="B194" t="str">
            <v>Kudigo is a software as a service (SaaS) startup developing user-oriented retail solutions and big data for the consumer retail industry in sub-Saharan Africa. The company also offers “Storefront,” a mobile-based business management suite including a retail management suite, accounting module, non-cash payment processing and AI-powered data analytics</v>
          </cell>
          <cell r="C194" t="str">
            <v>Active</v>
          </cell>
          <cell r="D194">
            <v>2017</v>
          </cell>
          <cell r="G194" t="str">
            <v>Ghana</v>
          </cell>
          <cell r="X194" t="str">
            <v>Information Technology</v>
          </cell>
          <cell r="Y194" t="str">
            <v>Retail</v>
          </cell>
        </row>
        <row r="195">
          <cell r="A195" t="str">
            <v>Chalkboard Education</v>
          </cell>
          <cell r="B195" t="str">
            <v>Founded in 2015, Chalkboard Education partners with universities, training institutions, and companies to provide software that digitalizes their content and distributes it to learners’ mobile devices, allowing students to access course content anytime and anywhere, even without an Internet connection.</v>
          </cell>
          <cell r="C195" t="str">
            <v>Active</v>
          </cell>
          <cell r="D195">
            <v>2015</v>
          </cell>
          <cell r="G195" t="str">
            <v>Ghana</v>
          </cell>
          <cell r="X195" t="str">
            <v>Education</v>
          </cell>
          <cell r="Y195" t="str">
            <v>E-Learning, Education, Mobile, Higher Education</v>
          </cell>
        </row>
        <row r="196">
          <cell r="A196" t="str">
            <v>Iono.Fm</v>
          </cell>
          <cell r="B196" t="str">
            <v>iono.fm is an audio hosting and distribution platform that provides a one-stop solution for radio-stations and podcasters. We deliver thousands of hours of compelling audio to our users from a wide network of media partners.</v>
          </cell>
          <cell r="C196" t="str">
            <v>Active</v>
          </cell>
          <cell r="D196">
            <v>2008</v>
          </cell>
          <cell r="G196" t="str">
            <v>South Africa</v>
          </cell>
          <cell r="X196" t="str">
            <v>Media &amp; Entertainment</v>
          </cell>
          <cell r="Y196" t="str">
            <v>Podcasts, Audio, Transcoding, Live-streaming</v>
          </cell>
        </row>
        <row r="197">
          <cell r="A197" t="str">
            <v>Vetcode</v>
          </cell>
          <cell r="B197" t="str">
            <v>VetCode is a professional mobile technology startup that is specialized in pets mobile care services. VetCode is aiming to increase pets care awareness in our communities that includes veterinary care services, social care services and training care services.</v>
          </cell>
          <cell r="C197" t="str">
            <v>Active</v>
          </cell>
          <cell r="D197">
            <v>2018</v>
          </cell>
          <cell r="G197" t="str">
            <v>Egypt</v>
          </cell>
          <cell r="X197" t="str">
            <v>Healthcare &amp; Pharma</v>
          </cell>
          <cell r="Y197" t="str">
            <v>Beauty, Information Technology and services</v>
          </cell>
        </row>
        <row r="198">
          <cell r="A198" t="str">
            <v>Ubapesa</v>
          </cell>
          <cell r="B198" t="str">
            <v>UbaPesa is a peer-to-peer money market app where users can borrow and lend money. Led by a team with experience in running technology projects in the financial and education sector, the app integrates the power of crowdfunding and FX</v>
          </cell>
          <cell r="C198" t="str">
            <v>Active</v>
          </cell>
          <cell r="D198">
            <v>2017</v>
          </cell>
          <cell r="G198" t="str">
            <v>Kenya</v>
          </cell>
          <cell r="X198" t="str">
            <v>Financial Services</v>
          </cell>
          <cell r="Y198" t="str">
            <v>Bitcoin, Blockchain, Cryptocurrency, Financial Services, Lending, Mobile Apps, Peer to Peer</v>
          </cell>
        </row>
        <row r="199">
          <cell r="A199" t="str">
            <v>SureGroup</v>
          </cell>
          <cell r="B199" t="str">
            <v>SureGroup is powering employee &amp; customer rewards in Africa.</v>
          </cell>
          <cell r="C199" t="str">
            <v>Active</v>
          </cell>
          <cell r="D199">
            <v>2014</v>
          </cell>
          <cell r="G199" t="str">
            <v>Nigeria</v>
          </cell>
          <cell r="X199" t="str">
            <v>E-Commerce &amp; Retail</v>
          </cell>
          <cell r="Y199" t="str">
            <v>Rewards, Retail</v>
          </cell>
        </row>
        <row r="200">
          <cell r="A200" t="str">
            <v>Cowtribe</v>
          </cell>
          <cell r="B200" t="str">
            <v>Cowtribe is Africa’s first cloud-based vaccine distribution platform, leveraging on mobile technology and cloud computing to deliver reliable animal vaccines to farmers in rural communities.</v>
          </cell>
          <cell r="C200" t="str">
            <v>Active</v>
          </cell>
          <cell r="D200">
            <v>2016</v>
          </cell>
          <cell r="G200" t="str">
            <v>Ghana</v>
          </cell>
          <cell r="X200" t="str">
            <v>Agriculture</v>
          </cell>
          <cell r="Y200" t="str">
            <v>Veterinary, Animal Health</v>
          </cell>
        </row>
        <row r="201">
          <cell r="A201" t="str">
            <v>Buseet</v>
          </cell>
          <cell r="B201" t="str">
            <v>Buseet operates a network of modern shuttles on fixed repeat routes everyday. Providing a new mode of mass transport targeting the middle class. Using contracted supplier network operated by buseet, buseet provides the convenience &amp; affordability expected by car owners to leave their cars behind. Also buseet provides corporate transport solutions totally customized to meet the needs of big corporations to SMEs.</v>
          </cell>
          <cell r="C201" t="str">
            <v>Active</v>
          </cell>
          <cell r="D201">
            <v>2016</v>
          </cell>
          <cell r="G201" t="str">
            <v>Egypt</v>
          </cell>
          <cell r="X201" t="str">
            <v>Transport &amp; Logistics</v>
          </cell>
          <cell r="Y201" t="str">
            <v>Mobile Apps, Software, Transportation</v>
          </cell>
        </row>
        <row r="202">
          <cell r="A202" t="str">
            <v>Vapulus</v>
          </cell>
          <cell r="B202" t="str">
            <v>Vapulus is the easiest method of mobile payment there is. You can pay in your local nearby store, online, pay all your bills, send and receive money on your phone using only a username</v>
          </cell>
          <cell r="C202" t="str">
            <v>Active</v>
          </cell>
          <cell r="D202">
            <v>2016</v>
          </cell>
          <cell r="G202" t="str">
            <v>Egypt</v>
          </cell>
          <cell r="X202" t="str">
            <v>Financial Services</v>
          </cell>
          <cell r="Y202" t="str">
            <v>Banking, Financial Services, Internet, Mobile Payments</v>
          </cell>
        </row>
        <row r="203">
          <cell r="A203" t="str">
            <v>Taskty</v>
          </cell>
          <cell r="B203" t="str">
            <v>Taskty is an online marketplace for simple services where you can find individuals and services agencies to finish your daily, short term tasks for your home and for your business. Services will range from translation, copywriting, graphic design to event photographing, house maintenance and private nursing.</v>
          </cell>
          <cell r="C203" t="str">
            <v>Active</v>
          </cell>
          <cell r="D203">
            <v>2012</v>
          </cell>
          <cell r="G203" t="str">
            <v>Egypt</v>
          </cell>
          <cell r="X203" t="str">
            <v>E-Commerce &amp; Retail</v>
          </cell>
          <cell r="Y203" t="str">
            <v>Services, Gigs</v>
          </cell>
        </row>
        <row r="204">
          <cell r="A204" t="str">
            <v>Datavora</v>
          </cell>
          <cell r="B204" t="str">
            <v>Datavora is building a high accuracy, automated monitoring tool for e-commerce B2C retail offer, to bring high value for their customers’ decision making process</v>
          </cell>
          <cell r="C204" t="str">
            <v>Active</v>
          </cell>
          <cell r="D204">
            <v>2016</v>
          </cell>
          <cell r="G204" t="str">
            <v>Tunisia</v>
          </cell>
          <cell r="X204" t="str">
            <v>E-Commerce &amp; Retail</v>
          </cell>
          <cell r="Y204" t="str">
            <v>Artificial Intelligence, Big Data, E-Commerce, Machine Learning, SaaS, Software</v>
          </cell>
        </row>
        <row r="205">
          <cell r="A205" t="str">
            <v>Trukto Technologies</v>
          </cell>
          <cell r="B205" t="str">
            <v>Trukto is a platform that uses cutting edge technology to link shippers with truckers.</v>
          </cell>
          <cell r="C205" t="str">
            <v>Active</v>
          </cell>
          <cell r="D205">
            <v>2017</v>
          </cell>
          <cell r="G205" t="str">
            <v>Egypt</v>
          </cell>
          <cell r="X205" t="str">
            <v>Transport &amp; Logistics</v>
          </cell>
          <cell r="Y205" t="str">
            <v>Information Technology, Shipping</v>
          </cell>
        </row>
        <row r="206">
          <cell r="A206" t="str">
            <v>Eventerprise</v>
          </cell>
          <cell r="B206" t="str">
            <v>Eventerprise is an online portal that allows event hosts to source, review and contact event suppliers</v>
          </cell>
          <cell r="C206" t="str">
            <v>Active</v>
          </cell>
          <cell r="D206">
            <v>2015</v>
          </cell>
          <cell r="G206" t="str">
            <v>South Africa</v>
          </cell>
          <cell r="X206" t="str">
            <v>E-Commerce &amp; Retail</v>
          </cell>
          <cell r="Y206" t="str">
            <v>Cloud Data Services, E-Commerce Platforms, Event Management, Events, SaaS, Subscription Service</v>
          </cell>
        </row>
        <row r="207">
          <cell r="A207" t="str">
            <v>Pineapple</v>
          </cell>
          <cell r="B207" t="str">
            <v>Pineapple is a peer-to-peer insurance company which aims to maximize value, affinity and simplicity in the insurance market by rearranging the way insurance is conducted.</v>
          </cell>
          <cell r="C207" t="str">
            <v>Active</v>
          </cell>
          <cell r="D207">
            <v>2017</v>
          </cell>
          <cell r="G207" t="str">
            <v>South Africa</v>
          </cell>
          <cell r="X207" t="str">
            <v>Financial Services</v>
          </cell>
          <cell r="Y207" t="str">
            <v>Insurance, InsurTech, Peer to Peer</v>
          </cell>
        </row>
        <row r="208">
          <cell r="A208" t="str">
            <v>Kiro'o Games</v>
          </cell>
          <cell r="B208" t="str">
            <v>Kiro'o Games is the 1st video game studio in Cameroon. They released the first African-Fantasy RPG in 2016. Now they are in an expansion plan to disrupt the digital ecosystem in Africa</v>
          </cell>
          <cell r="C208" t="str">
            <v>Active</v>
          </cell>
          <cell r="D208">
            <v>2013</v>
          </cell>
          <cell r="G208" t="str">
            <v>Cameroon</v>
          </cell>
          <cell r="X208" t="str">
            <v>Media &amp; Entertainment</v>
          </cell>
          <cell r="Y208" t="str">
            <v>Gaming, Mobile, Video Games</v>
          </cell>
        </row>
        <row r="209">
          <cell r="A209" t="str">
            <v>CHIL AI Lab</v>
          </cell>
          <cell r="B209" t="str">
            <v>CHIL AI Lab is using artificial intelligence and machine learning to extend essential healthcare services to the poor and marginalised in Uganda.</v>
          </cell>
          <cell r="C209" t="str">
            <v>Active</v>
          </cell>
          <cell r="D209">
            <v>2018</v>
          </cell>
          <cell r="G209" t="str">
            <v>Uganda</v>
          </cell>
          <cell r="X209" t="str">
            <v>Healthcare &amp; Pharma</v>
          </cell>
          <cell r="Y209" t="str">
            <v>HealthTech</v>
          </cell>
        </row>
        <row r="210">
          <cell r="A210" t="str">
            <v>Sxuirrel</v>
          </cell>
          <cell r="B210" t="str">
            <v>Sxuirrel is a peer-to-peer storage platform that connects people in need of space to those with available space through an interactive mobile app. By creating a community driven marketplace, Sxuirrel brings together hosts and guests to create local, unique and flexible storage solutions for all.</v>
          </cell>
          <cell r="C210" t="str">
            <v>Active</v>
          </cell>
          <cell r="D210">
            <v>2015</v>
          </cell>
          <cell r="G210" t="str">
            <v>South Africa</v>
          </cell>
          <cell r="X210" t="str">
            <v>Real estate</v>
          </cell>
          <cell r="Y210" t="str">
            <v>Communities, Consumer, Marketplace, Mobile Apps, Parking, Peer to Peer, Self-Storage</v>
          </cell>
        </row>
        <row r="211">
          <cell r="A211" t="str">
            <v>TalentBase</v>
          </cell>
          <cell r="B211" t="str">
            <v>TalentBase is an HR software platform for SMEs in Nigeria. They offer six modules, but have created flexibility in software whereby the company can choose which module they need, based on the stage of their company. For N20,000 a year, a team of 10 employees can be up and running with their payroll and staff records software</v>
          </cell>
          <cell r="C211" t="str">
            <v>Active</v>
          </cell>
          <cell r="D211">
            <v>2016</v>
          </cell>
          <cell r="G211" t="str">
            <v>Nigeria</v>
          </cell>
          <cell r="X211" t="str">
            <v>Recruitment</v>
          </cell>
          <cell r="Y211" t="str">
            <v>Human Resources Technology, Human Resources Management Software, and Human Resources Consultation</v>
          </cell>
        </row>
        <row r="212">
          <cell r="A212" t="str">
            <v>Elk</v>
          </cell>
          <cell r="B212" t="str">
            <v>Elk develops software and hardware tools to connect makers to the Blockchain and other decentralized technologies.</v>
          </cell>
          <cell r="C212" t="str">
            <v>Active</v>
          </cell>
          <cell r="D212">
            <v>2017</v>
          </cell>
          <cell r="G212" t="str">
            <v>Egypt</v>
          </cell>
          <cell r="X212" t="str">
            <v>Emerging Technologies</v>
          </cell>
          <cell r="Y212" t="str">
            <v>Blockchain, Hardware, Internet of Things, Software</v>
          </cell>
        </row>
        <row r="213">
          <cell r="A213" t="str">
            <v>HotelOnline</v>
          </cell>
          <cell r="B213" t="str">
            <v>HotelOnline is an online tool that allows hotels to build an online presence and increase customer acquisition.</v>
          </cell>
          <cell r="C213" t="str">
            <v>Active</v>
          </cell>
          <cell r="D213">
            <v>2014</v>
          </cell>
          <cell r="G213" t="str">
            <v>Kenya</v>
          </cell>
          <cell r="X213" t="str">
            <v>Travel and Leisure</v>
          </cell>
          <cell r="Y213" t="str">
            <v>Travel Bookings</v>
          </cell>
        </row>
        <row r="214">
          <cell r="A214" t="str">
            <v>Bosta</v>
          </cell>
          <cell r="B214" t="str">
            <v>Bosta is a logistics company based in Cairo, helps businesses deliver their packages same day leveraging the latest and greatest using technology and algorithms.</v>
          </cell>
          <cell r="C214" t="str">
            <v>Active</v>
          </cell>
          <cell r="D214">
            <v>2016</v>
          </cell>
          <cell r="G214" t="str">
            <v>Egypt</v>
          </cell>
          <cell r="X214" t="str">
            <v>Transport &amp; Logistics</v>
          </cell>
          <cell r="Y214" t="str">
            <v>Technology, Logistics, Courier, and Transportation</v>
          </cell>
        </row>
        <row r="215">
          <cell r="A215" t="str">
            <v>Entlaqa</v>
          </cell>
          <cell r="B215" t="str">
            <v>ENTLAQA is an Egyptian company specialized in creative Human Resources &amp; Marketing Solutions (E-Learning, Interactive Learning, Recruitment &amp; Selection solutions, Surveys &amp; Quizzes, Websites &amp; Web Applications Development, Mobile Applications Development, and Touch Screens Applications)</v>
          </cell>
          <cell r="C215" t="str">
            <v>Active</v>
          </cell>
          <cell r="D215">
            <v>2013</v>
          </cell>
          <cell r="G215" t="str">
            <v>Egypt</v>
          </cell>
          <cell r="X215" t="str">
            <v>Information Technology</v>
          </cell>
          <cell r="Y215" t="str">
            <v>Information Technology, Software</v>
          </cell>
        </row>
        <row r="216">
          <cell r="A216" t="str">
            <v>Mumm</v>
          </cell>
          <cell r="B216" t="str">
            <v>Mumm is an On-demand home cooked food platform that connects between Home based cooks and young professionals. We aspire to "Make healthy nutrition available for everyone through spreading entrepreneurship"​.</v>
          </cell>
          <cell r="C216" t="str">
            <v>Active</v>
          </cell>
          <cell r="D216">
            <v>2015</v>
          </cell>
          <cell r="G216" t="str">
            <v>Egypt</v>
          </cell>
          <cell r="X216" t="str">
            <v>E-Commerce &amp; Retail</v>
          </cell>
          <cell r="Y216" t="str">
            <v>E-Commerce, Food and Beverage, Food Delivery, Marketplace</v>
          </cell>
        </row>
        <row r="217">
          <cell r="A217" t="str">
            <v>Scale</v>
          </cell>
          <cell r="B217" t="str">
            <v>Scale provides the customers in the design and development of their projects, and in the deployment of their digital strategy. The Scale offer is positioned between the digital agency and the service company</v>
          </cell>
          <cell r="C217" t="str">
            <v>Active</v>
          </cell>
          <cell r="D217">
            <v>2018</v>
          </cell>
          <cell r="G217" t="str">
            <v>Morocco</v>
          </cell>
          <cell r="X217" t="str">
            <v>Information Technology</v>
          </cell>
          <cell r="Y217" t="str">
            <v>Consulting, Digital Media, Information Technology</v>
          </cell>
        </row>
        <row r="218">
          <cell r="A218" t="str">
            <v>Prepclass</v>
          </cell>
          <cell r="B218" t="str">
            <v>PrepClass is an e-learning platform that allows students or their parents request physical one-on-one classes or small group classes with locally trained professional teachers. These classes focus on helping pre-university students with their academics and can be requested from the PrepClass website or mobile app which also houses hundreds of hours of video content created by professional teachers and crowdsourced from a wider network of tutors.</v>
          </cell>
          <cell r="C218" t="str">
            <v>Active</v>
          </cell>
          <cell r="D218">
            <v>2014</v>
          </cell>
          <cell r="G218" t="str">
            <v>Nigeria</v>
          </cell>
          <cell r="X218" t="str">
            <v>Education</v>
          </cell>
          <cell r="Y218" t="str">
            <v>E-Learning, EdTech, Education</v>
          </cell>
        </row>
        <row r="219">
          <cell r="A219" t="str">
            <v>Godochurch</v>
          </cell>
          <cell r="B219" t="str">
            <v>GoDoChurch is web-based church administration software that helps the modern church stay connected to its congregation.</v>
          </cell>
          <cell r="C219" t="str">
            <v>Active</v>
          </cell>
          <cell r="D219">
            <v>2006</v>
          </cell>
          <cell r="G219" t="str">
            <v>South Africa</v>
          </cell>
          <cell r="X219" t="str">
            <v>Information Technology</v>
          </cell>
          <cell r="Y219" t="str">
            <v>Information Services, Information Technology, Software</v>
          </cell>
        </row>
        <row r="220">
          <cell r="A220" t="str">
            <v>The Student Hub</v>
          </cell>
          <cell r="B220" t="str">
            <v>The Student Hub is a smart education company that aims to create a learner-centric education system where every learner is equipped to discover and achieve his/her life purpose.</v>
          </cell>
          <cell r="C220" t="str">
            <v>Active</v>
          </cell>
          <cell r="D220">
            <v>2015</v>
          </cell>
          <cell r="G220" t="str">
            <v>South Africa</v>
          </cell>
          <cell r="X220" t="str">
            <v>Education</v>
          </cell>
          <cell r="Y220" t="str">
            <v>Edtech, E-learning</v>
          </cell>
        </row>
        <row r="221">
          <cell r="A221" t="str">
            <v>Xpay</v>
          </cell>
          <cell r="B221" t="str">
            <v>Xpay is a FinTech solutions for communities. We enable communities to go cashless. Clubs, Schools, Universities etc are our targeted communities</v>
          </cell>
          <cell r="C221" t="str">
            <v>Active</v>
          </cell>
          <cell r="D221">
            <v>2018</v>
          </cell>
          <cell r="G221" t="str">
            <v>Egypt</v>
          </cell>
          <cell r="X221" t="str">
            <v>Financial Services</v>
          </cell>
          <cell r="Y221" t="str">
            <v>FinTech</v>
          </cell>
        </row>
        <row r="222">
          <cell r="A222" t="str">
            <v>Hub2.Io</v>
          </cell>
          <cell r="B222" t="str">
            <v>HUB2 is a universal payment and communication API Using HUB2, you easily access more than 800 million potential customers, for your payments or mobile communications solutions. With its connectors, HUB2 allows you in a few clicks to: Recover your mobile payments Interact with your customers who do not have access to the Internet via SMS or USSD</v>
          </cell>
          <cell r="C222" t="str">
            <v>Active</v>
          </cell>
          <cell r="D222">
            <v>2017</v>
          </cell>
          <cell r="G222" t="str">
            <v>Mauritius</v>
          </cell>
          <cell r="X222" t="str">
            <v>Financial Services</v>
          </cell>
          <cell r="Y222" t="str">
            <v>Financial Services</v>
          </cell>
        </row>
        <row r="223">
          <cell r="A223" t="str">
            <v>Aella Credit</v>
          </cell>
          <cell r="B223" t="str">
            <v>Aella Credit provides Instant loans to Africans who can prove a source of Income either through their employers or individually. We are at the forefront of financial inclusion and empowerment of the underbanked.</v>
          </cell>
          <cell r="C223" t="str">
            <v>Active</v>
          </cell>
          <cell r="D223">
            <v>2015</v>
          </cell>
          <cell r="G223" t="str">
            <v>Nigeria</v>
          </cell>
          <cell r="X223" t="str">
            <v>Financial Services</v>
          </cell>
          <cell r="Y223" t="str">
            <v>Blockchain, Micro-Loans</v>
          </cell>
        </row>
        <row r="224">
          <cell r="A224" t="str">
            <v>Musanga</v>
          </cell>
          <cell r="B224" t="str">
            <v>Musanga is a platform that connects shippers and carriers in real time. We are on a mission to transform product Delivery across Africa and other emerging markets.</v>
          </cell>
          <cell r="C224" t="str">
            <v>Active</v>
          </cell>
          <cell r="D224">
            <v>2016</v>
          </cell>
          <cell r="G224" t="str">
            <v>Zambia</v>
          </cell>
          <cell r="X224" t="str">
            <v>Transport &amp; Logistics</v>
          </cell>
          <cell r="Y224" t="str">
            <v>Delivery, Delivery Service, Logistics</v>
          </cell>
        </row>
        <row r="225">
          <cell r="A225" t="str">
            <v>Tripdizer</v>
          </cell>
          <cell r="B225" t="str">
            <v>Tripdizer is an Online Platform that uses technology to maximize travel experience that suits your taste, budget and mood</v>
          </cell>
          <cell r="C225" t="str">
            <v>Active</v>
          </cell>
          <cell r="D225">
            <v>2016</v>
          </cell>
          <cell r="G225" t="str">
            <v>Egypt</v>
          </cell>
          <cell r="X225" t="str">
            <v>Travel &amp; Leisure</v>
          </cell>
          <cell r="Y225" t="str">
            <v>Tourism, Travel</v>
          </cell>
        </row>
        <row r="226">
          <cell r="A226" t="str">
            <v>HealthApp Group</v>
          </cell>
          <cell r="B226" t="str">
            <v>HealthApp Group are the publishers of 7keema, the market leader of the on demand nursing services in Egypt. Since founded, 7keema is helping thousands of both users and nursing staff all over Cairo.</v>
          </cell>
          <cell r="C226" t="str">
            <v>Active</v>
          </cell>
          <cell r="D226">
            <v>2017</v>
          </cell>
          <cell r="G226" t="str">
            <v>Egypt</v>
          </cell>
          <cell r="X226" t="str">
            <v>Healthcare &amp; Pharma</v>
          </cell>
          <cell r="Y226" t="str">
            <v>Health, Wellness and Fitness</v>
          </cell>
        </row>
        <row r="227">
          <cell r="A227" t="str">
            <v>Redbird Health Tech</v>
          </cell>
          <cell r="B227" t="str">
            <v>Redbird Health Tech is a for-profit social enterprise enabling more convenient healthcare for patients in Ghana.</v>
          </cell>
          <cell r="C227" t="str">
            <v>Active</v>
          </cell>
          <cell r="D227">
            <v>2017</v>
          </cell>
          <cell r="G227" t="str">
            <v>Ghana</v>
          </cell>
          <cell r="X227" t="str">
            <v>Healthcare &amp; Pharma</v>
          </cell>
          <cell r="Y227" t="str">
            <v>Fitness, Health Care, Pharmaceutical, Wellness</v>
          </cell>
        </row>
        <row r="228">
          <cell r="A228" t="str">
            <v>Utu Technologies</v>
          </cell>
          <cell r="B228" t="str">
            <v>UTU means humanity in Swahili. Our name both reminds us of our company’s roots in Kenya and our vision of a safer, more trusted digital world, built around relationships just like the real-world.</v>
          </cell>
          <cell r="C228" t="str">
            <v>Active</v>
          </cell>
          <cell r="D228">
            <v>2017</v>
          </cell>
          <cell r="G228" t="str">
            <v>Kenya</v>
          </cell>
          <cell r="X228" t="str">
            <v>Emerging Technologies</v>
          </cell>
          <cell r="Y228" t="str">
            <v>Artificial Intelligence, Blockchain, IaaS, Information Services, Information Technology, Machine Learning, Sharing Economy</v>
          </cell>
        </row>
        <row r="229">
          <cell r="A229" t="str">
            <v>Zumi</v>
          </cell>
          <cell r="B229" t="str">
            <v>ZUMI is a women-focused digital media company in Africa. ZUMI delivers the latest news in celebrity news, lifestyle and love, fashion and beauty to a smartphone enabled, female audience.</v>
          </cell>
          <cell r="C229" t="str">
            <v>Active</v>
          </cell>
          <cell r="D229">
            <v>2016</v>
          </cell>
          <cell r="G229" t="str">
            <v>Kenya</v>
          </cell>
          <cell r="X229" t="str">
            <v>Media &amp; Entertainment</v>
          </cell>
          <cell r="Y229" t="str">
            <v>Digital Marketing, Media and Entertainment, Social Media</v>
          </cell>
        </row>
        <row r="230">
          <cell r="A230" t="str">
            <v>Bamba Group</v>
          </cell>
          <cell r="B230" t="str">
            <v>Bamba is a real-time data gathering platform that engages and access the 1.5B people in the emerging markets via mobile feature phones.</v>
          </cell>
          <cell r="C230" t="str">
            <v>Acquired</v>
          </cell>
          <cell r="D230">
            <v>2012</v>
          </cell>
          <cell r="G230" t="str">
            <v>Kenya</v>
          </cell>
          <cell r="X230" t="str">
            <v>Financial Services</v>
          </cell>
          <cell r="Y230" t="str">
            <v>Enterprise Software, Market Research, Emerging Markets, Africa, SMS Solutions, Mobile Airtime, NGO, Development Aid</v>
          </cell>
        </row>
        <row r="231">
          <cell r="A231" t="str">
            <v>Enov8 Solutions</v>
          </cell>
          <cell r="B231" t="str">
            <v>We are an African IT company in Lagos, Nigeria answering our nation's most pressing challenges</v>
          </cell>
          <cell r="C231" t="str">
            <v>Active</v>
          </cell>
          <cell r="D231">
            <v>2018</v>
          </cell>
          <cell r="G231" t="str">
            <v>Nigeria</v>
          </cell>
          <cell r="X231" t="str">
            <v>Information Technology</v>
          </cell>
          <cell r="Y231" t="str">
            <v>Software Development, Systems Integration, Project Management, Hub, and Digital Marketing</v>
          </cell>
        </row>
        <row r="232">
          <cell r="A232" t="str">
            <v>Sonocare</v>
          </cell>
          <cell r="B232" t="str">
            <v>Sonocare is a mobile-oriented on-demand point of care diagnostic medical imaging service that delivers diagnostic medical imaging services at point of need.</v>
          </cell>
          <cell r="C232" t="str">
            <v>Active</v>
          </cell>
          <cell r="D232">
            <v>2015</v>
          </cell>
          <cell r="G232" t="str">
            <v>Nigeria</v>
          </cell>
          <cell r="X232" t="str">
            <v>Healthcare &amp; Pharma</v>
          </cell>
          <cell r="Y232" t="str">
            <v>Health Diagnostics, Medical</v>
          </cell>
        </row>
        <row r="233">
          <cell r="A233" t="str">
            <v>Intelligra</v>
          </cell>
          <cell r="B233" t="str">
            <v>Intelligra is a platform which provides lock technology for smartphone financing to end users principally through M.N.Os.</v>
          </cell>
          <cell r="C233" t="str">
            <v>Active</v>
          </cell>
          <cell r="X233" t="str">
            <v>Financial Services</v>
          </cell>
          <cell r="Y233" t="str">
            <v>Information Technology, Logistics, Manufacturing, Real Time, Robotics, Supply Chain Management</v>
          </cell>
        </row>
        <row r="234">
          <cell r="A234" t="str">
            <v>Lagare.ma</v>
          </cell>
          <cell r="B234" t="str">
            <v>Lagare.ma is a Morocco-based mobile app and platform that help passengers to find, compare and book bus tickets online.</v>
          </cell>
          <cell r="C234" t="str">
            <v>Active</v>
          </cell>
          <cell r="D234">
            <v>2014</v>
          </cell>
          <cell r="G234" t="str">
            <v>Morocco</v>
          </cell>
          <cell r="X234" t="str">
            <v>Transport &amp; Logistics</v>
          </cell>
          <cell r="Y234" t="str">
            <v>Public Transportation, Software, Ticketing, Transportation, Travel</v>
          </cell>
        </row>
        <row r="235">
          <cell r="A235" t="str">
            <v>ThankUCash</v>
          </cell>
          <cell r="B235" t="str">
            <v>We intend to help businesses grow by helping them utilise data. So with rewards we can understand customers spend patterns, customers value and retention. Using data and rewards we can help customers earn/save on deals, at the same time helping merchants grow in customer base, retention and acquisition.</v>
          </cell>
          <cell r="C235" t="str">
            <v>Active</v>
          </cell>
          <cell r="D235">
            <v>2018</v>
          </cell>
          <cell r="G235" t="str">
            <v>Nigeria</v>
          </cell>
          <cell r="X235" t="str">
            <v>Financial Services</v>
          </cell>
          <cell r="Y235" t="str">
            <v>SaaS</v>
          </cell>
        </row>
        <row r="236">
          <cell r="A236" t="str">
            <v>Nala</v>
          </cell>
          <cell r="B236" t="str">
            <v>NALA is an application that acts as an interface on top of the mobile money payment systems that allows the user to make transfers, payments, and transactions seven times faster, without data connectivity.</v>
          </cell>
          <cell r="C236" t="str">
            <v>Active</v>
          </cell>
          <cell r="D236">
            <v>2017</v>
          </cell>
          <cell r="G236" t="str">
            <v>Tanzania</v>
          </cell>
          <cell r="X236" t="str">
            <v>Financial Services</v>
          </cell>
          <cell r="Y236" t="str">
            <v>Financial Inclusion, Digital Financial Services, Mobile Money, and Fintech</v>
          </cell>
        </row>
        <row r="237">
          <cell r="A237" t="str">
            <v>Hitchhiker</v>
          </cell>
          <cell r="B237" t="str">
            <v>Hitchhiker is global peer-to-peer delivery and travel platform. Our aim is to reduce the cost of shipping fees and time. HitchHiker is the ultimate way for travelers to make money while traveling.</v>
          </cell>
          <cell r="C237" t="str">
            <v>Active</v>
          </cell>
          <cell r="D237">
            <v>2017</v>
          </cell>
          <cell r="G237" t="str">
            <v>Egypt</v>
          </cell>
          <cell r="X237" t="str">
            <v>Transport &amp; Logistics</v>
          </cell>
          <cell r="Y237" t="str">
            <v>Sharing Economy, Shipping, Peer-to-Peer</v>
          </cell>
        </row>
        <row r="238">
          <cell r="A238" t="str">
            <v>Findit.Ke</v>
          </cell>
          <cell r="B238" t="str">
            <v>Findit.ke is Kenya’s first online directory to showcase your products. With access to thousands of businesses already signed up we are able to provide updated business information to they are users. From Manufacturers to Retailers, Doctors or Dentists, Legal Advisors or Consultants, hotels and Restaurants.</v>
          </cell>
          <cell r="C238" t="str">
            <v>Active</v>
          </cell>
          <cell r="D238">
            <v>2018</v>
          </cell>
          <cell r="G238" t="str">
            <v>Kenya</v>
          </cell>
          <cell r="X238" t="str">
            <v>E-Commerce &amp; Retail</v>
          </cell>
          <cell r="Y238" t="str">
            <v>Advertising, Consulting, E-Commerce, Internet</v>
          </cell>
        </row>
        <row r="239">
          <cell r="A239" t="str">
            <v>Lapaire Glasses</v>
          </cell>
          <cell r="B239" t="str">
            <v>Lapaire Glasses Kenya Ltd is a social enterprise aiming to disrupt the eyewear industry in Kenya</v>
          </cell>
          <cell r="C239" t="str">
            <v>Active</v>
          </cell>
          <cell r="D239">
            <v>2018</v>
          </cell>
          <cell r="G239" t="str">
            <v>Kenya</v>
          </cell>
          <cell r="X239" t="str">
            <v>Healthcare &amp; Pharma</v>
          </cell>
          <cell r="Y239" t="str">
            <v>Hospital &amp; Health Care</v>
          </cell>
        </row>
        <row r="240">
          <cell r="A240" t="str">
            <v xml:space="preserve">LifeBank </v>
          </cell>
          <cell r="B240" t="str">
            <v>LifeBank is a platform that makes blood available when and where it is needed in Nigeria to save lives.</v>
          </cell>
          <cell r="C240" t="str">
            <v>Active</v>
          </cell>
          <cell r="D240">
            <v>2015</v>
          </cell>
          <cell r="G240" t="str">
            <v>Nigeria</v>
          </cell>
          <cell r="X240" t="str">
            <v>Healthcare &amp; Pharma</v>
          </cell>
          <cell r="Y240" t="str">
            <v>Health Care, Hospital</v>
          </cell>
        </row>
        <row r="241">
          <cell r="A241" t="str">
            <v>Nobuntu</v>
          </cell>
          <cell r="B241" t="str">
            <v>Nobuntu designs and distributes community-minded savings products designed to help South Africans prepare for old age. Nobuntu was founded to solve a problem.</v>
          </cell>
          <cell r="C241" t="str">
            <v>Active</v>
          </cell>
          <cell r="D241">
            <v>2016</v>
          </cell>
          <cell r="G241" t="str">
            <v>South Africa</v>
          </cell>
          <cell r="X241" t="str">
            <v>Financial Services</v>
          </cell>
          <cell r="Y241" t="str">
            <v>Finance, Financial Services, FinTech</v>
          </cell>
        </row>
        <row r="242">
          <cell r="A242" t="str">
            <v xml:space="preserve">The Medical Concierge Group </v>
          </cell>
          <cell r="B242" t="str">
            <v>TMCG provides an end-to-end technology enabled health service delivered through Telemedicine. This is initiated with a patient teleconsultation with Medical Doctors supported by artificial intelligence clinical decision support at a telemedicine contact centre.</v>
          </cell>
          <cell r="C242" t="str">
            <v>Active</v>
          </cell>
          <cell r="D242">
            <v>2012</v>
          </cell>
          <cell r="G242" t="str">
            <v>Uganda</v>
          </cell>
          <cell r="X242" t="str">
            <v>Healthcare &amp; Pharma</v>
          </cell>
          <cell r="Y242" t="str">
            <v>Health Care, Health Insurance, Home Health Care, Medical, Personal Health, Pharmaceutical</v>
          </cell>
        </row>
        <row r="243">
          <cell r="A243" t="str">
            <v>Schoolable</v>
          </cell>
          <cell r="B243" t="str">
            <v>Schoolable provides simple finance solutions for schools in Africa. There are 65 million students in Africa attending private schools, but tuition payments can be a pain point for parents paying for their child’s education</v>
          </cell>
          <cell r="C243" t="str">
            <v>Active</v>
          </cell>
          <cell r="D243">
            <v>2018</v>
          </cell>
          <cell r="G243" t="str">
            <v>Nigeria</v>
          </cell>
          <cell r="X243" t="str">
            <v>Financial Services</v>
          </cell>
          <cell r="Y243" t="str">
            <v>Education, Finance, Financial Services</v>
          </cell>
        </row>
        <row r="244">
          <cell r="A244" t="str">
            <v>Cowrywise</v>
          </cell>
          <cell r="B244" t="str">
            <v>CowryWise is a FinTech company democratizing access to premium financial services by making these services available to the mass market cheaply.</v>
          </cell>
          <cell r="C244" t="str">
            <v>Active</v>
          </cell>
          <cell r="D244">
            <v>2017</v>
          </cell>
          <cell r="G244" t="str">
            <v>Nigeria</v>
          </cell>
          <cell r="X244" t="str">
            <v>Financial Services</v>
          </cell>
          <cell r="Y244" t="str">
            <v>Personal Finance, Wealth Management, Savings</v>
          </cell>
        </row>
        <row r="245">
          <cell r="A245" t="str">
            <v>Odiggo</v>
          </cell>
          <cell r="B245" t="str">
            <v>Odiggo is an eCommerce platform that connects customers with established car parts &amp; services suppliers all around Egypt. We're here to make car parts &amp; services as simple as buying a t-shirt online, with a few clicks we can help people find their car parts and get them delivered to their service centers or their homes</v>
          </cell>
          <cell r="C245" t="str">
            <v>Active</v>
          </cell>
          <cell r="D245">
            <v>2017</v>
          </cell>
          <cell r="G245" t="str">
            <v>Egypt</v>
          </cell>
          <cell r="X245" t="str">
            <v>E-Commerce &amp; Retail</v>
          </cell>
          <cell r="Y245" t="str">
            <v>Automotive, E-Commerce, Mobile Apps</v>
          </cell>
        </row>
        <row r="246">
          <cell r="A246" t="str">
            <v>Wasla Browser</v>
          </cell>
          <cell r="B246" t="str">
            <v>Wasla is an Android browser that subsidizes our user's mobile data costs by leveraging mobile advertising. We have built a better browser experience that allows our users to surf the internet, stay updated with the latest news, download and watch videos, play games, check Facebook and shop or search with Google; all while you complete in-app missions to earn points which are redeemable for mobile data and airtime.</v>
          </cell>
          <cell r="C246" t="str">
            <v>Active</v>
          </cell>
          <cell r="D246">
            <v>2018</v>
          </cell>
          <cell r="G246" t="str">
            <v>Egypt</v>
          </cell>
          <cell r="X246" t="str">
            <v>Information Technology</v>
          </cell>
          <cell r="Y246" t="str">
            <v>advertising, technology, and startups</v>
          </cell>
        </row>
        <row r="247">
          <cell r="A247" t="str">
            <v>Hi5</v>
          </cell>
          <cell r="B247" t="str">
            <v>Hi5 enables companies to better manage their human resources (HR) processes via a simple app that allows employees to update their own information. By registering for Hi5, adding co-workers and sending invitations, HR staff can sit back and allow employees to populate their own data</v>
          </cell>
          <cell r="C247" t="str">
            <v>Active</v>
          </cell>
          <cell r="D247">
            <v>2016</v>
          </cell>
          <cell r="G247" t="str">
            <v>South Africa</v>
          </cell>
          <cell r="X247" t="str">
            <v>Information Technology</v>
          </cell>
          <cell r="Y247" t="str">
            <v>Human Resources</v>
          </cell>
        </row>
        <row r="248">
          <cell r="A248" t="str">
            <v>Jumpin Rides</v>
          </cell>
          <cell r="B248" t="str">
            <v>Jumpin Rides is a peer-to-peer ride sharing platform operating in South Africa.</v>
          </cell>
          <cell r="C248" t="str">
            <v>Active</v>
          </cell>
          <cell r="D248">
            <v>2016</v>
          </cell>
          <cell r="G248" t="str">
            <v>South Africa</v>
          </cell>
          <cell r="X248" t="str">
            <v>Transport &amp; Logistics</v>
          </cell>
          <cell r="Y248" t="str">
            <v>Car Sharing, Peer to Peer, Ride Sharing</v>
          </cell>
        </row>
        <row r="249">
          <cell r="A249" t="str">
            <v>GoMyWay</v>
          </cell>
          <cell r="B249" t="str">
            <v>GoMyWay is a ride sharing service that connects private car owners with empty seats to passengers going the same way across Nigeria</v>
          </cell>
          <cell r="C249" t="str">
            <v>Dead</v>
          </cell>
          <cell r="D249">
            <v>2015</v>
          </cell>
          <cell r="G249" t="str">
            <v>Nigeria</v>
          </cell>
          <cell r="X249" t="str">
            <v>Transport &amp; Logistics</v>
          </cell>
          <cell r="Y249" t="str">
            <v>Car Sharing, Public Transportation, Ride Sharing</v>
          </cell>
        </row>
        <row r="250">
          <cell r="A250" t="str">
            <v>Payment24</v>
          </cell>
          <cell r="B250" t="str">
            <v>Payment24 is an International Fuel Payment Solutions Provider based in Cape Town and Berlin</v>
          </cell>
          <cell r="C250" t="str">
            <v>Active</v>
          </cell>
          <cell r="D250">
            <v>2014</v>
          </cell>
          <cell r="G250" t="str">
            <v>South Africa</v>
          </cell>
          <cell r="X250" t="str">
            <v>Financial Services</v>
          </cell>
          <cell r="Y250" t="str">
            <v>FinTech, E-Payments</v>
          </cell>
        </row>
        <row r="251">
          <cell r="A251" t="str">
            <v>IAME</v>
          </cell>
          <cell r="B251" t="str">
            <v>IAME is blockchain based identification system that works by fragmented validation</v>
          </cell>
          <cell r="C251" t="str">
            <v>Active</v>
          </cell>
          <cell r="D251">
            <v>2017</v>
          </cell>
          <cell r="G251" t="str">
            <v>Mauritius</v>
          </cell>
          <cell r="X251" t="str">
            <v>Emerging Technologies</v>
          </cell>
          <cell r="Y251" t="str">
            <v>Blockchain, Compliance, Identity Management, Information Technology</v>
          </cell>
        </row>
        <row r="252">
          <cell r="A252" t="str">
            <v>Jobartis</v>
          </cell>
          <cell r="B252" t="str">
            <v>Jobartis is the leading job board in Angola. It combines the main features of traditional job boards with African specifications.</v>
          </cell>
          <cell r="C252" t="str">
            <v>Active</v>
          </cell>
          <cell r="D252">
            <v>2013</v>
          </cell>
          <cell r="G252" t="str">
            <v>Angola</v>
          </cell>
          <cell r="X252" t="str">
            <v>Commercial &amp; Professional Services</v>
          </cell>
          <cell r="Y252" t="str">
            <v>Human Resources, Internet, Recruiting</v>
          </cell>
        </row>
        <row r="253">
          <cell r="A253" t="str">
            <v>Koann</v>
          </cell>
          <cell r="B253" t="str">
            <v>Koann is a profiling platform for a better Job-Matching and Career Evolution and involving A.I., neuroscience and geographic big data From High-School students to Senior citizen workforce</v>
          </cell>
          <cell r="C253" t="str">
            <v>Active</v>
          </cell>
          <cell r="D253">
            <v>2013</v>
          </cell>
          <cell r="G253" t="str">
            <v>Mauritius</v>
          </cell>
          <cell r="X253" t="str">
            <v>Commercial &amp; Professional Services</v>
          </cell>
          <cell r="Y253" t="str">
            <v>Human Resources, Internet, Software, Recruitment</v>
          </cell>
        </row>
        <row r="254">
          <cell r="A254" t="str">
            <v>Credpal</v>
          </cell>
          <cell r="B254" t="str">
            <v>CredPal is a technology company that allow consumers buy anything across online and offline merchants and pay for it in installments.</v>
          </cell>
          <cell r="C254" t="str">
            <v>Active</v>
          </cell>
          <cell r="D254">
            <v>2017</v>
          </cell>
          <cell r="G254" t="str">
            <v>Nigeria</v>
          </cell>
          <cell r="X254" t="str">
            <v>Financial Services</v>
          </cell>
          <cell r="Y254" t="str">
            <v>Fintech, Consumer financing, Credit scoring</v>
          </cell>
        </row>
        <row r="255">
          <cell r="A255" t="str">
            <v>Swiver</v>
          </cell>
          <cell r="B255" t="str">
            <v>Swiver aims to facilitate paperwork management for SMEs by offering online invoicing.</v>
          </cell>
          <cell r="C255" t="str">
            <v>Active</v>
          </cell>
          <cell r="D255">
            <v>2016</v>
          </cell>
          <cell r="G255" t="str">
            <v>Tunisia</v>
          </cell>
          <cell r="X255" t="str">
            <v>Financial Services</v>
          </cell>
          <cell r="Y255" t="str">
            <v>Invoicing, Cloud App, Accounting, Entrepreneurship, Billing, Payroll Management, Inventory Management, Digitalization of Paperwork, and Financial Technology</v>
          </cell>
        </row>
        <row r="256">
          <cell r="A256" t="str">
            <v>Wallets Africa</v>
          </cell>
          <cell r="B256" t="str">
            <v>A fintech app that allows people to send money to friends or family and pay bills with only the recipient’s phone number, Wallet helps users keep track of their spending through financial reporting available on the app.</v>
          </cell>
          <cell r="C256" t="str">
            <v>Active</v>
          </cell>
          <cell r="D256">
            <v>2016</v>
          </cell>
          <cell r="G256" t="str">
            <v>Nigeria</v>
          </cell>
          <cell r="X256" t="str">
            <v>Financial Services</v>
          </cell>
          <cell r="Y256" t="str">
            <v>Financial Services, FinTech, Infrastructure, Mobile, Mobile Payments, Payments</v>
          </cell>
        </row>
        <row r="257">
          <cell r="A257" t="str">
            <v>Printivo.com</v>
          </cell>
          <cell r="B257" t="str">
            <v>Printivo.com is disrupting the Nigerian printing industry through their efficient printing expertise, wide range of design templates and the reach of the internet. The first of its kind in Nigeria, Printivo offers: high quality prints, unrivalled turnaround time, a do-it-yourself approach to print ordering and a wide range of print product design templates. Printivo serves both individual and corporate customers.</v>
          </cell>
          <cell r="C257" t="str">
            <v>Active</v>
          </cell>
          <cell r="D257">
            <v>2013</v>
          </cell>
          <cell r="G257" t="str">
            <v>Nigeria</v>
          </cell>
          <cell r="X257" t="str">
            <v>Media &amp; Entertainment</v>
          </cell>
          <cell r="Y257" t="str">
            <v>Online Printing, Business cards, Letterheads, Envelopes, Gift Items, Paper Bags, Stickers, Rollup Banner, Magic Mugs, Logo Mugs and Photo Mugs, Handbills, Greeting Cards, Invitations, PostCards, Graphic Designs, and Wedding Products Invitations, Gift Items and more</v>
          </cell>
        </row>
        <row r="258">
          <cell r="A258" t="str">
            <v>Aura</v>
          </cell>
          <cell r="B258" t="str">
            <v>AURA is a revolutionary approach to security and armed response in South Africa. AURA's strategy is to aggregate the armed response industry nationally, into one dynamic response organism, providing clients direct access to our rapid response network. AURA achieves this by providing a technology platform to localized armed response providers, giving them an opportunity to utilize technology to differentiate their offering and provide services to an exciting and growing Mobile security marketplace.</v>
          </cell>
          <cell r="C258" t="str">
            <v>Active</v>
          </cell>
          <cell r="D258">
            <v>2017</v>
          </cell>
          <cell r="G258" t="str">
            <v>South Africa</v>
          </cell>
          <cell r="X258" t="str">
            <v>Information Technology</v>
          </cell>
          <cell r="Y258" t="str">
            <v>Security</v>
          </cell>
        </row>
        <row r="259">
          <cell r="A259" t="str">
            <v>Eversend</v>
          </cell>
          <cell r="B259" t="str">
            <v>Makes mobile money borderless. Exchange, save and send money intra-Africa at the best possible rates</v>
          </cell>
          <cell r="C259" t="str">
            <v>Active</v>
          </cell>
          <cell r="D259">
            <v>2017</v>
          </cell>
          <cell r="G259" t="str">
            <v>Uganda</v>
          </cell>
          <cell r="X259" t="str">
            <v>Financial Services</v>
          </cell>
          <cell r="Y259" t="str">
            <v>Blockchain, Cryptocurrency, FinTech, InsurTech, Mobile Payments</v>
          </cell>
        </row>
        <row r="260">
          <cell r="A260" t="str">
            <v>Breadfast</v>
          </cell>
          <cell r="B260" t="str">
            <v>Breadfast is a bakery and breakfast delivery startup.</v>
          </cell>
          <cell r="C260" t="str">
            <v>Active</v>
          </cell>
          <cell r="D260">
            <v>2017</v>
          </cell>
          <cell r="G260" t="str">
            <v>Egypt</v>
          </cell>
          <cell r="X260" t="str">
            <v>E-Commerce &amp; Retail</v>
          </cell>
          <cell r="Y260" t="str">
            <v>Food and Beverages</v>
          </cell>
        </row>
        <row r="261">
          <cell r="A261" t="str">
            <v>Garment IO</v>
          </cell>
          <cell r="B261" t="str">
            <v>Garment IO is a smart IoT platform tailored to boost the productivity of the Garment manufacturing industry. It is a plug and play, software/hardware solution providing garment factory managers and owners a complete overview of production processes, labor performance and production cost calculation</v>
          </cell>
          <cell r="C261" t="str">
            <v>Active</v>
          </cell>
          <cell r="D261">
            <v>2017</v>
          </cell>
          <cell r="G261" t="str">
            <v>Egypt</v>
          </cell>
          <cell r="X261" t="str">
            <v>Information Technology</v>
          </cell>
          <cell r="Y261" t="str">
            <v>Garment manufacturing</v>
          </cell>
        </row>
        <row r="262">
          <cell r="A262" t="str">
            <v>Praxilabs</v>
          </cell>
          <cell r="B262" t="str">
            <v>PraxiLabs aims to provide equal opportunity for an enhanced STEM education for students everywhere by providing 3D interactive virtual simulations that are accessible, usable, and affordable for educational institutions and students.</v>
          </cell>
          <cell r="C262" t="str">
            <v>Active</v>
          </cell>
          <cell r="D262">
            <v>2016</v>
          </cell>
          <cell r="G262" t="str">
            <v>Egypt</v>
          </cell>
          <cell r="X262" t="str">
            <v>Education</v>
          </cell>
          <cell r="Y262" t="str">
            <v>3D Technology, Content Creators, EdTech, Education, Simulation, Virtual Reality</v>
          </cell>
        </row>
        <row r="263">
          <cell r="A263" t="str">
            <v>FinAccess</v>
          </cell>
          <cell r="B263" t="str">
            <v>FinAccess is a cloud-based “banking software for microfinance organisations</v>
          </cell>
          <cell r="C263" t="str">
            <v>Active</v>
          </cell>
          <cell r="D263">
            <v>2009</v>
          </cell>
          <cell r="G263" t="str">
            <v>Kenya</v>
          </cell>
          <cell r="X263" t="str">
            <v>Financial Services</v>
          </cell>
        </row>
        <row r="264">
          <cell r="A264" t="str">
            <v>Flare</v>
          </cell>
          <cell r="B264" t="str">
            <v>Flare is providing lifesaving infrastructure (technology and systems) for millions of people around the world, who lack access to help during an emergency</v>
          </cell>
          <cell r="C264" t="str">
            <v>Active</v>
          </cell>
          <cell r="D264">
            <v>2016</v>
          </cell>
          <cell r="G264" t="str">
            <v>Kenya</v>
          </cell>
          <cell r="X264" t="str">
            <v>Healthcare &amp; Pharma</v>
          </cell>
          <cell r="Y264" t="str">
            <v>Apps, Emergency Medicine, Health Care, Transportation</v>
          </cell>
        </row>
        <row r="265">
          <cell r="A265" t="str">
            <v>SeamlessHR</v>
          </cell>
          <cell r="B265" t="str">
            <v>SeamlessHR helps businesses optimise the productivity of their people via cutting edge HR technology solutions</v>
          </cell>
          <cell r="C265" t="str">
            <v>Active</v>
          </cell>
          <cell r="D265">
            <v>2017</v>
          </cell>
          <cell r="G265" t="str">
            <v>Nigeria</v>
          </cell>
          <cell r="X265" t="str">
            <v>Commercial &amp; Professional Services</v>
          </cell>
          <cell r="Y265" t="str">
            <v>Human Resource</v>
          </cell>
        </row>
        <row r="266">
          <cell r="A266" t="str">
            <v>Kasha</v>
          </cell>
          <cell r="B266" t="str">
            <v>Kasha is a an ecommerce and consumer insights platform that is revolutionizing the way that women in East Africa buy their health and personal care products. Kasha started in 2016 and is now operating around the country in Rwanda and in Kenya. Kasha provides a confidential purchasing and discrete delivery experience and is built to be widely accessible, without requiring internet access or smartphone to browse through products, order, pay and get genuine quality products delivered. Kasha is a purpose-driven business focused on promoting women's empowerment for health and self-care while providing direct access to quality products and information. Kasha strives to one day serve millions of women around the world in emerging markets, serving as the go-to place for women's health and personal care products.</v>
          </cell>
          <cell r="C266" t="str">
            <v>Active</v>
          </cell>
          <cell r="D266">
            <v>2016</v>
          </cell>
          <cell r="G266" t="str">
            <v>Rwanda</v>
          </cell>
          <cell r="X266" t="str">
            <v>E-Commerce &amp; Retail</v>
          </cell>
          <cell r="Y266" t="str">
            <v>Consumer Goods, Retail, Retail Technology, Women</v>
          </cell>
        </row>
        <row r="267">
          <cell r="A267" t="str">
            <v>Rwanda Motor Cycle Company</v>
          </cell>
          <cell r="B267" t="str">
            <v>Rwanda is experiencing major and positive changes in all areas, including transportation. It is to meet that growing demand for mobility that our company has invested both in resources and know-how to provide the most appropriate solutions. In a few months of operations, we are today the Rwandan leader in our sector of activity, this is thanks to the trust that our customers, employees and partners are placing in us. The path we have begun is leading us to a promising future.</v>
          </cell>
          <cell r="D267">
            <v>2017</v>
          </cell>
          <cell r="G267" t="str">
            <v>Rwanda</v>
          </cell>
          <cell r="X267" t="str">
            <v>Transport &amp; Logistics</v>
          </cell>
          <cell r="Y267" t="str">
            <v>Motorcycles designed</v>
          </cell>
        </row>
        <row r="268">
          <cell r="A268" t="str">
            <v>Harmonica</v>
          </cell>
          <cell r="B268" t="str">
            <v>Harmonica is the leading Marriage making app that allows users to find their life partner throughout scientific conservative algorithm.</v>
          </cell>
          <cell r="C268" t="str">
            <v>Active</v>
          </cell>
          <cell r="D268">
            <v>2017</v>
          </cell>
          <cell r="G268" t="str">
            <v>Egypt</v>
          </cell>
          <cell r="X268" t="str">
            <v>Social Network</v>
          </cell>
          <cell r="Y268" t="str">
            <v>Dating, Mobile Apps, Social Network</v>
          </cell>
        </row>
        <row r="269">
          <cell r="A269" t="str">
            <v>Hashtag Our Stories</v>
          </cell>
          <cell r="B269" t="str">
            <v>Hashtag Our Stories creates show by empowering people to tell video stories with the phones. We work with both independent communities, and build hyperlocal mobile journalism projects within existing news organisations to diversify their news coverage. More views, more perspectives and more angles can enable more truth.</v>
          </cell>
          <cell r="C269" t="str">
            <v>Active</v>
          </cell>
          <cell r="D269">
            <v>2017</v>
          </cell>
          <cell r="G269" t="str">
            <v>South Africa</v>
          </cell>
          <cell r="X269" t="str">
            <v>Media &amp; Entertainment</v>
          </cell>
          <cell r="Y269" t="str">
            <v>Media, Entertainment, Social News, Video</v>
          </cell>
        </row>
        <row r="270">
          <cell r="A270" t="str">
            <v>Think.IT</v>
          </cell>
          <cell r="B270" t="str">
            <v>Think.iT invests in software engineers by connecting brilliance with opportunity</v>
          </cell>
          <cell r="C270" t="str">
            <v>Active</v>
          </cell>
          <cell r="D270">
            <v>2017</v>
          </cell>
          <cell r="G270" t="str">
            <v>Tunisia</v>
          </cell>
          <cell r="X270" t="str">
            <v>Information Technology</v>
          </cell>
          <cell r="Y270" t="str">
            <v>Technology and Software Development, Web Development, Data Security, Microservices, Technology Staffing, Blockchain, Data Science, Machine Learning, Cloud Services, Social Impact, and Talent Development</v>
          </cell>
        </row>
        <row r="271">
          <cell r="A271" t="str">
            <v>ScholarX</v>
          </cell>
          <cell r="B271" t="str">
            <v>ScholarX is a Social Enterprise that supports education by helping students access scholarships</v>
          </cell>
          <cell r="C271" t="str">
            <v>Active</v>
          </cell>
          <cell r="D271">
            <v>2016</v>
          </cell>
          <cell r="G271" t="str">
            <v>Nigeria</v>
          </cell>
          <cell r="X271" t="str">
            <v>Education</v>
          </cell>
          <cell r="Y271" t="str">
            <v>Education, Mobile Apps, Universities</v>
          </cell>
        </row>
        <row r="272">
          <cell r="A272" t="str">
            <v>CanGo</v>
          </cell>
          <cell r="B272" t="str">
            <v>CanGo (formely SafeMotos) is connecting customers to safer motorcycle taxis across Africa, starting in Rwanda. Every day 612 Africans die from road deaths. That’s 16% of the global total with 2% of the cars.</v>
          </cell>
          <cell r="C272" t="str">
            <v>Active</v>
          </cell>
          <cell r="D272">
            <v>2015</v>
          </cell>
          <cell r="G272" t="str">
            <v>Rwanda</v>
          </cell>
          <cell r="X272" t="str">
            <v>Transport &amp; Logistics</v>
          </cell>
          <cell r="Y272" t="str">
            <v>Apps, Public Safety, Taxi Service, Transportation, Ride-hailing</v>
          </cell>
        </row>
        <row r="273">
          <cell r="A273" t="str">
            <v>Julaya</v>
          </cell>
          <cell r="B273" t="str">
            <v>Julaya is a mobile payments app based in Ivory Coast</v>
          </cell>
          <cell r="C273" t="str">
            <v>Active</v>
          </cell>
          <cell r="D273">
            <v>2018</v>
          </cell>
          <cell r="G273" t="str">
            <v>Ivory Coast</v>
          </cell>
          <cell r="X273" t="str">
            <v>Financial Services</v>
          </cell>
          <cell r="Y273" t="str">
            <v>FinTech, Mobile Apps, Mobile Payments</v>
          </cell>
        </row>
        <row r="274">
          <cell r="A274" t="str">
            <v>Afrostream</v>
          </cell>
          <cell r="B274" t="str">
            <v>Afrostream brings you the best black shows, films, web series and more, streaming online anytime, anywhere. The site boasts an international library of 1,000+ hours of premium content, subtitled or dubbed according to the local market</v>
          </cell>
          <cell r="C274" t="str">
            <v>Dead</v>
          </cell>
          <cell r="D274">
            <v>2014</v>
          </cell>
          <cell r="G274" t="str">
            <v>France</v>
          </cell>
          <cell r="X274" t="str">
            <v>Media &amp; Entertainment</v>
          </cell>
          <cell r="Y274" t="str">
            <v>Film, Media and Entertainment, Subscription Service</v>
          </cell>
        </row>
        <row r="275">
          <cell r="A275" t="str">
            <v>Edves</v>
          </cell>
          <cell r="B275" t="str">
            <v>EDVES is the Largest Education Portal for K-12 Students, Teachers, Administrators and Parents in Nigeria.</v>
          </cell>
          <cell r="C275" t="str">
            <v>Active</v>
          </cell>
          <cell r="D275">
            <v>2016</v>
          </cell>
          <cell r="G275" t="str">
            <v>Nigeria</v>
          </cell>
          <cell r="X275" t="str">
            <v>Education</v>
          </cell>
          <cell r="Y275" t="str">
            <v>EdTech, Enterprise Resource Planning (ERP), SaaS</v>
          </cell>
        </row>
        <row r="276">
          <cell r="A276" t="str">
            <v>Kora</v>
          </cell>
          <cell r="B276" t="str">
            <v>Kora is an online cross-border payments solution that leverages cutting edge technology including Blockchain settlement to lower the cost of remittance while increasing the speed of individual and business payments into and within Africa</v>
          </cell>
          <cell r="C276" t="str">
            <v>Active</v>
          </cell>
          <cell r="D276">
            <v>2017</v>
          </cell>
          <cell r="G276" t="str">
            <v>Nigeria</v>
          </cell>
          <cell r="X276" t="str">
            <v>Financial Services</v>
          </cell>
          <cell r="Y276" t="str">
            <v>Finacial Services</v>
          </cell>
        </row>
        <row r="277">
          <cell r="A277" t="str">
            <v>Releaf</v>
          </cell>
          <cell r="B277" t="str">
            <v>Releaf connects African businesses to customers they can trust.</v>
          </cell>
          <cell r="C277" t="str">
            <v>Active</v>
          </cell>
          <cell r="D277">
            <v>2017</v>
          </cell>
          <cell r="G277" t="str">
            <v>Nigeria</v>
          </cell>
          <cell r="X277" t="str">
            <v>E-Commerce &amp; Retail</v>
          </cell>
          <cell r="Y277" t="str">
            <v>B2B, E-Commerce, Marketplace</v>
          </cell>
        </row>
        <row r="278">
          <cell r="A278" t="str">
            <v>Wellahealth</v>
          </cell>
          <cell r="B278" t="str">
            <v>Technology for health and pharmaceutical care in Africa</v>
          </cell>
          <cell r="D278">
            <v>2014</v>
          </cell>
          <cell r="G278" t="str">
            <v>Nigeria</v>
          </cell>
          <cell r="X278" t="str">
            <v>Information Technology</v>
          </cell>
          <cell r="Y278" t="str">
            <v>Health, Pharmaceuticas, Artificial Intelligence</v>
          </cell>
        </row>
        <row r="279">
          <cell r="A279" t="str">
            <v>Shopmeaway</v>
          </cell>
          <cell r="B279" t="str">
            <v>Shopmeaway makes it possible for anyone , business or individual, to buy and receive at an affordable price any product even if he is in a region underserved by main global suppliers.Globalization is making the world a smaller place and is creating a culture of common material aspiration.However these material aspirations are not equally fulfilled for everyone due to logistics and payment issues. Shopmeaway combines a product aggregator platform with a discount logistics service to tackle both issues first in Africa, then LATIM and other emerging areas.</v>
          </cell>
          <cell r="C279" t="str">
            <v>Active</v>
          </cell>
          <cell r="D279">
            <v>2015</v>
          </cell>
          <cell r="G279" t="str">
            <v>Senegal</v>
          </cell>
          <cell r="X279" t="str">
            <v>E-Commerce &amp; Retail</v>
          </cell>
          <cell r="Y279" t="str">
            <v>logistics, e-commerce</v>
          </cell>
        </row>
        <row r="280">
          <cell r="A280" t="str">
            <v>Passerine Aircraft Corporation</v>
          </cell>
          <cell r="B280" t="str">
            <v>Passerine Aircraft develops electric-powered aircraft that can attain flight speed using a jumping mechanism.</v>
          </cell>
          <cell r="C280" t="str">
            <v>Active</v>
          </cell>
          <cell r="D280">
            <v>2017</v>
          </cell>
          <cell r="G280" t="str">
            <v>South Africa</v>
          </cell>
          <cell r="X280" t="str">
            <v>Transport &amp; Logistics</v>
          </cell>
          <cell r="Y280" t="str">
            <v>Aerospace, Fleet Management, Manufacturing</v>
          </cell>
        </row>
        <row r="281">
          <cell r="A281" t="str">
            <v>Mandulis Energy</v>
          </cell>
          <cell r="B281" t="str">
            <v>Mandulis Energy is a developer of renewable energy projects in emerging markets</v>
          </cell>
          <cell r="C281" t="str">
            <v>Active</v>
          </cell>
          <cell r="D281">
            <v>2014</v>
          </cell>
          <cell r="G281" t="str">
            <v>Uganda</v>
          </cell>
          <cell r="X281" t="str">
            <v>Energy &amp; Environment Resources</v>
          </cell>
          <cell r="Y281" t="str">
            <v>Agriculture, Biomass Energy, Clean Energy, Electrical Distribution, Emerging Markets, Sustainability</v>
          </cell>
        </row>
        <row r="282">
          <cell r="A282" t="str">
            <v>Paykind Inc</v>
          </cell>
          <cell r="B282" t="str">
            <v>Paykind (formerly Cardplanet Solutions) offers a payment solution where mobile money meets cards initially targeting students and schools.</v>
          </cell>
          <cell r="C282" t="str">
            <v>Active</v>
          </cell>
          <cell r="D282">
            <v>2011</v>
          </cell>
          <cell r="G282" t="str">
            <v>Kenya</v>
          </cell>
          <cell r="X282" t="str">
            <v>Financial Services</v>
          </cell>
          <cell r="Y282" t="str">
            <v>Fintech, Payment solutions</v>
          </cell>
        </row>
        <row r="283">
          <cell r="A283" t="str">
            <v>Aklabaity</v>
          </cell>
          <cell r="B283" t="str">
            <v>Akla-Baity is a female-driven online marketplace offering homemade catering and delivery on demand, connecting busy families and talented cooks.</v>
          </cell>
          <cell r="C283" t="str">
            <v>Active</v>
          </cell>
          <cell r="D283">
            <v>2016</v>
          </cell>
          <cell r="G283" t="str">
            <v>Egypt</v>
          </cell>
          <cell r="X283" t="str">
            <v>E-Commerce &amp; Retail</v>
          </cell>
          <cell r="Y283" t="str">
            <v>E-Commerce, Food and Beverage, Internet</v>
          </cell>
        </row>
        <row r="284">
          <cell r="A284" t="str">
            <v>COLNN</v>
          </cell>
          <cell r="B284" t="str">
            <v>COLNN is a cloud-based app which connects teachers, students and parents at the same time.</v>
          </cell>
          <cell r="C284" t="str">
            <v>Active</v>
          </cell>
          <cell r="D284">
            <v>2015</v>
          </cell>
          <cell r="G284" t="str">
            <v>Egypt</v>
          </cell>
          <cell r="X284" t="str">
            <v>Education</v>
          </cell>
          <cell r="Y284" t="str">
            <v>E-learning</v>
          </cell>
        </row>
        <row r="285">
          <cell r="A285" t="str">
            <v>Elwafeyat</v>
          </cell>
          <cell r="B285" t="str">
            <v>Elwafeyat is a provider of an online obituary platform intended to offer offline funeral services.</v>
          </cell>
          <cell r="C285" t="str">
            <v>Active</v>
          </cell>
          <cell r="D285">
            <v>2013</v>
          </cell>
          <cell r="G285" t="str">
            <v>Egypt</v>
          </cell>
          <cell r="X285" t="str">
            <v>Media &amp; Entertainment</v>
          </cell>
          <cell r="Y285" t="str">
            <v>Events Management, Service Industry, Funeral Management</v>
          </cell>
        </row>
        <row r="286">
          <cell r="A286" t="str">
            <v>Gbarena</v>
          </cell>
          <cell r="B286" t="str">
            <v>Online gaming community that connects gamers to global tournaments and challenges and provide organizers with tournament management platform</v>
          </cell>
          <cell r="C286" t="str">
            <v>Active</v>
          </cell>
          <cell r="D286">
            <v>2016</v>
          </cell>
          <cell r="G286" t="str">
            <v>Egypt</v>
          </cell>
          <cell r="X286" t="str">
            <v>Media &amp; Entertainment</v>
          </cell>
          <cell r="Y286" t="str">
            <v>Communities, eSports, Gaming, Online Games</v>
          </cell>
        </row>
        <row r="287">
          <cell r="A287" t="str">
            <v>Hovo</v>
          </cell>
          <cell r="B287" t="str">
            <v>On-demand mobile app for ordering trucks</v>
          </cell>
          <cell r="C287" t="str">
            <v>Active</v>
          </cell>
          <cell r="D287">
            <v>2018</v>
          </cell>
          <cell r="G287" t="str">
            <v>Egypt</v>
          </cell>
          <cell r="X287" t="str">
            <v>Transport &amp; Logistics</v>
          </cell>
          <cell r="Y287" t="str">
            <v>Logistics, Mobile Apps, Transportation</v>
          </cell>
        </row>
        <row r="288">
          <cell r="A288" t="str">
            <v>Webville</v>
          </cell>
          <cell r="B288" t="str">
            <v>Webville is a social rating engine that aggregates and analyzes content ratings to help users preview the quality of any link on the web.</v>
          </cell>
          <cell r="C288" t="str">
            <v>Active</v>
          </cell>
          <cell r="D288">
            <v>2015</v>
          </cell>
          <cell r="G288" t="str">
            <v>Egypt</v>
          </cell>
          <cell r="X288" t="str">
            <v>Information Technology</v>
          </cell>
          <cell r="Y288" t="str">
            <v>Big Data, Internet, Social</v>
          </cell>
        </row>
        <row r="289">
          <cell r="A289" t="str">
            <v xml:space="preserve">Shagga3App </v>
          </cell>
          <cell r="B289" t="str">
            <v>Shagga3App" is a mobile application that allows its users to upload/ record their cheerig videos to their sports team</v>
          </cell>
          <cell r="C289" t="str">
            <v>Active</v>
          </cell>
          <cell r="D289">
            <v>2018</v>
          </cell>
          <cell r="G289" t="str">
            <v>Egypt</v>
          </cell>
          <cell r="X289" t="str">
            <v>Media &amp; Entertainment</v>
          </cell>
          <cell r="Y289" t="str">
            <v>Mobile application</v>
          </cell>
        </row>
        <row r="290">
          <cell r="A290" t="str">
            <v>Bace Group</v>
          </cell>
          <cell r="B290" t="str">
            <v>BACE Group is a FinTech company that provides digital services to financial institutions. The team is revolutionizing customer experience through their application programming interface (APIs) that secure client identity and KYC data with OCR and facial recognition technology.</v>
          </cell>
          <cell r="C290" t="str">
            <v>Active</v>
          </cell>
          <cell r="D290">
            <v>2018</v>
          </cell>
          <cell r="G290" t="str">
            <v>Ghana</v>
          </cell>
          <cell r="X290" t="str">
            <v>Financial Services</v>
          </cell>
          <cell r="Y290" t="str">
            <v>Financial Services, FinTech, Information Technology, Payments</v>
          </cell>
        </row>
        <row r="291">
          <cell r="A291" t="str">
            <v>Jumeni</v>
          </cell>
          <cell r="B291" t="str">
            <v>Jumeni provides cloud-based field management software that brings transparency to the field by making it easy to schedule and assign tasks to field workers, collect and analyze data from the field, and digitally receive payments from customers</v>
          </cell>
          <cell r="C291" t="str">
            <v>Active</v>
          </cell>
          <cell r="D291">
            <v>2018</v>
          </cell>
          <cell r="G291" t="str">
            <v>Ghana</v>
          </cell>
          <cell r="X291" t="str">
            <v>Information Technology</v>
          </cell>
          <cell r="Y291" t="str">
            <v>Financial Services, Information Technology, Mobile Payments</v>
          </cell>
        </row>
        <row r="292">
          <cell r="A292" t="str">
            <v>Nvoicia</v>
          </cell>
          <cell r="B292" t="str">
            <v>Nvoicia assists small businesses with unpaid invoices, gain access to working capital loans in order to efficiently run their businesses using these invoices.</v>
          </cell>
          <cell r="C292" t="str">
            <v>Active</v>
          </cell>
          <cell r="D292">
            <v>2018</v>
          </cell>
          <cell r="G292" t="str">
            <v>Ghana</v>
          </cell>
          <cell r="X292" t="str">
            <v>Financial Services</v>
          </cell>
          <cell r="Y292" t="str">
            <v>Working Capital, Fintech, SME, and Loans</v>
          </cell>
        </row>
        <row r="293">
          <cell r="A293" t="str">
            <v xml:space="preserve">CodeIn </v>
          </cell>
          <cell r="B293" t="str">
            <v>CodeIn solves a problem everyone in the tech industry in Africa is keenly aware of: efficiently and consistently testing and hiring software developers, by providing an end-to-end testing and hiring platform. CodeIn hopes to unlock work opportunities for freelance software developers in Africa and the world</v>
          </cell>
          <cell r="D293">
            <v>2017</v>
          </cell>
          <cell r="G293" t="str">
            <v>Ghana</v>
          </cell>
          <cell r="X293" t="str">
            <v>Recruitment</v>
          </cell>
          <cell r="Y293" t="str">
            <v>recruitment software, IT recruitment</v>
          </cell>
        </row>
        <row r="294">
          <cell r="A294" t="str">
            <v>ShareHouse</v>
          </cell>
          <cell r="B294" t="str">
            <v>Sharehouse helps business find storage space whenever they need it, with the beauty of getting storage space as small as 20 sqm for whatever period they need it on one hand, and lets businesses rent out unused storage space, like that empty corner in your warehouse on the other</v>
          </cell>
          <cell r="C294" t="str">
            <v>Active</v>
          </cell>
          <cell r="D294">
            <v>2018</v>
          </cell>
          <cell r="G294" t="str">
            <v>Ghana</v>
          </cell>
          <cell r="X294" t="str">
            <v>Transport &amp; Logistics</v>
          </cell>
          <cell r="Y294" t="str">
            <v>On Demand Warehousing, Warehouse logistics, and Fullfilment</v>
          </cell>
        </row>
        <row r="295">
          <cell r="A295" t="str">
            <v>Truckr Technologies</v>
          </cell>
          <cell r="B295" t="str">
            <v>Truckr Technologies is a secure and centralized marketplace which enables listing and booking of third-party trucks. Truckr gives real-time visibility, cargo-in-transit insurance and proper communication channels to cargo owners such as shippers and freight forwarders. Through Truckr, cargo owners cut down the cost of transportation by at least 30% by utilizing empty miles</v>
          </cell>
          <cell r="C295" t="str">
            <v>Active</v>
          </cell>
          <cell r="D295">
            <v>2018</v>
          </cell>
          <cell r="G295" t="str">
            <v>Ghana</v>
          </cell>
          <cell r="X295" t="str">
            <v>Transport &amp; Logistics</v>
          </cell>
          <cell r="Y295" t="str">
            <v>logistics, transportation, IoT, road-freight, tracking, cargo, and technology</v>
          </cell>
        </row>
        <row r="296">
          <cell r="A296" t="str">
            <v>Arifu</v>
          </cell>
          <cell r="B296" t="str">
            <v>Arifu is a new kind of platform that's taking quality education to scale.</v>
          </cell>
          <cell r="C296" t="str">
            <v>Active</v>
          </cell>
          <cell r="D296">
            <v>2013</v>
          </cell>
          <cell r="G296" t="str">
            <v>Kenya</v>
          </cell>
          <cell r="X296" t="str">
            <v>Education</v>
          </cell>
          <cell r="Y296" t="str">
            <v>Digital Learning, Agriculture</v>
          </cell>
        </row>
        <row r="297">
          <cell r="A297" t="str">
            <v>Onesha</v>
          </cell>
          <cell r="B297" t="str">
            <v>At Onesha, we aim to make businesses in line with the times. We help you with design, digital and social media through our network of skilled creatives. We give your business a digital lifeline through content creation and strategy for a positive impact on your customers and your followers.</v>
          </cell>
          <cell r="C297" t="str">
            <v>Active</v>
          </cell>
          <cell r="D297">
            <v>2016</v>
          </cell>
          <cell r="G297" t="str">
            <v>Kenya</v>
          </cell>
          <cell r="X297" t="str">
            <v>Media &amp; Entertainment</v>
          </cell>
          <cell r="Y297" t="str">
            <v>Architecture, Brand Marketing, Digital Marketing, Digital Media, Education, Graphic Design, Personal Branding, Recruiting, Social Media Marketing, Video Advertising</v>
          </cell>
        </row>
        <row r="298">
          <cell r="A298" t="str">
            <v>Talklift</v>
          </cell>
          <cell r="B298" t="str">
            <v>TalkLift platform provides an easy way for businesses to manage conversations with their customers from different communication channel.</v>
          </cell>
          <cell r="C298" t="str">
            <v>Active</v>
          </cell>
          <cell r="D298">
            <v>2017</v>
          </cell>
          <cell r="G298" t="str">
            <v>Kenya</v>
          </cell>
          <cell r="X298" t="str">
            <v>SaaS</v>
          </cell>
          <cell r="Y298" t="str">
            <v>CRM, Customer Support, Customer Experience, SaaS</v>
          </cell>
        </row>
        <row r="299">
          <cell r="A299" t="str">
            <v>Tambua Health Inc.</v>
          </cell>
          <cell r="B299" t="str">
            <v>Tambua Health Limited is a medical technology software and services company that utilizes Spectral Analysis, Artificial Intelligence and Machine Learning to offer cheap, accessible and reliable Diagnosis solutions for Lower Respiratory Tract Infections. We are also advancing the use of digital therapeutics and healthcare informatics</v>
          </cell>
          <cell r="C299" t="str">
            <v>Active</v>
          </cell>
          <cell r="D299">
            <v>2017</v>
          </cell>
          <cell r="G299" t="str">
            <v>Kenya</v>
          </cell>
          <cell r="X299" t="str">
            <v>Healthcare &amp; Pharma</v>
          </cell>
          <cell r="Y299" t="str">
            <v>AI, Healthtech, and Spectral Analysis</v>
          </cell>
        </row>
        <row r="300">
          <cell r="A300" t="str">
            <v>Taimba Limited</v>
          </cell>
          <cell r="B300" t="str">
            <v>Taimba sources agricultural products directly from the rural small-scale farmers and delivers directly to informal green grocers, schools, hospitals and restaurants within Nairobi, thereby removing the middlemen and shrinking the agricultural value chain.</v>
          </cell>
          <cell r="C300" t="str">
            <v>Active</v>
          </cell>
          <cell r="D300">
            <v>2016</v>
          </cell>
          <cell r="G300" t="str">
            <v>Kenya</v>
          </cell>
          <cell r="X300" t="str">
            <v>Agriculture</v>
          </cell>
          <cell r="Y300" t="str">
            <v>Agribusiness</v>
          </cell>
        </row>
        <row r="301">
          <cell r="A301" t="str">
            <v>Judy</v>
          </cell>
          <cell r="B301" t="str">
            <v>JUDY is a Legal Research and Discovery Platform for finding African Commonwealth Case Law. Our team of Data Scientists work hand-in-hand with top litigating firms in Nigeria, Ghana, Kenya, and South Africa to develop an intuitive research tool saving lawyers'​ valuable time</v>
          </cell>
          <cell r="C301" t="str">
            <v>Active</v>
          </cell>
          <cell r="D301">
            <v>2018</v>
          </cell>
          <cell r="G301" t="str">
            <v>Nigeria</v>
          </cell>
          <cell r="X301" t="str">
            <v>Commercial &amp; Professional Services</v>
          </cell>
          <cell r="Y301" t="str">
            <v>Legal Research, Case Law, Law Research, Case Law Database, Legal Tech, Legal Knowledge, Legal Tools, and Value Added Practice</v>
          </cell>
        </row>
        <row r="302">
          <cell r="A302" t="str">
            <v xml:space="preserve">MVXchange </v>
          </cell>
          <cell r="B302" t="str">
            <v>MVXchange is a digital maritime logistics platform with an integrated shipbroking solution.</v>
          </cell>
          <cell r="C302" t="str">
            <v>Active</v>
          </cell>
          <cell r="D302">
            <v>2018</v>
          </cell>
          <cell r="G302" t="str">
            <v>Nigeria</v>
          </cell>
          <cell r="X302" t="str">
            <v>Transport &amp; Logistics</v>
          </cell>
          <cell r="Y302" t="str">
            <v>Transport, Logistics</v>
          </cell>
        </row>
        <row r="303">
          <cell r="A303" t="str">
            <v>Fancam</v>
          </cell>
          <cell r="B303" t="str">
            <v>Fancam is the ultimate crowd-selfie and while engagement is facilitated through cutting edge technology</v>
          </cell>
          <cell r="C303" t="str">
            <v>Active</v>
          </cell>
          <cell r="D303">
            <v>2010</v>
          </cell>
          <cell r="G303" t="str">
            <v>South Africa</v>
          </cell>
          <cell r="X303" t="str">
            <v>Media &amp; Entertainment</v>
          </cell>
          <cell r="Y303" t="str">
            <v>Advertising, Marketing</v>
          </cell>
        </row>
        <row r="304">
          <cell r="A304" t="str">
            <v>Xente</v>
          </cell>
          <cell r="B304" t="str">
            <v>Xente is a Payments, Financial Services and eCommerce app for consumers and businesses. With Xente, consumers can buy airtime, data, pay all their bills, fees, book tickets for events, movies and buses and also shop online. Payments are easy using Mobile Money, Visa &amp; MasterCard. They can also Buy Now &amp; Pay Later.</v>
          </cell>
          <cell r="C304" t="str">
            <v>Active</v>
          </cell>
          <cell r="D304">
            <v>2014</v>
          </cell>
          <cell r="G304" t="str">
            <v>Uganda</v>
          </cell>
          <cell r="X304" t="str">
            <v>Financial Services</v>
          </cell>
          <cell r="Y304" t="str">
            <v>Finance, Digital Payments, Commerce Platform, Bill Payments, Recharge airtime , Tickets</v>
          </cell>
        </row>
        <row r="305">
          <cell r="A305" t="str">
            <v>Greenage Technologies</v>
          </cell>
          <cell r="B305" t="str">
            <v>Nigerian Based firm that deals in the design and production of Inverters, industrial Stabilizers, Auto Change Overs and Energy Efficient Electrification</v>
          </cell>
          <cell r="C305" t="str">
            <v>Active</v>
          </cell>
          <cell r="D305">
            <v>2007</v>
          </cell>
          <cell r="G305" t="str">
            <v>Nigeria</v>
          </cell>
          <cell r="X305" t="str">
            <v>Energy &amp; Environment Resources</v>
          </cell>
          <cell r="Y305" t="str">
            <v>Solar, Clean Technology</v>
          </cell>
        </row>
        <row r="306">
          <cell r="A306" t="str">
            <v>MyFoodness</v>
          </cell>
          <cell r="B306" t="str">
            <v>MyFoodness enables consumers to order food, beverages, groceries from their favorites restaurants, pharmacies and grocery stores.</v>
          </cell>
          <cell r="C306" t="str">
            <v>Active</v>
          </cell>
          <cell r="D306">
            <v>2017</v>
          </cell>
          <cell r="G306" t="str">
            <v>Botswana</v>
          </cell>
          <cell r="X306" t="str">
            <v>E-Commerce &amp; Retail</v>
          </cell>
          <cell r="Y306" t="str">
            <v>Food &amp; Beverages</v>
          </cell>
        </row>
        <row r="307">
          <cell r="A307" t="str">
            <v>Accounteer</v>
          </cell>
          <cell r="B307" t="str">
            <v>Accounteer is a cloud accounting platform for small businesses. Business owner can create invoices, track expenses and follow up on their finances with ease. Accounteer integrates with external services like banks, e-invoicing platforms and e-commerce. Future proof your business today by subscribing for a free Accounteer trial account.</v>
          </cell>
          <cell r="C307" t="str">
            <v>Active</v>
          </cell>
          <cell r="D307">
            <v>2015</v>
          </cell>
          <cell r="G307" t="str">
            <v>Nigeria</v>
          </cell>
          <cell r="X307" t="str">
            <v>Financial Services</v>
          </cell>
          <cell r="Y307" t="str">
            <v>Accounting, Banking, Financial Services, Cloud Computing</v>
          </cell>
        </row>
        <row r="308">
          <cell r="A308" t="str">
            <v>Cloud9Xp</v>
          </cell>
          <cell r="B308" t="str">
            <v>Cloud9xp is an online marketplace &amp; booking service for leisure experiences. We curate and highlight top leisure experiences to partake from wherever you are in the world.</v>
          </cell>
          <cell r="C308" t="str">
            <v>Active</v>
          </cell>
          <cell r="D308">
            <v>2016</v>
          </cell>
          <cell r="G308" t="str">
            <v>Kenya</v>
          </cell>
          <cell r="X308" t="str">
            <v>Travel &amp; Leisure</v>
          </cell>
          <cell r="Y308" t="str">
            <v>Internet, Local, Online Portals, Travel</v>
          </cell>
        </row>
        <row r="309">
          <cell r="A309" t="str">
            <v>LÜLA</v>
          </cell>
          <cell r="B309" t="str">
            <v>LULA is a mobility platform that connects corporate commuters to private shared shuttles on their commute to work; freeing up time and saving them money</v>
          </cell>
          <cell r="C309" t="str">
            <v>Active</v>
          </cell>
          <cell r="D309">
            <v>2016</v>
          </cell>
          <cell r="G309" t="str">
            <v>South Africa</v>
          </cell>
          <cell r="X309" t="str">
            <v>Information Technology</v>
          </cell>
          <cell r="Y309" t="str">
            <v>Big Data, Information Technology, Mobile Apps, Mobile Payments, Predictive Analytics, Public Transportation, Ride Sharing, Ticketing, Transportation</v>
          </cell>
        </row>
        <row r="310">
          <cell r="A310" t="str">
            <v>Vula Mobile</v>
          </cell>
          <cell r="B310" t="str">
            <v>Vula Mobile provides better medical referrals by mobile phone</v>
          </cell>
          <cell r="C310" t="str">
            <v>Active</v>
          </cell>
          <cell r="D310">
            <v>2013</v>
          </cell>
          <cell r="G310" t="str">
            <v>South Africa</v>
          </cell>
          <cell r="X310" t="str">
            <v>Healthcare &amp; Pharma</v>
          </cell>
          <cell r="Y310" t="str">
            <v>Apps, Medical, Software</v>
          </cell>
        </row>
        <row r="311">
          <cell r="A311" t="str">
            <v>You, Baby and I</v>
          </cell>
          <cell r="B311" t="str">
            <v>You, Baby and I is a South African blog platform that focuses on parenting &amp; lifestyle and showcases products &amp; services from the viewpoint of a mom's experience and recommendations - connecting moms to brands.</v>
          </cell>
          <cell r="C311" t="str">
            <v>Active</v>
          </cell>
          <cell r="D311">
            <v>2014</v>
          </cell>
          <cell r="G311" t="str">
            <v>South Africa</v>
          </cell>
          <cell r="X311" t="str">
            <v>E-Commerce &amp; Retail</v>
          </cell>
          <cell r="Y311" t="str">
            <v>e-commerce, Product and Service Advice for Moms, Events and Competitions for families, Data/Analytic Reports, retail, Product Testing, and Product Trials</v>
          </cell>
        </row>
        <row r="312">
          <cell r="A312" t="str">
            <v>Zomila</v>
          </cell>
          <cell r="B312" t="str">
            <v>Zomila, formely Zelda Learning is an Ed-Tech platform focused on connecting students to education and employment opportunities. We use personal and psychometric data to match high-potential students to the companies and opportunities that are right for them, and we aim to address the lack of support young students receive while trying to make career building decisions.</v>
          </cell>
          <cell r="C312" t="str">
            <v>Active</v>
          </cell>
          <cell r="D312">
            <v>2017</v>
          </cell>
          <cell r="G312" t="str">
            <v>South Africa</v>
          </cell>
          <cell r="X312" t="str">
            <v>Education</v>
          </cell>
          <cell r="Y312" t="str">
            <v>Education, Software</v>
          </cell>
        </row>
        <row r="313">
          <cell r="A313" t="str">
            <v>YenePay</v>
          </cell>
          <cell r="B313" t="str">
            <v>YenePay is an account based online payment platform for ethiopian businesses to sell and collect payment electronically using web and mobile technologies</v>
          </cell>
          <cell r="C313" t="str">
            <v>Active</v>
          </cell>
          <cell r="D313">
            <v>2015</v>
          </cell>
          <cell r="G313" t="str">
            <v>Ethiopia</v>
          </cell>
          <cell r="X313" t="str">
            <v>Financial Services</v>
          </cell>
          <cell r="Y313" t="str">
            <v>Online Payment Processor and Mobile Payment Processor</v>
          </cell>
        </row>
        <row r="314">
          <cell r="A314" t="str">
            <v>Tareeqi</v>
          </cell>
          <cell r="B314" t="str">
            <v>TAREEQI is the no.1 App in the MENA region in tracking Schools, universities and companies bus fleets.</v>
          </cell>
          <cell r="C314" t="str">
            <v>Active</v>
          </cell>
          <cell r="D314">
            <v>2018</v>
          </cell>
          <cell r="G314" t="str">
            <v>Egypt</v>
          </cell>
          <cell r="X314" t="str">
            <v>Transport &amp; Logistics</v>
          </cell>
          <cell r="Y314" t="str">
            <v>Education, Fleet Management, Information Technology, Logistics, SaaS, Transportation</v>
          </cell>
        </row>
        <row r="315">
          <cell r="A315" t="str">
            <v>Werpx</v>
          </cell>
          <cell r="B315" t="str">
            <v>Werpx creates a communication channel between Producers, Distributors, Retailers &amp; Consumers to solve the Inventory Distortion Problem, Artificial Intelligence will be used to predict demands and ensure the product that Consumer want is always on the shelf</v>
          </cell>
          <cell r="C315" t="str">
            <v>Active</v>
          </cell>
          <cell r="D315">
            <v>2017</v>
          </cell>
          <cell r="G315" t="str">
            <v>Egypt</v>
          </cell>
          <cell r="X315" t="str">
            <v>E-Commerce &amp; Retail</v>
          </cell>
          <cell r="Y315" t="str">
            <v>Artificial Intelligence, Big Data, Consumer, Delivery, Grocery, Predictive Analytics, Retail, Software, Supply Chain Management</v>
          </cell>
        </row>
        <row r="316">
          <cell r="A316" t="str">
            <v>E-Estates</v>
          </cell>
          <cell r="B316" t="str">
            <v>E-estates is a resident management solution built on a mobile and web platform for residents and estate managers in gated communities</v>
          </cell>
          <cell r="C316" t="str">
            <v>Active</v>
          </cell>
          <cell r="D316">
            <v>2017</v>
          </cell>
          <cell r="G316" t="str">
            <v>Nigeria</v>
          </cell>
          <cell r="X316" t="str">
            <v>Real Estate</v>
          </cell>
          <cell r="Y316" t="str">
            <v>Communities, Computer, Information Technology, Mobile Apps, Property Management, Real Estate, Software</v>
          </cell>
        </row>
        <row r="317">
          <cell r="A317" t="str">
            <v>Optimalogistic</v>
          </cell>
          <cell r="B317" t="str">
            <v>Marketplace for logistic services via Internet such as road haulier, heavy duty machinery rental, handling euipments rental, etc. It offer many functions like: - Booking system - Trucking System - Real time trucks details - Empty return trip notification - Dedicated solution for industrials and manufactures to manage their logistics</v>
          </cell>
          <cell r="C317" t="str">
            <v>Active</v>
          </cell>
          <cell r="D317">
            <v>2016</v>
          </cell>
          <cell r="G317" t="str">
            <v>Tunisia</v>
          </cell>
          <cell r="X317" t="str">
            <v>Transport &amp; Logistics</v>
          </cell>
          <cell r="Y317" t="str">
            <v>Logistics, Transportation</v>
          </cell>
        </row>
        <row r="318">
          <cell r="A318" t="str">
            <v>Kijani Limited</v>
          </cell>
          <cell r="B318" t="str">
            <v>Kijani makes cost-saving and environmentally friendly baby diapers.</v>
          </cell>
          <cell r="C318" t="str">
            <v>Active</v>
          </cell>
          <cell r="D318">
            <v>2014</v>
          </cell>
          <cell r="G318" t="str">
            <v>Uganda</v>
          </cell>
          <cell r="X318" t="str">
            <v>E-Commerce &amp; Retail</v>
          </cell>
          <cell r="Y318" t="str">
            <v>Baby diapers</v>
          </cell>
        </row>
        <row r="319">
          <cell r="A319" t="str">
            <v>JobJack</v>
          </cell>
          <cell r="B319" t="str">
            <v>JOBJACK is a marketplace for entry level jobs. One place where all entry level jobs are available. From once-off waiters for an wedding and marshals for a marathon to cashiers and cleaners in a retail store. Any type of job not needing a qualification.</v>
          </cell>
          <cell r="C319" t="str">
            <v>Active</v>
          </cell>
          <cell r="D319">
            <v>2018</v>
          </cell>
          <cell r="G319" t="str">
            <v>South Africa</v>
          </cell>
          <cell r="X319" t="str">
            <v>Recruitment</v>
          </cell>
          <cell r="Y319" t="str">
            <v>Marketplace</v>
          </cell>
        </row>
        <row r="320">
          <cell r="A320" t="str">
            <v>Mvelani</v>
          </cell>
          <cell r="B320" t="str">
            <v>Mvelani is an on-demand African music platform that helps music lover discover and listen to old and new music on all of their devices. It was founded in January 2015 by UK based entrepreneur Dumisani Kapanga. Mvelani is a Chichewa word meaning ‘Listen’. Besides listen to music, the site provides artists with a ready fan base that helps them heard.</v>
          </cell>
          <cell r="C320" t="str">
            <v>Active</v>
          </cell>
          <cell r="D320">
            <v>2015</v>
          </cell>
          <cell r="G320" t="str">
            <v>Malawi</v>
          </cell>
          <cell r="X320" t="str">
            <v>Media &amp; Entertainment</v>
          </cell>
          <cell r="Y320" t="str">
            <v>Music, Streaming, Video</v>
          </cell>
        </row>
        <row r="321">
          <cell r="A321" t="str">
            <v>Seemba</v>
          </cell>
          <cell r="B321" t="str">
            <v>Seemba revolutionizes the video game market by introducing a new perspective to the gaming experience. We give players the opportunity to monetize their talent by participating in eSport tournaments from anywhere, at any moment</v>
          </cell>
          <cell r="C321" t="str">
            <v>Active</v>
          </cell>
          <cell r="D321">
            <v>2018</v>
          </cell>
          <cell r="G321" t="str">
            <v>Cameroon</v>
          </cell>
          <cell r="X321" t="str">
            <v>Media &amp; Entertainment</v>
          </cell>
          <cell r="Y321" t="str">
            <v>Advertising, eSports, Mobile, Software, Video Games</v>
          </cell>
        </row>
        <row r="322">
          <cell r="A322" t="str">
            <v>IDF3</v>
          </cell>
          <cell r="B322" t="str">
            <v>IDF3 is mobile platform that allow cashless transactions between any two parties making POS and money transfer a seamless experience</v>
          </cell>
          <cell r="C322" t="str">
            <v>Active</v>
          </cell>
          <cell r="D322">
            <v>2019</v>
          </cell>
          <cell r="G322" t="str">
            <v>Egypt</v>
          </cell>
          <cell r="X322" t="str">
            <v>Financial Services</v>
          </cell>
          <cell r="Y322" t="str">
            <v>Blockchain, FinTech, Mobile Payments</v>
          </cell>
        </row>
        <row r="323">
          <cell r="A323" t="str">
            <v>Pinoffer</v>
          </cell>
          <cell r="B323" t="str">
            <v>Pinoffer is an offline stores analytics and retention platform power by AI Boost your sales by creating geo-retargeted ads that Increase the number of your returned customers</v>
          </cell>
          <cell r="C323" t="str">
            <v>Active</v>
          </cell>
          <cell r="D323">
            <v>2019</v>
          </cell>
          <cell r="G323" t="str">
            <v>Egypt</v>
          </cell>
          <cell r="X323" t="str">
            <v>Media &amp; Entertainment</v>
          </cell>
          <cell r="Y323" t="str">
            <v>Advertising Platforms, Mobile Advertising, Retail, Retail Technology</v>
          </cell>
        </row>
        <row r="324">
          <cell r="A324" t="str">
            <v>WideBot</v>
          </cell>
          <cell r="B324" t="str">
            <v>WideBot is the first Arabic-focused bot builder platform.</v>
          </cell>
          <cell r="C324" t="str">
            <v>Active</v>
          </cell>
          <cell r="D324">
            <v>2016</v>
          </cell>
          <cell r="G324" t="str">
            <v>Egypt</v>
          </cell>
          <cell r="X324" t="str">
            <v>Information Technology</v>
          </cell>
          <cell r="Y324" t="str">
            <v>Artificial Intelligence, Big Data, Machine Learning, Natural Language Processing</v>
          </cell>
        </row>
        <row r="325">
          <cell r="A325" t="str">
            <v>Trotro Tractor</v>
          </cell>
          <cell r="B325" t="str">
            <v>We are a team of young passionate Africans using internet of things (IoT) and technology to change the lives of smallholder farmers through the provision of platforms which makes agricultural mechanization (Tractor) service available, accessible and affordable to enhance productivity, improve efficiency and reduce post-harvest loss.</v>
          </cell>
          <cell r="C325" t="str">
            <v>Active</v>
          </cell>
          <cell r="D325">
            <v>2016</v>
          </cell>
          <cell r="G325" t="str">
            <v>Ghana</v>
          </cell>
          <cell r="X325" t="str">
            <v>Agriculture</v>
          </cell>
          <cell r="Y325" t="str">
            <v>Agriculture, AgTech, Information Technology, Internet of Things</v>
          </cell>
        </row>
        <row r="326">
          <cell r="A326" t="str">
            <v>Cherehani Africa</v>
          </cell>
          <cell r="B326" t="str">
            <v>Cherehani leverages mobile based technology to provide credit, market information and financial education to women micro-entrepreneurs.</v>
          </cell>
          <cell r="C326" t="str">
            <v>Active</v>
          </cell>
          <cell r="D326">
            <v>2015</v>
          </cell>
          <cell r="G326" t="str">
            <v>Kenya</v>
          </cell>
          <cell r="X326" t="str">
            <v>Financial Services</v>
          </cell>
          <cell r="Y326" t="str">
            <v>FinTech, Productivity Tools</v>
          </cell>
        </row>
        <row r="327">
          <cell r="A327" t="str">
            <v>Tozzaplus</v>
          </cell>
          <cell r="B327" t="str">
            <v>TozzaPlus is a workforce management system with Time Tracking, HR &amp; Payroll Managements and Automated payouts/payments</v>
          </cell>
          <cell r="C327" t="str">
            <v>Active</v>
          </cell>
          <cell r="D327">
            <v>2017</v>
          </cell>
          <cell r="G327" t="str">
            <v>Kenya</v>
          </cell>
          <cell r="X327" t="str">
            <v>Commercial &amp; Professional Services</v>
          </cell>
          <cell r="Y327" t="str">
            <v>FinTech, Human Resources, Payments, SaaS, Software</v>
          </cell>
        </row>
        <row r="328">
          <cell r="A328" t="str">
            <v>RentSmallSmall</v>
          </cell>
          <cell r="B328" t="str">
            <v>Rent Small Small Ltd. is a technology based property rental solution. Our vision is to improve rental experience and increase occupancy rate in Nigeria. We do this by work with good property owners to make their properties quickly rentable, and profitable, yet liveable and affordable to tenants</v>
          </cell>
          <cell r="C328" t="str">
            <v>Active</v>
          </cell>
          <cell r="D328">
            <v>2018</v>
          </cell>
          <cell r="G328" t="str">
            <v>Nigeria</v>
          </cell>
          <cell r="X328" t="str">
            <v>E-Commerce &amp; Retail</v>
          </cell>
          <cell r="Y328" t="str">
            <v>Property Management, Real Estate Advisory, Property Technology, Rent Insurance</v>
          </cell>
        </row>
        <row r="329">
          <cell r="A329" t="str">
            <v>DARA</v>
          </cell>
          <cell r="B329" t="str">
            <v>Fund raiser saving and contribution an online app that enables people save for longterm or short term projects</v>
          </cell>
          <cell r="C329" t="str">
            <v>Active</v>
          </cell>
          <cell r="D329">
            <v>2018</v>
          </cell>
          <cell r="G329" t="str">
            <v>Nigeria</v>
          </cell>
          <cell r="X329" t="str">
            <v>Financial Services</v>
          </cell>
          <cell r="Y329" t="str">
            <v>Financial Services, FinTech, Software</v>
          </cell>
        </row>
        <row r="330">
          <cell r="A330" t="str">
            <v>iFixng</v>
          </cell>
          <cell r="B330" t="str">
            <v>iFix Integrated Systems (iFixng.com), an online handyman/artisans hire and recruitment company in Nigeria</v>
          </cell>
          <cell r="C330" t="str">
            <v>Active</v>
          </cell>
          <cell r="D330">
            <v>2016</v>
          </cell>
          <cell r="G330" t="str">
            <v>Nigeria</v>
          </cell>
          <cell r="X330" t="str">
            <v>Recruitment, Human Resource</v>
          </cell>
          <cell r="Y330" t="str">
            <v>Construction, Professional Services, Recruiting</v>
          </cell>
        </row>
        <row r="331">
          <cell r="A331" t="str">
            <v>Exuus</v>
          </cell>
          <cell r="B331" t="str">
            <v>Exuus inspires resilience and enable communities to achieve their optimal satisfaction by positively impacting the future.</v>
          </cell>
          <cell r="C331" t="str">
            <v>Active</v>
          </cell>
          <cell r="D331">
            <v>2014</v>
          </cell>
          <cell r="G331" t="str">
            <v>Rwanda</v>
          </cell>
          <cell r="X331" t="str">
            <v>Financial Services</v>
          </cell>
          <cell r="Y331" t="str">
            <v>Big Data, Data Mining, Data Visualization</v>
          </cell>
        </row>
        <row r="332">
          <cell r="A332" t="str">
            <v>Dios Dental Group</v>
          </cell>
          <cell r="B332" t="str">
            <v>Dios Dental is a growing chain of dental clinics built to run a franchise of dental clinics providing accessible, affordable high-quality dental care services to the masses.</v>
          </cell>
          <cell r="C332" t="str">
            <v>Active</v>
          </cell>
          <cell r="D332">
            <v>2017</v>
          </cell>
          <cell r="G332" t="str">
            <v>Uganda</v>
          </cell>
          <cell r="X332" t="str">
            <v>Healthcare &amp; Pharma</v>
          </cell>
          <cell r="Y332" t="str">
            <v>Dental Services</v>
          </cell>
        </row>
        <row r="333">
          <cell r="A333" t="str">
            <v>MAYDAY</v>
          </cell>
          <cell r="B333" t="str">
            <v>MAYDAY utilizes a sharing economy model connecting "providers" in this case tow trucks or car drivers with motorists in need of assistance across Cairo &amp; Giza</v>
          </cell>
          <cell r="C333" t="str">
            <v>Active</v>
          </cell>
          <cell r="D333">
            <v>2018</v>
          </cell>
          <cell r="G333" t="str">
            <v>Egypt</v>
          </cell>
          <cell r="X333" t="str">
            <v>Other Technologies &amp; Information Technology</v>
          </cell>
          <cell r="Y333" t="str">
            <v>Automotive, Mobile Apps, Subscription Service</v>
          </cell>
        </row>
        <row r="334">
          <cell r="A334" t="str">
            <v>Ogavenue</v>
          </cell>
          <cell r="B334" t="str">
            <v>ogaVenue is a Nigerian based online marketplace for event services which allows event hosts to find and book any type of event services.</v>
          </cell>
          <cell r="C334" t="str">
            <v>Active</v>
          </cell>
          <cell r="D334">
            <v>2015</v>
          </cell>
          <cell r="G334" t="str">
            <v>Nigeria</v>
          </cell>
          <cell r="X334" t="str">
            <v>Commercial &amp; Professional Services</v>
          </cell>
          <cell r="Y334" t="str">
            <v>Events, Marketplace, Online Portals</v>
          </cell>
        </row>
        <row r="335">
          <cell r="A335" t="str">
            <v>Langbot</v>
          </cell>
          <cell r="B335" t="str">
            <v>LangBot Technologies is a company specialized in the creation of language teaching chatbots</v>
          </cell>
          <cell r="C335" t="str">
            <v>Active</v>
          </cell>
          <cell r="D335">
            <v>2017</v>
          </cell>
          <cell r="G335" t="str">
            <v>Ethiopia</v>
          </cell>
          <cell r="X335" t="str">
            <v>Education</v>
          </cell>
          <cell r="Y335" t="str">
            <v>Edtech</v>
          </cell>
        </row>
        <row r="336">
          <cell r="A336" t="str">
            <v>Nocofio</v>
          </cell>
          <cell r="B336" t="str">
            <v>Nocofio connects finance to smallholder agri-businsesses. We do this through crowd-lending and our credit scoring service which could be used for loan applications</v>
          </cell>
          <cell r="C336" t="str">
            <v>Active</v>
          </cell>
          <cell r="D336">
            <v>2018</v>
          </cell>
          <cell r="G336" t="str">
            <v>Ghana</v>
          </cell>
          <cell r="X336" t="str">
            <v>Financial Services</v>
          </cell>
          <cell r="Y336" t="str">
            <v>Business Development, Micro Lending, Small and Medium Businesses</v>
          </cell>
        </row>
        <row r="337">
          <cell r="A337" t="str">
            <v>eLimu</v>
          </cell>
          <cell r="B337" t="str">
            <v>ELimu helps primary school students in Kenya learn - It engages children in the learning process by incorporating the element of play</v>
          </cell>
          <cell r="C337" t="str">
            <v>Active</v>
          </cell>
          <cell r="D337">
            <v>2012</v>
          </cell>
          <cell r="G337" t="str">
            <v>Kenya</v>
          </cell>
          <cell r="X337" t="str">
            <v>Education</v>
          </cell>
          <cell r="Y337" t="str">
            <v>Children, Education, Gaming</v>
          </cell>
        </row>
        <row r="338">
          <cell r="A338" t="str">
            <v>LipaLater</v>
          </cell>
          <cell r="B338" t="str">
            <v>LipaLater is a lending marketplace for individuals for high-end goods. It provides individuals with great credit terms through a seamless digital platform at the point of purchase or online and allows them to redeem the goods in store</v>
          </cell>
          <cell r="C338" t="str">
            <v>Active</v>
          </cell>
          <cell r="D338">
            <v>2015</v>
          </cell>
          <cell r="G338" t="str">
            <v>Kenya</v>
          </cell>
          <cell r="X338" t="str">
            <v>Financial Services</v>
          </cell>
          <cell r="Y338" t="str">
            <v>Lending, Marketplace</v>
          </cell>
        </row>
        <row r="339">
          <cell r="A339" t="str">
            <v>Birdpreneuer</v>
          </cell>
          <cell r="B339" t="str">
            <v>BirdPreneur is a shop platform that focuses on helping individuals and corporate organizations raise birds.</v>
          </cell>
          <cell r="C339" t="str">
            <v>Active</v>
          </cell>
          <cell r="D339">
            <v>2016</v>
          </cell>
          <cell r="G339" t="str">
            <v>Nigeria</v>
          </cell>
          <cell r="X339" t="str">
            <v>Agriculture</v>
          </cell>
          <cell r="Y339" t="str">
            <v>Agriculture, AgTech, Animal Feed, Farming</v>
          </cell>
        </row>
        <row r="340">
          <cell r="A340" t="str">
            <v>Bluebic</v>
          </cell>
          <cell r="B340" t="str">
            <v>We exist to make technology solutions that facilitate learning and streamline school operations available to all schools. We see ourselves as technical partners to schools, providing them with technology solutions that help them grow quickly and profitably, while improving student outcomes. We maintain close working relationship with partner schools to ensure technology adoption is effective and painless.</v>
          </cell>
          <cell r="C340" t="str">
            <v>Active</v>
          </cell>
          <cell r="D340">
            <v>2016</v>
          </cell>
          <cell r="G340" t="str">
            <v>Nigeria</v>
          </cell>
          <cell r="X340" t="str">
            <v>Education</v>
          </cell>
          <cell r="Y340" t="str">
            <v>Education, Information Technology</v>
          </cell>
        </row>
        <row r="341">
          <cell r="A341" t="str">
            <v>Eazyhire</v>
          </cell>
          <cell r="B341" t="str">
            <v>Eazyhire is a peer to peer leasing platform with a presence in Nigeria and Kenya. The company has a technology-enabled platform that enables leasing solutions for the building and heavy machinery industries</v>
          </cell>
          <cell r="C341" t="str">
            <v>Active</v>
          </cell>
          <cell r="D341">
            <v>2015</v>
          </cell>
          <cell r="G341" t="str">
            <v>Nigeria</v>
          </cell>
          <cell r="X341" t="str">
            <v>E-Commerce &amp; Retail</v>
          </cell>
          <cell r="Y341" t="str">
            <v>Logistics, Supply Chain Management</v>
          </cell>
        </row>
        <row r="342">
          <cell r="A342" t="str">
            <v>LearnFactory Nigeria</v>
          </cell>
          <cell r="B342" t="str">
            <v>We empower Students with Software Skills to get jobs in the industry. Our Curriculum is tailored to meet the demands of the 21st Century software industry.</v>
          </cell>
          <cell r="C342" t="str">
            <v>Active</v>
          </cell>
          <cell r="D342">
            <v>2015</v>
          </cell>
          <cell r="G342" t="str">
            <v>Nigeria</v>
          </cell>
          <cell r="X342" t="str">
            <v>Education</v>
          </cell>
          <cell r="Y342" t="str">
            <v>Software Engineering, Software Development, and IT Professionals</v>
          </cell>
        </row>
        <row r="343">
          <cell r="A343" t="str">
            <v>Slatecube</v>
          </cell>
          <cell r="B343" t="str">
            <v>Slatecube is a SaaS-based platform that leverages smart adaptive algorithms to train and intelligently match junior talents into the continent’s workforce conveniently, and at a fraction of the time and cost of traditional tools.</v>
          </cell>
          <cell r="C343" t="str">
            <v>Active</v>
          </cell>
          <cell r="D343">
            <v>2018</v>
          </cell>
          <cell r="G343" t="str">
            <v>Nigeria</v>
          </cell>
          <cell r="X343" t="str">
            <v>Information Technology</v>
          </cell>
          <cell r="Y343" t="str">
            <v>eLearning, Technology Training Programs, Virtual Internships, Performance Based Recruiting</v>
          </cell>
        </row>
        <row r="344">
          <cell r="A344" t="str">
            <v>LightBulb</v>
          </cell>
          <cell r="B344" t="str">
            <v>Lightbulb Education was created in an effort to tackle the growing needs for quality educational facilities within the current South African market. We strive to ensure that the quality of teaching and tutoring we provide is of the highest standard</v>
          </cell>
          <cell r="C344" t="str">
            <v>Active</v>
          </cell>
          <cell r="D344">
            <v>2015</v>
          </cell>
          <cell r="G344" t="str">
            <v>South Africa</v>
          </cell>
          <cell r="X344" t="str">
            <v>Education</v>
          </cell>
          <cell r="Y344" t="str">
            <v>E-Learning, Information Technology</v>
          </cell>
        </row>
        <row r="345">
          <cell r="A345" t="str">
            <v>Nahana Africa</v>
          </cell>
          <cell r="B345" t="str">
            <v>Nahana Africa aims to provide science and mathematics teachers with both online training as well as teaching content.</v>
          </cell>
          <cell r="C345" t="str">
            <v>Active</v>
          </cell>
          <cell r="G345" t="str">
            <v>South Africa</v>
          </cell>
          <cell r="X345" t="str">
            <v>Education</v>
          </cell>
          <cell r="Y345" t="str">
            <v>Edtech</v>
          </cell>
        </row>
        <row r="346">
          <cell r="A346" t="str">
            <v>Digest Africa</v>
          </cell>
          <cell r="B346" t="str">
            <v>Digest Africa (Uganda) is a single online platform where investors and corporates can access verified, tailored and real-time news about Africa’s early-stage technology companies. The news is fact-checked and up-to-date and includes analysis that is easy to consume and understand to guide profitable decision making.</v>
          </cell>
          <cell r="C346" t="str">
            <v>Active</v>
          </cell>
          <cell r="D346">
            <v>2017</v>
          </cell>
          <cell r="G346" t="str">
            <v>Uganda</v>
          </cell>
          <cell r="X346" t="str">
            <v>Information Technology</v>
          </cell>
          <cell r="Y346" t="str">
            <v>Information Services</v>
          </cell>
        </row>
        <row r="347">
          <cell r="A347" t="str">
            <v>Swipe2Pay</v>
          </cell>
          <cell r="B347" t="str">
            <v>Swipe2pay is a payment solutions company, that empowers SME’s to accept both card and mobile money as a mode of payment and not only to accept payments but also make sense of their sales data, to have quick access to loans. Swipe2pay offers merchants a choice of mobile card readers that connect to their smartphone/tablet allowing them to accept payments quickly and simply. The solution goes beyond payment processing in that it includes a free point-of-sale app and a free business intelligence portal, enabling business owners to monitor store performance.</v>
          </cell>
          <cell r="C347" t="str">
            <v>Active</v>
          </cell>
          <cell r="D347">
            <v>2017</v>
          </cell>
          <cell r="G347" t="str">
            <v>Uganda</v>
          </cell>
          <cell r="X347" t="str">
            <v>Financial Services</v>
          </cell>
          <cell r="Y347" t="str">
            <v>Fintect, Payments, Merchants, POS</v>
          </cell>
        </row>
        <row r="348">
          <cell r="A348" t="str">
            <v>Vollar</v>
          </cell>
          <cell r="B348" t="str">
            <v>Vollar is a digital currency earned by doing good alongside local nonprofit organisations</v>
          </cell>
          <cell r="C348" t="str">
            <v>Active</v>
          </cell>
          <cell r="D348">
            <v>2018</v>
          </cell>
          <cell r="G348" t="str">
            <v>South Africa</v>
          </cell>
          <cell r="X348" t="str">
            <v>Financial Services</v>
          </cell>
          <cell r="Y348" t="str">
            <v>Blockchain, Financial Services, FinTech, Information Technology</v>
          </cell>
        </row>
        <row r="349">
          <cell r="A349" t="str">
            <v>GICMED</v>
          </cell>
          <cell r="B349" t="str">
            <v>GICMED is a Telemedicine and Portable Digital Micriscopy venture to remotely screen and diagnose breast and cervical cancers</v>
          </cell>
          <cell r="C349" t="str">
            <v>Active</v>
          </cell>
          <cell r="D349">
            <v>2017</v>
          </cell>
          <cell r="G349" t="str">
            <v>Cameroon</v>
          </cell>
          <cell r="X349" t="str">
            <v>Healthcare &amp; Pharma</v>
          </cell>
          <cell r="Y349" t="str">
            <v>Health Care, Health Diagnostics, Medical Device, Telecommunications</v>
          </cell>
        </row>
        <row r="350">
          <cell r="A350" t="str">
            <v xml:space="preserve">Fashpa </v>
          </cell>
          <cell r="B350" t="str">
            <v>Fashpa is Nigeria’s leading online fashion destination! Shopping online at Fashpa.com in Nigeria means the days of looking through endless boutiques and car boot sales to find that perfect fashion item and buying it at an expensive price when you do are long gone.</v>
          </cell>
          <cell r="C350" t="str">
            <v>Active</v>
          </cell>
          <cell r="D350">
            <v>2014</v>
          </cell>
          <cell r="G350" t="str">
            <v>Nigeria</v>
          </cell>
          <cell r="X350" t="str">
            <v>E-Commerce &amp; Retail</v>
          </cell>
          <cell r="Y350" t="str">
            <v>E-Commerce, Fashion, Retail</v>
          </cell>
        </row>
        <row r="351">
          <cell r="A351" t="str">
            <v>Tapsnapp</v>
          </cell>
          <cell r="B351" t="str">
            <v>Tapsnapp is designed to help businesses leverage photography for their specific needs, matched to location, speciality and budget. Users are able to receive shoots from multiple options, pay and manage their shoot from just one platform.</v>
          </cell>
          <cell r="C351" t="str">
            <v>Active</v>
          </cell>
          <cell r="D351">
            <v>2018</v>
          </cell>
          <cell r="G351" t="str">
            <v>South Africa</v>
          </cell>
          <cell r="X351" t="str">
            <v>Commercial &amp; Professional Services</v>
          </cell>
          <cell r="Y351" t="str">
            <v>Photography</v>
          </cell>
        </row>
        <row r="352">
          <cell r="A352" t="str">
            <v>Teradix</v>
          </cell>
          <cell r="B352" t="str">
            <v>Teradix is an online B2B marketplace that connects small &amp; medium businesses with the right technology partners who can implement their projects providing reliable information about their history of projects and relevant reviews. A reliable information such as partner reviews, projects history, technical capabilities, and technical competencies</v>
          </cell>
          <cell r="C352" t="str">
            <v>Active</v>
          </cell>
          <cell r="D352">
            <v>2018</v>
          </cell>
          <cell r="G352" t="str">
            <v>Egypt</v>
          </cell>
          <cell r="X352" t="str">
            <v>Information Technology</v>
          </cell>
          <cell r="Y352" t="str">
            <v>B2B, Information Services, Information Technology, Internet, Marketplace</v>
          </cell>
        </row>
        <row r="353">
          <cell r="A353" t="str">
            <v>7Aweshly</v>
          </cell>
          <cell r="B353" t="str">
            <v>A saving platform targeting youth, who are outside the reach of banks due to age restrictions. A Facebook AI chatbot categorizes youth and fights financial illiteracy. This leads them to a human-focused gamified mobile app, which helps build youth futures through microsavings.</v>
          </cell>
          <cell r="C353" t="str">
            <v>Active</v>
          </cell>
          <cell r="D353">
            <v>2017</v>
          </cell>
          <cell r="G353" t="str">
            <v>Egypt</v>
          </cell>
          <cell r="X353" t="str">
            <v>Financial Services</v>
          </cell>
          <cell r="Y353" t="str">
            <v>Savings, Financial technology</v>
          </cell>
        </row>
        <row r="354">
          <cell r="A354" t="str">
            <v>Arza2</v>
          </cell>
          <cell r="B354" t="str">
            <v>Arza2 is a job search and employment platform geared toward blue collar and self-employed workers.</v>
          </cell>
          <cell r="C354" t="str">
            <v>Active</v>
          </cell>
          <cell r="D354">
            <v>2017</v>
          </cell>
          <cell r="G354" t="str">
            <v>Egypt</v>
          </cell>
          <cell r="X354" t="str">
            <v>Commercial &amp; Professional Services</v>
          </cell>
          <cell r="Y354" t="str">
            <v>Recruitment, Talent, Labour</v>
          </cell>
        </row>
        <row r="355">
          <cell r="A355" t="str">
            <v>Chefaa</v>
          </cell>
          <cell r="B355" t="str">
            <v>A vision-driven company to help patients order/schedule &amp; have medicine delivered from nearest pharmacy according to GPS location with the easiest user trip. Locate medicine in a click by our real-time search engine. Our services extend to non-pharmaceuticals via our e-commerce Marketplace to be one-stop shop. We use AI technology and we are HIPAA compliant.</v>
          </cell>
          <cell r="C355" t="str">
            <v>Active</v>
          </cell>
          <cell r="D355">
            <v>2017</v>
          </cell>
          <cell r="G355" t="str">
            <v>Egypt</v>
          </cell>
          <cell r="X355" t="str">
            <v>Healthcare &amp; Pharma</v>
          </cell>
          <cell r="Y355" t="str">
            <v>Artificial Intelligence, E-Commerce, Health Care, Information Technology, Mobile Apps, Pharmaceutical</v>
          </cell>
        </row>
        <row r="356">
          <cell r="A356" t="str">
            <v>Isagha</v>
          </cell>
          <cell r="B356" t="str">
            <v>ISagha is the first integrated jewelry platform in Egypt and the Arab world. Although the jewelry industry in Egypt is a very ancient industry, it is still far from technological development. Therefore, Ay-Sagha has come to develop and transfer this market for the 21st century through the market of iagha.com and its applications for mobile phones such as Android and iOS.</v>
          </cell>
          <cell r="C356" t="str">
            <v>Active</v>
          </cell>
          <cell r="D356">
            <v>2018</v>
          </cell>
          <cell r="G356" t="str">
            <v>Egypt</v>
          </cell>
          <cell r="X356" t="str">
            <v>E-Commerce &amp; Retail</v>
          </cell>
          <cell r="Y356" t="str">
            <v>E-Commerce, Financial Exchanges, Jewelry, Retail</v>
          </cell>
        </row>
        <row r="357">
          <cell r="A357" t="str">
            <v>Medmisr</v>
          </cell>
          <cell r="B357" t="str">
            <v>MedMisr is the Egypt's 1st Digital Healthcare Benefits Management Startup that provides Medical claims management services for Insurance companies, starting from the first Medical point of service.</v>
          </cell>
          <cell r="C357" t="str">
            <v>Active</v>
          </cell>
          <cell r="D357">
            <v>2018</v>
          </cell>
          <cell r="G357" t="str">
            <v>Egypt</v>
          </cell>
          <cell r="X357" t="str">
            <v>Healthcare &amp; Pharma</v>
          </cell>
          <cell r="Y357" t="str">
            <v>Employee Benefits, Health Care, Health Insurance, Insurance, Medical, Mobile Apps</v>
          </cell>
        </row>
        <row r="358">
          <cell r="A358" t="str">
            <v>Mosawer</v>
          </cell>
          <cell r="B358" t="str">
            <v>Mosawer.net is a commercial photography comprehensive that helps photographers and videographers to efficiently manage their workflow.</v>
          </cell>
          <cell r="C358" t="str">
            <v>Active</v>
          </cell>
          <cell r="D358">
            <v>2016</v>
          </cell>
          <cell r="G358" t="str">
            <v>Egypt</v>
          </cell>
          <cell r="X358" t="str">
            <v>Media &amp; Entertainment</v>
          </cell>
          <cell r="Y358" t="str">
            <v>Advertising Platforms, Photography, Scheduling</v>
          </cell>
        </row>
        <row r="359">
          <cell r="A359" t="str">
            <v>Tombeely</v>
          </cell>
          <cell r="B359" t="str">
            <v>Tombeely.com platform is made to connect auto parts merchants with the customers to reduce the aftermarket car parts shopping hasstle, as well as providing huge varieties to customers with installation options through a network of srevice centers and mechanics with warranty. It also provides on-site maintenance.</v>
          </cell>
          <cell r="C359" t="str">
            <v>Active</v>
          </cell>
          <cell r="D359">
            <v>2018</v>
          </cell>
          <cell r="G359" t="str">
            <v>Egypt</v>
          </cell>
          <cell r="X359" t="str">
            <v>E-Commerce &amp; Retail</v>
          </cell>
          <cell r="Y359" t="str">
            <v>Automotive, retail</v>
          </cell>
        </row>
        <row r="360">
          <cell r="A360" t="str">
            <v>Transpooler</v>
          </cell>
          <cell r="B360" t="str">
            <v>Transpooler App helps the schools &amp; parents to track the school bus and receive the important notifications. It is an innovative school bus tracker without installing GPS devices! Ready Web and Mobile APPs for your school, try for FREE and NO credit card required</v>
          </cell>
          <cell r="C360" t="str">
            <v>Active</v>
          </cell>
          <cell r="D360">
            <v>2017</v>
          </cell>
          <cell r="G360" t="str">
            <v>Egypt</v>
          </cell>
          <cell r="X360" t="str">
            <v>Transport &amp; Logistics</v>
          </cell>
          <cell r="Y360" t="str">
            <v>Schools, B2B, Transportation</v>
          </cell>
        </row>
        <row r="361">
          <cell r="A361" t="str">
            <v>Wasel</v>
          </cell>
          <cell r="B361" t="str">
            <v>Wasel is a Cairo-based transportation startup offering people inter-city trips in regular cars. The startup has fixed routes on fixed times and allows people to book a seat on these trips using their website</v>
          </cell>
          <cell r="C361" t="str">
            <v>Active</v>
          </cell>
          <cell r="D361">
            <v>2018</v>
          </cell>
          <cell r="G361" t="str">
            <v>Egypt</v>
          </cell>
          <cell r="X361" t="str">
            <v>Transport &amp; Logistics</v>
          </cell>
          <cell r="Y361" t="str">
            <v>Transportation, Trucking, Railroad</v>
          </cell>
        </row>
        <row r="362">
          <cell r="A362" t="str">
            <v>Weelo</v>
          </cell>
          <cell r="B362" t="str">
            <v>Founded in 2017, Weelo offers an innovative way for supermarkets to answer the demands of new generation consumers and meet them exactly where they are; on their mobile phone. Our app provides a hassle-free solution to all the pains of inefficient phone ordering processes – delivering inconveniences, time wasting, and puts an end to mystery bags.</v>
          </cell>
          <cell r="C362" t="str">
            <v>Active</v>
          </cell>
          <cell r="D362">
            <v>2017</v>
          </cell>
          <cell r="G362" t="str">
            <v>Egypt</v>
          </cell>
          <cell r="X362" t="str">
            <v>E-Commerce &amp; Retail</v>
          </cell>
          <cell r="Y362" t="str">
            <v>Supermarket, Delivery</v>
          </cell>
        </row>
        <row r="363">
          <cell r="A363" t="str">
            <v>ElRoshetta</v>
          </cell>
          <cell r="B363" t="str">
            <v>ElRoshetta helps patients to save and order their prescriptions and medicines online with easy and friendly mobile through our partnership with 500+ pharmacies and insurance companies.</v>
          </cell>
          <cell r="C363" t="str">
            <v>Active</v>
          </cell>
          <cell r="D363">
            <v>2018</v>
          </cell>
          <cell r="G363" t="str">
            <v>Egypt</v>
          </cell>
          <cell r="X363" t="str">
            <v>Healthcare &amp; Pharma</v>
          </cell>
          <cell r="Y363" t="str">
            <v>healthcare, wellness, fitness, data science, and delivery</v>
          </cell>
        </row>
        <row r="364">
          <cell r="A364" t="str">
            <v>El Zatona</v>
          </cell>
          <cell r="B364" t="str">
            <v>El Zatona is a software program called POS (Point Of Sale), El zatona app is simple and easy like a piece of cake</v>
          </cell>
          <cell r="C364" t="str">
            <v>Active</v>
          </cell>
          <cell r="D364">
            <v>2018</v>
          </cell>
          <cell r="G364" t="str">
            <v>Egypt</v>
          </cell>
          <cell r="X364" t="str">
            <v>Financial Services</v>
          </cell>
          <cell r="Y364" t="str">
            <v>Computer Software</v>
          </cell>
        </row>
        <row r="365">
          <cell r="A365" t="str">
            <v>Netsahem</v>
          </cell>
          <cell r="B365" t="str">
            <v>Netsahem is a fundraising platform exlusively dedicated to charity. Netsahem wants to link NGO's with funding for their charities and causes.</v>
          </cell>
          <cell r="C365" t="str">
            <v>Active</v>
          </cell>
          <cell r="D365">
            <v>2019</v>
          </cell>
          <cell r="G365" t="str">
            <v>Egypt</v>
          </cell>
          <cell r="X365" t="str">
            <v>Financial Services</v>
          </cell>
          <cell r="Y365" t="str">
            <v>FinTech, Crowdfunding</v>
          </cell>
        </row>
        <row r="366">
          <cell r="A366" t="str">
            <v>Seventail</v>
          </cell>
          <cell r="B366" t="str">
            <v>Our multi-vendor market place is where you can shop for all your household needs. our local heroes deliver fast. It's easy, download the app and start shopping</v>
          </cell>
          <cell r="C366" t="str">
            <v>Active</v>
          </cell>
          <cell r="D366">
            <v>2018</v>
          </cell>
          <cell r="G366" t="str">
            <v>Egypt</v>
          </cell>
          <cell r="X366" t="str">
            <v>E-Commerce &amp; Retail</v>
          </cell>
          <cell r="Y366" t="str">
            <v>FinTech, Internet, Retail Technology, Software, Supply Chain Management</v>
          </cell>
        </row>
        <row r="367">
          <cell r="A367" t="str">
            <v>Youspital</v>
          </cell>
          <cell r="B367" t="str">
            <v>YOUSPITAL provides access to massively discounted healthcare services. Our customers do not need to be members in an exclusive community to access these services</v>
          </cell>
          <cell r="C367" t="str">
            <v>Active</v>
          </cell>
          <cell r="D367">
            <v>2019</v>
          </cell>
          <cell r="G367" t="str">
            <v>Egypt</v>
          </cell>
          <cell r="X367" t="str">
            <v>Financial Services</v>
          </cell>
          <cell r="Y367" t="str">
            <v>Health, Wellness and Fitness, Fintech</v>
          </cell>
        </row>
        <row r="368">
          <cell r="A368" t="str">
            <v>Compareha</v>
          </cell>
          <cell r="B368" t="str">
            <v>Compareha is comparison platform for financial products based out of Cairo, Egypt.</v>
          </cell>
          <cell r="C368" t="str">
            <v>Active</v>
          </cell>
          <cell r="D368">
            <v>2018</v>
          </cell>
          <cell r="G368" t="str">
            <v>Egypt</v>
          </cell>
          <cell r="X368" t="str">
            <v>Financial Services</v>
          </cell>
          <cell r="Y368" t="str">
            <v>Information Technology, Financial Services</v>
          </cell>
        </row>
        <row r="369">
          <cell r="A369" t="str">
            <v>ElGameya</v>
          </cell>
          <cell r="B369" t="str">
            <v>ElGameya is a FinTech Mobile App that offers systematic savings tool that helps you save money &amp; get loans within your friends</v>
          </cell>
          <cell r="C369" t="str">
            <v>Active</v>
          </cell>
          <cell r="D369">
            <v>2016</v>
          </cell>
          <cell r="G369" t="str">
            <v>Egypt</v>
          </cell>
          <cell r="X369" t="str">
            <v>Financial Services</v>
          </cell>
          <cell r="Y369" t="str">
            <v>Information Technology, Fintech</v>
          </cell>
        </row>
        <row r="370">
          <cell r="A370" t="str">
            <v>Fawaterak</v>
          </cell>
          <cell r="B370" t="str">
            <v>Platform that enables customers increase sales, faciitate online payments,and e-invoices.</v>
          </cell>
          <cell r="C370" t="str">
            <v>Active</v>
          </cell>
          <cell r="D370">
            <v>2018</v>
          </cell>
          <cell r="G370" t="str">
            <v>Egypt</v>
          </cell>
          <cell r="X370" t="str">
            <v>Financial Services</v>
          </cell>
          <cell r="Y370" t="str">
            <v>FinTech</v>
          </cell>
        </row>
        <row r="371">
          <cell r="A371" t="str">
            <v>Neqabty</v>
          </cell>
          <cell r="B371" t="str">
            <v>Neqabty is a mobile and web application that links syndicates with its members, enabling them to pay for their medical applications such as prescriptions, renewals, and medical fees. The idea of the application is to create greater access for customers to healthcare.</v>
          </cell>
          <cell r="C371" t="str">
            <v>Active</v>
          </cell>
          <cell r="D371">
            <v>2016</v>
          </cell>
          <cell r="G371" t="str">
            <v>Egypt</v>
          </cell>
          <cell r="X371" t="str">
            <v>Financial Services</v>
          </cell>
          <cell r="Y371" t="str">
            <v>Fintech, Health</v>
          </cell>
        </row>
        <row r="372">
          <cell r="A372" t="str">
            <v>Coliba</v>
          </cell>
          <cell r="B372" t="str">
            <v>Coliba is a company collection and household waste management that makes use of computer technology to innovate in its industry.</v>
          </cell>
          <cell r="C372" t="str">
            <v>Active</v>
          </cell>
          <cell r="D372">
            <v>2015</v>
          </cell>
          <cell r="G372" t="str">
            <v>Ivory Coast</v>
          </cell>
          <cell r="X372" t="str">
            <v>Information Technology</v>
          </cell>
          <cell r="Y372" t="str">
            <v>Computer, Information Technology, Mobile Apps</v>
          </cell>
        </row>
        <row r="373">
          <cell r="A373" t="str">
            <v>Funtrench</v>
          </cell>
          <cell r="B373" t="str">
            <v>Funtrench Limited is a technology company that is at the cutting edge of building distributed-ledger, AI and VR solutions for various emerging challenges in a new, digitally assertive Africa. Our key focus in solutions is in bringing the strengths of distributed ledgers to common problems such as counterfeit goods, electoral fraud, cross-border...</v>
          </cell>
          <cell r="C373" t="str">
            <v>Active</v>
          </cell>
          <cell r="D373">
            <v>2018</v>
          </cell>
          <cell r="G373" t="str">
            <v>Kenya</v>
          </cell>
          <cell r="X373" t="str">
            <v>Information Technology</v>
          </cell>
          <cell r="Y373" t="str">
            <v>Blockchain, Information Technology, Software Engineering, Training</v>
          </cell>
        </row>
        <row r="374">
          <cell r="A374" t="str">
            <v>Ma3Route</v>
          </cell>
          <cell r="B374" t="str">
            <v>Ma3Route is a mobile web and SMS platform that helps citizens to share and access information about transport and current traffic conditions for their city. Ma3Route aims to make traveling easier in developing countries by democratizing timely transport information.</v>
          </cell>
          <cell r="C374" t="str">
            <v>Active</v>
          </cell>
          <cell r="D374">
            <v>2012</v>
          </cell>
          <cell r="G374" t="str">
            <v>Kenya</v>
          </cell>
          <cell r="X374" t="str">
            <v>Social Network</v>
          </cell>
          <cell r="Y374" t="str">
            <v>Crowdsourcing, Mobile, SMS</v>
          </cell>
        </row>
        <row r="375">
          <cell r="A375" t="str">
            <v>Kolopay</v>
          </cell>
          <cell r="B375" t="str">
            <v>KoloPay, a financial technology company, is helping people with poor savings and impulse buying habits to save towards planned goals over a period of time and they achieve them at amazing discounts and interest as incentives to encourage savings</v>
          </cell>
          <cell r="C375" t="str">
            <v>Active</v>
          </cell>
          <cell r="D375">
            <v>2017</v>
          </cell>
          <cell r="G375" t="str">
            <v>Nigeria</v>
          </cell>
          <cell r="X375" t="str">
            <v>Financial Services</v>
          </cell>
          <cell r="Y375" t="str">
            <v>finance, E-commerce, Sales, and Procurement</v>
          </cell>
        </row>
        <row r="376">
          <cell r="A376" t="str">
            <v>Powercube</v>
          </cell>
          <cell r="B376" t="str">
            <v>Powercube provides Cheaper Clean Energy for Africans</v>
          </cell>
          <cell r="C376" t="str">
            <v>Active</v>
          </cell>
          <cell r="D376">
            <v>2017</v>
          </cell>
          <cell r="G376" t="str">
            <v>Nigeria</v>
          </cell>
          <cell r="X376" t="str">
            <v>Resource &amp; Energy</v>
          </cell>
          <cell r="Y376" t="str">
            <v>Clean Energy</v>
          </cell>
        </row>
        <row r="377">
          <cell r="A377" t="str">
            <v>Tradebuza</v>
          </cell>
          <cell r="B377" t="str">
            <v>Tech-enabled Commodities Sourcing platform for Commodities Aggregators &amp; Outgrower Schemes</v>
          </cell>
          <cell r="C377" t="str">
            <v>Active</v>
          </cell>
          <cell r="D377">
            <v>2018</v>
          </cell>
          <cell r="G377" t="str">
            <v>Nigeria</v>
          </cell>
          <cell r="X377" t="str">
            <v>E-Commerce &amp; Retail</v>
          </cell>
          <cell r="Y377" t="str">
            <v>Information Technology</v>
          </cell>
        </row>
        <row r="378">
          <cell r="A378" t="str">
            <v>Track Your Build</v>
          </cell>
          <cell r="B378" t="str">
            <v>Track Your Build is an interactive construction project management, auditing and tracking platform that gives clients the freedom to engage in their construction project from anywhere in the world and still have total monitoring and control</v>
          </cell>
          <cell r="D378">
            <v>2014</v>
          </cell>
          <cell r="G378" t="str">
            <v>Sierra Leone</v>
          </cell>
          <cell r="X378" t="str">
            <v>Emerging Technologies</v>
          </cell>
          <cell r="Y378" t="str">
            <v>Drones, Cloud Computing</v>
          </cell>
        </row>
        <row r="379">
          <cell r="A379" t="str">
            <v>Digital Boom</v>
          </cell>
          <cell r="B379" t="str">
            <v>Digital Boom is a leading source of news for marketing and advertising professionals. It delivers insightful, forward-thinking content</v>
          </cell>
          <cell r="C379" t="str">
            <v>Active</v>
          </cell>
          <cell r="D379">
            <v>2014</v>
          </cell>
          <cell r="G379" t="str">
            <v>Egypt</v>
          </cell>
          <cell r="X379" t="str">
            <v>Media &amp; Entertainment</v>
          </cell>
          <cell r="Y379" t="str">
            <v>Advertising, Brand Marketing, Consulting, Digital Media, Education, Information Technology, Internet, News, Public Relations, Publishing</v>
          </cell>
        </row>
        <row r="380">
          <cell r="A380" t="str">
            <v>Scienup</v>
          </cell>
          <cell r="B380" t="str">
            <v>Scienup helps organizations promote, manage, and share their scientific research equipment and facilities. It offers accessibility as an enabler for collaboration</v>
          </cell>
          <cell r="C380" t="str">
            <v>Active</v>
          </cell>
          <cell r="D380">
            <v>2017</v>
          </cell>
          <cell r="G380" t="str">
            <v>Egypt</v>
          </cell>
          <cell r="X380" t="str">
            <v>Information Technology</v>
          </cell>
        </row>
        <row r="381">
          <cell r="A381" t="str">
            <v>Briglobe</v>
          </cell>
          <cell r="B381" t="str">
            <v>Briglobe is a technology company dealing in software solutions that integrate data, technology and skills to empower businesses.``</v>
          </cell>
          <cell r="C381" t="str">
            <v>Active</v>
          </cell>
          <cell r="D381">
            <v>2015</v>
          </cell>
          <cell r="G381" t="str">
            <v>Kenya</v>
          </cell>
          <cell r="X381" t="str">
            <v>Information Technology</v>
          </cell>
          <cell r="Y381" t="str">
            <v>Brand Marketing, Consulting, Digital Marketing, Information Technology, Software, Software Engineering</v>
          </cell>
        </row>
        <row r="382">
          <cell r="A382" t="str">
            <v>Sweetkiwi</v>
          </cell>
          <cell r="B382" t="str">
            <v>Sweetkiwi is a yogurt brand founded in 2011. Our yogurt is made fresh daily with natural strained yogurt and carefully whipped for your pleasure. Our yogurt is refreshingly light, low-fat and genuinely healthy</v>
          </cell>
          <cell r="C382" t="str">
            <v>Active</v>
          </cell>
          <cell r="D382">
            <v>2011</v>
          </cell>
          <cell r="G382" t="str">
            <v>Nigeria</v>
          </cell>
          <cell r="X382" t="str">
            <v>Foods &amp; Beverages</v>
          </cell>
          <cell r="Y382" t="str">
            <v>Yoghurt</v>
          </cell>
        </row>
        <row r="383">
          <cell r="A383" t="str">
            <v>Touchabl Pictures</v>
          </cell>
          <cell r="B383" t="str">
            <v>Touchabl, a deep tech company, is making buying &amp; selling of fashion stress-free in Africa in the fashion space. We have developed an AI system that enable anyone shop for fashion items instantly by touch it in an existing picture or by snap it</v>
          </cell>
          <cell r="C383" t="str">
            <v>Active</v>
          </cell>
          <cell r="D383">
            <v>2017</v>
          </cell>
          <cell r="G383" t="str">
            <v>Nigeria</v>
          </cell>
          <cell r="X383" t="str">
            <v>E-Commerce &amp; Retail</v>
          </cell>
          <cell r="Y383" t="str">
            <v>Business Intelligence, Commercial, E-Commerce, Machine Learning, Photo Sharing</v>
          </cell>
        </row>
        <row r="384">
          <cell r="A384" t="str">
            <v>Zaagel Xpress</v>
          </cell>
          <cell r="B384" t="str">
            <v>We provide same day delivery for businesses at low prices.</v>
          </cell>
          <cell r="C384" t="str">
            <v>Active</v>
          </cell>
          <cell r="D384">
            <v>2013</v>
          </cell>
          <cell r="G384" t="str">
            <v>Egypt</v>
          </cell>
          <cell r="X384" t="str">
            <v>Transport &amp; Logistics</v>
          </cell>
          <cell r="Y384" t="str">
            <v>Delivery, E-Commerce, Internet, Logistics</v>
          </cell>
        </row>
        <row r="385">
          <cell r="A385" t="str">
            <v>Voyc.Ai</v>
          </cell>
          <cell r="B385" t="str">
            <v>A CX Research Platform that helps companies understand their customers by turning their customer research into insights, profiles, and customer journey maps</v>
          </cell>
          <cell r="C385" t="str">
            <v>Active</v>
          </cell>
          <cell r="D385">
            <v>2018</v>
          </cell>
          <cell r="G385" t="str">
            <v>South Africa</v>
          </cell>
          <cell r="X385" t="str">
            <v>Emerging Technologies</v>
          </cell>
          <cell r="Y385" t="str">
            <v>artificial intelligence, machine learning, natural language processing, and SaaS</v>
          </cell>
        </row>
        <row r="386">
          <cell r="A386" t="str">
            <v>Taz Technologies</v>
          </cell>
          <cell r="B386" t="str">
            <v>Taz Technologies is a Kenyan youth company founded with the sole purpose of providing innovative solutions to local challenges and problems. The firm envisions, develops and implements inventive, homegrown tech-management and tech- marketing solutions for organizations.</v>
          </cell>
          <cell r="C386" t="str">
            <v>Active</v>
          </cell>
          <cell r="D386">
            <v>2016</v>
          </cell>
          <cell r="G386" t="str">
            <v>Kenya</v>
          </cell>
          <cell r="X386" t="str">
            <v>Information Technology</v>
          </cell>
          <cell r="Y386" t="str">
            <v>Technology</v>
          </cell>
        </row>
        <row r="387">
          <cell r="A387" t="str">
            <v xml:space="preserve">Inclusive Financial Technologies </v>
          </cell>
          <cell r="B387" t="str">
            <v>Inclusive Financial Technologies is focused on creating products and services that deliver the best customer experience (“money experiences”) without compromising privacy and security.</v>
          </cell>
          <cell r="C387" t="str">
            <v>Active</v>
          </cell>
          <cell r="D387">
            <v>2016</v>
          </cell>
          <cell r="G387" t="str">
            <v>Ghana</v>
          </cell>
          <cell r="X387" t="str">
            <v>Information Technology</v>
          </cell>
          <cell r="Y387" t="str">
            <v xml:space="preserve">Software, API </v>
          </cell>
        </row>
        <row r="388">
          <cell r="A388" t="str">
            <v>Digitech Group</v>
          </cell>
          <cell r="B388" t="str">
            <v>Digitech provides a fully integrated and cloud-based InsurTech platform to incumbent insurance companies</v>
          </cell>
          <cell r="C388" t="str">
            <v>Active</v>
          </cell>
          <cell r="D388">
            <v>2016</v>
          </cell>
          <cell r="G388" t="str">
            <v>Ivory Coast</v>
          </cell>
          <cell r="X388" t="str">
            <v>Financial Services</v>
          </cell>
          <cell r="Y388" t="str">
            <v>Insurance, Internet of Things</v>
          </cell>
        </row>
        <row r="389">
          <cell r="A389" t="str">
            <v>MPost</v>
          </cell>
          <cell r="B389" t="str">
            <v>MPost means Mobile Post office. It enables any mobile phone user to have his or her phone act like a mobile post office. It allows you to make your mobile number be a formal postal address. With it, you get access to Postal Services through your mobile phone.</v>
          </cell>
          <cell r="C389" t="str">
            <v>Active</v>
          </cell>
          <cell r="D389">
            <v>2016</v>
          </cell>
          <cell r="G389" t="str">
            <v>Kenya</v>
          </cell>
          <cell r="X389" t="str">
            <v>Information Technology</v>
          </cell>
          <cell r="Y389" t="str">
            <v>Mobile, Mobile Apps</v>
          </cell>
        </row>
        <row r="390">
          <cell r="A390" t="str">
            <v>Bankly Technologies</v>
          </cell>
          <cell r="B390" t="str">
            <v>Bankly is a cash digitisation savings product that allows users top up their wallet using vouchers.</v>
          </cell>
          <cell r="C390" t="str">
            <v>Active</v>
          </cell>
          <cell r="D390">
            <v>2017</v>
          </cell>
          <cell r="G390" t="str">
            <v>Nigeria</v>
          </cell>
          <cell r="X390" t="str">
            <v>Financial Services</v>
          </cell>
          <cell r="Y390" t="str">
            <v>Finance, Financial Services, Peer to Peer</v>
          </cell>
        </row>
        <row r="391">
          <cell r="A391" t="str">
            <v>Kudabank</v>
          </cell>
          <cell r="B391" t="str">
            <v>Kudimoney is a full service digital only bank that enriches lives by helping people live healthier financial lives. Kudimoney does this by offering free banking services and making saving easy and rewarding, because every kudi counts</v>
          </cell>
          <cell r="C391" t="str">
            <v>Active</v>
          </cell>
          <cell r="D391">
            <v>2017</v>
          </cell>
          <cell r="G391" t="str">
            <v>Nigeria</v>
          </cell>
          <cell r="X391" t="str">
            <v>Financial Services</v>
          </cell>
          <cell r="Y391" t="str">
            <v>Financial Services</v>
          </cell>
        </row>
        <row r="392">
          <cell r="A392" t="str">
            <v>Akiba Digital</v>
          </cell>
          <cell r="B392" t="str">
            <v>Akiba is a mobile app that makes it easier and more rewarding to set, manage &amp; meet your savings goals.</v>
          </cell>
          <cell r="C392" t="str">
            <v>Active</v>
          </cell>
          <cell r="D392">
            <v>2017</v>
          </cell>
          <cell r="G392" t="str">
            <v>South Africa</v>
          </cell>
          <cell r="X392" t="str">
            <v>Financial Services</v>
          </cell>
          <cell r="Y392" t="str">
            <v>Artificial Intelligence, Big Data, Data Visualization, Financial Services, FinTech, Machine Learning, Mobile, Mobile Payments</v>
          </cell>
        </row>
        <row r="393">
          <cell r="A393" t="str">
            <v>Brandbook Analytics</v>
          </cell>
          <cell r="B393" t="str">
            <v>Brandbook™ is a mobile application aimed at providing users with free gift card coupons for completed purchases. Users simply upload receipts of selected purchase completed at brick and mortar stores or online to earn points. No purchases are completed over the application as with traditional ecommerce services.</v>
          </cell>
          <cell r="C393" t="str">
            <v>Active</v>
          </cell>
          <cell r="D393">
            <v>2017</v>
          </cell>
          <cell r="G393" t="str">
            <v>South Africa</v>
          </cell>
          <cell r="X393" t="str">
            <v>Information Technology</v>
          </cell>
          <cell r="Y393" t="str">
            <v>Customer Experience, Big Data, Customer Rewards</v>
          </cell>
        </row>
        <row r="394">
          <cell r="A394" t="str">
            <v>Prospa</v>
          </cell>
          <cell r="B394" t="str">
            <v>Prospa is a mobile savings wallet for low-income earning South Africans that makes it easy to save small amounts infrequently using prepaid vouchers</v>
          </cell>
          <cell r="C394" t="str">
            <v>Active</v>
          </cell>
          <cell r="D394">
            <v>2017</v>
          </cell>
          <cell r="G394" t="str">
            <v>South Africa</v>
          </cell>
          <cell r="X394" t="str">
            <v>Financial Services</v>
          </cell>
          <cell r="Y394" t="str">
            <v>Financial Services, FinTech</v>
          </cell>
        </row>
        <row r="395">
          <cell r="A395" t="str">
            <v>Medico Plus</v>
          </cell>
          <cell r="B395" t="str">
            <v>Medico Plus is the world’s first integrated Healthcare company aiming to bring the entire healthcare community onto ONE platform</v>
          </cell>
          <cell r="C395" t="str">
            <v>Active</v>
          </cell>
          <cell r="D395">
            <v>2017</v>
          </cell>
          <cell r="G395" t="str">
            <v>Kenya</v>
          </cell>
          <cell r="X395" t="str">
            <v>Healthcare &amp; Pharma</v>
          </cell>
          <cell r="Y395" t="str">
            <v>Analytics, Consumer Software, Health Care, Home Health Care, Information Technology, Medical, Personal Health, SaaS</v>
          </cell>
        </row>
        <row r="396">
          <cell r="A396" t="str">
            <v>Allpro Technologies</v>
          </cell>
          <cell r="B396" t="str">
            <v>Allpro underwrites risk and provides capital to schools using data gathered from its fee payment and school management software</v>
          </cell>
          <cell r="C396" t="str">
            <v>Active</v>
          </cell>
          <cell r="D396">
            <v>2017</v>
          </cell>
          <cell r="G396" t="str">
            <v>Nigeria</v>
          </cell>
          <cell r="X396" t="str">
            <v>Education</v>
          </cell>
          <cell r="Y396" t="str">
            <v>Data, Payments, Software</v>
          </cell>
        </row>
        <row r="397">
          <cell r="A397" t="str">
            <v>Lawyerapp</v>
          </cell>
          <cell r="B397" t="str">
            <v>LawyerApp; an online community for legal practices</v>
          </cell>
          <cell r="C397" t="str">
            <v>Active</v>
          </cell>
          <cell r="D397">
            <v>2018</v>
          </cell>
          <cell r="G397" t="str">
            <v>Nigeria</v>
          </cell>
          <cell r="X397" t="str">
            <v>Commercial &amp; Professional Services</v>
          </cell>
          <cell r="Y397" t="str">
            <v>Legal services</v>
          </cell>
        </row>
        <row r="398">
          <cell r="A398" t="str">
            <v>Riby Finance</v>
          </cell>
          <cell r="B398" t="str">
            <v>Riby is a Finance Technology Company that provides a simple and smart finance management platform for groups and their members. Our solution automates the financial and business activities of cooperative.</v>
          </cell>
          <cell r="C398" t="str">
            <v>Active</v>
          </cell>
          <cell r="D398">
            <v>2016</v>
          </cell>
          <cell r="G398" t="str">
            <v>Nigeria</v>
          </cell>
          <cell r="X398" t="str">
            <v>Financial Services</v>
          </cell>
          <cell r="Y398" t="str">
            <v>Saving, Investing, Fintech</v>
          </cell>
        </row>
        <row r="399">
          <cell r="A399" t="str">
            <v>Redraven</v>
          </cell>
          <cell r="B399" t="str">
            <v>RedRaven Limited is a startup company in Port Harcourt with specialization in building blockchain-related technology. With financial technology (fintech) solutions gaining ground in Nigeria, companies such as RedRaven are leveraging the opportunities provided in this space</v>
          </cell>
          <cell r="C399" t="str">
            <v>Active</v>
          </cell>
          <cell r="D399">
            <v>2018</v>
          </cell>
          <cell r="G399" t="str">
            <v>Nigeria</v>
          </cell>
          <cell r="X399" t="str">
            <v>Financial Services</v>
          </cell>
          <cell r="Y399" t="str">
            <v>Payments</v>
          </cell>
        </row>
        <row r="400">
          <cell r="A400" t="str">
            <v>Aspire Power Solutions</v>
          </cell>
          <cell r="B400" t="str">
            <v>APS was born out of a realization that Sub Saharan African's will need to continue being Prosumers of electricity (Producing Consumers) for the long term due to weak, non existent, or inefficient grids common place across the continent. APS takes an analytics, technology, and long term service driven approach to ensuring these Prosumers don't walk alone. We optimize your electricity profile over time to give you the 'Power To Be'.</v>
          </cell>
          <cell r="C400" t="str">
            <v>Active</v>
          </cell>
          <cell r="D400">
            <v>2016</v>
          </cell>
          <cell r="G400" t="str">
            <v>Nigeria</v>
          </cell>
          <cell r="X400" t="str">
            <v>Energy &amp; Environment Resources</v>
          </cell>
          <cell r="Y400" t="str">
            <v>Renewable Energy, Solar Technology, Sales/Installation of Panels, Batteries, Inverters, Charge Controller, Power Consumption/Load Generation Management, Energy Analyst/Consultant, and Remote Monitoring System</v>
          </cell>
        </row>
        <row r="401">
          <cell r="A401" t="str">
            <v>Hydrolite</v>
          </cell>
          <cell r="B401" t="str">
            <v>Hydrolite developed a home lighting system powered by water and is designed for off-grid communities. Its torches can last up to 2 weeks after contact with water.</v>
          </cell>
          <cell r="C401" t="str">
            <v>Active</v>
          </cell>
          <cell r="D401">
            <v>2018</v>
          </cell>
          <cell r="G401" t="str">
            <v>Nigeria</v>
          </cell>
          <cell r="X401" t="str">
            <v>Energy &amp; Environment Resources</v>
          </cell>
          <cell r="Y401" t="str">
            <v>Clean Energy</v>
          </cell>
        </row>
        <row r="402">
          <cell r="A402" t="str">
            <v>Hydrotriciton</v>
          </cell>
          <cell r="B402" t="str">
            <v>The hydrotriciton generator is an emission-free, noiseless and easy to use generating set that is powered by water.</v>
          </cell>
          <cell r="C402" t="str">
            <v>Active</v>
          </cell>
          <cell r="D402">
            <v>2018</v>
          </cell>
          <cell r="G402" t="str">
            <v>Nigeria</v>
          </cell>
          <cell r="X402" t="str">
            <v>Renewable Energy</v>
          </cell>
          <cell r="Y402" t="str">
            <v>Clean Energy</v>
          </cell>
        </row>
        <row r="403">
          <cell r="A403" t="str">
            <v>Rucove</v>
          </cell>
          <cell r="B403" t="str">
            <v>Rucove put together people, data, and network to make agro cross-border trades happen</v>
          </cell>
          <cell r="C403" t="str">
            <v>Active</v>
          </cell>
          <cell r="D403">
            <v>2018</v>
          </cell>
          <cell r="G403" t="str">
            <v>Nigeria</v>
          </cell>
          <cell r="X403" t="str">
            <v>Agriculture</v>
          </cell>
          <cell r="Y403" t="str">
            <v>Agriculture, Blockchain, Cryptocurrency, E-Commerce, Financial Services, Human Resources, Retail</v>
          </cell>
        </row>
        <row r="404">
          <cell r="A404" t="str">
            <v>Spurbuddy</v>
          </cell>
          <cell r="B404" t="str">
            <v>We are SpurBuddy, a creative agency built with a clear focus on creating handcrafted digital experiences for brands to engage with their customers.</v>
          </cell>
          <cell r="C404" t="str">
            <v>Active</v>
          </cell>
          <cell r="D404">
            <v>2018</v>
          </cell>
          <cell r="G404" t="str">
            <v>Nigeria</v>
          </cell>
          <cell r="X404" t="str">
            <v>Media &amp; Entertainment</v>
          </cell>
          <cell r="Y404" t="str">
            <v>3D Technology, Advertising, Brand Marketing, Enterprise Software, Information Technology, Personal Branding, Product Design, Software, UX Design, Virtual Reality</v>
          </cell>
        </row>
        <row r="405">
          <cell r="A405" t="str">
            <v>ZeroElectric</v>
          </cell>
          <cell r="B405" t="str">
            <v>ZeroElectric developed a climate controlled system that cools the environment with water in areas without electricity.</v>
          </cell>
          <cell r="C405" t="str">
            <v>Active</v>
          </cell>
          <cell r="D405">
            <v>2017</v>
          </cell>
          <cell r="G405" t="str">
            <v>Nigeria</v>
          </cell>
          <cell r="X405" t="str">
            <v>Energy &amp; Environment Resources</v>
          </cell>
          <cell r="Y405" t="str">
            <v>Clean Energy</v>
          </cell>
        </row>
        <row r="406">
          <cell r="A406" t="str">
            <v>Iyeza Health</v>
          </cell>
          <cell r="B406" t="str">
            <v>Iyeza Health is a specialist health company committed to changing the face of public health in South Africa. Iyeza Health offer accessible alternatives to the current status quo in the health products distribution and supply chain.</v>
          </cell>
          <cell r="C406" t="str">
            <v>Active</v>
          </cell>
          <cell r="D406">
            <v>2016</v>
          </cell>
          <cell r="G406" t="str">
            <v>South Africa</v>
          </cell>
          <cell r="X406" t="str">
            <v>Healthcare &amp; Pharma</v>
          </cell>
          <cell r="Y406" t="str">
            <v>Health &amp; Pharmaceuticals</v>
          </cell>
        </row>
        <row r="407">
          <cell r="A407" t="str">
            <v>Courier Lite</v>
          </cell>
          <cell r="B407" t="str">
            <v>Courier Lite is a courier delivery service company with a mission to digitize courier services in emerging markets</v>
          </cell>
          <cell r="C407" t="str">
            <v>Active</v>
          </cell>
          <cell r="D407">
            <v>2017</v>
          </cell>
          <cell r="G407" t="str">
            <v>Uganda</v>
          </cell>
          <cell r="X407" t="str">
            <v>E-Commerce &amp; Retail</v>
          </cell>
          <cell r="Y407" t="str">
            <v>Courier Service, Delivery Service, FinTech</v>
          </cell>
        </row>
        <row r="408">
          <cell r="A408" t="str">
            <v>Enqaz Dot Net</v>
          </cell>
          <cell r="B408" t="str">
            <v>EnQaz.Net is Egyptian’s leading on-demand roadside assistance service.</v>
          </cell>
          <cell r="C408" t="str">
            <v>Active</v>
          </cell>
          <cell r="D408">
            <v>2017</v>
          </cell>
          <cell r="G408" t="str">
            <v>Egypt</v>
          </cell>
          <cell r="X408" t="str">
            <v>Information Technology</v>
          </cell>
          <cell r="Y408" t="str">
            <v>Software, Transportstion</v>
          </cell>
        </row>
        <row r="409">
          <cell r="A409" t="str">
            <v>Alphotazi Farms</v>
          </cell>
          <cell r="B409" t="str">
            <v>We run modular cassava processing plant, increase farmers' throughput and give them access to an assured market for their crop.</v>
          </cell>
          <cell r="C409" t="str">
            <v>Active</v>
          </cell>
          <cell r="D409">
            <v>2018</v>
          </cell>
          <cell r="G409" t="str">
            <v>Nigeria</v>
          </cell>
          <cell r="X409" t="str">
            <v>Agriculture</v>
          </cell>
          <cell r="Y409" t="str">
            <v>Production of animal feed</v>
          </cell>
        </row>
        <row r="410">
          <cell r="A410" t="str">
            <v>Cycles</v>
          </cell>
          <cell r="B410" t="str">
            <v>Cycles is a bike-sharing company changing the way we make short commutes in Nigeria through efficient smart-bike technology.</v>
          </cell>
          <cell r="C410" t="str">
            <v>Active</v>
          </cell>
          <cell r="D410">
            <v>2018</v>
          </cell>
          <cell r="G410" t="str">
            <v>Nigeria</v>
          </cell>
          <cell r="X410" t="str">
            <v>Information Technology</v>
          </cell>
          <cell r="Y410" t="str">
            <v>Bike sharing, Mobility, Green Transport, IOT, Information Technology, Cycling, Digital Transport, Fitness, and Sports</v>
          </cell>
        </row>
        <row r="411">
          <cell r="A411" t="str">
            <v>Middletrust</v>
          </cell>
          <cell r="B411" t="str">
            <v>Middletrust acts as a trusted middleman in transactions of all nature. Our application provides a platform that enables involved parties write and accept transaction contracts, this enables us ensure that all parties involved adhere to the contract agreements as agreed by both parties thus making room for an itch-free and smooth transaction</v>
          </cell>
          <cell r="C411" t="str">
            <v>Active</v>
          </cell>
          <cell r="D411">
            <v>2018</v>
          </cell>
          <cell r="G411" t="str">
            <v>Nigeria</v>
          </cell>
          <cell r="X411" t="str">
            <v>E-Commerce &amp; Retail</v>
          </cell>
          <cell r="Y411" t="str">
            <v>E-Commerce, Financial Services, FinTech, Internet, Payments</v>
          </cell>
        </row>
        <row r="412">
          <cell r="A412" t="str">
            <v>OffCampus</v>
          </cell>
          <cell r="B412" t="str">
            <v>OffCampus allows Nigerian students in tertiary institutions (universities, polytechnics and colleges of education) search for, and rent off-campus accommodations around their schools.</v>
          </cell>
          <cell r="C412" t="str">
            <v>Active</v>
          </cell>
          <cell r="D412">
            <v>2017</v>
          </cell>
          <cell r="G412" t="str">
            <v>Nigeria</v>
          </cell>
          <cell r="X412" t="str">
            <v>Real Estate</v>
          </cell>
          <cell r="Y412" t="str">
            <v>Information Technology</v>
          </cell>
        </row>
        <row r="413">
          <cell r="A413" t="str">
            <v>Solatrify</v>
          </cell>
          <cell r="B413" t="str">
            <v>Solatrify is Africa's foremost value-added solar distribution company committed to providing quality solar equipment, business support &amp; financial mechanism for the growing network of local solar dealers, installers &amp; project contractors in Sub-Saharan African</v>
          </cell>
          <cell r="C413" t="str">
            <v>Active</v>
          </cell>
          <cell r="D413">
            <v>2018</v>
          </cell>
          <cell r="G413" t="str">
            <v>Nigeria</v>
          </cell>
          <cell r="X413" t="str">
            <v>Resource &amp; Energy</v>
          </cell>
          <cell r="Y413" t="str">
            <v>Energy, Financial Services, Renewable Energy, Retail, Solar</v>
          </cell>
        </row>
        <row r="414">
          <cell r="A414" t="str">
            <v>Spicyauto</v>
          </cell>
          <cell r="B414" t="str">
            <v>Spicyauto Limited is an online car marketplace in Nigeria committed to becoming the most loved and trusted marketplace on the web. We tirelessly pursue these goals by offering a superior experience, creating transparency for everyone and stellar customer service. We offer a trusted, reliable and cost-effective online marketplace for the widest range of quality vehicles in Nigeria</v>
          </cell>
          <cell r="C414" t="str">
            <v>Active</v>
          </cell>
          <cell r="D414">
            <v>2018</v>
          </cell>
          <cell r="G414" t="str">
            <v>Nigeria</v>
          </cell>
          <cell r="X414" t="str">
            <v>E-Commerce &amp; Retail</v>
          </cell>
          <cell r="Y414" t="str">
            <v>Automotive, E-Commerce, Information Technology, Marketplace, Retail Technology</v>
          </cell>
        </row>
        <row r="415">
          <cell r="A415" t="str">
            <v>Tender NG</v>
          </cell>
          <cell r="B415" t="str">
            <v>Tender.ng is a smart online notification service that provides timely updates to businesses about tenders.</v>
          </cell>
          <cell r="C415" t="str">
            <v>Active</v>
          </cell>
          <cell r="D415">
            <v>2016</v>
          </cell>
          <cell r="G415" t="str">
            <v>Nigeria</v>
          </cell>
          <cell r="X415" t="str">
            <v>Information Technology</v>
          </cell>
          <cell r="Y415" t="str">
            <v>Consulting, Information Technology</v>
          </cell>
        </row>
        <row r="416">
          <cell r="A416" t="str">
            <v>Servixme</v>
          </cell>
          <cell r="B416" t="str">
            <v>We’re passionate about helping you find your creative voice. We champion brands and bring them into the spotlight. We leverage your unique strengths to build strategic roadmaps, and deliver the right customers to you. Our team offers unparalleled creative solutions to all of our clients, and is determined to see every job through to its success</v>
          </cell>
          <cell r="C416" t="str">
            <v>Active</v>
          </cell>
          <cell r="D416">
            <v>2018</v>
          </cell>
          <cell r="G416" t="str">
            <v>Nigeria</v>
          </cell>
          <cell r="X416" t="str">
            <v>Media &amp; Entertainment</v>
          </cell>
          <cell r="Y416" t="str">
            <v>Content Creators, Digital Marketing, Web Development</v>
          </cell>
        </row>
        <row r="417">
          <cell r="A417" t="str">
            <v>Ogaranya</v>
          </cell>
          <cell r="B417" t="str">
            <v>Ogaranya is an offline e-commerce platform in Nigeria</v>
          </cell>
          <cell r="C417" t="str">
            <v>Active</v>
          </cell>
          <cell r="D417">
            <v>2017</v>
          </cell>
          <cell r="G417" t="str">
            <v>Nigeria</v>
          </cell>
          <cell r="X417" t="str">
            <v>E-Commerce &amp; Retail</v>
          </cell>
          <cell r="Y417" t="str">
            <v>Commerce</v>
          </cell>
        </row>
        <row r="418">
          <cell r="A418" t="str">
            <v>Tsaron Technologies</v>
          </cell>
          <cell r="B418" t="str">
            <v>Tsaron Tech is an arbiter using algorithms to lower premiums for interstate transporters in order to impact road safety.</v>
          </cell>
          <cell r="C418" t="str">
            <v>Active</v>
          </cell>
          <cell r="D418">
            <v>2017</v>
          </cell>
          <cell r="G418" t="str">
            <v>Nigeria</v>
          </cell>
          <cell r="X418" t="str">
            <v>Financial Services</v>
          </cell>
          <cell r="Y418" t="str">
            <v>Insur-Tech</v>
          </cell>
        </row>
        <row r="419">
          <cell r="A419" t="str">
            <v>Crop2Cash</v>
          </cell>
          <cell r="B419" t="str">
            <v>Crop2Cash is an A.I. powered Agri-Commerce platform that connects farmers and their crops to industries. The company is a winner of Wennovation Agri-Tech Demo Day</v>
          </cell>
          <cell r="C419" t="str">
            <v>Active</v>
          </cell>
          <cell r="D419">
            <v>2018</v>
          </cell>
          <cell r="G419" t="str">
            <v>Nigeria</v>
          </cell>
          <cell r="X419" t="str">
            <v>Agriculture</v>
          </cell>
          <cell r="Y419" t="str">
            <v>Agriculture, E-Commerce, Farming, Internet, Internet of Things, Software</v>
          </cell>
        </row>
        <row r="420">
          <cell r="A420" t="str">
            <v>Guanxi Invest</v>
          </cell>
          <cell r="B420" t="str">
            <v>Guanxi is a directory of the most innovative and competitive start-ups and projects in the continent. With the integration of local payment solutions (mobile money and cash payments) adapted to the low level of bank account penetration, Guanxi enables the public to discover and invest in projects/companies of their choices.</v>
          </cell>
          <cell r="C420" t="str">
            <v>Active</v>
          </cell>
          <cell r="D420">
            <v>2017</v>
          </cell>
          <cell r="G420" t="str">
            <v>Cameroon</v>
          </cell>
          <cell r="X420" t="str">
            <v>Financial Services</v>
          </cell>
          <cell r="Y420" t="str">
            <v>Crowdfunding, FinTech</v>
          </cell>
        </row>
        <row r="421">
          <cell r="A421" t="str">
            <v>Numbers</v>
          </cell>
          <cell r="B421" t="str">
            <v>Criminal activities happen to be a serious problem affecting us as a nation and the entire world. We have products ranging from hardwares to softwares. We deploy technologies like Machine learning, Facial Recognition, Intelligence Surveillance, Traffic control and Determination etc to keep you safe.The world is changing and we are changing the use of traditional solutions and embracing the contribution the computer can make to create a better and safer world with the massive amount of data generated per minute and the much developmental strives been made in the world of Computer Science creating greater computer power and speed. We deploy this resources at our disposal in-order to understand the society better and present effective solutions that solve our problems of insecurity.</v>
          </cell>
          <cell r="D421">
            <v>2018</v>
          </cell>
          <cell r="G421" t="str">
            <v>Nigeria</v>
          </cell>
          <cell r="X421" t="str">
            <v>Information Technology</v>
          </cell>
          <cell r="Y421" t="str">
            <v>Artificial Intelligence, Big Data, Machine Learning, Security</v>
          </cell>
        </row>
        <row r="422">
          <cell r="A422" t="str">
            <v>Imaginators</v>
          </cell>
          <cell r="B422" t="str">
            <v>Imaginators is platform that enables users visualise their ideas.</v>
          </cell>
          <cell r="C422" t="str">
            <v>Active</v>
          </cell>
          <cell r="D422">
            <v>2016</v>
          </cell>
          <cell r="G422" t="str">
            <v>Egypt</v>
          </cell>
          <cell r="X422" t="str">
            <v>Media &amp; Entertainment</v>
          </cell>
          <cell r="Y422" t="str">
            <v>Presentation Software, Presentations, Productivity Tools, Social Media, Software</v>
          </cell>
        </row>
        <row r="423">
          <cell r="A423" t="str">
            <v>Dilivasbox</v>
          </cell>
          <cell r="B423" t="str">
            <v>Dilivas delivers convenience to modern households’ doorsteps: weekly boxes of fresh and local ingredients pre-measured to match corresponding recipes, which make “do-it-yourself fine dining” possible without long trips to the local Nigerian markets</v>
          </cell>
          <cell r="C423" t="str">
            <v>Active</v>
          </cell>
          <cell r="D423">
            <v>2017</v>
          </cell>
          <cell r="G423" t="str">
            <v>Nigeria</v>
          </cell>
          <cell r="X423" t="str">
            <v>Agriculture</v>
          </cell>
          <cell r="Y423" t="str">
            <v>Consumer Goods, Delivery, Retail</v>
          </cell>
        </row>
        <row r="424">
          <cell r="A424" t="str">
            <v>Newdigit</v>
          </cell>
          <cell r="B424" t="str">
            <v>New digit is a high tech Energy company innovating and manufacturing a unique integrated multi-functional new renewable energy products that is providing energy solutions, with smart-grid services for the transmission, distribution and modulation of electricity. Our Chief Energy sources include: o Hydrogen: Fuel Cell o Vibrations: Piezoelectric Energy o Electromagnetic: ( Solar and Radio Energy)</v>
          </cell>
          <cell r="C424" t="str">
            <v>Active</v>
          </cell>
          <cell r="D424">
            <v>2018</v>
          </cell>
          <cell r="G424" t="str">
            <v>Nigeria</v>
          </cell>
          <cell r="X424" t="str">
            <v>Renewables &amp; Environment</v>
          </cell>
          <cell r="Y424" t="str">
            <v>CleanTech, Information Technology, Renewable Energy, Solar</v>
          </cell>
        </row>
        <row r="425">
          <cell r="A425" t="str">
            <v>Bridgeur</v>
          </cell>
          <cell r="B425" t="str">
            <v>Bridgeur (Pty) Ltd is a luxury fashion company founded in South Africa</v>
          </cell>
          <cell r="C425" t="str">
            <v>Active</v>
          </cell>
          <cell r="D425">
            <v>2018</v>
          </cell>
          <cell r="G425" t="str">
            <v>South Africa</v>
          </cell>
          <cell r="X425" t="str">
            <v>E-Commerce &amp; Retail</v>
          </cell>
          <cell r="Y425" t="str">
            <v>Retail</v>
          </cell>
        </row>
        <row r="426">
          <cell r="A426" t="str">
            <v>Sendroid AI</v>
          </cell>
          <cell r="B426" t="str">
            <v>Sendroid helps businesses open chat conversations from Facebook or Instagram ad clicks</v>
          </cell>
          <cell r="C426" t="str">
            <v>Active</v>
          </cell>
          <cell r="D426">
            <v>2018</v>
          </cell>
          <cell r="G426" t="str">
            <v>Nigeria</v>
          </cell>
          <cell r="X426" t="str">
            <v>Media &amp; Entertainment</v>
          </cell>
          <cell r="Y426" t="str">
            <v>Advertising, Artificial Intelligence, Digital Marketing, E-Commerce</v>
          </cell>
        </row>
        <row r="427">
          <cell r="A427" t="str">
            <v>NanoDoors</v>
          </cell>
          <cell r="B427" t="str">
            <v>NanoDoors is a technological company focused on using new computing lifestyle to innovate the next generation computers</v>
          </cell>
          <cell r="C427" t="str">
            <v>Active</v>
          </cell>
          <cell r="D427">
            <v>2018</v>
          </cell>
          <cell r="G427" t="str">
            <v>Nigeria</v>
          </cell>
          <cell r="X427" t="str">
            <v>Information Technology</v>
          </cell>
          <cell r="Y427" t="str">
            <v>Computer, Hardware, Information Technology, Software</v>
          </cell>
        </row>
        <row r="428">
          <cell r="A428" t="str">
            <v>Provider</v>
          </cell>
          <cell r="B428" t="str">
            <v>When you send us your food shopping list via Facebook Messenger, provider helps you shop with your budget and same day delivery</v>
          </cell>
          <cell r="D428">
            <v>2019</v>
          </cell>
          <cell r="G428" t="str">
            <v>Nigeria</v>
          </cell>
          <cell r="X428" t="str">
            <v>E-Commerce &amp; Retail</v>
          </cell>
          <cell r="Y428" t="str">
            <v>Artificial Intelligence, Facebook, Food Delivery, Messaging, Natural Language Processing, Shopping</v>
          </cell>
        </row>
        <row r="429">
          <cell r="A429" t="str">
            <v>Shield Finders</v>
          </cell>
          <cell r="B429" t="str">
            <v>Shield Finders povides the unbanked with access to financial services.</v>
          </cell>
          <cell r="C429" t="str">
            <v>Active</v>
          </cell>
          <cell r="D429">
            <v>2018</v>
          </cell>
          <cell r="G429" t="str">
            <v>Nigeria</v>
          </cell>
          <cell r="X429" t="str">
            <v>Financial Services</v>
          </cell>
          <cell r="Y429" t="str">
            <v>Loans, Savings</v>
          </cell>
        </row>
        <row r="430">
          <cell r="A430" t="str">
            <v>Luxchizie.net</v>
          </cell>
          <cell r="B430" t="str">
            <v>Luxchizie is an ICT Hub that is into real estate and construction services</v>
          </cell>
          <cell r="C430" t="str">
            <v>Active</v>
          </cell>
          <cell r="D430">
            <v>2010</v>
          </cell>
          <cell r="G430" t="str">
            <v>Nigeria</v>
          </cell>
          <cell r="X430" t="str">
            <v>Real Estate</v>
          </cell>
          <cell r="Y430" t="str">
            <v>Construction, Information Technology, Real Estate</v>
          </cell>
        </row>
        <row r="431">
          <cell r="A431" t="str">
            <v>5linhas</v>
          </cell>
          <cell r="B431" t="str">
            <v>A Sociedade 5Linhas – Investimentos e Telecomunicações, S.A., é uma iniciativa que visa atrair e impulsionar investidores em Angola e aproximá-los de empreendedores que buscam apoio para seus projectos de base tecnológica.</v>
          </cell>
          <cell r="C431" t="str">
            <v>Active</v>
          </cell>
          <cell r="D431">
            <v>2017</v>
          </cell>
          <cell r="G431" t="str">
            <v>Angola</v>
          </cell>
          <cell r="X431" t="str">
            <v>Information Technology</v>
          </cell>
        </row>
        <row r="432">
          <cell r="A432" t="str">
            <v>Agro-tech</v>
          </cell>
          <cell r="B432" t="str">
            <v>Home appliances for cannabis and various crops cultivation</v>
          </cell>
          <cell r="C432" t="str">
            <v>Active</v>
          </cell>
          <cell r="D432">
            <v>2016</v>
          </cell>
          <cell r="G432" t="str">
            <v>Angola</v>
          </cell>
          <cell r="X432" t="str">
            <v>Emerging Technologies</v>
          </cell>
        </row>
        <row r="433">
          <cell r="A433" t="str">
            <v>Alfa Sementeira</v>
          </cell>
          <cell r="B433" t="str">
            <v>Provide consultancy services related to Agriculture and Unmanned Aerial Vehicles.</v>
          </cell>
          <cell r="C433" t="str">
            <v>Active</v>
          </cell>
          <cell r="D433">
            <v>2018</v>
          </cell>
          <cell r="G433" t="str">
            <v>Angola</v>
          </cell>
          <cell r="X433" t="str">
            <v>Emerging Technologies</v>
          </cell>
          <cell r="Y433" t="str">
            <v>Drones</v>
          </cell>
        </row>
        <row r="434">
          <cell r="A434" t="str">
            <v>Appy Saúde</v>
          </cell>
          <cell r="B434" t="str">
            <v>Appy Saude connects users to the nearest pharmacies and hospitals in Angola</v>
          </cell>
          <cell r="C434" t="str">
            <v>Active</v>
          </cell>
          <cell r="D434">
            <v>2015</v>
          </cell>
          <cell r="G434" t="str">
            <v>Angola</v>
          </cell>
          <cell r="X434" t="str">
            <v>Healthcare &amp; Pharma</v>
          </cell>
          <cell r="Y434" t="str">
            <v>Wellness</v>
          </cell>
        </row>
        <row r="435">
          <cell r="A435" t="str">
            <v>Bantu Games</v>
          </cell>
          <cell r="B435" t="str">
            <v>Somos os criadores do famoso jogo “Zungueira Run”. Nós desenvolvemos jogos que “Kuiam” e que todo angolano identifica-se!</v>
          </cell>
          <cell r="C435" t="str">
            <v>Active</v>
          </cell>
          <cell r="D435">
            <v>2019</v>
          </cell>
          <cell r="G435" t="str">
            <v>Angola</v>
          </cell>
          <cell r="X435" t="str">
            <v>Information Technology</v>
          </cell>
        </row>
        <row r="436">
          <cell r="A436" t="str">
            <v>BayQi</v>
          </cell>
          <cell r="B436" t="str">
            <v>BayQi is an Electronic Commerce (B2C) platform that enables Seller anywhere in the world to sell their products safely and easily directly to the End Consumer in Africa.</v>
          </cell>
          <cell r="C436" t="str">
            <v>Active</v>
          </cell>
          <cell r="D436">
            <v>2018</v>
          </cell>
          <cell r="G436" t="str">
            <v>Angola</v>
          </cell>
          <cell r="X436" t="str">
            <v>E-Commerce &amp; Retail</v>
          </cell>
        </row>
        <row r="437">
          <cell r="A437" t="str">
            <v>Deya</v>
          </cell>
          <cell r="B437" t="str">
            <v>Our mission: - Design, propose adapt audio-visual and collaborative solutions for our customers evolving in an increasingly complex, competitive and decentralized environment. - Accompany our customers during their events (audiovisual and event services). Our strengths: - 20 years of experience - An experienced team - Satisfied clients in different sectors of activity (Healthcare, Banking, Public Sector, Defense, etc ...), Premium partners (Epson, Polycom, Christie, Barco , Samsung, Nec, Crestron, Extron, Yamaha, Bose, Sennheiser, etc ...) - For the benefit, a large fleet of equipment: 80-inch screens, 4K camera tray, video projectors from 6000 to 20 000 lumens, etc. .. To contact us: Phone: +333 88 555 380 Mail:</v>
          </cell>
          <cell r="C437" t="str">
            <v>Active</v>
          </cell>
          <cell r="D437">
            <v>1996</v>
          </cell>
          <cell r="G437" t="str">
            <v>Angola</v>
          </cell>
          <cell r="X437" t="str">
            <v>Financial Services</v>
          </cell>
        </row>
        <row r="438">
          <cell r="A438" t="str">
            <v>Bumba</v>
          </cell>
          <cell r="B438" t="str">
            <v>Bumba is a service contracting application in Angola. The application will allow single personals to get service providers that are based in Luanda-Angola</v>
          </cell>
          <cell r="C438" t="str">
            <v>Active</v>
          </cell>
          <cell r="D438">
            <v>2019</v>
          </cell>
          <cell r="G438" t="str">
            <v>Angola</v>
          </cell>
          <cell r="X438" t="str">
            <v>Recruitment</v>
          </cell>
          <cell r="Y438" t="str">
            <v>Customer Service, Home Services, Professional Services, Service Industry</v>
          </cell>
        </row>
        <row r="439">
          <cell r="A439" t="str">
            <v>Kubinga</v>
          </cell>
          <cell r="B439" t="str">
            <v>Kubinga privide economy cars at everyday prices.</v>
          </cell>
          <cell r="C439" t="str">
            <v>Active</v>
          </cell>
          <cell r="D439">
            <v>2018</v>
          </cell>
          <cell r="G439" t="str">
            <v>Angola</v>
          </cell>
          <cell r="X439" t="str">
            <v>Transport &amp; Logistics</v>
          </cell>
          <cell r="Y439" t="str">
            <v>Transportation/Trucking/Railroad</v>
          </cell>
        </row>
        <row r="440">
          <cell r="A440" t="str">
            <v>Btech Sarl - Benin</v>
          </cell>
          <cell r="G440" t="str">
            <v>Benin</v>
          </cell>
        </row>
        <row r="441">
          <cell r="A441" t="str">
            <v>Botsogo</v>
          </cell>
          <cell r="B441" t="str">
            <v>The BOTSwana Oncology Global Outreach program (BOTSOGO) works to improve access to quality cancer care in Botswana through a growing collaboration between physicians and other healthcare professionals in Boston and in Botswana</v>
          </cell>
          <cell r="C441" t="str">
            <v>Active</v>
          </cell>
          <cell r="D441">
            <v>2014</v>
          </cell>
          <cell r="G441" t="str">
            <v>Botswana</v>
          </cell>
          <cell r="X441" t="str">
            <v>Healthcare &amp; Pharma</v>
          </cell>
        </row>
        <row r="442">
          <cell r="A442" t="str">
            <v>Chabana Farms</v>
          </cell>
          <cell r="B442" t="str">
            <v>Chabana Farms creates a marketing platform to help farmers such as myself to enter the global market. To encourage small scale farmers in rural Africa to produce and reach global markets especially women farmers</v>
          </cell>
          <cell r="C442" t="str">
            <v>Dead</v>
          </cell>
          <cell r="D442">
            <v>2011</v>
          </cell>
          <cell r="G442" t="str">
            <v>Botswana</v>
          </cell>
          <cell r="X442" t="str">
            <v>Agriculture</v>
          </cell>
          <cell r="Y442" t="str">
            <v>Farmers Market</v>
          </cell>
        </row>
        <row r="443">
          <cell r="A443" t="str">
            <v>AgriBizz</v>
          </cell>
          <cell r="B443" t="str">
            <v>AGRIBIZZ is the partner who listens to your agricultural needs and accompanies you with technological solutions and agricultural equipment.</v>
          </cell>
          <cell r="C443" t="str">
            <v>Active</v>
          </cell>
          <cell r="D443">
            <v>2017</v>
          </cell>
          <cell r="G443" t="str">
            <v>Cameroon</v>
          </cell>
          <cell r="X443" t="str">
            <v>Agriculture</v>
          </cell>
          <cell r="Y443" t="str">
            <v>AgriTech, Drones</v>
          </cell>
        </row>
        <row r="444">
          <cell r="A444" t="str">
            <v>Diool</v>
          </cell>
          <cell r="B444" t="str">
            <v>Exchanging payments in Africa can often be complicated and time consuming. Diool lets you send payments to your contacts on any network, online or at the nearest shop.</v>
          </cell>
          <cell r="C444" t="str">
            <v>Active</v>
          </cell>
          <cell r="D444">
            <v>2015</v>
          </cell>
          <cell r="G444" t="str">
            <v>Cameroon</v>
          </cell>
          <cell r="X444" t="str">
            <v>Financial Services</v>
          </cell>
          <cell r="Y444" t="str">
            <v>E-Commerce, Financial Services, Internet, Mobile, Mobile Payments, Software</v>
          </cell>
        </row>
        <row r="445">
          <cell r="A445" t="str">
            <v>Boomplay</v>
          </cell>
          <cell r="B445" t="str">
            <v>Boomplay is a streaming platform, which operates the Boom Player app, is adding an average of 2 million new subscribers per month and now boasts 44 million app downloads and 5.6 million daily users. It hosts the most extensive online African music catalog in the world with 5 million tracks, according to the company</v>
          </cell>
          <cell r="C445" t="str">
            <v>Active</v>
          </cell>
          <cell r="D445">
            <v>2015</v>
          </cell>
          <cell r="G445" t="str">
            <v>China</v>
          </cell>
          <cell r="X445" t="str">
            <v>Media &amp; Entertainment</v>
          </cell>
          <cell r="Y445" t="str">
            <v>Apps, Music</v>
          </cell>
        </row>
        <row r="446">
          <cell r="A446" t="str">
            <v>Accept</v>
          </cell>
          <cell r="B446" t="str">
            <v>Accept is a payment service provider and payment aggregator that empowers businesses to get paid wherever their customers are. Our services facilitate both online and offline payment channels with a set of tools to accept payments whether online, via mobile, on delivery or in store and whether paid by card, mobile wallet or cash.</v>
          </cell>
          <cell r="C446" t="str">
            <v>Active</v>
          </cell>
          <cell r="D446">
            <v>2018</v>
          </cell>
          <cell r="G446" t="str">
            <v>Egypt</v>
          </cell>
          <cell r="X446" t="str">
            <v>Financial Services</v>
          </cell>
          <cell r="Y446" t="str">
            <v>Payments, Online Payments, Mobile Wallets, Ecommerce, Credit Card Payments, and Cash on Delivery</v>
          </cell>
        </row>
        <row r="447">
          <cell r="A447" t="str">
            <v>Almaqarr Coworking Space</v>
          </cell>
          <cell r="B447" t="str">
            <v>AlMaqarr is the leading coworking space in Egypt since 2012. It manages a solid diversified community of innovation and collaboration between startups, student organizations, social initiatives and freelancers.</v>
          </cell>
          <cell r="C447" t="str">
            <v>Active</v>
          </cell>
          <cell r="D447">
            <v>2012</v>
          </cell>
          <cell r="G447" t="str">
            <v>Egypt</v>
          </cell>
          <cell r="X447" t="str">
            <v>Real Estate and Construction</v>
          </cell>
          <cell r="Y447" t="str">
            <v>Coworking Space, Office Space, Meeting Space,  Conference Halls</v>
          </cell>
        </row>
        <row r="448">
          <cell r="A448" t="str">
            <v>Autoparts</v>
          </cell>
          <cell r="B448" t="str">
            <v>Autoparts, an online marketplace, provides its customers an extensive selection of spare parts at competitive and transparent prices</v>
          </cell>
          <cell r="C448" t="str">
            <v>Active</v>
          </cell>
          <cell r="D448">
            <v>2017</v>
          </cell>
          <cell r="G448" t="str">
            <v>Egypt</v>
          </cell>
          <cell r="X448" t="str">
            <v>E-Commerce &amp; Retail</v>
          </cell>
          <cell r="Y448" t="str">
            <v>Automotive, E-Commerce, Internet, Transportation</v>
          </cell>
        </row>
        <row r="449">
          <cell r="A449" t="str">
            <v>AnaMehani</v>
          </cell>
          <cell r="B449" t="str">
            <v>AnaMehani is an online service marketplace helps clients to find and select the best service providers nearby you</v>
          </cell>
          <cell r="C449" t="str">
            <v>Active</v>
          </cell>
          <cell r="D449">
            <v>2015</v>
          </cell>
          <cell r="G449" t="str">
            <v>Egypt</v>
          </cell>
          <cell r="X449" t="str">
            <v>Commercial &amp; Professional Services</v>
          </cell>
          <cell r="Y449" t="str">
            <v>Talent, Labour</v>
          </cell>
        </row>
        <row r="450">
          <cell r="A450" t="str">
            <v>Aqarmap</v>
          </cell>
          <cell r="B450" t="str">
            <v>Aqarmap.com is an online Real Estate marketplace that makes buying, selling, and renting properties easy and convenient. We help thousands of Real Estate Developers and Brokers to promote their projects and properties to millions of qualified buyers. In 2016, we helped sell more than 17,000 units with a total value of more than 550 Million USD.</v>
          </cell>
          <cell r="C450" t="str">
            <v>Active</v>
          </cell>
          <cell r="D450">
            <v>2011</v>
          </cell>
          <cell r="G450" t="str">
            <v>Egypt</v>
          </cell>
          <cell r="X450" t="str">
            <v>E-Commerce &amp; Retail</v>
          </cell>
          <cell r="Y450" t="str">
            <v>Online Real Estate Portal, Real Estate Marketing, Real Estate Marketplace, and Real Estate Digital Marketing</v>
          </cell>
        </row>
        <row r="451">
          <cell r="A451" t="str">
            <v>Avidbeam</v>
          </cell>
          <cell r="B451" t="str">
            <v>Analyze thousands of videos efficiently in real-time, extract intelligent information in a blink of an eye</v>
          </cell>
          <cell r="D451">
            <v>2014</v>
          </cell>
          <cell r="G451" t="str">
            <v>Egypt</v>
          </cell>
          <cell r="X451" t="str">
            <v>Information Technology</v>
          </cell>
          <cell r="Y451" t="str">
            <v>Information Technology, Cloud Computing, Video Big Data Analytics, Computer Vision, Artificial Intelligence, and Visualization</v>
          </cell>
        </row>
        <row r="452">
          <cell r="A452" t="str">
            <v>Awfar</v>
          </cell>
          <cell r="B452" t="str">
            <v>Groceries delivery service provider and platform based in Egypt,</v>
          </cell>
          <cell r="C452" t="str">
            <v>Active</v>
          </cell>
          <cell r="D452">
            <v>2013</v>
          </cell>
          <cell r="G452" t="str">
            <v>Egypt</v>
          </cell>
          <cell r="X452" t="str">
            <v>E-Commerce &amp; Retail</v>
          </cell>
          <cell r="Y452" t="str">
            <v>Delivery, E-Commerce, Internet, Mobile</v>
          </cell>
        </row>
        <row r="453">
          <cell r="A453" t="str">
            <v>Biodiesel Misr</v>
          </cell>
          <cell r="B453" t="str">
            <v>Biodiesel Misr is the leading biodiesel company in Egypt. Established in 2013, with the vision to become a key player in the EMEA biodiesel market</v>
          </cell>
          <cell r="C453" t="str">
            <v>Active</v>
          </cell>
          <cell r="D453">
            <v>2013</v>
          </cell>
          <cell r="G453" t="str">
            <v>Egypt</v>
          </cell>
          <cell r="X453" t="str">
            <v>Energy &amp; Environment Resources</v>
          </cell>
          <cell r="Y453" t="str">
            <v>Renewables &amp; Environment</v>
          </cell>
        </row>
        <row r="454">
          <cell r="A454" t="str">
            <v>DentaCarts</v>
          </cell>
          <cell r="B454" t="str">
            <v>DentaCarts is the dentist's smart partner, an online dental marketplace that connects dentists with vendors.</v>
          </cell>
          <cell r="C454" t="str">
            <v>Active</v>
          </cell>
          <cell r="D454">
            <v>2017</v>
          </cell>
          <cell r="G454" t="str">
            <v>Egypt</v>
          </cell>
          <cell r="X454" t="str">
            <v>E-Commerce &amp; Retail</v>
          </cell>
          <cell r="Y454" t="str">
            <v>Dental Supplies</v>
          </cell>
        </row>
        <row r="455">
          <cell r="A455" t="str">
            <v>Bermoda</v>
          </cell>
          <cell r="B455" t="str">
            <v>Bermoda is an Agritech company that develops high-value biofertilizers from agricultural waste.</v>
          </cell>
          <cell r="C455" t="str">
            <v>Active</v>
          </cell>
          <cell r="D455">
            <v>2016</v>
          </cell>
          <cell r="G455" t="str">
            <v>Egypt</v>
          </cell>
          <cell r="X455" t="str">
            <v>Agriculture</v>
          </cell>
          <cell r="Y455" t="str">
            <v>Agriculture, Biotechnology</v>
          </cell>
        </row>
        <row r="456">
          <cell r="A456" t="str">
            <v>Carsurance</v>
          </cell>
          <cell r="B456" t="str">
            <v>Carsurance is the fastest way to save on car insurance.</v>
          </cell>
          <cell r="C456" t="str">
            <v>Active</v>
          </cell>
          <cell r="D456">
            <v>2016</v>
          </cell>
          <cell r="G456" t="str">
            <v>Egypt</v>
          </cell>
          <cell r="X456" t="str">
            <v>Financial Services</v>
          </cell>
          <cell r="Y456" t="str">
            <v>Insurance</v>
          </cell>
        </row>
        <row r="457">
          <cell r="A457" t="str">
            <v>Cequens</v>
          </cell>
          <cell r="B457" t="str">
            <v>Cequens is a leading Communication Platform that empowers enterprises and OTTs with carrier-grade, continuously evolving, and global Messaging, Video, and Voice products</v>
          </cell>
          <cell r="C457" t="str">
            <v>Active</v>
          </cell>
          <cell r="D457">
            <v>2011</v>
          </cell>
          <cell r="G457" t="str">
            <v>Egypt</v>
          </cell>
          <cell r="X457" t="str">
            <v>Information Technology</v>
          </cell>
          <cell r="Y457" t="str">
            <v>Developer Platform, Messaging, Mobile, SMS, Telecommunications</v>
          </cell>
        </row>
        <row r="458">
          <cell r="A458" t="str">
            <v>Farawlaya.Com</v>
          </cell>
          <cell r="B458" t="str">
            <v>Farawlaya.com showcases designers intimate and home wear apparel for women of all shapes and sizes.</v>
          </cell>
          <cell r="C458" t="str">
            <v>Active</v>
          </cell>
          <cell r="D458">
            <v>2015</v>
          </cell>
          <cell r="G458" t="str">
            <v>Egypt</v>
          </cell>
          <cell r="X458" t="str">
            <v>E-Commerce &amp; Retail</v>
          </cell>
          <cell r="Y458" t="str">
            <v>Fashion, Lifestyle, Lingerie, Women's</v>
          </cell>
        </row>
        <row r="459">
          <cell r="A459" t="str">
            <v>Bluemoon</v>
          </cell>
          <cell r="B459" t="str">
            <v>blueMoon is a new and exciting initiative to discover, incubate, and invest seed funds into innovative and scalable youth agribusiness startups in Ethiopia. At blueMoon, we believe that, once in a blue moon, exceptional ideas can turn into great businesses that literally change the world.</v>
          </cell>
          <cell r="C459" t="str">
            <v>Active</v>
          </cell>
          <cell r="D459">
            <v>2016</v>
          </cell>
          <cell r="G459" t="str">
            <v>Ethiopia</v>
          </cell>
          <cell r="X459" t="str">
            <v>Agriculture</v>
          </cell>
          <cell r="Y459" t="str">
            <v>Agribusiness, Entrepreneurship, Incubation, Startups, Youth Empowerment, Coworking Space</v>
          </cell>
        </row>
        <row r="460">
          <cell r="A460" t="str">
            <v>Afrikwity</v>
          </cell>
          <cell r="B460" t="str">
            <v>Afrikwity is a pioneering equity crowdfunding platform in Africa dedicated to financing entrepreneurial projects</v>
          </cell>
          <cell r="C460" t="str">
            <v>Active</v>
          </cell>
          <cell r="D460">
            <v>2015</v>
          </cell>
          <cell r="G460" t="str">
            <v>France</v>
          </cell>
          <cell r="X460" t="str">
            <v>Financial Services</v>
          </cell>
          <cell r="Y460" t="str">
            <v>Crowdfunding, Capital Investment, Equity crowdfunding, Private equity, and Finance participative</v>
          </cell>
        </row>
        <row r="461">
          <cell r="A461" t="str">
            <v>Afrimarket</v>
          </cell>
          <cell r="B461" t="str">
            <v>Afrimarket is a French generalist ecommerce company operating in 5 West-African countries which fully integrates last mile logistics.</v>
          </cell>
          <cell r="C461" t="str">
            <v>Active</v>
          </cell>
          <cell r="D461">
            <v>2013</v>
          </cell>
          <cell r="G461" t="str">
            <v>France</v>
          </cell>
          <cell r="X461" t="str">
            <v>E-Commerce &amp; Retail</v>
          </cell>
          <cell r="Y461" t="str">
            <v>E-Commerce, Retail</v>
          </cell>
        </row>
        <row r="462">
          <cell r="A462" t="str">
            <v>Africoinx</v>
          </cell>
          <cell r="B462" t="str">
            <v>Africoinx is a cryptocurrency exchange based in Ghana.</v>
          </cell>
          <cell r="C462" t="str">
            <v>Active</v>
          </cell>
          <cell r="D462">
            <v>2018</v>
          </cell>
          <cell r="G462" t="str">
            <v>Ghana</v>
          </cell>
          <cell r="X462" t="str">
            <v>Financial Services</v>
          </cell>
          <cell r="Y462" t="str">
            <v>Cryptocurrencies, Financial services</v>
          </cell>
        </row>
        <row r="463">
          <cell r="A463" t="str">
            <v>Bisa</v>
          </cell>
          <cell r="B463" t="str">
            <v>Bisa is a mobile app that enables users to to directly interact with medical practitioners without being physically present at the hospital.</v>
          </cell>
          <cell r="C463" t="str">
            <v>Active</v>
          </cell>
          <cell r="D463">
            <v>2014</v>
          </cell>
          <cell r="G463" t="str">
            <v>Ghana</v>
          </cell>
          <cell r="X463" t="str">
            <v>Healthcare &amp; Pharma</v>
          </cell>
          <cell r="Y463" t="str">
            <v>mHealth</v>
          </cell>
        </row>
        <row r="464">
          <cell r="A464" t="str">
            <v>Bitafrika</v>
          </cell>
          <cell r="B464" t="str">
            <v>Ghana’s leading retail exchange for buying and selling cryptocurrencies like Bitcoin, Ethereum, Ripple and more. Fast and secure.</v>
          </cell>
          <cell r="C464" t="str">
            <v>Active</v>
          </cell>
          <cell r="D464">
            <v>2018</v>
          </cell>
          <cell r="G464" t="str">
            <v>Ghana</v>
          </cell>
          <cell r="X464" t="str">
            <v>Financial Services</v>
          </cell>
          <cell r="Y464" t="str">
            <v>Bitcoin, Cryptocurrencies</v>
          </cell>
        </row>
        <row r="465">
          <cell r="A465" t="str">
            <v>SKT AeroShutter</v>
          </cell>
          <cell r="B465" t="str">
            <v>Driving African Innovation Through Drones</v>
          </cell>
          <cell r="C465" t="str">
            <v>Active</v>
          </cell>
          <cell r="D465">
            <v>2014</v>
          </cell>
          <cell r="G465" t="str">
            <v>Ghana</v>
          </cell>
          <cell r="X465" t="str">
            <v>Transport &amp; Logistics</v>
          </cell>
          <cell r="Y465" t="str">
            <v>Drones, Surveying &amp; Mapping, Agriculture, Inspections, Mining, Construction, After-Sales Service, Energy, Engineering, and Training</v>
          </cell>
        </row>
        <row r="466">
          <cell r="A466" t="str">
            <v>Anitrack</v>
          </cell>
          <cell r="B466" t="str">
            <v>Anitrack uses its management tool to monitor livestock health and movement, notify the farmers immediately and link them with animal services.Livestock production is an important feature in Africa, contributing largely in meeting food needs, providing draft power and generating cash income for both small, medium and large scale farmers. However, majority of farmers face a major challenge where they lose over 30 percent of their livestock each year as a result of undetected diseases and more than 5 percent due to cattle rustling(theft). This contributes to a loss of over $4 Billion yearly in the agricultural sector. As the pace of the livestock industry in Africa accelerates, the need for accurate information gathered quickly is increasingly important in managing livestock. With this we reduce chances of animal loss significantly.</v>
          </cell>
          <cell r="C466" t="str">
            <v>Active</v>
          </cell>
          <cell r="G466" t="str">
            <v>Ghana</v>
          </cell>
          <cell r="X466" t="str">
            <v>Agriculture</v>
          </cell>
          <cell r="Y466" t="str">
            <v>Animal Identification, Health Status Tracking, Veterinary Services, Livestock Data, and Animal Security</v>
          </cell>
        </row>
        <row r="467">
          <cell r="A467" t="str">
            <v>Agroinnova</v>
          </cell>
          <cell r="B467" t="str">
            <v>Agro Innova is an agritech company that focuses on using digital technologies to tackle problems in the agricultural value chain. Our company deploys a suite of software tools and technology-enabled platforms which help to streamline various processes across the agricultural sector</v>
          </cell>
          <cell r="C467" t="str">
            <v>Active</v>
          </cell>
          <cell r="D467">
            <v>2017</v>
          </cell>
          <cell r="G467" t="str">
            <v>Ghana</v>
          </cell>
          <cell r="X467" t="str">
            <v>Agriculture</v>
          </cell>
          <cell r="Y467" t="str">
            <v>AgTech</v>
          </cell>
        </row>
        <row r="468">
          <cell r="A468" t="str">
            <v>Akoobooks Audio</v>
          </cell>
          <cell r="B468" t="str">
            <v>AkooBooks Audio ('Akoo' is parrot in Akan a local language, so literally 'Talking Books') is a new premier publisher and digital distributor of African audiobooks, providing African publishers and writers with the platform to transform their books and reach as many listeners as possible on mobile devices. AkooBooks Audio, is a new company​ founded under the renowned idea-stage accelerator and startup launch program, Founder Institute, Accra https://fi.co)​.</v>
          </cell>
          <cell r="C468" t="str">
            <v>Active</v>
          </cell>
          <cell r="D468">
            <v>2017</v>
          </cell>
          <cell r="G468" t="str">
            <v>Ghana</v>
          </cell>
          <cell r="X468" t="str">
            <v>Education</v>
          </cell>
          <cell r="Y468" t="str">
            <v>Audio, Audiobooks, EBooks, Media and Entertainment</v>
          </cell>
        </row>
        <row r="469">
          <cell r="A469" t="str">
            <v>BenBen</v>
          </cell>
          <cell r="B469" t="str">
            <v>BenBen is a team of motivated engineers and innovators dedicated to improving Government Technology in Ghana.</v>
          </cell>
          <cell r="C469" t="str">
            <v>Active</v>
          </cell>
          <cell r="D469">
            <v>2015</v>
          </cell>
          <cell r="G469" t="str">
            <v>Ghana</v>
          </cell>
          <cell r="X469" t="str">
            <v>Real Estate</v>
          </cell>
        </row>
        <row r="470">
          <cell r="A470" t="str">
            <v>Bidiibuild</v>
          </cell>
          <cell r="B470" t="str">
            <v>BidiiBuild builds simple and powerful software tools that help contractors and developers better manage their time and project costs in their construction projects.</v>
          </cell>
          <cell r="C470" t="str">
            <v>Active</v>
          </cell>
          <cell r="D470">
            <v>2017</v>
          </cell>
          <cell r="G470" t="str">
            <v>Ghana</v>
          </cell>
          <cell r="X470" t="str">
            <v>Information Technology</v>
          </cell>
          <cell r="Y470" t="str">
            <v>Building Material, Real Estate, Software</v>
          </cell>
        </row>
        <row r="471">
          <cell r="A471" t="str">
            <v>Bitland</v>
          </cell>
          <cell r="B471" t="str">
            <v>Bitland is an experimental platform using decentralized, trustless models such as Bitcoin’s blockchain to bridge the gap</v>
          </cell>
          <cell r="C471" t="str">
            <v>Active</v>
          </cell>
          <cell r="D471">
            <v>2013</v>
          </cell>
          <cell r="G471" t="str">
            <v>Ghana</v>
          </cell>
          <cell r="X471" t="str">
            <v>Financial Services</v>
          </cell>
          <cell r="Y471" t="str">
            <v>Blockchain, Government</v>
          </cell>
        </row>
        <row r="472">
          <cell r="A472" t="str">
            <v>BTC Ghana</v>
          </cell>
          <cell r="B472" t="str">
            <v>BTC Ghana is a unique platform for the remittance of money to Ghana via bitcoin and its instantly converted to Mobile Money onto the recipients Phone</v>
          </cell>
          <cell r="C472" t="str">
            <v>Active</v>
          </cell>
          <cell r="D472">
            <v>2015</v>
          </cell>
          <cell r="G472" t="str">
            <v>Ghana</v>
          </cell>
        </row>
        <row r="473">
          <cell r="A473" t="str">
            <v>Build Pals</v>
          </cell>
          <cell r="B473" t="str">
            <v>Buildpals is quickly growing as the biggest hub of contractors and sub-contractors. It combines tendering and bidding for construction projects into a single suite</v>
          </cell>
          <cell r="C473" t="str">
            <v>Active</v>
          </cell>
          <cell r="D473">
            <v>2018</v>
          </cell>
          <cell r="G473" t="str">
            <v>Ghana</v>
          </cell>
          <cell r="X473" t="str">
            <v>Commercial &amp; Professional Services</v>
          </cell>
        </row>
        <row r="474">
          <cell r="A474" t="str">
            <v>OZÉ</v>
          </cell>
          <cell r="B474" t="str">
            <v>OZÉ is the insights engine in the pocket of every African small business owner.</v>
          </cell>
          <cell r="C474" t="str">
            <v>Active</v>
          </cell>
          <cell r="D474">
            <v>2018</v>
          </cell>
          <cell r="G474" t="str">
            <v>Ghana</v>
          </cell>
          <cell r="X474" t="str">
            <v>Information Technology</v>
          </cell>
          <cell r="Y474" t="str">
            <v>Software, Business</v>
          </cell>
        </row>
        <row r="475">
          <cell r="A475" t="str">
            <v>Tress</v>
          </cell>
          <cell r="B475" t="str">
            <v>Tress is a social community app to discover and share beautiful hairstyles. Many ladies are crazy about their hair. They change their hairstyles often, a lot and radically. Whether they have natural, relaxed, texlaxed or dreads, women are always on the lookout for new and beautiful hairstyle inspiration.</v>
          </cell>
          <cell r="C475" t="str">
            <v>Active</v>
          </cell>
          <cell r="D475">
            <v>2015</v>
          </cell>
          <cell r="G475" t="str">
            <v>Ghana</v>
          </cell>
          <cell r="X475" t="str">
            <v>Social Network</v>
          </cell>
          <cell r="Y475" t="str">
            <v>Apps, Communities, Fashion, Social Media</v>
          </cell>
        </row>
        <row r="476">
          <cell r="A476" t="str">
            <v xml:space="preserve">Trukrtech </v>
          </cell>
          <cell r="B476" t="str">
            <v>Truckr is giving cargo owners such as manufacturing companies, fast moving consumer goods, distributors, exporteres, importers, freight forwarders the ability to book for any kind of haulage truck online to haul their goods. Truckr also offers cargo owners the luxury of tracking their goods with our accurate tracking technology and can also message and call the truck drivers all on the platform. Truckr lives at the intersection of technology and logistics</v>
          </cell>
          <cell r="C476" t="str">
            <v>Active</v>
          </cell>
          <cell r="D476">
            <v>2018</v>
          </cell>
          <cell r="G476" t="str">
            <v>Ghana</v>
          </cell>
          <cell r="X476" t="str">
            <v>Transport &amp; Logistics</v>
          </cell>
          <cell r="Y476" t="str">
            <v>Transport, Logistics, Trucking</v>
          </cell>
        </row>
        <row r="477">
          <cell r="A477" t="str">
            <v>Cinetpay</v>
          </cell>
          <cell r="B477" t="str">
            <v>CinetPay is a mobile money payment hub that federates mobile money payment methods in Africa.</v>
          </cell>
          <cell r="C477" t="str">
            <v>Active</v>
          </cell>
          <cell r="D477">
            <v>2016</v>
          </cell>
          <cell r="G477" t="str">
            <v>Ivory Coast</v>
          </cell>
          <cell r="X477" t="str">
            <v>Financial Services</v>
          </cell>
          <cell r="Y477" t="str">
            <v>Internet</v>
          </cell>
        </row>
        <row r="478">
          <cell r="A478" t="str">
            <v>Afya-Plan</v>
          </cell>
          <cell r="B478" t="str">
            <v>Afya-Plan is an e-health start-up that provides a group-savings platform to help micro-savings groups pool resources to meet the cost of healthcare for themselves and their families. Micro-savings groups can save for healthcare by making simple weekly or monthly M-Pesa transactions. The savings in their accounts are then used to pay for their healthcare. It is also possible to get loans from the platform which are paid directly to a health facility to cater for the bill.</v>
          </cell>
          <cell r="C478" t="str">
            <v>Active</v>
          </cell>
          <cell r="D478">
            <v>2007</v>
          </cell>
          <cell r="G478" t="str">
            <v>Kenya</v>
          </cell>
          <cell r="X478" t="str">
            <v>Financial Services</v>
          </cell>
        </row>
        <row r="479">
          <cell r="A479" t="str">
            <v>AfyaKit</v>
          </cell>
          <cell r="B479" t="str">
            <v>AfyaKit is a social venture start-up, focused on improving health outcomes by providing actionable in-facility data to health sector players across Sub Saharan Africa.</v>
          </cell>
          <cell r="C479" t="str">
            <v>Active</v>
          </cell>
          <cell r="D479">
            <v>2018</v>
          </cell>
          <cell r="G479" t="str">
            <v>Kenya</v>
          </cell>
          <cell r="X479" t="str">
            <v>Healthcare &amp; Pharma</v>
          </cell>
          <cell r="Y479" t="str">
            <v xml:space="preserve">Healthcare, </v>
          </cell>
        </row>
        <row r="480">
          <cell r="A480" t="str">
            <v>4G Capital</v>
          </cell>
          <cell r="B480" t="str">
            <v>4G Capital provides financial literacy training with working capital loans to help small businesses grow sustainably. Its customers receive a bespoke programme of business training to help them use micro-loans, with training delivered via mobile apps and face-to-face outreach.</v>
          </cell>
          <cell r="C480" t="str">
            <v>Active</v>
          </cell>
          <cell r="D480">
            <v>2013</v>
          </cell>
          <cell r="G480" t="str">
            <v>Kenya</v>
          </cell>
          <cell r="X480" t="str">
            <v>Financial Services</v>
          </cell>
          <cell r="Y480" t="str">
            <v>Credit, Financial Services, FinTech, Lending</v>
          </cell>
        </row>
        <row r="481">
          <cell r="A481" t="str">
            <v>Acreafrica</v>
          </cell>
          <cell r="B481" t="str">
            <v>ACRE Africa, the brand name of Agriculture and Climate Risk Enterprise Ltd. (ACRE), links farmers to insurance products so that they can confidently invest in their farms. Cumulatively, by 2017, over 1,000,000 farmers in Kenya, Tanzania and Rwanda were insured through products we designed. These products varied from crop, livestock and index insurance products to shield farmers against unpredictable weather conditions</v>
          </cell>
          <cell r="C481" t="str">
            <v>Active</v>
          </cell>
          <cell r="D481">
            <v>2009</v>
          </cell>
          <cell r="G481" t="str">
            <v>Kenya</v>
          </cell>
          <cell r="X481" t="str">
            <v>Financial Services</v>
          </cell>
          <cell r="Y481" t="str">
            <v>Agriculture insurance, Livestock Insurance , Weather Index Insurance, and Climate Advisory Services</v>
          </cell>
        </row>
        <row r="482">
          <cell r="A482" t="str">
            <v>Blockchaincybertech Limited</v>
          </cell>
          <cell r="B482" t="str">
            <v>BlockchainCybertech Limited develops smart blockchain solutions for Supply chain and Financial services</v>
          </cell>
          <cell r="C482" t="str">
            <v>Active</v>
          </cell>
          <cell r="D482">
            <v>2018</v>
          </cell>
          <cell r="G482" t="str">
            <v>Kenya</v>
          </cell>
          <cell r="X482" t="str">
            <v>Financial Services</v>
          </cell>
          <cell r="Y482" t="str">
            <v>Artificial Intelligence, Blockchain, Finance, FinTech, Supply Chain Management</v>
          </cell>
        </row>
        <row r="483">
          <cell r="A483" t="str">
            <v>Brilliantpay</v>
          </cell>
          <cell r="B483" t="str">
            <v>BrillantPay is an aggregator of modern digital and mobile payment services into one simple and safe solution for commerce of all kinds and sizes</v>
          </cell>
          <cell r="C483" t="str">
            <v>Active</v>
          </cell>
          <cell r="D483">
            <v>2017</v>
          </cell>
          <cell r="G483" t="str">
            <v>Kenya</v>
          </cell>
          <cell r="X483" t="str">
            <v>Financial Services</v>
          </cell>
          <cell r="Y483" t="str">
            <v>Financial Services, Payments, Software</v>
          </cell>
        </row>
        <row r="484">
          <cell r="A484" t="str">
            <v>Changamka Health Innovation</v>
          </cell>
          <cell r="B484" t="str">
            <v>Changamka was founded on the belief that Mobile Technologies can be leveraged to improve the demand side financing initiatives to improve access to healthcare for the lower economy, under served populations in the developing world</v>
          </cell>
          <cell r="C484" t="str">
            <v>Active</v>
          </cell>
          <cell r="D484">
            <v>2008</v>
          </cell>
          <cell r="G484" t="str">
            <v>Kenya</v>
          </cell>
          <cell r="X484" t="str">
            <v>Financial Services</v>
          </cell>
          <cell r="Y484" t="str">
            <v>Financial Services</v>
          </cell>
        </row>
        <row r="485">
          <cell r="A485" t="str">
            <v>Abacus</v>
          </cell>
          <cell r="B485" t="str">
            <v>Abacus builds web and mobile software to help investors across the globe access African financial markets. We make it possible for both local and international investors to research and invest, anytime, anywhere</v>
          </cell>
          <cell r="C485" t="str">
            <v>Active</v>
          </cell>
          <cell r="D485">
            <v>2014</v>
          </cell>
          <cell r="G485" t="str">
            <v>Kenya</v>
          </cell>
          <cell r="X485" t="str">
            <v>Financial Services</v>
          </cell>
          <cell r="Y485" t="str">
            <v>FinTech</v>
          </cell>
        </row>
        <row r="486">
          <cell r="A486" t="str">
            <v>Abantu</v>
          </cell>
          <cell r="B486" t="str">
            <v>Abantu focuses on the implementation of unique and innovative technology-based solutions to problems that they are passionate about solving</v>
          </cell>
          <cell r="C486" t="str">
            <v>Active</v>
          </cell>
          <cell r="D486">
            <v>2017</v>
          </cell>
          <cell r="G486" t="str">
            <v>Kenya</v>
          </cell>
          <cell r="X486" t="str">
            <v>E-Commerce &amp; Retail</v>
          </cell>
          <cell r="Y486" t="str">
            <v>E-Commerce, Internet</v>
          </cell>
        </row>
        <row r="487">
          <cell r="A487" t="str">
            <v>Afri Kash Limited</v>
          </cell>
          <cell r="B487" t="str">
            <v>Afri Kash Limited is led by a team of entrepreneurs and technologists eager to offer financial services for individual users and small &amp; medium enterprises</v>
          </cell>
          <cell r="C487" t="str">
            <v>Active</v>
          </cell>
          <cell r="D487">
            <v>2016</v>
          </cell>
          <cell r="G487" t="str">
            <v>Kenya</v>
          </cell>
          <cell r="X487" t="str">
            <v>Financial Services</v>
          </cell>
          <cell r="Y487" t="str">
            <v>Financial Services, Payments</v>
          </cell>
        </row>
        <row r="488">
          <cell r="A488" t="str">
            <v>Chura</v>
          </cell>
          <cell r="B488" t="str">
            <v>Chura connects mobile money platforms to international payment services and e-commerce platforms.Transfer funds between Paypal, credit card or debit cards and Mobile money. Carry out Mass Airtime Top-Ups for your organization and Buy Airtime across multiple network operators.Our mission is to remove barriers to financial transactions and empower users in emerging economies to participate in global ecommerce.Chura provides you with services to easily and conveniently shop, sell and earn online using your available and preferred payment method.</v>
          </cell>
          <cell r="C488" t="str">
            <v>Active</v>
          </cell>
          <cell r="D488">
            <v>2012</v>
          </cell>
          <cell r="G488" t="str">
            <v>Kenya</v>
          </cell>
          <cell r="X488" t="str">
            <v>Financial Services</v>
          </cell>
          <cell r="Y488" t="str">
            <v>Information Technology and Services</v>
          </cell>
        </row>
        <row r="489">
          <cell r="A489" t="str">
            <v>Africa Logistics Properties</v>
          </cell>
          <cell r="B489" t="str">
            <v>Africa Logistics Properties (ALP) is the first integrated property investment and development property company dedicated to the modern grade-A logistics and industrial sector in Africa.</v>
          </cell>
          <cell r="C489" t="str">
            <v>Active</v>
          </cell>
          <cell r="D489">
            <v>2015</v>
          </cell>
          <cell r="G489" t="str">
            <v>Kenya</v>
          </cell>
          <cell r="X489" t="str">
            <v>Real Estate</v>
          </cell>
          <cell r="Y489" t="str">
            <v>Logistics, Property Management, Real Estate</v>
          </cell>
        </row>
        <row r="490">
          <cell r="A490" t="str">
            <v>Afrigroups</v>
          </cell>
          <cell r="B490" t="str">
            <v>We are a single factory processing and developing ideas turning them into innovations that would later light up Africa's economies and matching it with the rest of the world</v>
          </cell>
          <cell r="C490" t="str">
            <v>Active</v>
          </cell>
          <cell r="D490">
            <v>2018</v>
          </cell>
          <cell r="G490" t="str">
            <v>Kenya</v>
          </cell>
          <cell r="X490" t="str">
            <v>Information Technology</v>
          </cell>
          <cell r="Y490" t="str">
            <v>Communities, Crowdfunding, Cryptocurrency, Financial Services, FinTech</v>
          </cell>
        </row>
        <row r="491">
          <cell r="A491" t="str">
            <v>Afrinsure</v>
          </cell>
          <cell r="B491" t="str">
            <v>Afrinsure is Kenya’s most innovative insurance agent that provides our clients with the ability to acquire and compare insurance quotations online</v>
          </cell>
          <cell r="C491" t="str">
            <v>Active</v>
          </cell>
          <cell r="D491">
            <v>2016</v>
          </cell>
          <cell r="G491" t="str">
            <v>Kenya</v>
          </cell>
          <cell r="X491" t="str">
            <v>Financial Services</v>
          </cell>
          <cell r="Y491" t="str">
            <v>Financial Services</v>
          </cell>
        </row>
        <row r="492">
          <cell r="A492" t="str">
            <v>An Nisa Taxi</v>
          </cell>
          <cell r="B492" t="str">
            <v>Book an AnNisaTaxi to your destination in town. A taxi service for women, by women.</v>
          </cell>
          <cell r="C492" t="str">
            <v>Active</v>
          </cell>
          <cell r="G492" t="str">
            <v>Kenya</v>
          </cell>
          <cell r="X492" t="str">
            <v>Transport &amp; Logistics</v>
          </cell>
          <cell r="Y492" t="str">
            <v>Ride Hailing</v>
          </cell>
        </row>
        <row r="493">
          <cell r="A493" t="str">
            <v xml:space="preserve">Arinifu </v>
          </cell>
          <cell r="B493" t="str">
            <v>Arinifu provides farmers with solutions directly addressing issues affecting them. Arinifu provides the Smart Brooder, an environmental control device which ensures that the conditions in the brooding space are kept within optimal levels</v>
          </cell>
          <cell r="C493" t="str">
            <v>Active</v>
          </cell>
          <cell r="D493">
            <v>2016</v>
          </cell>
          <cell r="G493" t="str">
            <v>Kenya</v>
          </cell>
          <cell r="X493" t="str">
            <v>Agriculture</v>
          </cell>
        </row>
        <row r="494">
          <cell r="A494" t="str">
            <v>Agsol</v>
          </cell>
          <cell r="B494" t="str">
            <v>Agsol is an award winning social business incorporated in 2016 by long-term collaborators and friends, Matt Carr and Greg Denn. Combined, they have spent more than 30 years working in the agricultural and renewable energy sectors across three continents.</v>
          </cell>
          <cell r="C494" t="str">
            <v>Active</v>
          </cell>
          <cell r="D494">
            <v>2016</v>
          </cell>
          <cell r="G494" t="str">
            <v>Kenya</v>
          </cell>
          <cell r="X494" t="str">
            <v>Agriculture</v>
          </cell>
          <cell r="Y494" t="str">
            <v>Agriculture, Farming, Machine Learning, Renewable Energy</v>
          </cell>
        </row>
        <row r="495">
          <cell r="A495" t="str">
            <v>Akirachix</v>
          </cell>
          <cell r="B495" t="str">
            <v>AkiraChix is a not for profit organisation that aims to inspire and develop a successful force of women in technology who will change Africa’s future.</v>
          </cell>
          <cell r="C495" t="str">
            <v>Active</v>
          </cell>
          <cell r="D495">
            <v>2010</v>
          </cell>
          <cell r="G495" t="str">
            <v>Kenya</v>
          </cell>
          <cell r="X495" t="str">
            <v>Education</v>
          </cell>
          <cell r="Y495" t="str">
            <v>Fashion, Information Technology</v>
          </cell>
        </row>
        <row r="496">
          <cell r="A496" t="str">
            <v>Annona</v>
          </cell>
          <cell r="B496" t="str">
            <v>Annona is a mobile and web-based platform that global suppliers use to manage their farmer supplies, payments and aggregate crop production.</v>
          </cell>
          <cell r="C496" t="str">
            <v>Active</v>
          </cell>
          <cell r="D496">
            <v>2015</v>
          </cell>
          <cell r="G496" t="str">
            <v>Kenya</v>
          </cell>
          <cell r="X496" t="str">
            <v>Transport &amp; Logistics</v>
          </cell>
          <cell r="Y496" t="str">
            <v>Mobile Technology, Logistics, International Trade, Agriculture Market Access</v>
          </cell>
        </row>
        <row r="497">
          <cell r="A497" t="str">
            <v>Apollo Agriculture</v>
          </cell>
          <cell r="B497" t="str">
            <v>Apollo helps farmers in emerging markets maximize their profits. We use agronomic machine learning, remote sensing, and mobile phones to deliver input finance and customized advice to smallholder farmers with radical efficiency and scalability. Our first product is a customized package of seed and fertilizer, farming advice, and credit delivered to maize farmers in Kenya.</v>
          </cell>
          <cell r="C497" t="str">
            <v>Active</v>
          </cell>
          <cell r="D497">
            <v>2015</v>
          </cell>
          <cell r="G497" t="str">
            <v>Kenya</v>
          </cell>
          <cell r="X497" t="str">
            <v>Agriculture</v>
          </cell>
          <cell r="Y497" t="str">
            <v>Agriculture, Farmers Market, Financial Services, Machine Learning</v>
          </cell>
        </row>
        <row r="498">
          <cell r="A498" t="str">
            <v>Ari.Farm</v>
          </cell>
          <cell r="B498" t="str">
            <v>Agrikaab (formerly Ari.farm) is a mission-driven agrifood tech startup that enables investment in agriculture in East Africa.Our mission is to create a new generation of farmers, contribute to the food security of the region and create jobs. We want to make the whole agriculture industry more efficient and prosperous with technology.In Somalia agriculture accounts for 75% of the country’s economy. Any investment and improvements in this sector will have a profound impact on the lives of people and the local economy.</v>
          </cell>
          <cell r="C498" t="str">
            <v>Active</v>
          </cell>
          <cell r="D498">
            <v>2016</v>
          </cell>
          <cell r="G498" t="str">
            <v>Kenya</v>
          </cell>
          <cell r="X498" t="str">
            <v>Agriculture</v>
          </cell>
          <cell r="Y498" t="str">
            <v>Agriculture, Livestock</v>
          </cell>
        </row>
        <row r="499">
          <cell r="A499" t="str">
            <v>Asilimia</v>
          </cell>
          <cell r="B499" t="str">
            <v>Asilimia is a financial peer to peer and peer to business platform which aims to transform the existing landscape of Kenya by zero rating mobile money transaction fee,with a current bias to making mpesa transactions free.</v>
          </cell>
          <cell r="C499" t="str">
            <v>Active</v>
          </cell>
          <cell r="D499">
            <v>2017</v>
          </cell>
          <cell r="G499" t="str">
            <v>Kenya</v>
          </cell>
          <cell r="X499" t="str">
            <v>Financial services</v>
          </cell>
          <cell r="Y499" t="str">
            <v>Financial Services, FinTech</v>
          </cell>
        </row>
        <row r="500">
          <cell r="A500" t="str">
            <v>Bentos Energy</v>
          </cell>
          <cell r="B500" t="str">
            <v>Bentos Energy recycles waste biomass into affordable smokeless charcoal briquettes and organic fertilizer which they sell to low and middle income earners whose problem is high cost of cooking fuel and artificial fertilizers</v>
          </cell>
          <cell r="C500" t="str">
            <v>Active</v>
          </cell>
          <cell r="G500" t="str">
            <v>Kenya</v>
          </cell>
          <cell r="X500" t="str">
            <v>Resource &amp; Energy</v>
          </cell>
        </row>
        <row r="501">
          <cell r="A501" t="str">
            <v>Beta-Kenya</v>
          </cell>
          <cell r="B501" t="str">
            <v>BETA - Kenya is an ecommerce company marketing and selling African artwork globally</v>
          </cell>
          <cell r="C501" t="str">
            <v>Active</v>
          </cell>
          <cell r="D501">
            <v>2017</v>
          </cell>
          <cell r="G501" t="str">
            <v>Kenya</v>
          </cell>
          <cell r="X501" t="str">
            <v>E-Commerce &amp; Retail</v>
          </cell>
          <cell r="Y501" t="str">
            <v>E-Commerce, Marketing</v>
          </cell>
        </row>
        <row r="502">
          <cell r="A502" t="str">
            <v>BIOAFRIQ ENERGY Limited</v>
          </cell>
          <cell r="B502" t="str">
            <v>The company fabricates pellet fired dehydrators for drying farm produce, institutional smokeless pellet fired cook stoves with savings of up to 50% and manufactures biomass pellets fuels.</v>
          </cell>
          <cell r="C502" t="str">
            <v>Active</v>
          </cell>
          <cell r="G502" t="str">
            <v>Kenya</v>
          </cell>
          <cell r="X502" t="str">
            <v>Resource &amp; Energy</v>
          </cell>
        </row>
        <row r="503">
          <cell r="A503" t="str">
            <v>Be Afrika Media Ltd</v>
          </cell>
          <cell r="B503" t="str">
            <v>Be Afrika Media is a media company about discovering African talent and giving them a platform to showcase their work.</v>
          </cell>
          <cell r="C503" t="str">
            <v>Active</v>
          </cell>
          <cell r="D503">
            <v>2017</v>
          </cell>
          <cell r="G503" t="str">
            <v>Kenya</v>
          </cell>
          <cell r="X503" t="str">
            <v>Media &amp; Entertainment</v>
          </cell>
          <cell r="Y503" t="str">
            <v>E-commerce, Pulishing</v>
          </cell>
        </row>
        <row r="504">
          <cell r="A504" t="str">
            <v>Direct Pay Online Group</v>
          </cell>
          <cell r="B504" t="str">
            <v>3G Direct Pay Limited is a market leader in online and mobile payments service platforms in East Africa, focusing on the travel industry</v>
          </cell>
          <cell r="C504" t="str">
            <v>Active</v>
          </cell>
          <cell r="D504">
            <v>2006</v>
          </cell>
          <cell r="G504" t="str">
            <v>Kenya</v>
          </cell>
          <cell r="X504" t="str">
            <v>Financial Services</v>
          </cell>
          <cell r="Y504" t="str">
            <v>FinTech</v>
          </cell>
        </row>
        <row r="505">
          <cell r="A505" t="str">
            <v>Bismart Insurance</v>
          </cell>
          <cell r="B505" t="str">
            <v>Bismart is a leading Kenyan insurance aggregator, leveraging on digital platforms and technologies to connect their customers to the best insurance and investments solutions available in the market. It is regulated by Insurance regulatory authority.</v>
          </cell>
          <cell r="C505" t="str">
            <v>Active</v>
          </cell>
          <cell r="D505">
            <v>2017</v>
          </cell>
          <cell r="G505" t="str">
            <v>Kenya</v>
          </cell>
          <cell r="X505" t="str">
            <v>Financial Services</v>
          </cell>
          <cell r="Y505" t="str">
            <v>Marketplace, Aggregator, Insurtech</v>
          </cell>
        </row>
        <row r="506">
          <cell r="A506" t="str">
            <v>Bitsoko</v>
          </cell>
          <cell r="B506" t="str">
            <v>Decentralized merchant services platform. We create open-source mobile services for micro, small and medium enterprises.</v>
          </cell>
          <cell r="C506" t="str">
            <v>Active</v>
          </cell>
          <cell r="D506">
            <v>2014</v>
          </cell>
          <cell r="G506" t="str">
            <v>Kenya</v>
          </cell>
          <cell r="X506" t="str">
            <v>Financial Services</v>
          </cell>
          <cell r="Y506" t="str">
            <v>Fintech, Blockchain, Cryptocurrencies</v>
          </cell>
        </row>
        <row r="507">
          <cell r="A507" t="str">
            <v>Bluewave Insurance</v>
          </cell>
          <cell r="B507" t="str">
            <v>Bluewave has a wide range of mircro insurance offerings aimed at low-income users in Kenya</v>
          </cell>
          <cell r="C507" t="str">
            <v>Active</v>
          </cell>
          <cell r="D507">
            <v>2016</v>
          </cell>
          <cell r="G507" t="str">
            <v>Kenya</v>
          </cell>
          <cell r="X507" t="str">
            <v>Financial Services</v>
          </cell>
          <cell r="Y507" t="str">
            <v>InsurTech, Insurance services</v>
          </cell>
        </row>
        <row r="508">
          <cell r="A508" t="str">
            <v>Bridge International</v>
          </cell>
          <cell r="B508" t="str">
            <v>Bridge International Academies is a chain of nursery and primary schools</v>
          </cell>
          <cell r="C508" t="str">
            <v>Active</v>
          </cell>
          <cell r="D508">
            <v>2007</v>
          </cell>
          <cell r="G508" t="str">
            <v>Kenya</v>
          </cell>
          <cell r="X508" t="str">
            <v>Education</v>
          </cell>
          <cell r="Y508" t="str">
            <v>EdTech, Education, Primary Education</v>
          </cell>
        </row>
        <row r="509">
          <cell r="A509" t="str">
            <v>BuildHer</v>
          </cell>
          <cell r="B509" t="str">
            <v>BuildHer rains Kenyan women in construction and enables them to attain certification, secure employment, and increase their incomes.</v>
          </cell>
          <cell r="C509" t="str">
            <v>Active</v>
          </cell>
          <cell r="D509">
            <v>2018</v>
          </cell>
          <cell r="G509" t="str">
            <v>Kenya</v>
          </cell>
          <cell r="X509" t="str">
            <v>Commercial &amp; Professional Services</v>
          </cell>
          <cell r="Y509" t="str">
            <v>Talent, Labour, Education, Vocational Studies</v>
          </cell>
        </row>
        <row r="510">
          <cell r="A510" t="str">
            <v>Bumpy Maternity Wear</v>
          </cell>
          <cell r="B510" t="str">
            <v>Bumpy Maternity Wear is an online maternity shop with a physical store in Nairobi Kenya. Their venture into maternity wear was inspired by a desire to provide variety, style and convenience to moms in their proudest moment. They believe mothers are beautiful regardless of their size and it our job get them something that matches their style</v>
          </cell>
          <cell r="C510" t="str">
            <v>Active</v>
          </cell>
          <cell r="D510">
            <v>2017</v>
          </cell>
          <cell r="G510" t="str">
            <v>Kenya</v>
          </cell>
          <cell r="X510" t="str">
            <v>E-Commerce &amp; Retail</v>
          </cell>
          <cell r="Y510" t="str">
            <v>E-Commerce, Fashion, Lifestyle</v>
          </cell>
        </row>
        <row r="511">
          <cell r="A511" t="str">
            <v>Buupass</v>
          </cell>
          <cell r="B511" t="str">
            <v>BuuPass is Kenya's market leader for online bus booking.</v>
          </cell>
          <cell r="C511" t="str">
            <v>Active</v>
          </cell>
          <cell r="D511">
            <v>2016</v>
          </cell>
          <cell r="G511" t="str">
            <v>Kenya</v>
          </cell>
          <cell r="X511" t="str">
            <v>Transport &amp; Logistics</v>
          </cell>
          <cell r="Y511" t="str">
            <v>Public Transportation, Reservations, Travel, Ticketing</v>
          </cell>
        </row>
        <row r="512">
          <cell r="A512" t="str">
            <v>Bwala Africa</v>
          </cell>
          <cell r="B512" t="str">
            <v>Bwala Africa Logistics ( Bwala Africa Group Limited) is an emerging markets Crowdsourcing logistics marketplace focusing on last mile order fulfilment .</v>
          </cell>
          <cell r="C512" t="str">
            <v>Active</v>
          </cell>
          <cell r="D512">
            <v>2017</v>
          </cell>
          <cell r="G512" t="str">
            <v>Kenya</v>
          </cell>
          <cell r="X512" t="str">
            <v>Transport &amp; Logistics</v>
          </cell>
          <cell r="Y512" t="str">
            <v>Logistics, Marketplace, Transportation</v>
          </cell>
        </row>
        <row r="513">
          <cell r="A513" t="str">
            <v>Calm Wildness</v>
          </cell>
          <cell r="B513" t="str">
            <v>Calm Wildness is a jewellery business that designs, makes and sells beaded jewellery for conservation.</v>
          </cell>
          <cell r="C513" t="str">
            <v>Active</v>
          </cell>
          <cell r="D513">
            <v>2018</v>
          </cell>
          <cell r="G513" t="str">
            <v>Kenya</v>
          </cell>
          <cell r="X513" t="str">
            <v>E-Commerce &amp; Retail</v>
          </cell>
          <cell r="Y513" t="str">
            <v>Retail, Art &amp; Crafts</v>
          </cell>
        </row>
        <row r="514">
          <cell r="A514" t="str">
            <v>Chamapesa</v>
          </cell>
          <cell r="B514" t="str">
            <v>ChamaPesa helps chamas to put their accounting on the phone and fund their accounts with mobile money. Manage your chama accounts, shares, and investment portfolio on the phone and fund your chama savings account with mobile money</v>
          </cell>
          <cell r="C514" t="str">
            <v>Active</v>
          </cell>
          <cell r="D514">
            <v>2018</v>
          </cell>
          <cell r="G514" t="str">
            <v>Kenya</v>
          </cell>
          <cell r="X514" t="str">
            <v>Financial Services</v>
          </cell>
          <cell r="Y514" t="str">
            <v>Banking, Crowdfunding, Mobile</v>
          </cell>
        </row>
        <row r="515">
          <cell r="A515" t="str">
            <v>Chamasoft</v>
          </cell>
          <cell r="B515" t="str">
            <v>Chamasoft is a simple to use web and mobile app to manage all the affairs of micro savings and investment groups</v>
          </cell>
          <cell r="C515" t="str">
            <v>Active</v>
          </cell>
          <cell r="D515">
            <v>2013</v>
          </cell>
          <cell r="G515" t="str">
            <v>Kenya</v>
          </cell>
          <cell r="X515" t="str">
            <v>Financial Services</v>
          </cell>
          <cell r="Y515" t="str">
            <v>Financial Services, Mobile Apps, Payments</v>
          </cell>
        </row>
        <row r="516">
          <cell r="A516" t="str">
            <v>Chiswara</v>
          </cell>
          <cell r="B516" t="str">
            <v>Kenyan Specialty coffee, Farmer-focused, roasted coffee beans, sun-dried, ethically sourced,</v>
          </cell>
          <cell r="C516" t="str">
            <v>Active</v>
          </cell>
          <cell r="D516">
            <v>2018</v>
          </cell>
          <cell r="G516" t="str">
            <v>Kenya</v>
          </cell>
          <cell r="X516" t="str">
            <v>E-Commerce &amp; Retail</v>
          </cell>
          <cell r="Y516" t="str">
            <v>Retail, Agribusiness</v>
          </cell>
        </row>
        <row r="517">
          <cell r="A517" t="str">
            <v>GetBoda</v>
          </cell>
          <cell r="B517" t="str">
            <v>GetBoda is a smart on-demand logistics platform that aims to improve the lives of our partners. We partner with experienced and reliable couriers to offer e-commerce, food delivery and courier services. GetBoda's fundamental principles are : social impact, safety and efficiency and above all reliability.</v>
          </cell>
          <cell r="C517" t="str">
            <v>Active</v>
          </cell>
          <cell r="D517">
            <v>2018</v>
          </cell>
          <cell r="G517" t="str">
            <v>Kenya</v>
          </cell>
          <cell r="X517" t="str">
            <v>Transport &amp; Logistics</v>
          </cell>
          <cell r="Y517" t="str">
            <v>Logistics &amp; Distribution</v>
          </cell>
        </row>
        <row r="518">
          <cell r="A518" t="str">
            <v>L-Pesa</v>
          </cell>
          <cell r="B518" t="str">
            <v>L-pesa is a financial services company which is presently providing its financial solutions in Tanzania</v>
          </cell>
          <cell r="C518" t="str">
            <v>Active</v>
          </cell>
          <cell r="D518">
            <v>2015</v>
          </cell>
          <cell r="G518" t="str">
            <v>Kenya</v>
          </cell>
          <cell r="X518" t="str">
            <v>Financial Services</v>
          </cell>
          <cell r="Y518" t="str">
            <v>Micro-Loans</v>
          </cell>
        </row>
        <row r="519">
          <cell r="A519" t="str">
            <v>Kakbima</v>
          </cell>
          <cell r="B519" t="str">
            <v>We are a technology company offering an insurance SaaS platform that tracks all your underwriting policies, claims and premiums, simplify access to insurance information digitally, anywhere, anytime.</v>
          </cell>
          <cell r="C519" t="str">
            <v>Active</v>
          </cell>
          <cell r="D519">
            <v>2018</v>
          </cell>
          <cell r="G519" t="str">
            <v>Kenya</v>
          </cell>
          <cell r="X519" t="str">
            <v>Financial Services</v>
          </cell>
          <cell r="Y519" t="str">
            <v>Fintech, Insurtech</v>
          </cell>
        </row>
        <row r="520">
          <cell r="A520" t="str">
            <v>M-Shule</v>
          </cell>
          <cell r="B520" t="str">
            <v>M-Shule is the first adaptive, mobile learning management platform designed to improve performance for the 144 million primary school students across Sub-Saharan Africa. M-Shule’s tech-enabled services create and deliver personalized learning experiences for each child and empower schools with insights all through SMS and web. M-Shule is piloting</v>
          </cell>
          <cell r="C520" t="str">
            <v>Active</v>
          </cell>
          <cell r="D520">
            <v>2016</v>
          </cell>
          <cell r="G520" t="str">
            <v>Kenya</v>
          </cell>
          <cell r="X520" t="str">
            <v>Education</v>
          </cell>
          <cell r="Y520" t="str">
            <v>E-Learning, EdTech, Mobile, Mobile Apps</v>
          </cell>
        </row>
        <row r="521">
          <cell r="A521" t="str">
            <v>Myfugo Innovations Ltd</v>
          </cell>
          <cell r="B521" t="str">
            <v>Myfugo is an Agritech  that uses a smart cow collar (IoT sensor) integrated with to a Web and USSD platform that assists dairy farmers with data-driven insights to know when an oestrus event (cow on heat ) happens. This shortens calving intervals and increases reproductive rates thus translating to higher milk yields and profitability.</v>
          </cell>
          <cell r="C521" t="str">
            <v>Active</v>
          </cell>
          <cell r="D521">
            <v>2018</v>
          </cell>
          <cell r="G521" t="str">
            <v>Kenya</v>
          </cell>
          <cell r="X521" t="str">
            <v>Agriculture</v>
          </cell>
          <cell r="Y521" t="str">
            <v>saas, veterinary doctors, disease surveillance, marketplace, knowldgebase, dairy productivity, and Agro vets</v>
          </cell>
        </row>
        <row r="522">
          <cell r="A522" t="str">
            <v>Paysap</v>
          </cell>
          <cell r="B522" t="str">
            <v>Paysap enables large and small institutions collect M-Pesa based payments directly into the institution's bank account.</v>
          </cell>
          <cell r="C522" t="str">
            <v>Active</v>
          </cell>
          <cell r="D522">
            <v>2016</v>
          </cell>
          <cell r="G522" t="str">
            <v>Kenya</v>
          </cell>
          <cell r="X522" t="str">
            <v>Financial Services</v>
          </cell>
          <cell r="Y522" t="str">
            <v>Finance, Financial Services, FinTech</v>
          </cell>
        </row>
        <row r="523">
          <cell r="A523" t="str">
            <v>Ridesafe Africa</v>
          </cell>
          <cell r="B523" t="str">
            <v>RideSafe First REAL Travel Safety App.</v>
          </cell>
          <cell r="C523" t="str">
            <v>Active</v>
          </cell>
          <cell r="D523">
            <v>2017</v>
          </cell>
          <cell r="G523" t="str">
            <v>Kenya</v>
          </cell>
          <cell r="X523" t="str">
            <v>Transport &amp; Logistics</v>
          </cell>
          <cell r="Y523" t="str">
            <v>Apps, Navigation</v>
          </cell>
        </row>
        <row r="524">
          <cell r="A524" t="str">
            <v>Twende</v>
          </cell>
          <cell r="B524" t="str">
            <v>With the Twende app you can easily find a safe and reliable rider in Kenya</v>
          </cell>
          <cell r="C524" t="str">
            <v>Active</v>
          </cell>
          <cell r="D524">
            <v>2016</v>
          </cell>
          <cell r="G524" t="str">
            <v>Kenya</v>
          </cell>
          <cell r="X524" t="str">
            <v>Transport &amp; Logistics</v>
          </cell>
          <cell r="Y524" t="str">
            <v>Bike Ride Hailing</v>
          </cell>
        </row>
        <row r="525">
          <cell r="A525" t="str">
            <v>Ubabi Vanpooling</v>
          </cell>
          <cell r="B525" t="str">
            <v>Ubabi Vanpooling is a luxury public transport system that ferries people from the same neighbourhoods to and from work or other engagements.</v>
          </cell>
          <cell r="C525" t="str">
            <v>Active</v>
          </cell>
          <cell r="D525">
            <v>2018</v>
          </cell>
          <cell r="G525" t="str">
            <v>Kenya</v>
          </cell>
          <cell r="X525" t="str">
            <v>Transport &amp; Logistics</v>
          </cell>
          <cell r="Y525" t="str">
            <v>Rideshare, Carpooling</v>
          </cell>
        </row>
        <row r="526">
          <cell r="A526" t="str">
            <v>Yapili</v>
          </cell>
          <cell r="B526" t="str">
            <v>YAPILI is an app and online platform that connects Africans to doctors anywhere in the world.</v>
          </cell>
          <cell r="D526">
            <v>2016</v>
          </cell>
          <cell r="G526" t="str">
            <v>Netherlands</v>
          </cell>
          <cell r="X526" t="str">
            <v>Healthcare &amp; Pharma</v>
          </cell>
          <cell r="Y526" t="str">
            <v>Health Care, mHealth, Wellness</v>
          </cell>
        </row>
        <row r="527">
          <cell r="A527" t="str">
            <v>Betaksys Systeme</v>
          </cell>
          <cell r="B527" t="str">
            <v>Betaksys is a traveler information system with free services for Antananarivo</v>
          </cell>
          <cell r="C527" t="str">
            <v>Active</v>
          </cell>
          <cell r="D527">
            <v>2018</v>
          </cell>
          <cell r="G527" t="str">
            <v>Madagascar</v>
          </cell>
          <cell r="X527" t="str">
            <v>Transport &amp; Logistics</v>
          </cell>
          <cell r="Y527" t="str">
            <v>Information Technology, Transportation</v>
          </cell>
        </row>
        <row r="528">
          <cell r="A528" t="str">
            <v>Billet Express</v>
          </cell>
          <cell r="B528" t="str">
            <v>Billet Express anables users buy or book your bus tickets in Mali via internet, mobile or USSD.</v>
          </cell>
          <cell r="C528" t="str">
            <v>Active</v>
          </cell>
          <cell r="G528" t="str">
            <v>Mali</v>
          </cell>
          <cell r="X528" t="str">
            <v>Transport &amp; Logistics</v>
          </cell>
          <cell r="Y528" t="str">
            <v>E-Booking</v>
          </cell>
        </row>
        <row r="529">
          <cell r="A529" t="str">
            <v>Africa Healthcare Network</v>
          </cell>
          <cell r="B529" t="str">
            <v>Africa Healthcare Network is the first and largest dialysis chain across Sub-Saharan Africa, providing high-quality dialysis at an affordable cost</v>
          </cell>
          <cell r="C529" t="str">
            <v>Active</v>
          </cell>
          <cell r="D529">
            <v>2015</v>
          </cell>
          <cell r="G529" t="str">
            <v>Mauritius</v>
          </cell>
          <cell r="X529" t="str">
            <v>Healthcare &amp; Pharma</v>
          </cell>
          <cell r="Y529" t="str">
            <v>Biotechnology, Health Care, Dialysis Care</v>
          </cell>
        </row>
        <row r="530">
          <cell r="A530" t="str">
            <v>Africa Solutions</v>
          </cell>
          <cell r="B530" t="str">
            <v>Africa Solutions is a company that offers trnsport and logistics solutions Between Morocco and North Africa.</v>
          </cell>
          <cell r="C530" t="str">
            <v>Active</v>
          </cell>
          <cell r="D530">
            <v>2009</v>
          </cell>
          <cell r="G530" t="str">
            <v>Morocco</v>
          </cell>
          <cell r="X530" t="str">
            <v>Transport &amp; Logistics</v>
          </cell>
          <cell r="Y530" t="str">
            <v>Transportation, Logistics</v>
          </cell>
        </row>
        <row r="531">
          <cell r="A531" t="str">
            <v>Casky</v>
          </cell>
          <cell r="B531" t="str">
            <v>Casky, is the world's first BlockChain based, Artificial Intelligence platform offering people globally a chance to earn an appreciative asset/income by driving, while rewarding safe driving more so</v>
          </cell>
          <cell r="C531" t="str">
            <v>Active</v>
          </cell>
          <cell r="D531">
            <v>2017</v>
          </cell>
          <cell r="G531" t="str">
            <v>Morocco</v>
          </cell>
          <cell r="X531" t="str">
            <v>Transport &amp; Logistics</v>
          </cell>
          <cell r="Y531" t="str">
            <v>Artificial Intelligence, Blockchain, Hardware, Internet of Things, Mobile Apps, SaaS, Transportation</v>
          </cell>
        </row>
        <row r="532">
          <cell r="A532" t="str">
            <v>Biscate</v>
          </cell>
          <cell r="B532" t="str">
            <v>The biscate is a fast and convenient service that connects biscateiros or informal workers to clients, through an online platform.</v>
          </cell>
          <cell r="C532" t="str">
            <v>Active</v>
          </cell>
          <cell r="D532">
            <v>2016</v>
          </cell>
          <cell r="G532" t="str">
            <v>Mozambique</v>
          </cell>
          <cell r="X532" t="str">
            <v>Recruitment</v>
          </cell>
          <cell r="Y532" t="str">
            <v>Marketplace, Talent, Informal Workers</v>
          </cell>
        </row>
        <row r="533">
          <cell r="A533" t="str">
            <v>Awehcash</v>
          </cell>
          <cell r="B533" t="str">
            <v>Awehcash are blockchain tokens trading on the Waves Blockchain Platform. Owning and using Awehcash tokens/vouchers is open to all Namibians and businesses!</v>
          </cell>
          <cell r="C533" t="str">
            <v>Active</v>
          </cell>
          <cell r="D533">
            <v>2018</v>
          </cell>
          <cell r="G533" t="str">
            <v>Namibia</v>
          </cell>
          <cell r="X533" t="str">
            <v>Financial Services</v>
          </cell>
        </row>
        <row r="534">
          <cell r="A534" t="str">
            <v xml:space="preserve">Foodlocker </v>
          </cell>
          <cell r="B534" t="str">
            <v>The one-stop shop for fresh foodstuff, sourced from local farmers at a fair price, that offers convenient shopping, fast &amp; courteous service in a hygienic environment Buy In-store or Order Online and Receive at Home or Collect In-store.</v>
          </cell>
          <cell r="C534" t="str">
            <v>Active</v>
          </cell>
          <cell r="D534">
            <v>2017</v>
          </cell>
          <cell r="G534" t="str">
            <v>Nigeria</v>
          </cell>
          <cell r="X534" t="str">
            <v>E-Commerce &amp; Retail</v>
          </cell>
          <cell r="Y534" t="str">
            <v>Ecommerce, Retail, Meat, Fruits &amp; Vegetables, Staples, Fish, Marketing, and Oil (vegetable &amp; palm)</v>
          </cell>
        </row>
        <row r="535">
          <cell r="A535" t="str">
            <v>Kwik Delivery</v>
          </cell>
          <cell r="B535" t="str">
            <v>Africa Delivery Technologies provides B2B-focused, on-demand, and last-mile delivery service in Lagos.</v>
          </cell>
          <cell r="C535" t="str">
            <v>Active</v>
          </cell>
          <cell r="D535">
            <v>2018</v>
          </cell>
          <cell r="G535" t="str">
            <v>Nigeria</v>
          </cell>
          <cell r="X535" t="str">
            <v>Transport &amp; Logistics</v>
          </cell>
          <cell r="Y535" t="str">
            <v>E-Commerce Platforms, Location Based Services, Logistics</v>
          </cell>
        </row>
        <row r="536">
          <cell r="A536" t="str">
            <v>Avon Healthcare</v>
          </cell>
          <cell r="B536" t="str">
            <v>Avon Healthcare Limited (Avon HMO) has grown to become Nigeria’s most innovative and preferred Health Maintenance Organisation with a mission to empower Nigerians to live healthier, fuller lives by providing access to quality healthcare services</v>
          </cell>
          <cell r="C536" t="str">
            <v>Active</v>
          </cell>
          <cell r="D536">
            <v>2011</v>
          </cell>
          <cell r="G536" t="str">
            <v>Nigeria</v>
          </cell>
          <cell r="X536" t="str">
            <v>Healthcare &amp; Pharma</v>
          </cell>
          <cell r="Y536" t="str">
            <v>Hospital &amp; Health Care</v>
          </cell>
        </row>
        <row r="537">
          <cell r="A537" t="str">
            <v>AdsDirectNg</v>
          </cell>
          <cell r="B537" t="str">
            <v>AdsDirect is an advertising solution that allows you advertise your products, events, goods and services on any advertising platform in Nigeria [Web, Print, TV, Billboards, Radio, etc]</v>
          </cell>
          <cell r="C537" t="str">
            <v>Active</v>
          </cell>
          <cell r="D537">
            <v>2017</v>
          </cell>
          <cell r="G537" t="str">
            <v>Nigeria</v>
          </cell>
          <cell r="X537" t="str">
            <v>Media &amp; Entertainment</v>
          </cell>
          <cell r="Y537" t="str">
            <v>Media Planning/Buying/Supplying, Print and Design, Outdoor/Ambient/Out of Home Media, Direct Mail and Experiential Staff, SMS and Press, and Radio and TV</v>
          </cell>
        </row>
        <row r="538">
          <cell r="A538" t="str">
            <v>Capricorn Digital</v>
          </cell>
          <cell r="B538" t="str">
            <v>Capricorn Digital Limited (CDL) is an independent technologically driven, digital distribution Company providing aggregated payments and collections services to a broad array of Digital Service Providers (DSPs) through our digital platform</v>
          </cell>
          <cell r="C538" t="str">
            <v>Active</v>
          </cell>
          <cell r="D538">
            <v>2002</v>
          </cell>
          <cell r="G538" t="str">
            <v>Nigeria</v>
          </cell>
          <cell r="X538" t="str">
            <v>Financial Services</v>
          </cell>
          <cell r="Y538" t="str">
            <v>Information Technology, FinTech</v>
          </cell>
        </row>
        <row r="539">
          <cell r="A539" t="str">
            <v>Aspire Nigeria</v>
          </cell>
          <cell r="B539" t="str">
            <v>We take an analytics, technology, and long-term service driven approach to ensuring that Prosumers (producing consumers of electricity) don’t walk alone. We optimize your energy generation and consumption profile over time to give you the ‘Power To Be’</v>
          </cell>
          <cell r="C539" t="str">
            <v>Active</v>
          </cell>
          <cell r="D539">
            <v>2016</v>
          </cell>
          <cell r="G539" t="str">
            <v>Nigeria</v>
          </cell>
          <cell r="X539" t="str">
            <v>Energy &amp; Environment Resources</v>
          </cell>
        </row>
        <row r="540">
          <cell r="A540" t="str">
            <v>Autogenius</v>
          </cell>
          <cell r="B540" t="str">
            <v>Online Insurance comparison Platform for Nigeria</v>
          </cell>
          <cell r="C540" t="str">
            <v>Active</v>
          </cell>
          <cell r="D540">
            <v>2014</v>
          </cell>
          <cell r="G540" t="str">
            <v>Nigeria</v>
          </cell>
          <cell r="X540" t="str">
            <v>Financial Services</v>
          </cell>
          <cell r="Y540" t="str">
            <v>Internet</v>
          </cell>
        </row>
        <row r="541">
          <cell r="A541" t="str">
            <v>Amplify Africa</v>
          </cell>
          <cell r="B541" t="str">
            <v>Amplify builds next-generation payment solutions for banks, businesses and consumers in Africa. The company's mTransfers solution enables banks customers to perform banking operations on any social messaging platform. Amplify is one of the leading financial technology company in Africa with a vision to be the biggest technology enabler of digital financial services in Africa</v>
          </cell>
          <cell r="C541" t="str">
            <v>Acquired</v>
          </cell>
          <cell r="D541">
            <v>2015</v>
          </cell>
          <cell r="G541" t="str">
            <v>Nigeria</v>
          </cell>
          <cell r="X541" t="str">
            <v>Financial Services</v>
          </cell>
          <cell r="Y541" t="str">
            <v>Financial Services, Payments</v>
          </cell>
        </row>
        <row r="542">
          <cell r="A542" t="str">
            <v>Appzone</v>
          </cell>
          <cell r="B542" t="str">
            <v>AppZone is Africa’s leading provider of home-grown banking and payment solutions with a mission to provide technology that empowers people with unlimited access to financial services.</v>
          </cell>
          <cell r="C542" t="str">
            <v>Active</v>
          </cell>
          <cell r="D542">
            <v>2008</v>
          </cell>
          <cell r="G542" t="str">
            <v>Nigeria</v>
          </cell>
          <cell r="X542" t="str">
            <v>Financial Services</v>
          </cell>
          <cell r="Y542" t="str">
            <v>Apps, Banking, FinTech</v>
          </cell>
        </row>
        <row r="543">
          <cell r="A543" t="str">
            <v>Arone</v>
          </cell>
          <cell r="B543" t="str">
            <v>Arone is revolutionizing delivery in Africa by providing a faster, cheaper and more eco-friendly delivery solution using autonomous drones</v>
          </cell>
          <cell r="C543" t="str">
            <v>Active</v>
          </cell>
          <cell r="D543">
            <v>2018</v>
          </cell>
          <cell r="G543" t="str">
            <v>Nigeria</v>
          </cell>
          <cell r="X543" t="str">
            <v>Transport &amp; Logistics</v>
          </cell>
          <cell r="Y543" t="str">
            <v>Delivery, Drones, Logistics, Robotics</v>
          </cell>
        </row>
        <row r="544">
          <cell r="A544" t="str">
            <v>Asusu Technology Limited</v>
          </cell>
          <cell r="B544" t="str">
            <v>Asusu aims to build infrastructure for informal microfinance organisations by digitising the financial activities of low income and daily earners through co-operatives, trade groups, agent networks, and partnerships.</v>
          </cell>
          <cell r="C544" t="str">
            <v>Active</v>
          </cell>
          <cell r="D544">
            <v>2017</v>
          </cell>
          <cell r="G544" t="str">
            <v>Nigeria</v>
          </cell>
          <cell r="X544" t="str">
            <v>Financial Services</v>
          </cell>
          <cell r="Y544" t="str">
            <v>Fintech, micro-loans, credit services</v>
          </cell>
        </row>
        <row r="545">
          <cell r="A545" t="str">
            <v>Bigpot Nigeria</v>
          </cell>
          <cell r="B545" t="str">
            <v>Big Pot is a power utility company which provides energy to small and medium-sized residences and businesses through smart community microgrids</v>
          </cell>
          <cell r="C545" t="str">
            <v>Active</v>
          </cell>
          <cell r="D545">
            <v>2017</v>
          </cell>
          <cell r="G545" t="str">
            <v>Nigeria</v>
          </cell>
          <cell r="X545" t="str">
            <v>Energy &amp; Environment Resources</v>
          </cell>
          <cell r="Y545" t="str">
            <v>Computer, Electronics, Renewable Energy, Solar, Virtual Reality</v>
          </cell>
        </row>
        <row r="546">
          <cell r="A546" t="str">
            <v>BigXMedia</v>
          </cell>
          <cell r="B546" t="str">
            <v>BigXMedia is a music media company that specializes in Afrobeat music.Their goal is to unite the industry behind a respectable, trusted and influential media platform that improves the quality of conversation around all things Ghana music</v>
          </cell>
          <cell r="C546" t="str">
            <v>Active</v>
          </cell>
          <cell r="D546">
            <v>2014</v>
          </cell>
          <cell r="G546" t="str">
            <v>Nigeria</v>
          </cell>
          <cell r="X546" t="str">
            <v>Media &amp; Entertainment</v>
          </cell>
          <cell r="Y546" t="str">
            <v>Apps, Media and Entertainment, Mobile Apps, Music, Web Apps</v>
          </cell>
        </row>
        <row r="547">
          <cell r="A547" t="str">
            <v>Awabike</v>
          </cell>
          <cell r="B547" t="str">
            <v>AWA Bike is a Nigerian smart bike sharing platform that seeks to solve mobility issues in Nigeria by linking members to available bicycles through an app. Riders can search, unlock bikes, enter their destinations, pay and interact via the app. The company is the first bicycle sharing company in West Africa and hopes to be at the forefront of sustainable transport solutions in the region within the next 5-7 years.</v>
          </cell>
          <cell r="C547" t="str">
            <v>Active</v>
          </cell>
          <cell r="D547">
            <v>2017</v>
          </cell>
          <cell r="G547" t="str">
            <v>Nigeria</v>
          </cell>
          <cell r="X547" t="str">
            <v>Transport &amp; Logistics</v>
          </cell>
          <cell r="Y547" t="str">
            <v>Bike-Sharing</v>
          </cell>
        </row>
        <row r="548">
          <cell r="A548" t="str">
            <v>Babymigo</v>
          </cell>
          <cell r="B548" t="str">
            <v>Babymigo is a fast growing parenting community for Africa. We're building the most trusted support network for every mom and moms-to-be irrespective of their social status or geographic location.</v>
          </cell>
          <cell r="C548" t="str">
            <v>Active</v>
          </cell>
          <cell r="D548">
            <v>2017</v>
          </cell>
          <cell r="G548" t="str">
            <v>Nigeria</v>
          </cell>
          <cell r="X548" t="str">
            <v>Social Network</v>
          </cell>
          <cell r="Y548" t="str">
            <v>Parenting, Child Care, Fitness, Health Care, Wellness</v>
          </cell>
        </row>
        <row r="549">
          <cell r="A549" t="str">
            <v>Beat Drone</v>
          </cell>
          <cell r="B549" t="str">
            <v>Beat Drone uses precision drones to execute spraying on the farms, engage in crop supervision and mapping of the farmland.</v>
          </cell>
          <cell r="C549" t="str">
            <v>Active</v>
          </cell>
          <cell r="D549">
            <v>2016</v>
          </cell>
          <cell r="G549" t="str">
            <v>Nigeria</v>
          </cell>
          <cell r="X549" t="str">
            <v>Emerging Technologies</v>
          </cell>
          <cell r="Y549" t="str">
            <v>Drones</v>
          </cell>
        </row>
        <row r="550">
          <cell r="A550" t="str">
            <v>Doctoora</v>
          </cell>
          <cell r="B550" t="str">
            <v>Doctoora is a healthcare infrastructure operating as a service company providing virtual private practice solution to health professionals</v>
          </cell>
          <cell r="C550" t="str">
            <v>Active</v>
          </cell>
          <cell r="D550">
            <v>2016</v>
          </cell>
          <cell r="G550" t="str">
            <v>Nigeria</v>
          </cell>
          <cell r="X550" t="str">
            <v>Healthcare &amp; Pharma</v>
          </cell>
          <cell r="Y550" t="str">
            <v>Fitness, Health Care, Wellness</v>
          </cell>
        </row>
        <row r="551">
          <cell r="A551" t="str">
            <v>E-Health Zone</v>
          </cell>
          <cell r="B551" t="str">
            <v>A mobile health platform that manages the administration activities virtually, connecting health centres, Doctors, medical personnel to patient.</v>
          </cell>
          <cell r="C551" t="str">
            <v>Active</v>
          </cell>
          <cell r="D551">
            <v>2019</v>
          </cell>
          <cell r="G551" t="str">
            <v>Nigeria</v>
          </cell>
          <cell r="X551" t="str">
            <v>Healthcare &amp; Pharma</v>
          </cell>
          <cell r="Y551" t="str">
            <v>Health Care</v>
          </cell>
        </row>
        <row r="552">
          <cell r="A552" t="str">
            <v>Busha</v>
          </cell>
          <cell r="B552" t="str">
            <v>Busha was established in 2018 as a digital currency exchange platform where consumers and merchants can trade digital currencies such as bitcoin, litecoin, RMT and ethereum. Our platform provides consumers with more digital currencies in one place than is available on any other trading platform in Nigeria. We have made efforts to be a trusted company in this domain and ensure that our platform is easy to use, accessible and user-friendly. Our focus is to use innovation and efficiency to build an open financial system.</v>
          </cell>
          <cell r="C552" t="str">
            <v>Active</v>
          </cell>
          <cell r="D552">
            <v>2018</v>
          </cell>
          <cell r="G552" t="str">
            <v>Nigeria</v>
          </cell>
          <cell r="X552" t="str">
            <v>Information Technology</v>
          </cell>
          <cell r="Y552" t="str">
            <v>Digital currency, Cryptocurrency exchange, Bitcoin, Ethereum, Technology, Litecoin, and Blockchain Technology</v>
          </cell>
        </row>
        <row r="553">
          <cell r="A553" t="str">
            <v>Celd Innovations</v>
          </cell>
          <cell r="B553" t="str">
            <v>CeLD is Africa’s first Consumer Cash Reward as-a-Service Company (CRaaS)</v>
          </cell>
          <cell r="C553" t="str">
            <v>Active</v>
          </cell>
          <cell r="G553" t="str">
            <v>Nigeria</v>
          </cell>
          <cell r="X553" t="str">
            <v>E-Commerce &amp; Retail</v>
          </cell>
        </row>
        <row r="554">
          <cell r="A554" t="str">
            <v>Budgit</v>
          </cell>
          <cell r="B554" t="str">
            <v>BudgIT is a civic organization that applies technology to intersect citizen engagement with institutional improvement, to facilitate societal change.</v>
          </cell>
          <cell r="C554" t="str">
            <v>Active</v>
          </cell>
          <cell r="D554">
            <v>2011</v>
          </cell>
          <cell r="G554" t="str">
            <v>Nigeria</v>
          </cell>
          <cell r="X554" t="str">
            <v>Information Technology</v>
          </cell>
          <cell r="Y554" t="str">
            <v>Government, Information Services, Information Technology, SaaS, Software</v>
          </cell>
        </row>
        <row r="555">
          <cell r="A555" t="str">
            <v>Christopher’s and Co</v>
          </cell>
          <cell r="B555" t="str">
            <v>Established in 2016, Christopher’s &amp; Co. is a retail business focused in the fashion, lifestyle and home and living categories.</v>
          </cell>
          <cell r="C555" t="str">
            <v>Active</v>
          </cell>
          <cell r="D555">
            <v>2016</v>
          </cell>
          <cell r="G555" t="str">
            <v>Nigeria</v>
          </cell>
          <cell r="X555" t="str">
            <v>E-Commerce &amp; Retail</v>
          </cell>
          <cell r="Y555" t="str">
            <v>Retail</v>
          </cell>
        </row>
        <row r="556">
          <cell r="A556" t="str">
            <v>Etrash2Cash</v>
          </cell>
          <cell r="B556" t="str">
            <v>Help people exchange their trash for cash.</v>
          </cell>
          <cell r="C556" t="str">
            <v>Active</v>
          </cell>
          <cell r="D556">
            <v>2012</v>
          </cell>
          <cell r="G556" t="str">
            <v>Nigeria</v>
          </cell>
          <cell r="X556" t="str">
            <v>Energy &amp; Environment Resources</v>
          </cell>
          <cell r="Y556" t="str">
            <v>Waste management</v>
          </cell>
        </row>
        <row r="557">
          <cell r="A557" t="str">
            <v>Cobuildit</v>
          </cell>
          <cell r="B557" t="str">
            <v>CoBuildIT is a project management company focused on helping everyday people to realize their dream of owning a high quality home at the lowest possible price.</v>
          </cell>
          <cell r="C557" t="str">
            <v>Active</v>
          </cell>
          <cell r="D557">
            <v>2015</v>
          </cell>
          <cell r="G557" t="str">
            <v>Nigeria</v>
          </cell>
          <cell r="X557" t="str">
            <v>Real Estate</v>
          </cell>
          <cell r="Y557" t="str">
            <v>Real Estate</v>
          </cell>
        </row>
        <row r="558">
          <cell r="A558" t="str">
            <v>Chekkit Technologies</v>
          </cell>
          <cell r="B558" t="str">
            <v>Chekkit is an ethereum blockchain powered anti-counterfeiting, product tracking and customer experience analytics platform. We help producers protect their brands, track supply chain activities and collect last-mile consumer insights in real-time</v>
          </cell>
          <cell r="C558" t="str">
            <v>Active</v>
          </cell>
          <cell r="D558">
            <v>2017</v>
          </cell>
          <cell r="G558" t="str">
            <v>Nigeria</v>
          </cell>
          <cell r="X558" t="str">
            <v>Information Technology</v>
          </cell>
          <cell r="Y558" t="str">
            <v>Analytics, Blockchain, Tracking Systems</v>
          </cell>
        </row>
        <row r="559">
          <cell r="A559" t="str">
            <v>Chocolate City Entertainment</v>
          </cell>
          <cell r="B559" t="str">
            <v>Chocolate City Group is a 360-degree media and entertainment company consisting of a music label, music distribution company, management consulting firm, and a uniquely configured marketing agency all based in Nigeria. We are located in Lagos, Abuja and Nairobi, and have operations in the United Kingdom, United States, South-Africa and Ghana.</v>
          </cell>
          <cell r="C559" t="str">
            <v>Active</v>
          </cell>
          <cell r="D559">
            <v>2005</v>
          </cell>
          <cell r="G559" t="str">
            <v>Nigeria</v>
          </cell>
          <cell r="X559" t="str">
            <v>Media &amp; Entertainment</v>
          </cell>
          <cell r="Y559" t="str">
            <v>Entertainment</v>
          </cell>
        </row>
        <row r="560">
          <cell r="A560" t="str">
            <v>Extramile Africa</v>
          </cell>
          <cell r="B560" t="str">
            <v>EMA is a home-grown fintech solution that is empowering African entrepreneurs to create the jobs, shared wealth and prosperity that Africa need through shared-economy model and strategic partnership for financial inclusion and the quick growth of the continent</v>
          </cell>
          <cell r="C560" t="str">
            <v>Active</v>
          </cell>
          <cell r="D560">
            <v>2018</v>
          </cell>
          <cell r="G560" t="str">
            <v>Nigeria</v>
          </cell>
          <cell r="X560" t="str">
            <v>Financial Services</v>
          </cell>
          <cell r="Y560" t="str">
            <v>Mobile Apps, Microfinance, Savings, investments</v>
          </cell>
        </row>
        <row r="561">
          <cell r="A561" t="str">
            <v>Citytaps</v>
          </cell>
          <cell r="B561" t="str">
            <v>CityTaps has developed CTSuite, a water prepayment service that comprises the world’s only smart and prepaid water meter, CTMeter, and billing software, CTCloud</v>
          </cell>
          <cell r="C561" t="str">
            <v>Active</v>
          </cell>
          <cell r="D561">
            <v>2015</v>
          </cell>
          <cell r="G561" t="str">
            <v>Nigeria</v>
          </cell>
          <cell r="X561" t="str">
            <v>Energy &amp; Environment Resources</v>
          </cell>
        </row>
        <row r="562">
          <cell r="A562" t="str">
            <v>iDHS</v>
          </cell>
          <cell r="B562" t="str">
            <v>iDHS.Healthwise is a web based healthcare platform launched in the UK and Nigeria in 2018. It gives users online access to qualified medical practitioners via video and text consultations, provides Self-care tools which support those with acute and chronic health conditions like diabetes, hypertension, kidney disease, Asthma etc and pregnancy support modules which seek to reduce maternal and infant mortality.</v>
          </cell>
          <cell r="C562" t="str">
            <v>Active</v>
          </cell>
          <cell r="D562">
            <v>2016</v>
          </cell>
          <cell r="G562" t="str">
            <v>Nigeria</v>
          </cell>
          <cell r="X562" t="str">
            <v>Healthcare &amp; Pharma</v>
          </cell>
          <cell r="Y562" t="str">
            <v>Medical</v>
          </cell>
        </row>
        <row r="563">
          <cell r="A563" t="str">
            <v>Helium Health</v>
          </cell>
          <cell r="B563" t="str">
            <v>We make excellent patient records &amp; management achievable for hospitals of all sizes</v>
          </cell>
          <cell r="C563" t="str">
            <v>Active</v>
          </cell>
          <cell r="D563">
            <v>2015</v>
          </cell>
          <cell r="G563" t="str">
            <v>Nigeria</v>
          </cell>
          <cell r="X563" t="str">
            <v>Healthcare &amp; Pharma</v>
          </cell>
          <cell r="Y563" t="str">
            <v>E-Health, Healthcare Technology</v>
          </cell>
        </row>
        <row r="564">
          <cell r="A564" t="str">
            <v xml:space="preserve">OTRAC </v>
          </cell>
          <cell r="B564" t="str">
            <v>OTRAC’s e-learning platform provides tailored trainings/courses for public and general Health practitioners.</v>
          </cell>
          <cell r="C564" t="str">
            <v>Active</v>
          </cell>
          <cell r="D564">
            <v>2016</v>
          </cell>
          <cell r="G564" t="str">
            <v>Nigeria</v>
          </cell>
          <cell r="X564" t="str">
            <v>Education</v>
          </cell>
          <cell r="Y564" t="str">
            <v>E-Learning, Healthcare</v>
          </cell>
        </row>
        <row r="565">
          <cell r="A565" t="str">
            <v>Muster Africa</v>
          </cell>
          <cell r="B565" t="str">
            <v>Muster enables young people in African megacities to access affordable housing by unlocking available rooms in these cities through a peer to peer shared housing marketplace</v>
          </cell>
          <cell r="C565" t="str">
            <v>Active</v>
          </cell>
          <cell r="D565">
            <v>2017</v>
          </cell>
          <cell r="G565" t="str">
            <v>Nigeria</v>
          </cell>
          <cell r="X565" t="str">
            <v>Real Estate</v>
          </cell>
          <cell r="Y565" t="str">
            <v>Marketplace</v>
          </cell>
        </row>
        <row r="566">
          <cell r="A566" t="str">
            <v>Solo Phone</v>
          </cell>
          <cell r="B566" t="str">
            <v>SOLO Phone Nigeria has designs and manufactures mobile devices in Nigeria.</v>
          </cell>
          <cell r="D566">
            <v>2013</v>
          </cell>
          <cell r="G566" t="str">
            <v>Nigeria</v>
          </cell>
          <cell r="X566" t="str">
            <v>Communication Services</v>
          </cell>
          <cell r="Y566" t="str">
            <v>Manufacturing, Mobile Devices</v>
          </cell>
        </row>
        <row r="567">
          <cell r="A567" t="str">
            <v>TaxiTV</v>
          </cell>
          <cell r="B567" t="str">
            <v>TaxiTv is an AD-Tech company that provides entertainment in ride sharing vehicles. Their technology allow brands advertise to their consumers. Content displayed on their screens include and not limited to ; Documentaries, comedies, neighbourhood insights, news, sport, weather, things to see and do. Their screens offer high quality video and interactive content. They can customise every brand experience, capture data and help generate leads.</v>
          </cell>
          <cell r="C567" t="str">
            <v>Active</v>
          </cell>
          <cell r="D567">
            <v>2017</v>
          </cell>
          <cell r="G567" t="str">
            <v>Nigeria</v>
          </cell>
          <cell r="X567" t="str">
            <v>Information Technology</v>
          </cell>
          <cell r="Y567" t="str">
            <v>Digital Entertainment, Media and Entertainment, Video</v>
          </cell>
        </row>
        <row r="568">
          <cell r="A568" t="str">
            <v>Traindemy</v>
          </cell>
          <cell r="B568" t="str">
            <v>Traindemy (Training Academy) is an online learning platform where people can acquire vocational skills and talent coaching such that they become equipped to be entrepreneurs or more resourceful professionals at their workplace</v>
          </cell>
          <cell r="C568" t="str">
            <v>Active</v>
          </cell>
          <cell r="D568">
            <v>2018</v>
          </cell>
          <cell r="G568" t="str">
            <v>Nigeria</v>
          </cell>
          <cell r="X568" t="str">
            <v>Education</v>
          </cell>
          <cell r="Y568" t="str">
            <v>E-Learning</v>
          </cell>
        </row>
        <row r="569">
          <cell r="A569" t="str">
            <v>ARED</v>
          </cell>
          <cell r="B569" t="str">
            <v>A.R.E.D is a HAAS (hardware as a service) business. ARED provide a one stop shop solution for smart distribution and connectivity network for rural, semi urban, urban and refugee camps using its solar kiosk technology, WIFI and IOT platform combine with its Mobile Shiriki applications to sale digital services, better monitor your network and maintenance of your network if needed.</v>
          </cell>
          <cell r="C569" t="str">
            <v>Active</v>
          </cell>
          <cell r="D569">
            <v>2013</v>
          </cell>
          <cell r="G569" t="str">
            <v>Rwanda</v>
          </cell>
          <cell r="X569" t="str">
            <v>Energy &amp; Environment Resources</v>
          </cell>
          <cell r="Y569" t="str">
            <v>Clean Energy, Energy, Solar, Internet, Kiosks</v>
          </cell>
        </row>
        <row r="570">
          <cell r="A570" t="str">
            <v>Comparez</v>
          </cell>
          <cell r="C570" t="str">
            <v>Active</v>
          </cell>
          <cell r="G570" t="str">
            <v>Senegal</v>
          </cell>
        </row>
        <row r="571">
          <cell r="A571" t="str">
            <v>Business Today</v>
          </cell>
          <cell r="B571" t="str">
            <v>Businesstoday.co.ke is a leading online business news and information portal in Kenya founded in 2012 by Kenyan journalist Luke Mulunda. In November 2018, Badoer Investments acquired a majority stake in the digital media startup. It is updated daily with business news as well as insightful information on management, investing, enterprise and technology.</v>
          </cell>
          <cell r="C571" t="str">
            <v>Acquired</v>
          </cell>
          <cell r="D571">
            <v>2012</v>
          </cell>
          <cell r="G571" t="str">
            <v>Kenya</v>
          </cell>
          <cell r="X571" t="str">
            <v>Media &amp; Entertainment</v>
          </cell>
          <cell r="Y571" t="str">
            <v>News</v>
          </cell>
        </row>
        <row r="572">
          <cell r="A572" t="str">
            <v>Bophelo Bioscience</v>
          </cell>
          <cell r="B572" t="str">
            <v>Bophelo Bioscience aims to become the leading producer of medicinal cannabis products in Africa and the largest operator of medicinal cannabis focused clinics and dispensaries in South Africa.</v>
          </cell>
          <cell r="C572" t="str">
            <v>Acquired</v>
          </cell>
          <cell r="G572" t="str">
            <v>Lesotho</v>
          </cell>
          <cell r="X572" t="str">
            <v>Agriculture</v>
          </cell>
          <cell r="Y572" t="str">
            <v>Agriculture, Health</v>
          </cell>
        </row>
        <row r="573">
          <cell r="A573" t="str">
            <v>Biodelta Nutraceuticals</v>
          </cell>
          <cell r="B573" t="str">
            <v>Biodelta Nutraceuticals are a manufacturing company that offers turnkey product solutions in the health market through our strengths in R&amp;D and packaging.</v>
          </cell>
          <cell r="C573" t="str">
            <v>Acquired</v>
          </cell>
          <cell r="D573">
            <v>2002</v>
          </cell>
          <cell r="G573" t="str">
            <v>South  Africa</v>
          </cell>
          <cell r="X573" t="str">
            <v>Healthcare &amp; Pharma</v>
          </cell>
          <cell r="Y573" t="str">
            <v>Health and Pharmaceuticals</v>
          </cell>
        </row>
        <row r="574">
          <cell r="A574" t="str">
            <v>3DIMO</v>
          </cell>
          <cell r="B574" t="str">
            <v>3DIMO is a sport tech company that optimizes injury detection &amp; prevention using athlete specific orthopedic biomechanics data.</v>
          </cell>
          <cell r="C574" t="str">
            <v>Active</v>
          </cell>
          <cell r="D574">
            <v>2018</v>
          </cell>
          <cell r="G574" t="str">
            <v>South Africa</v>
          </cell>
          <cell r="X574" t="str">
            <v>Information Technology</v>
          </cell>
          <cell r="Y574" t="str">
            <v>Information Technology, Biotechnology</v>
          </cell>
        </row>
        <row r="575">
          <cell r="A575" t="str">
            <v>Alignd</v>
          </cell>
          <cell r="B575" t="str">
            <v>Alignd offers end-to-end financing solutions for the optimal care of complex patients</v>
          </cell>
          <cell r="C575" t="str">
            <v>Active</v>
          </cell>
          <cell r="D575">
            <v>2014</v>
          </cell>
          <cell r="G575" t="str">
            <v>South Africa</v>
          </cell>
          <cell r="X575" t="str">
            <v>Financial Services</v>
          </cell>
          <cell r="Y575" t="str">
            <v>Apps, Dating, Lifestyle, Mobile Apps</v>
          </cell>
        </row>
        <row r="576">
          <cell r="A576" t="str">
            <v>Allxs</v>
          </cell>
          <cell r="B576" t="str">
            <v>NFC-enabled cashless payments platform</v>
          </cell>
          <cell r="C576" t="str">
            <v>Active</v>
          </cell>
          <cell r="D576">
            <v>2013</v>
          </cell>
          <cell r="G576" t="str">
            <v>South Africa</v>
          </cell>
          <cell r="X576" t="str">
            <v>Financial Services</v>
          </cell>
          <cell r="Y576" t="str">
            <v>Payments</v>
          </cell>
        </row>
        <row r="577">
          <cell r="A577" t="str">
            <v>Appy</v>
          </cell>
          <cell r="B577" t="str">
            <v>Appy is a software and product development company in South Africa.</v>
          </cell>
          <cell r="C577" t="str">
            <v>Active</v>
          </cell>
          <cell r="D577">
            <v>2016</v>
          </cell>
          <cell r="G577" t="str">
            <v>South Africa</v>
          </cell>
          <cell r="X577" t="str">
            <v>Information Technology</v>
          </cell>
          <cell r="Y577" t="str">
            <v>Software</v>
          </cell>
        </row>
        <row r="578">
          <cell r="A578" t="str">
            <v>Attri Orthopaedics</v>
          </cell>
          <cell r="B578" t="str">
            <v>Attri Orthopaedics is specialising on design, development and supply of medical devices and orthopaedic implants for limb salvage operations.</v>
          </cell>
          <cell r="C578" t="str">
            <v>Active</v>
          </cell>
          <cell r="D578">
            <v>2012</v>
          </cell>
          <cell r="G578" t="str">
            <v>South Africa</v>
          </cell>
          <cell r="X578" t="str">
            <v>Healthcare &amp; Pharma</v>
          </cell>
          <cell r="Y578" t="str">
            <v>Health Care</v>
          </cell>
        </row>
        <row r="579">
          <cell r="A579" t="str">
            <v>Aerial Monitoring Solutions</v>
          </cell>
          <cell r="B579" t="str">
            <v>Aerial Monitoring Solutions offers high quality, customisable Unmanned Aerial Systems</v>
          </cell>
          <cell r="C579" t="str">
            <v>Active</v>
          </cell>
          <cell r="D579">
            <v>2013</v>
          </cell>
          <cell r="G579" t="str">
            <v>South Africa</v>
          </cell>
          <cell r="X579" t="str">
            <v>Transport &amp; Logistics</v>
          </cell>
          <cell r="Y579" t="str">
            <v>Unmanned Aerial Systems, Unmanned Systems Design, Unmanned Systems Implementation, and Unmanned Systems Manufacturing</v>
          </cell>
        </row>
        <row r="580">
          <cell r="A580" t="str">
            <v>Abalobi</v>
          </cell>
          <cell r="B580" t="str">
            <v>The ABALOBI* initiative is an open, transdisciplinary and social learning endeavour, bringing together various stakeholders, with traditional fishers taking centre stage. ABALOBI, as a mobile app suite and programme, is aimed at social justice and poverty alleviation in the small-scale fisheries chain, transformation in the way we produce knowledge, stewardship of our marine resources, and resilience building in the face of climate change. Promoting traceable, storied seafood by empowered small-scale fishers from hook to cook, in a manner that is not only ecologically responsible, but also socially fair. Because who fishes matters.</v>
          </cell>
          <cell r="C580" t="str">
            <v>Active</v>
          </cell>
          <cell r="D580">
            <v>2016</v>
          </cell>
          <cell r="G580" t="str">
            <v>South Africa</v>
          </cell>
          <cell r="X580" t="str">
            <v>Agriculture</v>
          </cell>
          <cell r="Y580" t="str">
            <v>Fishing, Mobile Applications</v>
          </cell>
        </row>
        <row r="581">
          <cell r="A581" t="str">
            <v>Agriprotein</v>
          </cell>
          <cell r="B581" t="str">
            <v>Agriprotein specializes in nutrient recycling to create sustainable sources of protein for the mono-gastric animal feed industry.</v>
          </cell>
          <cell r="C581" t="str">
            <v>Active</v>
          </cell>
          <cell r="D581">
            <v>2008</v>
          </cell>
          <cell r="G581" t="str">
            <v>South Africa</v>
          </cell>
          <cell r="X581" t="str">
            <v>Agriculture</v>
          </cell>
          <cell r="Y581" t="str">
            <v>Agriculture, Biotechnology, Food and Beverage, Recycling, Service Industry</v>
          </cell>
        </row>
        <row r="582">
          <cell r="A582" t="str">
            <v>Acctech Systems</v>
          </cell>
          <cell r="B582" t="str">
            <v>AccTech has become a leading provider of enterprise applications such as ERP, CRM, HR, BI &amp; BPM.</v>
          </cell>
          <cell r="C582" t="str">
            <v>Acquired</v>
          </cell>
          <cell r="D582">
            <v>1994</v>
          </cell>
          <cell r="G582" t="str">
            <v>South Africa</v>
          </cell>
          <cell r="X582" t="str">
            <v>Information Technology</v>
          </cell>
          <cell r="Y582" t="str">
            <v>Human Resources, Information Services, Information Technology</v>
          </cell>
        </row>
        <row r="583">
          <cell r="A583" t="str">
            <v>Appenberg Digital Publishing</v>
          </cell>
          <cell r="B583" t="str">
            <v>APPENBERG DIGITAL PUBLISHING aims to upscale education, foster and provide remote access to healthcare resources through digital technology.</v>
          </cell>
          <cell r="C583" t="str">
            <v>Active</v>
          </cell>
          <cell r="D583">
            <v>2014</v>
          </cell>
          <cell r="G583" t="str">
            <v>South Africa</v>
          </cell>
          <cell r="X583" t="str">
            <v>Media and Entertainment</v>
          </cell>
          <cell r="Y583" t="str">
            <v>Media, Information Technology,</v>
          </cell>
        </row>
        <row r="584">
          <cell r="A584" t="str">
            <v>Ashanti-AI</v>
          </cell>
          <cell r="B584" t="str">
            <v>Ashanti – AI delivers tangible value from data in the form of perceptive solutions that drive optimised decision making, unlock new revenue streams and increase performance</v>
          </cell>
          <cell r="C584" t="str">
            <v>Active</v>
          </cell>
          <cell r="G584" t="str">
            <v>South Africa</v>
          </cell>
        </row>
        <row r="585">
          <cell r="A585" t="str">
            <v>Airbuy</v>
          </cell>
          <cell r="B585" t="str">
            <v>Airbuy is the solution to the factors hindering Africa. There are less risks when it comes to buying online using Airbuy.</v>
          </cell>
          <cell r="C585" t="str">
            <v>Active</v>
          </cell>
          <cell r="D585">
            <v>2016</v>
          </cell>
          <cell r="G585" t="str">
            <v>South Africa</v>
          </cell>
          <cell r="X585" t="str">
            <v>E-Commerce &amp; Retail</v>
          </cell>
          <cell r="Y585" t="str">
            <v>Online Shopping, Security, Banking</v>
          </cell>
        </row>
        <row r="586">
          <cell r="A586" t="str">
            <v>Alti Unmanned Aircraft System</v>
          </cell>
          <cell r="B586" t="str">
            <v>The key objective with the ALTI Transition was to offer a highly capable, reliable and affordable civil use commercial VTOL (vertical take-off and land) aircraft, which one could actually purchase and use every day, unlike the majority of similar system, available only to military at high price points</v>
          </cell>
          <cell r="C586" t="str">
            <v>Active</v>
          </cell>
          <cell r="D586">
            <v>2009</v>
          </cell>
          <cell r="G586" t="str">
            <v>South Africa</v>
          </cell>
          <cell r="X586" t="str">
            <v>Emerging Technologies</v>
          </cell>
          <cell r="Y586" t="str">
            <v>Drones, Manufacturing</v>
          </cell>
        </row>
        <row r="587">
          <cell r="A587" t="str">
            <v>Bankymoon</v>
          </cell>
          <cell r="B587" t="str">
            <v>Bankymoon is a software and consulting firm that provides blockchain powered solutions and services to the financial industry</v>
          </cell>
          <cell r="C587" t="str">
            <v>Active</v>
          </cell>
          <cell r="D587">
            <v>2015</v>
          </cell>
          <cell r="G587" t="str">
            <v>South Africa</v>
          </cell>
          <cell r="X587" t="str">
            <v>Information Technology</v>
          </cell>
          <cell r="Y587" t="str">
            <v>Blockchain, Consulting, Information Technology, Intelligent Systems, Robotics, Software</v>
          </cell>
        </row>
        <row r="588">
          <cell r="A588" t="str">
            <v>Atura</v>
          </cell>
          <cell r="B588" t="str">
            <v>Read more at CB Insights: https://www.cbinsights.com/company/attila-tel</v>
          </cell>
          <cell r="C588" t="str">
            <v>Active</v>
          </cell>
          <cell r="D588">
            <v>2016</v>
          </cell>
          <cell r="G588" t="str">
            <v>South Africa</v>
          </cell>
          <cell r="X588" t="str">
            <v>Emerging Technologies</v>
          </cell>
          <cell r="Y588" t="str">
            <v>Information Services, Information Technology</v>
          </cell>
        </row>
        <row r="589">
          <cell r="A589" t="str">
            <v>BidProp247</v>
          </cell>
          <cell r="C589" t="str">
            <v>Active</v>
          </cell>
          <cell r="G589" t="str">
            <v>South Africa</v>
          </cell>
        </row>
        <row r="590">
          <cell r="A590" t="str">
            <v>Bizense</v>
          </cell>
          <cell r="B590" t="str">
            <v>BIZense Technologies is a world class software product company innovating the next generation patent pending advertising platform.</v>
          </cell>
          <cell r="C590" t="str">
            <v>Acquired</v>
          </cell>
          <cell r="D590">
            <v>2008</v>
          </cell>
          <cell r="G590" t="str">
            <v>South Africa</v>
          </cell>
          <cell r="X590" t="str">
            <v>Information Technology</v>
          </cell>
          <cell r="Y590" t="str">
            <v>Advertising, Information Technology</v>
          </cell>
        </row>
        <row r="591">
          <cell r="A591" t="str">
            <v>Bettr Finance</v>
          </cell>
          <cell r="B591" t="str">
            <v>Bettr is a virtual banking experience powered by your smartphone. Pre-order your Zero Monthly Fee account and Bettr debit card today.</v>
          </cell>
          <cell r="C591" t="str">
            <v>Active</v>
          </cell>
          <cell r="D591">
            <v>2015</v>
          </cell>
          <cell r="G591" t="str">
            <v>South Africa</v>
          </cell>
          <cell r="X591" t="str">
            <v>Financial Services</v>
          </cell>
          <cell r="Y591" t="str">
            <v>Fintech, Finance, Technology, Virtual Banking</v>
          </cell>
        </row>
        <row r="592">
          <cell r="A592" t="str">
            <v>Blockchain Academy</v>
          </cell>
          <cell r="B592" t="str">
            <v>Blockchain Academy is a company that provides training and consulting on digital currencies and blockchain technology in South Africa</v>
          </cell>
          <cell r="C592" t="str">
            <v>Active</v>
          </cell>
          <cell r="D592">
            <v>2015</v>
          </cell>
          <cell r="G592" t="str">
            <v>South Africa</v>
          </cell>
          <cell r="X592" t="str">
            <v>Financial Services</v>
          </cell>
          <cell r="Y592" t="str">
            <v>Information Technology and Services</v>
          </cell>
        </row>
        <row r="593">
          <cell r="A593" t="str">
            <v>Blockstarters</v>
          </cell>
          <cell r="B593" t="str">
            <v>Blockstarters is the central point for all cryptocurrency and blockchain developments</v>
          </cell>
          <cell r="C593" t="str">
            <v>Active</v>
          </cell>
          <cell r="D593">
            <v>2017</v>
          </cell>
          <cell r="G593" t="str">
            <v>South Africa</v>
          </cell>
          <cell r="X593" t="str">
            <v>Information Technology</v>
          </cell>
          <cell r="Y593" t="str">
            <v>Information Technology</v>
          </cell>
        </row>
        <row r="594">
          <cell r="A594" t="str">
            <v>BotsZA</v>
          </cell>
          <cell r="B594" t="str">
            <v>BotsZA is a research and development company specialising in applications powered by AI. The startup helps companies integrate AI, machine learning and chatbots into their business processes to improve their customer experience, productivity and efficiency</v>
          </cell>
          <cell r="G594" t="str">
            <v>South Africa</v>
          </cell>
        </row>
        <row r="595">
          <cell r="A595" t="str">
            <v>Bridgebooks</v>
          </cell>
          <cell r="B595" t="str">
            <v>Bridge Books is a unique bookstore in downtown Johannesburg. We believe in supporting African writers and in finding as many ways of getting books into the hands of as many readers as possible</v>
          </cell>
          <cell r="C595" t="str">
            <v>Active</v>
          </cell>
          <cell r="D595">
            <v>2016</v>
          </cell>
          <cell r="G595" t="str">
            <v>South Africa</v>
          </cell>
          <cell r="X595" t="str">
            <v>Education</v>
          </cell>
        </row>
        <row r="596">
          <cell r="A596" t="str">
            <v>Bulrush Agritech</v>
          </cell>
          <cell r="B596" t="str">
            <v>Bulrush Agritech aims to empower the people at the very start of our modern food chain - our farmers - with simple and intuitive digital tools that enable more efficient, profitable and sustainable livestock farming practices</v>
          </cell>
          <cell r="C596" t="str">
            <v>Active</v>
          </cell>
          <cell r="D596">
            <v>2019</v>
          </cell>
          <cell r="G596" t="str">
            <v>South Africa</v>
          </cell>
          <cell r="X596" t="str">
            <v>Agriculture</v>
          </cell>
          <cell r="Y596" t="str">
            <v>Software, Farm Management</v>
          </cell>
        </row>
        <row r="597">
          <cell r="A597" t="str">
            <v>Boostme360</v>
          </cell>
          <cell r="B597" t="str">
            <v>BoostMe360 is a web based platform that helps job seekers put their best foot forward while enabling businesses to find the right staff for short-term jobs. Designed by Pearson, BoostMe360 lets candidates create an enriched personalised profile and upskill themselves through free learning modules. Job seekers can indicate when they are available to work on their personal calendar. Employers save time and money by finding someone who lives close to their business, is available and has the qualities they are looking for.</v>
          </cell>
          <cell r="C597" t="str">
            <v>Active</v>
          </cell>
          <cell r="D597">
            <v>2018</v>
          </cell>
          <cell r="G597" t="str">
            <v>South Africa</v>
          </cell>
          <cell r="X597" t="str">
            <v>Commercial &amp; Professional Services</v>
          </cell>
          <cell r="Y597" t="str">
            <v>Employment, Online Portals</v>
          </cell>
        </row>
        <row r="598">
          <cell r="A598" t="str">
            <v>Byte Money</v>
          </cell>
          <cell r="B598" t="str">
            <v>Byte Money services the South African funeral parlor market by providing cash receipting and auditing services</v>
          </cell>
          <cell r="C598" t="str">
            <v>Active</v>
          </cell>
          <cell r="D598">
            <v>2008</v>
          </cell>
          <cell r="G598" t="str">
            <v>South Africa</v>
          </cell>
          <cell r="X598" t="str">
            <v>Financial Services</v>
          </cell>
          <cell r="Y598" t="str">
            <v>Funerals, Market Research, Marketplace</v>
          </cell>
        </row>
        <row r="599">
          <cell r="A599" t="str">
            <v>Cape Networks</v>
          </cell>
          <cell r="B599" t="str">
            <v>Cape is a rapidly growing SaaS and hardware company based in San Francisco and Cape Town on a mission to make the Internet better. Our product is the simplest way to monitor and improve WiFi networks. What makes us different? Every other monitoring tool is complex, built by network engineers for network engineers, but today millions of networks are run by IT managers who are not network experts. Our beautiful, easy to use product is helping experts and non-experts alike to monitor and improve their networks.</v>
          </cell>
          <cell r="C599" t="str">
            <v>Acquired</v>
          </cell>
          <cell r="D599">
            <v>2013</v>
          </cell>
          <cell r="G599" t="str">
            <v>South Africa</v>
          </cell>
          <cell r="X599" t="str">
            <v>Information Technology</v>
          </cell>
          <cell r="Y599" t="str">
            <v>Mobile, Wireless</v>
          </cell>
        </row>
        <row r="600">
          <cell r="A600" t="str">
            <v>Envisionit e-Pay</v>
          </cell>
          <cell r="B600" t="str">
            <v>Envisionit e-Pay (Pty) Ltd was founded in South Africa to facilitate and secure online and real-world transactions. We take the risk out of buying and selling. The app’s software has been designed by industry experts to offer a secure, simple escrow solution to both businesses and individuals. Parties to a transaction contract Envisionit ePay, as a trusted third party, to mitigate the financial risks associated with day-to-day purchase and sale transactions as well as multi-million rand, milestone-based capital projects.</v>
          </cell>
          <cell r="C600" t="str">
            <v>Active</v>
          </cell>
          <cell r="D600">
            <v>2010</v>
          </cell>
          <cell r="G600" t="str">
            <v>South Africa</v>
          </cell>
          <cell r="X600" t="str">
            <v>Financial Services</v>
          </cell>
          <cell r="Y600" t="str">
            <v>Financial Services</v>
          </cell>
        </row>
        <row r="601">
          <cell r="A601" t="str">
            <v>Cash4Trash</v>
          </cell>
          <cell r="B601" t="str">
            <v>Cash4Trash, an income generating recycling initiative</v>
          </cell>
          <cell r="C601" t="str">
            <v>Active</v>
          </cell>
          <cell r="D601">
            <v>2018</v>
          </cell>
          <cell r="G601" t="str">
            <v>South Africa</v>
          </cell>
          <cell r="X601" t="str">
            <v>Energy &amp; Environment Resources</v>
          </cell>
          <cell r="Y601" t="str">
            <v>Waste management</v>
          </cell>
        </row>
        <row r="602">
          <cell r="A602" t="str">
            <v>Click N Compare</v>
          </cell>
          <cell r="B602" t="str">
            <v>Click n Compare is South Africa's leading comparison site featuring the most affordable options across Mobile, Broadband, Insurance, Financial Services, and Travel.</v>
          </cell>
          <cell r="C602" t="str">
            <v>Active</v>
          </cell>
          <cell r="D602">
            <v>2013</v>
          </cell>
          <cell r="G602" t="str">
            <v>South Africa</v>
          </cell>
          <cell r="X602" t="str">
            <v>Financial Services</v>
          </cell>
          <cell r="Y602" t="str">
            <v>Insurance, Financial Services, Contract and Prepaid Cellphones, Broadband, and Affordable Flights</v>
          </cell>
        </row>
        <row r="603">
          <cell r="A603" t="str">
            <v>Club Travel</v>
          </cell>
          <cell r="B603" t="str">
            <v>Club Travel Group is a travel agency with over 400 branded and non-branded franchises and a corporate travel division</v>
          </cell>
          <cell r="C603" t="str">
            <v>Acquired</v>
          </cell>
          <cell r="D603">
            <v>1987</v>
          </cell>
          <cell r="G603" t="str">
            <v>South Africa</v>
          </cell>
          <cell r="X603" t="str">
            <v>Tours &amp; Travel</v>
          </cell>
          <cell r="Y603" t="str">
            <v>Leisure, Travel</v>
          </cell>
        </row>
        <row r="604">
          <cell r="A604" t="str">
            <v>Codespace</v>
          </cell>
          <cell r="B604" t="str">
            <v>CodeSpace is an education institution that offers coding courses that teach people to design and create technology.</v>
          </cell>
          <cell r="C604" t="str">
            <v>Active</v>
          </cell>
          <cell r="D604">
            <v>2014</v>
          </cell>
          <cell r="G604" t="str">
            <v>South Africa</v>
          </cell>
          <cell r="X604" t="str">
            <v>Education</v>
          </cell>
          <cell r="Y604" t="str">
            <v>Coding, Web development, Learning, HTML, CSS, JavaScript, Laravel, SQL, PHP, software development,</v>
          </cell>
        </row>
        <row r="605">
          <cell r="A605" t="str">
            <v>Ecoslips</v>
          </cell>
          <cell r="B605" t="str">
            <v>EcoSlips is a messaging platform that sends transaction slips (receipts and prescriptions) digitally from retailers to a customer’s smart phone.</v>
          </cell>
          <cell r="C605" t="str">
            <v>Active</v>
          </cell>
          <cell r="D605">
            <v>2017</v>
          </cell>
          <cell r="G605" t="str">
            <v>South Africa</v>
          </cell>
          <cell r="X605" t="str">
            <v>Information Technology</v>
          </cell>
          <cell r="Y605" t="str">
            <v>Advertising, Finance • Retail</v>
          </cell>
        </row>
        <row r="606">
          <cell r="A606" t="str">
            <v>Root</v>
          </cell>
          <cell r="B606" t="str">
            <v>Root is a financial services platform, built from the ground up with the goal of opening up FinTech innovation. Recognising the high barriers to entry, Root packages the “hard things” in financial services and exposes a platform of programmable financial services through easy-to-use APIs. This enables software developers and innovators to prototype, build and launch financial services products, fast.</v>
          </cell>
          <cell r="C606" t="str">
            <v>Active</v>
          </cell>
          <cell r="D606">
            <v>2016</v>
          </cell>
          <cell r="G606" t="str">
            <v>South Africa</v>
          </cell>
          <cell r="X606" t="str">
            <v>Financial Services</v>
          </cell>
          <cell r="Y606" t="str">
            <v>Information Technology</v>
          </cell>
        </row>
        <row r="607">
          <cell r="A607" t="str">
            <v>Quillo</v>
          </cell>
          <cell r="B607" t="str">
            <v>Quillo makes it easier, safer and cheaper to buy and sell textbooks</v>
          </cell>
          <cell r="C607" t="str">
            <v>Active</v>
          </cell>
          <cell r="D607">
            <v>2018</v>
          </cell>
          <cell r="G607" t="str">
            <v>South Africa</v>
          </cell>
          <cell r="X607" t="str">
            <v>E-Commerce &amp; Retail</v>
          </cell>
          <cell r="Y607" t="str">
            <v>BookStore</v>
          </cell>
        </row>
        <row r="608">
          <cell r="A608" t="str">
            <v>Syafunda</v>
          </cell>
          <cell r="B608" t="str">
            <v>Syafunda is a national learning &amp; bursary application platform that delivers supplementary learning via online and mobile channels. Using top-performing teachers to generate content, we develop interactive Math and Science video tutorials and assessments for students in grade 8 to grade 12 in a South African context using a mixture of English and four South African Languages while providing a simple and an efficient bursary application system.</v>
          </cell>
          <cell r="C608" t="str">
            <v>Active</v>
          </cell>
          <cell r="D608">
            <v>2013</v>
          </cell>
          <cell r="G608" t="str">
            <v>South Africa</v>
          </cell>
          <cell r="X608" t="str">
            <v>Education</v>
          </cell>
          <cell r="Y608" t="str">
            <v>E-Learning</v>
          </cell>
        </row>
        <row r="609">
          <cell r="A609" t="str">
            <v>Uthini</v>
          </cell>
          <cell r="B609" t="str">
            <v>Message. Interact. Learn a language.Uthini is language learning as simple as messaging a friend. Everything one needs to learn a language (content, curriculum, tutor, practice partner, progress tracker) available via chat messaging (text, voice note, image, video). Almost anyone with a smartphone can learn and almost anyone with a smartphone and a good grasp of their home language can tutor.</v>
          </cell>
          <cell r="C609" t="str">
            <v>Active</v>
          </cell>
          <cell r="D609">
            <v>2016</v>
          </cell>
          <cell r="G609" t="str">
            <v>South Africa</v>
          </cell>
          <cell r="X609" t="str">
            <v>Education</v>
          </cell>
          <cell r="Y609" t="str">
            <v>E-Leraning, Languages</v>
          </cell>
        </row>
        <row r="610">
          <cell r="A610" t="str">
            <v>Zaio</v>
          </cell>
          <cell r="B610" t="str">
            <v>Zaio assists student developers build an IT skills profile through coding challenges and practical experience helping them land their dream job</v>
          </cell>
          <cell r="C610" t="str">
            <v>Active</v>
          </cell>
          <cell r="D610">
            <v>2018</v>
          </cell>
          <cell r="G610" t="str">
            <v>South Africa</v>
          </cell>
          <cell r="X610" t="str">
            <v>Education</v>
          </cell>
          <cell r="Y610" t="str">
            <v>E-Learning, EdTech, Training, Education</v>
          </cell>
        </row>
        <row r="611">
          <cell r="A611" t="str">
            <v>Cassava Smartech</v>
          </cell>
          <cell r="B611" t="str">
            <v>Cassava Smartech is a diversified smartech group, with a mandate to use digital solutions to drive socio-economic development, and to improve the overall quality of life for all Africans. We are on a transformational mission, and envision a future whereby our solutions are able to touch every life, bringing positive impact particularly to the millions of previously excluded Africans.</v>
          </cell>
          <cell r="C611" t="str">
            <v>Acquired</v>
          </cell>
          <cell r="D611">
            <v>2018</v>
          </cell>
          <cell r="G611" t="str">
            <v>Zimbabwe</v>
          </cell>
          <cell r="X611" t="str">
            <v>Other Technologies</v>
          </cell>
        </row>
        <row r="612">
          <cell r="A612" t="str">
            <v>Badr</v>
          </cell>
          <cell r="B612" t="str">
            <v>BADR provides end-to-end data science and software engineering services, whether your company is a medium enterprise or a startup. They have a competent team of data scientists &amp; engineers who are capable of implementing complex / big-data software solutions</v>
          </cell>
          <cell r="C612" t="str">
            <v>Acquired</v>
          </cell>
          <cell r="D612">
            <v>2006</v>
          </cell>
          <cell r="G612" t="str">
            <v>Egypt</v>
          </cell>
          <cell r="X612" t="str">
            <v>Commercial &amp; Professional Services</v>
          </cell>
          <cell r="Y612" t="str">
            <v>Data Analytics</v>
          </cell>
        </row>
        <row r="613">
          <cell r="A613" t="str">
            <v>Buni.Tv</v>
          </cell>
          <cell r="B613" t="str">
            <v>Buni.tv is a video-on-demand platform that leverages the mobile opportunity.</v>
          </cell>
          <cell r="C613" t="str">
            <v>Acquired</v>
          </cell>
          <cell r="D613">
            <v>2012</v>
          </cell>
          <cell r="G613" t="str">
            <v>Kenya</v>
          </cell>
          <cell r="X613" t="str">
            <v>Media &amp; Entertainment</v>
          </cell>
          <cell r="Y613" t="str">
            <v>Film, Subscription Service, Video, Video on Demand</v>
          </cell>
        </row>
        <row r="614">
          <cell r="A614" t="str">
            <v>Foody</v>
          </cell>
          <cell r="B614" t="str">
            <v>Food delivery service application</v>
          </cell>
          <cell r="C614" t="str">
            <v>Active</v>
          </cell>
          <cell r="G614" t="str">
            <v>Sudan</v>
          </cell>
        </row>
        <row r="615">
          <cell r="A615" t="str">
            <v>A-Trader</v>
          </cell>
          <cell r="B615" t="str">
            <v>A-Trader is an AI-powered platform that enables users to access investment opportunities using any mobile device, and that also provides automated investment recommendations through a proprietary Robo-Advisor algorithm.</v>
          </cell>
          <cell r="C615" t="str">
            <v>Active</v>
          </cell>
          <cell r="D615">
            <v>2016</v>
          </cell>
          <cell r="G615" t="str">
            <v>Tanzania</v>
          </cell>
          <cell r="X615" t="str">
            <v>Financial Services</v>
          </cell>
          <cell r="Y615" t="str">
            <v>FinTech, Investment Advisory, Financial Education</v>
          </cell>
        </row>
        <row r="616">
          <cell r="A616" t="str">
            <v>Clickpesa</v>
          </cell>
          <cell r="B616" t="str">
            <v>ClickPesa is a payment technology company based in Tanzania facilitating digital transactions such as cross border payments, payment acceptance and bulk payments for companies through different channels in Africa</v>
          </cell>
          <cell r="C616" t="str">
            <v>Active</v>
          </cell>
          <cell r="D616">
            <v>2016</v>
          </cell>
          <cell r="G616" t="str">
            <v>Tanzania</v>
          </cell>
          <cell r="X616" t="str">
            <v>Financial Services</v>
          </cell>
          <cell r="Y616" t="str">
            <v>Financial Services</v>
          </cell>
        </row>
        <row r="617">
          <cell r="A617" t="str">
            <v>Mtabe</v>
          </cell>
          <cell r="B617" t="str">
            <v>Mtabe is an edtech company that uses articial intelligence to provide education content primarily to students who don't have internet access</v>
          </cell>
          <cell r="C617" t="str">
            <v>Active</v>
          </cell>
          <cell r="D617">
            <v>2017</v>
          </cell>
          <cell r="G617" t="str">
            <v>Tanzania</v>
          </cell>
          <cell r="X617" t="str">
            <v>Education</v>
          </cell>
          <cell r="Y617" t="str">
            <v>EdTech, Education, Internet</v>
          </cell>
        </row>
        <row r="618">
          <cell r="A618" t="str">
            <v>MyJobPass</v>
          </cell>
          <cell r="B618" t="str">
            <v>MyJob Pass is a Dar es Salaam based digital platform that upskills students and graduates with in-demand skills as well as helps them build on-the-job experience in preparation for entry level jobs. The startup was founded in 2017 by Cynthia Bavo</v>
          </cell>
          <cell r="C618" t="str">
            <v>Active</v>
          </cell>
          <cell r="D618">
            <v>2017</v>
          </cell>
          <cell r="G618" t="str">
            <v>Tanzania</v>
          </cell>
          <cell r="X618" t="str">
            <v>Education</v>
          </cell>
          <cell r="Y618" t="str">
            <v>Training, Skilling</v>
          </cell>
        </row>
        <row r="619">
          <cell r="A619" t="str">
            <v>Dokita Eyes International</v>
          </cell>
          <cell r="B619" t="str">
            <v>Dokita Eyes International is a publisher of a platform designed to promote access ot healthcare</v>
          </cell>
          <cell r="C619" t="str">
            <v>Active</v>
          </cell>
          <cell r="G619" t="str">
            <v>Togo</v>
          </cell>
          <cell r="X619" t="str">
            <v>Healthcare &amp; Pharma</v>
          </cell>
          <cell r="Y619" t="str">
            <v>mHealth</v>
          </cell>
        </row>
        <row r="620">
          <cell r="A620" t="str">
            <v>Ahmini</v>
          </cell>
          <cell r="B620" t="str">
            <v>Ahmini connects women from rural areas with insurance companies to provide them access to access to social security and financial coverage</v>
          </cell>
          <cell r="C620" t="str">
            <v>Active</v>
          </cell>
          <cell r="D620">
            <v>2019</v>
          </cell>
          <cell r="G620" t="str">
            <v>Tunisia</v>
          </cell>
          <cell r="X620" t="str">
            <v>Financial Services</v>
          </cell>
          <cell r="Y620" t="str">
            <v>Health Care, Health Insurance, Mobile, Service Industry</v>
          </cell>
        </row>
        <row r="621">
          <cell r="A621" t="str">
            <v>CompiTechnology</v>
          </cell>
          <cell r="B621" t="str">
            <v>CompiTechnology is a IT firm focusing on hardware and software product design.</v>
          </cell>
          <cell r="C621" t="str">
            <v>Active</v>
          </cell>
          <cell r="D621">
            <v>2013</v>
          </cell>
          <cell r="G621" t="str">
            <v>Tunisia</v>
          </cell>
          <cell r="X621" t="str">
            <v>Information Technology</v>
          </cell>
          <cell r="Y621" t="str">
            <v>Software, Product design</v>
          </cell>
        </row>
        <row r="622">
          <cell r="A622" t="str">
            <v>Appro.tn</v>
          </cell>
          <cell r="B622" t="str">
            <v>Appro.tn is a publisher of a solution dedicated to the intelligent automation of the supply operations of small and medium enterprises.</v>
          </cell>
          <cell r="C622" t="str">
            <v>Active</v>
          </cell>
          <cell r="D622">
            <v>2018</v>
          </cell>
          <cell r="G622" t="str">
            <v>Tunisia</v>
          </cell>
          <cell r="X622" t="str">
            <v>Transport &amp; Logistics</v>
          </cell>
          <cell r="Y622" t="str">
            <v>Transportation, Supply Chain</v>
          </cell>
        </row>
        <row r="623">
          <cell r="A623" t="str">
            <v>Attila Tel</v>
          </cell>
          <cell r="B623" t="str">
            <v>Attila Tel is the publisher of a solution based on artificial intelligence dedicated to improving customer engagement among telecom operators.</v>
          </cell>
          <cell r="C623" t="str">
            <v>Active</v>
          </cell>
          <cell r="D623">
            <v>2007</v>
          </cell>
          <cell r="G623" t="str">
            <v>Tunisia</v>
          </cell>
          <cell r="X623" t="str">
            <v>Information Technology</v>
          </cell>
          <cell r="Y623" t="str">
            <v>Information Services, Information Technology</v>
          </cell>
        </row>
        <row r="624">
          <cell r="A624" t="str">
            <v>Chantier</v>
          </cell>
          <cell r="C624" t="str">
            <v>Active</v>
          </cell>
          <cell r="G624" t="str">
            <v>Tunisia</v>
          </cell>
        </row>
        <row r="625">
          <cell r="A625" t="str">
            <v>Francom Solutions</v>
          </cell>
          <cell r="B625" t="str">
            <v>Francom Solutions Ltd. is a Ugandan based company that deals in Information Communications Technology (ICT) and offers Consultancy services. We engage in design and development of customized and generic business and enterprise software solutions that include Enterprise-Management systems, Business-Process support software, Mobile applications, Mobile-Money based systems, Financial systems among others.</v>
          </cell>
          <cell r="C625" t="str">
            <v>Active</v>
          </cell>
          <cell r="D625">
            <v>2009</v>
          </cell>
          <cell r="G625" t="str">
            <v>Uganda</v>
          </cell>
          <cell r="X625" t="str">
            <v>Information Technology</v>
          </cell>
          <cell r="Y625" t="str">
            <v>Software Development, System Design, Development &amp; Implementation</v>
          </cell>
        </row>
        <row r="626">
          <cell r="A626" t="str">
            <v>Agri-wallet</v>
          </cell>
          <cell r="B626" t="str">
            <v>Agric Wallet is a FinTech platform using Artificial Intelligence to manage smallholder payment risk in the supply chain.</v>
          </cell>
          <cell r="C626" t="str">
            <v>Active</v>
          </cell>
          <cell r="D626">
            <v>2017</v>
          </cell>
          <cell r="G626" t="str">
            <v>Uganda</v>
          </cell>
          <cell r="X626" t="str">
            <v>Financial Services</v>
          </cell>
          <cell r="Y626" t="str">
            <v>Agriculture, Financial Services, Payments</v>
          </cell>
        </row>
        <row r="627">
          <cell r="A627" t="str">
            <v>African Initiative on Food Security and Environment (AIFE)</v>
          </cell>
          <cell r="B627" t="str">
            <v>AIFE proposes a Farming Cluster System (FCS) which would start at the farm enterprise level. Each farming activity with a different product and product cycle are designated as an independent enterprise</v>
          </cell>
          <cell r="C627" t="str">
            <v>Active</v>
          </cell>
          <cell r="G627" t="str">
            <v>Uganda</v>
          </cell>
          <cell r="X627" t="str">
            <v>Energy &amp; Environment Resources</v>
          </cell>
          <cell r="Y627" t="str">
            <v>Energy, Environment</v>
          </cell>
        </row>
        <row r="628">
          <cell r="A628" t="str">
            <v>BreastIT</v>
          </cell>
          <cell r="B628" t="str">
            <v>BreastIT is composed of a hardware(Glove) and the software application. This makes the whole equipment portable and easily accessible by a huge number of women in the different parts of the world. With such pros of the product, breast cancer screening becomes a piece of pie.</v>
          </cell>
          <cell r="C628" t="str">
            <v>Active</v>
          </cell>
          <cell r="D628">
            <v>2014</v>
          </cell>
          <cell r="G628" t="str">
            <v>Uganda</v>
          </cell>
          <cell r="X628" t="str">
            <v>Healthcare &amp; Pharma</v>
          </cell>
          <cell r="Y628" t="str">
            <v>Health Care</v>
          </cell>
        </row>
        <row r="629">
          <cell r="A629" t="str">
            <v>afriQloud</v>
          </cell>
          <cell r="B629" t="str">
            <v>afriQcloud provides the African technology industry with cloud sovereignty with cloud hosting services.</v>
          </cell>
          <cell r="C629" t="str">
            <v>Active</v>
          </cell>
          <cell r="D629">
            <v>2016</v>
          </cell>
          <cell r="G629" t="str">
            <v>Uganda</v>
          </cell>
          <cell r="X629" t="str">
            <v>Information Technology</v>
          </cell>
          <cell r="Y629" t="str">
            <v>Cloud services, Information Technology</v>
          </cell>
        </row>
        <row r="630">
          <cell r="A630" t="str">
            <v>Cinnamon Clubs</v>
          </cell>
          <cell r="B630" t="str">
            <v>Cinnamon Clubs is a premium investment club management software.</v>
          </cell>
          <cell r="C630" t="str">
            <v>Active</v>
          </cell>
          <cell r="D630">
            <v>2018</v>
          </cell>
          <cell r="G630" t="str">
            <v>Uganda</v>
          </cell>
          <cell r="X630" t="str">
            <v>Financial services</v>
          </cell>
          <cell r="Y630" t="str">
            <v>Financial Services, management</v>
          </cell>
        </row>
        <row r="631">
          <cell r="A631" t="str">
            <v>AirQo</v>
          </cell>
          <cell r="B631" t="str">
            <v>AirQo is an Air Quality Initiative on a mission to contribute to the improvement of urban ambient air quality by providing scientific evidence and low-cost technologies to quantify and inform policy to reduce, contain and better manage air pollution and its associated health risks</v>
          </cell>
          <cell r="C631" t="str">
            <v>Active</v>
          </cell>
          <cell r="D631">
            <v>2018</v>
          </cell>
          <cell r="G631" t="str">
            <v>Uganda</v>
          </cell>
          <cell r="X631" t="str">
            <v>Resource &amp; Energy</v>
          </cell>
          <cell r="Y631" t="str">
            <v>Environmental Consulting</v>
          </cell>
        </row>
        <row r="632">
          <cell r="A632" t="str">
            <v>Akorion</v>
          </cell>
          <cell r="B632" t="str">
            <v>Akorion is an agtech company that integrates ICT in the delivery of production and marketing services to farmers, and value chain digitization to agribusinesses that work with farmers.</v>
          </cell>
          <cell r="C632" t="str">
            <v>Active</v>
          </cell>
          <cell r="D632">
            <v>2014</v>
          </cell>
          <cell r="G632" t="str">
            <v>Uganda</v>
          </cell>
          <cell r="X632" t="str">
            <v>Agriculture</v>
          </cell>
          <cell r="Y632" t="str">
            <v>Agriculture, Information Technology</v>
          </cell>
        </row>
        <row r="633">
          <cell r="A633" t="str">
            <v>al</v>
          </cell>
          <cell r="B633" t="str">
            <v>Numida is working to unlock the potential of 22 million African small businesses through access to fair and affordable credit directly from their phone.</v>
          </cell>
          <cell r="C633" t="str">
            <v>Active</v>
          </cell>
          <cell r="D633">
            <v>2015</v>
          </cell>
          <cell r="G633" t="str">
            <v>Uganda</v>
          </cell>
          <cell r="X633" t="str">
            <v>Financial Services</v>
          </cell>
          <cell r="Y633" t="str">
            <v>Financial Services</v>
          </cell>
        </row>
        <row r="634">
          <cell r="A634" t="str">
            <v>At House Limited</v>
          </cell>
          <cell r="B634" t="str">
            <v>The startup thus provides a solution that uses insect and rot resistant 3ply bags to store produce for longer periods and enable the produce earn better.</v>
          </cell>
          <cell r="C634" t="str">
            <v>Active</v>
          </cell>
          <cell r="G634" t="str">
            <v>Uganda</v>
          </cell>
          <cell r="X634" t="str">
            <v>Agriculture</v>
          </cell>
          <cell r="Y634" t="str">
            <v>Produce Storage, E-commerce</v>
          </cell>
        </row>
        <row r="635">
          <cell r="A635" t="str">
            <v>Awamo</v>
          </cell>
          <cell r="B635" t="str">
            <v>Awamo offers a mobile, easy-to-use, and affordable microfinance management solution for all microfinance institutions (MFIs, SACCOs and VSLAs): awamo 360.</v>
          </cell>
          <cell r="C635" t="str">
            <v>Active</v>
          </cell>
          <cell r="D635">
            <v>2015</v>
          </cell>
          <cell r="G635" t="str">
            <v>Uganda</v>
          </cell>
          <cell r="X635" t="str">
            <v>Financial Services</v>
          </cell>
          <cell r="Y635" t="str">
            <v>Biometrics, Financial Services, FinTech, Lending, Micro Lending</v>
          </cell>
        </row>
        <row r="636">
          <cell r="A636" t="str">
            <v>Emata</v>
          </cell>
          <cell r="B636" t="str">
            <v>Bringing financial products to farmers across East Africa</v>
          </cell>
          <cell r="C636" t="str">
            <v>Active</v>
          </cell>
          <cell r="D636">
            <v>2017</v>
          </cell>
          <cell r="G636" t="str">
            <v>Uganda</v>
          </cell>
          <cell r="X636" t="str">
            <v>Financial Services</v>
          </cell>
        </row>
        <row r="637">
          <cell r="A637" t="str">
            <v>Agricomm Media</v>
          </cell>
          <cell r="B637" t="str">
            <v>Agricomm Media helps emerging farmers improve their productivity by connecting them to online agricultural training. The Lusaka-based startup was founded in 2015 by Daliso Chitundu.</v>
          </cell>
          <cell r="C637" t="str">
            <v>Active</v>
          </cell>
          <cell r="D637">
            <v>2015</v>
          </cell>
          <cell r="G637" t="str">
            <v>Zambia</v>
          </cell>
          <cell r="X637" t="str">
            <v>Education</v>
          </cell>
          <cell r="Y637" t="str">
            <v>Training, Agriculture</v>
          </cell>
        </row>
        <row r="638">
          <cell r="A638" t="str">
            <v>Agripredict</v>
          </cell>
          <cell r="B638" t="str">
            <v>Agripredict is a startup that reduces the risks involved in farming, these risks include Plant &amp; Animal disease, Pest infestations, Droughts and other things that can reduce farm yields.</v>
          </cell>
          <cell r="C638" t="str">
            <v>Active</v>
          </cell>
          <cell r="D638">
            <v>2016</v>
          </cell>
          <cell r="G638" t="str">
            <v>Zambia</v>
          </cell>
          <cell r="X638" t="str">
            <v>Agriculture</v>
          </cell>
          <cell r="Y638" t="str">
            <v>Artificial Intelligence, Machine Learning, Agriculture, Risk Management, and Future Contracts</v>
          </cell>
        </row>
        <row r="639">
          <cell r="A639" t="str">
            <v>Bitmari</v>
          </cell>
          <cell r="B639" t="str">
            <v>BitMari Inc is a remittance and payment platform that is building financial solutions for global African communities</v>
          </cell>
          <cell r="C639" t="str">
            <v>Active</v>
          </cell>
          <cell r="D639">
            <v>2015</v>
          </cell>
          <cell r="G639" t="str">
            <v>Zimbabwe</v>
          </cell>
          <cell r="X639" t="str">
            <v>Financial Services</v>
          </cell>
          <cell r="Y639" t="str">
            <v>Association, Financial Services</v>
          </cell>
        </row>
        <row r="640">
          <cell r="A640" t="str">
            <v>Dr Cadx</v>
          </cell>
          <cell r="B640" t="str">
            <v>Dr CADx is a computer aided diagnostic system to help doctors diagnose medical images more accurately in order to provide better patient outcomes and save lives</v>
          </cell>
          <cell r="C640" t="str">
            <v>Active</v>
          </cell>
          <cell r="D640">
            <v>2016</v>
          </cell>
          <cell r="G640" t="str">
            <v>Zimbabwe</v>
          </cell>
          <cell r="X640" t="str">
            <v>Healthcare &amp; Pharma</v>
          </cell>
          <cell r="Y640" t="str">
            <v>Health, Wellness and Fitness, Diagnostics</v>
          </cell>
        </row>
        <row r="641">
          <cell r="A641" t="str">
            <v>ClaimSync</v>
          </cell>
          <cell r="B641" t="str">
            <v>ClaimSync is an end-to-end claims processing platform that enables healthcare providers to prepare and send medical claims electronically.</v>
          </cell>
          <cell r="C641" t="str">
            <v>Acquired</v>
          </cell>
          <cell r="D641">
            <v>2011</v>
          </cell>
          <cell r="G641" t="str">
            <v>Ghana</v>
          </cell>
          <cell r="X641" t="str">
            <v>Healthcare &amp; Pharma</v>
          </cell>
          <cell r="Y641" t="str">
            <v>Developer Platform, Health Care, Information Technology</v>
          </cell>
        </row>
        <row r="642">
          <cell r="A642" t="str">
            <v>EcoCash</v>
          </cell>
          <cell r="B642" t="str">
            <v>EcoCash is a revolutionary mobile payment solution from Econet Wireless, which enables a registered customer to complete simple financial transactions such as sending money, buying airtime</v>
          </cell>
          <cell r="C642" t="str">
            <v>Active</v>
          </cell>
          <cell r="D642">
            <v>2011</v>
          </cell>
          <cell r="G642" t="str">
            <v>Zimbabwe</v>
          </cell>
          <cell r="X642" t="str">
            <v>Financial Services</v>
          </cell>
          <cell r="Y642" t="str">
            <v>Innovative mobile money transfer</v>
          </cell>
        </row>
        <row r="643">
          <cell r="A643" t="str">
            <v>4 Degrees Consulting</v>
          </cell>
        </row>
        <row r="644">
          <cell r="A644" t="str">
            <v>Abossey Okai Online</v>
          </cell>
          <cell r="X644" t="str">
            <v>E-Commerce &amp; Retail</v>
          </cell>
        </row>
        <row r="645">
          <cell r="A645" t="str">
            <v>Academia Nzoji</v>
          </cell>
          <cell r="B645" t="str">
            <v>Sparknotes for 500M Spanish Speakers</v>
          </cell>
          <cell r="C645" t="str">
            <v>Active</v>
          </cell>
          <cell r="D645">
            <v>2011</v>
          </cell>
          <cell r="G645" t="str">
            <v>Slovenia</v>
          </cell>
          <cell r="X645" t="str">
            <v>Education</v>
          </cell>
          <cell r="Y645" t="str">
            <v>EdTech, Education, Language Learning</v>
          </cell>
        </row>
        <row r="646">
          <cell r="A646" t="str">
            <v>Accelerated</v>
          </cell>
          <cell r="B646" t="str">
            <v>Accelerated is a social enterprise that blends technology with behavior design to promote active learning in primary classrooms.</v>
          </cell>
          <cell r="C646" t="str">
            <v>Active</v>
          </cell>
          <cell r="X646" t="str">
            <v>Education</v>
          </cell>
          <cell r="Y646" t="str">
            <v>E-learning, Education &amp; Social</v>
          </cell>
        </row>
        <row r="647">
          <cell r="A647" t="str">
            <v>Accounting hub</v>
          </cell>
          <cell r="X647" t="str">
            <v>Information Technology</v>
          </cell>
        </row>
        <row r="648">
          <cell r="A648" t="str">
            <v>Adiyeaba</v>
          </cell>
          <cell r="C648" t="str">
            <v>Active</v>
          </cell>
          <cell r="X648" t="str">
            <v>Agriculture</v>
          </cell>
        </row>
        <row r="649">
          <cell r="A649" t="str">
            <v>Aero247</v>
          </cell>
        </row>
        <row r="650">
          <cell r="A650" t="str">
            <v>Africa Evergreen Corporations</v>
          </cell>
        </row>
        <row r="651">
          <cell r="A651" t="str">
            <v>Belfrics</v>
          </cell>
          <cell r="B651" t="str">
            <v>Belfrics is a global exchange for cryptocurrency and the most secured trading platform.</v>
          </cell>
          <cell r="C651" t="str">
            <v>Active</v>
          </cell>
          <cell r="D651">
            <v>2014</v>
          </cell>
          <cell r="X651" t="str">
            <v>Financial Services</v>
          </cell>
          <cell r="Y651" t="str">
            <v>Bitcoin, Blockchain, Cryptocurrency, Financial Services, Information Technology, Mobile Payments, Payments</v>
          </cell>
        </row>
        <row r="652">
          <cell r="A652" t="str">
            <v>Africa Trust Academy</v>
          </cell>
          <cell r="C652" t="str">
            <v>Active</v>
          </cell>
        </row>
        <row r="653">
          <cell r="A653" t="str">
            <v>Binkabi</v>
          </cell>
          <cell r="B653" t="str">
            <v>A Fintech start-up that reimagines global agrifood trade to create a more affluent and fairer system for all in the Binkabi network</v>
          </cell>
          <cell r="C653" t="str">
            <v>Active</v>
          </cell>
          <cell r="D653">
            <v>2017</v>
          </cell>
          <cell r="X653" t="str">
            <v>Financial Services</v>
          </cell>
          <cell r="Y653" t="str">
            <v>Financial Services</v>
          </cell>
        </row>
        <row r="654">
          <cell r="A654" t="str">
            <v>Bitfinance (Bitfundi)</v>
          </cell>
          <cell r="B654" t="str">
            <v>BitFinance is an online investment platform democratizing banking using the BlockChain</v>
          </cell>
          <cell r="C654" t="str">
            <v>Active</v>
          </cell>
          <cell r="D654">
            <v>2018</v>
          </cell>
          <cell r="X654" t="str">
            <v>Financial Services</v>
          </cell>
          <cell r="Y654" t="str">
            <v>Blockchain, Financial Services</v>
          </cell>
        </row>
        <row r="655">
          <cell r="A655" t="str">
            <v>Bitmama</v>
          </cell>
          <cell r="B655" t="str">
            <v>Bitmama is a crypto-fiat exchange that allows traders to buy and sell Bitcoin, Ethereum and other digital assets in Africa.</v>
          </cell>
          <cell r="C655" t="str">
            <v>Active</v>
          </cell>
          <cell r="D655">
            <v>2016</v>
          </cell>
          <cell r="X655" t="str">
            <v>Financial Services</v>
          </cell>
          <cell r="Y655" t="str">
            <v>Bitcoin, Blockchain, Cryptocurrency, Ethereum, Financial Exchanges, Financial Services, FinTech</v>
          </cell>
        </row>
        <row r="656">
          <cell r="A656" t="str">
            <v>AFRIKA SOLAR</v>
          </cell>
          <cell r="X656" t="str">
            <v>Resource &amp; Energy</v>
          </cell>
        </row>
        <row r="657">
          <cell r="A657" t="str">
            <v>AfriTshipi (AFT</v>
          </cell>
        </row>
        <row r="658">
          <cell r="A658" t="str">
            <v>Blue Wave</v>
          </cell>
          <cell r="B658" t="str">
            <v>We offer end to end Product and Process Design for technology driven insurance solutions ensuring that products are accessible. As well as providing Business Development with a retail sales strategy we also undertake end to end research around Product</v>
          </cell>
          <cell r="D658">
            <v>2018</v>
          </cell>
          <cell r="X658" t="str">
            <v>Financial Services</v>
          </cell>
          <cell r="Y658" t="str">
            <v>Mobile Content Syndication, Content Monetization, Device and Carrier Agnostic Platform, and VAR and Reseller Licensing</v>
          </cell>
        </row>
        <row r="659">
          <cell r="A659" t="str">
            <v>Caytree Partners</v>
          </cell>
          <cell r="B659" t="str">
            <v>Caytree is creating financial managment and digital marketing digital solutions for SMEs in Africa to help them obtain credit</v>
          </cell>
          <cell r="C659" t="str">
            <v>Active</v>
          </cell>
          <cell r="D659">
            <v>2012</v>
          </cell>
          <cell r="X659" t="str">
            <v>Financial Services</v>
          </cell>
          <cell r="Y659" t="str">
            <v>Digital Marketing, Marketing</v>
          </cell>
        </row>
        <row r="660">
          <cell r="A660" t="str">
            <v>AgriCart</v>
          </cell>
          <cell r="B660" t="str">
            <v>Agri-cart is a collection of services including a mobile application platform, SMS messaging and USSD that offers crop farming, agribusiness information and book keeping to farmers</v>
          </cell>
        </row>
        <row r="661">
          <cell r="A661" t="str">
            <v>Agrici.net</v>
          </cell>
          <cell r="C661" t="str">
            <v>Active</v>
          </cell>
          <cell r="X661" t="str">
            <v>Agriculture</v>
          </cell>
        </row>
        <row r="662">
          <cell r="A662" t="str">
            <v>Agrigo</v>
          </cell>
          <cell r="B662" t="str">
            <v>Agrigo is an international leading company for the animal protein projects.</v>
          </cell>
          <cell r="C662" t="str">
            <v>Active</v>
          </cell>
          <cell r="X662" t="str">
            <v>Agriculture</v>
          </cell>
          <cell r="Y662" t="str">
            <v>Manufacturing</v>
          </cell>
        </row>
        <row r="663">
          <cell r="A663" t="str">
            <v>AgriNet</v>
          </cell>
          <cell r="C663" t="str">
            <v>Active</v>
          </cell>
        </row>
        <row r="664">
          <cell r="A664" t="str">
            <v>Agripoll</v>
          </cell>
        </row>
        <row r="665">
          <cell r="A665" t="str">
            <v>Agro Supply</v>
          </cell>
          <cell r="B665" t="str">
            <v>Agro Supply was founded in 2016 by CEO Ogwal Joseph and enables smallholder farmers save money for agricultural inputs</v>
          </cell>
          <cell r="D665">
            <v>2016</v>
          </cell>
          <cell r="X665" t="str">
            <v>Agriculture</v>
          </cell>
          <cell r="Y665" t="str">
            <v>Agricultural products</v>
          </cell>
        </row>
        <row r="666">
          <cell r="A666" t="str">
            <v>Agro Supply Ltd</v>
          </cell>
          <cell r="B666" t="str">
            <v>Agro Supply Layaway helps farmers save little by little to buy seeds and fertilizer using their mobile phone.</v>
          </cell>
        </row>
        <row r="667">
          <cell r="A667" t="str">
            <v>Agro-Hub</v>
          </cell>
          <cell r="B667" t="str">
            <v>GRO-HUB is an agricultural marketing agency for small scale producers (farmers and processors) working to enhance food marketing and distribution in Cameroon</v>
          </cell>
          <cell r="C667" t="str">
            <v>Active</v>
          </cell>
          <cell r="D667">
            <v>2017</v>
          </cell>
          <cell r="X667" t="str">
            <v>Agriculture</v>
          </cell>
          <cell r="Y667" t="str">
            <v>Agriculture, AgTech, Animal Feed, Equestrian, Farming, Forestry, Horticulture, Hydroponics</v>
          </cell>
        </row>
        <row r="668">
          <cell r="A668" t="str">
            <v>Agroballal</v>
          </cell>
          <cell r="X668" t="str">
            <v>Agriculture</v>
          </cell>
        </row>
        <row r="669">
          <cell r="A669" t="str">
            <v>Afb</v>
          </cell>
          <cell r="B669" t="str">
            <v>AFB is a financial services company that offers individuals and SMEs with credit products.</v>
          </cell>
          <cell r="C669" t="str">
            <v>Active</v>
          </cell>
          <cell r="D669">
            <v>2010</v>
          </cell>
          <cell r="G669" t="str">
            <v>Mauritius</v>
          </cell>
          <cell r="X669" t="str">
            <v>Financial Services</v>
          </cell>
          <cell r="Y669" t="str">
            <v>Credit Cards, Finance, Mobile</v>
          </cell>
        </row>
        <row r="670">
          <cell r="A670" t="str">
            <v>AgroMarket</v>
          </cell>
          <cell r="B670" t="str">
            <v>AgroMarket is a web and mobile platform that connects the different players in the primary sector and buyers in a digital market</v>
          </cell>
          <cell r="D670">
            <v>2017</v>
          </cell>
          <cell r="X670" t="str">
            <v>Agriculture</v>
          </cell>
        </row>
        <row r="671">
          <cell r="A671" t="str">
            <v>Agrospaces</v>
          </cell>
          <cell r="B671" t="str">
            <v>Agrospaces is an agriculture networking site connecting agricultultural communities to share information and form valuable connections.</v>
          </cell>
          <cell r="C671" t="str">
            <v>Active</v>
          </cell>
          <cell r="D671">
            <v>2016</v>
          </cell>
          <cell r="X671" t="str">
            <v>Agriculture</v>
          </cell>
          <cell r="Y671" t="str">
            <v>Agriculture, Communities, Internet of Things, Social Media</v>
          </cell>
        </row>
        <row r="672">
          <cell r="A672" t="str">
            <v>AgroTracker</v>
          </cell>
          <cell r="C672" t="str">
            <v>Active</v>
          </cell>
        </row>
        <row r="673">
          <cell r="A673" t="str">
            <v>Aidahbot</v>
          </cell>
          <cell r="B673" t="str">
            <v>Aidahbot helps businesses automate their customer interaction</v>
          </cell>
          <cell r="C673" t="str">
            <v>Active</v>
          </cell>
        </row>
        <row r="674">
          <cell r="A674" t="str">
            <v>Akello Banker</v>
          </cell>
          <cell r="C674" t="str">
            <v>Active</v>
          </cell>
          <cell r="G674" t="str">
            <v>Uganda</v>
          </cell>
        </row>
        <row r="675">
          <cell r="A675" t="str">
            <v>Akiba ya Roho</v>
          </cell>
        </row>
        <row r="676">
          <cell r="A676" t="str">
            <v>Akoin</v>
          </cell>
          <cell r="B676" t="str">
            <v>AKoin is a new cryptocurrency from visionary changemaker Akon and is the foundation of the AKoin Ecosystem -- a unique global project that offers an abundance of digital and in-real-life platforms and experiences that create opportunity and inclusion for youth entrepreneurs by allowing consumers to buy, hold, and spend cryptocurrency right from their smartphone through a suite of blockchain-powered apps</v>
          </cell>
          <cell r="C676" t="str">
            <v>Active</v>
          </cell>
          <cell r="D676">
            <v>2017</v>
          </cell>
          <cell r="G676" t="str">
            <v>United States of America</v>
          </cell>
          <cell r="X676" t="str">
            <v>Emerging Technologies</v>
          </cell>
          <cell r="Y676" t="str">
            <v>Blockchain, Payments</v>
          </cell>
        </row>
        <row r="677">
          <cell r="A677" t="str">
            <v>Alethiom</v>
          </cell>
          <cell r="B677" t="str">
            <v>Alethiom works with multiple data sources including satellite data and ground-based remote sensing data from multiple sources. We combine this with proprietary data from the platforms of the companies and organizations with which we work to discern the “truth”</v>
          </cell>
          <cell r="D677">
            <v>2018</v>
          </cell>
          <cell r="X677" t="str">
            <v>Agriculture</v>
          </cell>
        </row>
        <row r="678">
          <cell r="A678" t="str">
            <v>Clic Pay</v>
          </cell>
          <cell r="B678" t="str">
            <v>click is the most advanced mobile payment for enterprises, merchants and consumers.</v>
          </cell>
          <cell r="C678" t="str">
            <v>Active</v>
          </cell>
          <cell r="D678">
            <v>2016</v>
          </cell>
          <cell r="X678" t="str">
            <v>Financial Services</v>
          </cell>
          <cell r="Y678" t="str">
            <v>E-Commerce, Mobile Apps, Software</v>
          </cell>
        </row>
        <row r="679">
          <cell r="A679" t="str">
            <v>ALMIGHTY SERVICES PLUS</v>
          </cell>
          <cell r="X679" t="str">
            <v>Resource &amp; Energy</v>
          </cell>
        </row>
        <row r="680">
          <cell r="A680" t="str">
            <v>Ama</v>
          </cell>
          <cell r="B680" t="str">
            <v>AmA is a fully digital lending platform that enables small business owners in Western Africa to get a loan to fund their short-term business needs</v>
          </cell>
          <cell r="C680" t="str">
            <v>Active</v>
          </cell>
        </row>
        <row r="681">
          <cell r="A681" t="str">
            <v>Ama.Zing</v>
          </cell>
          <cell r="C681" t="str">
            <v>Active</v>
          </cell>
        </row>
        <row r="682">
          <cell r="A682" t="str">
            <v>Amap Benin</v>
          </cell>
          <cell r="C682" t="str">
            <v>Active</v>
          </cell>
          <cell r="X682" t="str">
            <v>Agriculture</v>
          </cell>
        </row>
        <row r="683">
          <cell r="A683" t="str">
            <v>AMW Nigeria</v>
          </cell>
        </row>
        <row r="684">
          <cell r="A684" t="str">
            <v>Angola2learn</v>
          </cell>
          <cell r="B684" t="str">
            <v>A Angola2Learn é uma empresa angolana que disponibiliza cursos técnicos de curta e média duração em Angola através de uma plataforma online simples e intuitiva. Promovemos a capacitação profissional dos nossos clientes em diversas áreas do conhecimento, contribuindo para a diminuição das diferenças sociais e promovendo a qualidade de vida por meio da educação online. Todos os cursos da Angola2Learn foram desenvolvidos de raiz com base nas necessidades de formação diagnosticadas em Angola.</v>
          </cell>
          <cell r="C684" t="str">
            <v>Active</v>
          </cell>
          <cell r="D684">
            <v>2014</v>
          </cell>
          <cell r="X684" t="str">
            <v>Education</v>
          </cell>
          <cell r="Y684" t="str">
            <v>Formação Online, Educação, Software, and Internet</v>
          </cell>
        </row>
        <row r="685">
          <cell r="A685" t="str">
            <v>AppAbout</v>
          </cell>
          <cell r="C685" t="str">
            <v>Active</v>
          </cell>
        </row>
        <row r="686">
          <cell r="A686" t="str">
            <v>Click Pesa</v>
          </cell>
          <cell r="B686" t="str">
            <v>Click is a company that offers classified advertisements for customers in India.</v>
          </cell>
          <cell r="C686" t="str">
            <v>Active</v>
          </cell>
          <cell r="D686">
            <v>2012</v>
          </cell>
          <cell r="X686" t="str">
            <v>Financial Services</v>
          </cell>
          <cell r="Y686" t="str">
            <v>Advertising, Advertising Platforms, Internet</v>
          </cell>
        </row>
        <row r="687">
          <cell r="A687" t="str">
            <v>Aquila Projects</v>
          </cell>
        </row>
        <row r="688">
          <cell r="A688" t="str">
            <v>Arnegy</v>
          </cell>
        </row>
        <row r="689">
          <cell r="A689" t="str">
            <v>Aid:Tech And Pharmaccess</v>
          </cell>
          <cell r="B689" t="str">
            <v>AID:Tech focuses on the delivery of digital entitlements, such as aid, welfare &amp; remittance, using Blockchain technology &amp; Digital Identity.</v>
          </cell>
          <cell r="C689" t="str">
            <v>Active</v>
          </cell>
          <cell r="D689">
            <v>2016</v>
          </cell>
          <cell r="G689" t="str">
            <v>Ireland</v>
          </cell>
          <cell r="X689" t="str">
            <v>Financial Services</v>
          </cell>
          <cell r="Y689" t="str">
            <v>Digital Media, Enterprise Software, Information Technology, Social Assistance, Social Impact, Software</v>
          </cell>
        </row>
        <row r="690">
          <cell r="A690" t="str">
            <v>Airtel Africa</v>
          </cell>
          <cell r="B690" t="str">
            <v>Airtel African operations are owned by Bharti Airtel Limited, a leading global telecommunications company with operations in 19 countries across Asia and Africa. The company offers mobile voice and data services, fixed line, high speed broadband, IPTV, DTH, turnkey telecom solutions for enterprises and national and international long distance services to carriers. Bharti Airtel has over 200 million customers (November 2010) across its operations, including 50 million in Africa. Airtel is driven by the vision of making mobile communications affordable for all to give people the freedom to meet their daily challenges and to drive economic and social development. Airtel is making a positive impact in the communities in which it operates through extending its networks to rural areas and through its education initiatives.</v>
          </cell>
          <cell r="C690" t="str">
            <v>Active</v>
          </cell>
          <cell r="D690">
            <v>2000</v>
          </cell>
          <cell r="G690" t="str">
            <v>United Kingdom</v>
          </cell>
          <cell r="X690" t="str">
            <v>Telecommunications</v>
          </cell>
          <cell r="Y690" t="str">
            <v>Mobile, Software, Telecommunications</v>
          </cell>
        </row>
        <row r="691">
          <cell r="A691" t="str">
            <v>Assurcrediclick</v>
          </cell>
        </row>
        <row r="692">
          <cell r="A692" t="str">
            <v>At Hause Limited</v>
          </cell>
          <cell r="B692" t="str">
            <v>At-hause provides a solution that uses 3ply bags to store produce for longer periods and enable the produce earn better when pulled from farms to a digital supply chain linked to wholesalers financed for stock borrowed to retail enterprises connected to consumer marketplaces.</v>
          </cell>
          <cell r="C692" t="str">
            <v>Active</v>
          </cell>
        </row>
        <row r="693">
          <cell r="A693" t="str">
            <v>At-Hause</v>
          </cell>
          <cell r="C693" t="str">
            <v>Active</v>
          </cell>
        </row>
        <row r="694">
          <cell r="A694" t="str">
            <v xml:space="preserve">ATP Services </v>
          </cell>
          <cell r="B694" t="str">
            <v>ATP Services Ltd is currently testing the Lima Lunda platform for farmers organized into village saving groups providing individual member profiles and group information along with contribution and disbursement capabilities.</v>
          </cell>
        </row>
        <row r="695">
          <cell r="A695" t="str">
            <v>CoinFlex</v>
          </cell>
          <cell r="B695" t="str">
            <v>CoinFLEX (Coin Futures and Lending Exchange) is the world's first physically delivered cryptocurrency futures exchange.</v>
          </cell>
          <cell r="C695" t="str">
            <v>Active</v>
          </cell>
          <cell r="D695">
            <v>2018</v>
          </cell>
          <cell r="X695" t="str">
            <v>Financial Services</v>
          </cell>
          <cell r="Y695" t="str">
            <v>Bitcoin, FinTech, Trading Platform</v>
          </cell>
        </row>
        <row r="696">
          <cell r="A696" t="str">
            <v>Avopower</v>
          </cell>
        </row>
        <row r="697">
          <cell r="A697" t="str">
            <v>AYWAJIEUNE</v>
          </cell>
          <cell r="X697" t="str">
            <v>E-Commerce &amp; Retail</v>
          </cell>
        </row>
        <row r="698">
          <cell r="A698" t="str">
            <v>Clarotech</v>
          </cell>
          <cell r="B698" t="str">
            <v>Clarotech Consulting is an Information and Communications Technology (ICT for short) company offering consulting, products and support services to businesses of all sizes and types in South Africa and beyond. Operating since 2001, the company satisfies the need for advice, solutions and ongoing service from a team of experienced consultants and support engineers that can be trusted</v>
          </cell>
          <cell r="C698" t="str">
            <v>Acquired</v>
          </cell>
          <cell r="G698" t="str">
            <v>South Africa</v>
          </cell>
          <cell r="X698" t="str">
            <v>Information Technology</v>
          </cell>
          <cell r="Y698" t="str">
            <v>Cloud IT Solutions</v>
          </cell>
        </row>
        <row r="699">
          <cell r="A699" t="str">
            <v>Bakeli</v>
          </cell>
          <cell r="X699" t="str">
            <v>Education</v>
          </cell>
        </row>
        <row r="700">
          <cell r="A700" t="str">
            <v>Balus</v>
          </cell>
        </row>
        <row r="701">
          <cell r="A701" t="str">
            <v>Bandim Online</v>
          </cell>
          <cell r="B701" t="str">
            <v>Bandim Online has developed a solution which aims to mitigate producer losses by getting products to market quicker and with the best prices</v>
          </cell>
          <cell r="X701" t="str">
            <v>E-Commerce &amp; Retail</v>
          </cell>
        </row>
        <row r="702">
          <cell r="A702" t="str">
            <v>Basadi Ba Dithakga Services</v>
          </cell>
        </row>
        <row r="703">
          <cell r="A703" t="str">
            <v>BaySeddo</v>
          </cell>
          <cell r="X703" t="str">
            <v>Agriculture</v>
          </cell>
        </row>
        <row r="704">
          <cell r="A704" t="str">
            <v>Be Wireless Solutions</v>
          </cell>
          <cell r="X704" t="str">
            <v>Information Technology</v>
          </cell>
        </row>
        <row r="705">
          <cell r="A705" t="str">
            <v>Cryptocom Limited</v>
          </cell>
          <cell r="B705" t="str">
            <v>Crypto.com is a pioneering payments and cryptocurrency platform.</v>
          </cell>
          <cell r="C705" t="str">
            <v>Active</v>
          </cell>
          <cell r="D705">
            <v>2016</v>
          </cell>
          <cell r="X705" t="str">
            <v>Financial Services</v>
          </cell>
          <cell r="Y705" t="str">
            <v>Bitcoin, Blockchain, Cryptocurrency, Ethereum, Financial Services, FinTech, Information Technology, Mobile Payments</v>
          </cell>
        </row>
        <row r="706">
          <cell r="A706" t="str">
            <v>Atikus</v>
          </cell>
          <cell r="B706" t="str">
            <v>Atikus is a SaaS company that helps financial institutions better identify, quantify, and mitigate their operational and credit risks.</v>
          </cell>
          <cell r="C706" t="str">
            <v>Active</v>
          </cell>
          <cell r="D706">
            <v>2013</v>
          </cell>
          <cell r="G706" t="str">
            <v>USA</v>
          </cell>
          <cell r="X706" t="str">
            <v>Financial services</v>
          </cell>
          <cell r="Y706" t="str">
            <v>Financial Services</v>
          </cell>
        </row>
        <row r="707">
          <cell r="A707" t="str">
            <v>Best Digital Books</v>
          </cell>
          <cell r="X707" t="str">
            <v>Education</v>
          </cell>
        </row>
        <row r="708">
          <cell r="A708" t="str">
            <v>Bigcel limited</v>
          </cell>
        </row>
        <row r="709">
          <cell r="A709" t="str">
            <v>Bihetes Online</v>
          </cell>
          <cell r="B709" t="str">
            <v>O site bilhetesonline.co.mz é uma plataforma de venda de bilhetes de eventos que decorrem no território moçambicano através da internet.</v>
          </cell>
          <cell r="C709" t="str">
            <v>Active</v>
          </cell>
          <cell r="D709">
            <v>2019</v>
          </cell>
          <cell r="X709" t="str">
            <v>E-Commerce &amp; Retail</v>
          </cell>
        </row>
        <row r="710">
          <cell r="A710" t="str">
            <v>Binance</v>
          </cell>
          <cell r="B710" t="str">
            <v>Binance is a cryptocurrency exchange platform that combines digital technology and finance.</v>
          </cell>
          <cell r="C710" t="str">
            <v>Active</v>
          </cell>
          <cell r="D710">
            <v>2017</v>
          </cell>
          <cell r="X710" t="str">
            <v>Financial Services</v>
          </cell>
          <cell r="Y710" t="str">
            <v>Bitcoin, Cryptocurrency, Ethereum, Finance, FinTech, Internet, Stock Exchanges</v>
          </cell>
        </row>
        <row r="711">
          <cell r="A711" t="str">
            <v>Biofire</v>
          </cell>
          <cell r="X711" t="str">
            <v>Resource &amp; Energy</v>
          </cell>
        </row>
        <row r="712">
          <cell r="A712" t="str">
            <v>Biophyto</v>
          </cell>
          <cell r="B712" t="str">
            <v>BIOPHYTO LEADER DU NEEM AU BÉNIN, Biophyto est pionner sur l’exploitation et la transformation des graines du Neem. Nos produits tirent leur efficacité des vertus avérées de cet arbre longtemps ignoré. Biophyto reste depuis 2011, la première entreprise au Bénin à se consacrer à la recherche et l’exploitation du Neem. Nos produits sont des concentrés des bienfaits qu’offre la nature.</v>
          </cell>
          <cell r="C712" t="str">
            <v>Active</v>
          </cell>
          <cell r="D712">
            <v>2012</v>
          </cell>
          <cell r="X712" t="str">
            <v>Agriculture</v>
          </cell>
          <cell r="Y712" t="str">
            <v>Farming</v>
          </cell>
        </row>
        <row r="713">
          <cell r="A713" t="str">
            <v>Bboxx</v>
          </cell>
          <cell r="B713" t="str">
            <v>BBOXX designs, manufactures, distributes and finances innovative plug &amp; play solar systems to improve access to energy across Africa and the developing world. More than 150,000 BBOXX products have been sold in more than 35 countries, improving the lives of more than 675,000 people</v>
          </cell>
          <cell r="C713" t="str">
            <v>Active</v>
          </cell>
          <cell r="D713">
            <v>2010</v>
          </cell>
          <cell r="G713" t="str">
            <v>United Kingdom</v>
          </cell>
          <cell r="X713" t="str">
            <v>Energy &amp; Environment Resources</v>
          </cell>
          <cell r="Y713" t="str">
            <v>Electrical Distribution, Energy, Energy Management, Manufacturing, Product Design, Renewable Energy, Solar</v>
          </cell>
        </row>
        <row r="714">
          <cell r="A714" t="str">
            <v>Bitsweaver</v>
          </cell>
          <cell r="X714" t="str">
            <v>Software</v>
          </cell>
        </row>
        <row r="715">
          <cell r="A715" t="str">
            <v>Direct Pay Online</v>
          </cell>
          <cell r="B715" t="str">
            <v>The DPO Group is a leading payment service provider in Africa serving over 45,000 online</v>
          </cell>
          <cell r="C715" t="str">
            <v>Active</v>
          </cell>
          <cell r="D715">
            <v>2006</v>
          </cell>
          <cell r="X715" t="str">
            <v>Financial Services</v>
          </cell>
          <cell r="Y715" t="str">
            <v>E-Commerce, Information Technology, Payments</v>
          </cell>
        </row>
        <row r="716">
          <cell r="A716" t="str">
            <v>bizAR Reality</v>
          </cell>
        </row>
        <row r="717">
          <cell r="A717" t="str">
            <v>Block starters</v>
          </cell>
          <cell r="B717" t="str">
            <v>Block is a fancy Faraday cage to take dinner party offline.</v>
          </cell>
          <cell r="C717" t="str">
            <v>Active</v>
          </cell>
          <cell r="D717">
            <v>2016</v>
          </cell>
          <cell r="Y717" t="str">
            <v>Consumer Electronics, Hardware, Mobile Devices</v>
          </cell>
        </row>
        <row r="718">
          <cell r="A718" t="str">
            <v>Blockbank</v>
          </cell>
          <cell r="Y718" t="str">
            <v>Financial Services</v>
          </cell>
        </row>
        <row r="719">
          <cell r="A719" t="str">
            <v>Bloom Impact</v>
          </cell>
          <cell r="B719" t="str">
            <v>Mobile Video Distribution Platform</v>
          </cell>
          <cell r="D719">
            <v>2010</v>
          </cell>
          <cell r="X719" t="str">
            <v>Online Media</v>
          </cell>
          <cell r="Y719" t="str">
            <v>Emerging Markets, Financial Services, FinTech, Social Entrepreneurship</v>
          </cell>
        </row>
        <row r="720">
          <cell r="A720" t="str">
            <v>BONGA Co Ltd</v>
          </cell>
          <cell r="X720" t="str">
            <v>Resource &amp; Energy</v>
          </cell>
        </row>
        <row r="721">
          <cell r="A721" t="str">
            <v>Bongo</v>
          </cell>
          <cell r="X721" t="str">
            <v>Telecommunication</v>
          </cell>
        </row>
        <row r="722">
          <cell r="A722" t="str">
            <v>BrilloSys</v>
          </cell>
        </row>
        <row r="723">
          <cell r="A723" t="str">
            <v>Coders4Africa</v>
          </cell>
          <cell r="B723" t="str">
            <v>C4A is a full-service software and consulting company specializing in software development for both web and mobile platforms. What started out as an initiative to give back to communities, transformed itself into a one stop-shop for software cross-platform development and high-quality web and mobile APP solutions to clients across the globe</v>
          </cell>
          <cell r="C723" t="str">
            <v>Acquired</v>
          </cell>
          <cell r="D723">
            <v>2005</v>
          </cell>
          <cell r="G723" t="str">
            <v>Egypt</v>
          </cell>
          <cell r="X723" t="str">
            <v>Information Technology</v>
          </cell>
          <cell r="Y723" t="str">
            <v>Information Services, Information Technology, Telecommunications</v>
          </cell>
        </row>
        <row r="724">
          <cell r="A724" t="str">
            <v>Bureau Vente Ltd</v>
          </cell>
          <cell r="B724" t="str">
            <v>BVL technologies is a Uganda based IT solutions service provider within the Agri-Business Sector focusing on software development and mobile services/payment solutions (Apps)</v>
          </cell>
        </row>
        <row r="725">
          <cell r="A725" t="str">
            <v>BVL</v>
          </cell>
          <cell r="C725" t="str">
            <v>Active</v>
          </cell>
        </row>
        <row r="726">
          <cell r="A726" t="str">
            <v>Camerbitcoin</v>
          </cell>
        </row>
        <row r="727">
          <cell r="A727" t="str">
            <v>Cardano</v>
          </cell>
        </row>
        <row r="728">
          <cell r="A728" t="str">
            <v>Casava</v>
          </cell>
          <cell r="C728" t="str">
            <v>Active</v>
          </cell>
          <cell r="D728">
            <v>2016</v>
          </cell>
          <cell r="Y728" t="str">
            <v>Insurance</v>
          </cell>
        </row>
        <row r="729">
          <cell r="A729" t="str">
            <v>Cashbuddy</v>
          </cell>
          <cell r="B729" t="str">
            <v>Cashbuddy enables Nigerians to receive and send money using mobile airtime, withdraw cash, buy mobile data and pay bills with or without the internet</v>
          </cell>
          <cell r="C729" t="str">
            <v>Active</v>
          </cell>
          <cell r="D729">
            <v>2018</v>
          </cell>
        </row>
        <row r="730">
          <cell r="A730" t="str">
            <v>CEPHAS TECHNOLOGIES SARL</v>
          </cell>
          <cell r="X730" t="str">
            <v>Software</v>
          </cell>
        </row>
        <row r="731">
          <cell r="A731" t="str">
            <v>Champier</v>
          </cell>
          <cell r="B731" t="str">
            <v>Champier Lda. Provides a set of services and technologies that, together with an innovative and creative approach, allow you to maximize the potential of your organization</v>
          </cell>
          <cell r="C731" t="str">
            <v>Active</v>
          </cell>
          <cell r="D731">
            <v>2014</v>
          </cell>
          <cell r="X731" t="str">
            <v>Information Technology</v>
          </cell>
        </row>
        <row r="732">
          <cell r="A732" t="str">
            <v>Chil-Artificial Intelligence Lab</v>
          </cell>
          <cell r="X732" t="str">
            <v>Healthcare &amp; Pharma</v>
          </cell>
        </row>
        <row r="733">
          <cell r="A733" t="str">
            <v>Chiniki Guard</v>
          </cell>
          <cell r="B733" t="str">
            <v>We understand that over 80% of retail store shrinkage is caused either by dishonest employee theft or shoplifting. We envisioned how Artificial Intellence might combat this rampant act to save retailer lost. Chiniki Guard consist of a control center inference app to stream videos, a mobile app and a dashboard.</v>
          </cell>
          <cell r="D733">
            <v>2019</v>
          </cell>
        </row>
        <row r="734">
          <cell r="A734" t="str">
            <v>Cinema 360 - Eg</v>
          </cell>
          <cell r="C734" t="str">
            <v>Active</v>
          </cell>
        </row>
        <row r="735">
          <cell r="A735" t="str">
            <v>Ennota.Com</v>
          </cell>
          <cell r="B735" t="str">
            <v>A young financial management startup, focusing on cash flow management, budgeting and projections for small businesses</v>
          </cell>
          <cell r="C735" t="str">
            <v>Active</v>
          </cell>
          <cell r="D735">
            <v>2014</v>
          </cell>
          <cell r="X735" t="str">
            <v>Financial Services</v>
          </cell>
          <cell r="Y735" t="str">
            <v>Apps, Education, Finance, Financial Services, FinTech</v>
          </cell>
        </row>
        <row r="736">
          <cell r="A736" t="str">
            <v>Compuscan</v>
          </cell>
          <cell r="B736" t="str">
            <v>Compuscan is a a credit reference bureau, collects, validates, loads, verifies, houses, and consumer credit informations.</v>
          </cell>
          <cell r="C736" t="str">
            <v>Acquired</v>
          </cell>
          <cell r="D736">
            <v>1994</v>
          </cell>
          <cell r="X736" t="str">
            <v>Information Technology</v>
          </cell>
          <cell r="Y736" t="str">
            <v>Financial Services, Professional Services</v>
          </cell>
        </row>
        <row r="737">
          <cell r="A737" t="str">
            <v>Conor Solutions</v>
          </cell>
          <cell r="B737" t="str">
            <v>Conor is a fast growing and dynamic software and solutions provider to the telecommunications industry.</v>
          </cell>
          <cell r="D737">
            <v>2007</v>
          </cell>
          <cell r="G737" t="str">
            <v>South Africa</v>
          </cell>
          <cell r="X737" t="str">
            <v>Information Technology</v>
          </cell>
          <cell r="Y737" t="str">
            <v>Information Services, Information Technology, Software, Telecommunications</v>
          </cell>
        </row>
        <row r="738">
          <cell r="A738" t="str">
            <v>Classifieds</v>
          </cell>
          <cell r="C738" t="str">
            <v>Active</v>
          </cell>
        </row>
        <row r="739">
          <cell r="A739" t="str">
            <v>Clean City</v>
          </cell>
          <cell r="B739" t="str">
            <v>Clean City - Involve citizens to make the city a better place</v>
          </cell>
          <cell r="D739">
            <v>2016</v>
          </cell>
          <cell r="X739" t="str">
            <v>Energy &amp; Environment Resources</v>
          </cell>
          <cell r="Y739" t="str">
            <v>Apps, Communities, Software</v>
          </cell>
        </row>
        <row r="740">
          <cell r="A740" t="str">
            <v>Closety</v>
          </cell>
          <cell r="C740" t="str">
            <v>Active</v>
          </cell>
        </row>
        <row r="741">
          <cell r="A741" t="str">
            <v>CompareGuru</v>
          </cell>
          <cell r="B741" t="str">
            <v>CompareGuru's aim is to source and provide affordable insurance products to South Africans.</v>
          </cell>
          <cell r="C741" t="str">
            <v>Acquired</v>
          </cell>
          <cell r="D741">
            <v>2013</v>
          </cell>
          <cell r="G741" t="str">
            <v>South Africa</v>
          </cell>
          <cell r="X741" t="str">
            <v>Financial Services</v>
          </cell>
          <cell r="Y741" t="str">
            <v>Advice, Insurance, Price Comparison</v>
          </cell>
        </row>
        <row r="742">
          <cell r="A742" t="str">
            <v>Coffee Cup</v>
          </cell>
          <cell r="B742" t="str">
            <v>Coffee Cup is basically web-based platform which handles the inventories(stock in and stock out), sales of the items at the counter(POS)</v>
          </cell>
          <cell r="C742" t="str">
            <v>Active</v>
          </cell>
        </row>
        <row r="743">
          <cell r="A743" t="str">
            <v>Coinjanitor</v>
          </cell>
          <cell r="B743" t="str">
            <v>CoinJanitor is a cryptocurrency company that identifies projects that are inactive or failed. It then buys these projects out and recycles the assets back into the larger market to improve market health and restore value to users.</v>
          </cell>
          <cell r="C743" t="str">
            <v>Active</v>
          </cell>
          <cell r="D743">
            <v>2017</v>
          </cell>
          <cell r="X743" t="str">
            <v>Financial Services</v>
          </cell>
          <cell r="Y743" t="str">
            <v>bitcoin, ethereum, cryptocurrency, and ICO</v>
          </cell>
        </row>
        <row r="744">
          <cell r="A744" t="str">
            <v>Coinpesa</v>
          </cell>
          <cell r="B744" t="str">
            <v>Coinpesa is a digital asset exchange based in Africa, focused on bringing crypto currencies and other digital assets to the masses. Coinpesa is on a mission to accelerate financial inclusion on a global scale through the distribution of blockchain based digital assets.</v>
          </cell>
          <cell r="C744" t="str">
            <v>Active</v>
          </cell>
          <cell r="D744">
            <v>2017</v>
          </cell>
          <cell r="X744" t="str">
            <v>Financial Services</v>
          </cell>
          <cell r="Y744" t="str">
            <v>N/A</v>
          </cell>
        </row>
        <row r="745">
          <cell r="A745" t="str">
            <v>Compass Career</v>
          </cell>
        </row>
        <row r="746">
          <cell r="A746" t="str">
            <v>Ezeemoney</v>
          </cell>
          <cell r="B746" t="str">
            <v>Incorporated in June 2012, EzeeMoney Uganda Limited is a multi-national company offering Mobile financial services to individuals and businesses. EzeeMoney Uganda Limited has partnered with a Malaysian based company,</v>
          </cell>
          <cell r="C746" t="str">
            <v>Active</v>
          </cell>
          <cell r="D746">
            <v>2012</v>
          </cell>
          <cell r="X746" t="str">
            <v>Financial Services</v>
          </cell>
          <cell r="Y746" t="str">
            <v>Hardware, Internet, Mobile Devices</v>
          </cell>
        </row>
        <row r="747">
          <cell r="A747" t="str">
            <v>Complete Farmer</v>
          </cell>
          <cell r="B747" t="str">
            <v>Complete Farmer provides agribusiness solutions to its clients to enhance productivity, increase profitability and help them gain a competitive advantage across the agricultural value chain.</v>
          </cell>
          <cell r="C747" t="str">
            <v>Active</v>
          </cell>
          <cell r="D747">
            <v>2017</v>
          </cell>
          <cell r="G747" t="str">
            <v>Ghana</v>
          </cell>
          <cell r="X747" t="str">
            <v>Agriculture</v>
          </cell>
          <cell r="Y747" t="str">
            <v>Farming</v>
          </cell>
        </row>
        <row r="748">
          <cell r="A748" t="str">
            <v>Crossgate</v>
          </cell>
          <cell r="B748" t="str">
            <v>Crossgate is a payment card manufacturers, mobile payment experts, processors and other technology providers that enable commerce.</v>
          </cell>
          <cell r="C748" t="str">
            <v>Active</v>
          </cell>
          <cell r="D748">
            <v>2001</v>
          </cell>
          <cell r="G748" t="str">
            <v>South Africa</v>
          </cell>
          <cell r="X748" t="str">
            <v>Financial Services</v>
          </cell>
          <cell r="Y748" t="str">
            <v>Mobile Payments, Payments, Transaction Processing</v>
          </cell>
        </row>
        <row r="749">
          <cell r="A749" t="str">
            <v>Conative Labs</v>
          </cell>
          <cell r="C749" t="str">
            <v>Active</v>
          </cell>
        </row>
        <row r="750">
          <cell r="A750" t="str">
            <v>Congo Business Network</v>
          </cell>
          <cell r="B750" t="str">
            <v>Congo Business Network est un réseau international des professionnels et des entrepreneurs congolais</v>
          </cell>
          <cell r="D750">
            <v>2018</v>
          </cell>
          <cell r="X750" t="str">
            <v>Nonprofit Organization</v>
          </cell>
          <cell r="Y750" t="str">
            <v>Nonprofit Organization Management</v>
          </cell>
        </row>
        <row r="751">
          <cell r="A751" t="str">
            <v>Click2Sure</v>
          </cell>
          <cell r="B751" t="str">
            <v>Click2Sure is a fullstack digital insurance platform which enables retailers, service providers, distributors and brokers to bolt on a selection of over 20 custom developed insurance products, at the point of sale.</v>
          </cell>
          <cell r="C751" t="str">
            <v>Active</v>
          </cell>
          <cell r="D751">
            <v>2016</v>
          </cell>
          <cell r="G751" t="str">
            <v>South Africa</v>
          </cell>
          <cell r="X751" t="str">
            <v>Financial Services</v>
          </cell>
          <cell r="Y751" t="str">
            <v>InsurTech, Marketplace</v>
          </cell>
        </row>
        <row r="752">
          <cell r="A752" t="str">
            <v>Connect Africa</v>
          </cell>
          <cell r="B752" t="str">
            <v>Connect Africa is a grass roots organization that helps villagers in Uganda who are struggling to support children orphaned by AIDS. Our mission is to strengthen families by providing educational sponsorship to orphans and business loans to the guardians of orphans. We work in communities that are often overlooked by large charitable organizations.</v>
          </cell>
          <cell r="C752" t="str">
            <v>Active</v>
          </cell>
          <cell r="D752">
            <v>2005</v>
          </cell>
          <cell r="X752" t="str">
            <v>Non-profit</v>
          </cell>
        </row>
        <row r="753">
          <cell r="A753" t="str">
            <v>Clinicpesa</v>
          </cell>
          <cell r="B753" t="str">
            <v>ClinicPesa is a healthcare micro saving and loans service that empowers the low income earners, insurance underserved, as well as corporates plan for their healthcare and that of their beloved ones.</v>
          </cell>
          <cell r="C753" t="str">
            <v>Active</v>
          </cell>
          <cell r="D753">
            <v>2016</v>
          </cell>
          <cell r="G753" t="str">
            <v>Uganda</v>
          </cell>
          <cell r="X753" t="str">
            <v>Financial Services</v>
          </cell>
          <cell r="Y753" t="str">
            <v>Healthcare, MicroSavings, Financial Services</v>
          </cell>
        </row>
        <row r="754">
          <cell r="A754" t="str">
            <v>Clintonel Technologies</v>
          </cell>
          <cell r="B754" t="str">
            <v>CLINTONEL is an Advanced Engineering and Tooling Company specialized in Inventions, Computer Aided Design (CAD) and Computer Aided Manufacturing (CAM)</v>
          </cell>
          <cell r="C754" t="str">
            <v>Active</v>
          </cell>
          <cell r="D754">
            <v>2017</v>
          </cell>
          <cell r="G754" t="str">
            <v>Nigeria</v>
          </cell>
          <cell r="X754" t="str">
            <v>Information Technology</v>
          </cell>
          <cell r="Y754" t="str">
            <v>Printing, Manufacturing</v>
          </cell>
        </row>
        <row r="755">
          <cell r="A755" t="str">
            <v>ConnectMed</v>
          </cell>
          <cell r="B755" t="str">
            <v>ConnectMed builds digital therapeutics platform that allows patients to manage their primary and chronic care needs</v>
          </cell>
          <cell r="C755" t="str">
            <v>Acquired</v>
          </cell>
          <cell r="D755">
            <v>2016</v>
          </cell>
          <cell r="G755" t="str">
            <v>Kenya</v>
          </cell>
          <cell r="X755" t="str">
            <v>Healthcare &amp; Pharma</v>
          </cell>
          <cell r="Y755" t="str">
            <v>Health Care, Internet, mHealth</v>
          </cell>
        </row>
        <row r="756">
          <cell r="A756" t="str">
            <v xml:space="preserve">Cloud9XP </v>
          </cell>
          <cell r="B756" t="str">
            <v>Cloud9xp.com is a online marketplace and booking service for leisure experiences</v>
          </cell>
          <cell r="C756" t="str">
            <v>Active</v>
          </cell>
          <cell r="D756">
            <v>2016</v>
          </cell>
          <cell r="G756" t="str">
            <v>Kenya</v>
          </cell>
          <cell r="X756" t="str">
            <v>Tours &amp; Travel</v>
          </cell>
          <cell r="Y756" t="str">
            <v>Internet, Local, Online Portals, Travel</v>
          </cell>
        </row>
        <row r="757">
          <cell r="A757" t="str">
            <v>Cloudline</v>
          </cell>
          <cell r="B757" t="str">
            <v>Revolutionising global logistics to connect those disconnected from our global logistics network, without the costly infrastructure</v>
          </cell>
          <cell r="C757" t="str">
            <v>Active</v>
          </cell>
          <cell r="D757">
            <v>2017</v>
          </cell>
          <cell r="G757" t="str">
            <v>South Africa</v>
          </cell>
          <cell r="X757" t="str">
            <v>Transport &amp; Logistics</v>
          </cell>
          <cell r="Y757" t="str">
            <v>Aviation &amp; Aerospace</v>
          </cell>
        </row>
        <row r="758">
          <cell r="A758" t="str">
            <v>Cloudshift</v>
          </cell>
          <cell r="B758" t="str">
            <v>An Award Winning Platinum Salesforce Partner, CloudShift are also proud to be one of the fastest growing partners in the Salesforce Eco-system. Working across all Salesforce product clouds to deliver exceptional and innovative projects every-time. CloudShift implement and manage Salesforce platforms for new and existing Customers.</v>
          </cell>
          <cell r="C758" t="str">
            <v>Active</v>
          </cell>
          <cell r="D758">
            <v>2015</v>
          </cell>
          <cell r="G758" t="str">
            <v>Tunisia</v>
          </cell>
          <cell r="X758" t="str">
            <v>Information Technology</v>
          </cell>
          <cell r="Y758" t="str">
            <v>Project Delivery, CRM, and Cloud Computing</v>
          </cell>
        </row>
        <row r="759">
          <cell r="A759" t="str">
            <v>Convergenc3 Databotics</v>
          </cell>
          <cell r="G759" t="str">
            <v>South Africa</v>
          </cell>
        </row>
        <row r="760">
          <cell r="A760" t="str">
            <v>Cool Solar</v>
          </cell>
          <cell r="B760" t="str">
            <v>Cool Solar Africa is growing! We are adding a mezzanine floor to our Msasa warehouse to accomodate the biggest shipment of solar products</v>
          </cell>
          <cell r="C760" t="str">
            <v>Active</v>
          </cell>
          <cell r="D760">
            <v>2017</v>
          </cell>
          <cell r="X760" t="str">
            <v>Energy &amp; Environment Resources</v>
          </cell>
          <cell r="Y760" t="str">
            <v>Solar Energy</v>
          </cell>
        </row>
        <row r="761">
          <cell r="A761" t="str">
            <v>Copia</v>
          </cell>
          <cell r="B761" t="str">
            <v>Copia combines technology and local agents to offer a broad product offering and efficient, reliable delivery to “base of the pyramid” consumers</v>
          </cell>
          <cell r="C761" t="str">
            <v>Active</v>
          </cell>
          <cell r="D761">
            <v>2016</v>
          </cell>
          <cell r="G761" t="str">
            <v>Kenya</v>
          </cell>
          <cell r="X761" t="str">
            <v>E-Commerce &amp; Retail</v>
          </cell>
          <cell r="Y761" t="str">
            <v>Analytics, Communities, Enterprise, Enterprise Software, Marketplace, SaaS, Sharing Economy, Sustainability, Waste Management</v>
          </cell>
        </row>
        <row r="762">
          <cell r="A762" t="str">
            <v>Core Devs - AgriCart</v>
          </cell>
          <cell r="C762" t="str">
            <v>Active</v>
          </cell>
        </row>
        <row r="763">
          <cell r="A763" t="str">
            <v>Cote d’ivoire Drone</v>
          </cell>
          <cell r="B763" t="str">
            <v>Ivory Coast Drone is a company specializing in drone technology in Ivory Coast and West Africa, supported by the Abidjan Drone Lab's research laboratory.</v>
          </cell>
          <cell r="C763" t="str">
            <v>Active</v>
          </cell>
          <cell r="D763">
            <v>2016</v>
          </cell>
          <cell r="G763" t="str">
            <v>Ivory Coast</v>
          </cell>
          <cell r="X763" t="str">
            <v>Emerging Technology</v>
          </cell>
          <cell r="Y763" t="str">
            <v>Drone and Robotics</v>
          </cell>
        </row>
        <row r="764">
          <cell r="A764" t="str">
            <v>Cogrammer</v>
          </cell>
          <cell r="B764" t="str">
            <v>CoGrammar is an edtech startup that is dedicated to closing the global tech skills gap. We achieve this by integrating human mentorship and code review into the world’s leading tech education brands</v>
          </cell>
          <cell r="C764" t="str">
            <v>Active</v>
          </cell>
          <cell r="D764">
            <v>2015</v>
          </cell>
          <cell r="G764" t="str">
            <v>United Kingdom</v>
          </cell>
          <cell r="X764" t="str">
            <v>Education</v>
          </cell>
          <cell r="Y764" t="str">
            <v>E-Learning, EdTech, Education</v>
          </cell>
        </row>
        <row r="765">
          <cell r="A765" t="str">
            <v>CoinBox Kenya</v>
          </cell>
          <cell r="B765" t="str">
            <v>Coinbox allows customers save up for their dream holidays and getaways.</v>
          </cell>
          <cell r="C765" t="str">
            <v>Active</v>
          </cell>
          <cell r="D765">
            <v>2017</v>
          </cell>
          <cell r="G765" t="str">
            <v>Kenya</v>
          </cell>
          <cell r="X765" t="str">
            <v>Financial Services</v>
          </cell>
          <cell r="Y765" t="str">
            <v>Savings</v>
          </cell>
        </row>
        <row r="766">
          <cell r="A766" t="str">
            <v>Cowsoko</v>
          </cell>
          <cell r="B766" t="str">
            <v>We support Kenyans start and run successful farming business by connecting them to farming expertise and livestock market through our web and mobile platform.</v>
          </cell>
          <cell r="C766" t="str">
            <v>Active</v>
          </cell>
          <cell r="X766" t="str">
            <v>Agriculture</v>
          </cell>
          <cell r="Y766" t="str">
            <v>Dairy</v>
          </cell>
        </row>
        <row r="767">
          <cell r="A767" t="str">
            <v>Cradle Technology Services</v>
          </cell>
          <cell r="B767" t="str">
            <v>Cradle is the developer of Granite Warehouse Management System (WMS) which is a leader in small and medium business Warehousing solutions, focussed on integration with SAGE 300, Sage 200 Evolution, Standalone operation or SAP B1.</v>
          </cell>
          <cell r="C767" t="str">
            <v>Active</v>
          </cell>
          <cell r="D767">
            <v>2000</v>
          </cell>
          <cell r="G767" t="str">
            <v>South Africa</v>
          </cell>
          <cell r="X767" t="str">
            <v>Information Technology</v>
          </cell>
          <cell r="Y767" t="str">
            <v>Logistics, Warehouse solutions</v>
          </cell>
        </row>
        <row r="768">
          <cell r="A768" t="str">
            <v>Crayon</v>
          </cell>
          <cell r="B768" t="str">
            <v>Crayon reinvents the recruitment journey by introducing personality, grit and trait profiling upfront to match roles to the best-suited candidate</v>
          </cell>
          <cell r="C768" t="str">
            <v>Active</v>
          </cell>
          <cell r="D768">
            <v>2018</v>
          </cell>
          <cell r="G768" t="str">
            <v>South Africa</v>
          </cell>
        </row>
        <row r="769">
          <cell r="A769" t="str">
            <v>Cold Hubs</v>
          </cell>
          <cell r="B769" t="str">
            <v>Cold Hubs is a Solar Powered Cold Storage .</v>
          </cell>
          <cell r="C769" t="str">
            <v>Active</v>
          </cell>
          <cell r="D769">
            <v>2015</v>
          </cell>
          <cell r="G769" t="str">
            <v>Nigeria</v>
          </cell>
          <cell r="X769" t="str">
            <v>Energy &amp; Environment Resources</v>
          </cell>
          <cell r="Y769" t="str">
            <v>Power Grid, Solar</v>
          </cell>
        </row>
        <row r="770">
          <cell r="A770" t="str">
            <v>Dynamics Africa Services</v>
          </cell>
          <cell r="B770" t="str">
            <v>Dynamics Africa is an ISV Partner focusing on Microsoft Dynamics NAV and GP Enterprise solutions</v>
          </cell>
          <cell r="D770">
            <v>2014</v>
          </cell>
          <cell r="G770" t="str">
            <v>South Africa</v>
          </cell>
          <cell r="X770" t="str">
            <v>Information Technology</v>
          </cell>
          <cell r="Y770" t="str">
            <v>Computer, Software</v>
          </cell>
        </row>
        <row r="771">
          <cell r="A771" t="str">
            <v>CompareInsurance.com.ng</v>
          </cell>
          <cell r="B771" t="str">
            <v>Compare Insurance is Nigeria’s premier online insurance provider. We offer our customers several insurance products including motor insurance.</v>
          </cell>
          <cell r="C771" t="str">
            <v>Active</v>
          </cell>
          <cell r="D771">
            <v>2015</v>
          </cell>
          <cell r="G771" t="str">
            <v>Nigeria</v>
          </cell>
          <cell r="X771" t="str">
            <v>Financial Services</v>
          </cell>
          <cell r="Y771" t="str">
            <v>Insurance, FinTech</v>
          </cell>
        </row>
        <row r="772">
          <cell r="A772" t="str">
            <v>Cregital</v>
          </cell>
          <cell r="B772" t="str">
            <v>Cregital is a design agency specialized in creating simple, intelligent web design, branding and online marketing for brands.</v>
          </cell>
          <cell r="C772" t="str">
            <v>Active</v>
          </cell>
          <cell r="D772">
            <v>2015</v>
          </cell>
          <cell r="X772" t="str">
            <v>Media &amp; Entertainment</v>
          </cell>
          <cell r="Y772" t="str">
            <v>Advertising, E-Commerce, Internet, Web Design</v>
          </cell>
        </row>
        <row r="773">
          <cell r="A773" t="str">
            <v>Cropcrowd</v>
          </cell>
          <cell r="B773" t="str">
            <v>CropCrowd is an impact farming platform which uses secure peer to peer lending to connect sophisticated, philanthropic investors with farmers in East Africa.</v>
          </cell>
          <cell r="C773" t="str">
            <v>Active</v>
          </cell>
          <cell r="D773">
            <v>2019</v>
          </cell>
          <cell r="X773" t="str">
            <v>Financial Services</v>
          </cell>
        </row>
        <row r="774">
          <cell r="A774" t="str">
            <v>Eazi.Com</v>
          </cell>
          <cell r="B774" t="str">
            <v>Amazing begins here. EASi is a leading global services company specializing in engineering and sciences</v>
          </cell>
          <cell r="D774">
            <v>1997</v>
          </cell>
          <cell r="G774" t="str">
            <v>South Africa</v>
          </cell>
          <cell r="X774" t="str">
            <v>Commercial &amp; Professional Services</v>
          </cell>
          <cell r="Y774" t="str">
            <v>Internet</v>
          </cell>
        </row>
        <row r="775">
          <cell r="A775" t="str">
            <v>Crypto Savannah</v>
          </cell>
          <cell r="C775" t="str">
            <v>Active</v>
          </cell>
        </row>
        <row r="776">
          <cell r="A776" t="str">
            <v>Faroty</v>
          </cell>
          <cell r="B776" t="str">
            <v>Faroty is a sharing and relationship app that helps you to organize and finance your events</v>
          </cell>
          <cell r="C776" t="str">
            <v>Active</v>
          </cell>
          <cell r="D776">
            <v>2017</v>
          </cell>
          <cell r="X776" t="str">
            <v>Financial Services</v>
          </cell>
        </row>
        <row r="777">
          <cell r="A777" t="str">
            <v>Cryptogene</v>
          </cell>
          <cell r="C777" t="str">
            <v>Active</v>
          </cell>
        </row>
        <row r="778">
          <cell r="A778" t="str">
            <v>CryptoSavannah</v>
          </cell>
          <cell r="B778" t="str">
            <v>CryptoSavannah is a technology company at the forefront of the blockchain and innovation ecosystem in Africa.</v>
          </cell>
          <cell r="C778" t="str">
            <v>Active</v>
          </cell>
          <cell r="D778">
            <v>2018</v>
          </cell>
          <cell r="X778" t="str">
            <v>Information Technology</v>
          </cell>
          <cell r="Y778" t="str">
            <v>Information Technology and Services</v>
          </cell>
        </row>
        <row r="779">
          <cell r="A779" t="str">
            <v>Cryptyd Games</v>
          </cell>
          <cell r="B779" t="str">
            <v>Cryptyd is an independent mobile games development studio.</v>
          </cell>
          <cell r="C779" t="str">
            <v>Active</v>
          </cell>
          <cell r="D779">
            <v>2015</v>
          </cell>
          <cell r="G779" t="str">
            <v>United States of America</v>
          </cell>
          <cell r="X779" t="str">
            <v>Media &amp; Entertainment</v>
          </cell>
          <cell r="Y779" t="str">
            <v>Mobile games</v>
          </cell>
        </row>
        <row r="780">
          <cell r="A780" t="str">
            <v>Fundamo</v>
          </cell>
          <cell r="B780" t="str">
            <v>Fundamo provides mobile financial solutions for banks, financial organizations and mobile network operators.</v>
          </cell>
          <cell r="C780" t="str">
            <v>Active</v>
          </cell>
          <cell r="D780">
            <v>2000</v>
          </cell>
          <cell r="G780" t="str">
            <v>South Africa</v>
          </cell>
          <cell r="X780" t="str">
            <v>Financial Services</v>
          </cell>
          <cell r="Y780" t="str">
            <v>Finance, Financial Services, FinTech</v>
          </cell>
        </row>
        <row r="781">
          <cell r="A781" t="str">
            <v>Csquared</v>
          </cell>
          <cell r="B781" t="str">
            <v>CSquared builds metro fiber and Wi-Fi networks to help local providers connect more people to the Internet and each other</v>
          </cell>
          <cell r="C781" t="str">
            <v>Active</v>
          </cell>
          <cell r="D781">
            <v>2013</v>
          </cell>
          <cell r="X781" t="str">
            <v>Telecommunications</v>
          </cell>
          <cell r="Y781" t="str">
            <v>Communication Hardware, Internet, Network Hardware, Professional Networking</v>
          </cell>
        </row>
        <row r="782">
          <cell r="A782" t="str">
            <v>Ctrl</v>
          </cell>
          <cell r="B782" t="str">
            <v>Ctrl app enables users to request and accept quotes from different insurers, amend cover and get advice without having to make a call or an appointment.</v>
          </cell>
          <cell r="C782" t="str">
            <v>Active</v>
          </cell>
          <cell r="D782">
            <v>2017</v>
          </cell>
          <cell r="G782" t="str">
            <v>South Africa</v>
          </cell>
          <cell r="X782" t="str">
            <v>Financial Services</v>
          </cell>
          <cell r="Y782" t="str">
            <v>ERP for professionals, health, construction, professional services, and cinema and television</v>
          </cell>
        </row>
        <row r="783">
          <cell r="A783" t="str">
            <v>CUIMER</v>
          </cell>
        </row>
        <row r="784">
          <cell r="A784" t="str">
            <v>Curacel</v>
          </cell>
          <cell r="B784" t="str">
            <v>Curacel is an AI-powered fraud detection engine that helps automate claims processing</v>
          </cell>
          <cell r="C784" t="str">
            <v>Active</v>
          </cell>
          <cell r="D784">
            <v>2017</v>
          </cell>
        </row>
        <row r="785">
          <cell r="A785" t="str">
            <v>Dabchy</v>
          </cell>
          <cell r="B785" t="str">
            <v>Dabchy is a localized fashion marketplace where women can buy and sell their clothing online.</v>
          </cell>
          <cell r="C785" t="str">
            <v>Active</v>
          </cell>
          <cell r="D785">
            <v>2016</v>
          </cell>
          <cell r="G785" t="str">
            <v>Tunisia</v>
          </cell>
          <cell r="X785" t="str">
            <v>E-Commerce &amp; Retail</v>
          </cell>
          <cell r="Y785" t="str">
            <v>Apparel &amp; Fashion</v>
          </cell>
        </row>
        <row r="786">
          <cell r="A786" t="str">
            <v>Cortex Logic</v>
          </cell>
          <cell r="B786" t="str">
            <v>Cortex Logic is an Artificial Intelligence (AI) software and solutions company that helps businesses thrive in the Smart Technology Era, an era that builds on the digital revolution but categorized by the fusion of smart technologies that’s blurring the lines between the physical, digital and biological spheres and demands fast adaption and agility...</v>
          </cell>
          <cell r="C786" t="str">
            <v>Active</v>
          </cell>
          <cell r="D786">
            <v>2015</v>
          </cell>
          <cell r="G786" t="str">
            <v>South Africa</v>
          </cell>
          <cell r="X786" t="str">
            <v>Information Technology</v>
          </cell>
          <cell r="Y786" t="str">
            <v>Analytics, Artificial Intelligence, Human Resources, Information Technology, Security, Software</v>
          </cell>
        </row>
        <row r="787">
          <cell r="A787" t="str">
            <v>dafruta</v>
          </cell>
          <cell r="B787" t="str">
            <v>DafrutaUSA imports products from around the world to introduce new and lasting impressions. We are always trying to find products that are unique and great tasting.</v>
          </cell>
          <cell r="C787" t="str">
            <v>Active</v>
          </cell>
          <cell r="D787">
            <v>1983</v>
          </cell>
          <cell r="X787" t="str">
            <v>E-Commerce &amp; Retail</v>
          </cell>
        </row>
        <row r="788">
          <cell r="A788" t="str">
            <v>Daktaripap</v>
          </cell>
          <cell r="B788" t="str">
            <v>Every day millions of poor farmers in Africa struggle to achieve good crop and livestock health care because of poor access to credible climate information, insurance, agronomy and veterinary services</v>
          </cell>
          <cell r="C788" t="str">
            <v>Active</v>
          </cell>
          <cell r="D788">
            <v>2017</v>
          </cell>
          <cell r="X788" t="str">
            <v>Agriculture</v>
          </cell>
          <cell r="Y788" t="str">
            <v>Mobile phone technology, increase farmers’ access to reliable and credible climate information, vet, agronomy and insurance services to improve crop and livestock healthcare.</v>
          </cell>
        </row>
        <row r="789">
          <cell r="A789" t="str">
            <v>Dambe Warriors</v>
          </cell>
          <cell r="B789" t="str">
            <v>Dambe is an ancient one-handed boxing martial art form among the Hausa butchers of West Africa</v>
          </cell>
          <cell r="C789" t="str">
            <v>Active</v>
          </cell>
          <cell r="D789">
            <v>2017</v>
          </cell>
          <cell r="X789" t="str">
            <v>Sports</v>
          </cell>
          <cell r="Y789" t="str">
            <v>Global sports</v>
          </cell>
        </row>
        <row r="790">
          <cell r="A790" t="str">
            <v>Dashmake</v>
          </cell>
          <cell r="B790" t="str">
            <v>Dashmake is a Togolese company specialized in web, mobile and desktop app building, 2D and 3D animations and games creation.</v>
          </cell>
          <cell r="C790" t="str">
            <v>Active</v>
          </cell>
          <cell r="D790">
            <v>2015</v>
          </cell>
          <cell r="G790" t="str">
            <v>Togo</v>
          </cell>
          <cell r="X790" t="str">
            <v>Information Technology</v>
          </cell>
          <cell r="Y790" t="str">
            <v>Information tecnology, media and entertainment</v>
          </cell>
        </row>
        <row r="791">
          <cell r="A791" t="str">
            <v>Dawati</v>
          </cell>
          <cell r="B791" t="str">
            <v>Dawati is an innovative e-learning solution that solves the problem of access to quality education in Kenya, and Africa by extension.</v>
          </cell>
          <cell r="C791" t="str">
            <v>Active</v>
          </cell>
          <cell r="D791">
            <v>2016</v>
          </cell>
          <cell r="G791" t="str">
            <v>Kenya</v>
          </cell>
          <cell r="Y791" t="str">
            <v>Education</v>
          </cell>
        </row>
        <row r="792">
          <cell r="A792" t="str">
            <v>Deedo</v>
          </cell>
          <cell r="B792" t="str">
            <v>Deedo connects artists from across Africa with audiences on the continent and in the diaspora, offering them increased visibility while making it easier for users to listen to African music and tackling piracy</v>
          </cell>
          <cell r="C792" t="str">
            <v>Active</v>
          </cell>
          <cell r="D792">
            <v>2017</v>
          </cell>
          <cell r="G792" t="str">
            <v>Senegal</v>
          </cell>
        </row>
        <row r="793">
          <cell r="A793" t="str">
            <v>Deep Data</v>
          </cell>
          <cell r="B793" t="str">
            <v>The founders of Deep Data were, and are still very much a part of the world renowned scientific space project the SKA or Square Kilometer Array where they developed the mathematical analytical tools to explore space. They have taken those skills, expertise and tools and applied their minds to problems back here in South Africa and Deep Data is the result</v>
          </cell>
          <cell r="C793" t="str">
            <v>Active</v>
          </cell>
          <cell r="D793">
            <v>2014</v>
          </cell>
          <cell r="G793" t="str">
            <v>South Africa</v>
          </cell>
        </row>
        <row r="794">
          <cell r="A794" t="str">
            <v>DeepStack</v>
          </cell>
          <cell r="B794" t="str">
            <v>DeepStack: Expert-level artificial intelligence, the first to beat human pros at heads-up no-limit hold'em poker.</v>
          </cell>
          <cell r="C794" t="str">
            <v>Active</v>
          </cell>
          <cell r="D794">
            <v>2017</v>
          </cell>
          <cell r="G794" t="str">
            <v>Nigeria</v>
          </cell>
        </row>
        <row r="795">
          <cell r="A795" t="str">
            <v>Delivery.io</v>
          </cell>
          <cell r="C795" t="str">
            <v>Active</v>
          </cell>
        </row>
        <row r="796">
          <cell r="A796" t="str">
            <v>Demkim Insurance</v>
          </cell>
          <cell r="B796" t="str">
            <v>Our platform interconnects all entities in the insurance value chain and help customers buy, pay and manage their insurance policies</v>
          </cell>
          <cell r="C796" t="str">
            <v>Active</v>
          </cell>
          <cell r="D796">
            <v>2016</v>
          </cell>
          <cell r="X796" t="str">
            <v>Financial Services</v>
          </cell>
          <cell r="Y796" t="str">
            <v>InsurTech</v>
          </cell>
        </row>
        <row r="797">
          <cell r="A797" t="str">
            <v>DentX</v>
          </cell>
          <cell r="B797" t="str">
            <v>DentX is the easiest way to get competitive quotes for your vehicle body damage repairs. Helping you take the 'dent' out of your accident!</v>
          </cell>
          <cell r="C797" t="str">
            <v>Active</v>
          </cell>
        </row>
        <row r="798">
          <cell r="A798" t="str">
            <v>Dermi Joy skincare</v>
          </cell>
          <cell r="C798" t="str">
            <v>Active</v>
          </cell>
        </row>
        <row r="799">
          <cell r="A799" t="str">
            <v>Dext Technology</v>
          </cell>
          <cell r="B799" t="str">
            <v>We are a company that develops manufactures and deploys innovative, science and technology driven educational solutions for the effective learning of Science Technology Engineering</v>
          </cell>
          <cell r="C799" t="str">
            <v>Active</v>
          </cell>
          <cell r="D799">
            <v>2017</v>
          </cell>
          <cell r="X799" t="str">
            <v>Technology</v>
          </cell>
          <cell r="Y799" t="str">
            <v>Education Management</v>
          </cell>
        </row>
        <row r="800">
          <cell r="A800" t="str">
            <v>Dial a Delivery</v>
          </cell>
          <cell r="B800" t="str">
            <v>Dial a Delivery is a company that provides delivery services for Pizza Inn and Galito's - delivering food in quick time from our kitchen to your couch</v>
          </cell>
          <cell r="C800" t="str">
            <v>Active</v>
          </cell>
          <cell r="D800">
            <v>1995</v>
          </cell>
          <cell r="G800" t="str">
            <v>Kenya</v>
          </cell>
          <cell r="X800" t="str">
            <v>Transport &amp; Logistics</v>
          </cell>
        </row>
        <row r="801">
          <cell r="A801" t="str">
            <v>Curacel Systems</v>
          </cell>
          <cell r="B801" t="str">
            <v>We deliver productivity tools and IT infrastructure to healthcare stakeholders across the continent, empowering them to digitize business processes, connect with stakeholders across the spectrum, and make decisions based on data that is otherwise unavailable.</v>
          </cell>
          <cell r="C801" t="str">
            <v>Active</v>
          </cell>
          <cell r="D801">
            <v>2016</v>
          </cell>
          <cell r="G801" t="str">
            <v>Nigeria</v>
          </cell>
          <cell r="X801" t="str">
            <v>Information Technology</v>
          </cell>
          <cell r="Y801" t="str">
            <v>Information tecnology, Health</v>
          </cell>
        </row>
        <row r="802">
          <cell r="A802" t="str">
            <v>Cyst Ghana - Ai</v>
          </cell>
          <cell r="B802" t="str">
            <v>CYST is a software innovation company founded in 2013 and based in Ghana that specialises in artificial intelligence to create simple and easy to use technology solutions which are relevant to local markets while adhering to international standards. With this in mind, our flagship product</v>
          </cell>
          <cell r="C802" t="str">
            <v>Active</v>
          </cell>
          <cell r="D802">
            <v>2013</v>
          </cell>
          <cell r="G802" t="str">
            <v>Ghana</v>
          </cell>
          <cell r="X802" t="str">
            <v>Information Technology</v>
          </cell>
          <cell r="Y802" t="str">
            <v>Information Technology and Services</v>
          </cell>
        </row>
        <row r="803">
          <cell r="A803" t="str">
            <v>Da7ee7</v>
          </cell>
        </row>
        <row r="804">
          <cell r="A804" t="str">
            <v>Dabadoc</v>
          </cell>
          <cell r="B804" t="str">
            <v>DabaDoc is the most convenient, free way to find a nearby health practitioner, instantly book an appointment online and ask the community of doctors all types of medical questions.</v>
          </cell>
          <cell r="C804" t="str">
            <v>Active</v>
          </cell>
          <cell r="D804">
            <v>2014</v>
          </cell>
          <cell r="G804" t="str">
            <v>Morocco</v>
          </cell>
          <cell r="X804" t="str">
            <v>Healthcare &amp; Pharma</v>
          </cell>
          <cell r="Y804" t="str">
            <v>Health Care, Healthtech</v>
          </cell>
        </row>
        <row r="805">
          <cell r="A805" t="str">
            <v>Digger App</v>
          </cell>
          <cell r="B805" t="str">
            <v>Talent Matching Technology - DIGGER uses Artificial Intelligence &amp; Machine Learning to match the right candidate with the right job. Our Intelligent Screening software shortlists the best matching candidate for each position</v>
          </cell>
          <cell r="C805" t="str">
            <v>Active</v>
          </cell>
          <cell r="D805">
            <v>2017</v>
          </cell>
          <cell r="X805" t="str">
            <v>Information Technology</v>
          </cell>
          <cell r="Y805" t="str">
            <v>Information Technology and Services</v>
          </cell>
        </row>
        <row r="806">
          <cell r="A806" t="str">
            <v>Digiartwork</v>
          </cell>
          <cell r="G806" t="str">
            <v>Tunisia</v>
          </cell>
          <cell r="X806" t="str">
            <v>Marketing/Advertising</v>
          </cell>
        </row>
        <row r="807">
          <cell r="A807" t="str">
            <v>Digital Green</v>
          </cell>
          <cell r="B807" t="str">
            <v>To integrate innovative technology with global development efforts to improve human well being.</v>
          </cell>
          <cell r="C807" t="str">
            <v>Active</v>
          </cell>
          <cell r="D807">
            <v>2008</v>
          </cell>
          <cell r="X807" t="str">
            <v>Agriculture</v>
          </cell>
          <cell r="Y807" t="str">
            <v>Commercial Real Estate, Information and Communications Technology (ICT)</v>
          </cell>
        </row>
        <row r="808">
          <cell r="A808" t="str">
            <v>Diligo</v>
          </cell>
          <cell r="G808" t="str">
            <v>Burkina Faso</v>
          </cell>
          <cell r="X808" t="str">
            <v>Information Technology</v>
          </cell>
        </row>
        <row r="809">
          <cell r="A809" t="str">
            <v>Dipita Technologies</v>
          </cell>
          <cell r="B809" t="str">
            <v>Technology Startup</v>
          </cell>
          <cell r="C809" t="str">
            <v>Active</v>
          </cell>
          <cell r="D809">
            <v>2016</v>
          </cell>
          <cell r="X809" t="str">
            <v>Education</v>
          </cell>
          <cell r="Y809" t="str">
            <v>Consumer Electronics, Information Technology, Internet, Internet of Things</v>
          </cell>
        </row>
        <row r="810">
          <cell r="A810" t="str">
            <v>Data Integrated Limited</v>
          </cell>
          <cell r="B810" t="str">
            <v>Data Integrated Limited (DIL) is a Kenyan ICT company that offers financial solutions to small and medium scale enterprises (SME’s) in Africa. The company humble beginnings dates back to 2012, armed with a big dream of addressing automation challenges faced by small and medium scale businesses (SME’s) in Africa.</v>
          </cell>
          <cell r="C810" t="str">
            <v>Active</v>
          </cell>
          <cell r="D810">
            <v>2012</v>
          </cell>
          <cell r="G810" t="str">
            <v>Kenya</v>
          </cell>
          <cell r="X810" t="str">
            <v>Financial Services</v>
          </cell>
          <cell r="Y810" t="str">
            <v>Fintech, Payment Gateways, Enterprise Payment Solutions, Mobile Money, Financial Inclusion, public transport, SME payroll, and Tap &amp; Pay Cards</v>
          </cell>
        </row>
        <row r="811">
          <cell r="A811" t="str">
            <v>Dataprophet</v>
          </cell>
          <cell r="B811" t="str">
            <v>DataProphet is an advanced Machine Learning company focused on developing and deploying bespoke solutions to a range of industries.</v>
          </cell>
          <cell r="C811" t="str">
            <v>Active</v>
          </cell>
          <cell r="D811">
            <v>2013</v>
          </cell>
          <cell r="G811" t="str">
            <v>South Africa</v>
          </cell>
          <cell r="X811" t="str">
            <v>Information Technology</v>
          </cell>
          <cell r="Y811" t="str">
            <v>Machine Learning, Data Science, Predictive Analytics, Artificial Intelligence</v>
          </cell>
        </row>
        <row r="812">
          <cell r="A812" t="str">
            <v>FinTech Limited</v>
          </cell>
          <cell r="B812" t="str">
            <v>Cameroon based company that develops Blockchain Applications for the banking and financial sector.</v>
          </cell>
          <cell r="C812" t="str">
            <v>Active</v>
          </cell>
          <cell r="D812">
            <v>2017</v>
          </cell>
          <cell r="G812" t="str">
            <v>Cameroon</v>
          </cell>
          <cell r="X812" t="str">
            <v>Financial Services</v>
          </cell>
          <cell r="Y812" t="str">
            <v>Blockchain, Cryptocurrency</v>
          </cell>
        </row>
        <row r="813">
          <cell r="A813" t="str">
            <v>Direxiona</v>
          </cell>
        </row>
        <row r="814">
          <cell r="A814" t="str">
            <v>DiscoverIkasi</v>
          </cell>
        </row>
        <row r="815">
          <cell r="A815" t="str">
            <v>Deepera</v>
          </cell>
          <cell r="B815" t="str">
            <v>Deepera is a fintech startup that proposes a solution based on artificial intelligence aiming to democratize the financial investment</v>
          </cell>
          <cell r="C815" t="str">
            <v>Active</v>
          </cell>
          <cell r="D815">
            <v>2018</v>
          </cell>
          <cell r="G815" t="str">
            <v>Tunisia</v>
          </cell>
          <cell r="X815" t="str">
            <v>Information Technology</v>
          </cell>
          <cell r="Y815" t="str">
            <v>Artificial Intelligence, Information Technology</v>
          </cell>
        </row>
        <row r="816">
          <cell r="A816" t="str">
            <v>Dmm.Hehe Ltd</v>
          </cell>
          <cell r="B816" t="str">
            <v>DMM.HeHe (formerly HeHe Labs) was founded in 2010 by a group of college students in Rwanda after graduating from an MIT incubation program</v>
          </cell>
          <cell r="C816" t="str">
            <v>Active</v>
          </cell>
          <cell r="D816">
            <v>2010</v>
          </cell>
          <cell r="X816" t="str">
            <v>Information Technology</v>
          </cell>
          <cell r="Y816" t="str">
            <v>Software Development, Computer Programming, Data Processing, E-commerce</v>
          </cell>
        </row>
        <row r="817">
          <cell r="A817" t="str">
            <v>DocFox</v>
          </cell>
          <cell r="B817" t="str">
            <v>DocFox enables financial institutions to carry out KYC procedures on any entity or natural person, from any country in the world</v>
          </cell>
          <cell r="C817" t="str">
            <v>Active</v>
          </cell>
          <cell r="D817">
            <v>2014</v>
          </cell>
        </row>
        <row r="818">
          <cell r="A818" t="str">
            <v>Fintech Ltd</v>
          </cell>
          <cell r="B818" t="str">
            <v>Blockchain, Smart Contracts, Fintech, Exchanges, Payments</v>
          </cell>
          <cell r="C818" t="str">
            <v>Active</v>
          </cell>
          <cell r="D818">
            <v>2017</v>
          </cell>
          <cell r="G818" t="str">
            <v>Cameroon</v>
          </cell>
          <cell r="X818" t="str">
            <v>Financial Services</v>
          </cell>
          <cell r="Y818" t="str">
            <v>Information Technology</v>
          </cell>
        </row>
        <row r="819">
          <cell r="A819" t="str">
            <v>Denkim Insurance</v>
          </cell>
          <cell r="B819" t="str">
            <v>Denkim Insurance is a Kenyan insurance aggregator that interconnects all insurance players in the insurance value chain by helping customers select, buy insurance products and experience quick claim settlement processes.</v>
          </cell>
          <cell r="C819" t="str">
            <v>Active</v>
          </cell>
          <cell r="D819">
            <v>2013</v>
          </cell>
          <cell r="G819" t="str">
            <v>Kenya</v>
          </cell>
          <cell r="X819" t="str">
            <v>Financial Services</v>
          </cell>
          <cell r="Y819" t="str">
            <v>Insurance Technology, FinTech</v>
          </cell>
        </row>
        <row r="820">
          <cell r="A820" t="str">
            <v>Dondosha Desy</v>
          </cell>
          <cell r="G820" t="str">
            <v>Tanzania</v>
          </cell>
          <cell r="X820" t="str">
            <v>Media/Entertainment</v>
          </cell>
        </row>
        <row r="821">
          <cell r="A821" t="str">
            <v>Doot!</v>
          </cell>
        </row>
        <row r="822">
          <cell r="A822" t="str">
            <v>Drinks.Ng</v>
          </cell>
          <cell r="B822" t="str">
            <v>Drinks.ng is Nigeria's leading e-commerce site specialising in drinks provision for all occasions; with an extensive range of beverages comprising both alcohol and soft drinks.</v>
          </cell>
          <cell r="D822">
            <v>2013</v>
          </cell>
          <cell r="X822" t="str">
            <v>Wine and Spirits</v>
          </cell>
          <cell r="Y822" t="str">
            <v>E-Commerce</v>
          </cell>
        </row>
        <row r="823">
          <cell r="A823" t="str">
            <v>Driversng</v>
          </cell>
          <cell r="B823" t="str">
            <v>Driversng has been providing on-demand drivers, recruited online</v>
          </cell>
          <cell r="C823" t="str">
            <v>Active</v>
          </cell>
          <cell r="D823">
            <v>2017</v>
          </cell>
        </row>
        <row r="824">
          <cell r="A824" t="str">
            <v>Driversng.com</v>
          </cell>
          <cell r="C824" t="str">
            <v>Active</v>
          </cell>
          <cell r="G824" t="str">
            <v>Nigeria</v>
          </cell>
          <cell r="X824" t="str">
            <v>Transport &amp; Logistics</v>
          </cell>
        </row>
        <row r="825">
          <cell r="A825" t="str">
            <v>Drofie</v>
          </cell>
          <cell r="B825" t="str">
            <v>Drofie is pocket size hover camera with follow me feature.</v>
          </cell>
          <cell r="C825" t="str">
            <v>Active</v>
          </cell>
          <cell r="D825">
            <v>2016</v>
          </cell>
          <cell r="X825" t="str">
            <v>Information technology</v>
          </cell>
          <cell r="Y825" t="str">
            <v>Internet of things, aviation, Drone, and security</v>
          </cell>
        </row>
        <row r="826">
          <cell r="A826" t="str">
            <v>Droidfx Technologies</v>
          </cell>
          <cell r="G826" t="str">
            <v>Malawi</v>
          </cell>
          <cell r="X826" t="str">
            <v>Software Development</v>
          </cell>
        </row>
        <row r="827">
          <cell r="A827" t="str">
            <v>DroneNerds Africa</v>
          </cell>
          <cell r="B827" t="str">
            <v>Uganda's premier commercial drones &amp; innovation company. UAVs content, GIS Mapping, Oil &amp; Gas, Construction, Health &amp; Safety, Agric &amp; Humanitarian assignments</v>
          </cell>
          <cell r="C827" t="str">
            <v>Active</v>
          </cell>
          <cell r="D827">
            <v>2019</v>
          </cell>
          <cell r="G827" t="str">
            <v>Uganda</v>
          </cell>
          <cell r="X827" t="str">
            <v>Emerging Technologies</v>
          </cell>
          <cell r="Y827" t="str">
            <v>Drones</v>
          </cell>
        </row>
        <row r="828">
          <cell r="A828" t="str">
            <v>Digital Cabinet</v>
          </cell>
          <cell r="B828" t="str">
            <v>Digital Cabinet is an online document management and business intelligence product, which lets you file your documents the same way you would in person. It mimics the unique way your organisation does business, so you can maintain the same structures and processes you’ve always had; the difference being now it’ll all be online.</v>
          </cell>
          <cell r="C828" t="str">
            <v>Active</v>
          </cell>
          <cell r="D828">
            <v>2007</v>
          </cell>
          <cell r="G828" t="str">
            <v>South Africa</v>
          </cell>
          <cell r="X828" t="str">
            <v>Information Technology</v>
          </cell>
          <cell r="Y828" t="str">
            <v>Business Intelligence, Cloud Computing, Document Management</v>
          </cell>
        </row>
        <row r="829">
          <cell r="A829" t="str">
            <v>Dropque</v>
          </cell>
          <cell r="B829" t="str">
            <v>Dropque is a simple one-way video interviewing solution that helps applicants showcase their personalities and help recruiters streamline the process while showcasing company culture</v>
          </cell>
          <cell r="D829">
            <v>2016</v>
          </cell>
          <cell r="X829" t="str">
            <v>Recruiting</v>
          </cell>
          <cell r="Y829" t="str">
            <v>Recruiting, Software, Staffing Agency</v>
          </cell>
        </row>
        <row r="830">
          <cell r="A830" t="str">
            <v>Dropstore</v>
          </cell>
          <cell r="C830" t="str">
            <v>Active</v>
          </cell>
          <cell r="G830" t="str">
            <v>South Africa</v>
          </cell>
        </row>
        <row r="831">
          <cell r="A831" t="str">
            <v>First Choice Global</v>
          </cell>
          <cell r="B831" t="str">
            <v>First Choice Global Ltd offers global money transfer solutions that utilize innovative technology and strategic partnerships. FCG has been appointed as the exclusive correspondent agent for CoinX into Kenya and Sub-Saharan Africa.In partnership with CoinX, First Choice Global offers licensed money transfer services from the United States with operations in at least 40 states.</v>
          </cell>
          <cell r="C831" t="str">
            <v>Active</v>
          </cell>
          <cell r="D831">
            <v>2015</v>
          </cell>
          <cell r="G831" t="str">
            <v>Kenya</v>
          </cell>
          <cell r="X831" t="str">
            <v>Financial Services</v>
          </cell>
          <cell r="Y831" t="str">
            <v>Remittance, Payment Solutions, Mobile/Web Applications, and International Money Transfer</v>
          </cell>
        </row>
        <row r="832">
          <cell r="A832" t="str">
            <v>Drosig</v>
          </cell>
          <cell r="B832" t="str">
            <v>It was about 1996 when four types (Abt, Belushi, Flo &amp; Jof) at a mutual friend (;)) met and decided on a music project together as alternate en Flo &amp; Jof were founders of the legendary B &amp; B or S &amp; E Musicprod. Studios in Cologne-Holweide.</v>
          </cell>
          <cell r="C832" t="str">
            <v>Active</v>
          </cell>
          <cell r="G832" t="str">
            <v>Angola</v>
          </cell>
          <cell r="X832" t="str">
            <v>Emerging Technologies</v>
          </cell>
        </row>
        <row r="833">
          <cell r="A833" t="str">
            <v>Duma Works</v>
          </cell>
        </row>
        <row r="834">
          <cell r="A834" t="str">
            <v>Equinox International</v>
          </cell>
          <cell r="B834" t="str">
            <v>Equinox International is a provider of infrastructure technology solutions and services in the Middle East and Africa (MEA) region, with a complete portfolio of solutions to meet the mission critical objectives of enterprises and service providers. Our solutions and services allow clients to build their infrastructures smarter, reduce the total cost of ownership (TCO), and increase the availability and robustness of their services and applications</v>
          </cell>
          <cell r="C834" t="str">
            <v>Acquired</v>
          </cell>
          <cell r="D834">
            <v>2005</v>
          </cell>
          <cell r="G834" t="str">
            <v>South Africa</v>
          </cell>
          <cell r="X834" t="str">
            <v>Real Estate</v>
          </cell>
          <cell r="Y834" t="str">
            <v>Property Management, Real Estate, Software</v>
          </cell>
        </row>
        <row r="835">
          <cell r="A835" t="str">
            <v>E Tuk Tuk Solar E Cycle</v>
          </cell>
          <cell r="B835" t="str">
            <v>E Tuk Tuk Solar E Cycle designs and builds solar-powered electric vehicles including the Solar E Cycle, a solar powered tuk tuks (three-wheeled motorised vehicles) with a range of 50km and capable of reaching speed of up to 35km/h</v>
          </cell>
        </row>
        <row r="836">
          <cell r="A836" t="str">
            <v>E-Agribusiness</v>
          </cell>
          <cell r="D836">
            <v>2014</v>
          </cell>
          <cell r="X836" t="str">
            <v>Agriculture</v>
          </cell>
        </row>
        <row r="837">
          <cell r="A837" t="str">
            <v>E-farms</v>
          </cell>
          <cell r="G837" t="str">
            <v>Nigeria</v>
          </cell>
          <cell r="X837" t="str">
            <v>Agriculture</v>
          </cell>
        </row>
        <row r="838">
          <cell r="A838" t="str">
            <v>Firstaccess</v>
          </cell>
          <cell r="B838" t="str">
            <v>First Access is a fintech company that offers a smart data platform for financial institutions in emerging markets.</v>
          </cell>
          <cell r="C838" t="str">
            <v>Active</v>
          </cell>
          <cell r="D838">
            <v>2011</v>
          </cell>
          <cell r="X838" t="str">
            <v>Financial Services</v>
          </cell>
          <cell r="Y838" t="str">
            <v>Analytics, Asset Management, Credit, Emerging Markets, Finance, Financial Services,FinTech, Mobile, Predictive Analytics, SaaS</v>
          </cell>
        </row>
        <row r="839">
          <cell r="A839" t="str">
            <v>E-Fundi</v>
          </cell>
          <cell r="C839" t="str">
            <v>Active</v>
          </cell>
        </row>
        <row r="840">
          <cell r="A840" t="str">
            <v>Domestly</v>
          </cell>
          <cell r="B840" t="str">
            <v>Domestly is keeping homes clean across South Africa, with an innovative new way of finding a domestic cleaner to keep your home clean. Domestly matches you with a hospitality-trained and background-checked domestic cleaner in minutes, with our award-winning Domestly Cleaning App.</v>
          </cell>
          <cell r="C840" t="str">
            <v>Active</v>
          </cell>
          <cell r="D840">
            <v>2014</v>
          </cell>
          <cell r="G840" t="str">
            <v>South Africa</v>
          </cell>
          <cell r="X840" t="str">
            <v>Commercial &amp; Professional Services</v>
          </cell>
          <cell r="Y840" t="str">
            <v>Cleaning, Marketplace</v>
          </cell>
        </row>
        <row r="841">
          <cell r="A841" t="str">
            <v>E-Heza</v>
          </cell>
        </row>
        <row r="842">
          <cell r="A842" t="str">
            <v>Flexpay Technologies</v>
          </cell>
          <cell r="B842" t="str">
            <v>Flexpay offers an automated platform to enable merchants and their customers manage flexible payments.</v>
          </cell>
          <cell r="C842" t="str">
            <v>Active</v>
          </cell>
          <cell r="D842">
            <v>2014</v>
          </cell>
          <cell r="G842" t="str">
            <v>Kenya</v>
          </cell>
          <cell r="X842" t="str">
            <v>Financial Services</v>
          </cell>
          <cell r="Y842" t="str">
            <v>Customer Service, Mobile, Payments</v>
          </cell>
        </row>
        <row r="843">
          <cell r="A843" t="str">
            <v>Dr. Weee</v>
          </cell>
        </row>
        <row r="844">
          <cell r="A844" t="str">
            <v>e-kasi Bucks</v>
          </cell>
          <cell r="B844" t="str">
            <v>The e-Kasi Bucks card raises awareness of economic consciousness by encouraging people to think about where their money goes, support LOCAL businesses</v>
          </cell>
          <cell r="C844" t="str">
            <v>Active</v>
          </cell>
        </row>
        <row r="845">
          <cell r="A845" t="str">
            <v>Earlybird</v>
          </cell>
          <cell r="B845" t="str">
            <v>Earlybird helps businesses build smart software that leverages data in powerful ways. We believe that smarter applications can drive incredible workplace and social change</v>
          </cell>
          <cell r="C845" t="str">
            <v>Active</v>
          </cell>
          <cell r="D845">
            <v>2012</v>
          </cell>
          <cell r="X845" t="str">
            <v>Commercial &amp; Professional Services</v>
          </cell>
          <cell r="Y845" t="str">
            <v>Analytics, Information Technology, iOS, Mobile, Product Design, Web Design</v>
          </cell>
        </row>
        <row r="846">
          <cell r="A846" t="str">
            <v>Easy Matatu</v>
          </cell>
          <cell r="B846" t="str">
            <v>Easy Matatu is a mobile app that provides carpooling using minibuses locally known as matatus. It lets a commuter book a ride on an Easy Matatu that will pick him up at a predefined time and stage along a specified route</v>
          </cell>
          <cell r="C846" t="str">
            <v>Active</v>
          </cell>
        </row>
        <row r="847">
          <cell r="A847" t="str">
            <v>Easyticket</v>
          </cell>
          <cell r="C847" t="str">
            <v>Active</v>
          </cell>
        </row>
        <row r="848">
          <cell r="A848" t="str">
            <v>Drone Africa</v>
          </cell>
          <cell r="B848" t="str">
            <v>DRONEAFRICA is the first civil drone service in Cameroon, we want to democratize technology especially that of drones, and make it accessible to our environment.</v>
          </cell>
          <cell r="C848" t="str">
            <v>Active</v>
          </cell>
          <cell r="D848">
            <v>2015</v>
          </cell>
          <cell r="G848" t="str">
            <v>Cameroon</v>
          </cell>
          <cell r="X848" t="str">
            <v>Emerging Technologies</v>
          </cell>
          <cell r="Y848" t="str">
            <v>DroneTech</v>
          </cell>
        </row>
        <row r="849">
          <cell r="A849" t="str">
            <v>Drone Scan</v>
          </cell>
          <cell r="B849" t="str">
            <v>The DroneScan Airborne data collection system uses the latest drone platforms, hardware, software, scanning and communications technology to provide robotic scanning solutions of high shelves in large uniform warehouses</v>
          </cell>
          <cell r="C849" t="str">
            <v>Active</v>
          </cell>
          <cell r="D849">
            <v>2014</v>
          </cell>
          <cell r="G849" t="str">
            <v>South Africa</v>
          </cell>
          <cell r="X849" t="str">
            <v>Emerging Technologies</v>
          </cell>
          <cell r="Y849" t="str">
            <v>DroneTech</v>
          </cell>
        </row>
        <row r="850">
          <cell r="A850" t="str">
            <v>Drone Snap</v>
          </cell>
          <cell r="B850" t="str">
            <v>Drones have unlimited applications and they have an abundance of solutions.</v>
          </cell>
          <cell r="C850" t="str">
            <v>Active</v>
          </cell>
          <cell r="D850">
            <v>2014</v>
          </cell>
          <cell r="G850" t="str">
            <v>South Africa</v>
          </cell>
          <cell r="X850" t="str">
            <v>Emerging Technologies</v>
          </cell>
          <cell r="Y850" t="str">
            <v>Aerospace, Drones</v>
          </cell>
        </row>
        <row r="851">
          <cell r="A851" t="str">
            <v>Fawry</v>
          </cell>
          <cell r="B851" t="str">
            <v>Fawry is a pioneering Electronic Payment Network, offering financial services to consumers and businesses</v>
          </cell>
          <cell r="C851" t="str">
            <v>Active</v>
          </cell>
          <cell r="D851">
            <v>2008</v>
          </cell>
          <cell r="G851" t="str">
            <v>Egypt</v>
          </cell>
          <cell r="X851" t="str">
            <v>Financial Services</v>
          </cell>
          <cell r="Y851" t="str">
            <v>Banking, Finance, FinTech, Payments</v>
          </cell>
        </row>
        <row r="852">
          <cell r="A852" t="str">
            <v>Dronesig Angola</v>
          </cell>
          <cell r="B852" t="str">
            <v>DRONESIG is a startup specializing in the development and provision of services through aerial solutions, via Drones and GIS geotechnology</v>
          </cell>
          <cell r="C852" t="str">
            <v>Active</v>
          </cell>
          <cell r="D852">
            <v>2017</v>
          </cell>
          <cell r="G852" t="str">
            <v>Angola</v>
          </cell>
          <cell r="X852" t="str">
            <v>Emerging Technologies</v>
          </cell>
          <cell r="Y852" t="str">
            <v>Drones</v>
          </cell>
        </row>
        <row r="853">
          <cell r="A853" t="str">
            <v>EAZY-TRIPS</v>
          </cell>
          <cell r="C853" t="str">
            <v>Active</v>
          </cell>
        </row>
        <row r="854">
          <cell r="A854" t="str">
            <v>ebid</v>
          </cell>
          <cell r="B854" t="str">
            <v>eBid is an online auction marketplace that provides its users with e-commerce facilities.</v>
          </cell>
          <cell r="C854" t="str">
            <v>Active</v>
          </cell>
          <cell r="D854">
            <v>1998</v>
          </cell>
          <cell r="X854" t="str">
            <v>E-Commerce &amp; Retail</v>
          </cell>
          <cell r="Y854" t="str">
            <v>E-Commerce, Marketplace, Online Portals</v>
          </cell>
        </row>
        <row r="855">
          <cell r="A855" t="str">
            <v>ecarderneta</v>
          </cell>
          <cell r="C855" t="str">
            <v>Active</v>
          </cell>
          <cell r="X855" t="str">
            <v>Education</v>
          </cell>
        </row>
        <row r="856">
          <cell r="A856" t="str">
            <v>DrugStoc</v>
          </cell>
          <cell r="B856" t="str">
            <v>DrugStoc provides hospitals and pharmacies access to genuine pharmaceutical and health care products through a seamless end-to-end procurement platform that enables them to source all medications and medical consumables they need.</v>
          </cell>
          <cell r="C856" t="str">
            <v>Active</v>
          </cell>
          <cell r="D856">
            <v>2012</v>
          </cell>
          <cell r="G856" t="str">
            <v>Nigeria</v>
          </cell>
          <cell r="X856" t="str">
            <v>Healthcare &amp; Pharma</v>
          </cell>
          <cell r="Y856" t="str">
            <v>Health, Pharmaceuticals</v>
          </cell>
        </row>
        <row r="857">
          <cell r="A857" t="str">
            <v>Dryve</v>
          </cell>
        </row>
        <row r="858">
          <cell r="A858" t="str">
            <v>Dsquares</v>
          </cell>
          <cell r="B858" t="str">
            <v>Dsquares specializes in offering loyalty programs that bring our customers closer to their consumers</v>
          </cell>
          <cell r="C858" t="str">
            <v>Active</v>
          </cell>
          <cell r="D858">
            <v>2012</v>
          </cell>
          <cell r="G858" t="str">
            <v>Egypt</v>
          </cell>
          <cell r="X858" t="str">
            <v>Information Technology</v>
          </cell>
          <cell r="Y858" t="str">
            <v>Information Services, Information Technology, Loyalty Programs, Software</v>
          </cell>
        </row>
        <row r="859">
          <cell r="A859" t="str">
            <v>Dukaconnect</v>
          </cell>
          <cell r="B859" t="str">
            <v>We empower the 30-40 million (mostly female) small business entrepreneurs of the developing world to compete with supermarkets and e-commerce.</v>
          </cell>
          <cell r="C859" t="str">
            <v>Active</v>
          </cell>
          <cell r="D859">
            <v>2016</v>
          </cell>
          <cell r="G859" t="str">
            <v>Kenya</v>
          </cell>
          <cell r="X859" t="str">
            <v>E-Commerce &amp; Retail</v>
          </cell>
          <cell r="Y859" t="str">
            <v>AI, Machine Learning</v>
          </cell>
        </row>
        <row r="860">
          <cell r="A860" t="str">
            <v>Eclectics Group</v>
          </cell>
          <cell r="B860" t="str">
            <v>premium product ranges, high-quality music and entertainment, and a commitment to high service levels and standards</v>
          </cell>
          <cell r="C860" t="str">
            <v>Active</v>
          </cell>
          <cell r="D860">
            <v>2006</v>
          </cell>
          <cell r="X860" t="str">
            <v>Music</v>
          </cell>
          <cell r="Y860" t="str">
            <v>Food and Beverage, Music</v>
          </cell>
        </row>
        <row r="861">
          <cell r="A861" t="str">
            <v>Dusupay</v>
          </cell>
          <cell r="B861" t="str">
            <v>We provide payments infrastructure that businesses use to accept and make payments in Africa.</v>
          </cell>
          <cell r="C861" t="str">
            <v>Active</v>
          </cell>
          <cell r="D861">
            <v>2015</v>
          </cell>
          <cell r="G861" t="str">
            <v>Uganda</v>
          </cell>
          <cell r="X861" t="str">
            <v>Financial Services</v>
          </cell>
          <cell r="Y861" t="str">
            <v>Merchant Payments, online Payments, Mobile payments</v>
          </cell>
        </row>
        <row r="862">
          <cell r="A862" t="str">
            <v>FriendsVow</v>
          </cell>
          <cell r="B862" t="str">
            <v>Friendsvow is the Internet Bank of Credit, connecting people with financial credit online.</v>
          </cell>
          <cell r="C862" t="str">
            <v>Active</v>
          </cell>
          <cell r="D862">
            <v>2011</v>
          </cell>
          <cell r="G862" t="str">
            <v>USA</v>
          </cell>
          <cell r="X862" t="str">
            <v>Financial services</v>
          </cell>
          <cell r="Y862" t="str">
            <v>Blockchain, financial services, FinTech</v>
          </cell>
        </row>
        <row r="863">
          <cell r="A863" t="str">
            <v>Ecodome Maroc</v>
          </cell>
          <cell r="G863" t="str">
            <v>Casablanca</v>
          </cell>
          <cell r="X863" t="str">
            <v>Real Estate</v>
          </cell>
        </row>
        <row r="864">
          <cell r="A864" t="str">
            <v>Ecosure</v>
          </cell>
          <cell r="B864" t="str">
            <v>Ecosure has a big hairy audacious goal to improve ecosystem resilience of 100 million hectares and 1000 islands worldwide by 2030</v>
          </cell>
          <cell r="C864" t="str">
            <v>Active</v>
          </cell>
          <cell r="D864">
            <v>1994</v>
          </cell>
          <cell r="X864" t="str">
            <v>Energy &amp; Environment Resources</v>
          </cell>
        </row>
        <row r="865">
          <cell r="A865" t="str">
            <v>eduAir</v>
          </cell>
          <cell r="B865" t="str">
            <v>EduAirBox (Formerly KwiiziBox ) is the concept name to offer a better education via digital with or without internet. Our work focuses on the design of portable and open media libraries in the form of Boxes giving access to millions of educational content and offering an integrated communication system where learners can collaborate and make video calls within the local network deployed by the Box.</v>
          </cell>
          <cell r="C865" t="str">
            <v>Active</v>
          </cell>
          <cell r="D865">
            <v>2014</v>
          </cell>
          <cell r="X865" t="str">
            <v>Education</v>
          </cell>
          <cell r="Y865" t="str">
            <v>Education online, , Access to knowledge without Internet, MOOC, WebRTC, HTML5, Education, Students, Internet, Offline, Books, Video, collaboration, Wi-fi, Communication, and EduTech</v>
          </cell>
        </row>
        <row r="866">
          <cell r="A866" t="str">
            <v>educartis</v>
          </cell>
          <cell r="B866" t="str">
            <v>An education listing that connects learners in Africa with local and international higher education providers.</v>
          </cell>
          <cell r="C866" t="str">
            <v>Active</v>
          </cell>
          <cell r="D866">
            <v>2017</v>
          </cell>
          <cell r="X866" t="str">
            <v>Education</v>
          </cell>
          <cell r="Y866" t="str">
            <v>Higher Education</v>
          </cell>
        </row>
        <row r="867">
          <cell r="A867" t="str">
            <v>Eduna</v>
          </cell>
          <cell r="B867" t="str">
            <v>All-in-one Software to manage Schools and Colleges - Product of TAKWID GROUP</v>
          </cell>
          <cell r="C867" t="str">
            <v>Active</v>
          </cell>
          <cell r="D867">
            <v>2014</v>
          </cell>
          <cell r="X867" t="str">
            <v>Education</v>
          </cell>
        </row>
        <row r="868">
          <cell r="A868" t="str">
            <v>Efarm</v>
          </cell>
          <cell r="B868" t="str">
            <v>At its' core, Event Farm is a customized online invitation, ticketing and guest registration platform being used all over the world by organizations such as: Facebook, Twitter, Time Inc., Bentley, Conde Naste, Walmart, BET, etc</v>
          </cell>
          <cell r="C868" t="str">
            <v>Active</v>
          </cell>
          <cell r="D868">
            <v>2011</v>
          </cell>
          <cell r="X868" t="str">
            <v>Commercial &amp; Professional Services</v>
          </cell>
          <cell r="Y868" t="str">
            <v>Brand Marketing, Event Management, Events, Software</v>
          </cell>
        </row>
        <row r="869">
          <cell r="A869" t="str">
            <v>E-SOUKLOU</v>
          </cell>
          <cell r="B869" t="str">
            <v>E_SOUKLOU is a solution that solves the problem of overcrowded classrooms.</v>
          </cell>
          <cell r="C869" t="str">
            <v>Active</v>
          </cell>
          <cell r="G869" t="str">
            <v>Ivory Coast</v>
          </cell>
          <cell r="X869" t="str">
            <v>Education</v>
          </cell>
          <cell r="Y869" t="str">
            <v>Ed-Tech</v>
          </cell>
        </row>
        <row r="870">
          <cell r="A870" t="str">
            <v>Ekasi Bucks</v>
          </cell>
          <cell r="B870" t="str">
            <v>Buck is an AI-powered local shopping mate that speaks or texts you to get your orders or reservations. It works around your neighborhood and you can ask anything from Buck, from pizza to a yoga class.</v>
          </cell>
          <cell r="C870" t="str">
            <v>Active</v>
          </cell>
          <cell r="D870">
            <v>2017</v>
          </cell>
          <cell r="X870" t="str">
            <v>Emerging Technologies</v>
          </cell>
          <cell r="Y870" t="str">
            <v>Artificial Intelligence, Retail Technology, Software</v>
          </cell>
        </row>
        <row r="871">
          <cell r="A871" t="str">
            <v>Eastpesa</v>
          </cell>
          <cell r="B871" t="str">
            <v>Eastpesa delivers affordable instant money remittance services anytime, anywhere to mobile money and bank accounts in Africa from across the globe</v>
          </cell>
          <cell r="C871" t="str">
            <v>Active</v>
          </cell>
          <cell r="D871">
            <v>2016</v>
          </cell>
          <cell r="G871" t="str">
            <v>Kenya</v>
          </cell>
          <cell r="X871" t="str">
            <v>Financial Services</v>
          </cell>
          <cell r="Y871" t="str">
            <v>Financial Services, FinTech, Payments</v>
          </cell>
        </row>
        <row r="872">
          <cell r="A872" t="str">
            <v>El3Ab</v>
          </cell>
          <cell r="B872" t="str">
            <v>El3ab catered to the gaming market with a selection of Arabic games such as Backgammon and card games mostly played in social settings</v>
          </cell>
          <cell r="C872" t="str">
            <v>Active</v>
          </cell>
          <cell r="D872">
            <v>2002</v>
          </cell>
          <cell r="X872" t="str">
            <v>Media &amp; Entertainment</v>
          </cell>
          <cell r="Y872" t="str">
            <v>Gaming, PC Games, Video Games</v>
          </cell>
        </row>
        <row r="873">
          <cell r="A873" t="str">
            <v>Easyshop Easycook</v>
          </cell>
          <cell r="B873" t="str">
            <v>An online fresh food processor and grocer targeting working professionals and SMEs based in Nigeria.</v>
          </cell>
          <cell r="C873" t="str">
            <v>Active</v>
          </cell>
          <cell r="D873">
            <v>2006</v>
          </cell>
          <cell r="G873" t="str">
            <v>Nigeria</v>
          </cell>
          <cell r="X873" t="str">
            <v>E-Commerce &amp; Retail</v>
          </cell>
          <cell r="Y873" t="str">
            <v>Agriculture, Food Delivery, Logistics, Supply Chain Management</v>
          </cell>
        </row>
        <row r="874">
          <cell r="A874" t="str">
            <v>Elatech</v>
          </cell>
          <cell r="B874" t="str">
            <v>Professionalism, experience and reliability make Elatech® the ideal partner to find solutions for simple or complex applications in linear motion, precise and synchronized transportation, lifting and power transmission</v>
          </cell>
          <cell r="C874" t="str">
            <v>Active</v>
          </cell>
          <cell r="D874">
            <v>2003</v>
          </cell>
          <cell r="X874" t="str">
            <v>Information Technology</v>
          </cell>
          <cell r="Y874" t="str">
            <v>Engineered for Excellence</v>
          </cell>
        </row>
        <row r="875">
          <cell r="A875" t="str">
            <v>Eleis Farm</v>
          </cell>
          <cell r="B875" t="str">
            <v>Eleis Farm is a family startup producing and marketing sustainable palm oil on the north coast of Guinea. Established in 2013, we work closely with smallholder farmers, helping them increase their yield while reducing their impact on the environme</v>
          </cell>
          <cell r="C875" t="str">
            <v>Active</v>
          </cell>
          <cell r="D875">
            <v>2013</v>
          </cell>
          <cell r="X875" t="str">
            <v>Agriculture</v>
          </cell>
          <cell r="Y875" t="str">
            <v>Farming</v>
          </cell>
        </row>
        <row r="876">
          <cell r="A876" t="str">
            <v>Elham Education</v>
          </cell>
          <cell r="B876" t="str">
            <v>Our goal is to deliver affordable multimedia lessons in high quality. The platform will be available through various app stores such as the Apple App Store, Google Market (Android), and the Windows App Store</v>
          </cell>
          <cell r="C876" t="str">
            <v>Active</v>
          </cell>
          <cell r="D876">
            <v>2016</v>
          </cell>
          <cell r="X876" t="str">
            <v>Education</v>
          </cell>
          <cell r="Y876" t="str">
            <v>EdTech, Education</v>
          </cell>
        </row>
        <row r="877">
          <cell r="A877" t="str">
            <v>Elikham Systems Limited</v>
          </cell>
          <cell r="B877" t="str">
            <v>Offer professional, reliable, affordable wastewater treatment systems, plumbing works and solar systems services of recent advance technologies</v>
          </cell>
          <cell r="C877" t="str">
            <v>Active</v>
          </cell>
          <cell r="D877">
            <v>2015</v>
          </cell>
          <cell r="X877" t="str">
            <v>Renewables &amp; Environment</v>
          </cell>
          <cell r="Y877" t="str">
            <v>Renewables &amp; Environment</v>
          </cell>
        </row>
        <row r="878">
          <cell r="A878" t="str">
            <v>Founa</v>
          </cell>
          <cell r="C878" t="str">
            <v>Active</v>
          </cell>
        </row>
        <row r="879">
          <cell r="A879" t="str">
            <v>Emprego</v>
          </cell>
          <cell r="B879" t="str">
            <v>EMPREGO connects companies and talented professionals for a matchmaking success in careers and business.</v>
          </cell>
          <cell r="C879" t="str">
            <v>Active</v>
          </cell>
          <cell r="D879">
            <v>1999</v>
          </cell>
          <cell r="G879" t="str">
            <v>Angola</v>
          </cell>
        </row>
        <row r="880">
          <cell r="A880" t="str">
            <v>Eco Makaa</v>
          </cell>
          <cell r="B880" t="str">
            <v>Eco Makaa’ is an e-commerce company that connects local fuel briquette producers to a client base. These fuel briquettes are smokeless eco-friendly alternatives to wood charcoal</v>
          </cell>
          <cell r="C880" t="str">
            <v>Active</v>
          </cell>
          <cell r="D880">
            <v>2018</v>
          </cell>
          <cell r="G880" t="str">
            <v>Kenya</v>
          </cell>
          <cell r="X880" t="str">
            <v>Energy &amp; Environment Resources</v>
          </cell>
          <cell r="Y880" t="str">
            <v>Clean Energy, Renewable Energy</v>
          </cell>
        </row>
        <row r="881">
          <cell r="A881" t="str">
            <v>EcoAct Tanzania</v>
          </cell>
          <cell r="B881" t="str">
            <v>EcoAct Tanzania, is a social enterprise established to address the challenges of post consumer plastic pollution, waste management, deforestation and climate change</v>
          </cell>
          <cell r="C881" t="str">
            <v>Active</v>
          </cell>
          <cell r="D881">
            <v>2015</v>
          </cell>
          <cell r="G881" t="str">
            <v>Tanzania</v>
          </cell>
          <cell r="X881" t="str">
            <v>Energy &amp; Environment Resources</v>
          </cell>
          <cell r="Y881" t="str">
            <v>Recycling, Waste management</v>
          </cell>
        </row>
        <row r="882">
          <cell r="A882" t="str">
            <v>Endobo</v>
          </cell>
          <cell r="B882" t="str">
            <v>Endobo, a Near Filed Communication (NFC) enabled card that can be topped with credit via MTN Mobile Money (MoMo) lets passengers take taxis cashless</v>
          </cell>
          <cell r="C882" t="str">
            <v>Active</v>
          </cell>
        </row>
        <row r="883">
          <cell r="A883" t="str">
            <v>ENGINEERING CONNECTIONS (EC)</v>
          </cell>
          <cell r="C883" t="str">
            <v>Active</v>
          </cell>
        </row>
        <row r="884">
          <cell r="A884" t="str">
            <v>Engineering Hub</v>
          </cell>
          <cell r="B884" t="str">
            <v>Engineering Hub provides information technology services and solutions for Rwanda-based mobile and banking integration platforms.</v>
          </cell>
          <cell r="C884" t="str">
            <v>Active</v>
          </cell>
          <cell r="D884">
            <v>2017</v>
          </cell>
          <cell r="G884" t="str">
            <v>Rwanda</v>
          </cell>
          <cell r="X884" t="str">
            <v>Information Technology</v>
          </cell>
          <cell r="Y884" t="str">
            <v>Mobile telecommunication, Software, Trading, Consultation</v>
          </cell>
        </row>
        <row r="885">
          <cell r="A885" t="str">
            <v>eNimiro</v>
          </cell>
          <cell r="B885" t="str">
            <v>ENimiro offers a web platform where urban people can invest in farmers to increase harvest when farming, make money through investment and sharing of culture</v>
          </cell>
        </row>
        <row r="886">
          <cell r="A886" t="str">
            <v>Futuremed</v>
          </cell>
          <cell r="B886" t="str">
            <v>For over 30 years Futuremed has equipped healthcare providers with state-of-the-art medical instruments. We specialize in spirometry, electrocardiography, patient warming, and a unique, new transilluminator designed to locate veins in neonatal and premie babies.</v>
          </cell>
          <cell r="C886" t="str">
            <v>Active</v>
          </cell>
          <cell r="D886">
            <v>1980</v>
          </cell>
          <cell r="X886" t="str">
            <v>Healthcare &amp; Pharma</v>
          </cell>
          <cell r="Y886" t="str">
            <v>Hospital &amp; Health Care</v>
          </cell>
        </row>
        <row r="887">
          <cell r="A887" t="str">
            <v>Enoch Diary</v>
          </cell>
          <cell r="B887" t="str">
            <v>The Enoch Diary is a platform that will publish and distribute content ranging from books, ebooks, music, movies, app, software, games, art and courses; digitally and using traditional means.</v>
          </cell>
          <cell r="C887" t="str">
            <v>Active</v>
          </cell>
          <cell r="D887">
            <v>2013</v>
          </cell>
          <cell r="G887" t="str">
            <v>Nigeria</v>
          </cell>
          <cell r="X887" t="str">
            <v>Information Technology</v>
          </cell>
          <cell r="Y887" t="str">
            <v>Information Technology</v>
          </cell>
        </row>
        <row r="888">
          <cell r="A888" t="str">
            <v>Entersekt</v>
          </cell>
          <cell r="B888" t="str">
            <v>Innovator in mobile identity and payments enablement</v>
          </cell>
          <cell r="D888">
            <v>2008</v>
          </cell>
          <cell r="G888" t="str">
            <v>South Africa</v>
          </cell>
          <cell r="X888" t="str">
            <v>Information Technology</v>
          </cell>
          <cell r="Y888" t="str">
            <v>Apps, Finance, FinTech, Mobile, Mobile Payments, Security, Software</v>
          </cell>
        </row>
        <row r="889">
          <cell r="A889" t="str">
            <v xml:space="preserve">Entersekt </v>
          </cell>
          <cell r="B889" t="str">
            <v>Entersekt is an innovator of mobile-first fintech solutions. Financial services providers and other enterprises rely on its patented mobile identity system to provide both security and the best in convenient new digital experiences to their customers, irrespective of the service channel</v>
          </cell>
          <cell r="C889" t="str">
            <v>Active</v>
          </cell>
        </row>
        <row r="890">
          <cell r="A890" t="str">
            <v>eHealth Africa</v>
          </cell>
          <cell r="B890" t="str">
            <v>eHealth Africa works closely with health NGOs in order to provide them with technology solutions that will enhance their on-going and new health programs</v>
          </cell>
          <cell r="C890" t="str">
            <v>Active</v>
          </cell>
          <cell r="D890">
            <v>2010</v>
          </cell>
          <cell r="G890" t="str">
            <v>Nigeria</v>
          </cell>
          <cell r="X890" t="str">
            <v>Information Technology</v>
          </cell>
          <cell r="Y890" t="str">
            <v>Health Care, Information Technology, Management Information Systems</v>
          </cell>
        </row>
        <row r="891">
          <cell r="A891" t="str">
            <v>ENVision mobile</v>
          </cell>
          <cell r="B891" t="str">
            <v>Our Business Intelligence platform uses machine learning to provide digital real-time insights and recommendations to grow corner stores.</v>
          </cell>
          <cell r="C891" t="str">
            <v>Active</v>
          </cell>
          <cell r="D891">
            <v>2019</v>
          </cell>
          <cell r="G891" t="str">
            <v>United States</v>
          </cell>
          <cell r="X891" t="str">
            <v>Information Technology</v>
          </cell>
          <cell r="Y891" t="str">
            <v>Software</v>
          </cell>
        </row>
        <row r="892">
          <cell r="A892" t="str">
            <v>Eksab</v>
          </cell>
          <cell r="B892" t="str">
            <v>Eksab is the MENA region’s fastest growing daily fantasy sports platform</v>
          </cell>
          <cell r="C892" t="str">
            <v>Active</v>
          </cell>
          <cell r="D892">
            <v>2017</v>
          </cell>
          <cell r="G892" t="str">
            <v>Egypt</v>
          </cell>
          <cell r="X892" t="str">
            <v>Media/ Entertainment</v>
          </cell>
          <cell r="Y892" t="str">
            <v>Fantasy Sports</v>
          </cell>
        </row>
        <row r="893">
          <cell r="A893" t="str">
            <v>Getbucks</v>
          </cell>
          <cell r="B893" t="str">
            <v>GetBucks is a fintech company that embraces technology as a means to provide financial products and services to its customers.</v>
          </cell>
          <cell r="C893" t="str">
            <v>Active</v>
          </cell>
          <cell r="D893">
            <v>2010</v>
          </cell>
          <cell r="G893" t="str">
            <v>South Africa</v>
          </cell>
          <cell r="X893" t="str">
            <v>Financial Services</v>
          </cell>
          <cell r="Y893" t="str">
            <v>Finance, Financial Services, FinTech</v>
          </cell>
        </row>
        <row r="894">
          <cell r="A894" t="str">
            <v>ePay</v>
          </cell>
          <cell r="C894" t="str">
            <v>Active</v>
          </cell>
        </row>
        <row r="895">
          <cell r="A895" t="str">
            <v>Gron Digital</v>
          </cell>
          <cell r="B895" t="str">
            <v>Gron Digital is a secure, transparent, auditable and fair Gaming Platform on the Blockchain.</v>
          </cell>
          <cell r="C895" t="str">
            <v>Active</v>
          </cell>
          <cell r="D895">
            <v>2017</v>
          </cell>
          <cell r="G895" t="str">
            <v>South Africa</v>
          </cell>
          <cell r="X895" t="str">
            <v>Information Technology</v>
          </cell>
          <cell r="Y895" t="str">
            <v>Blockchain, Gambling, Gaming, Information Technology</v>
          </cell>
        </row>
        <row r="896">
          <cell r="A896" t="str">
            <v>Esacco</v>
          </cell>
          <cell r="B896" t="str">
            <v>Web Based Micro Finance Software</v>
          </cell>
          <cell r="C896" t="str">
            <v>Active</v>
          </cell>
          <cell r="D896">
            <v>2013</v>
          </cell>
          <cell r="X896" t="str">
            <v>Information Technology</v>
          </cell>
          <cell r="Y896" t="str">
            <v>Information Technology, Software</v>
          </cell>
        </row>
        <row r="897">
          <cell r="A897" t="str">
            <v>Esaja</v>
          </cell>
          <cell r="B897" t="str">
            <v>Esaja is Africa's business platform. Hop over and get rolling if you're a buyer, supplier or service provider.</v>
          </cell>
          <cell r="C897" t="str">
            <v>Active</v>
          </cell>
          <cell r="D897">
            <v>2013</v>
          </cell>
          <cell r="X897" t="str">
            <v>E-Commerce &amp; Retail</v>
          </cell>
          <cell r="Y897" t="str">
            <v>B2B, E-Commerce, Enterprise Software, Finance, Internet</v>
          </cell>
        </row>
        <row r="898">
          <cell r="A898" t="str">
            <v>ElMawkaa</v>
          </cell>
          <cell r="B898" t="str">
            <v>ElMawkaa is a marketplace for all your construction needs</v>
          </cell>
          <cell r="C898" t="str">
            <v>Active</v>
          </cell>
          <cell r="D898">
            <v>2015</v>
          </cell>
          <cell r="G898" t="str">
            <v>Egypt</v>
          </cell>
          <cell r="X898" t="str">
            <v>E-Commerce &amp; Retail</v>
          </cell>
          <cell r="Y898" t="str">
            <v>Apps, Construction, IT Management, Mobile Apps</v>
          </cell>
        </row>
        <row r="899">
          <cell r="A899" t="str">
            <v>eMart.cd</v>
          </cell>
          <cell r="B899" t="str">
            <v>We are an e-commerce platform for online sales of consumer products. In order to position ourselves directly between producers and consumers, we serve as a sales gateway for market-gardening moms and other local producers</v>
          </cell>
          <cell r="C899" t="str">
            <v>Active</v>
          </cell>
          <cell r="D899">
            <v>2016</v>
          </cell>
          <cell r="G899" t="str">
            <v>Democratic Republic of Congo</v>
          </cell>
          <cell r="X899" t="str">
            <v>E-Commerce &amp; Retail</v>
          </cell>
          <cell r="Y899" t="str">
            <v>Retail</v>
          </cell>
        </row>
        <row r="900">
          <cell r="A900" t="str">
            <v>Esene</v>
          </cell>
          <cell r="C900" t="str">
            <v>Active</v>
          </cell>
        </row>
        <row r="901">
          <cell r="A901" t="str">
            <v>EMGuidance</v>
          </cell>
          <cell r="B901" t="str">
            <v>EMGuidance provides instant access to locally relevant medicines information &amp; guidelines for medical professionals.</v>
          </cell>
          <cell r="C901" t="str">
            <v>Active</v>
          </cell>
          <cell r="D901">
            <v>2016</v>
          </cell>
          <cell r="G901" t="str">
            <v>South Africa</v>
          </cell>
          <cell r="X901" t="str">
            <v>Healthcare &amp; Pharma</v>
          </cell>
          <cell r="Y901" t="str">
            <v>Health Care, Information Technology</v>
          </cell>
        </row>
        <row r="902">
          <cell r="A902" t="str">
            <v>EmptyTrips</v>
          </cell>
          <cell r="B902" t="str">
            <v>EmptyTrips powers an intermodal AI enabled freight marketplace which instantly matches carriers &amp; shippers to book, auction, manage &amp; insure freight instantly.</v>
          </cell>
          <cell r="C902" t="str">
            <v>Acquired</v>
          </cell>
          <cell r="D902">
            <v>2016</v>
          </cell>
          <cell r="G902" t="str">
            <v>South Africa</v>
          </cell>
          <cell r="X902" t="str">
            <v>Transport &amp; Logistics</v>
          </cell>
          <cell r="Y902" t="str">
            <v>Transportation and Logistics</v>
          </cell>
        </row>
        <row r="903">
          <cell r="A903" t="str">
            <v>etranzact</v>
          </cell>
          <cell r="B903" t="str">
            <v>E-Tranzact is an e-payment solution provider</v>
          </cell>
          <cell r="C903" t="str">
            <v>Active</v>
          </cell>
          <cell r="D903">
            <v>2003</v>
          </cell>
          <cell r="X903" t="str">
            <v>Financial Services</v>
          </cell>
          <cell r="Y903" t="str">
            <v>Payments</v>
          </cell>
        </row>
        <row r="904">
          <cell r="A904" t="str">
            <v>Energrow</v>
          </cell>
          <cell r="B904" t="str">
            <v>EnerGrow is a tech based socio-economic development catalyst, growing sustainable electricity demand by means of digital financial inclusion, business training and increased energy literacy.</v>
          </cell>
          <cell r="C904" t="str">
            <v>Active</v>
          </cell>
          <cell r="D904">
            <v>2018</v>
          </cell>
          <cell r="G904" t="str">
            <v>Uganda</v>
          </cell>
          <cell r="X904" t="str">
            <v>Energy &amp; Environment Resources</v>
          </cell>
          <cell r="Y904" t="str">
            <v>Lending, Credit Scoring, Asset Financing</v>
          </cell>
        </row>
        <row r="905">
          <cell r="A905" t="str">
            <v>Energy Shift</v>
          </cell>
          <cell r="B905" t="str">
            <v>Shift Energy is focused on providing innovative energy efficiency technology and services.</v>
          </cell>
          <cell r="C905" t="str">
            <v>Active</v>
          </cell>
          <cell r="D905">
            <v>2009</v>
          </cell>
          <cell r="G905" t="str">
            <v>South Africa</v>
          </cell>
          <cell r="X905" t="str">
            <v>Energy &amp; Environment Resources</v>
          </cell>
          <cell r="Y905" t="str">
            <v>Energy, Information Technology</v>
          </cell>
        </row>
        <row r="906">
          <cell r="A906" t="str">
            <v>Eneza Education</v>
          </cell>
          <cell r="B906" t="str">
            <v>Eneza Education aims to make 50 Million students in rural Africa smarter by leveraging low cost mobile technology. We're a virtual tutor and teacher's assistant that uses high quality educational content for students and relevant data, tips and resources for teachers, all on a simple mobile phone.</v>
          </cell>
          <cell r="C906" t="str">
            <v>Active</v>
          </cell>
          <cell r="D906">
            <v>2011</v>
          </cell>
          <cell r="G906" t="str">
            <v>Kenya</v>
          </cell>
          <cell r="X906" t="str">
            <v>Education</v>
          </cell>
          <cell r="Y906" t="str">
            <v>Educational Content, Mobile Learning, E-Learning, Edtech</v>
          </cell>
        </row>
        <row r="907">
          <cell r="A907" t="str">
            <v>Enfinite Solutions Ltd</v>
          </cell>
          <cell r="B907" t="str">
            <v>Through premium products like WakiliCMS and EliteSuite, Enfinite solutions Ltd strives to make sure that law firms and legal departments are ran efficiently to minimize costs, increase profits and improve decision making criteria.</v>
          </cell>
          <cell r="C907" t="str">
            <v>Active</v>
          </cell>
          <cell r="D907">
            <v>2007</v>
          </cell>
          <cell r="G907" t="str">
            <v>Kenya</v>
          </cell>
          <cell r="X907" t="str">
            <v>Information Technology</v>
          </cell>
          <cell r="Y907" t="str">
            <v>Software Development</v>
          </cell>
        </row>
        <row r="908">
          <cell r="A908" t="str">
            <v>Engage &amp; Prosper Africa</v>
          </cell>
          <cell r="B908" t="str">
            <v>Engage &amp; Prosper Africa provides financial literacy to the bottom of the economic pyramid that is often left out by the conventional financial system.</v>
          </cell>
          <cell r="C908" t="str">
            <v>Active</v>
          </cell>
          <cell r="D908">
            <v>2018</v>
          </cell>
          <cell r="G908" t="str">
            <v>Kenya</v>
          </cell>
          <cell r="X908" t="str">
            <v>Education</v>
          </cell>
          <cell r="Y908" t="str">
            <v>Financial education</v>
          </cell>
        </row>
        <row r="909">
          <cell r="A909" t="str">
            <v>GiftedMom</v>
          </cell>
          <cell r="B909" t="str">
            <v>GiftedMom is a mobile-based maternal health education solution to reduce maternal mortality rates in emerging markets by 9.7% annually</v>
          </cell>
          <cell r="C909" t="str">
            <v>Active</v>
          </cell>
          <cell r="D909">
            <v>2013</v>
          </cell>
          <cell r="G909" t="str">
            <v>Cameroon</v>
          </cell>
          <cell r="X909" t="str">
            <v>Healthcare &amp; Pharma</v>
          </cell>
          <cell r="Y909" t="str">
            <v>Communities, Health Care, Information Services, Information Technology</v>
          </cell>
        </row>
        <row r="910">
          <cell r="A910" t="str">
            <v>Etudesk</v>
          </cell>
          <cell r="B910" t="str">
            <v>Etudesk is an EdTech company trying to make online education more accessible to everyone in emerging markets.</v>
          </cell>
          <cell r="C910" t="str">
            <v>Active</v>
          </cell>
          <cell r="X910" t="str">
            <v>Education</v>
          </cell>
          <cell r="Y910" t="str">
            <v>E-Learning, EdTech, Education, Human Resources</v>
          </cell>
        </row>
        <row r="911">
          <cell r="A911" t="str">
            <v>EveryLayer</v>
          </cell>
          <cell r="B911" t="str">
            <v>EveryLayer brings high quality affordable broadband to emerging markets in Africa and Asia which have the highest growth of new internet users. Our technology and software platform allows us to significantly reduce the required CapEx and and OpEx for last mile network buildout and operations. We have a unique business model that allows us to grow rapidly and partner with existing service providers</v>
          </cell>
          <cell r="C911" t="str">
            <v>Acquired</v>
          </cell>
          <cell r="D911">
            <v>1986</v>
          </cell>
          <cell r="X911" t="str">
            <v>Media Production</v>
          </cell>
          <cell r="Y911" t="str">
            <v>Broadcasting, Music, News</v>
          </cell>
        </row>
        <row r="912">
          <cell r="A912" t="str">
            <v>Excel@Uni</v>
          </cell>
          <cell r="B912" t="str">
            <v>Excel@Uni builds web applications and online tools that assist our clients with student selection, fund disbursement, reporting and success interventions</v>
          </cell>
          <cell r="C912" t="str">
            <v>Active</v>
          </cell>
          <cell r="D912">
            <v>2013</v>
          </cell>
          <cell r="G912" t="str">
            <v>South Africa</v>
          </cell>
        </row>
        <row r="913">
          <cell r="A913" t="str">
            <v>Exportunity Gbc2</v>
          </cell>
          <cell r="B913" t="str">
            <v>African trade platform using the postal and mobile banking infrastructures as trade points.</v>
          </cell>
          <cell r="C913" t="str">
            <v>Active</v>
          </cell>
          <cell r="D913">
            <v>2015</v>
          </cell>
          <cell r="X913" t="str">
            <v>E-Commerce &amp; Retail</v>
          </cell>
          <cell r="Y913" t="str">
            <v>e-commerce, Trade, PREPAID VISA CARDS, and SHIPPING</v>
          </cell>
        </row>
        <row r="914">
          <cell r="A914" t="str">
            <v>Ensibuuko</v>
          </cell>
          <cell r="B914" t="str">
            <v>Ensibuuko is a leading Uganda-based fintech whose work seeks to address financial inclusion in Africa. Ensibuuko's proprietory Mobis microfinance software helps cooperative microfinance entities automate their data, process and payments so as to become efficient in delivering financial services in their communities.</v>
          </cell>
          <cell r="C914" t="str">
            <v>Active</v>
          </cell>
          <cell r="D914">
            <v>2014</v>
          </cell>
          <cell r="G914" t="str">
            <v>Uganda</v>
          </cell>
          <cell r="X914" t="str">
            <v>Financial Services</v>
          </cell>
          <cell r="Y914" t="str">
            <v>Micro-finance Software, SACCO Software, Credit Union Software, Mobile Banking</v>
          </cell>
        </row>
        <row r="915">
          <cell r="A915" t="str">
            <v>Eyone</v>
          </cell>
          <cell r="B915" t="str">
            <v>EYONE is an IT company specializing in software publishing, consulting and information systems architecture.We offer applications available on-site or online on computer, tablet and mobile.</v>
          </cell>
          <cell r="C915" t="str">
            <v>Active</v>
          </cell>
          <cell r="D915">
            <v>2017</v>
          </cell>
          <cell r="X915" t="str">
            <v>Information Technology</v>
          </cell>
          <cell r="Y915" t="str">
            <v>software publishing</v>
          </cell>
        </row>
        <row r="916">
          <cell r="A916" t="str">
            <v>Grass Root Bima</v>
          </cell>
          <cell r="B916" t="str">
            <v>GrassRoots Bima is an insurtech company established to meet the insurance needs of the mass market through innovative inclusive insurance</v>
          </cell>
          <cell r="C916" t="str">
            <v>Active</v>
          </cell>
          <cell r="D916">
            <v>2016</v>
          </cell>
          <cell r="X916" t="str">
            <v>Financial Services</v>
          </cell>
          <cell r="Y916" t="str">
            <v>Fin Tech · Insurance · Mobile Payments · Financial Services</v>
          </cell>
        </row>
        <row r="917">
          <cell r="A917" t="str">
            <v>EzyAgric</v>
          </cell>
          <cell r="C917" t="str">
            <v>Active</v>
          </cell>
        </row>
        <row r="918">
          <cell r="A918" t="str">
            <v>Famunera</v>
          </cell>
          <cell r="B918" t="str">
            <v>Famunera is a web and mobile agribusiness marketplace that helps farmer groups to find genuine market for their agricultural commodities and also source for quality inputs, equipment, machinery and support services in Uganda and around East Africa</v>
          </cell>
        </row>
        <row r="919">
          <cell r="A919" t="str">
            <v>Farm Fresh</v>
          </cell>
          <cell r="C919" t="str">
            <v>Active</v>
          </cell>
        </row>
        <row r="920">
          <cell r="A920" t="str">
            <v>Farmally</v>
          </cell>
          <cell r="B920" t="str">
            <v>Farmally is a student-centered agricultural crowdfunding platform. We aim to be the go-to platform for students willing to invest part of their money for a better future.</v>
          </cell>
          <cell r="C920" t="str">
            <v>Active</v>
          </cell>
          <cell r="D920">
            <v>2018</v>
          </cell>
        </row>
        <row r="921">
          <cell r="A921" t="str">
            <v>Farmart</v>
          </cell>
          <cell r="B921" t="str">
            <v>FarMart aims to provide access of the latest agricultural machinery and modern technology to every farmers.</v>
          </cell>
          <cell r="C921" t="str">
            <v>Active</v>
          </cell>
          <cell r="D921">
            <v>2015</v>
          </cell>
          <cell r="X921" t="str">
            <v>E-Commerce &amp; Retail</v>
          </cell>
          <cell r="Y921" t="str">
            <v>Agriculture, Farming, Social Entrepreneurship</v>
          </cell>
        </row>
        <row r="922">
          <cell r="A922" t="str">
            <v>Farmer Link</v>
          </cell>
        </row>
        <row r="923">
          <cell r="A923" t="str">
            <v>Esoko</v>
          </cell>
          <cell r="B923" t="str">
            <v>Esoko is a pioneering technology company powering Africa’s digital revolution. The company does this through the development of simple but powerful mobile and web-based tools and services that empower organizations seeking to provide critical services to the last mile. Our mission is to improve the revenues of Africa’s rural people and we hope to drive economic empowerment for Africa’s rural folks through digital and financial inclusion.</v>
          </cell>
          <cell r="C923" t="str">
            <v>Active</v>
          </cell>
          <cell r="D923">
            <v>2007</v>
          </cell>
          <cell r="G923" t="str">
            <v>Ghana</v>
          </cell>
          <cell r="X923" t="str">
            <v>Agriculture</v>
          </cell>
          <cell r="Y923" t="str">
            <v>Agriculture, Apps, Information Technology, Internet, Mobile, Social Entrepreneurship, Telecommunications</v>
          </cell>
        </row>
        <row r="924">
          <cell r="A924" t="str">
            <v>Estate Intel</v>
          </cell>
          <cell r="B924" t="str">
            <v>Across the African continent, there is a lack of centralised and actionable data on the most important commercial real estate market indicators for effective decision making. Where it is available, it is often in silos, unstructured, costly and varies markedly based on the source</v>
          </cell>
          <cell r="C924" t="str">
            <v>Active</v>
          </cell>
          <cell r="D924">
            <v>2014</v>
          </cell>
          <cell r="G924" t="str">
            <v>Nigeria</v>
          </cell>
          <cell r="X924" t="str">
            <v>Real Estate</v>
          </cell>
          <cell r="Y924" t="str">
            <v>Real Estate</v>
          </cell>
        </row>
        <row r="925">
          <cell r="A925" t="str">
            <v>FarmFresh</v>
          </cell>
          <cell r="B925" t="str">
            <v>Bringing the cold chain to Nigeria to lower post-harvest losses of fruits and vegetables</v>
          </cell>
          <cell r="C925" t="str">
            <v>Active</v>
          </cell>
          <cell r="X925" t="str">
            <v>Agriculture</v>
          </cell>
          <cell r="Y925" t="str">
            <v>Internet, Shopping</v>
          </cell>
        </row>
        <row r="926">
          <cell r="A926" t="str">
            <v>Eteyelo</v>
          </cell>
          <cell r="B926" t="str">
            <v>Eteyelo Services SARL specializes in the design, creation and industrialization of digital tools for education. We offer a digital work and learning environment integrating a messaging system accessible to all staff of schools, students and parents through the web, USSD / SMS and mobile application.</v>
          </cell>
          <cell r="C926" t="str">
            <v>Active</v>
          </cell>
          <cell r="D926">
            <v>2015</v>
          </cell>
          <cell r="G926" t="str">
            <v>Democratic Republic of Congo</v>
          </cell>
          <cell r="X926" t="str">
            <v>Education</v>
          </cell>
          <cell r="Y926" t="str">
            <v>Computer Software</v>
          </cell>
        </row>
        <row r="927">
          <cell r="A927" t="str">
            <v>Farmgate Africa</v>
          </cell>
          <cell r="B927" t="str">
            <v>FarmGate Africa is a company focused on providing major processors and international buyers the opportunity to purchase commodities directly from farming clusters.</v>
          </cell>
          <cell r="C927" t="str">
            <v>Active</v>
          </cell>
          <cell r="D927">
            <v>2018</v>
          </cell>
          <cell r="G927" t="str">
            <v>Nigeria</v>
          </cell>
          <cell r="X927" t="str">
            <v>Agriculture</v>
          </cell>
          <cell r="Y927" t="str">
            <v>Farming, Credit</v>
          </cell>
        </row>
        <row r="928">
          <cell r="A928" t="str">
            <v>Farmovo</v>
          </cell>
          <cell r="B928" t="str">
            <v>Our flagship service offering is the Farmovo e-farming where you can buy/fund a farm and share in the returns of the harvest of our crop, fish or poultry farms with a contract period of 5-18 months depending on the gestation period of the farm and share in the harvest with a ROI of between 10% to 32% depending on the farm type and farming cycle. Your returns are assured regardless of eventualities because all our farms are insured</v>
          </cell>
          <cell r="C928" t="str">
            <v>Active</v>
          </cell>
          <cell r="D928">
            <v>2018</v>
          </cell>
          <cell r="X928" t="str">
            <v>Financial Services</v>
          </cell>
          <cell r="Y928" t="str">
            <v>Farming, Agriculture</v>
          </cell>
        </row>
        <row r="929">
          <cell r="A929" t="str">
            <v>Farmpin</v>
          </cell>
          <cell r="B929" t="str">
            <v>FarmPin helps farmers pinpoint plant performance by getting satellite maps and insights into their hands</v>
          </cell>
          <cell r="C929" t="str">
            <v>Active</v>
          </cell>
          <cell r="D929">
            <v>2016</v>
          </cell>
          <cell r="X929" t="str">
            <v>Information Technology</v>
          </cell>
          <cell r="Y929" t="str">
            <v>Information Technology and Services</v>
          </cell>
        </row>
        <row r="930">
          <cell r="A930" t="str">
            <v>Farosian</v>
          </cell>
          <cell r="B930" t="str">
            <v>Farosian is a specialist social media company, which partners with businesses to better understand the complexities associated with social media, by creating detailed and client specific social media policy, training for staff on the "do and do nots" of social media, as well as our flagship product, being social media screening auditing reports</v>
          </cell>
          <cell r="C930" t="str">
            <v>Active</v>
          </cell>
          <cell r="D930">
            <v>2015</v>
          </cell>
          <cell r="G930" t="str">
            <v>South Africa</v>
          </cell>
        </row>
        <row r="931">
          <cell r="A931" t="str">
            <v>Gwanxi Invest</v>
          </cell>
          <cell r="B931" t="str">
            <v>Guanxi-invest is a crowdfunding platform that allows entrepreneurs to find investors for their projects.</v>
          </cell>
          <cell r="C931" t="str">
            <v>Active</v>
          </cell>
          <cell r="X931" t="str">
            <v>Financial Services</v>
          </cell>
        </row>
        <row r="932">
          <cell r="A932" t="str">
            <v>Fashpa</v>
          </cell>
          <cell r="B932" t="str">
            <v>Welcome to Nigeria’s leading online fashion destination! Shopping online at Fashpa.com in Nigeria means the days of looking through endless boutiques and car boot sales to find that perfect fashion item and buying it at an expensive price when you do are long gone.</v>
          </cell>
          <cell r="D932">
            <v>2014</v>
          </cell>
          <cell r="X932" t="str">
            <v>E-Commerce &amp; Retail</v>
          </cell>
          <cell r="Y932" t="str">
            <v>E-Commerce, Fashion, Retail</v>
          </cell>
        </row>
        <row r="933">
          <cell r="A933" t="str">
            <v>Expressions Global Group</v>
          </cell>
          <cell r="B933" t="str">
            <v>Expressions Global Group Ltd is a Kenyan based company that was established in 2015 with the aim of providing Eco-friendly, Economical and Sustainable Solutions to water access issues in Kenya and across the larger East Africa Region</v>
          </cell>
          <cell r="C933" t="str">
            <v>Active</v>
          </cell>
          <cell r="D933">
            <v>2015</v>
          </cell>
          <cell r="G933" t="str">
            <v>Kenya</v>
          </cell>
          <cell r="X933" t="str">
            <v>Resource&amp; Energy</v>
          </cell>
          <cell r="Y933" t="str">
            <v>Water access, Environment</v>
          </cell>
        </row>
        <row r="934">
          <cell r="A934" t="str">
            <v>Health Solutions Africa</v>
          </cell>
          <cell r="B934" t="str">
            <v>Interactive Health is a provider of Wellness solutions.</v>
          </cell>
          <cell r="C934" t="str">
            <v>Active</v>
          </cell>
          <cell r="D934">
            <v>1991</v>
          </cell>
          <cell r="X934" t="str">
            <v>Healthcare &amp; Pharma</v>
          </cell>
          <cell r="Y934" t="str">
            <v>Health Care</v>
          </cell>
        </row>
        <row r="935">
          <cell r="A935" t="str">
            <v>Faso Attieke</v>
          </cell>
          <cell r="X935" t="str">
            <v>Agriculture</v>
          </cell>
        </row>
        <row r="936">
          <cell r="A936" t="str">
            <v>Fauna</v>
          </cell>
          <cell r="B936" t="str">
            <v>FaunaDB is a global transactional database offering multi-region strong consistency, relational modeling, and unlimited horizontal scale.</v>
          </cell>
          <cell r="D936">
            <v>2011</v>
          </cell>
          <cell r="X936" t="str">
            <v>Information Technology</v>
          </cell>
          <cell r="Y936" t="str">
            <v>Database, Developer Tools, Information Technology, Software</v>
          </cell>
        </row>
        <row r="937">
          <cell r="A937" t="str">
            <v>Favizone</v>
          </cell>
          <cell r="B937" t="str">
            <v>Favizone is a SaaS solution to automate conversational commerce and customer service through multilingual and multichannel virtual assistant</v>
          </cell>
          <cell r="C937" t="str">
            <v>Active</v>
          </cell>
          <cell r="D937">
            <v>2016</v>
          </cell>
          <cell r="X937" t="str">
            <v>Information Technology</v>
          </cell>
          <cell r="Y937" t="str">
            <v>Artificial Intelligence, E-Commerce, Information Technology, Messaging</v>
          </cell>
        </row>
        <row r="938">
          <cell r="A938" t="str">
            <v>FairMoney</v>
          </cell>
          <cell r="B938" t="str">
            <v>FairMoney is an application using smartphone data to build an instant credit score and give loans to individuals &amp; small businesses in Emerging Markets.</v>
          </cell>
          <cell r="C938" t="str">
            <v>Active</v>
          </cell>
          <cell r="D938">
            <v>2017</v>
          </cell>
          <cell r="G938" t="str">
            <v>France</v>
          </cell>
          <cell r="X938" t="str">
            <v>Financial Services</v>
          </cell>
          <cell r="Y938" t="str">
            <v>Financial services, Micro-loans, FinTech</v>
          </cell>
        </row>
        <row r="939">
          <cell r="A939" t="str">
            <v>Falling Up Studios</v>
          </cell>
          <cell r="B939" t="str">
            <v>Falling Up studios are amkers of Award winning the Precious Cargo video game</v>
          </cell>
          <cell r="C939" t="str">
            <v>Active</v>
          </cell>
          <cell r="D939">
            <v>2018</v>
          </cell>
          <cell r="G939" t="str">
            <v>South Africa</v>
          </cell>
          <cell r="X939" t="str">
            <v>Media/Entertainment</v>
          </cell>
          <cell r="Y939" t="str">
            <v>Video Game</v>
          </cell>
        </row>
        <row r="940">
          <cell r="A940" t="str">
            <v>Filkhedma</v>
          </cell>
          <cell r="B940" t="str">
            <v>FilKhedma provides maintenance services for homes and offices in Egypt.</v>
          </cell>
          <cell r="C940" t="str">
            <v>Active</v>
          </cell>
          <cell r="D940">
            <v>2014</v>
          </cell>
          <cell r="X940" t="str">
            <v>Commercial &amp; Professional Services</v>
          </cell>
          <cell r="Y940" t="str">
            <v>Home Services, Sharing Economy</v>
          </cell>
        </row>
        <row r="941">
          <cell r="A941" t="str">
            <v>Helpmum</v>
          </cell>
          <cell r="B941" t="str">
            <v>Helpmum is a mobile health platform that helps improve the health condition of pregnant women and infant babies</v>
          </cell>
          <cell r="C941" t="str">
            <v>Active</v>
          </cell>
          <cell r="D941">
            <v>2013</v>
          </cell>
          <cell r="G941" t="str">
            <v>Nigeria</v>
          </cell>
          <cell r="X941" t="str">
            <v>Healthcare &amp; Pharma</v>
          </cell>
          <cell r="Y941" t="str">
            <v>Infomation Technology, Health</v>
          </cell>
        </row>
        <row r="942">
          <cell r="A942" t="str">
            <v>Fineazy</v>
          </cell>
          <cell r="B942" t="str">
            <v>Fin-Ed-Tech - Improving financial literacy in Ghana (and later the rest of Africa) using chat bots, storytelling, and personalised learning</v>
          </cell>
          <cell r="C942" t="str">
            <v>Active</v>
          </cell>
          <cell r="D942">
            <v>2018</v>
          </cell>
          <cell r="G942" t="str">
            <v>Ghana</v>
          </cell>
          <cell r="X942" t="str">
            <v>Education</v>
          </cell>
          <cell r="Y942" t="str">
            <v>Education, Financial Services, Information Technology</v>
          </cell>
        </row>
        <row r="943">
          <cell r="A943" t="str">
            <v>Farm.Ink</v>
          </cell>
          <cell r="B943" t="str">
            <v>Farm.ink, a Nairobi-based start-up that has integrated a Fall Armyworm Virtual Advisor into its Africa Farmers Club mobile service is an online group and chatbot providing more than 150,000 farmers across Africa with farming information</v>
          </cell>
          <cell r="C943" t="str">
            <v>Active</v>
          </cell>
          <cell r="D943">
            <v>2016</v>
          </cell>
          <cell r="G943" t="str">
            <v>Kenya</v>
          </cell>
          <cell r="X943" t="str">
            <v>Agriculture</v>
          </cell>
          <cell r="Y943" t="str">
            <v>Information Services, Farming</v>
          </cell>
        </row>
        <row r="944">
          <cell r="A944" t="str">
            <v>Humaniq</v>
          </cell>
          <cell r="B944" t="str">
            <v>Humaniq is a global Fintech company that provides next-generation financial services in emerging economies.</v>
          </cell>
          <cell r="C944" t="str">
            <v>Active</v>
          </cell>
          <cell r="D944">
            <v>2016</v>
          </cell>
          <cell r="X944" t="str">
            <v>Financial Services</v>
          </cell>
          <cell r="Y944" t="str">
            <v>Blockchain, Finance, Financial Services, FinTech, Information Technology</v>
          </cell>
        </row>
        <row r="945">
          <cell r="A945" t="str">
            <v>Farmdrive</v>
          </cell>
          <cell r="B945" t="str">
            <v>FarmDrive uses mobile phones, alternative data, and machine learning to close the critical data gap that prevents financial institutions from lending to creditworthy smallholder farmers.</v>
          </cell>
          <cell r="C945" t="str">
            <v>Active</v>
          </cell>
          <cell r="D945">
            <v>2014</v>
          </cell>
          <cell r="G945" t="str">
            <v>Kenya</v>
          </cell>
          <cell r="X945" t="str">
            <v>Financial Services</v>
          </cell>
          <cell r="Y945" t="str">
            <v>Agriculture, Analytics, FinTech, Information Services, Information Technology, Software</v>
          </cell>
        </row>
        <row r="946">
          <cell r="A946" t="str">
            <v>Firebird</v>
          </cell>
          <cell r="B946" t="str">
            <v>Firebird is an open source SQL relational database management system that runs on Linux, Windows, OSX , Android and a variety of Unixes</v>
          </cell>
          <cell r="C946" t="str">
            <v>Active</v>
          </cell>
          <cell r="D946">
            <v>2009</v>
          </cell>
          <cell r="X946" t="str">
            <v>Information Technology</v>
          </cell>
          <cell r="Y946" t="str">
            <v>Artificial Intelligence, Business Intelligence, Information Technology, Machine Learning, Quantum Computing, Software</v>
          </cell>
        </row>
        <row r="947">
          <cell r="A947" t="str">
            <v>Farmerline</v>
          </cell>
          <cell r="B947" t="str">
            <v>Farmerline is a Ghanaian social business working to transform the lives of millions of farmers. We deploy mobile and web technologies that bring farming advice, weather forecasts, market information and financial tips to farmers who are traditionally out-of-reach due to barriers in connectivity, illiteracy, and language.</v>
          </cell>
          <cell r="C947" t="str">
            <v>Active</v>
          </cell>
          <cell r="D947">
            <v>2012</v>
          </cell>
          <cell r="G947" t="str">
            <v>Ghana</v>
          </cell>
          <cell r="X947" t="str">
            <v>Agriculture</v>
          </cell>
          <cell r="Y947" t="str">
            <v>Agtech, Data Analytics</v>
          </cell>
        </row>
        <row r="948">
          <cell r="A948" t="str">
            <v>Firefly Media</v>
          </cell>
          <cell r="B948" t="str">
            <v>Firefly Media is a one-stop-shop that serves businesses through design, marketing, WordPress expertise, and branding</v>
          </cell>
          <cell r="C948" t="str">
            <v>Active</v>
          </cell>
          <cell r="D948">
            <v>2009</v>
          </cell>
          <cell r="X948" t="str">
            <v>Commercial &amp; Professional Services</v>
          </cell>
          <cell r="Y948" t="str">
            <v>Marketing, News, Social News</v>
          </cell>
        </row>
        <row r="949">
          <cell r="A949" t="str">
            <v>Impala Coin</v>
          </cell>
          <cell r="B949" t="str">
            <v>Digital Currency in Kenya</v>
          </cell>
          <cell r="C949" t="str">
            <v>Active</v>
          </cell>
          <cell r="D949">
            <v>2011</v>
          </cell>
          <cell r="X949" t="str">
            <v>Financial Services</v>
          </cell>
          <cell r="Y949" t="str">
            <v>Finance, Financial Services, FinTech</v>
          </cell>
        </row>
        <row r="950">
          <cell r="A950" t="str">
            <v>FarmIT</v>
          </cell>
          <cell r="B950" t="str">
            <v>FarmIT is an agricultural mobile based startup that uses crop mapping mobile technology to send real time and reliable agronomic, crop protection and husbandry practices to small scale horticultural farmers with an aim of improving livelihoods.</v>
          </cell>
          <cell r="C950" t="str">
            <v>Active</v>
          </cell>
          <cell r="D950">
            <v>2018</v>
          </cell>
          <cell r="G950" t="str">
            <v>Kenya</v>
          </cell>
          <cell r="X950" t="str">
            <v>Agriculture</v>
          </cell>
          <cell r="Y950" t="str">
            <v>Agritech</v>
          </cell>
        </row>
        <row r="951">
          <cell r="A951" t="str">
            <v>Inclusive Financial Technologies</v>
          </cell>
          <cell r="B951" t="str">
            <v>Inclusive Financial Technologies focuses on connecting unbanked Africans to the global economy through a single identity verification API.</v>
          </cell>
          <cell r="D951">
            <v>2016</v>
          </cell>
          <cell r="X951" t="str">
            <v>Financial Services</v>
          </cell>
          <cell r="Y951" t="str">
            <v>Finance</v>
          </cell>
        </row>
        <row r="952">
          <cell r="A952" t="str">
            <v>Fix-Tecnologies</v>
          </cell>
          <cell r="C952" t="str">
            <v>Active</v>
          </cell>
        </row>
        <row r="953">
          <cell r="A953" t="str">
            <v>Farmru</v>
          </cell>
          <cell r="B953" t="str">
            <v>Farmru uses soil moisture, humidity and light sensors connected to a micro controller to monitor the environment and trigger automatic irrigation only when it is required. This saves water and helps to maintain optimal soil quality</v>
          </cell>
          <cell r="C953" t="str">
            <v>Active</v>
          </cell>
          <cell r="D953">
            <v>2017</v>
          </cell>
          <cell r="G953" t="str">
            <v>South Africa</v>
          </cell>
          <cell r="X953" t="str">
            <v>Agriculture</v>
          </cell>
          <cell r="Y953" t="str">
            <v>AgriTech, Smart farming</v>
          </cell>
        </row>
        <row r="954">
          <cell r="A954" t="str">
            <v>FixChap</v>
          </cell>
          <cell r="B954" t="str">
            <v>FixChap, a digital platform in Tanzania through which clients can book repair requests and get connected instantly to verified local handymen, sourced from vocational training institutions</v>
          </cell>
          <cell r="C954" t="str">
            <v>Active</v>
          </cell>
          <cell r="D954">
            <v>2017</v>
          </cell>
          <cell r="G954" t="str">
            <v>Tanzania</v>
          </cell>
          <cell r="X954" t="str">
            <v>Information Technology</v>
          </cell>
          <cell r="Y954" t="str">
            <v>Repair needs</v>
          </cell>
        </row>
        <row r="955">
          <cell r="A955" t="str">
            <v>Fixxr</v>
          </cell>
          <cell r="B955" t="str">
            <v>Fixxr is a convenient, affordable and transparent online car services platform that matches car owners with experienced mobile mechanics.</v>
          </cell>
          <cell r="C955" t="str">
            <v>Active</v>
          </cell>
          <cell r="D955">
            <v>2018</v>
          </cell>
          <cell r="G955" t="str">
            <v>South Africa</v>
          </cell>
          <cell r="X955" t="str">
            <v>Commercial &amp; Professional Services</v>
          </cell>
          <cell r="Y955" t="str">
            <v>Car Services &amp; Repairs, Mobile Mechanics, Car Services, Car Repairs, and Mechanic Marketplace</v>
          </cell>
        </row>
        <row r="956">
          <cell r="A956" t="str">
            <v>Flash Pay</v>
          </cell>
          <cell r="C956" t="str">
            <v>Active</v>
          </cell>
        </row>
        <row r="957">
          <cell r="A957" t="str">
            <v>Flippify</v>
          </cell>
          <cell r="B957" t="str">
            <v>Flippfly is a tiny studio started by two brothers who quit their jobs to create indie games full-time.</v>
          </cell>
          <cell r="C957" t="str">
            <v>Active</v>
          </cell>
          <cell r="D957">
            <v>2011</v>
          </cell>
          <cell r="X957" t="str">
            <v>Media &amp; Entertainment</v>
          </cell>
          <cell r="Y957" t="str">
            <v>Games</v>
          </cell>
        </row>
        <row r="958">
          <cell r="A958" t="str">
            <v>Flock</v>
          </cell>
          <cell r="B958" t="str">
            <v>Flock is a real-time messaging and collaboration app for teams that speeds up and simplifies communication and boosts productivity.</v>
          </cell>
          <cell r="C958" t="str">
            <v>Active</v>
          </cell>
          <cell r="D958">
            <v>2014</v>
          </cell>
          <cell r="G958" t="str">
            <v>South Africa</v>
          </cell>
          <cell r="Y958" t="str">
            <v>Apps, Collaboration, Developer Platform, Enterprise Software, Messaging, Productivity Tools, Video Chat</v>
          </cell>
        </row>
        <row r="959">
          <cell r="A959" t="str">
            <v>Hearbeat Adventures</v>
          </cell>
          <cell r="B959" t="str">
            <v>Hearbeat Adventures is a tours and travel company that delights in offering unique &amp; high quality tours &amp; excursions services.</v>
          </cell>
          <cell r="C959" t="str">
            <v>Acquired</v>
          </cell>
          <cell r="D959">
            <v>2017</v>
          </cell>
          <cell r="G959" t="str">
            <v>Kenya</v>
          </cell>
          <cell r="X959" t="str">
            <v>Tours &amp; Travel</v>
          </cell>
          <cell r="Y959" t="str">
            <v>Tourism, Travel</v>
          </cell>
        </row>
        <row r="960">
          <cell r="A960" t="str">
            <v>Field Insight (Delivery Science)</v>
          </cell>
          <cell r="B960" t="str">
            <v>We help businesses in Africa get data from the field to manage and monitor their distribution assets smarter.</v>
          </cell>
          <cell r="C960" t="str">
            <v>Active</v>
          </cell>
          <cell r="D960">
            <v>2014</v>
          </cell>
          <cell r="G960" t="str">
            <v>Nigeria</v>
          </cell>
          <cell r="X960" t="str">
            <v>Information Technology</v>
          </cell>
          <cell r="Y960" t="str">
            <v>Mobile technology, Supply Chain technology, Data Analytics, Software Development</v>
          </cell>
        </row>
        <row r="961">
          <cell r="A961" t="str">
            <v>Flowius</v>
          </cell>
          <cell r="B961" t="str">
            <v>Flowius builds radically affordable piped water systems.</v>
          </cell>
          <cell r="C961" t="str">
            <v>Active</v>
          </cell>
          <cell r="D961">
            <v>2010</v>
          </cell>
          <cell r="Y961" t="str">
            <v>Water To Homes</v>
          </cell>
        </row>
        <row r="962">
          <cell r="A962" t="str">
            <v>Findworka</v>
          </cell>
          <cell r="B962" t="str">
            <v>We build software products and supply development talents.</v>
          </cell>
          <cell r="C962" t="str">
            <v>Active</v>
          </cell>
          <cell r="D962">
            <v>2016</v>
          </cell>
          <cell r="G962" t="str">
            <v>Nigeria</v>
          </cell>
          <cell r="X962" t="str">
            <v>Commercial &amp; Professional Services</v>
          </cell>
          <cell r="Y962" t="str">
            <v>Outsourcing, Software</v>
          </cell>
        </row>
        <row r="963">
          <cell r="A963" t="str">
            <v>Fluss</v>
          </cell>
        </row>
        <row r="964">
          <cell r="A964" t="str">
            <v>FINT</v>
          </cell>
          <cell r="B964" t="str">
            <v>Nigeria's first peer to peer lending platform</v>
          </cell>
          <cell r="C964" t="str">
            <v>Active</v>
          </cell>
          <cell r="D964">
            <v>2017</v>
          </cell>
          <cell r="G964" t="str">
            <v>Nigeria</v>
          </cell>
          <cell r="X964" t="str">
            <v>Financial services</v>
          </cell>
          <cell r="Y964" t="str">
            <v>FinTech, Loans, P2P Lending</v>
          </cell>
        </row>
        <row r="965">
          <cell r="A965" t="str">
            <v>Fo Sho</v>
          </cell>
          <cell r="B965" t="str">
            <v>Fo-Sho is a peer-to-peer insurtech that is powered by technology to bring affordable short-term insurance to South African markets.</v>
          </cell>
          <cell r="C965" t="str">
            <v>Active</v>
          </cell>
          <cell r="D965">
            <v>2014</v>
          </cell>
          <cell r="G965" t="str">
            <v>South Africa</v>
          </cell>
          <cell r="X965" t="str">
            <v>Financial Services</v>
          </cell>
          <cell r="Y965" t="str">
            <v>Insurance, Peer to Peer</v>
          </cell>
        </row>
        <row r="966">
          <cell r="A966" t="str">
            <v>Food nexus</v>
          </cell>
          <cell r="B966" t="str">
            <v>Nexus is an Information Technology company.</v>
          </cell>
          <cell r="C966" t="str">
            <v>Active</v>
          </cell>
          <cell r="D966">
            <v>1997</v>
          </cell>
          <cell r="X966" t="str">
            <v>Information Technology</v>
          </cell>
          <cell r="Y966" t="str">
            <v>Information Technology</v>
          </cell>
        </row>
        <row r="967">
          <cell r="A967" t="str">
            <v>FootMo Kit</v>
          </cell>
          <cell r="B967" t="str">
            <v>A diagnostic device that monitors Foot and Mouth Disease in livestock with multiple vital parameters in one test. FootMo Kit have a strong team well versed in the agricultural sector as well as software developers</v>
          </cell>
        </row>
        <row r="968">
          <cell r="A968" t="str">
            <v>Forasna</v>
          </cell>
          <cell r="C968" t="str">
            <v>Active</v>
          </cell>
          <cell r="G968" t="str">
            <v>Egypt</v>
          </cell>
        </row>
        <row r="969">
          <cell r="A969" t="str">
            <v>Formplus</v>
          </cell>
          <cell r="B969" t="str">
            <v>Formplus is a cloud-based, enterprise-focused data collection SaaS.</v>
          </cell>
          <cell r="C969" t="str">
            <v>Active</v>
          </cell>
          <cell r="D969">
            <v>2014</v>
          </cell>
          <cell r="X969" t="str">
            <v>Information Technology</v>
          </cell>
          <cell r="Y969" t="str">
            <v>Cloud Storage, Information Services, Information Technology, Small and Medium Businesses</v>
          </cell>
        </row>
        <row r="970">
          <cell r="A970" t="str">
            <v>Interpay Africa</v>
          </cell>
          <cell r="B970" t="str">
            <v>Interpay Africa is a electronic payment platform that facilitates traditional transactions and e-commerce Interpay facilitates.</v>
          </cell>
          <cell r="C970" t="str">
            <v>Active</v>
          </cell>
          <cell r="D970">
            <v>2014</v>
          </cell>
          <cell r="G970" t="str">
            <v>Ghana</v>
          </cell>
          <cell r="X970" t="str">
            <v>Financial Services</v>
          </cell>
          <cell r="Y970" t="str">
            <v>Internet, Payments</v>
          </cell>
        </row>
        <row r="971">
          <cell r="A971" t="str">
            <v>Franc Group</v>
          </cell>
          <cell r="B971" t="str">
            <v>Franc makes investing affordable, accessible and social.</v>
          </cell>
          <cell r="C971" t="str">
            <v>Active</v>
          </cell>
          <cell r="D971">
            <v>2016</v>
          </cell>
          <cell r="G971" t="str">
            <v>South Africa</v>
          </cell>
          <cell r="X971" t="str">
            <v>Information Technology</v>
          </cell>
          <cell r="Y971" t="str">
            <v>Mobile app</v>
          </cell>
        </row>
        <row r="972">
          <cell r="A972" t="str">
            <v>FreshBox</v>
          </cell>
          <cell r="B972" t="str">
            <v>FreshBox is building modular, off-grid, solar powered, IoT equipped cold chain solutions to reduce post-harvest food loss in Rwanda and other developing nations.</v>
          </cell>
          <cell r="C972" t="str">
            <v>Active</v>
          </cell>
          <cell r="D972">
            <v>2018</v>
          </cell>
          <cell r="G972" t="str">
            <v>Kenya</v>
          </cell>
          <cell r="X972" t="str">
            <v>Agriculture</v>
          </cell>
          <cell r="Y972" t="str">
            <v>Solar, Agrictech</v>
          </cell>
        </row>
        <row r="973">
          <cell r="A973" t="str">
            <v>FreshSource</v>
          </cell>
          <cell r="B973" t="str">
            <v>FreshSource uses technology to efficiently manage fresh produce (fruits and vegetables) supply operations from farms to local vendors.</v>
          </cell>
          <cell r="C973" t="str">
            <v>Active</v>
          </cell>
          <cell r="D973">
            <v>2018</v>
          </cell>
          <cell r="G973" t="str">
            <v>Egypt</v>
          </cell>
          <cell r="X973" t="str">
            <v>Agriculture</v>
          </cell>
          <cell r="Y973" t="str">
            <v>Agriculture, Food and Beverage, Grocery, Information Technology, Logistics, Small and Medium Businesses, Supply Chain Management</v>
          </cell>
        </row>
        <row r="974">
          <cell r="A974" t="str">
            <v>Infiuss</v>
          </cell>
          <cell r="B974" t="str">
            <v>Infiuss is a blood bank management system that connects hospitals with blood banks to hospitals without blood banks.</v>
          </cell>
          <cell r="C974" t="str">
            <v>Active</v>
          </cell>
          <cell r="D974">
            <v>2016</v>
          </cell>
          <cell r="G974" t="str">
            <v>Cameroon</v>
          </cell>
          <cell r="X974" t="str">
            <v>Healthcare &amp; Pharma</v>
          </cell>
          <cell r="Y974" t="str">
            <v>Blood Bank</v>
          </cell>
        </row>
        <row r="975">
          <cell r="A975" t="str">
            <v>FriHuis</v>
          </cell>
          <cell r="B975" t="str">
            <v>FriHuis is real estate company with long-term orientation value, focused on providing emerging African nations with contemporary co-working space, and services for startups, entrepreneurs, freelancers and small businesses</v>
          </cell>
          <cell r="C975" t="str">
            <v>Active</v>
          </cell>
          <cell r="D975">
            <v>2018</v>
          </cell>
          <cell r="G975" t="str">
            <v>South Africa</v>
          </cell>
          <cell r="X975" t="str">
            <v>Real Estate</v>
          </cell>
          <cell r="Y975" t="str">
            <v>Communities, Real Estate</v>
          </cell>
        </row>
        <row r="976">
          <cell r="A976" t="str">
            <v>Frikmat</v>
          </cell>
          <cell r="C976" t="str">
            <v>Active</v>
          </cell>
          <cell r="G976" t="str">
            <v>Ghana</v>
          </cell>
        </row>
        <row r="977">
          <cell r="A977" t="str">
            <v>Fund4crowd</v>
          </cell>
          <cell r="B977" t="str">
            <v>Fund4Crowd is a free and easy online crowdfunding platform for anyone, anywhere in Zimbabwe. You can raise money for causes, projects, needs and dreams</v>
          </cell>
          <cell r="C977" t="str">
            <v>Active</v>
          </cell>
          <cell r="D977">
            <v>2016</v>
          </cell>
          <cell r="X977" t="str">
            <v>Financial Services</v>
          </cell>
        </row>
        <row r="978">
          <cell r="A978" t="str">
            <v>Informed Healthcare</v>
          </cell>
          <cell r="B978" t="str">
            <v>Informed Healthcare is a digital medical service provider.</v>
          </cell>
          <cell r="C978" t="str">
            <v>Active</v>
          </cell>
          <cell r="D978">
            <v>2014</v>
          </cell>
          <cell r="G978" t="str">
            <v>Egypt</v>
          </cell>
          <cell r="X978" t="str">
            <v>Healthcare &amp; Pharma</v>
          </cell>
          <cell r="Y978" t="str">
            <v>Health, Information Technology</v>
          </cell>
        </row>
        <row r="979">
          <cell r="A979" t="str">
            <v>Flyh2 Aerospace</v>
          </cell>
          <cell r="B979" t="str">
            <v>FlyH2 Aerospace builds hydrogen-powered electric unmanned aircrafts and provides aerial data solutions to companies and organizations.</v>
          </cell>
          <cell r="C979" t="str">
            <v>Active</v>
          </cell>
          <cell r="D979">
            <v>2009</v>
          </cell>
          <cell r="G979" t="str">
            <v>South Africa</v>
          </cell>
          <cell r="X979" t="str">
            <v>Emerging Technologies</v>
          </cell>
          <cell r="Y979" t="str">
            <v>DroneTech</v>
          </cell>
        </row>
        <row r="980">
          <cell r="A980" t="str">
            <v>Insyt</v>
          </cell>
          <cell r="B980" t="str">
            <v>Dedicated to helping SMSF advisers by providing accurate technical advice and information in this ever-changing field through a suite technical services</v>
          </cell>
          <cell r="C980" t="str">
            <v>Active</v>
          </cell>
          <cell r="D980">
            <v>2009</v>
          </cell>
          <cell r="G980" t="str">
            <v>Nigeria</v>
          </cell>
          <cell r="X980" t="str">
            <v>Financial Services</v>
          </cell>
          <cell r="Y980" t="str">
            <v>Accounting</v>
          </cell>
        </row>
        <row r="981">
          <cell r="A981" t="str">
            <v>Futurepump</v>
          </cell>
          <cell r="B981" t="str">
            <v>Futurepump develops solar-powered irrigation technologies to help the 500 million one-acre farmers around the world.</v>
          </cell>
          <cell r="C981" t="str">
            <v>Active</v>
          </cell>
          <cell r="D981">
            <v>2011</v>
          </cell>
          <cell r="X981" t="str">
            <v>Agriculture</v>
          </cell>
          <cell r="Y981" t="str">
            <v>Energy, Solar, Technical Support</v>
          </cell>
        </row>
        <row r="982">
          <cell r="A982" t="str">
            <v>Genius Centres</v>
          </cell>
          <cell r="B982" t="str">
            <v>Genius is the world's biggest encyclopedia of music reaching over 100 million people everywhere music fans connect across the internet.</v>
          </cell>
          <cell r="C982" t="str">
            <v>Active</v>
          </cell>
          <cell r="D982">
            <v>2009</v>
          </cell>
          <cell r="X982" t="str">
            <v>Education</v>
          </cell>
          <cell r="Y982" t="str">
            <v>Content, Digital Media, Internet, Music, Video</v>
          </cell>
        </row>
        <row r="983">
          <cell r="A983" t="str">
            <v>Geo Gecko</v>
          </cell>
          <cell r="B983" t="str">
            <v>Gecko, based in India, enables gesture control on users' smartphone, enabling them to trigger, capture, locate, and perform other tasks.</v>
          </cell>
          <cell r="C983" t="str">
            <v>Active</v>
          </cell>
          <cell r="D983">
            <v>2013</v>
          </cell>
          <cell r="X983" t="str">
            <v>Information Technology</v>
          </cell>
          <cell r="Y983" t="str">
            <v>Hardware, Software</v>
          </cell>
        </row>
        <row r="984">
          <cell r="A984" t="str">
            <v>Geopay</v>
          </cell>
          <cell r="B984" t="str">
            <v>GeoPay operates a mobile money transfer platform that enables value transfers via handsets and mobile devices for international markets.</v>
          </cell>
          <cell r="C984" t="str">
            <v>Active</v>
          </cell>
          <cell r="D984">
            <v>2011</v>
          </cell>
          <cell r="X984" t="str">
            <v>Wireless</v>
          </cell>
          <cell r="Y984" t="str">
            <v>Mobile, Payments, Transaction Processing</v>
          </cell>
        </row>
        <row r="985">
          <cell r="A985" t="str">
            <v>Get It</v>
          </cell>
          <cell r="B985" t="str">
            <v>Get It is a company that connects millions of people and organizations to the individual people.</v>
          </cell>
          <cell r="C985" t="str">
            <v>Active</v>
          </cell>
          <cell r="D985">
            <v>2006</v>
          </cell>
          <cell r="X985" t="str">
            <v>Information Technology</v>
          </cell>
          <cell r="Y985" t="str">
            <v>Classifieds, Communities, E-Commerce</v>
          </cell>
        </row>
        <row r="986">
          <cell r="A986" t="str">
            <v>Four One Financial Services</v>
          </cell>
          <cell r="B986" t="str">
            <v>Developing Financial Products that help people make economic progress through leveraging Technology in the Fintech Space.</v>
          </cell>
          <cell r="C986" t="str">
            <v>Active</v>
          </cell>
          <cell r="D986">
            <v>2016</v>
          </cell>
          <cell r="G986" t="str">
            <v>Uganda</v>
          </cell>
          <cell r="X986" t="str">
            <v>Financial Services</v>
          </cell>
          <cell r="Y986" t="str">
            <v>Retirement Benefits, Micro-loans, Credit scoring, Savings, Insurance</v>
          </cell>
        </row>
        <row r="987">
          <cell r="A987" t="str">
            <v>interstellar</v>
          </cell>
          <cell r="B987" t="str">
            <v>Interstellar supports global partner activities for the Stellar network, a free, open-source financial protocol.</v>
          </cell>
          <cell r="C987" t="str">
            <v>Active</v>
          </cell>
          <cell r="D987">
            <v>2017</v>
          </cell>
          <cell r="X987" t="str">
            <v>Financial Services</v>
          </cell>
          <cell r="Y987" t="str">
            <v>Blockchain, FinTech</v>
          </cell>
        </row>
        <row r="988">
          <cell r="A988" t="str">
            <v>Inuka Pap</v>
          </cell>
          <cell r="B988" t="str">
            <v>iNuka Pap provides instant emergency Financial Services to MFI and SACCO members through the iNuka Pap proprietary platform</v>
          </cell>
          <cell r="C988" t="str">
            <v>Active</v>
          </cell>
          <cell r="D988">
            <v>2016</v>
          </cell>
          <cell r="G988" t="str">
            <v>Kenya</v>
          </cell>
          <cell r="X988" t="str">
            <v>Financial Services</v>
          </cell>
          <cell r="Y988" t="str">
            <v>Financial Services</v>
          </cell>
        </row>
        <row r="989">
          <cell r="A989" t="str">
            <v>Glia Holdings</v>
          </cell>
          <cell r="G989" t="str">
            <v>Nigeria</v>
          </cell>
          <cell r="X989" t="str">
            <v>Other Technologies &amp; Information Technology</v>
          </cell>
        </row>
        <row r="990">
          <cell r="A990" t="str">
            <v>Global Opportunities</v>
          </cell>
          <cell r="B990" t="str">
            <v>We Create Successful Global Graduates</v>
          </cell>
          <cell r="C990" t="str">
            <v>Active</v>
          </cell>
          <cell r="D990">
            <v>2002</v>
          </cell>
          <cell r="X990" t="str">
            <v>Education</v>
          </cell>
          <cell r="Y990" t="str">
            <v>Education</v>
          </cell>
        </row>
        <row r="991">
          <cell r="A991" t="str">
            <v>Gloo.ng</v>
          </cell>
          <cell r="B991" t="str">
            <v>Africa's Biggest Online Supermarket</v>
          </cell>
          <cell r="C991" t="str">
            <v>Active</v>
          </cell>
          <cell r="D991">
            <v>2012</v>
          </cell>
          <cell r="G991" t="str">
            <v>Nigeria</v>
          </cell>
          <cell r="X991" t="str">
            <v>E-Commerce &amp; Retail</v>
          </cell>
          <cell r="Y991" t="str">
            <v>E-Commerce, Retail, Shopping</v>
          </cell>
        </row>
        <row r="992">
          <cell r="A992" t="str">
            <v>Glu Global (Pty) Ltd</v>
          </cell>
          <cell r="B992" t="str">
            <v>iPaaS - Integration Platform as a Service built for Client Self Sufficiency.</v>
          </cell>
          <cell r="C992" t="str">
            <v>Active</v>
          </cell>
          <cell r="D992">
            <v>2015</v>
          </cell>
          <cell r="G992" t="str">
            <v>South Africa</v>
          </cell>
          <cell r="X992" t="str">
            <v>Information Technology</v>
          </cell>
          <cell r="Y992" t="str">
            <v>AgTech, EdTech, FinTech, IaaS, Information Technology, PaaS, SaaS</v>
          </cell>
        </row>
        <row r="993">
          <cell r="A993" t="str">
            <v>Fundis</v>
          </cell>
          <cell r="B993" t="str">
            <v>Fundis is an online solution for the Gig economy, that links Kenyan craftsmen and technicians to gigs across Kenya.</v>
          </cell>
          <cell r="C993" t="str">
            <v>Active</v>
          </cell>
          <cell r="D993">
            <v>2016</v>
          </cell>
          <cell r="G993" t="str">
            <v>Kenya</v>
          </cell>
          <cell r="X993" t="str">
            <v>Commercial &amp; Professional Services</v>
          </cell>
          <cell r="Y993" t="str">
            <v>Jobs,  Employment</v>
          </cell>
        </row>
        <row r="994">
          <cell r="A994" t="str">
            <v>Fundrr</v>
          </cell>
          <cell r="B994" t="str">
            <v>At Fundrr, we provide small business funding that is tailored to help you grow your business on your terms. By us understanding your needs, we have created a platform that provides easy access to small business financing and can give you the freedom to focus on other aspects of running your business</v>
          </cell>
          <cell r="C994" t="str">
            <v>Active</v>
          </cell>
          <cell r="D994">
            <v>2017</v>
          </cell>
          <cell r="G994" t="str">
            <v>South Africa</v>
          </cell>
          <cell r="X994" t="str">
            <v>Financial Services</v>
          </cell>
          <cell r="Y994" t="str">
            <v>Financial Services, Credit Services</v>
          </cell>
        </row>
        <row r="995">
          <cell r="A995" t="str">
            <v>Furnwish</v>
          </cell>
          <cell r="B995" t="str">
            <v>Furnwish empowers furniture retailers and design professional to better showcase their products to the customers, in an engaging experience</v>
          </cell>
          <cell r="C995" t="str">
            <v>Active</v>
          </cell>
          <cell r="D995">
            <v>2017</v>
          </cell>
          <cell r="G995" t="str">
            <v>Egypt</v>
          </cell>
          <cell r="X995" t="str">
            <v>E-Commerce &amp; Retail</v>
          </cell>
          <cell r="Y995" t="str">
            <v>Retail</v>
          </cell>
        </row>
        <row r="996">
          <cell r="A996" t="str">
            <v>Golden papi</v>
          </cell>
          <cell r="G996" t="str">
            <v>Cameroon</v>
          </cell>
          <cell r="X996" t="str">
            <v>Software Development</v>
          </cell>
        </row>
        <row r="997">
          <cell r="A997" t="str">
            <v>GoMyCode</v>
          </cell>
          <cell r="G997" t="str">
            <v>Tunisia</v>
          </cell>
          <cell r="X997" t="str">
            <v>Information Technology</v>
          </cell>
        </row>
        <row r="998">
          <cell r="A998" t="str">
            <v>Fuzu</v>
          </cell>
          <cell r="B998" t="str">
            <v>Fuzu is your personal career companion that provides you with exciting job opportunities, new skills and career guidance at every step of the way.</v>
          </cell>
          <cell r="C998" t="str">
            <v>Active</v>
          </cell>
          <cell r="D998">
            <v>2013</v>
          </cell>
          <cell r="G998" t="str">
            <v>Kenya</v>
          </cell>
          <cell r="X998" t="str">
            <v>Recruitment</v>
          </cell>
          <cell r="Y998" t="str">
            <v>Career Development, Mobile Services Business, Talent Testing</v>
          </cell>
        </row>
        <row r="999">
          <cell r="A999" t="str">
            <v>Fyonka</v>
          </cell>
        </row>
        <row r="1000">
          <cell r="A1000" t="str">
            <v>Gebeya</v>
          </cell>
          <cell r="B1000" t="str">
            <v>We match highly skilled, certified and multilingual African IT professionals with customers across the world to develop innovative technology solutions, improving development efficiency, scalability, and mobile success.</v>
          </cell>
          <cell r="C1000" t="str">
            <v>Active</v>
          </cell>
          <cell r="D1000">
            <v>2016</v>
          </cell>
          <cell r="G1000" t="str">
            <v>Ethiopia</v>
          </cell>
          <cell r="X1000" t="str">
            <v>Recruitment</v>
          </cell>
          <cell r="Y1000" t="str">
            <v>Edtech, Information Technology, Marketplace, Software Engineering, Training</v>
          </cell>
        </row>
        <row r="1001">
          <cell r="A1001" t="str">
            <v>Goodie Tutors</v>
          </cell>
          <cell r="B1001" t="str">
            <v>We are an established private tutoring company offering lessons to students from the entire Gauteng Province</v>
          </cell>
          <cell r="C1001" t="str">
            <v>Active</v>
          </cell>
          <cell r="D1001">
            <v>2016</v>
          </cell>
          <cell r="G1001" t="str">
            <v>South Africa</v>
          </cell>
          <cell r="X1001" t="str">
            <v>Education</v>
          </cell>
          <cell r="Y1001" t="str">
            <v>Education Management</v>
          </cell>
        </row>
        <row r="1002">
          <cell r="A1002" t="str">
            <v>GovChat</v>
          </cell>
          <cell r="B1002" t="str">
            <v>GovChat enables citizens to connect and communicate with national, provincial and local government representatives in South Africa in real-time, through chatbots, Whatsapp and via USSD</v>
          </cell>
          <cell r="C1002" t="str">
            <v>Active</v>
          </cell>
          <cell r="D1002">
            <v>2016</v>
          </cell>
          <cell r="G1002" t="str">
            <v>South Africa</v>
          </cell>
          <cell r="X1002" t="str">
            <v>Information Technology</v>
          </cell>
          <cell r="Y1002" t="str">
            <v>Communications Infrastructure</v>
          </cell>
        </row>
        <row r="1003">
          <cell r="A1003" t="str">
            <v>GoZem</v>
          </cell>
          <cell r="B1003" t="str">
            <v>Gozem is a ride-hailing app based in Lome, Togo.</v>
          </cell>
          <cell r="C1003" t="str">
            <v>Active</v>
          </cell>
          <cell r="D1003">
            <v>2018</v>
          </cell>
          <cell r="G1003" t="str">
            <v>Singapore</v>
          </cell>
          <cell r="X1003" t="str">
            <v>Transport &amp; Logistics</v>
          </cell>
          <cell r="Y1003" t="str">
            <v>Ride-Hailing</v>
          </cell>
        </row>
        <row r="1004">
          <cell r="A1004" t="str">
            <v>Grabingo</v>
          </cell>
          <cell r="B1004" t="str">
            <v>We are the most genius idea of our time! We are the invention that digitized fidelity cards and transferred them into your smartphones! Magically, we customize your gained fidelity points into amazing opportunities, rewards and offers from your favorite stores</v>
          </cell>
          <cell r="C1004" t="str">
            <v>Active</v>
          </cell>
          <cell r="D1004">
            <v>2018</v>
          </cell>
          <cell r="X1004" t="str">
            <v>Financial Services</v>
          </cell>
          <cell r="Y1004" t="str">
            <v>Marketing and Advertising</v>
          </cell>
        </row>
        <row r="1005">
          <cell r="A1005" t="str">
            <v>Grafica</v>
          </cell>
          <cell r="B1005" t="str">
            <v>Grafica is a modular software-as-a-service solution for solar distributors in Africa.</v>
          </cell>
          <cell r="C1005" t="str">
            <v>Active</v>
          </cell>
          <cell r="D1005">
            <v>2015</v>
          </cell>
          <cell r="X1005" t="str">
            <v>Information Technology</v>
          </cell>
          <cell r="Y1005" t="str">
            <v>Information Technology, Internet, Software, Solar</v>
          </cell>
        </row>
        <row r="1006">
          <cell r="A1006" t="str">
            <v>Grain Theque</v>
          </cell>
          <cell r="B1006" t="str">
            <v>Grain is an online restaurant that makes use of data and a tech-enabled distribution network to serve food to customers.</v>
          </cell>
          <cell r="C1006" t="str">
            <v>Active</v>
          </cell>
          <cell r="D1006">
            <v>2014</v>
          </cell>
          <cell r="X1006" t="str">
            <v>Agriculture</v>
          </cell>
          <cell r="Y1006" t="str">
            <v>E-Commerce, Food and Beverage, Food Delivery, Organic Food, Sustainability</v>
          </cell>
        </row>
        <row r="1007">
          <cell r="A1007" t="str">
            <v>Kaeme</v>
          </cell>
          <cell r="B1007" t="str">
            <v>Kaeme is a 501(c)(3) that partners with the Ghanaian Department of Social Welfare to help children living in orphanages in Ghana find permanent homes through reunification with family members, adoption or foster-care. To accomplish this, Kaeme volunteer teams work hand-in-hand with Ghanaian social workers to survey orphanages across Ghana as part...</v>
          </cell>
          <cell r="C1007" t="str">
            <v>Active</v>
          </cell>
          <cell r="X1007" t="str">
            <v>Healthcare &amp; Pharma</v>
          </cell>
          <cell r="Y1007" t="str">
            <v>Health Care, Non Profit, Underserved Children</v>
          </cell>
        </row>
        <row r="1008">
          <cell r="A1008" t="str">
            <v>Global Energy</v>
          </cell>
          <cell r="B1008" t="str">
            <v>Global Energy is implementing a strategy to accelerate growth through innovation.</v>
          </cell>
          <cell r="C1008" t="str">
            <v>Active</v>
          </cell>
          <cell r="D1008">
            <v>2005</v>
          </cell>
          <cell r="G1008" t="str">
            <v>South Africa</v>
          </cell>
          <cell r="X1008" t="str">
            <v>Oil &amp; Energy</v>
          </cell>
          <cell r="Y1008" t="str">
            <v>Renewable Energy</v>
          </cell>
        </row>
        <row r="1009">
          <cell r="A1009" t="str">
            <v>Gravity</v>
          </cell>
          <cell r="B1009" t="str">
            <v>Our mission is to personalize the web. We specifically focus on content personalization, surfacing the best organic and native ad content.</v>
          </cell>
          <cell r="C1009" t="str">
            <v>Active</v>
          </cell>
          <cell r="D1009">
            <v>2009</v>
          </cell>
          <cell r="X1009" t="str">
            <v>Media &amp; Entertainment</v>
          </cell>
          <cell r="Y1009" t="str">
            <v>Advertising, Artificial Intelligence, Content, Internet, Machine Learning, Personalization</v>
          </cell>
        </row>
        <row r="1010">
          <cell r="A1010" t="str">
            <v>Green Charcoal</v>
          </cell>
          <cell r="G1010" t="str">
            <v>Uganda</v>
          </cell>
          <cell r="X1010" t="str">
            <v>Resource &amp; Energy</v>
          </cell>
        </row>
        <row r="1011">
          <cell r="A1011" t="str">
            <v>Green Fashion Store</v>
          </cell>
          <cell r="C1011" t="str">
            <v>Active</v>
          </cell>
        </row>
        <row r="1012">
          <cell r="A1012" t="str">
            <v>Green Keeper Africa</v>
          </cell>
        </row>
        <row r="1013">
          <cell r="A1013" t="str">
            <v>Golix</v>
          </cell>
          <cell r="B1013" t="str">
            <v>Golix is a Pan African fintech startup company that runs a cryptocurrencies exchange with the same name.</v>
          </cell>
          <cell r="C1013" t="str">
            <v>Active</v>
          </cell>
          <cell r="D1013">
            <v>2014</v>
          </cell>
          <cell r="G1013" t="str">
            <v>Zimbabwe</v>
          </cell>
          <cell r="X1013" t="str">
            <v>Financial Services</v>
          </cell>
          <cell r="Y1013" t="str">
            <v>Cryptocurrency, Blockchain, Exchange</v>
          </cell>
        </row>
        <row r="1014">
          <cell r="A1014" t="str">
            <v>Gometro</v>
          </cell>
          <cell r="B1014" t="str">
            <v>GoMetro helps you improve the way you move. We developed our GoMetro Pro Integrated Transport Planning solution to analyse transportation supply and demand in cities around the world.</v>
          </cell>
          <cell r="C1014" t="str">
            <v>Active</v>
          </cell>
          <cell r="D1014">
            <v>2011</v>
          </cell>
          <cell r="G1014" t="str">
            <v>South Africa</v>
          </cell>
          <cell r="X1014" t="str">
            <v>Transport &amp; Logistics</v>
          </cell>
          <cell r="Y1014" t="str">
            <v>Transport mapping, Data collection, Journey-planning, Mobility analytics, Real-time data streaming</v>
          </cell>
        </row>
        <row r="1015">
          <cell r="A1015" t="str">
            <v>Green Path</v>
          </cell>
          <cell r="B1015" t="str">
            <v>GreenPath is a national nonprofit that supports people's lifelong financial wellness.</v>
          </cell>
          <cell r="C1015" t="str">
            <v>Active</v>
          </cell>
          <cell r="D1015">
            <v>1961</v>
          </cell>
          <cell r="X1015" t="str">
            <v>Agriculture</v>
          </cell>
          <cell r="Y1015" t="str">
            <v>Financial Services, Non Profit, Wellness</v>
          </cell>
        </row>
        <row r="1016">
          <cell r="A1016" t="str">
            <v>Green Pavers</v>
          </cell>
          <cell r="B1016" t="str">
            <v>Green Pavers is a social enterprise that is addressing the affordable housing social challenge in Kenya while using waste materials generated from households and industries</v>
          </cell>
          <cell r="C1016" t="str">
            <v>Active</v>
          </cell>
          <cell r="G1016" t="str">
            <v>Kenya</v>
          </cell>
          <cell r="X1016" t="str">
            <v>Resource &amp; Energy</v>
          </cell>
        </row>
        <row r="1017">
          <cell r="A1017" t="str">
            <v>Greystone Partners</v>
          </cell>
          <cell r="B1017" t="str">
            <v>Greystone Partners is a value-added services firm that enhances and diversifies revenue streams for mobile operators and utility providers.</v>
          </cell>
          <cell r="C1017" t="str">
            <v>Active</v>
          </cell>
          <cell r="D1017">
            <v>2008</v>
          </cell>
          <cell r="X1017" t="str">
            <v>Public Relations and Communications</v>
          </cell>
          <cell r="Y1017" t="str">
            <v>Mobile, Telecommunications</v>
          </cell>
        </row>
        <row r="1018">
          <cell r="A1018" t="str">
            <v>GRICD Agroservices</v>
          </cell>
          <cell r="G1018" t="str">
            <v>Nigeria</v>
          </cell>
        </row>
        <row r="1019">
          <cell r="A1019" t="str">
            <v>Grohydro</v>
          </cell>
          <cell r="B1019" t="str">
            <v>GroHydro is based in Durban, KZN and supplies hydroponic growing equipment with over 20 years experience in horticulture. Shop online to view our range of products or make an appointment to visit our showroom</v>
          </cell>
          <cell r="C1019" t="str">
            <v>Active</v>
          </cell>
        </row>
        <row r="1020">
          <cell r="A1020" t="str">
            <v>ISPartners</v>
          </cell>
          <cell r="B1020" t="str">
            <v>iSPartners operates as a Business Intelligence company.</v>
          </cell>
          <cell r="D1020">
            <v>2005</v>
          </cell>
          <cell r="G1020" t="str">
            <v>South Africa</v>
          </cell>
          <cell r="X1020" t="str">
            <v>Information Technology</v>
          </cell>
          <cell r="Y1020" t="str">
            <v>Business Intelligence, Consulting, Information Technology</v>
          </cell>
        </row>
        <row r="1021">
          <cell r="A1021" t="str">
            <v>Gryphon Corporation</v>
          </cell>
          <cell r="B1021" t="str">
            <v>Gryphon Networks offers a cloud-based solution that enables marketers to increase their revenue while honoring consumer choice.</v>
          </cell>
          <cell r="C1021" t="str">
            <v>Active</v>
          </cell>
          <cell r="D1021">
            <v>1999</v>
          </cell>
          <cell r="X1021" t="str">
            <v>Information Technology</v>
          </cell>
          <cell r="Y1021" t="str">
            <v>Analytics, Enterprise Software, SaaS</v>
          </cell>
        </row>
        <row r="1022">
          <cell r="A1022" t="str">
            <v>GTaxi</v>
          </cell>
          <cell r="B1022" t="str">
            <v>The World's leading Independent A&amp;R company that provides songwriters access to the people in the music business who have the power to sign deals!</v>
          </cell>
          <cell r="C1022" t="str">
            <v>Active</v>
          </cell>
          <cell r="D1022">
            <v>1992</v>
          </cell>
          <cell r="X1022" t="str">
            <v>Media &amp; Entertainment</v>
          </cell>
          <cell r="Y1022" t="str">
            <v>Music business</v>
          </cell>
        </row>
        <row r="1023">
          <cell r="A1023" t="str">
            <v>Gteentech</v>
          </cell>
          <cell r="B1023" t="str">
            <v>Greentech Media is an online media company providing news, in-depth market research and analysis on the greentech B2B market.</v>
          </cell>
          <cell r="C1023" t="str">
            <v>Active</v>
          </cell>
          <cell r="D1023">
            <v>2007</v>
          </cell>
          <cell r="X1023" t="str">
            <v>Energy &amp; Environment Resources</v>
          </cell>
          <cell r="Y1023" t="str">
            <v>Digital Media, Energy Efficiency, News, Social Media, Solar</v>
          </cell>
        </row>
        <row r="1024">
          <cell r="A1024" t="str">
            <v>Gudie Leisure Farm</v>
          </cell>
        </row>
        <row r="1025">
          <cell r="A1025" t="str">
            <v>Gudie TV</v>
          </cell>
          <cell r="C1025" t="str">
            <v>Active</v>
          </cell>
        </row>
        <row r="1026">
          <cell r="A1026" t="str">
            <v>Gulivery</v>
          </cell>
          <cell r="B1026" t="str">
            <v>Gulivery is an online platform that provides third-party delivery services</v>
          </cell>
          <cell r="C1026" t="str">
            <v>Active</v>
          </cell>
          <cell r="D1026">
            <v>2017</v>
          </cell>
          <cell r="G1026" t="str">
            <v>Somalia</v>
          </cell>
          <cell r="X1026" t="str">
            <v>Transport &amp; Logistics</v>
          </cell>
          <cell r="Y1026" t="str">
            <v>Logistics and Supply Chain</v>
          </cell>
        </row>
        <row r="1027">
          <cell r="A1027" t="str">
            <v>Gutsinda</v>
          </cell>
        </row>
        <row r="1028">
          <cell r="A1028" t="str">
            <v>Kanjwa</v>
          </cell>
          <cell r="B1028" t="str">
            <v>Kanjwa is an online platform that talks about finance and money in Kenya. Our aim is to empower Kenyans to have strong understanding in matters finance and money.</v>
          </cell>
          <cell r="C1028" t="str">
            <v>Active</v>
          </cell>
          <cell r="D1028">
            <v>2018</v>
          </cell>
          <cell r="G1028" t="str">
            <v>Kenya</v>
          </cell>
          <cell r="X1028" t="str">
            <v>Financial Services</v>
          </cell>
          <cell r="Y1028" t="str">
            <v>E-Commerce, FinTech, Internet</v>
          </cell>
        </row>
        <row r="1029">
          <cell r="A1029" t="str">
            <v>Green Tech Africa</v>
          </cell>
          <cell r="B1029" t="str">
            <v>Renewable energy is revolutionizing the energy market at a time when change is most needed. With its engineering expertise in the production of solar electricity, GTA is contributing to a successful transition to a new energy model that is smarter, more reliable and more economic</v>
          </cell>
          <cell r="C1029" t="str">
            <v>Active</v>
          </cell>
          <cell r="D1029">
            <v>2015</v>
          </cell>
          <cell r="G1029" t="str">
            <v>United States of America</v>
          </cell>
          <cell r="X1029" t="str">
            <v>Energy &amp; Environment Resources</v>
          </cell>
          <cell r="Y1029" t="str">
            <v>Renewables &amp; Environment</v>
          </cell>
        </row>
        <row r="1030">
          <cell r="A1030" t="str">
            <v>Greenfingers Mobile</v>
          </cell>
          <cell r="B1030" t="str">
            <v>GreenFingers Mobile is a mobile first Software-as-a-Service (SaaS) technology platform, to manage and finance large groups of smallholder farmers. Developed by a team of agricultural value chain experts, the platform easily adapts to different crop types and use cases.</v>
          </cell>
          <cell r="C1030" t="str">
            <v>Active</v>
          </cell>
          <cell r="D1030">
            <v>2015</v>
          </cell>
          <cell r="G1030" t="str">
            <v>South Africa</v>
          </cell>
          <cell r="X1030" t="str">
            <v>Agriculture</v>
          </cell>
          <cell r="Y1030" t="str">
            <v>Agriculture, Mobile, Technology</v>
          </cell>
        </row>
        <row r="1031">
          <cell r="A1031" t="str">
            <v>Greenlight Planet</v>
          </cell>
          <cell r="B1031" t="str">
            <v>Greenlight Planet is a US-based global leader dedicated to delivering safe, affordable solar energy products to more than 2 billion people who live off the electric grid around the world.</v>
          </cell>
          <cell r="C1031" t="str">
            <v>Active</v>
          </cell>
          <cell r="D1031">
            <v>2008</v>
          </cell>
          <cell r="G1031" t="str">
            <v>Kenya</v>
          </cell>
          <cell r="X1031" t="str">
            <v>Solar Power</v>
          </cell>
          <cell r="Y1031" t="str">
            <v>Consumer, Consumer Electronics, Social Entrepreneurship, Solar</v>
          </cell>
        </row>
        <row r="1032">
          <cell r="A1032" t="str">
            <v>Haltons Pharmacy</v>
          </cell>
          <cell r="B1032" t="str">
            <v>Haltons Pharmacy is a brand created by Haltons Limited. It is a collection of pharmacists, investors and leaders passionate about delivering accessible and affordable pharmacy care of the highest quality to Kenyans in a dignified manner wherever they are</v>
          </cell>
          <cell r="C1032" t="str">
            <v>Acquired</v>
          </cell>
          <cell r="D1032">
            <v>2013</v>
          </cell>
          <cell r="X1032" t="str">
            <v>Telecommunications</v>
          </cell>
          <cell r="Y1032" t="str">
            <v>Cloud Infrastructure, Emerging Markets, Hardware, Internet, Software</v>
          </cell>
        </row>
        <row r="1033">
          <cell r="A1033" t="str">
            <v>Hamwe</v>
          </cell>
          <cell r="C1033" t="str">
            <v>Active</v>
          </cell>
        </row>
        <row r="1034">
          <cell r="A1034" t="str">
            <v xml:space="preserve">Gricd Frij </v>
          </cell>
          <cell r="B1034" t="str">
            <v>Gricd Frij provides an affordable and portable cold-chain device for the efficient storage of vaccines, blood and other health or agricultural products</v>
          </cell>
          <cell r="C1034" t="str">
            <v>Active</v>
          </cell>
          <cell r="D1034">
            <v>2017</v>
          </cell>
          <cell r="G1034" t="str">
            <v>Nigeria</v>
          </cell>
          <cell r="X1034" t="str">
            <v>Energy &amp; Environment Resources</v>
          </cell>
          <cell r="Y1034" t="str">
            <v>Cold-Chain Storage</v>
          </cell>
        </row>
        <row r="1035">
          <cell r="A1035" t="str">
            <v>Hamwe EA</v>
          </cell>
        </row>
        <row r="1036">
          <cell r="A1036" t="str">
            <v>Harambee</v>
          </cell>
          <cell r="B1036" t="str">
            <v>Harambe is a network of purpose driven entrepreneurs who are propelling Africa forward through high-growth entrepreneurship.</v>
          </cell>
          <cell r="C1036" t="str">
            <v>Active</v>
          </cell>
          <cell r="D1036">
            <v>2008</v>
          </cell>
          <cell r="X1036" t="str">
            <v>Nonprofit Organization Management</v>
          </cell>
          <cell r="Y1036" t="str">
            <v>Business Development, Non Profit, Social Entrepreneurship</v>
          </cell>
        </row>
        <row r="1037">
          <cell r="A1037" t="str">
            <v>Growsel</v>
          </cell>
          <cell r="B1037" t="str">
            <v>Award-winning financial inclusion nonprofit crowdfunding agtech startup that connects underserved farmers with lenders to alleviate poverty</v>
          </cell>
          <cell r="C1037" t="str">
            <v>Active</v>
          </cell>
          <cell r="D1037">
            <v>2017</v>
          </cell>
          <cell r="G1037" t="str">
            <v>Nigeria</v>
          </cell>
          <cell r="X1037" t="str">
            <v>Financial Services</v>
          </cell>
          <cell r="Y1037" t="str">
            <v>Agriculture, Association, Communities, Crowdfunding</v>
          </cell>
        </row>
        <row r="1038">
          <cell r="A1038" t="str">
            <v>KEA Medicals</v>
          </cell>
          <cell r="B1038" t="str">
            <v>KEA Medicals aims to interconnect African hospitals through a single database in order to manage the whole patient medical information</v>
          </cell>
          <cell r="C1038" t="str">
            <v>Active</v>
          </cell>
          <cell r="D1038">
            <v>2016</v>
          </cell>
          <cell r="G1038" t="str">
            <v>Benin</v>
          </cell>
          <cell r="X1038" t="str">
            <v>Healthcare &amp; Pharma</v>
          </cell>
          <cell r="Y1038" t="str">
            <v>Health Care, Medical</v>
          </cell>
        </row>
        <row r="1039">
          <cell r="A1039" t="str">
            <v>Jacaranda FM</v>
          </cell>
          <cell r="B1039" t="str">
            <v>Jacaranda FM is a radio channel providing entertainment services like music, news etc</v>
          </cell>
          <cell r="C1039" t="str">
            <v>Acquired</v>
          </cell>
          <cell r="D1039">
            <v>1979</v>
          </cell>
          <cell r="X1039" t="str">
            <v>Media &amp; Entertainment</v>
          </cell>
          <cell r="Y1039" t="str">
            <v>Broadcast Media</v>
          </cell>
        </row>
        <row r="1040">
          <cell r="A1040" t="str">
            <v>Hehsac</v>
          </cell>
          <cell r="B1040" t="str">
            <v>HehSac is a single, decentralized and network of bank and payment providers using our distributed financial technology, wich provides real-time messaging, clearing and settlement of financial transactions</v>
          </cell>
          <cell r="C1040" t="str">
            <v>Active</v>
          </cell>
          <cell r="D1040">
            <v>2016</v>
          </cell>
          <cell r="X1040" t="str">
            <v>Information Technology</v>
          </cell>
          <cell r="Y1040" t="str">
            <v>Information Technology and Services</v>
          </cell>
        </row>
        <row r="1041">
          <cell r="A1041" t="str">
            <v>Hello Tractor</v>
          </cell>
          <cell r="B1041" t="str">
            <v>Hello Tractor is a technology company that promotes tractor co-sharing throughout African agricultural communities.</v>
          </cell>
          <cell r="C1041" t="str">
            <v>Active</v>
          </cell>
          <cell r="D1041">
            <v>2014</v>
          </cell>
          <cell r="X1041" t="str">
            <v>Agriculture</v>
          </cell>
          <cell r="Y1041" t="str">
            <v>Agriculture, Big Data, Internet of Things</v>
          </cell>
        </row>
        <row r="1042">
          <cell r="A1042" t="str">
            <v>Kobocoin</v>
          </cell>
          <cell r="B1042" t="str">
            <v>Kobocoin [KOBO] - A micropayment system and digitial currency similar to Bitcoin. Kobocoin is optimised for mobile phone usage and has an African heritage</v>
          </cell>
          <cell r="C1042" t="str">
            <v>Active</v>
          </cell>
          <cell r="D1042">
            <v>2014</v>
          </cell>
          <cell r="X1042" t="str">
            <v>Financial Services</v>
          </cell>
          <cell r="Y1042" t="str">
            <v>Bitcoin blockchain</v>
          </cell>
        </row>
        <row r="1043">
          <cell r="A1043" t="str">
            <v>Helvetic Group Tanzania</v>
          </cell>
          <cell r="C1043" t="str">
            <v>Active</v>
          </cell>
        </row>
        <row r="1044">
          <cell r="A1044" t="str">
            <v>HeriOnline</v>
          </cell>
          <cell r="B1044" t="str">
            <v>We Sell a wide Variety of Quality Products from your Trusted Brands at Great Low Prices. We deliver your Monthly shopping to your Home and Office.</v>
          </cell>
          <cell r="C1044" t="str">
            <v>Active</v>
          </cell>
          <cell r="D1044">
            <v>2016</v>
          </cell>
          <cell r="X1044" t="str">
            <v>E-Commerce &amp; Retail</v>
          </cell>
        </row>
        <row r="1045">
          <cell r="A1045" t="str">
            <v>Herolife</v>
          </cell>
          <cell r="B1045" t="str">
            <v>Hero was founded by a bunch of people who believe that, when given the right tools, simple solutions and the right support, each person can decide for themselves what to do with their money when they plan and secure their family’s future.</v>
          </cell>
          <cell r="C1045" t="str">
            <v>Active</v>
          </cell>
          <cell r="D1045">
            <v>2017</v>
          </cell>
          <cell r="X1045" t="str">
            <v>Financial Services</v>
          </cell>
          <cell r="Y1045" t="str">
            <v>Insurance and Financial Advice</v>
          </cell>
        </row>
        <row r="1046">
          <cell r="A1046" t="str">
            <v>Hailer</v>
          </cell>
          <cell r="B1046" t="str">
            <v>Hailer is a ride-hailing platform operating in South Africa</v>
          </cell>
          <cell r="C1046" t="str">
            <v>Active</v>
          </cell>
          <cell r="D1046">
            <v>2018</v>
          </cell>
          <cell r="G1046" t="str">
            <v>South Africa</v>
          </cell>
          <cell r="X1046" t="str">
            <v>Transport &amp; Logistics</v>
          </cell>
          <cell r="Y1046" t="str">
            <v>Ride-Hailing, Taxi</v>
          </cell>
        </row>
        <row r="1047">
          <cell r="A1047" t="str">
            <v>Hexastack</v>
          </cell>
          <cell r="B1047" t="str">
            <v>Hexastack est une startup Tunisienne. Nous sommes spécialisés dans le développement web.</v>
          </cell>
          <cell r="C1047" t="str">
            <v>Active</v>
          </cell>
          <cell r="D1047">
            <v>2018</v>
          </cell>
          <cell r="X1047" t="str">
            <v>Emerging Technologies</v>
          </cell>
          <cell r="Y1047" t="str">
            <v>Chatbots, Développement Web, and Sécurité Informatique</v>
          </cell>
        </row>
        <row r="1048">
          <cell r="A1048" t="str">
            <v>Hippo</v>
          </cell>
          <cell r="B1048" t="str">
            <v>Hippo is a software product company that delivers an open source cms powering some of the world's most intricate websites.</v>
          </cell>
          <cell r="C1048" t="str">
            <v>Active</v>
          </cell>
          <cell r="D1048">
            <v>1999</v>
          </cell>
          <cell r="X1048" t="str">
            <v>Commercial &amp; Professional Services</v>
          </cell>
          <cell r="Y1048" t="str">
            <v>Analytics, Digital Marketing, E-Commerce, Enterprise Software, Information Technology, Internet, Software</v>
          </cell>
        </row>
        <row r="1049">
          <cell r="A1049" t="str">
            <v>Hive</v>
          </cell>
          <cell r="B1049" t="str">
            <v>Hive is connecting parents with reliable school transportation options through its mobile apps for Android and iOS</v>
          </cell>
          <cell r="C1049" t="str">
            <v>Active</v>
          </cell>
          <cell r="D1049">
            <v>2018</v>
          </cell>
          <cell r="G1049" t="str">
            <v>Egypt</v>
          </cell>
          <cell r="X1049" t="str">
            <v>Information Technology</v>
          </cell>
          <cell r="Y1049" t="str">
            <v>Edutech, Information Technology, Transportation</v>
          </cell>
        </row>
        <row r="1050">
          <cell r="A1050" t="str">
            <v>Hivisasa</v>
          </cell>
          <cell r="B1050" t="str">
            <v>HiviSasa.com is an online, local newspaper tailored for the mobile web.</v>
          </cell>
          <cell r="C1050" t="str">
            <v>Active</v>
          </cell>
          <cell r="D1050">
            <v>2014</v>
          </cell>
          <cell r="X1050" t="str">
            <v>Information Technology</v>
          </cell>
          <cell r="Y1050" t="str">
            <v>Internet, News, Sports</v>
          </cell>
        </row>
        <row r="1051">
          <cell r="A1051" t="str">
            <v>Hood</v>
          </cell>
          <cell r="B1051" t="str">
            <v>Hood is a social neighborhood messaging application that enables its users to interact and socialize more with their neighbors.</v>
          </cell>
          <cell r="C1051" t="str">
            <v>Active</v>
          </cell>
          <cell r="D1051">
            <v>2014</v>
          </cell>
          <cell r="X1051" t="str">
            <v>Utilities and Telecommunication Services</v>
          </cell>
          <cell r="Y1051" t="str">
            <v>Communities, Information Technology, iOS, Location Based Services, Messaging, Social Media</v>
          </cell>
        </row>
        <row r="1052">
          <cell r="A1052" t="str">
            <v>HealthQ Technologies</v>
          </cell>
          <cell r="B1052" t="str">
            <v>HealthQ Technologies combines skills from various disciplines to provide solutions in the digital health and wellness space</v>
          </cell>
          <cell r="C1052" t="str">
            <v>Active</v>
          </cell>
          <cell r="D1052">
            <v>2010</v>
          </cell>
          <cell r="G1052" t="str">
            <v>South Africa</v>
          </cell>
          <cell r="X1052" t="str">
            <v>Healthcare &amp; Pharma</v>
          </cell>
          <cell r="Y1052" t="str">
            <v>Health Care, Information Technology, Wellness</v>
          </cell>
        </row>
        <row r="1053">
          <cell r="A1053" t="str">
            <v>Hotels.Ng</v>
          </cell>
          <cell r="B1053" t="str">
            <v>Hotels.ng is an online travel agency specialising in hotel bookings within Nigeria.</v>
          </cell>
          <cell r="C1053" t="str">
            <v>Active</v>
          </cell>
          <cell r="D1053">
            <v>2012</v>
          </cell>
          <cell r="X1053" t="str">
            <v>Travel &amp; Leisure</v>
          </cell>
          <cell r="Y1053" t="str">
            <v>E-Commerce, Hospitality, Internet, Tourism, Travel</v>
          </cell>
        </row>
        <row r="1054">
          <cell r="A1054" t="str">
            <v>Heartbeat Adventures</v>
          </cell>
          <cell r="B1054" t="str">
            <v>Hearbeat Adventures is a tours and travel company that delights in offering unique &amp; high quality tours &amp; excursions services.</v>
          </cell>
          <cell r="C1054" t="str">
            <v>Active</v>
          </cell>
          <cell r="D1054">
            <v>2017</v>
          </cell>
          <cell r="G1054" t="str">
            <v>Kenya</v>
          </cell>
          <cell r="X1054" t="str">
            <v>Travel and Leisure</v>
          </cell>
          <cell r="Y1054" t="str">
            <v>Travel and Leisure</v>
          </cell>
        </row>
        <row r="1055">
          <cell r="A1055" t="str">
            <v>House of Uwe</v>
          </cell>
          <cell r="G1055" t="str">
            <v>Nigeria</v>
          </cell>
          <cell r="X1055" t="str">
            <v>E-Commerce &amp; Retail</v>
          </cell>
        </row>
        <row r="1056">
          <cell r="A1056" t="str">
            <v>Hello Paisa</v>
          </cell>
          <cell r="B1056" t="str">
            <v>The fastest, cheapest and most secure way to send money from South Africa to countries across the world!</v>
          </cell>
          <cell r="C1056" t="str">
            <v>Active</v>
          </cell>
          <cell r="D1056">
            <v>2015</v>
          </cell>
          <cell r="G1056" t="str">
            <v>South Africa</v>
          </cell>
          <cell r="X1056" t="str">
            <v>Financial Services</v>
          </cell>
          <cell r="Y1056" t="str">
            <v>Financial Services, Money Transfer</v>
          </cell>
        </row>
        <row r="1057">
          <cell r="A1057" t="str">
            <v>HouseAfrica</v>
          </cell>
        </row>
        <row r="1058">
          <cell r="A1058" t="str">
            <v>Hs- Geo Survey Limitada</v>
          </cell>
        </row>
        <row r="1059">
          <cell r="A1059" t="str">
            <v>Henson Geodata Technologies</v>
          </cell>
          <cell r="B1059" t="str">
            <v>We build maps and develop location-based solutions for the web and mobile. We provide business intelligence services, GIS training, GIS consultancy and conduct analytical research</v>
          </cell>
          <cell r="C1059" t="str">
            <v>Active</v>
          </cell>
          <cell r="D1059">
            <v>2013</v>
          </cell>
          <cell r="G1059" t="str">
            <v>Ghana</v>
          </cell>
          <cell r="X1059" t="str">
            <v>Information Technology</v>
          </cell>
          <cell r="Y1059" t="str">
            <v>Geospatial Modelling</v>
          </cell>
        </row>
        <row r="1060">
          <cell r="A1060" t="str">
            <v>KopaCent</v>
          </cell>
          <cell r="B1060" t="str">
            <v>Kopacent offers short term salary advances as an aid to individuals with unexpected expenses.</v>
          </cell>
          <cell r="C1060" t="str">
            <v>Active</v>
          </cell>
          <cell r="D1060">
            <v>2015</v>
          </cell>
          <cell r="G1060" t="str">
            <v>Kenya</v>
          </cell>
          <cell r="X1060" t="str">
            <v>Financial Services</v>
          </cell>
          <cell r="Y1060" t="str">
            <v>Credit, Financial services, and Salary advance</v>
          </cell>
        </row>
        <row r="1061">
          <cell r="A1061" t="str">
            <v>Hustlenomics</v>
          </cell>
          <cell r="B1061" t="str">
            <v>Hustlenomics eradicates backyard shacks in townships by replacing them with formal structures efficiently to provide sustainable living</v>
          </cell>
          <cell r="C1061" t="str">
            <v>Active</v>
          </cell>
          <cell r="D1061">
            <v>2015</v>
          </cell>
          <cell r="G1061" t="str">
            <v>South Africa</v>
          </cell>
          <cell r="X1061" t="str">
            <v>Real Estate</v>
          </cell>
          <cell r="Y1061" t="str">
            <v>Accomodation, Construction</v>
          </cell>
        </row>
        <row r="1062">
          <cell r="A1062" t="str">
            <v>Hydroponics</v>
          </cell>
        </row>
        <row r="1063">
          <cell r="A1063" t="str">
            <v>HiCarByeCar</v>
          </cell>
          <cell r="B1063" t="str">
            <v>HiCarByeCar makes receiving offers for your car safe, fast and convenient.</v>
          </cell>
          <cell r="C1063" t="str">
            <v>Active</v>
          </cell>
          <cell r="D1063">
            <v>2015</v>
          </cell>
          <cell r="G1063" t="str">
            <v>South Africa</v>
          </cell>
          <cell r="X1063" t="str">
            <v>E-Commerce &amp; Retail</v>
          </cell>
          <cell r="Y1063" t="str">
            <v>Internet</v>
          </cell>
        </row>
        <row r="1064">
          <cell r="A1064" t="str">
            <v>Hyrac Tech</v>
          </cell>
          <cell r="B1064" t="str">
            <v>Hyrac Tech is a social tech company that is focused on empowering people with the resources and education they need to succeed in these digital generation.</v>
          </cell>
          <cell r="C1064" t="str">
            <v>Active</v>
          </cell>
          <cell r="D1064">
            <v>2017</v>
          </cell>
          <cell r="G1064" t="str">
            <v>Kenya</v>
          </cell>
          <cell r="Y1064" t="str">
            <v>Social tech</v>
          </cell>
        </row>
        <row r="1065">
          <cell r="A1065" t="str">
            <v>Hirehunt</v>
          </cell>
          <cell r="B1065" t="str">
            <v>HireHunt helps employers and recruiters hire faster with a powerful toolset of recruitment technologies powered by AI.</v>
          </cell>
          <cell r="C1065" t="str">
            <v>Active</v>
          </cell>
          <cell r="D1065">
            <v>2015</v>
          </cell>
          <cell r="G1065" t="str">
            <v>Egypt</v>
          </cell>
          <cell r="X1065" t="str">
            <v>Staffing and Recruiting</v>
          </cell>
          <cell r="Y1065" t="str">
            <v>Recruiting, Staffing Agency</v>
          </cell>
        </row>
        <row r="1066">
          <cell r="A1066" t="str">
            <v>iCare</v>
          </cell>
          <cell r="B1066" t="str">
            <v>iCare is a first Tanzanian online retail shop that allow individuals, organizations and corporations to buy basic requirements like food, school equipments and hygiene essentials for charity donations.</v>
          </cell>
          <cell r="C1066" t="str">
            <v>Active</v>
          </cell>
          <cell r="D1066">
            <v>2019</v>
          </cell>
          <cell r="G1066" t="str">
            <v>Tanzania</v>
          </cell>
          <cell r="X1066" t="str">
            <v>Information Technology</v>
          </cell>
          <cell r="Y1066" t="str">
            <v>Donation platform, Humanitarian</v>
          </cell>
        </row>
        <row r="1067">
          <cell r="A1067" t="str">
            <v>ice3x</v>
          </cell>
          <cell r="B1067" t="str">
            <v>ICE³X is registered as ‘Internet Currency Evolution Cubed (Pty) LTD’ in South Africa.</v>
          </cell>
          <cell r="C1067" t="str">
            <v>Active</v>
          </cell>
          <cell r="D1067">
            <v>2013</v>
          </cell>
          <cell r="G1067" t="str">
            <v>South Africa</v>
          </cell>
          <cell r="X1067" t="str">
            <v>Information Technology</v>
          </cell>
        </row>
        <row r="1068">
          <cell r="A1068" t="str">
            <v>iCow</v>
          </cell>
          <cell r="B1068" t="str">
            <v>icow is an agricultural platform that improves farmer productivity through access to knowledge, experts, and solutions.</v>
          </cell>
          <cell r="C1068" t="str">
            <v>Active</v>
          </cell>
          <cell r="X1068" t="str">
            <v>Agriculture</v>
          </cell>
          <cell r="Y1068" t="str">
            <v>Agriculture, Information Technology, Software</v>
          </cell>
        </row>
        <row r="1069">
          <cell r="A1069" t="str">
            <v>Ict.Io</v>
          </cell>
          <cell r="B1069" t="str">
            <v>ICT.io is a startup that promote startups in Indian Ocean.</v>
          </cell>
          <cell r="D1069">
            <v>2015</v>
          </cell>
          <cell r="X1069" t="str">
            <v>Media Production</v>
          </cell>
          <cell r="Y1069" t="str">
            <v>Digital Media, News, Social Media</v>
          </cell>
        </row>
        <row r="1070">
          <cell r="A1070" t="str">
            <v>HouseAfrica Blockchain</v>
          </cell>
          <cell r="B1070" t="str">
            <v>HouseAfrica is providing Affordable Housing for Africans on Blockchain.</v>
          </cell>
          <cell r="C1070" t="str">
            <v>Active</v>
          </cell>
          <cell r="D1070">
            <v>2017</v>
          </cell>
          <cell r="G1070" t="str">
            <v>Nigeria</v>
          </cell>
          <cell r="X1070" t="str">
            <v>Information Technology</v>
          </cell>
          <cell r="Y1070" t="str">
            <v>Information Technology, Blockchain</v>
          </cell>
        </row>
        <row r="1071">
          <cell r="A1071" t="str">
            <v>Houseme</v>
          </cell>
          <cell r="B1071" t="str">
            <v>HouseME is reshaping the South African rental marketplace. Disruptors in the industry, HouseME is set up to serve and support tenants and provide more to landlords across the country — both private and institutional — with complete transparency, underpinned by technology.</v>
          </cell>
          <cell r="C1071" t="str">
            <v>Active</v>
          </cell>
          <cell r="D1071">
            <v>2016</v>
          </cell>
          <cell r="G1071" t="str">
            <v>South Africa</v>
          </cell>
          <cell r="X1071" t="str">
            <v>Real estate</v>
          </cell>
          <cell r="Y1071" t="str">
            <v>Data Center Automation, Digital Media, Digital Signage, Industrial Automation</v>
          </cell>
        </row>
        <row r="1072">
          <cell r="A1072" t="str">
            <v>Ignitia</v>
          </cell>
        </row>
        <row r="1073">
          <cell r="A1073" t="str">
            <v>ILaraPay</v>
          </cell>
        </row>
        <row r="1074">
          <cell r="A1074" t="str">
            <v>Imisi 3D</v>
          </cell>
          <cell r="B1074" t="str">
            <v>We are a Virtual Reality (VR) creation lab dedicated to growing a community of VR developers in Nigeria, creating solutions using VR, and providing educational and engagement experiences with VR. We see huge potential for VR as a tool for creating everyday solutions and intend to change the technology narrative so that here we become creators and not just consumers of technology.</v>
          </cell>
          <cell r="C1074" t="str">
            <v>Active</v>
          </cell>
          <cell r="D1074">
            <v>2016</v>
          </cell>
          <cell r="X1074" t="str">
            <v>Information Technology</v>
          </cell>
          <cell r="Y1074" t="str">
            <v>Information Technology and Services</v>
          </cell>
        </row>
        <row r="1075">
          <cell r="A1075" t="str">
            <v>Impactppa And Earth Day Network</v>
          </cell>
          <cell r="B1075" t="str">
            <v>ImpactPPA is a decentralized energy platform built to disrupt renewable energy finance and accelerate clean energy production</v>
          </cell>
          <cell r="C1075" t="str">
            <v>Active</v>
          </cell>
          <cell r="D1075">
            <v>2017</v>
          </cell>
          <cell r="X1075" t="str">
            <v>Renewables &amp; Environment</v>
          </cell>
          <cell r="Y1075" t="str">
            <v>Energy, Energy Efficiency, Renewable Energy</v>
          </cell>
        </row>
        <row r="1076">
          <cell r="A1076" t="str">
            <v>Lakt</v>
          </cell>
          <cell r="B1076" t="str">
            <v>Suit of Mobile first Personal Finance platform.</v>
          </cell>
          <cell r="C1076" t="str">
            <v>Active</v>
          </cell>
          <cell r="D1076">
            <v>2016</v>
          </cell>
          <cell r="X1076" t="str">
            <v>Financial Services</v>
          </cell>
          <cell r="Y1076" t="str">
            <v>Financial Services, Insurance, Mobile, Mobile Apps</v>
          </cell>
        </row>
        <row r="1077">
          <cell r="A1077" t="str">
            <v>iMpilo</v>
          </cell>
          <cell r="C1077" t="str">
            <v>Active</v>
          </cell>
        </row>
        <row r="1078">
          <cell r="A1078" t="str">
            <v>icog Labs</v>
          </cell>
          <cell r="B1078" t="str">
            <v>iCog Labs is a team of visionary software professionals, dedicated to advancing the frontier of artificial intelligence research and applications and delivering quality products to customers, based in Addis Ababa, Ethiopia.</v>
          </cell>
          <cell r="C1078" t="str">
            <v>Active</v>
          </cell>
          <cell r="D1078">
            <v>2012</v>
          </cell>
          <cell r="G1078" t="str">
            <v>Ethiopia</v>
          </cell>
          <cell r="X1078" t="str">
            <v>Emerging Technologies</v>
          </cell>
          <cell r="Y1078" t="str">
            <v>Computer Software</v>
          </cell>
        </row>
        <row r="1079">
          <cell r="A1079" t="str">
            <v>Incept</v>
          </cell>
          <cell r="B1079" t="str">
            <v>Incept is a mobile application designed for museums and archaeological sites that aims to enhance and give importance to history.</v>
          </cell>
          <cell r="C1079" t="str">
            <v>Active</v>
          </cell>
          <cell r="D1079">
            <v>2016</v>
          </cell>
          <cell r="X1079" t="str">
            <v>Information Technology</v>
          </cell>
          <cell r="Y1079" t="str">
            <v>Augmented Reality, Museums and Historical Sites, Robotics</v>
          </cell>
        </row>
        <row r="1080">
          <cell r="A1080" t="str">
            <v>Lifecheq</v>
          </cell>
          <cell r="B1080" t="str">
            <v>We help people achieve their goals through good financial decision making. Use your money smartly to live the life you want</v>
          </cell>
          <cell r="C1080" t="str">
            <v>Active</v>
          </cell>
          <cell r="D1080">
            <v>2015</v>
          </cell>
          <cell r="X1080" t="str">
            <v>Financial Services</v>
          </cell>
          <cell r="Y1080" t="str">
            <v>Financial Services</v>
          </cell>
        </row>
        <row r="1081">
          <cell r="A1081" t="str">
            <v>Identity Tech</v>
          </cell>
          <cell r="B1081" t="str">
            <v>Identity Tech provides a cloud-based service that gives its clients access to an array of tools for customer &amp; visitor experience management</v>
          </cell>
          <cell r="C1081" t="str">
            <v>Active</v>
          </cell>
          <cell r="D1081">
            <v>2016</v>
          </cell>
          <cell r="G1081" t="str">
            <v>Nigeria</v>
          </cell>
          <cell r="X1081" t="str">
            <v>Information Technology</v>
          </cell>
          <cell r="Y1081" t="str">
            <v>Information Services, Information Technology, Software</v>
          </cell>
        </row>
        <row r="1082">
          <cell r="A1082" t="str">
            <v>Lifeq</v>
          </cell>
          <cell r="B1082" t="str">
            <v>LifeQ uses computational systems biology and continuous body monitoring to create an on-demand record of one’s personal physiology and health</v>
          </cell>
          <cell r="C1082" t="str">
            <v>Active</v>
          </cell>
          <cell r="D1082">
            <v>2010</v>
          </cell>
          <cell r="X1082" t="str">
            <v>Healthcare &amp; Pharma</v>
          </cell>
          <cell r="Y1082" t="str">
            <v>Health, Wellness and Fitness</v>
          </cell>
        </row>
        <row r="1083">
          <cell r="A1083" t="str">
            <v>Innovation Corner Digital Health</v>
          </cell>
          <cell r="C1083" t="str">
            <v>Active</v>
          </cell>
        </row>
        <row r="1084">
          <cell r="A1084" t="str">
            <v>Ikeja Wireless</v>
          </cell>
          <cell r="B1084" t="str">
            <v>Wi-Fi tech company focused on providing solutions for ekasi and rural areas.</v>
          </cell>
          <cell r="C1084" t="str">
            <v>Active</v>
          </cell>
          <cell r="D1084">
            <v>2014</v>
          </cell>
          <cell r="G1084" t="str">
            <v>South Africa</v>
          </cell>
          <cell r="X1084" t="str">
            <v>Information Technology</v>
          </cell>
          <cell r="Y1084" t="str">
            <v>Internet, Network Hardware, Wireless</v>
          </cell>
        </row>
        <row r="1085">
          <cell r="A1085" t="str">
            <v>Innovation Management Research Institute</v>
          </cell>
          <cell r="B1085" t="str">
            <v>We Simplified "Strategic Corporate Innovation Management ™"​ (SCIM) for Corporate Executives</v>
          </cell>
          <cell r="C1085" t="str">
            <v>Active</v>
          </cell>
          <cell r="D1085">
            <v>2016</v>
          </cell>
          <cell r="G1085" t="str">
            <v>South Africa</v>
          </cell>
          <cell r="X1085" t="str">
            <v>Information Technology</v>
          </cell>
          <cell r="Y1085" t="str">
            <v>Business Development, Enterprise Software, Innovation Management, Management Consulting, Management Information Systems</v>
          </cell>
        </row>
        <row r="1086">
          <cell r="A1086" t="str">
            <v>Inokri</v>
          </cell>
          <cell r="B1086" t="str">
            <v>We are a Mobile Application Development company whose mission is to "Make people's lives simpler" through software products that help users in their daily lives</v>
          </cell>
          <cell r="C1086" t="str">
            <v>Active</v>
          </cell>
          <cell r="D1086">
            <v>2018</v>
          </cell>
          <cell r="X1086" t="str">
            <v>Information Technology</v>
          </cell>
        </row>
        <row r="1087">
          <cell r="A1087" t="str">
            <v>Institute For Blockchain Studies</v>
          </cell>
          <cell r="B1087" t="str">
            <v>Blockchain Research Institute is conducting the definitive study of the impact of blockchain technology on business, government &amp; society.</v>
          </cell>
          <cell r="C1087" t="str">
            <v>Active</v>
          </cell>
          <cell r="D1087">
            <v>2017</v>
          </cell>
          <cell r="X1087" t="str">
            <v>Emerging Technologies</v>
          </cell>
          <cell r="Y1087" t="str">
            <v>Blockchain</v>
          </cell>
        </row>
        <row r="1088">
          <cell r="A1088" t="str">
            <v>Lily.Health</v>
          </cell>
          <cell r="B1088" t="str">
            <v>Lily.Health is building the best reproductive health tools using the latest technologies and research</v>
          </cell>
          <cell r="C1088" t="str">
            <v>Active</v>
          </cell>
          <cell r="D1088">
            <v>2017</v>
          </cell>
          <cell r="X1088" t="str">
            <v>Healthcare &amp; Pharma</v>
          </cell>
          <cell r="Y1088" t="str">
            <v>Health Care, Information Technology</v>
          </cell>
        </row>
        <row r="1089">
          <cell r="A1089" t="str">
            <v>Interactive Voice Response for Interactive Farmers</v>
          </cell>
          <cell r="B1089" t="str">
            <v>Viamo incorporates Connecting individuals &amp; organizations with mobile technology to make better decisions, select the Right Mobile Tools for Increased Impact and Efficiency, determine mobile channel, deploy mobile advice on any device and remote Information Capturing and Farmer Profiling with IVR Surveys</v>
          </cell>
        </row>
        <row r="1090">
          <cell r="A1090" t="str">
            <v>IoT.nxt</v>
          </cell>
          <cell r="B1090" t="str">
            <v>IoT.nxt’s unique technology stack bridges the gap between all protocols in the industrial ecosystem, creating a single integration/translation point. Its patented RaptorTM gateway allows organisations to retrofit all existing legacy systems with no rip and replace. A powerful data abstraction model further translates anything and everything from the edge, supporting a true subscription based big data model.</v>
          </cell>
          <cell r="C1090" t="str">
            <v>Acquired</v>
          </cell>
          <cell r="D1090">
            <v>2015</v>
          </cell>
          <cell r="G1090" t="str">
            <v>South Africa</v>
          </cell>
          <cell r="X1090" t="str">
            <v>Emerging Technologies</v>
          </cell>
          <cell r="Y1090" t="str">
            <v>Industrial IoT, Internet of Things, Digitization</v>
          </cell>
        </row>
        <row r="1091">
          <cell r="A1091" t="str">
            <v>Lima Kwanza Limited</v>
          </cell>
          <cell r="B1091" t="str">
            <v>Lima Kwanza Limited is the only purchases a part of the smallholder avocado yield</v>
          </cell>
          <cell r="C1091" t="str">
            <v>Active</v>
          </cell>
          <cell r="D1091">
            <v>2014</v>
          </cell>
          <cell r="G1091" t="str">
            <v>Kenya</v>
          </cell>
          <cell r="X1091" t="str">
            <v>Financial Services</v>
          </cell>
          <cell r="Y1091" t="str">
            <v>Banking, Financial Services</v>
          </cell>
        </row>
        <row r="1092">
          <cell r="A1092" t="str">
            <v>Intrex Telematics Systems AD</v>
          </cell>
        </row>
        <row r="1093">
          <cell r="A1093" t="str">
            <v>Investiv</v>
          </cell>
          <cell r="B1093" t="str">
            <v>Investiv is a financial tools and publishing firm whose aim is to help individual investors make wiser investment choices.</v>
          </cell>
          <cell r="C1093" t="str">
            <v>Active</v>
          </cell>
          <cell r="D1093">
            <v>2018</v>
          </cell>
          <cell r="X1093" t="str">
            <v>Agriculture</v>
          </cell>
          <cell r="Y1093" t="str">
            <v>Financial Services</v>
          </cell>
        </row>
        <row r="1094">
          <cell r="A1094" t="str">
            <v>Iprocure</v>
          </cell>
          <cell r="B1094" t="str">
            <v>Provides technology to “agro-vets,”which are agriculture input retailers and consultants in rural areas.</v>
          </cell>
          <cell r="C1094" t="str">
            <v>Active</v>
          </cell>
          <cell r="D1094">
            <v>2013</v>
          </cell>
          <cell r="G1094" t="str">
            <v>Kenya</v>
          </cell>
          <cell r="X1094" t="str">
            <v>Transport &amp; Logistics</v>
          </cell>
          <cell r="Y1094" t="str">
            <v>Agriculture, Analytics, Information Technology, Logistics, Packaging Services, Software, Supply Chain Management</v>
          </cell>
        </row>
        <row r="1095">
          <cell r="A1095" t="str">
            <v>Instadiet.Me</v>
          </cell>
          <cell r="B1095" t="str">
            <v>A marketplace for dietitians and end users</v>
          </cell>
          <cell r="C1095" t="str">
            <v>Active</v>
          </cell>
          <cell r="D1095">
            <v>2018</v>
          </cell>
          <cell r="G1095" t="str">
            <v>Egypt</v>
          </cell>
          <cell r="X1095" t="str">
            <v>Healthcare &amp; Pharma</v>
          </cell>
          <cell r="Y1095" t="str">
            <v>Fitness, Health Care, Wellness</v>
          </cell>
        </row>
        <row r="1096">
          <cell r="A1096" t="str">
            <v>Instant Property</v>
          </cell>
          <cell r="B1096" t="str">
            <v>Instant Property is South Africa's leading independent online commercial property portal.</v>
          </cell>
          <cell r="C1096" t="str">
            <v>Active</v>
          </cell>
          <cell r="D1096">
            <v>2014</v>
          </cell>
          <cell r="G1096" t="str">
            <v>South Africa</v>
          </cell>
          <cell r="X1096" t="str">
            <v>Real estate</v>
          </cell>
          <cell r="Y1096" t="str">
            <v>Brokers, Mobile App</v>
          </cell>
        </row>
        <row r="1097">
          <cell r="A1097" t="str">
            <v>Ipsy</v>
          </cell>
          <cell r="B1097" t="str">
            <v>ipsy is an online beauty community that home delivers a box of 5 beauty samples for a monthly subscription fee.</v>
          </cell>
          <cell r="C1097" t="str">
            <v>Active</v>
          </cell>
          <cell r="D1097">
            <v>2011</v>
          </cell>
          <cell r="X1097" t="str">
            <v>E-Commerce &amp; Retail</v>
          </cell>
          <cell r="Y1097" t="str">
            <v>Beauty, Cosmetics, E-Commerce</v>
          </cell>
        </row>
        <row r="1098">
          <cell r="A1098" t="str">
            <v xml:space="preserve">Insurance For All </v>
          </cell>
          <cell r="B1098" t="str">
            <v>The company focuses on providing relevant and affordable insurance services to low income earners in Kenya.</v>
          </cell>
          <cell r="C1098" t="str">
            <v>Active</v>
          </cell>
          <cell r="D1098">
            <v>2014</v>
          </cell>
          <cell r="G1098" t="str">
            <v>Kenya</v>
          </cell>
          <cell r="X1098" t="str">
            <v>Financial Services</v>
          </cell>
          <cell r="Y1098" t="str">
            <v>Insurance Services</v>
          </cell>
        </row>
        <row r="1099">
          <cell r="A1099" t="str">
            <v>Insureafrika</v>
          </cell>
          <cell r="B1099" t="str">
            <v>InsureAfrika.com, the first online platform to shop for and buy insurance in Kenya, is also an online agency to sell insurances.</v>
          </cell>
          <cell r="C1099" t="str">
            <v>Active</v>
          </cell>
          <cell r="D1099">
            <v>2015</v>
          </cell>
          <cell r="G1099" t="str">
            <v>Kenya</v>
          </cell>
          <cell r="X1099" t="str">
            <v>Financial Services</v>
          </cell>
          <cell r="Y1099" t="str">
            <v>Digital Media, E-Commerce, Insurance</v>
          </cell>
        </row>
        <row r="1100">
          <cell r="A1100" t="str">
            <v>Ishack Ventures</v>
          </cell>
          <cell r="B1100" t="str">
            <v>iShack Digital is a consulting firm specializing in digital and social media strategy. With vast experience in online marketing, e-commerce, social buying, smartphone, mobile, social media platforms, viral video &amp; audio production and tech venture capital.</v>
          </cell>
          <cell r="C1100" t="str">
            <v>Active</v>
          </cell>
          <cell r="D1100">
            <v>2005</v>
          </cell>
          <cell r="X1100" t="str">
            <v>Media &amp; Entertainment</v>
          </cell>
          <cell r="Y1100" t="str">
            <v>Beauty, Cosmetics, E-Commerce</v>
          </cell>
        </row>
        <row r="1101">
          <cell r="A1101" t="str">
            <v>iSpani Group</v>
          </cell>
          <cell r="B1101" t="str">
            <v>We are iSpani, a decentralized on-demand sales force and market research team which allows for brands and businesses to get access to unreached markets, through our mobile agents on the ground. Our company is in the business of providing data that empowers brands to empower people, especially within informal market</v>
          </cell>
          <cell r="C1101" t="str">
            <v>Active</v>
          </cell>
          <cell r="D1101">
            <v>2015</v>
          </cell>
          <cell r="X1101" t="str">
            <v>Commercial &amp; Professional Services</v>
          </cell>
          <cell r="Y1101" t="str">
            <v>Market Research</v>
          </cell>
        </row>
        <row r="1102">
          <cell r="A1102" t="str">
            <v>Intergreatme</v>
          </cell>
          <cell r="B1102" t="str">
            <v>Intergreatme is a mobile app that provides users with a secure and effective platform to share verified personal documents &amp; information</v>
          </cell>
          <cell r="C1102" t="str">
            <v>Active</v>
          </cell>
          <cell r="D1102">
            <v>2017</v>
          </cell>
          <cell r="G1102" t="str">
            <v>South Africa</v>
          </cell>
          <cell r="X1102" t="str">
            <v>Information Technology</v>
          </cell>
          <cell r="Y1102" t="str">
            <v>FinTech, Professional Services</v>
          </cell>
        </row>
        <row r="1103">
          <cell r="A1103" t="str">
            <v>Kngine</v>
          </cell>
          <cell r="B1103" t="str">
            <v>Kngine is an intelligent engine that answers naturally posed factual questions and performs actions.</v>
          </cell>
          <cell r="D1103">
            <v>2009</v>
          </cell>
          <cell r="X1103" t="str">
            <v>Research</v>
          </cell>
          <cell r="Y1103" t="str">
            <v>Intelligent Systems, Search Engine, Semantic Search</v>
          </cell>
        </row>
        <row r="1104">
          <cell r="A1104" t="str">
            <v>itanda Express</v>
          </cell>
          <cell r="C1104" t="str">
            <v>Active</v>
          </cell>
          <cell r="X1104" t="str">
            <v>Agriculture</v>
          </cell>
        </row>
        <row r="1105">
          <cell r="A1105" t="str">
            <v>Interswitch</v>
          </cell>
          <cell r="B1105" t="str">
            <v>Interswitch is an Africa-focused integrated digital payments and commerce company that facilitates the electronic circulation of money as well as the exchange of value between individuals and organisations on a timely and consistent basis.</v>
          </cell>
          <cell r="C1105" t="str">
            <v>Active</v>
          </cell>
          <cell r="D1105">
            <v>2002</v>
          </cell>
          <cell r="G1105" t="str">
            <v>Nigeria</v>
          </cell>
          <cell r="X1105" t="str">
            <v>Financial Services</v>
          </cell>
          <cell r="Y1105" t="str">
            <v>Payments, Software</v>
          </cell>
        </row>
        <row r="1106">
          <cell r="A1106" t="str">
            <v>iyiebo</v>
          </cell>
          <cell r="G1106" t="str">
            <v>South Africa</v>
          </cell>
          <cell r="X1106" t="str">
            <v>E-Commerce &amp; Retail</v>
          </cell>
        </row>
        <row r="1107">
          <cell r="A1107" t="str">
            <v>Knowlegde Factory</v>
          </cell>
          <cell r="B1107" t="str">
            <v>Knowledge Factory is a Property Data and ICT company. Knowledge Factory identified a gap in the property and spatial analytics market relating to residential property and the areas in which they reside, now offering support, guidance and insights to fill this gap</v>
          </cell>
          <cell r="C1107" t="str">
            <v>Acquired</v>
          </cell>
          <cell r="D1107">
            <v>1997</v>
          </cell>
          <cell r="X1107" t="str">
            <v>Information Technology</v>
          </cell>
          <cell r="Y1107" t="str">
            <v>Information Services</v>
          </cell>
        </row>
        <row r="1108">
          <cell r="A1108" t="str">
            <v>Jaguza Livestock Application</v>
          </cell>
          <cell r="C1108" t="str">
            <v>Active</v>
          </cell>
        </row>
        <row r="1109">
          <cell r="A1109" t="str">
            <v>Investiv Group</v>
          </cell>
          <cell r="B1109" t="str">
            <v>Investiv is an Ivorian company specialized in advice on precision agriculture. Pioneer in the use of drones in agriculture in West Africa,We provide our customers with technical solutions and innovative solutions combining productivity, performance and time savings.</v>
          </cell>
          <cell r="C1109" t="str">
            <v>Active</v>
          </cell>
          <cell r="G1109" t="str">
            <v>Ivory Coast</v>
          </cell>
          <cell r="X1109" t="str">
            <v>Agriculture</v>
          </cell>
          <cell r="Y1109" t="str">
            <v>Precision farming, smart agriculture, AgriTech</v>
          </cell>
        </row>
        <row r="1110">
          <cell r="A1110" t="str">
            <v>Invoizpaid</v>
          </cell>
          <cell r="B1110" t="str">
            <v>We focus on bridging the SME credit gap in Nigeria</v>
          </cell>
          <cell r="C1110" t="str">
            <v>Active</v>
          </cell>
          <cell r="D1110">
            <v>2016</v>
          </cell>
          <cell r="G1110" t="str">
            <v>Nigeria</v>
          </cell>
          <cell r="X1110" t="str">
            <v>Financial Services</v>
          </cell>
          <cell r="Y1110" t="str">
            <v>Invoice Factoring, Purchase Order Financing, Investment, Supply Chain Financing, Distribution Finance</v>
          </cell>
        </row>
        <row r="1111">
          <cell r="A1111" t="str">
            <v>Inyenyeri</v>
          </cell>
          <cell r="B1111" t="str">
            <v>Lnyenyeri A Rwandan Social Benefit CompanyI</v>
          </cell>
          <cell r="C1111" t="str">
            <v>Active</v>
          </cell>
          <cell r="D1111">
            <v>2012</v>
          </cell>
          <cell r="G1111" t="str">
            <v>Rwanda</v>
          </cell>
          <cell r="X1111" t="str">
            <v>Renewables &amp; Environment</v>
          </cell>
          <cell r="Y1111" t="str">
            <v>Energy, Environmental Consulting, Renewable Energy</v>
          </cell>
        </row>
        <row r="1112">
          <cell r="A1112" t="str">
            <v>Kwese Iflix</v>
          </cell>
          <cell r="B1112" t="str">
            <v>Kwesé iflix – Africa’s game-changing digital entertainment platform</v>
          </cell>
          <cell r="C1112" t="str">
            <v>Active</v>
          </cell>
          <cell r="D1112">
            <v>2018</v>
          </cell>
          <cell r="X1112" t="str">
            <v>Media &amp; Entertainment</v>
          </cell>
          <cell r="Y1112" t="str">
            <v>Mobile Apps, Music, News, Video</v>
          </cell>
        </row>
        <row r="1113">
          <cell r="A1113" t="str">
            <v>Jaguza Tech</v>
          </cell>
        </row>
        <row r="1114">
          <cell r="A1114" t="str">
            <v>Jambo Pay</v>
          </cell>
          <cell r="B1114" t="str">
            <v>JamboPay is an online payment gateway that allows users to securely make and receive payments through mobile phone over internet.</v>
          </cell>
          <cell r="C1114" t="str">
            <v>Active</v>
          </cell>
          <cell r="D1114">
            <v>2009</v>
          </cell>
          <cell r="X1114" t="str">
            <v>Financial Services</v>
          </cell>
          <cell r="Y1114" t="str">
            <v>Internet, Payments</v>
          </cell>
        </row>
        <row r="1115">
          <cell r="A1115" t="str">
            <v>Jasure</v>
          </cell>
          <cell r="B1115" t="str">
            <v>In 2017, JaSure was born, where the underlying premise is a vision of unsettling conventional short-term insurance assumptions and models. At its heart, JaSure aims to take insurance to the intersection of where technology meets choice.</v>
          </cell>
          <cell r="C1115" t="str">
            <v>Active</v>
          </cell>
          <cell r="D1115">
            <v>2017</v>
          </cell>
          <cell r="X1115" t="str">
            <v>Information Technology</v>
          </cell>
          <cell r="Y1115" t="str">
            <v>Banking, Finance, FinTech, Payments</v>
          </cell>
        </row>
        <row r="1116">
          <cell r="A1116" t="str">
            <v>Ison Xperiences</v>
          </cell>
          <cell r="B1116" t="str">
            <v>iSON Xperiences is the Business Process Outsourcing firm</v>
          </cell>
          <cell r="C1116" t="str">
            <v>Active</v>
          </cell>
          <cell r="D1116">
            <v>2010</v>
          </cell>
          <cell r="G1116" t="str">
            <v>Nigeria</v>
          </cell>
          <cell r="X1116" t="str">
            <v>Social Media</v>
          </cell>
          <cell r="Y1116" t="str">
            <v>Social Media</v>
          </cell>
        </row>
        <row r="1117">
          <cell r="A1117" t="str">
            <v>Jobox</v>
          </cell>
          <cell r="B1117" t="str">
            <v>Job is an online microjob platform that connects freelancers and clients to get things done. From inspired graphic designers to indulgent personal chefs. Job helps you find the perfect freelancer for the job</v>
          </cell>
          <cell r="C1117" t="str">
            <v>Active</v>
          </cell>
        </row>
        <row r="1118">
          <cell r="A1118" t="str">
            <v>Joluud</v>
          </cell>
          <cell r="B1118" t="str">
            <v>Joluud is a maintenance management web platform for Facility Managers — done the right way. We take a simple approach to the overly complicated desktop-based enterprise software</v>
          </cell>
          <cell r="C1118" t="str">
            <v>Active</v>
          </cell>
          <cell r="D1118">
            <v>2017</v>
          </cell>
          <cell r="X1118" t="str">
            <v>Information Technology</v>
          </cell>
          <cell r="Y1118" t="str">
            <v>Facility Management</v>
          </cell>
        </row>
        <row r="1119">
          <cell r="A1119" t="str">
            <v>Jukwaa</v>
          </cell>
          <cell r="B1119" t="str">
            <v>Jukwaa (pronounced Joo-kwah) is a Swahili word meaning platform.</v>
          </cell>
          <cell r="C1119" t="str">
            <v>Active</v>
          </cell>
          <cell r="D1119">
            <v>2011</v>
          </cell>
          <cell r="X1119" t="str">
            <v>Commercial &amp; Professional Services</v>
          </cell>
          <cell r="Y1119" t="str">
            <v>Events Services</v>
          </cell>
        </row>
        <row r="1120">
          <cell r="A1120" t="str">
            <v>Izyshop</v>
          </cell>
          <cell r="B1120" t="str">
            <v>Izyshop is the online supermarket of choice in Mozambique! The Izyshop arises to facilitate their access to various consumer goods through a single digital platform, where consumers have access to the best and freshest products at unbeatable prices in the market. The Izyshop also offers you the facility of choice of thousands of online products through a simple and intuitive platform, and the convenience of receiving their purchases anytime, anywhere, free of charge for delivery. For your safety and convenience, Izyshop offers you the possibility of paying for your purchases in a variety of ways, from online payment via Netshopup to payment on delivery with mobile POS or cash. Simple like that, just at Izyshop .</v>
          </cell>
          <cell r="C1120" t="str">
            <v>Active</v>
          </cell>
          <cell r="D1120">
            <v>2015</v>
          </cell>
          <cell r="G1120" t="str">
            <v>Mozambique</v>
          </cell>
          <cell r="X1120" t="str">
            <v>E-Commerce &amp; Retail</v>
          </cell>
          <cell r="Y1120" t="str">
            <v>Food &amp; Beverages, E-commerce</v>
          </cell>
        </row>
        <row r="1121">
          <cell r="A1121" t="str">
            <v>Jwebi.Com</v>
          </cell>
          <cell r="B1121" t="str">
            <v>Jwebi is a peer-to-peer website that enables people to send and buy stuff from all over the world using travelers' spare luggage space.</v>
          </cell>
          <cell r="C1121" t="str">
            <v>Active</v>
          </cell>
          <cell r="D1121">
            <v>2014</v>
          </cell>
          <cell r="X1121" t="str">
            <v>Online Media</v>
          </cell>
          <cell r="Y1121" t="str">
            <v>Collaborative Consumption, Shipping</v>
          </cell>
        </row>
        <row r="1122">
          <cell r="A1122" t="str">
            <v>Lisungui Pharma</v>
          </cell>
          <cell r="B1122" t="str">
            <v>Lisungui Pharma est une application qui vous apporte des solutions complètes dans le domaine pharmaceutique</v>
          </cell>
          <cell r="C1122" t="str">
            <v>Active</v>
          </cell>
          <cell r="D1122">
            <v>2017</v>
          </cell>
          <cell r="X1122" t="str">
            <v>Healthcare &amp; Pharma</v>
          </cell>
          <cell r="Y1122" t="str">
            <v>Health, Wellness and Fitness</v>
          </cell>
        </row>
        <row r="1123">
          <cell r="A1123" t="str">
            <v>KAINO Africa</v>
          </cell>
          <cell r="C1123" t="str">
            <v>Active</v>
          </cell>
        </row>
        <row r="1124">
          <cell r="A1124" t="str">
            <v>Kalejob</v>
          </cell>
          <cell r="B1124" t="str">
            <v>Kalejob is jobs website with full-time and on-demand employment via SMS.</v>
          </cell>
          <cell r="C1124" t="str">
            <v>Active</v>
          </cell>
          <cell r="D1124">
            <v>2017</v>
          </cell>
          <cell r="X1124" t="str">
            <v>Information Technology</v>
          </cell>
          <cell r="Y1124" t="str">
            <v>Mobile Apps, Recruiting, Skill Assessment, SMS, Social Recruiting</v>
          </cell>
        </row>
        <row r="1125">
          <cell r="A1125" t="str">
            <v>Kandua</v>
          </cell>
          <cell r="B1125" t="str">
            <v>Kandua is an online marketplace for home services.</v>
          </cell>
          <cell r="C1125" t="str">
            <v>Active</v>
          </cell>
          <cell r="D1125">
            <v>2015</v>
          </cell>
          <cell r="G1125" t="str">
            <v>South Africa</v>
          </cell>
          <cell r="X1125" t="str">
            <v>Commercial &amp; Professional Services</v>
          </cell>
          <cell r="Y1125" t="str">
            <v>Home Services, Internet, Real Estate</v>
          </cell>
        </row>
        <row r="1126">
          <cell r="A1126" t="str">
            <v>Jetstream Africa</v>
          </cell>
          <cell r="B1126" t="str">
            <v>Jetstream is a supply chain platform that powers global trade logistics for African suppliers.</v>
          </cell>
          <cell r="C1126" t="str">
            <v>Active</v>
          </cell>
          <cell r="D1126">
            <v>2018</v>
          </cell>
          <cell r="G1126" t="str">
            <v>Ghana</v>
          </cell>
          <cell r="X1126" t="str">
            <v>Transport &amp; Logistics</v>
          </cell>
          <cell r="Y1126" t="str">
            <v>AgTech, Logistics</v>
          </cell>
        </row>
        <row r="1127">
          <cell r="A1127" t="str">
            <v>Luno</v>
          </cell>
          <cell r="B1127" t="str">
            <v>Luno is a global cryptocurrency company</v>
          </cell>
          <cell r="C1127" t="str">
            <v>Active</v>
          </cell>
          <cell r="D1127">
            <v>2013</v>
          </cell>
          <cell r="X1127" t="str">
            <v>Financial Services</v>
          </cell>
          <cell r="Y1127" t="str">
            <v>Cryptocurrency, Financial Services, Virtual Currency</v>
          </cell>
        </row>
        <row r="1128">
          <cell r="A1128" t="str">
            <v>Kazi Promote</v>
          </cell>
        </row>
        <row r="1129">
          <cell r="A1129" t="str">
            <v>Jonga</v>
          </cell>
          <cell r="B1129" t="str">
            <v>JONGA is a security technology company.</v>
          </cell>
          <cell r="C1129" t="str">
            <v>Active</v>
          </cell>
          <cell r="D1129">
            <v>2015</v>
          </cell>
          <cell r="G1129" t="str">
            <v>South Africa</v>
          </cell>
          <cell r="X1129" t="str">
            <v>Information Technology</v>
          </cell>
          <cell r="Y1129" t="str">
            <v>Information Technology, Security</v>
          </cell>
        </row>
        <row r="1130">
          <cell r="A1130" t="str">
            <v>Kenai</v>
          </cell>
          <cell r="B1130" t="str">
            <v>Kenai is a visitor management solution that uses facial recognition to recognise returning guests and facilitate faster, seamless sign-in. Kenai is here to make the ultimate first impression, by providing a sleek visitor management application with cutting-edge technology.</v>
          </cell>
          <cell r="C1130" t="str">
            <v>Active</v>
          </cell>
          <cell r="D1130">
            <v>2017</v>
          </cell>
          <cell r="G1130" t="str">
            <v>South Africa</v>
          </cell>
          <cell r="Y1130" t="str">
            <v>Computer Vision, Facial Recognition, Identity Manageme</v>
          </cell>
        </row>
        <row r="1131">
          <cell r="A1131" t="str">
            <v>Kencoco Limited</v>
          </cell>
          <cell r="B1131" t="str">
            <v>Kencoco Limited makes and sells charcoal briquettes from recycled agricultural coconut waste (coconut shells, husks) and charcoal dust</v>
          </cell>
          <cell r="C1131" t="str">
            <v>Active</v>
          </cell>
          <cell r="G1131" t="str">
            <v>Kenya</v>
          </cell>
          <cell r="X1131" t="str">
            <v>Resource &amp; Energy</v>
          </cell>
        </row>
        <row r="1132">
          <cell r="A1132" t="str">
            <v>Kenya Blockchain Investment</v>
          </cell>
          <cell r="C1132" t="str">
            <v>Active</v>
          </cell>
        </row>
        <row r="1133">
          <cell r="A1133" t="str">
            <v>Kepya</v>
          </cell>
          <cell r="B1133" t="str">
            <v>Kepya is a field product marketing platform that provides information on the availability and need for agricultural products and promotes quick transaction of the same in a simple click. To ensure easy use and inclusion, the platform can be used via web portal, phone call or text messaging.</v>
          </cell>
          <cell r="C1133" t="str">
            <v>Active</v>
          </cell>
          <cell r="D1133">
            <v>2017</v>
          </cell>
          <cell r="X1133" t="str">
            <v>E-Commerce &amp; Retail</v>
          </cell>
          <cell r="Y1133" t="str">
            <v>Product marketing platform</v>
          </cell>
        </row>
        <row r="1134">
          <cell r="A1134" t="str">
            <v>KillerAnalytics</v>
          </cell>
        </row>
        <row r="1135">
          <cell r="A1135" t="str">
            <v>Kangpe</v>
          </cell>
          <cell r="B1135" t="str">
            <v>We’re a health insurance company that acts like a technology company. We’re using software, data science and telemedicine to make health insurance more affordable, easier to access and more of a delightful experience.</v>
          </cell>
          <cell r="C1135" t="str">
            <v>Active</v>
          </cell>
          <cell r="D1135">
            <v>2014</v>
          </cell>
          <cell r="G1135" t="str">
            <v>Nigeria</v>
          </cell>
          <cell r="X1135" t="str">
            <v>Healthcare &amp; Pharma</v>
          </cell>
          <cell r="Y1135" t="str">
            <v>Health Care, Mobile Apps, Personal Health, Insurtech</v>
          </cell>
        </row>
        <row r="1136">
          <cell r="A1136" t="str">
            <v>Kisasa Brands</v>
          </cell>
          <cell r="G1136" t="str">
            <v>South Africa</v>
          </cell>
          <cell r="X1136" t="str">
            <v>E-Commerce &amp; Retail</v>
          </cell>
        </row>
        <row r="1137">
          <cell r="A1137" t="str">
            <v>Kazang Solar</v>
          </cell>
          <cell r="B1137" t="str">
            <v>Kazang Solar was was created to increase rural electrification and fight the poverty tax affecting low-income, energy-poor households across Zambia.</v>
          </cell>
          <cell r="C1137" t="str">
            <v>Active</v>
          </cell>
          <cell r="D1137">
            <v>2016</v>
          </cell>
          <cell r="G1137" t="str">
            <v>Zambia</v>
          </cell>
          <cell r="X1137" t="str">
            <v>Energy &amp; Environment Resources</v>
          </cell>
          <cell r="Y1137" t="str">
            <v>Power Grid, Solar</v>
          </cell>
        </row>
        <row r="1138">
          <cell r="A1138" t="str">
            <v>Kisua Africa</v>
          </cell>
          <cell r="B1138" t="str">
            <v>KISUA clothing brand collaborates with carefully selected African fashion designers, both emerging and established.</v>
          </cell>
          <cell r="C1138" t="str">
            <v>Active</v>
          </cell>
          <cell r="D1138">
            <v>2013</v>
          </cell>
          <cell r="X1138" t="str">
            <v>E-Commerce &amp; Retail</v>
          </cell>
          <cell r="Y1138" t="str">
            <v>Consumer Goods, Fashion, Retail</v>
          </cell>
        </row>
        <row r="1139">
          <cell r="A1139" t="str">
            <v>M-Paya</v>
          </cell>
          <cell r="B1139" t="str">
            <v>M-PAYA is a payments processing solution to enable SME Merchants receive cashless payment. Our system is inter-operable with major e-payment providers and allows merchants accept card &amp; mobile money payments while receiving real-time value to their accounts</v>
          </cell>
          <cell r="C1139" t="str">
            <v>Active</v>
          </cell>
          <cell r="G1139" t="str">
            <v>Kenya</v>
          </cell>
          <cell r="X1139" t="str">
            <v>Financial Services</v>
          </cell>
        </row>
        <row r="1140">
          <cell r="A1140" t="str">
            <v>Kitovu Technology Company</v>
          </cell>
          <cell r="G1140" t="str">
            <v>Nigeria</v>
          </cell>
          <cell r="X1140" t="str">
            <v>Agriculture</v>
          </cell>
        </row>
        <row r="1141">
          <cell r="A1141" t="str">
            <v>Kiva</v>
          </cell>
          <cell r="B1141" t="str">
            <v>Kiva Zip community provides access to 0% interest loans and a community passionate about helping entrepreneurs in the United States.</v>
          </cell>
          <cell r="C1141" t="str">
            <v>Active</v>
          </cell>
          <cell r="D1141">
            <v>2005</v>
          </cell>
          <cell r="X1141" t="str">
            <v>Nonprofit Organization Management</v>
          </cell>
          <cell r="Y1141" t="str">
            <v>Finance, Financial Services, FinTech, Micro Lending, Non Profit, Social Entrepreneurship</v>
          </cell>
        </row>
        <row r="1142">
          <cell r="A1142" t="str">
            <v>Kivu Green Energy</v>
          </cell>
          <cell r="B1142" t="str">
            <v>Kivu Green Energy (KGE) is a nationally incorporated energy company (S.A.R.L.) in the Democratic Republic of Congo (DRC). Based in the city of Beni, KGE’s vision is to empower Congo’s future by generating and managing reliable, affordable and renewable power.</v>
          </cell>
          <cell r="C1142" t="str">
            <v>Active</v>
          </cell>
          <cell r="D1142">
            <v>2015</v>
          </cell>
          <cell r="X1142" t="str">
            <v>Renewables &amp; Environment</v>
          </cell>
          <cell r="Y1142" t="str">
            <v>Renewables &amp; Environment</v>
          </cell>
        </row>
        <row r="1143">
          <cell r="A1143" t="str">
            <v>Klurdy Solutions</v>
          </cell>
          <cell r="B1143" t="str">
            <v>lurdy is a design studio with an interactive online service for buying personalized african fashion.</v>
          </cell>
          <cell r="C1143" t="str">
            <v>Active</v>
          </cell>
          <cell r="D1143">
            <v>2018</v>
          </cell>
          <cell r="G1143" t="str">
            <v>Kenya</v>
          </cell>
          <cell r="X1143" t="str">
            <v>Media and Entertainment</v>
          </cell>
          <cell r="Y1143" t="str">
            <v>Design, 3D graphics</v>
          </cell>
        </row>
        <row r="1144">
          <cell r="A1144" t="str">
            <v>Kilimofresh Foods Africa Ltd</v>
          </cell>
          <cell r="B1144" t="str">
            <v>Kilimo Fresh runs a B2B E-commerce produce distribution platform focused connecting farmers with customers on a B2B model. Kilimo aggregates, trades and market all types of foods, grains, fresh fruits, and vegetables significantly reducing post-harvest losses by cold storage.</v>
          </cell>
          <cell r="C1144" t="str">
            <v>Active</v>
          </cell>
          <cell r="D1144">
            <v>2018</v>
          </cell>
          <cell r="G1144" t="str">
            <v>Tanzania</v>
          </cell>
          <cell r="X1144" t="str">
            <v>E-Commerce &amp; Retail</v>
          </cell>
          <cell r="Y1144" t="str">
            <v>E-Commerce, Retail</v>
          </cell>
        </row>
        <row r="1145">
          <cell r="A1145" t="str">
            <v>MacroLan</v>
          </cell>
          <cell r="B1145" t="str">
            <v>MacroLan is a Cape Town based Internet Service Provider that delivers dedicated fibre broadband connectivity</v>
          </cell>
          <cell r="C1145" t="str">
            <v>Acquired</v>
          </cell>
          <cell r="D1145">
            <v>1997</v>
          </cell>
          <cell r="X1145" t="str">
            <v>Communication Services</v>
          </cell>
          <cell r="Y1145" t="str">
            <v>Consulting, Mobile, Software, Web Design</v>
          </cell>
        </row>
        <row r="1146">
          <cell r="A1146" t="str">
            <v>Knowledge Officer</v>
          </cell>
        </row>
        <row r="1147">
          <cell r="A1147" t="str">
            <v>Media Works</v>
          </cell>
          <cell r="B1147" t="str">
            <v>Media Works is an AET provider in South Africa.</v>
          </cell>
          <cell r="D1147">
            <v>1996</v>
          </cell>
          <cell r="G1147" t="str">
            <v>South Africa</v>
          </cell>
          <cell r="X1147" t="str">
            <v>Information Technology</v>
          </cell>
          <cell r="Y1147" t="str">
            <v>Information Services, Information Technology</v>
          </cell>
        </row>
        <row r="1148">
          <cell r="A1148" t="str">
            <v>Kobiri</v>
          </cell>
          <cell r="X1148" t="str">
            <v>Agriculture</v>
          </cell>
        </row>
        <row r="1149">
          <cell r="A1149" t="str">
            <v>M-Pesa</v>
          </cell>
          <cell r="B1149" t="str">
            <v>M-Pesa is a fast, secure, and convenient way to transact on mobile brought to you by Vodafone</v>
          </cell>
          <cell r="C1149" t="str">
            <v>Active</v>
          </cell>
          <cell r="D1149">
            <v>2007</v>
          </cell>
          <cell r="X1149" t="str">
            <v>Financial Services</v>
          </cell>
          <cell r="Y1149" t="str">
            <v>Finance, Financial Services, Payments</v>
          </cell>
        </row>
        <row r="1150">
          <cell r="A1150" t="str">
            <v>Kodisher Solutions</v>
          </cell>
          <cell r="B1150" t="str">
            <v>One stop solution for landlords and property managers for managing processes, transactions and data that improves efficiency and saves them money.</v>
          </cell>
          <cell r="C1150" t="str">
            <v>Active</v>
          </cell>
          <cell r="D1150">
            <v>2017</v>
          </cell>
          <cell r="G1150" t="str">
            <v>Kenya</v>
          </cell>
          <cell r="X1150" t="str">
            <v>Information Technology</v>
          </cell>
          <cell r="Y1150" t="str">
            <v>Software, Property management</v>
          </cell>
        </row>
        <row r="1151">
          <cell r="A1151" t="str">
            <v xml:space="preserve">Kognity </v>
          </cell>
          <cell r="B1151" t="str">
            <v>Kognity is an award-winning digital publisher that combines the power of technology and textbooks to create a vastly elevated learning experience</v>
          </cell>
          <cell r="C1151" t="str">
            <v>Active</v>
          </cell>
        </row>
        <row r="1152">
          <cell r="A1152" t="str">
            <v>Konecta</v>
          </cell>
          <cell r="B1152" t="str">
            <v>Konecta builds wireless networks and platforms to enable value-added services and data analytics.</v>
          </cell>
          <cell r="C1152" t="str">
            <v>Active</v>
          </cell>
          <cell r="G1152" t="str">
            <v>South Africa</v>
          </cell>
        </row>
        <row r="1153">
          <cell r="A1153" t="str">
            <v>Kool Farmer</v>
          </cell>
          <cell r="X1153" t="str">
            <v>Agriculture</v>
          </cell>
        </row>
        <row r="1154">
          <cell r="A1154" t="str">
            <v>Madam Aina</v>
          </cell>
          <cell r="B1154" t="str">
            <v>Madam Aina is building a safe fast escrow system.</v>
          </cell>
          <cell r="C1154" t="str">
            <v>Active</v>
          </cell>
          <cell r="D1154">
            <v>2018</v>
          </cell>
          <cell r="X1154" t="str">
            <v>Financial Services</v>
          </cell>
          <cell r="Y1154" t="str">
            <v>Escrow Service</v>
          </cell>
        </row>
        <row r="1155">
          <cell r="A1155" t="str">
            <v>Kpeiz Digital</v>
          </cell>
          <cell r="G1155" t="str">
            <v>Tunisia</v>
          </cell>
          <cell r="X1155" t="str">
            <v>Software Development</v>
          </cell>
        </row>
        <row r="1156">
          <cell r="A1156" t="str">
            <v>Kraks TV</v>
          </cell>
          <cell r="B1156" t="str">
            <v>We believe that only the best content should win, and we intend to be the wheel that nurtures this change. In the near future, we will champion this course on the African media landscape, even as we now help brands achieve their goals with creative Content Marketing.</v>
          </cell>
          <cell r="C1156" t="str">
            <v>Active</v>
          </cell>
          <cell r="D1156">
            <v>2016</v>
          </cell>
          <cell r="G1156" t="str">
            <v>Nigeria</v>
          </cell>
          <cell r="X1156" t="str">
            <v>Media &amp; Entertainment</v>
          </cell>
          <cell r="Y1156" t="str">
            <v>Marketing and Advertising</v>
          </cell>
        </row>
        <row r="1157">
          <cell r="A1157" t="str">
            <v>KryszanTec</v>
          </cell>
          <cell r="B1157" t="str">
            <v>KryszanTec has developed Subware, a solution that allows businesses to understand how they are spending money on IT. Through the solution, the company is able to show a business how much it would cost them to move to any new technology.</v>
          </cell>
          <cell r="C1157" t="str">
            <v>Active</v>
          </cell>
          <cell r="G1157" t="str">
            <v>South Africa</v>
          </cell>
        </row>
        <row r="1158">
          <cell r="A1158" t="str">
            <v>Kuenda Digital</v>
          </cell>
          <cell r="B1158" t="str">
            <v>Kuenda Digital is an Angolan Digital Marketing Company, and the main reference in the local industry.</v>
          </cell>
          <cell r="C1158" t="str">
            <v>Active</v>
          </cell>
          <cell r="D1158">
            <v>2017</v>
          </cell>
          <cell r="G1158" t="str">
            <v>Angola</v>
          </cell>
          <cell r="X1158" t="str">
            <v>Information Technology</v>
          </cell>
        </row>
        <row r="1159">
          <cell r="A1159" t="str">
            <v>Koko Networks</v>
          </cell>
          <cell r="B1159" t="str">
            <v>KOKO Networks is a venture-backed technology company operating in East Africa and India. We build and deploy dense networks of cloud-connected "KOKOpoints"​ inside local corner stores, which serve as consumer access points for goods and services delivered in partnership with major suppliers. Our first consumer solution is a liquid ethanol cooking fuel, which delivers significant cost savings and quality of life improvements in the multi-billion dollar market for urban cooking fuel. This fuels solution is delivered through a Kenyan operating partnership with Vivo Energy, the company which owns and operates Shell-branded fuels distribution infrastructure across Africa.</v>
          </cell>
          <cell r="C1159" t="str">
            <v>Active</v>
          </cell>
          <cell r="D1159">
            <v>2015</v>
          </cell>
          <cell r="G1159" t="str">
            <v>Kenya</v>
          </cell>
          <cell r="X1159" t="str">
            <v>Financial Services</v>
          </cell>
          <cell r="Y1159" t="str">
            <v>E-Commerce, Retail, Trading Platform</v>
          </cell>
        </row>
        <row r="1160">
          <cell r="A1160" t="str">
            <v>Kukulu</v>
          </cell>
          <cell r="B1160" t="str">
            <v>Kukulu is a 3D mobile game that tells the magical story of a chicken that escapes execution and runs off into an enticing adventure beyond the farm</v>
          </cell>
          <cell r="C1160" t="str">
            <v>Active</v>
          </cell>
          <cell r="D1160">
            <v>2019</v>
          </cell>
        </row>
        <row r="1161">
          <cell r="A1161" t="str">
            <v>Kumba</v>
          </cell>
          <cell r="B1161" t="str">
            <v>Kumba is focused on empowering the African tourism industry by connecting more travellers from around the world to authentic tours and activities provided by local companies</v>
          </cell>
          <cell r="C1161" t="str">
            <v>Active</v>
          </cell>
          <cell r="D1161">
            <v>2018</v>
          </cell>
          <cell r="G1161" t="str">
            <v>South Africa</v>
          </cell>
          <cell r="X1161" t="str">
            <v>Travel &amp; Leisure</v>
          </cell>
          <cell r="Y1161" t="str">
            <v>Travel &amp; Leisure</v>
          </cell>
        </row>
        <row r="1162">
          <cell r="A1162" t="str">
            <v>Kurai</v>
          </cell>
          <cell r="G1162" t="str">
            <v>South Africa</v>
          </cell>
        </row>
        <row r="1163">
          <cell r="A1163" t="str">
            <v>Kwanji</v>
          </cell>
          <cell r="B1163" t="str">
            <v>Kwanji is an online FX comparison platform empowering businesses globally to trade more efficiently. Bridging both emerging and traditional markets, we’re partnered with FCA regulated brokers in the UK and beyond. Quickly compare and choose from multiple FX quotes in seconds, send funds and transact globally without being overcharged</v>
          </cell>
          <cell r="C1163" t="str">
            <v>Active</v>
          </cell>
          <cell r="D1163">
            <v>2013</v>
          </cell>
          <cell r="X1163" t="str">
            <v>Financial Services</v>
          </cell>
          <cell r="Y1163" t="str">
            <v>International Trade and Development</v>
          </cell>
        </row>
        <row r="1164">
          <cell r="A1164" t="str">
            <v>Mediamark</v>
          </cell>
          <cell r="B1164" t="str">
            <v xml:space="preserve">Mediamark is a level 2 BBBEE specialist media sales and solutions company comprising experience and disciplines in Radio, Digital, Events and TV.  Mediamark’s aim is to be the leading media marketing solutions provider in Africa, by formulating partnerships with key media brands and providing advertisers with targeted and focused solutions across a multitude of media.
 </v>
          </cell>
          <cell r="C1164" t="str">
            <v>Acquired</v>
          </cell>
          <cell r="D1164">
            <v>2010</v>
          </cell>
          <cell r="G1164" t="str">
            <v>South Africa</v>
          </cell>
          <cell r="X1164" t="str">
            <v>Media &amp; Entertainment</v>
          </cell>
          <cell r="Y1164" t="str">
            <v>Digital Media</v>
          </cell>
        </row>
        <row r="1165">
          <cell r="A1165" t="str">
            <v>Kyaffe Farmers Network</v>
          </cell>
        </row>
        <row r="1166">
          <cell r="A1166" t="str">
            <v>Kudobuzz</v>
          </cell>
          <cell r="B1166" t="str">
            <v>Kudobuzz is a Saas company that builds tools to help eCommerce merchants build trust, increase traffic and boost sales, using UGC and SEO.</v>
          </cell>
          <cell r="C1166" t="str">
            <v>Active</v>
          </cell>
          <cell r="D1166">
            <v>2013</v>
          </cell>
          <cell r="G1166" t="str">
            <v>Ghana</v>
          </cell>
          <cell r="X1166" t="str">
            <v>Information Technology</v>
          </cell>
          <cell r="Y1166" t="str">
            <v>Social, Business &amp; Product Reviews, Customer Engagement &amp; Loyalty, SEO, Sales, and User Generate Content</v>
          </cell>
        </row>
        <row r="1167">
          <cell r="A1167" t="str">
            <v>Kudos Africa</v>
          </cell>
          <cell r="B1167" t="str">
            <v>KudosAfrica is a sustainability rating and services provider focused on African businesses</v>
          </cell>
          <cell r="C1167" t="str">
            <v>Active</v>
          </cell>
          <cell r="D1167">
            <v>2014</v>
          </cell>
          <cell r="G1167" t="str">
            <v>South Africa</v>
          </cell>
          <cell r="X1167" t="str">
            <v>Financial Services</v>
          </cell>
          <cell r="Y1167" t="str">
            <v>Sustainability benchmarking, Emerging Markets Investment, Private Equity Fund Investing, Deal Sourcing, Direct Investing, Rating tool, Report Services, Sustainability reporting, ESG management, ESG implementation, and SDG management</v>
          </cell>
        </row>
        <row r="1168">
          <cell r="A1168" t="str">
            <v>Maisha Meds</v>
          </cell>
          <cell r="B1168" t="str">
            <v>Maisha Meds is a software platform for ensuring that rural pharmacists and clinicians</v>
          </cell>
          <cell r="C1168" t="str">
            <v>Active</v>
          </cell>
          <cell r="D1168">
            <v>2016</v>
          </cell>
          <cell r="G1168" t="str">
            <v>Kenya</v>
          </cell>
          <cell r="X1168" t="str">
            <v>Healthcare &amp; Pharma</v>
          </cell>
          <cell r="Y1168" t="str">
            <v>Information Technology, Software</v>
          </cell>
        </row>
        <row r="1169">
          <cell r="A1169" t="str">
            <v>Kuhustle</v>
          </cell>
          <cell r="B1169" t="str">
            <v>An online community of doing and delivering digital jobs online across Africa. Post a job, receive bids in hours, select bidder, delivery of job Review and rate.</v>
          </cell>
          <cell r="C1169" t="str">
            <v>Active</v>
          </cell>
          <cell r="D1169">
            <v>2014</v>
          </cell>
          <cell r="G1169" t="str">
            <v>Kenya</v>
          </cell>
          <cell r="X1169" t="str">
            <v>Recruitment</v>
          </cell>
          <cell r="Y1169" t="str">
            <v>Online jobs, Freelancing, Marketplace</v>
          </cell>
        </row>
        <row r="1170">
          <cell r="A1170" t="str">
            <v>Lafricamobile</v>
          </cell>
          <cell r="B1170" t="str">
            <v>LAfricaMobile est leader dans la fourniture de solutions web et mobiles innovantes en Afrique.</v>
          </cell>
          <cell r="C1170" t="str">
            <v>Active</v>
          </cell>
          <cell r="D1170">
            <v>2014</v>
          </cell>
          <cell r="X1170" t="str">
            <v>Telecommunications</v>
          </cell>
          <cell r="Y1170" t="str">
            <v>Telecommunications</v>
          </cell>
        </row>
        <row r="1171">
          <cell r="A1171" t="str">
            <v>Maishapay</v>
          </cell>
          <cell r="B1171" t="str">
            <v>MaishaPay is enabling SME's accept all payments using a single QR code.</v>
          </cell>
          <cell r="C1171" t="str">
            <v>Active</v>
          </cell>
          <cell r="D1171">
            <v>2012</v>
          </cell>
          <cell r="X1171" t="str">
            <v>Financial Services</v>
          </cell>
          <cell r="Y1171" t="str">
            <v>iOS, Mobile Payments, Software, Telecommunications</v>
          </cell>
        </row>
        <row r="1172">
          <cell r="A1172" t="str">
            <v>Lamsa</v>
          </cell>
          <cell r="B1172" t="str">
            <v>Lamsa Kids World is a state of the art digital service tailored for children availing a world of creativity and imagination! Delivering</v>
          </cell>
          <cell r="C1172" t="str">
            <v>Active</v>
          </cell>
          <cell r="D1172">
            <v>2012</v>
          </cell>
          <cell r="X1172" t="str">
            <v>Education</v>
          </cell>
          <cell r="Y1172" t="str">
            <v>Apps, Digital Entertainment, Digital Media, E-Learning, Education, Software</v>
          </cell>
        </row>
        <row r="1173">
          <cell r="A1173" t="str">
            <v>Kwangu Kwako</v>
          </cell>
          <cell r="B1173" t="str">
            <v>Kwangu Kwako, which provides safer, healthier, and more secure housing alternatives to the traditional informal settlement structures in Kenya</v>
          </cell>
          <cell r="C1173" t="str">
            <v>Active</v>
          </cell>
          <cell r="D1173">
            <v>2015</v>
          </cell>
          <cell r="G1173" t="str">
            <v>Kenya</v>
          </cell>
          <cell r="X1173" t="str">
            <v>Real Estate</v>
          </cell>
          <cell r="Y1173" t="str">
            <v>Construction, Housing Solutions</v>
          </cell>
        </row>
        <row r="1174">
          <cell r="A1174" t="str">
            <v>Kwara</v>
          </cell>
          <cell r="B1174" t="str">
            <v>Kwara passionate about supporting the financial cooperative movement that currently improves the lives of hundreds of millions of people</v>
          </cell>
          <cell r="C1174" t="str">
            <v>Active</v>
          </cell>
          <cell r="D1174">
            <v>2018</v>
          </cell>
          <cell r="G1174" t="str">
            <v>Kenya</v>
          </cell>
          <cell r="X1174" t="str">
            <v>Financial Services</v>
          </cell>
          <cell r="Y1174" t="str">
            <v>Information Technology</v>
          </cell>
        </row>
        <row r="1175">
          <cell r="A1175" t="str">
            <v>Lara.ng</v>
          </cell>
          <cell r="B1175" t="str">
            <v>Connecting commuters to private shuttles on their commute to work - freeing up time and saving money</v>
          </cell>
          <cell r="C1175" t="str">
            <v>Active</v>
          </cell>
          <cell r="D1175">
            <v>2016</v>
          </cell>
          <cell r="G1175" t="str">
            <v>Nigeria</v>
          </cell>
          <cell r="X1175" t="str">
            <v>Transport &amp; Logistics</v>
          </cell>
          <cell r="Y1175" t="str">
            <v>Big Data, Information Technology, Mobile Apps, Mobile Payments, Predictive Analytics, Public Transportation, Ride Sharing, Ticketing, Transportation</v>
          </cell>
        </row>
        <row r="1176">
          <cell r="A1176" t="str">
            <v>LawBasket</v>
          </cell>
          <cell r="C1176" t="str">
            <v>Active</v>
          </cell>
          <cell r="G1176" t="str">
            <v>Zimbabwe</v>
          </cell>
        </row>
        <row r="1177">
          <cell r="A1177" t="str">
            <v>Leadhome</v>
          </cell>
          <cell r="C1177" t="str">
            <v>Active</v>
          </cell>
          <cell r="G1177" t="str">
            <v>South Africa</v>
          </cell>
        </row>
        <row r="1178">
          <cell r="A1178" t="str">
            <v>Labes Key</v>
          </cell>
          <cell r="B1178" t="str">
            <v>Labes Key are the publishers of the edtech enterprise resource planning (ERP) solution Schoolap</v>
          </cell>
          <cell r="C1178" t="str">
            <v>Active</v>
          </cell>
          <cell r="D1178">
            <v>2015</v>
          </cell>
          <cell r="G1178" t="str">
            <v>Democratic Republic of Congo</v>
          </cell>
          <cell r="X1178" t="str">
            <v>Information Technology</v>
          </cell>
          <cell r="Y1178" t="str">
            <v>EdTech, Software</v>
          </cell>
        </row>
        <row r="1179">
          <cell r="A1179" t="str">
            <v>LeadRobot</v>
          </cell>
          <cell r="B1179" t="str">
            <v>LeadRobot has developed a data analytics and marketing automation tool that uses artificial intelligence (AI) to enrich, cleanse and predictively score incoming leads in real time to empower sales and marketing technologies and teams</v>
          </cell>
          <cell r="C1179" t="str">
            <v>Active</v>
          </cell>
          <cell r="D1179">
            <v>2018</v>
          </cell>
          <cell r="G1179" t="str">
            <v>South Africa</v>
          </cell>
        </row>
        <row r="1180">
          <cell r="A1180" t="str">
            <v>Leaf</v>
          </cell>
          <cell r="B1180" t="str">
            <v>Leaf is a mobile point-of-sale platform that helps local merchants manage and grow their business.</v>
          </cell>
          <cell r="C1180" t="str">
            <v>Active</v>
          </cell>
          <cell r="D1180">
            <v>2011</v>
          </cell>
          <cell r="G1180" t="str">
            <v>USA</v>
          </cell>
          <cell r="X1180" t="str">
            <v>E-Commerce &amp; Retail</v>
          </cell>
          <cell r="Y1180" t="str">
            <v>E-Commerce, Payments, Restaurants, Social Media</v>
          </cell>
        </row>
        <row r="1181">
          <cell r="A1181" t="str">
            <v>Lenoma Legal</v>
          </cell>
        </row>
        <row r="1182">
          <cell r="A1182" t="str">
            <v>Mama Money</v>
          </cell>
          <cell r="B1182" t="str">
            <v>Mama Money is the world’s first social business for remittances.</v>
          </cell>
          <cell r="C1182" t="str">
            <v>Active</v>
          </cell>
          <cell r="D1182">
            <v>2013</v>
          </cell>
          <cell r="X1182" t="str">
            <v>Financial services</v>
          </cell>
          <cell r="Y1182" t="str">
            <v>E-Commerce, Finance, Financial Exchanges, FinTech</v>
          </cell>
        </row>
        <row r="1183">
          <cell r="A1183" t="str">
            <v>Last Mile for BoP</v>
          </cell>
          <cell r="B1183" t="str">
            <v>Last Mile for BoP is on a mission to improve the distribution of quality and affordable goods and services in townships and rural areas in South Africa.</v>
          </cell>
          <cell r="C1183" t="str">
            <v>Active</v>
          </cell>
          <cell r="D1183">
            <v>2013</v>
          </cell>
          <cell r="G1183" t="str">
            <v>South Africa</v>
          </cell>
          <cell r="X1183" t="str">
            <v>E-Commerce &amp; Retail</v>
          </cell>
          <cell r="Y1183" t="str">
            <v>E-Commerce</v>
          </cell>
        </row>
        <row r="1184">
          <cell r="A1184" t="str">
            <v>Mamaope</v>
          </cell>
          <cell r="B1184" t="str">
            <v>MamaOpe designed a Pneumonia diagnosis kit in form of a jacket for children aged below 5 years</v>
          </cell>
          <cell r="C1184" t="str">
            <v>Active</v>
          </cell>
          <cell r="D1184">
            <v>2017</v>
          </cell>
          <cell r="G1184" t="str">
            <v>Uganda</v>
          </cell>
          <cell r="X1184" t="str">
            <v>Healthcare &amp; Pharma</v>
          </cell>
          <cell r="Y1184" t="str">
            <v>Artificial Intelligence, Health Care, Health Diagnostics, Machine Learning, Medical, Medical Device</v>
          </cell>
        </row>
        <row r="1185">
          <cell r="A1185" t="str">
            <v>LIFI-LED</v>
          </cell>
          <cell r="B1185" t="str">
            <v>LIFI-LED evolves in the field of technology through the implementation of solutions for communication and dissemination of digital information through the light. It combines electricity, connectivity and energy for the satisfaction of its customers.</v>
          </cell>
          <cell r="C1185" t="str">
            <v>Active</v>
          </cell>
          <cell r="D1185">
            <v>2014</v>
          </cell>
          <cell r="G1185" t="str">
            <v>Ivory Coast</v>
          </cell>
          <cell r="X1185" t="str">
            <v>Wireless</v>
          </cell>
        </row>
        <row r="1186">
          <cell r="A1186" t="str">
            <v>MarketForce</v>
          </cell>
          <cell r="B1186" t="str">
            <v>MarketForce is a platform by Mesozi Inc that provides credit solutions in Kenya.</v>
          </cell>
          <cell r="C1186" t="str">
            <v>Active</v>
          </cell>
          <cell r="G1186" t="str">
            <v>Kenya</v>
          </cell>
          <cell r="X1186" t="str">
            <v>Financial services</v>
          </cell>
          <cell r="Y1186" t="str">
            <v>Financial services, Credit</v>
          </cell>
        </row>
        <row r="1187">
          <cell r="A1187" t="str">
            <v>Matibabu</v>
          </cell>
          <cell r="B1187" t="str">
            <v>Matibabu is a non-invasive malaria diagnosis kit.</v>
          </cell>
          <cell r="C1187" t="str">
            <v>Active</v>
          </cell>
          <cell r="D1187">
            <v>2013</v>
          </cell>
          <cell r="G1187" t="str">
            <v>Uganda</v>
          </cell>
          <cell r="X1187" t="str">
            <v>Healthcare &amp; Pharma</v>
          </cell>
          <cell r="Y1187" t="str">
            <v>Health Care, Health Diagnostics, Medical Device, Mobile Apps</v>
          </cell>
        </row>
        <row r="1188">
          <cell r="A1188" t="str">
            <v>Leaf Global Fintech</v>
          </cell>
          <cell r="B1188" t="str">
            <v>Leaf offers virtual banking services to vulnerable populations crossing borders.</v>
          </cell>
          <cell r="C1188" t="str">
            <v>Active</v>
          </cell>
          <cell r="D1188">
            <v>2017</v>
          </cell>
          <cell r="G1188" t="str">
            <v>USA</v>
          </cell>
          <cell r="X1188" t="str">
            <v>Financial services</v>
          </cell>
          <cell r="Y1188" t="str">
            <v>Financial Services, Blockchain</v>
          </cell>
        </row>
        <row r="1189">
          <cell r="A1189" t="str">
            <v>Legafrik</v>
          </cell>
          <cell r="B1189" t="str">
            <v>Legafrik is the first digital platform that allows you to manage all your online legal needs in the 17 OHADA countries in Africa. Create your statutes and legal documents compliant with OHADA Law Online and have them reviewed by lawyers at affordable rates. Consult lawyers in OHADA online.</v>
          </cell>
          <cell r="C1189" t="str">
            <v>Active</v>
          </cell>
          <cell r="D1189">
            <v>2017</v>
          </cell>
          <cell r="G1189" t="str">
            <v>Ivory Coast</v>
          </cell>
          <cell r="X1189" t="str">
            <v>Commercial &amp; Professional Services</v>
          </cell>
          <cell r="Y1189" t="str">
            <v>Legal, Legal Documents, Business Establishment OHADA Countries, Consult an Online Attorney in Africa, and Legal Services</v>
          </cell>
        </row>
        <row r="1190">
          <cell r="A1190" t="str">
            <v>LegitCar</v>
          </cell>
          <cell r="B1190" t="str">
            <v>LegitCar aims to solve the problem of vehicle theft in Nigeria by providing automated vehicles theft-status check for individuals and businesses.</v>
          </cell>
          <cell r="C1190" t="str">
            <v>Active</v>
          </cell>
          <cell r="D1190">
            <v>2016</v>
          </cell>
          <cell r="G1190" t="str">
            <v>Nigeria</v>
          </cell>
          <cell r="X1190" t="str">
            <v>Information Technology</v>
          </cell>
          <cell r="Y1190" t="str">
            <v>Automotive, Security, Software</v>
          </cell>
        </row>
        <row r="1191">
          <cell r="A1191" t="str">
            <v>Lelapa Fund</v>
          </cell>
          <cell r="B1191" t="str">
            <v>LelapaFund is a niche crowdinvestment platform dedicated to African companies.</v>
          </cell>
          <cell r="C1191" t="str">
            <v>Active</v>
          </cell>
          <cell r="D1191">
            <v>2014</v>
          </cell>
          <cell r="G1191" t="str">
            <v>Kenya</v>
          </cell>
          <cell r="X1191" t="str">
            <v>Financial Services</v>
          </cell>
          <cell r="Y1191" t="str">
            <v>Financial Services</v>
          </cell>
        </row>
        <row r="1192">
          <cell r="A1192" t="str">
            <v>Lendable</v>
          </cell>
          <cell r="B1192" t="str">
            <v>Lendable is passionate about making impact investing a competitive asset class. They build technology and financial products to bring finance to one hundred million borrowers that deserve it.</v>
          </cell>
          <cell r="C1192" t="str">
            <v>Active</v>
          </cell>
          <cell r="D1192">
            <v>2014</v>
          </cell>
          <cell r="G1192" t="str">
            <v>Kenya</v>
          </cell>
          <cell r="X1192" t="str">
            <v>Financial Services</v>
          </cell>
          <cell r="Y1192" t="str">
            <v>Angel Investment, Finance, Impact Investing</v>
          </cell>
        </row>
        <row r="1193">
          <cell r="A1193" t="str">
            <v>LinumLabs</v>
          </cell>
          <cell r="B1193" t="str">
            <v>As a global team of developers, entrepreneurs and change-makers, we are deeply passionate about guiding, teaching and motivating others to create a healthier society</v>
          </cell>
          <cell r="C1193" t="str">
            <v>Active</v>
          </cell>
          <cell r="D1193">
            <v>2016</v>
          </cell>
          <cell r="X1193" t="str">
            <v>Information Technology</v>
          </cell>
          <cell r="Y1193" t="str">
            <v>Blockchain, Ethereum, Bitcoin, Digital Assets, Blockchain Development, Blockchain Talent, Cryptocurrency, Blockchain Training, Ethereum Training, Hackathons, Community, and Meetups</v>
          </cell>
        </row>
        <row r="1194">
          <cell r="A1194" t="str">
            <v>Lipaplus</v>
          </cell>
          <cell r="B1194" t="str">
            <v>Lipaplus is a mobile POS terminal which enables merchants to receive card payments on their mobile phones, it's a product of Kenswipe Ltd</v>
          </cell>
          <cell r="C1194" t="str">
            <v>Active</v>
          </cell>
          <cell r="D1194">
            <v>2010</v>
          </cell>
          <cell r="X1194" t="str">
            <v>Financial Services</v>
          </cell>
          <cell r="Y1194" t="str">
            <v>Payment processing and MPOS</v>
          </cell>
        </row>
        <row r="1195">
          <cell r="A1195" t="str">
            <v>LiquidGold</v>
          </cell>
          <cell r="B1195" t="str">
            <v>LiquidGold looks at the sanitation with unique waterless technology and nutrient recovery solutions</v>
          </cell>
          <cell r="C1195" t="str">
            <v>Active</v>
          </cell>
          <cell r="D1195">
            <v>2014</v>
          </cell>
          <cell r="G1195" t="str">
            <v>South Africa</v>
          </cell>
        </row>
        <row r="1196">
          <cell r="A1196" t="str">
            <v>Maxicash (Pty) Ltd</v>
          </cell>
          <cell r="B1196" t="str">
            <v>MaxiCash is a start up Fintech company. Our Mobile App helps African expats and Diaspora support their loved ones back home, financially</v>
          </cell>
          <cell r="C1196" t="str">
            <v>Active</v>
          </cell>
          <cell r="D1196">
            <v>2016</v>
          </cell>
          <cell r="X1196" t="str">
            <v>Financial Services</v>
          </cell>
          <cell r="Y1196" t="str">
            <v>FinTech, Mobile App, Mobile services, and Money transfer</v>
          </cell>
        </row>
        <row r="1197">
          <cell r="A1197" t="str">
            <v>Loadbox</v>
          </cell>
          <cell r="B1197" t="str">
            <v>Loadbox aims to increase productivity and decrease inefficiencies in ports terminals, depots and mining yards.</v>
          </cell>
        </row>
        <row r="1198">
          <cell r="A1198" t="str">
            <v>Loniwa</v>
          </cell>
          <cell r="B1198" t="str">
            <v>Logiwa is the industry-leading WMS serving retail, e-commerce, wholesale, and 3PL businesses worldwide for over a decade</v>
          </cell>
          <cell r="C1198" t="str">
            <v>Active</v>
          </cell>
          <cell r="D1198">
            <v>2004</v>
          </cell>
          <cell r="X1198" t="str">
            <v>Information Technology</v>
          </cell>
          <cell r="Y1198" t="str">
            <v>Business Information Systems, Commercial, Retail Technology, Supply Chain</v>
          </cell>
        </row>
        <row r="1199">
          <cell r="A1199" t="str">
            <v>LinkdPro</v>
          </cell>
          <cell r="B1199" t="str">
            <v>LinkdPro is an online marketplace connecting companies to a global network of top freelance business professionals and experts, on-demand.</v>
          </cell>
          <cell r="C1199" t="str">
            <v>Active</v>
          </cell>
          <cell r="D1199">
            <v>2016</v>
          </cell>
          <cell r="G1199" t="str">
            <v>South Africa</v>
          </cell>
          <cell r="X1199" t="str">
            <v>Information Technology</v>
          </cell>
          <cell r="Y1199" t="str">
            <v>Information Technology, Human Resource</v>
          </cell>
        </row>
        <row r="1200">
          <cell r="A1200" t="str">
            <v>Lono</v>
          </cell>
          <cell r="C1200" t="str">
            <v>Active</v>
          </cell>
        </row>
        <row r="1201">
          <cell r="A1201" t="str">
            <v>Lovtov Management Services</v>
          </cell>
        </row>
        <row r="1202">
          <cell r="A1202" t="str">
            <v>Lipisha</v>
          </cell>
          <cell r="B1202" t="str">
            <v>Lipisha enables small business owners to automatically process non cash payments and micropayments such as mobile money and card payments directly to their bank accounts</v>
          </cell>
          <cell r="C1202" t="str">
            <v>Active</v>
          </cell>
          <cell r="D1202">
            <v>2009</v>
          </cell>
          <cell r="G1202" t="str">
            <v>Kenya</v>
          </cell>
          <cell r="X1202" t="str">
            <v>Financial Services</v>
          </cell>
          <cell r="Y1202" t="str">
            <v>Fintech</v>
          </cell>
        </row>
        <row r="1203">
          <cell r="A1203" t="str">
            <v>Loystar</v>
          </cell>
          <cell r="G1203" t="str">
            <v>Nigeria</v>
          </cell>
          <cell r="X1203" t="str">
            <v>E-Commerce &amp; Retail</v>
          </cell>
        </row>
        <row r="1204">
          <cell r="A1204" t="str">
            <v>LPK Civil &amp; Structural Engineers</v>
          </cell>
        </row>
        <row r="1205">
          <cell r="A1205" t="str">
            <v>Livestock Wealth</v>
          </cell>
          <cell r="B1205" t="str">
            <v>Livestock Wealth is a crowdfarming company that allows people to invest in livestock and earn from sale of the offspring.</v>
          </cell>
          <cell r="C1205" t="str">
            <v>Active</v>
          </cell>
          <cell r="D1205">
            <v>2015</v>
          </cell>
          <cell r="G1205" t="str">
            <v>South Africa</v>
          </cell>
          <cell r="X1205" t="str">
            <v>Financial Services</v>
          </cell>
          <cell r="Y1205" t="str">
            <v>Agriculture, Crowdfunding</v>
          </cell>
        </row>
        <row r="1206">
          <cell r="A1206" t="str">
            <v>Lucy.Ng</v>
          </cell>
          <cell r="B1206" t="str">
            <v>Lucy is a Nigerian e-commerce,wholesale and retail technology company that provides B2C and B2B sales of branded merchandise via web portals</v>
          </cell>
          <cell r="C1206" t="str">
            <v>Active</v>
          </cell>
          <cell r="D1206">
            <v>2016</v>
          </cell>
          <cell r="X1206" t="str">
            <v>E-Commerce &amp; Retail</v>
          </cell>
          <cell r="Y1206" t="str">
            <v>E-Commerce, Fashion, Marketing, Marketplace, Small and Medium Businesses</v>
          </cell>
        </row>
        <row r="1207">
          <cell r="A1207" t="str">
            <v>Lugha Ishara</v>
          </cell>
          <cell r="B1207" t="str">
            <v>Lugha Ishara is a community-based organization with a mission of achieving the transformational development of deaf children</v>
          </cell>
          <cell r="C1207" t="str">
            <v>Active</v>
          </cell>
          <cell r="X1207" t="str">
            <v>Non Profit</v>
          </cell>
        </row>
        <row r="1208">
          <cell r="A1208" t="str">
            <v>Mazboot</v>
          </cell>
          <cell r="B1208" t="str">
            <v>Mazboot"​ is the first Arabic application on smartphones and the web for helping diabetic patients self-manage their disease for better control of their blood glucose level and hence more productivity</v>
          </cell>
          <cell r="C1208" t="str">
            <v>Active</v>
          </cell>
          <cell r="D1208">
            <v>2016</v>
          </cell>
          <cell r="X1208" t="str">
            <v>Healthcare &amp; Pharma</v>
          </cell>
          <cell r="Y1208" t="str">
            <v>Health, Wellness and Fitness</v>
          </cell>
        </row>
        <row r="1209">
          <cell r="A1209" t="str">
            <v>Lv Digital</v>
          </cell>
          <cell r="B1209" t="str">
            <v>LV Digital is a digital marketing consultancy</v>
          </cell>
          <cell r="C1209" t="str">
            <v>Active</v>
          </cell>
          <cell r="D1209">
            <v>2014</v>
          </cell>
          <cell r="X1209" t="str">
            <v>Commercial &amp; Professional Services</v>
          </cell>
        </row>
        <row r="1210">
          <cell r="A1210" t="str">
            <v>Lyvv Cosmetics</v>
          </cell>
          <cell r="B1210" t="str">
            <v>LYVV Cosmetics is a beauty company that focuses on women of color. A full range of lip products is at the moment available worldwide .</v>
          </cell>
          <cell r="C1210" t="str">
            <v>Active</v>
          </cell>
          <cell r="D1210">
            <v>2017</v>
          </cell>
        </row>
        <row r="1211">
          <cell r="A1211" t="str">
            <v>Mazzuma</v>
          </cell>
          <cell r="B1211" t="str">
            <v>Mazzuma is a mobile money payment system that utilizes a distributed secure infrastructure and cryptocurrency to enable seamless payments. The Mazzuma token (MAZ) will be the key payment medium in the Mazzuma ecosystem.Transactions made on the Mazzuma platform are instantaneous and free of transaction fees. This is going to revolutionarise the payment industry with instant cross-border payments.</v>
          </cell>
          <cell r="C1211" t="str">
            <v>Active</v>
          </cell>
          <cell r="D1211">
            <v>2015</v>
          </cell>
          <cell r="X1211" t="str">
            <v>Financial Services</v>
          </cell>
          <cell r="Y1211" t="str">
            <v>Blockchain, Artificial Intelligence, Mobile Payments, Mobile Money, and Financial Inclusion</v>
          </cell>
        </row>
        <row r="1212">
          <cell r="A1212" t="str">
            <v>M-Pepea</v>
          </cell>
          <cell r="B1212" t="str">
            <v>M-PEPEA credit is a fully automated credit system dedicated to providing small emergency loans via Safaricom M-PESA instantly, 24hours a day 7 days a week. M-pepea provides emergency micro loans when you need them most. The service uses Safaricom's M-pesa system to get cash instantly in your hand wherever you have mobile service</v>
          </cell>
          <cell r="D1212">
            <v>2010</v>
          </cell>
          <cell r="X1212" t="str">
            <v>Information Technology</v>
          </cell>
          <cell r="Y1212" t="str">
            <v>Information Technology and Services</v>
          </cell>
        </row>
        <row r="1213">
          <cell r="A1213" t="str">
            <v>Mboagive</v>
          </cell>
          <cell r="B1213" t="str">
            <v>We help raise funds for social causes</v>
          </cell>
          <cell r="C1213" t="str">
            <v>Active</v>
          </cell>
          <cell r="D1213">
            <v>2018</v>
          </cell>
          <cell r="X1213" t="str">
            <v>Financial Services</v>
          </cell>
          <cell r="Y1213" t="str">
            <v>Fundraising</v>
          </cell>
        </row>
        <row r="1214">
          <cell r="A1214" t="str">
            <v>Lumkani</v>
          </cell>
          <cell r="B1214" t="str">
            <v>Lumkani is a social enterprise known for its fire detector and system designed to overcome the shack-fire challenge in urban slums.</v>
          </cell>
          <cell r="C1214" t="str">
            <v>Active</v>
          </cell>
          <cell r="D1214">
            <v>2014</v>
          </cell>
          <cell r="G1214" t="str">
            <v>South Africa</v>
          </cell>
          <cell r="X1214" t="str">
            <v>Information Technology</v>
          </cell>
          <cell r="Y1214" t="str">
            <v>Consumer Electronics, Information Technology, Security</v>
          </cell>
        </row>
        <row r="1215">
          <cell r="A1215" t="str">
            <v>M3Roud</v>
          </cell>
          <cell r="B1215" t="str">
            <v>Marketplace selling– Fashion, Clothes, Accessories, Jewellery , Handcrafts, Electronics, Books ✓Fast Shipping✓Easy Payments✓Pay Cash</v>
          </cell>
          <cell r="C1215" t="str">
            <v>Active</v>
          </cell>
          <cell r="D1215">
            <v>2017</v>
          </cell>
          <cell r="X1215" t="str">
            <v>E-Commerce &amp; Retail</v>
          </cell>
          <cell r="Y1215" t="str">
            <v>E-Commerce, Fashion, Logistics, Marketplace, Retail Technology</v>
          </cell>
        </row>
        <row r="1216">
          <cell r="A1216" t="str">
            <v>Lush Plans</v>
          </cell>
          <cell r="B1216" t="str">
            <v>Event management platform for couples and wedding planner to generate a complete customizable wedding package with the click of a button.</v>
          </cell>
          <cell r="C1216" t="str">
            <v>Active</v>
          </cell>
          <cell r="D1216">
            <v>2018</v>
          </cell>
          <cell r="G1216" t="str">
            <v>Nigeria</v>
          </cell>
          <cell r="X1216" t="str">
            <v>Commercial &amp; Professional Services</v>
          </cell>
          <cell r="Y1216" t="str">
            <v>Big Data, Event Management, Events, Machine Learning, Productivity Tools, Wedding</v>
          </cell>
        </row>
        <row r="1217">
          <cell r="A1217" t="str">
            <v>Ma-Navette</v>
          </cell>
          <cell r="B1217" t="str">
            <v>Ma-Navette is a transport company and a private driver platform for individuals and corporate personnel</v>
          </cell>
          <cell r="C1217" t="str">
            <v>Active</v>
          </cell>
          <cell r="D1217">
            <v>2010</v>
          </cell>
          <cell r="X1217" t="str">
            <v>Transport &amp; Logistics</v>
          </cell>
          <cell r="Y1217" t="str">
            <v>Professional Services, Service Industry, Transportation</v>
          </cell>
        </row>
        <row r="1218">
          <cell r="A1218" t="str">
            <v>MaaikiSA</v>
          </cell>
          <cell r="B1218" t="str">
            <v>Maaiki is your convenient online shop for locally-made, premium fashion basics for babies.</v>
          </cell>
          <cell r="C1218" t="str">
            <v>Active</v>
          </cell>
          <cell r="D1218">
            <v>2016</v>
          </cell>
          <cell r="G1218" t="str">
            <v>South Africa</v>
          </cell>
        </row>
        <row r="1219">
          <cell r="A1219" t="str">
            <v>M-Birr</v>
          </cell>
          <cell r="B1219" t="str">
            <v>Ethiopia-based mobile money service</v>
          </cell>
          <cell r="C1219" t="str">
            <v>Active</v>
          </cell>
          <cell r="D1219">
            <v>2001</v>
          </cell>
          <cell r="G1219" t="str">
            <v>Ethiopia</v>
          </cell>
          <cell r="X1219" t="str">
            <v>Mobile Payments</v>
          </cell>
          <cell r="Y1219" t="str">
            <v>Mobile Payments, Software</v>
          </cell>
        </row>
        <row r="1220">
          <cell r="A1220" t="str">
            <v>M-Farm</v>
          </cell>
          <cell r="B1220" t="str">
            <v>M-Farm connects smallholder African farmers with urban and export markets via SMS and a web-enabled marketplace. M-Farm negotiates with buyers to create demand and assures quality through its network of agents.</v>
          </cell>
          <cell r="C1220" t="str">
            <v>Active</v>
          </cell>
          <cell r="D1220">
            <v>2010</v>
          </cell>
          <cell r="G1220" t="str">
            <v>Kenya</v>
          </cell>
          <cell r="X1220" t="str">
            <v>Agriculture</v>
          </cell>
          <cell r="Y1220" t="str">
            <v>Agriculture, Information Technology, Social Entrepreneurship, Software, Telecommunications</v>
          </cell>
        </row>
        <row r="1221">
          <cell r="A1221" t="str">
            <v>M-Paper</v>
          </cell>
          <cell r="B1221" t="str">
            <v>m-paper is a digital newsstand that brings together all local newspapers and magazines to the user's mobile device. With M-Paper, user can download and read all Tanzanian magazines and newspapers on mobile phone or website.</v>
          </cell>
          <cell r="C1221" t="str">
            <v>Active</v>
          </cell>
          <cell r="D1221">
            <v>2015</v>
          </cell>
          <cell r="G1221" t="str">
            <v>Tanzania</v>
          </cell>
          <cell r="X1221" t="str">
            <v>Media &amp; Entertainment</v>
          </cell>
          <cell r="Y1221" t="str">
            <v>Media, Entertainment, Newspapers, Books</v>
          </cell>
        </row>
        <row r="1222">
          <cell r="A1222" t="str">
            <v>Maaso Awo</v>
          </cell>
          <cell r="C1222" t="str">
            <v>Active</v>
          </cell>
        </row>
        <row r="1223">
          <cell r="A1223" t="str">
            <v>Machine Kind</v>
          </cell>
          <cell r="B1223" t="str">
            <v>Machine Kind provides driver behaviour insights and advice to first time car buyers and owners</v>
          </cell>
          <cell r="C1223" t="str">
            <v>Active</v>
          </cell>
        </row>
        <row r="1224">
          <cell r="A1224" t="str">
            <v>Misr Hytech</v>
          </cell>
          <cell r="B1224" t="str">
            <v>Producer of proprietary agricultural seeds based in Egypt. The company develops hybrid seeds of white corn, yellow corn, grain and fodder sorghum, sweet corn and vegetable for farmers which adapted to the Egyptian market</v>
          </cell>
          <cell r="C1224" t="str">
            <v>Acquired</v>
          </cell>
          <cell r="D1224">
            <v>1993</v>
          </cell>
          <cell r="G1224" t="str">
            <v>Egypt</v>
          </cell>
          <cell r="X1224" t="str">
            <v>Agriculture</v>
          </cell>
          <cell r="Y1224" t="str">
            <v>Agriculture</v>
          </cell>
        </row>
        <row r="1225">
          <cell r="A1225" t="str">
            <v>M-Scan</v>
          </cell>
          <cell r="B1225" t="str">
            <v>m-SCAN is an innovative approach that seeks to use smart device technology, ultrasound and the power of IT in solving maternal emergencies</v>
          </cell>
          <cell r="C1225" t="str">
            <v>Active</v>
          </cell>
          <cell r="D1225">
            <v>2017</v>
          </cell>
          <cell r="G1225" t="str">
            <v>Uganda</v>
          </cell>
          <cell r="X1225" t="str">
            <v>Healthcare &amp; Pharma</v>
          </cell>
          <cell r="Y1225" t="str">
            <v>Manufacturing, Medical Device</v>
          </cell>
        </row>
        <row r="1226">
          <cell r="A1226" t="str">
            <v>M-Tiba</v>
          </cell>
          <cell r="B1226" t="str">
            <v>M-Tiba is a wallet platform that allows users to save and accrue funds for any future or ongoing medical emergency</v>
          </cell>
          <cell r="C1226" t="str">
            <v>Active</v>
          </cell>
          <cell r="D1226">
            <v>2016</v>
          </cell>
          <cell r="G1226" t="str">
            <v>Kenya</v>
          </cell>
          <cell r="X1226" t="str">
            <v>Financial Services</v>
          </cell>
          <cell r="Y1226" t="str">
            <v>Health Care, mHealth, Wellness</v>
          </cell>
        </row>
        <row r="1227">
          <cell r="A1227" t="str">
            <v>M4JAM</v>
          </cell>
          <cell r="B1227" t="str">
            <v>M4JAM is a micro-jobbing platform that empowers the under and unemployed people of South Africa.</v>
          </cell>
          <cell r="C1227" t="str">
            <v>Acquired</v>
          </cell>
          <cell r="D1227">
            <v>2014</v>
          </cell>
          <cell r="G1227" t="str">
            <v>South Africa</v>
          </cell>
          <cell r="X1227" t="str">
            <v>Information Technology</v>
          </cell>
          <cell r="Y1227" t="str">
            <v>Analytics, Big Data, Crowdsourcing, E-Commerce, Location Based Services, Mobile, Social Media</v>
          </cell>
        </row>
        <row r="1228">
          <cell r="A1228" t="str">
            <v>Medtrucks</v>
          </cell>
          <cell r="B1228" t="str">
            <v>Medtrucks is an innovative start-up in the healthcare sector, addressing the issue of lack of medical care in remote areas</v>
          </cell>
          <cell r="C1228" t="str">
            <v>Active</v>
          </cell>
          <cell r="D1228">
            <v>2017</v>
          </cell>
          <cell r="G1228" t="str">
            <v>France</v>
          </cell>
          <cell r="X1228" t="str">
            <v>Healthcare &amp; Pharma</v>
          </cell>
          <cell r="Y1228" t="str">
            <v>Health, Wellness and Fitness</v>
          </cell>
        </row>
        <row r="1229">
          <cell r="A1229" t="str">
            <v>Mamalette</v>
          </cell>
        </row>
        <row r="1230">
          <cell r="A1230" t="str">
            <v>manifexto</v>
          </cell>
          <cell r="C1230" t="str">
            <v>Active</v>
          </cell>
          <cell r="X1230" t="str">
            <v>Media &amp; Entertainment</v>
          </cell>
        </row>
        <row r="1231">
          <cell r="A1231" t="str">
            <v>Marc1</v>
          </cell>
          <cell r="B1231" t="str">
            <v>Marc1 is an Johannesburg based Internet of Things (IoT) point of sale solution that tracks customer mobile and wifi footprint to help retail companies sell more</v>
          </cell>
          <cell r="C1231" t="str">
            <v>Active</v>
          </cell>
          <cell r="G1231" t="str">
            <v>South Africa</v>
          </cell>
        </row>
        <row r="1232">
          <cell r="A1232" t="str">
            <v>Miti Health</v>
          </cell>
          <cell r="B1232" t="str">
            <v>Miti Health is an easy-to-use Android application that helps streamline your business, improves your productivity, and saves you time to focus on what matters most — your patients.</v>
          </cell>
          <cell r="D1232">
            <v>2014</v>
          </cell>
          <cell r="X1232" t="str">
            <v>Healthcare &amp; Pharma</v>
          </cell>
          <cell r="Y1232" t="str">
            <v>Health</v>
          </cell>
        </row>
        <row r="1233">
          <cell r="A1233" t="str">
            <v>Marj3</v>
          </cell>
        </row>
        <row r="1234">
          <cell r="A1234" t="str">
            <v>Mlinzi</v>
          </cell>
          <cell r="B1234" t="str">
            <v>Its an online escrow services platform that seek to enhance trust in trades. We do so by offering escrow API's ,marketplace &amp; SaaS platform</v>
          </cell>
          <cell r="C1234" t="str">
            <v>Active</v>
          </cell>
          <cell r="D1234">
            <v>2017</v>
          </cell>
          <cell r="X1234" t="str">
            <v>Financial Services</v>
          </cell>
          <cell r="Y1234" t="str">
            <v>E-Commerce, Financial Services, Internet, Internet of Things</v>
          </cell>
        </row>
        <row r="1235">
          <cell r="A1235" t="str">
            <v>Mobile Clinic</v>
          </cell>
          <cell r="B1235" t="str">
            <v>Mobile Clinic seeks to use an app and a mobile van clinic to provide door-to-door maternal healthcare services in Uganda</v>
          </cell>
          <cell r="C1235" t="str">
            <v>Active</v>
          </cell>
          <cell r="D1235">
            <v>2018</v>
          </cell>
          <cell r="G1235" t="str">
            <v>Uganda</v>
          </cell>
          <cell r="X1235" t="str">
            <v>Healthcare &amp; Pharma</v>
          </cell>
          <cell r="Y1235" t="str">
            <v>Health Services, Medical</v>
          </cell>
        </row>
        <row r="1236">
          <cell r="A1236" t="str">
            <v>Mancala Plus</v>
          </cell>
          <cell r="B1236" t="str">
            <v>Mancala Plus seeks to unite the Mancala family of games onto a single social, mobile experience. Players will have the option to choose from several rules and styles played around the world and even create their own</v>
          </cell>
          <cell r="C1236" t="str">
            <v>Active</v>
          </cell>
          <cell r="D1236">
            <v>2018</v>
          </cell>
          <cell r="G1236" t="str">
            <v>Ghana</v>
          </cell>
          <cell r="X1236" t="str">
            <v>Media &amp; Entertainment</v>
          </cell>
          <cell r="Y1236" t="str">
            <v>Video Game</v>
          </cell>
        </row>
        <row r="1237">
          <cell r="A1237" t="str">
            <v>Marketizer</v>
          </cell>
          <cell r="B1237" t="str">
            <v>Business B2B Site</v>
          </cell>
          <cell r="C1237" t="str">
            <v>Active</v>
          </cell>
          <cell r="D1237">
            <v>2010</v>
          </cell>
          <cell r="X1237" t="str">
            <v>E-Commerce &amp; Retail</v>
          </cell>
          <cell r="Y1237" t="str">
            <v>Marketing, Advertising, Promotion</v>
          </cell>
        </row>
        <row r="1238">
          <cell r="A1238" t="str">
            <v>marKoub.ma</v>
          </cell>
          <cell r="B1238" t="str">
            <v>Markoub is the Best and cheapest way to book bus tickets in Morocco.</v>
          </cell>
          <cell r="C1238" t="str">
            <v>Active</v>
          </cell>
          <cell r="G1238" t="str">
            <v>Morocco</v>
          </cell>
          <cell r="X1238" t="str">
            <v>Transport &amp; Logistics</v>
          </cell>
        </row>
        <row r="1239">
          <cell r="A1239" t="str">
            <v>Marks Rate</v>
          </cell>
          <cell r="B1239" t="str">
            <v>A Nairobi based fintech firm that connects borrowers (SMEs) and potential everyday lenders through an online platform offering high rates of return</v>
          </cell>
          <cell r="C1239" t="str">
            <v>Active</v>
          </cell>
          <cell r="D1239">
            <v>2018</v>
          </cell>
          <cell r="X1239" t="str">
            <v>Financial Services</v>
          </cell>
        </row>
        <row r="1240">
          <cell r="A1240" t="str">
            <v>Marodi.Tv</v>
          </cell>
          <cell r="B1240" t="str">
            <v>marodi.tv is an online video platform</v>
          </cell>
          <cell r="C1240" t="str">
            <v>Active</v>
          </cell>
          <cell r="D1240">
            <v>2011</v>
          </cell>
          <cell r="Y1240" t="str">
            <v>Video-on-demand</v>
          </cell>
        </row>
        <row r="1241">
          <cell r="A1241" t="str">
            <v>Masry Markert</v>
          </cell>
          <cell r="B1241" t="str">
            <v>Is the first initiative to encourage and provide the Egyptian product to all the Egyptian people. Website (www.masrymarket.com), a company and outlet for the distribution of Egyptian products and make them available to the Egyptian consumer.</v>
          </cell>
          <cell r="C1241" t="str">
            <v>Active</v>
          </cell>
          <cell r="D1241">
            <v>2018</v>
          </cell>
          <cell r="X1241" t="str">
            <v>E-Commerce &amp; Retail</v>
          </cell>
          <cell r="Y1241" t="str">
            <v>Consumer Goods</v>
          </cell>
        </row>
        <row r="1242">
          <cell r="A1242" t="str">
            <v>Massive Dynamics</v>
          </cell>
          <cell r="B1242" t="str">
            <v>Our mission is to help startups, SME's &amp; big corporations realize their potential without burning a hole in their pockets.</v>
          </cell>
          <cell r="C1242" t="str">
            <v>Active</v>
          </cell>
          <cell r="D1242">
            <v>2018</v>
          </cell>
          <cell r="X1242" t="str">
            <v>Online Media</v>
          </cell>
          <cell r="Y1242" t="str">
            <v>Content Creation, Social Media Management, Professional Photography, Advisory , and Mobility</v>
          </cell>
        </row>
        <row r="1243">
          <cell r="A1243" t="str">
            <v>Mastery</v>
          </cell>
          <cell r="G1243" t="str">
            <v>Morocco</v>
          </cell>
          <cell r="X1243" t="str">
            <v>Telecom/ Connectivity</v>
          </cell>
        </row>
        <row r="1244">
          <cell r="A1244" t="str">
            <v>Match Hare &amp; Co</v>
          </cell>
          <cell r="B1244" t="str">
            <v>The Match Group, a division of IAC &amp; online dating portfolio that comprises over forty brands around the world</v>
          </cell>
          <cell r="C1244" t="str">
            <v>Active</v>
          </cell>
          <cell r="D1244">
            <v>1995</v>
          </cell>
          <cell r="X1244" t="str">
            <v>Communication Services</v>
          </cell>
          <cell r="Y1244" t="str">
            <v>Apps, Dating, Internet, Location Based Services, Mobile Apps, Social Media</v>
          </cell>
        </row>
        <row r="1245">
          <cell r="A1245" t="str">
            <v>MaTontine</v>
          </cell>
          <cell r="B1245" t="str">
            <v>MaTontine is a digital financial services platform</v>
          </cell>
          <cell r="C1245" t="str">
            <v>Active</v>
          </cell>
          <cell r="D1245">
            <v>2016</v>
          </cell>
          <cell r="G1245" t="str">
            <v>Senegal</v>
          </cell>
          <cell r="X1245" t="str">
            <v>Financial Services</v>
          </cell>
          <cell r="Y1245" t="str">
            <v>Financial Services, Internet</v>
          </cell>
        </row>
        <row r="1246">
          <cell r="A1246" t="str">
            <v>Mobilife</v>
          </cell>
          <cell r="B1246" t="str">
            <v>MobiLife is an authorised Financial Services Provider based in Johannesburg. The company was founded in 2015 by four insurance industry professionals with over 75 years of industry experience between them, both in South Africa and also in a number of other African countries.</v>
          </cell>
          <cell r="C1246" t="str">
            <v>Active</v>
          </cell>
          <cell r="D1246">
            <v>2015</v>
          </cell>
          <cell r="X1246" t="str">
            <v>Financial Services</v>
          </cell>
          <cell r="Y1246" t="str">
            <v>Micro-Insurance, Long Term Insurance, Mobile Distribution, and Innovation in Customer Experience</v>
          </cell>
        </row>
        <row r="1247">
          <cell r="A1247" t="str">
            <v>monetbil</v>
          </cell>
          <cell r="B1247" t="str">
            <v>MONETBIL is a payment method for digital goods and services online using mobile operator billing.</v>
          </cell>
          <cell r="C1247" t="str">
            <v>Active</v>
          </cell>
          <cell r="D1247">
            <v>2015</v>
          </cell>
          <cell r="X1247" t="str">
            <v>Financial Services</v>
          </cell>
          <cell r="Y1247" t="str">
            <v>Government Administration</v>
          </cell>
        </row>
        <row r="1248">
          <cell r="A1248" t="str">
            <v>Moneyfellows</v>
          </cell>
          <cell r="B1248" t="str">
            <v>MoneyFellows gives individuals access to interest free credit and better saving achievements, powered by just their social network.</v>
          </cell>
          <cell r="C1248" t="str">
            <v>Active</v>
          </cell>
          <cell r="D1248">
            <v>2014</v>
          </cell>
          <cell r="G1248" t="str">
            <v>Egypt</v>
          </cell>
          <cell r="X1248" t="str">
            <v>Financial Services</v>
          </cell>
          <cell r="Y1248" t="str">
            <v>Credit, Financial Services, Software</v>
          </cell>
        </row>
        <row r="1249">
          <cell r="A1249" t="str">
            <v>Mazimba Company Ltd</v>
          </cell>
          <cell r="B1249" t="str">
            <v>Mazimba Company is making wine specifically made from bananas.</v>
          </cell>
          <cell r="C1249" t="str">
            <v>Active</v>
          </cell>
          <cell r="G1249" t="str">
            <v>Tanzania</v>
          </cell>
          <cell r="X1249" t="str">
            <v>Agriculture</v>
          </cell>
          <cell r="Y1249" t="str">
            <v>Agribusiness, Winery</v>
          </cell>
        </row>
        <row r="1250">
          <cell r="A1250" t="str">
            <v>Mavin Records</v>
          </cell>
          <cell r="B1250" t="str">
            <v>Mavin Records is an award winning recoed label</v>
          </cell>
          <cell r="C1250" t="str">
            <v>Active</v>
          </cell>
          <cell r="D1250">
            <v>2012</v>
          </cell>
          <cell r="G1250" t="str">
            <v>Nigeria</v>
          </cell>
          <cell r="X1250" t="str">
            <v>Media &amp; Entertainment</v>
          </cell>
          <cell r="Y1250" t="str">
            <v>Video</v>
          </cell>
        </row>
        <row r="1251">
          <cell r="A1251" t="str">
            <v>Mawingu Networks</v>
          </cell>
          <cell r="B1251" t="str">
            <v>Mawingu Networks provides affordable wireless internet in specific hotspots in Africa, aiming to get to the most remote areas &amp; make them part of the global village.</v>
          </cell>
          <cell r="C1251" t="str">
            <v>Active</v>
          </cell>
          <cell r="D1251">
            <v>2013</v>
          </cell>
          <cell r="G1251" t="str">
            <v>Kenya</v>
          </cell>
          <cell r="X1251" t="str">
            <v>Information Technology</v>
          </cell>
          <cell r="Y1251" t="str">
            <v>ISP, Telecommunications, Wireless</v>
          </cell>
        </row>
        <row r="1252">
          <cell r="A1252" t="str">
            <v>MaxAB</v>
          </cell>
          <cell r="B1252" t="str">
            <v>MaxAB is re-engineering the food and grocery market, using empowring technologies and innovative supply chains</v>
          </cell>
          <cell r="C1252" t="str">
            <v>Active</v>
          </cell>
          <cell r="D1252">
            <v>2018</v>
          </cell>
          <cell r="G1252" t="str">
            <v>Egypt</v>
          </cell>
          <cell r="X1252" t="str">
            <v>E-Commerce &amp; Retail</v>
          </cell>
          <cell r="Y1252" t="str">
            <v>B2B, E-Commerce, Internet</v>
          </cell>
        </row>
        <row r="1253">
          <cell r="A1253" t="str">
            <v>Maziwa Plus</v>
          </cell>
          <cell r="C1253" t="str">
            <v>Active</v>
          </cell>
        </row>
        <row r="1254">
          <cell r="A1254" t="str">
            <v>Mukuru</v>
          </cell>
          <cell r="B1254" t="str">
            <v>Mukuru.com is an online remittance company.</v>
          </cell>
          <cell r="C1254" t="str">
            <v>Active</v>
          </cell>
          <cell r="D1254">
            <v>2006</v>
          </cell>
          <cell r="X1254" t="str">
            <v>Financial Services</v>
          </cell>
          <cell r="Y1254" t="str">
            <v>Finance, Financial Services, Mobile Payments, Payments</v>
          </cell>
        </row>
        <row r="1255">
          <cell r="A1255" t="str">
            <v>Myinsure</v>
          </cell>
          <cell r="B1255" t="str">
            <v>Myinsure aims to develop systems that disrupt and improve efficiency within the insurance industry.</v>
          </cell>
          <cell r="C1255" t="str">
            <v>Active</v>
          </cell>
          <cell r="D1255">
            <v>2016</v>
          </cell>
          <cell r="G1255" t="str">
            <v>Kenya</v>
          </cell>
          <cell r="X1255" t="str">
            <v>Financial Services</v>
          </cell>
          <cell r="Y1255" t="str">
            <v>Finance, Financial Services</v>
          </cell>
        </row>
        <row r="1256">
          <cell r="A1256" t="str">
            <v xml:space="preserve">Med-Afrique </v>
          </cell>
          <cell r="B1256" t="str">
            <v>Med-Afrique Medical Tours is a one-stop medical tourism agency.</v>
          </cell>
          <cell r="C1256" t="str">
            <v>Active</v>
          </cell>
          <cell r="G1256" t="str">
            <v>South Africa</v>
          </cell>
          <cell r="X1256" t="str">
            <v>Healthcare &amp; Pharma</v>
          </cell>
          <cell r="Y1256" t="str">
            <v>Medical Tourism</v>
          </cell>
        </row>
        <row r="1257">
          <cell r="A1257" t="str">
            <v>Multichoice Group</v>
          </cell>
          <cell r="B1257" t="str">
            <v>Bringing people together around shared passions</v>
          </cell>
          <cell r="D1257">
            <v>1993</v>
          </cell>
          <cell r="X1257" t="str">
            <v>Media &amp; Entertainment</v>
          </cell>
          <cell r="Y1257" t="str">
            <v>Broadcast Media</v>
          </cell>
        </row>
        <row r="1258">
          <cell r="A1258" t="str">
            <v>Mubawab</v>
          </cell>
          <cell r="B1258" t="str">
            <v>Mubawab is a real estate classifieds portal for the Middle East and North Africa</v>
          </cell>
          <cell r="C1258" t="str">
            <v>Active</v>
          </cell>
          <cell r="D1258">
            <v>2010</v>
          </cell>
          <cell r="G1258" t="str">
            <v>Morocco</v>
          </cell>
          <cell r="X1258" t="str">
            <v>Real Estate</v>
          </cell>
          <cell r="Y1258" t="str">
            <v>Internet, Real Estate</v>
          </cell>
        </row>
        <row r="1259">
          <cell r="A1259" t="str">
            <v>Meridia</v>
          </cell>
          <cell r="B1259" t="str">
            <v>Meridia is a space designed for the Elderly to receive assistance and carry out integral development activities.</v>
          </cell>
          <cell r="C1259" t="str">
            <v>Active</v>
          </cell>
          <cell r="D1259">
            <v>2011</v>
          </cell>
          <cell r="X1259" t="str">
            <v>Agriculture</v>
          </cell>
          <cell r="Y1259" t="str">
            <v>Elder Care, Health Care, Health Diagnostics</v>
          </cell>
        </row>
        <row r="1260">
          <cell r="A1260" t="str">
            <v>Metajua</v>
          </cell>
          <cell r="B1260" t="str">
            <v>Metajua is a farmer relation and supply chain management platform in Eastern and Southern Africa, with clients buying collectively over 100 MT of product from small farmers a day.</v>
          </cell>
        </row>
        <row r="1261">
          <cell r="A1261" t="str">
            <v>Metrolince</v>
          </cell>
          <cell r="B1261" t="str">
            <v>Metrolince is a blockchain-based start-up that seeks to revolutionize the real estate industry. The development team recognized the conundrum that exists in the industry and they created a model where blockchain technology can streamline the industry while eliminating fraud. This is all made possible by using Ethereum to tokenize aspects of the real estate industry to make it easier to buy, sell or construct residential, commercial, industrial and land real estate in key regions around the world.</v>
          </cell>
          <cell r="C1261" t="str">
            <v>Active</v>
          </cell>
          <cell r="X1261" t="str">
            <v>Emerging Technologies</v>
          </cell>
          <cell r="Y1261" t="str">
            <v>Blockchain Real Estate Solution</v>
          </cell>
        </row>
        <row r="1262">
          <cell r="A1262" t="str">
            <v>Nefrids Africa</v>
          </cell>
          <cell r="B1262" t="str">
            <v>Nefrids Africa is improving Financial Services through Innovation.</v>
          </cell>
          <cell r="C1262" t="str">
            <v>Active</v>
          </cell>
          <cell r="D1262">
            <v>2015</v>
          </cell>
          <cell r="X1262" t="str">
            <v>Financial Services</v>
          </cell>
          <cell r="Y1262" t="str">
            <v>Fintech, Insurance Technology, Product Design, and Analytics for Insurance</v>
          </cell>
        </row>
        <row r="1263">
          <cell r="A1263" t="str">
            <v>MeshPower</v>
          </cell>
          <cell r="B1263" t="str">
            <v>MeshPower provides automated electricity grids for rural electrification</v>
          </cell>
          <cell r="C1263" t="str">
            <v>Active</v>
          </cell>
          <cell r="D1263">
            <v>2012</v>
          </cell>
          <cell r="G1263" t="str">
            <v>Rwanda</v>
          </cell>
          <cell r="X1263" t="str">
            <v>Energy &amp; Environment Resources</v>
          </cell>
          <cell r="Y1263" t="str">
            <v>Electrical Distribution, Power Grid, Solar</v>
          </cell>
        </row>
        <row r="1264">
          <cell r="A1264" t="str">
            <v>Microensure</v>
          </cell>
          <cell r="B1264" t="str">
            <v>MicroEnsure is a specialist provider of insurance to the low and middle-income market with more than four million active clients in 13 countries.</v>
          </cell>
          <cell r="C1264" t="str">
            <v>Active</v>
          </cell>
          <cell r="D1264">
            <v>2005</v>
          </cell>
          <cell r="X1264" t="str">
            <v>Financial Services</v>
          </cell>
          <cell r="Y1264" t="str">
            <v>Health Insurance, Insurance, Service Industry</v>
          </cell>
        </row>
        <row r="1265">
          <cell r="A1265" t="str">
            <v>Micromobile</v>
          </cell>
          <cell r="B1265" t="str">
            <v>Micromax Informatics offers mobile phone solutions and wireless technologies for mobile users</v>
          </cell>
          <cell r="D1265">
            <v>1991</v>
          </cell>
          <cell r="X1265" t="str">
            <v>Communication Services</v>
          </cell>
          <cell r="Y1265" t="str">
            <v>Consumer Electronics, Mobile, Wireless</v>
          </cell>
        </row>
        <row r="1266">
          <cell r="A1266" t="str">
            <v>MiLa Model</v>
          </cell>
        </row>
        <row r="1267">
          <cell r="A1267" t="str">
            <v>Mishwar</v>
          </cell>
          <cell r="B1267" t="str">
            <v>Mishwar is a ride-hailing car service operating in Sudan</v>
          </cell>
          <cell r="C1267" t="str">
            <v>Active</v>
          </cell>
          <cell r="D1267">
            <v>2015</v>
          </cell>
          <cell r="G1267" t="str">
            <v>Sudan</v>
          </cell>
          <cell r="X1267" t="str">
            <v>Transport &amp; Logistics</v>
          </cell>
          <cell r="Y1267" t="str">
            <v>Ride-hailing, Software</v>
          </cell>
        </row>
        <row r="1268">
          <cell r="A1268" t="str">
            <v>Oltio</v>
          </cell>
          <cell r="B1268" t="str">
            <v>Oltio is a startup that pioneered and patented several mobile payments and banking solutions, including an authentication technology.</v>
          </cell>
          <cell r="C1268" t="str">
            <v>Acquired</v>
          </cell>
          <cell r="D1268">
            <v>2004</v>
          </cell>
          <cell r="G1268" t="str">
            <v>South Africa</v>
          </cell>
          <cell r="X1268" t="str">
            <v>Financial Services</v>
          </cell>
          <cell r="Y1268" t="str">
            <v>Mobile Payments</v>
          </cell>
        </row>
        <row r="1269">
          <cell r="A1269" t="str">
            <v>MitiMeth</v>
          </cell>
        </row>
        <row r="1270">
          <cell r="A1270" t="str">
            <v>MLouma</v>
          </cell>
          <cell r="B1270" t="str">
            <v>Mlouma is a web and mobile service dedicated to agricultural stakeholders. Mlouma provides producers and agribusinesses with information on the r prices and availability of agricultural products in real time over the entire national territory.</v>
          </cell>
          <cell r="D1270">
            <v>2012</v>
          </cell>
          <cell r="X1270" t="str">
            <v>Agriculture</v>
          </cell>
        </row>
        <row r="1271">
          <cell r="A1271" t="str">
            <v>Onegram</v>
          </cell>
          <cell r="B1271" t="str">
            <v>OneGram is the first cryptocurrency that has been certified in compliance with the ancient Islamic rules called Shari'ah.</v>
          </cell>
          <cell r="C1271" t="str">
            <v>Active</v>
          </cell>
          <cell r="X1271" t="str">
            <v>Financial Services</v>
          </cell>
          <cell r="Y1271" t="str">
            <v>Blockchain</v>
          </cell>
        </row>
        <row r="1272">
          <cell r="A1272" t="str">
            <v>MobileBooking</v>
          </cell>
          <cell r="C1272" t="str">
            <v>Active</v>
          </cell>
        </row>
        <row r="1273">
          <cell r="A1273" t="str">
            <v>Mobile Decisioning</v>
          </cell>
          <cell r="B1273" t="str">
            <v>Mobile Decisioning is a technology company providing mobile value added services to mobile network operators in emerging nations. Its main product is Airtime Credit Service, which provides emergency airtime credit to prepaid mobile subscribers. This credit is typically paid back at the subscriber’s next reload</v>
          </cell>
          <cell r="C1273" t="str">
            <v>Active</v>
          </cell>
          <cell r="D1273">
            <v>2010</v>
          </cell>
          <cell r="G1273" t="str">
            <v>Kenya</v>
          </cell>
          <cell r="X1273" t="str">
            <v>Financial Services</v>
          </cell>
          <cell r="Y1273" t="str">
            <v>FinTech, Information Services, Information Technology, Telecommunications</v>
          </cell>
        </row>
        <row r="1274">
          <cell r="A1274" t="str">
            <v>MobiPay AgroSys</v>
          </cell>
          <cell r="G1274" t="str">
            <v>Uganda</v>
          </cell>
        </row>
        <row r="1275">
          <cell r="A1275" t="str">
            <v>Mobiticket</v>
          </cell>
          <cell r="B1275" t="str">
            <v>Mobiticket is a service to enables you book, pay and get bus tickets using your phone. Ticket reservations and payments can be done using M-Pesa checkout or using your mobile wallet for our partner public service bus operators. Mobiticket connects you directly to bus operators.</v>
          </cell>
          <cell r="C1275" t="str">
            <v>Active</v>
          </cell>
          <cell r="D1275">
            <v>2017</v>
          </cell>
          <cell r="X1275" t="str">
            <v>Information Technology</v>
          </cell>
          <cell r="Y1275" t="str">
            <v>Ticket Reservations, Payments, and Transport</v>
          </cell>
        </row>
        <row r="1276">
          <cell r="A1276" t="str">
            <v>Modisar</v>
          </cell>
          <cell r="B1276" t="str">
            <v>Modisar is the best way of managing your farm.</v>
          </cell>
          <cell r="C1276" t="str">
            <v>Active</v>
          </cell>
          <cell r="D1276">
            <v>2014</v>
          </cell>
          <cell r="X1276" t="str">
            <v>Agriculture</v>
          </cell>
          <cell r="Y1276" t="str">
            <v>Apps</v>
          </cell>
        </row>
        <row r="1277">
          <cell r="A1277" t="str">
            <v>MobiShule</v>
          </cell>
          <cell r="B1277" t="str">
            <v>Mobishule is a Value Added Service proposition to parents of partners’ schools that enables them to access small amounts of school fee cash advances using mobile.</v>
          </cell>
          <cell r="C1277" t="str">
            <v>Active</v>
          </cell>
          <cell r="D1277">
            <v>2018</v>
          </cell>
          <cell r="G1277" t="str">
            <v>Kenya</v>
          </cell>
          <cell r="X1277" t="str">
            <v>Financial Services</v>
          </cell>
          <cell r="Y1277" t="str">
            <v>FinTEch, Credit Services, Education</v>
          </cell>
        </row>
        <row r="1278">
          <cell r="A1278" t="str">
            <v>Modularity Grid</v>
          </cell>
          <cell r="B1278" t="str">
            <v>Intelligent sensors and software for managing electrical systems for electric utilities and aerospace markets</v>
          </cell>
          <cell r="C1278" t="str">
            <v>Active</v>
          </cell>
          <cell r="D1278">
            <v>2017</v>
          </cell>
          <cell r="X1278" t="str">
            <v>Information Technology</v>
          </cell>
          <cell r="Y1278" t="str">
            <v>Aerospace, Blockchain, CleanTech, Electrical Distribution, Internet of Things, Machine Learning, Predictive Analytics, Social Impact</v>
          </cell>
        </row>
        <row r="1279">
          <cell r="A1279" t="str">
            <v>Mobius Motors</v>
          </cell>
          <cell r="B1279" t="str">
            <v>Mobius designs, manufactures and sells vehicles built specifically for the African mass market. Mobius II was conceived by reimagining the vehicle around the needs of the African consumer – common road terrain, typical vehicle loading and average income levels were important factors in the development of the vehicle. The result: an SUV with the durability required to handle rural roads, sold at the price of a used sedan.</v>
          </cell>
          <cell r="C1279" t="str">
            <v>Active</v>
          </cell>
          <cell r="D1279">
            <v>2011</v>
          </cell>
          <cell r="G1279" t="str">
            <v>Kenya</v>
          </cell>
          <cell r="X1279" t="str">
            <v>Automotive</v>
          </cell>
          <cell r="Y1279" t="str">
            <v>Automotive, Manufacturing, Product Design</v>
          </cell>
        </row>
        <row r="1280">
          <cell r="A1280" t="str">
            <v>Mobu</v>
          </cell>
          <cell r="B1280" t="str">
            <v>MOBU is a next generation user-friendly smart contract and all-in-one platform for real businesses (security tokens).</v>
          </cell>
          <cell r="C1280" t="str">
            <v>Active</v>
          </cell>
          <cell r="D1280">
            <v>2018</v>
          </cell>
          <cell r="G1280" t="str">
            <v>South Africa</v>
          </cell>
          <cell r="X1280" t="str">
            <v>Financial Services</v>
          </cell>
          <cell r="Y1280" t="str">
            <v>Financial services, FinTech, Blockchain</v>
          </cell>
        </row>
        <row r="1281">
          <cell r="A1281" t="str">
            <v>Moko</v>
          </cell>
          <cell r="B1281" t="str">
            <v>MOKO is the first ever streaming mobile app for Afro-Caribbean and World music</v>
          </cell>
          <cell r="C1281" t="str">
            <v>Active</v>
          </cell>
          <cell r="D1281">
            <v>2016</v>
          </cell>
          <cell r="X1281" t="str">
            <v>Media &amp; Entertainment</v>
          </cell>
          <cell r="Y1281" t="str">
            <v>Media and Entertainment, Music, Software, Video Streaming</v>
          </cell>
        </row>
        <row r="1282">
          <cell r="A1282" t="str">
            <v>MOMO-FLEX</v>
          </cell>
          <cell r="C1282" t="str">
            <v>Active</v>
          </cell>
        </row>
        <row r="1283">
          <cell r="A1283" t="str">
            <v>Mon Artisan</v>
          </cell>
          <cell r="B1283" t="str">
            <v>Mon Artisan est la première plateforme locale de compétences à la demande qui met en relation artisans et clients. Notre service permet de trouver rapidement et facilement des artisans, à proximité, testés</v>
          </cell>
          <cell r="C1283" t="str">
            <v>Active</v>
          </cell>
          <cell r="D1283">
            <v>2017</v>
          </cell>
          <cell r="X1283" t="str">
            <v>Service Dépannage</v>
          </cell>
          <cell r="Y1283" t="str">
            <v>Information Technology and Services</v>
          </cell>
        </row>
        <row r="1284">
          <cell r="A1284" t="str">
            <v>OuiCare</v>
          </cell>
          <cell r="G1284" t="str">
            <v>Cameroon</v>
          </cell>
          <cell r="X1284" t="str">
            <v>Healthcare &amp; Pharma</v>
          </cell>
        </row>
        <row r="1285">
          <cell r="A1285" t="str">
            <v>MooExams</v>
          </cell>
          <cell r="B1285" t="str">
            <v>Le contenu ludique et interactif de MooExams, donne accès à un répertoire de condensé de cours, de questions et réponses sur différent sujets des classes du ... Videos</v>
          </cell>
          <cell r="C1285" t="str">
            <v>Active</v>
          </cell>
          <cell r="D1285">
            <v>2018</v>
          </cell>
          <cell r="X1285" t="str">
            <v>Education</v>
          </cell>
        </row>
        <row r="1286">
          <cell r="A1286" t="str">
            <v>Moringa School</v>
          </cell>
        </row>
        <row r="1287">
          <cell r="A1287" t="str">
            <v>Payabill</v>
          </cell>
          <cell r="B1287" t="str">
            <v>Payabill.Biz is a Small business finance</v>
          </cell>
          <cell r="C1287" t="str">
            <v>Active</v>
          </cell>
          <cell r="D1287">
            <v>2016</v>
          </cell>
          <cell r="G1287" t="str">
            <v>South Africa</v>
          </cell>
          <cell r="X1287" t="str">
            <v>Financial Services</v>
          </cell>
          <cell r="Y1287" t="str">
            <v>Financial Services</v>
          </cell>
        </row>
        <row r="1288">
          <cell r="A1288" t="str">
            <v>Mosabi</v>
          </cell>
          <cell r="B1288" t="str">
            <v>Mosabi empowers underserved populations in emerging markets with free phone-based e-learning linked to inclusion initiatives and the SDGs; as individuals complete our mobile curriculum, quizzes and interaction they link to the incentives, calls-to-action and resources of our partner institutions.</v>
          </cell>
          <cell r="C1288" t="str">
            <v>Active</v>
          </cell>
          <cell r="D1288">
            <v>2016</v>
          </cell>
          <cell r="X1288" t="str">
            <v>Information Technology</v>
          </cell>
        </row>
        <row r="1289">
          <cell r="A1289" t="str">
            <v>Mookh Africa</v>
          </cell>
          <cell r="B1289" t="str">
            <v>MOOKH is a multi-channel payment gateway that allows merchants to sell products, tickets, digital content and collect donations from their social media pages.</v>
          </cell>
          <cell r="C1289" t="str">
            <v>Active</v>
          </cell>
          <cell r="D1289">
            <v>2015</v>
          </cell>
          <cell r="G1289" t="str">
            <v>Kenya</v>
          </cell>
          <cell r="X1289" t="str">
            <v>Financial Services</v>
          </cell>
          <cell r="Y1289" t="str">
            <v>Financial Technology and E-Commerce</v>
          </cell>
        </row>
        <row r="1290">
          <cell r="A1290" t="str">
            <v>Movelcare</v>
          </cell>
          <cell r="B1290" t="str">
            <v>MóvelCare is a virtual mobile insurance service that uses mobile phones to access funeral insurance without the use of internet</v>
          </cell>
          <cell r="C1290" t="str">
            <v>Active</v>
          </cell>
          <cell r="D1290">
            <v>2016</v>
          </cell>
        </row>
        <row r="1291">
          <cell r="A1291" t="str">
            <v>Movestack</v>
          </cell>
          <cell r="B1291" t="str">
            <v>Need a package sent to someone? Movestack is the fastest and easiest way to get things delivered within minutes</v>
          </cell>
          <cell r="C1291" t="str">
            <v>Active</v>
          </cell>
          <cell r="D1291">
            <v>2019</v>
          </cell>
          <cell r="G1291" t="str">
            <v>Ghana</v>
          </cell>
          <cell r="X1291" t="str">
            <v>Transport &amp; Logistics</v>
          </cell>
          <cell r="Y1291" t="str">
            <v>B2B, B2C, E-Commerce, Logistics, Transportation</v>
          </cell>
        </row>
        <row r="1292">
          <cell r="A1292" t="str">
            <v>Mowafer Care</v>
          </cell>
          <cell r="B1292" t="str">
            <v>Mowafer Care Medical Solution.</v>
          </cell>
          <cell r="C1292" t="str">
            <v>Active</v>
          </cell>
          <cell r="D1292">
            <v>2018</v>
          </cell>
          <cell r="X1292" t="str">
            <v>Information Technology</v>
          </cell>
          <cell r="Y1292" t="str">
            <v>Online Booking , Discounted Medical Care Insurance, and Tracking Medical History</v>
          </cell>
        </row>
        <row r="1293">
          <cell r="A1293" t="str">
            <v>Mpayer</v>
          </cell>
          <cell r="B1293" t="str">
            <v>Zege Technologies is a software development firm that focuses on building financial solutions for daily living with mobile, web and money interaction</v>
          </cell>
          <cell r="D1293">
            <v>2010</v>
          </cell>
          <cell r="X1293" t="str">
            <v>Information Technology</v>
          </cell>
          <cell r="Y1293" t="str">
            <v>Information Technology and Services</v>
          </cell>
        </row>
        <row r="1294">
          <cell r="A1294" t="str">
            <v>MSat Global</v>
          </cell>
          <cell r="B1294" t="str">
            <v>Msat Global Communications is a digital satellite solutions company providing transmission services for professional broadcasters</v>
          </cell>
          <cell r="C1294" t="str">
            <v>Active</v>
          </cell>
          <cell r="D1294">
            <v>2017</v>
          </cell>
          <cell r="G1294" t="str">
            <v>South Africa</v>
          </cell>
        </row>
        <row r="1295">
          <cell r="A1295" t="str">
            <v>MSG IT Solutions</v>
          </cell>
        </row>
        <row r="1296">
          <cell r="A1296" t="str">
            <v>mPedigree</v>
          </cell>
          <cell r="B1296" t="str">
            <v>mPedigree is the global leader in the use of mobile and web technologies in securing products against faking, counterfeiting and diversion</v>
          </cell>
          <cell r="C1296" t="str">
            <v>Active</v>
          </cell>
          <cell r="D1296">
            <v>2007</v>
          </cell>
          <cell r="G1296" t="str">
            <v>Nigeria</v>
          </cell>
          <cell r="X1296" t="str">
            <v>Healthcare &amp; Pharma</v>
          </cell>
          <cell r="Y1296" t="str">
            <v>Health and Pharmaceuticals, medical</v>
          </cell>
        </row>
        <row r="1297">
          <cell r="A1297" t="str">
            <v>Mshtarii Investments</v>
          </cell>
          <cell r="B1297" t="str">
            <v>Mshtarii Investments is a software developmement house with its original and primary core offering focused on web and mobile communications platforms.</v>
          </cell>
          <cell r="C1297" t="str">
            <v>Active</v>
          </cell>
          <cell r="D1297">
            <v>2013</v>
          </cell>
          <cell r="G1297" t="str">
            <v>South Africa</v>
          </cell>
          <cell r="X1297" t="str">
            <v>Information Technology</v>
          </cell>
          <cell r="Y1297" t="str">
            <v>Information Technology</v>
          </cell>
        </row>
        <row r="1298">
          <cell r="A1298" t="str">
            <v>Mthombo Consulting</v>
          </cell>
        </row>
        <row r="1299">
          <cell r="A1299" t="str">
            <v>Mtick</v>
          </cell>
          <cell r="B1299" t="str">
            <v>mTick est une plateforme d'achat de tickets de cars en Côte d'Ivoire. Les ventes sont multi-canal : web, mobile, call center et point de ventes physiques. mTick est une contraction du terme mobile-ticket qui correspond à une dématérialisation du ticket papier vers un ticket électronique (e-ticketing).</v>
          </cell>
          <cell r="D1299">
            <v>2015</v>
          </cell>
          <cell r="X1299" t="str">
            <v>Information Technology</v>
          </cell>
          <cell r="Y1299" t="str">
            <v>Tickets, m-commerce, marketplace, mobil-banking, call-center, service client, e-commerce, marketing, marketing digital, Africa business, management, transport, and events</v>
          </cell>
        </row>
        <row r="1300">
          <cell r="A1300" t="str">
            <v>MTN Mobile Money Application for Digital payments of Transportation services.</v>
          </cell>
          <cell r="C1300" t="str">
            <v>Active</v>
          </cell>
        </row>
        <row r="1301">
          <cell r="A1301" t="str">
            <v>Payconnect Limited</v>
          </cell>
          <cell r="B1301" t="str">
            <v>Payconnect is an integrations and digital payments solutions provider</v>
          </cell>
          <cell r="C1301" t="str">
            <v>Active</v>
          </cell>
          <cell r="D1301">
            <v>2016</v>
          </cell>
          <cell r="X1301" t="str">
            <v>Financial Services</v>
          </cell>
          <cell r="Y1301" t="str">
            <v>Financial Services, Information Technology, Mobile Payments, Payments, Software</v>
          </cell>
        </row>
        <row r="1302">
          <cell r="A1302" t="str">
            <v>OLX South Africa</v>
          </cell>
          <cell r="B1302" t="str">
            <v>OLX South Africa is a online marketplace</v>
          </cell>
          <cell r="C1302" t="str">
            <v>Acquired</v>
          </cell>
          <cell r="D1302">
            <v>2011</v>
          </cell>
          <cell r="G1302" t="str">
            <v>South Africa</v>
          </cell>
          <cell r="X1302" t="str">
            <v>E-Commerce &amp; Retail</v>
          </cell>
          <cell r="Y1302" t="str">
            <v>Marketplace</v>
          </cell>
        </row>
        <row r="1303">
          <cell r="A1303" t="str">
            <v>Open Connect Ltd</v>
          </cell>
          <cell r="B1303" t="str">
            <v>Open Connect Limited is a new company that was incorporated on 9th March 2016 following business unbundling in Malawi Telecommunication Limited and thereafter registration of the same as a separate special vehicle to manage, develop and maintain the fiber Network</v>
          </cell>
          <cell r="C1303" t="str">
            <v>Acquired</v>
          </cell>
          <cell r="D1303">
            <v>2012</v>
          </cell>
          <cell r="G1303" t="str">
            <v>South Africa</v>
          </cell>
          <cell r="X1303" t="str">
            <v>Commercial &amp; Professional Services</v>
          </cell>
          <cell r="Y1303" t="str">
            <v>Collection Agency, Service Industry</v>
          </cell>
        </row>
        <row r="1304">
          <cell r="A1304" t="str">
            <v>Mumzstore</v>
          </cell>
        </row>
        <row r="1305">
          <cell r="A1305" t="str">
            <v>Mwango Brain</v>
          </cell>
          <cell r="B1305" t="str">
            <v>Somos apaixonados por Internet, Inovação, Tecnologia &amp; Comunicação. Achamos que nosso dever é ajudá-lo a comunicar-se melhor com seus clientes para que juntos vocês possam co-criar novos produtos, melhorar experiências e definir tendências.</v>
          </cell>
          <cell r="C1305" t="str">
            <v>Active</v>
          </cell>
          <cell r="D1305">
            <v>2008</v>
          </cell>
          <cell r="G1305" t="str">
            <v>Angola</v>
          </cell>
          <cell r="X1305" t="str">
            <v>Information Technology</v>
          </cell>
        </row>
        <row r="1306">
          <cell r="A1306" t="str">
            <v>Musoni</v>
          </cell>
          <cell r="B1306" t="str">
            <v>Musoni's award-winning MIS enables microfinance organisations to improve their efficiency, reduce their costs and expand their outreach into rural areas. The Musoni System is an affordable and flexible MIS for any microfinance organisation looking to benefit from the latest innovative technology; but at a fraction of the cost associated</v>
          </cell>
          <cell r="C1306" t="str">
            <v>Active</v>
          </cell>
          <cell r="D1306">
            <v>2013</v>
          </cell>
          <cell r="G1306" t="str">
            <v>Kenya</v>
          </cell>
          <cell r="X1306" t="str">
            <v>Financial Services</v>
          </cell>
          <cell r="Y1306" t="str">
            <v>Banking, Financial Services, FinTech</v>
          </cell>
        </row>
        <row r="1307">
          <cell r="A1307" t="str">
            <v>My Comparator</v>
          </cell>
        </row>
        <row r="1308">
          <cell r="A1308" t="str">
            <v>Mvendr</v>
          </cell>
          <cell r="B1308" t="str">
            <v>M-vendr Technologies is a pre-paid product distribution and cash payment collection App as a Service (AaaS) provider. Through our mobile POS App, prepaid value distribution and payment aggregation solutions, we are revolutionising the way pre-paid voucher products, payments and financial services, are delivered to under served customers across the globe.</v>
          </cell>
          <cell r="C1308" t="str">
            <v>Active</v>
          </cell>
          <cell r="D1308">
            <v>2014</v>
          </cell>
          <cell r="G1308" t="str">
            <v>South Africa</v>
          </cell>
          <cell r="X1308" t="str">
            <v>E-Commerce &amp; Retail</v>
          </cell>
          <cell r="Y1308" t="str">
            <v>E-Commerce, Mobile</v>
          </cell>
        </row>
        <row r="1309">
          <cell r="A1309" t="str">
            <v>My Ride Africa</v>
          </cell>
        </row>
        <row r="1310">
          <cell r="A1310" t="str">
            <v>My runner</v>
          </cell>
          <cell r="B1310" t="str">
            <v>Runner is Toronto's premier online alcohol marketplace. Simply place your order online or through our iOS app, and have it delivered on-demand to your door in under 2 hours.</v>
          </cell>
          <cell r="C1310" t="str">
            <v>Active</v>
          </cell>
          <cell r="X1310" t="str">
            <v>E-Commerce &amp; Retail</v>
          </cell>
          <cell r="Y1310" t="str">
            <v>beer, wine, liquor, spirits, toronto, delivery, food and beverage, craft brews, lcbo, lcbo delivery, drinks, drink, alcohol delivery, ontario, and canada</v>
          </cell>
        </row>
        <row r="1311">
          <cell r="A1311" t="str">
            <v>Myagro</v>
          </cell>
          <cell r="B1311" t="str">
            <v>myAgro is a nonprofit social enterprise that invests and provides services for the development of smallholder farmers in Mali</v>
          </cell>
          <cell r="C1311" t="str">
            <v>Active</v>
          </cell>
          <cell r="D1311">
            <v>2011</v>
          </cell>
          <cell r="X1311" t="str">
            <v>Financial Services</v>
          </cell>
          <cell r="Y1311" t="str">
            <v>Association, Non Profit</v>
          </cell>
        </row>
        <row r="1312">
          <cell r="A1312" t="str">
            <v>MyCash</v>
          </cell>
          <cell r="B1312" t="str">
            <v>CashBack service that helps you to find the best deals and save money while shopping on-line</v>
          </cell>
          <cell r="C1312" t="str">
            <v>Active</v>
          </cell>
          <cell r="D1312">
            <v>2013</v>
          </cell>
          <cell r="X1312" t="str">
            <v>E-Commerce &amp; Retail</v>
          </cell>
          <cell r="Y1312" t="str">
            <v>E-Commerce, Internet, Shopping</v>
          </cell>
        </row>
        <row r="1313">
          <cell r="A1313" t="str">
            <v>Payfast</v>
          </cell>
          <cell r="B1313" t="str">
            <v>PayFast processes Instant EFT with Absa, FNB, Nedbank and Standardbank Visa and Mastercard credit.</v>
          </cell>
          <cell r="C1313" t="str">
            <v>Active</v>
          </cell>
          <cell r="D1313">
            <v>2007</v>
          </cell>
          <cell r="G1313" t="str">
            <v>South Africa</v>
          </cell>
          <cell r="X1313" t="str">
            <v>Financial Services</v>
          </cell>
          <cell r="Y1313" t="str">
            <v>E-Commerce, Financial Services, FinTech, Payments</v>
          </cell>
        </row>
        <row r="1314">
          <cell r="A1314" t="str">
            <v>Myli Sacco</v>
          </cell>
          <cell r="C1314" t="str">
            <v>Active</v>
          </cell>
        </row>
        <row r="1315">
          <cell r="A1315" t="str">
            <v>Myrunner</v>
          </cell>
          <cell r="B1315" t="str">
            <v>myRunner just love travellers and passengers as a division of Global Simcards International</v>
          </cell>
          <cell r="C1315" t="str">
            <v>Active</v>
          </cell>
          <cell r="D1315">
            <v>2019</v>
          </cell>
          <cell r="X1315" t="str">
            <v>Travel</v>
          </cell>
        </row>
        <row r="1316">
          <cell r="A1316" t="str">
            <v>Mzurii</v>
          </cell>
          <cell r="B1316" t="str">
            <v>East Africa fashion, hair, beauty, weddings, celebrity news, food, fitness,relationships, sex, music, travel, money and health website.</v>
          </cell>
          <cell r="C1316" t="str">
            <v>Active</v>
          </cell>
        </row>
        <row r="1317">
          <cell r="A1317" t="str">
            <v>myPadi</v>
          </cell>
          <cell r="B1317" t="str">
            <v>MyPadi.ng is Nigeria’s #1 go-to platform for finding off-campus hostels and roommates.</v>
          </cell>
          <cell r="C1317" t="str">
            <v>Active</v>
          </cell>
          <cell r="D1317">
            <v>2016</v>
          </cell>
          <cell r="G1317" t="str">
            <v>Nigeria</v>
          </cell>
          <cell r="X1317" t="str">
            <v>Real estate</v>
          </cell>
          <cell r="Y1317" t="str">
            <v>Hostel Booking, Roommate Finder, Student Housing</v>
          </cell>
        </row>
        <row r="1318">
          <cell r="A1318" t="str">
            <v>Nac Beva</v>
          </cell>
          <cell r="C1318" t="str">
            <v>Active</v>
          </cell>
        </row>
        <row r="1319">
          <cell r="A1319" t="str">
            <v>Mzansigo</v>
          </cell>
          <cell r="B1319" t="str">
            <v>At MzansiGo we know that moving, disposing or donating large items can be daunting. We want to take the "scary" out of moving and provide you with one of our reliable trucks and helpers at a fraction of the cost. We here at MzansiGo, see ourselves as people who want to make moving a pleasant, streamlined experience and at the same time build great partnerships.</v>
          </cell>
          <cell r="C1319" t="str">
            <v>Active</v>
          </cell>
          <cell r="D1319">
            <v>2016</v>
          </cell>
          <cell r="G1319" t="str">
            <v>South Africa</v>
          </cell>
          <cell r="X1319" t="str">
            <v>Transport &amp; Logistics</v>
          </cell>
          <cell r="Y1319" t="str">
            <v>Movers, Logistics, Transporation</v>
          </cell>
        </row>
        <row r="1320">
          <cell r="A1320" t="str">
            <v>Nafham</v>
          </cell>
        </row>
        <row r="1321">
          <cell r="A1321" t="str">
            <v>Nairaex</v>
          </cell>
          <cell r="B1321" t="str">
            <v>Nigeria-based bitcoin exchange; Buy or Sell Bitcoin in Nigeria with Naira.</v>
          </cell>
          <cell r="C1321" t="str">
            <v>Active</v>
          </cell>
          <cell r="D1321">
            <v>2015</v>
          </cell>
        </row>
        <row r="1322">
          <cell r="A1322" t="str">
            <v>Naked</v>
          </cell>
          <cell r="C1322" t="str">
            <v>Active</v>
          </cell>
          <cell r="G1322" t="str">
            <v>South Africa</v>
          </cell>
        </row>
        <row r="1323">
          <cell r="A1323" t="str">
            <v>Nature’s Bowl enterprise</v>
          </cell>
          <cell r="B1323" t="str">
            <v>Nature’s Bowl enterprise offers nutritious composite flours</v>
          </cell>
          <cell r="C1323" t="str">
            <v>Active</v>
          </cell>
          <cell r="X1323" t="str">
            <v>Agriculture</v>
          </cell>
          <cell r="Y1323" t="str">
            <v>Enterprise, Nutrition</v>
          </cell>
        </row>
        <row r="1324">
          <cell r="A1324" t="str">
            <v>Naviacom</v>
          </cell>
          <cell r="B1324" t="str">
            <v>Fleet security and safety is a major concern for the transportation industry which translates to high operating and maintenance costs for fleet management. There is often no way to monitor dangerous driver behavior and fuel theft, and high fuel consumption costs are a common daily occurrence.</v>
          </cell>
          <cell r="C1324" t="str">
            <v>Active</v>
          </cell>
          <cell r="D1324">
            <v>2013</v>
          </cell>
          <cell r="X1324" t="str">
            <v>Information Technology</v>
          </cell>
          <cell r="Y1324" t="str">
            <v>Fleet Management, GPS Tracking Solutions, Driver Behavior, Machine-To-Machine, Telematics, and Internet of Things</v>
          </cell>
        </row>
        <row r="1325">
          <cell r="A1325" t="str">
            <v>Payfort</v>
          </cell>
          <cell r="B1325" t="str">
            <v>Payfort encourages everyone to pursue growth as their main KPI.</v>
          </cell>
          <cell r="C1325" t="str">
            <v>Active</v>
          </cell>
          <cell r="D1325">
            <v>2013</v>
          </cell>
          <cell r="X1325" t="str">
            <v>Financial Services</v>
          </cell>
          <cell r="Y1325" t="str">
            <v>Financial Services</v>
          </cell>
        </row>
        <row r="1326">
          <cell r="A1326" t="str">
            <v>Nekkta</v>
          </cell>
          <cell r="C1326" t="str">
            <v>Active</v>
          </cell>
        </row>
        <row r="1327">
          <cell r="A1327" t="str">
            <v>Next</v>
          </cell>
          <cell r="B1327" t="str">
            <v>There’s a certain type of person that thrives at Next. The ones who are excited about what they can do with their creativity. What they can do with their work</v>
          </cell>
          <cell r="C1327" t="str">
            <v>Active</v>
          </cell>
          <cell r="D1327">
            <v>1982</v>
          </cell>
          <cell r="X1327" t="str">
            <v>Information Technology</v>
          </cell>
          <cell r="Y1327" t="str">
            <v>Retail, Apparel &amp; Fashion, Logistics, Customer Service, Homeware, and Furniture Manufacturing</v>
          </cell>
        </row>
        <row r="1328">
          <cell r="A1328" t="str">
            <v>Netwookie</v>
          </cell>
          <cell r="B1328" t="str">
            <v>Netwookie addresses the challenges faced by the informal sector to access jobs. These are skilled workers with no formal background, who due to lack of transparency and trust face high entry barriers to engage in job opportunities. Globally over 2.4 billion people are affected daily. In Kenya alone the informal economy is 77% of the total labour force, equivalent to 11.8 million people, and makes out 40% of the countries GDP. The market we seek to address is over 2 billion EUR in revenue for Kenya alone.</v>
          </cell>
          <cell r="C1328" t="str">
            <v>Active</v>
          </cell>
          <cell r="D1328">
            <v>2015</v>
          </cell>
          <cell r="G1328" t="str">
            <v>Kenya</v>
          </cell>
          <cell r="X1328" t="str">
            <v>Social Network</v>
          </cell>
          <cell r="Y1328" t="str">
            <v>Information Services, Information Technology</v>
          </cell>
        </row>
        <row r="1329">
          <cell r="A1329" t="str">
            <v>Nextprotein</v>
          </cell>
          <cell r="B1329" t="str">
            <v>nextProtein is developing a new large scale technology that produce a sustainable source of protein.</v>
          </cell>
          <cell r="C1329" t="str">
            <v>Active</v>
          </cell>
          <cell r="D1329">
            <v>2014</v>
          </cell>
          <cell r="X1329" t="str">
            <v>Healthcare &amp; Pharma</v>
          </cell>
          <cell r="Y1329" t="str">
            <v>Agriculture, Animal Feed, Biotechnology, Waste Management</v>
          </cell>
        </row>
        <row r="1330">
          <cell r="A1330" t="str">
            <v>Neza Reservations</v>
          </cell>
          <cell r="G1330" t="str">
            <v>Rwanda</v>
          </cell>
          <cell r="X1330" t="str">
            <v>Tourism/Travel</v>
          </cell>
        </row>
        <row r="1331">
          <cell r="A1331" t="str">
            <v>Ngsign</v>
          </cell>
          <cell r="B1331" t="str">
            <v>NGSign is a cloud electronic signature web platform published by NG Technologies, the first pure player of the electronic signature in Tunisia.</v>
          </cell>
          <cell r="C1331" t="str">
            <v>Active</v>
          </cell>
          <cell r="D1331">
            <v>2016</v>
          </cell>
          <cell r="X1331" t="str">
            <v>Information Technology</v>
          </cell>
          <cell r="Y1331" t="str">
            <v>Computer Software</v>
          </cell>
        </row>
        <row r="1332">
          <cell r="A1332" t="str">
            <v>Ninayo</v>
          </cell>
          <cell r="B1332" t="str">
            <v>NINAYO.com is an online trading platform targeting emerging markets.</v>
          </cell>
          <cell r="C1332" t="str">
            <v>Active</v>
          </cell>
          <cell r="D1332">
            <v>2015</v>
          </cell>
          <cell r="X1332" t="str">
            <v>Agriculture</v>
          </cell>
          <cell r="Y1332" t="str">
            <v>E-Commerce, Emerging Markets, Trading Platform</v>
          </cell>
        </row>
        <row r="1333">
          <cell r="A1333" t="str">
            <v>Nioji</v>
          </cell>
          <cell r="B1333" t="str">
            <v>Freedom and Control fused together in a prepaid card product.</v>
          </cell>
          <cell r="C1333" t="str">
            <v>Active</v>
          </cell>
          <cell r="X1333" t="str">
            <v>Financial Services</v>
          </cell>
          <cell r="Y1333" t="str">
            <v>Internet</v>
          </cell>
        </row>
        <row r="1334">
          <cell r="A1334" t="str">
            <v>Nisa Finance</v>
          </cell>
          <cell r="B1334" t="str">
            <v>an invoice financing payment gateway that enables financiers to offer invoice financing to SMEs through automation.</v>
          </cell>
          <cell r="C1334" t="str">
            <v>Active</v>
          </cell>
          <cell r="D1334">
            <v>2017</v>
          </cell>
        </row>
        <row r="1335">
          <cell r="A1335" t="str">
            <v>Nozol</v>
          </cell>
          <cell r="B1335" t="str">
            <v>Nozol is a platform that contains a set of tools that will help you achieve the best performance possible in selling, managing and marketing your real estate.</v>
          </cell>
          <cell r="C1335" t="str">
            <v>Active</v>
          </cell>
          <cell r="D1335">
            <v>2016</v>
          </cell>
          <cell r="G1335" t="str">
            <v>Egypt</v>
          </cell>
          <cell r="X1335" t="str">
            <v>Real Estate</v>
          </cell>
          <cell r="Y1335" t="str">
            <v>CRM, Real Estate</v>
          </cell>
        </row>
        <row r="1336">
          <cell r="A1336" t="str">
            <v>Numida Technologies</v>
          </cell>
          <cell r="B1336" t="str">
            <v>Numida is working to unlock the potential of 22 million African small businesses through access to fair and affordable credit directly from their phone.</v>
          </cell>
          <cell r="C1336" t="str">
            <v>Active</v>
          </cell>
          <cell r="D1336">
            <v>2015</v>
          </cell>
          <cell r="G1336" t="str">
            <v>Uganda</v>
          </cell>
          <cell r="X1336" t="str">
            <v>Financial Services</v>
          </cell>
          <cell r="Y1336" t="str">
            <v>Micro-loans, Lending, Credit Scoring, Mobile</v>
          </cell>
        </row>
        <row r="1337">
          <cell r="A1337" t="str">
            <v>O-Mobile Multimedia Ltd</v>
          </cell>
          <cell r="B1337" t="str">
            <v>Omobile™ Platform provides profound Multimedia business development solutions for the unbanked and rural areas in Africa.</v>
          </cell>
          <cell r="C1337" t="str">
            <v>Active</v>
          </cell>
          <cell r="D1337">
            <v>2017</v>
          </cell>
        </row>
        <row r="1338">
          <cell r="A1338" t="str">
            <v>Oasis Digital</v>
          </cell>
          <cell r="B1338" t="str">
            <v>Oasis Digital develops custom software in St. Louis, MO for customers anywhere. We create high quality solutions for hard problems, to help our customers thrive.</v>
          </cell>
          <cell r="C1338" t="str">
            <v>Active</v>
          </cell>
          <cell r="D1338">
            <v>2000</v>
          </cell>
          <cell r="X1338" t="str">
            <v>Education</v>
          </cell>
          <cell r="Y1338" t="str">
            <v>Angular, TypeScript, HTML, JavaScript, NodeJS, Java, Clojure, .NET, PostgreSQL, Python, Spring, and CSS</v>
          </cell>
        </row>
        <row r="1339">
          <cell r="A1339" t="str">
            <v>Obaigo Delivery Network</v>
          </cell>
        </row>
        <row r="1340">
          <cell r="A1340" t="str">
            <v>Obatex</v>
          </cell>
        </row>
        <row r="1341">
          <cell r="A1341" t="str">
            <v>Ocharge</v>
          </cell>
          <cell r="B1341" t="str">
            <v>Airtime recharge &amp; mobile payments app with benefits.</v>
          </cell>
          <cell r="C1341" t="str">
            <v>Active</v>
          </cell>
          <cell r="D1341">
            <v>2016</v>
          </cell>
          <cell r="X1341" t="str">
            <v>E-Commerce &amp; Retail</v>
          </cell>
          <cell r="Y1341" t="str">
            <v>E-Commerce, FinTech, Mobile Payments</v>
          </cell>
        </row>
        <row r="1342">
          <cell r="A1342" t="str">
            <v>Off Grid Electric</v>
          </cell>
          <cell r="B1342" t="str">
            <v>Africa solar startup with a mission to bring clean energy to rural Tanzania and Rwanda.</v>
          </cell>
          <cell r="C1342" t="str">
            <v>Active</v>
          </cell>
          <cell r="D1342">
            <v>2011</v>
          </cell>
          <cell r="X1342" t="str">
            <v>Renewables &amp; Environment</v>
          </cell>
          <cell r="Y1342" t="str">
            <v>Privately Held</v>
          </cell>
        </row>
        <row r="1343">
          <cell r="A1343" t="str">
            <v>Offytap</v>
          </cell>
          <cell r="B1343" t="str">
            <v>OffyTap is a web and mobile application that connects working communities, freelancers and startups to affordable and reliable working spaces by allowing hosts to list their spaces.</v>
          </cell>
          <cell r="C1343" t="str">
            <v>Active</v>
          </cell>
          <cell r="D1343">
            <v>2017</v>
          </cell>
          <cell r="X1343" t="str">
            <v>Information Technology</v>
          </cell>
          <cell r="Y1343" t="str">
            <v>software company, co-working Spaces, Freelancers, Entrepreneurs, Small Busineses, and Hospitality</v>
          </cell>
        </row>
        <row r="1344">
          <cell r="A1344" t="str">
            <v>OGarcom Angola</v>
          </cell>
          <cell r="B1344" t="str">
            <v>OGarcom Angola provides fast delivery services</v>
          </cell>
          <cell r="C1344" t="str">
            <v>Active</v>
          </cell>
          <cell r="G1344" t="str">
            <v>Angola</v>
          </cell>
          <cell r="X1344" t="str">
            <v>Transport &amp; Logistics</v>
          </cell>
          <cell r="Y1344" t="str">
            <v>Fast Food Restaurant</v>
          </cell>
        </row>
        <row r="1345">
          <cell r="A1345" t="str">
            <v>Ogmous Travel</v>
          </cell>
          <cell r="C1345" t="str">
            <v>Active</v>
          </cell>
        </row>
        <row r="1346">
          <cell r="A1346" t="str">
            <v>Ogwugo</v>
          </cell>
          <cell r="B1346" t="str">
            <v>Helps small businesses sell their products to the international market</v>
          </cell>
          <cell r="C1346" t="str">
            <v>Active</v>
          </cell>
          <cell r="D1346">
            <v>2017</v>
          </cell>
          <cell r="G1346" t="str">
            <v>Nigeria</v>
          </cell>
          <cell r="X1346" t="str">
            <v>E-Commerce &amp; Retail</v>
          </cell>
          <cell r="Y1346" t="str">
            <v>Delivery Service, E-Commerce, Food Delivery, Procurement</v>
          </cell>
        </row>
        <row r="1347">
          <cell r="A1347" t="str">
            <v>Old  School Group</v>
          </cell>
          <cell r="B1347" t="str">
            <v>Clothing, Travel, Commercial, and Sports Events</v>
          </cell>
          <cell r="C1347" t="str">
            <v>Active</v>
          </cell>
          <cell r="D1347">
            <v>2016</v>
          </cell>
          <cell r="X1347" t="str">
            <v>Sports</v>
          </cell>
        </row>
        <row r="1348">
          <cell r="A1348" t="str">
            <v>Old School Group</v>
          </cell>
          <cell r="B1348" t="str">
            <v>OSG is a multi-brand sports group specialising in festivals, live events, travel, sportswear, sponsorship, brand creation and all-around sports commercialisation.</v>
          </cell>
        </row>
        <row r="1349">
          <cell r="A1349" t="str">
            <v>Olivine Technology</v>
          </cell>
          <cell r="B1349" t="str">
            <v>Olivine Technology, founded in January 2010, is a software company that specializes in designing</v>
          </cell>
          <cell r="C1349" t="str">
            <v>Active</v>
          </cell>
          <cell r="D1349">
            <v>2010</v>
          </cell>
          <cell r="X1349" t="str">
            <v>Information Technology</v>
          </cell>
          <cell r="Y1349" t="str">
            <v>Information Technology, Web Design, Web Development</v>
          </cell>
        </row>
        <row r="1350">
          <cell r="A1350" t="str">
            <v>OrderTalk</v>
          </cell>
          <cell r="B1350" t="str">
            <v>orderTalk offers online ordering software and call center solutions for the restaurant and hospitality industries</v>
          </cell>
          <cell r="D1350">
            <v>1998</v>
          </cell>
          <cell r="X1350" t="str">
            <v>Information Technology</v>
          </cell>
          <cell r="Y1350" t="str">
            <v>Food and Beverage, Restaurants, Retail Technology, Software</v>
          </cell>
        </row>
        <row r="1351">
          <cell r="A1351" t="str">
            <v>Pansmart</v>
          </cell>
          <cell r="B1351" t="str">
            <v>Pansmart is the authorised distributor of Panasonic voice, video and CCTV products.</v>
          </cell>
          <cell r="C1351" t="str">
            <v>Acquired</v>
          </cell>
          <cell r="D1351">
            <v>2015</v>
          </cell>
          <cell r="G1351" t="str">
            <v>South Africa</v>
          </cell>
          <cell r="X1351" t="str">
            <v>Telecommunications</v>
          </cell>
        </row>
        <row r="1352">
          <cell r="A1352" t="str">
            <v>Once Sync Limited</v>
          </cell>
          <cell r="B1352" t="str">
            <v>Once Sync is an innovative fintech company providing a secure trusted cryptocurency exchange and a payment gateway solution</v>
          </cell>
          <cell r="C1352" t="str">
            <v>Active</v>
          </cell>
          <cell r="D1352">
            <v>2015</v>
          </cell>
          <cell r="G1352" t="str">
            <v>Kenya</v>
          </cell>
          <cell r="X1352" t="str">
            <v>Financial Services</v>
          </cell>
          <cell r="Y1352" t="str">
            <v>Financial Services, FinTech, Information Technology</v>
          </cell>
        </row>
        <row r="1353">
          <cell r="A1353" t="str">
            <v>One Acre Fund</v>
          </cell>
          <cell r="B1353" t="str">
            <v>One Acre Fund serves smallholder farmers.</v>
          </cell>
          <cell r="C1353" t="str">
            <v>Active</v>
          </cell>
          <cell r="D1353">
            <v>2006</v>
          </cell>
          <cell r="X1353" t="str">
            <v>Financial Services</v>
          </cell>
          <cell r="Y1353" t="str">
            <v>Non Profit</v>
          </cell>
        </row>
        <row r="1354">
          <cell r="A1354" t="str">
            <v>OneCart</v>
          </cell>
          <cell r="B1354" t="str">
            <v>On demand, Grocery delivery, Grocery, Platform, Technology, Retail, Pet, Baby, Pharmacy, Groceries, ecommerce, online, and shopping</v>
          </cell>
          <cell r="C1354" t="str">
            <v>Active</v>
          </cell>
          <cell r="D1354">
            <v>2016</v>
          </cell>
          <cell r="X1354" t="str">
            <v>E-Commerce &amp; Retail</v>
          </cell>
          <cell r="Y1354" t="str">
            <v>Privately Held</v>
          </cell>
        </row>
        <row r="1355">
          <cell r="A1355" t="str">
            <v>Ongair</v>
          </cell>
          <cell r="B1355" t="str">
            <v>Ongair is an AI powered customer relationship managed system (CRM) for performing SMEs to perform customer service and handle sales enquiries on social messaging apps. It works on platforms such as Facebook, WeChat, Messenger, Telegram, Twitter, Instagram &amp; LINE. It can be used stand-alone on Desktop and mobile or integrated into 3rd party platform such as Zendesk, Freshdesk and Salesforce.</v>
          </cell>
          <cell r="C1355" t="str">
            <v>Active</v>
          </cell>
          <cell r="D1355">
            <v>2015</v>
          </cell>
          <cell r="G1355" t="str">
            <v>Kenya</v>
          </cell>
          <cell r="X1355" t="str">
            <v>Communication Services</v>
          </cell>
          <cell r="Y1355" t="str">
            <v>Customer Service, Customer Relationship Management, Instant Messaging, Social Media, Bots</v>
          </cell>
        </row>
        <row r="1356">
          <cell r="A1356" t="str">
            <v>Oniriq</v>
          </cell>
          <cell r="B1356" t="str">
            <v>Nous développons des kits solaires connectés pour les populations rurales africaines d'Afrique de l'Ouest. Nous proposons le meilleur de l'énergie solaire et du digital avec une offre intégrant un kit solaire + une TV + une connexion à internet intégrée + un smartphone.</v>
          </cell>
          <cell r="D1356">
            <v>2016</v>
          </cell>
          <cell r="X1356" t="str">
            <v>Renewables &amp; Environment</v>
          </cell>
          <cell r="Y1356" t="str">
            <v>Partnership</v>
          </cell>
        </row>
        <row r="1357">
          <cell r="A1357" t="str">
            <v>Online Workshop</v>
          </cell>
        </row>
        <row r="1358">
          <cell r="A1358" t="str">
            <v>Onyx Rooms - Eg</v>
          </cell>
          <cell r="B1358" t="str">
            <v>We're building the future of fitness.</v>
          </cell>
          <cell r="D1358">
            <v>2018</v>
          </cell>
          <cell r="Y1358" t="str">
            <v>Consumer, Fitness, Software</v>
          </cell>
        </row>
        <row r="1359">
          <cell r="A1359" t="str">
            <v>Popcorn Training</v>
          </cell>
          <cell r="B1359" t="str">
            <v>Popcorn Training is an award-winning security awareness training provider based in Africa with a global customer base.</v>
          </cell>
          <cell r="D1359">
            <v>2011</v>
          </cell>
          <cell r="G1359" t="str">
            <v>South Africa</v>
          </cell>
          <cell r="X1359" t="str">
            <v>Information Technology</v>
          </cell>
          <cell r="Y1359" t="str">
            <v>Network Security</v>
          </cell>
        </row>
        <row r="1360">
          <cell r="A1360" t="str">
            <v>Opennetworks</v>
          </cell>
          <cell r="B1360" t="str">
            <v>Opennetworks is a Google Cloud Partner, Google Platform Partner and a Google Education Partner. Established in 2000, we have 16 of years experience dealing with customer’s technology needs. Opennetworks has been a Google Partner since 2011 and an exclusive relationship with PwC South Africa for large Google Cloud deployments.</v>
          </cell>
          <cell r="C1360" t="str">
            <v>Active</v>
          </cell>
          <cell r="D1360">
            <v>2000</v>
          </cell>
          <cell r="G1360" t="str">
            <v>South Africa</v>
          </cell>
          <cell r="X1360" t="str">
            <v>Information Technology</v>
          </cell>
          <cell r="Y1360" t="str">
            <v>CRM, Contact Management, Google Apps for Work, Google Vault, Deployment and Migration, Training and Workshops, Bulk Email, Sales Pipeline, Mobility, Google for Education, Google Cloud, and Data Storage</v>
          </cell>
        </row>
        <row r="1361">
          <cell r="A1361" t="str">
            <v>Optimetriks</v>
          </cell>
          <cell r="B1361" t="str">
            <v>Data driven FMCG distribution in Africa : connecting the dots !</v>
          </cell>
          <cell r="C1361" t="str">
            <v>Active</v>
          </cell>
          <cell r="D1361">
            <v>2015</v>
          </cell>
          <cell r="G1361" t="str">
            <v>Kenya</v>
          </cell>
          <cell r="X1361" t="str">
            <v>Transport &amp; Logistics</v>
          </cell>
          <cell r="Y1361" t="str">
            <v>Analytics, Emerging Markets, Enterprise Software, Retail Technology, Sales Automation</v>
          </cell>
        </row>
        <row r="1362">
          <cell r="A1362" t="str">
            <v>Optismart Solutions</v>
          </cell>
        </row>
        <row r="1363">
          <cell r="A1363" t="str">
            <v>Orcas Solutions</v>
          </cell>
          <cell r="B1363" t="str">
            <v>Orcas Solutions is an online marketplace for high quality tutors and babysitters.</v>
          </cell>
          <cell r="D1363">
            <v>2017</v>
          </cell>
          <cell r="X1363" t="str">
            <v>Commercial &amp; Professional Services</v>
          </cell>
          <cell r="Y1363" t="str">
            <v>E-Commerce, Education, Internet</v>
          </cell>
        </row>
        <row r="1364">
          <cell r="A1364" t="str">
            <v>PropSys</v>
          </cell>
          <cell r="B1364" t="str">
            <v>PropSys offers property management solutions for the real estate industry on hosted and on-premises platforms</v>
          </cell>
          <cell r="C1364" t="str">
            <v>Acquired</v>
          </cell>
          <cell r="G1364" t="str">
            <v>South Africa</v>
          </cell>
          <cell r="X1364" t="str">
            <v>Information Technology</v>
          </cell>
          <cell r="Y1364" t="str">
            <v>Information Services, Information Technology</v>
          </cell>
        </row>
        <row r="1365">
          <cell r="A1365" t="str">
            <v>ORide</v>
          </cell>
          <cell r="B1365" t="str">
            <v>ORide is budding motorcycle-hailing service accesed on the OPay Platform</v>
          </cell>
          <cell r="C1365" t="str">
            <v>Active</v>
          </cell>
          <cell r="D1365">
            <v>2019</v>
          </cell>
          <cell r="G1365" t="str">
            <v>Nigeria</v>
          </cell>
          <cell r="X1365" t="str">
            <v>Transport &amp; Logistics</v>
          </cell>
          <cell r="Y1365" t="str">
            <v>Ride-hailing, Software</v>
          </cell>
        </row>
        <row r="1366">
          <cell r="A1366" t="str">
            <v>Oriems Cloud</v>
          </cell>
          <cell r="B1366" t="str">
            <v>Oriems Cloud is an Internet based platform providing a Software as a Service solution for thousands of businesses that require easy, affordable and quality systems accessible from anywhere to manage their operations and store their data securely</v>
          </cell>
        </row>
        <row r="1367">
          <cell r="A1367" t="str">
            <v>Otchitanda</v>
          </cell>
          <cell r="B1367" t="str">
            <v>Otchitanda is an Angolan e-commerce solution where merchants, be it individuals or companies, can sell new and/or used goods through an online platform connecting each customer to numerous stores, all at the comfort of your home.</v>
          </cell>
          <cell r="C1367" t="str">
            <v>Active</v>
          </cell>
          <cell r="D1367">
            <v>2017</v>
          </cell>
          <cell r="X1367" t="str">
            <v>E-Commerce &amp; Retail</v>
          </cell>
          <cell r="Y1367" t="str">
            <v>E-commerce, Carteira Electrónica, Entregas, and Marketing</v>
          </cell>
        </row>
        <row r="1368">
          <cell r="A1368" t="str">
            <v>Oto English</v>
          </cell>
          <cell r="B1368" t="str">
            <v>OTO English is an Egyptian online digital learning platform that provides a wide range of specialized and general “One-to-One” courses.</v>
          </cell>
          <cell r="C1368" t="str">
            <v>Active</v>
          </cell>
          <cell r="D1368">
            <v>2015</v>
          </cell>
          <cell r="G1368" t="str">
            <v>Egypt</v>
          </cell>
          <cell r="X1368" t="str">
            <v>Education</v>
          </cell>
          <cell r="Y1368" t="str">
            <v>E-Learning</v>
          </cell>
        </row>
        <row r="1369">
          <cell r="A1369" t="str">
            <v>Payme</v>
          </cell>
          <cell r="B1369" t="str">
            <v>PayMe is an application platform that allows its users to conduct electronic payment with a credit card using smartphone.</v>
          </cell>
          <cell r="C1369" t="str">
            <v>Active</v>
          </cell>
          <cell r="D1369">
            <v>2015</v>
          </cell>
          <cell r="G1369" t="str">
            <v>Egypt</v>
          </cell>
          <cell r="X1369" t="str">
            <v>Financial Services</v>
          </cell>
          <cell r="Y1369" t="str">
            <v>Credit Cards, FinTech, Marketplace, Mobile Payments, Payments</v>
          </cell>
        </row>
        <row r="1370">
          <cell r="A1370" t="str">
            <v>Paymob</v>
          </cell>
          <cell r="B1370" t="str">
            <v>PayMob, a payment acceptance platform, allows users to convert cash payments and transfers into electronic leveraging all existing channels.</v>
          </cell>
          <cell r="C1370" t="str">
            <v>Active</v>
          </cell>
          <cell r="D1370">
            <v>2013</v>
          </cell>
          <cell r="X1370" t="str">
            <v>Financial Services</v>
          </cell>
          <cell r="Y1370" t="str">
            <v>FinTech, Mobile Payments, Payments</v>
          </cell>
        </row>
        <row r="1371">
          <cell r="A1371" t="str">
            <v>Ouicarry</v>
          </cell>
          <cell r="B1371" t="str">
            <v>OuiCarry provides delivery services and allows its customers to buy products from international commercial websites.</v>
          </cell>
          <cell r="D1371">
            <v>2012</v>
          </cell>
          <cell r="G1371" t="str">
            <v>Senegal</v>
          </cell>
          <cell r="X1371" t="str">
            <v>Transport &amp; Logistics</v>
          </cell>
          <cell r="Y1371" t="str">
            <v>Delivery, Delivery Service, E-Commerce, Trading Platform</v>
          </cell>
        </row>
        <row r="1372">
          <cell r="A1372" t="str">
            <v>Outsource Now</v>
          </cell>
          <cell r="B1372" t="str">
            <v>Outsource Now helps businesses and NGOs manage their technology needs by providing business management software and IT support.</v>
          </cell>
          <cell r="C1372" t="str">
            <v>Active</v>
          </cell>
          <cell r="D1372">
            <v>2017</v>
          </cell>
          <cell r="G1372" t="str">
            <v>Zambia</v>
          </cell>
          <cell r="X1372" t="str">
            <v>Information Technology</v>
          </cell>
          <cell r="Y1372" t="str">
            <v>Information Services, Information Technology, Technical Support</v>
          </cell>
        </row>
        <row r="1373">
          <cell r="A1373" t="str">
            <v>Outshot</v>
          </cell>
        </row>
        <row r="1374">
          <cell r="A1374" t="str">
            <v>Ovex</v>
          </cell>
          <cell r="B1374" t="str">
            <v>OVEX is a cryptocurrency exchange company.</v>
          </cell>
          <cell r="C1374" t="str">
            <v>Active</v>
          </cell>
          <cell r="D1374">
            <v>2017</v>
          </cell>
          <cell r="G1374" t="str">
            <v>South Africa</v>
          </cell>
          <cell r="X1374" t="str">
            <v>Emerging Technologies</v>
          </cell>
          <cell r="Y1374" t="str">
            <v>Blockchain, Cryptocurrency, Internet</v>
          </cell>
        </row>
        <row r="1375">
          <cell r="A1375" t="str">
            <v>OwnLabs</v>
          </cell>
          <cell r="B1375" t="str">
            <v>Ownlabs is an application that simulates a scientific laboratory via virtual reality.</v>
          </cell>
          <cell r="C1375" t="str">
            <v>Active</v>
          </cell>
          <cell r="D1375">
            <v>2017</v>
          </cell>
          <cell r="G1375" t="str">
            <v>Senegal</v>
          </cell>
          <cell r="X1375" t="str">
            <v>Information Technology</v>
          </cell>
          <cell r="Y1375" t="str">
            <v>Virtual Reality, Information technology Services, Education</v>
          </cell>
        </row>
        <row r="1376">
          <cell r="A1376" t="str">
            <v>Outsurance</v>
          </cell>
          <cell r="B1376" t="str">
            <v>OUTsurance is a direct short-term insurance company that offers car, home, business, and life insurance policies.</v>
          </cell>
          <cell r="C1376" t="str">
            <v>Active</v>
          </cell>
          <cell r="D1376">
            <v>1998</v>
          </cell>
          <cell r="X1376" t="str">
            <v>Financial Services</v>
          </cell>
          <cell r="Y1376" t="str">
            <v>Finance, Insurance</v>
          </cell>
        </row>
        <row r="1377">
          <cell r="A1377" t="str">
            <v>OyaPay</v>
          </cell>
          <cell r="B1377" t="str">
            <v>OyaPay is Modernizing offline transactions in Africa</v>
          </cell>
          <cell r="C1377" t="str">
            <v>Dead</v>
          </cell>
          <cell r="D1377">
            <v>2017</v>
          </cell>
          <cell r="G1377" t="str">
            <v>Nigeria</v>
          </cell>
          <cell r="X1377" t="str">
            <v>Financial Services</v>
          </cell>
          <cell r="Y1377" t="str">
            <v>E-Commerce</v>
          </cell>
        </row>
        <row r="1378">
          <cell r="A1378" t="str">
            <v>Pago</v>
          </cell>
          <cell r="B1378" t="str">
            <v>Pago is a carrier driven online payments processor for internet businesses.</v>
          </cell>
          <cell r="C1378" t="str">
            <v>Active</v>
          </cell>
          <cell r="D1378">
            <v>2017</v>
          </cell>
          <cell r="G1378" t="str">
            <v>Ireland</v>
          </cell>
          <cell r="X1378" t="str">
            <v>Financial Services</v>
          </cell>
          <cell r="Y1378" t="str">
            <v>Finance, Internet, Mobile Payments, Payments</v>
          </cell>
        </row>
        <row r="1379">
          <cell r="A1379" t="str">
            <v>PAPS</v>
          </cell>
          <cell r="B1379" t="str">
            <v>Paps offers a new perspective and logistics dimension last mile to your business.</v>
          </cell>
          <cell r="C1379" t="str">
            <v>Active</v>
          </cell>
          <cell r="D1379">
            <v>2016</v>
          </cell>
          <cell r="G1379" t="str">
            <v>Senegal</v>
          </cell>
          <cell r="X1379" t="str">
            <v>Transport &amp; Logistics</v>
          </cell>
          <cell r="Y1379" t="str">
            <v>Information Technology, Messaging, Photo Sharing, Video, Video Chat</v>
          </cell>
        </row>
        <row r="1380">
          <cell r="A1380" t="str">
            <v>Parcel-It</v>
          </cell>
          <cell r="B1380" t="str">
            <v>Parcel-it is an on-demand logistics company, powered by innovation. on a mission to “provide a convenient, fluid and transparent last mile delivery experience using a mobile app and API.”</v>
          </cell>
          <cell r="C1380" t="str">
            <v>Active</v>
          </cell>
          <cell r="D1380">
            <v>2017</v>
          </cell>
          <cell r="G1380" t="str">
            <v>Nigeria</v>
          </cell>
          <cell r="X1380" t="str">
            <v>Transport &amp; Logistics</v>
          </cell>
          <cell r="Y1380" t="str">
            <v>Delivery, Delivery Service, Logistics</v>
          </cell>
        </row>
        <row r="1381">
          <cell r="A1381" t="str">
            <v>Saya</v>
          </cell>
          <cell r="B1381" t="str">
            <v>Saya develops mobile messaging software and services for mass market devices.</v>
          </cell>
          <cell r="D1381">
            <v>2011</v>
          </cell>
          <cell r="X1381" t="str">
            <v>Healthcare &amp; Pharma</v>
          </cell>
          <cell r="Y1381" t="str">
            <v>Health, Wellness and Fitness</v>
          </cell>
        </row>
        <row r="1382">
          <cell r="A1382" t="str">
            <v>Pargo</v>
          </cell>
          <cell r="B1382" t="str">
            <v>Pargo is a convenient logistics solution that lets you collect and return parcels at Pargo parcel points throughout the country when it suits you best.</v>
          </cell>
          <cell r="C1382" t="str">
            <v>Active</v>
          </cell>
          <cell r="D1382">
            <v>2014</v>
          </cell>
          <cell r="G1382" t="str">
            <v>South Africa</v>
          </cell>
          <cell r="X1382" t="str">
            <v>Transport &amp; Logistics</v>
          </cell>
          <cell r="Y1382" t="str">
            <v>Delivery, Last Mile Transportation, Logistics</v>
          </cell>
        </row>
        <row r="1383">
          <cell r="A1383" t="str">
            <v>Pascal Technology Ltd</v>
          </cell>
          <cell r="B1383" t="str">
            <v>Pascal technology Ltd offers unique, reliable, easy to use products and services that suit the needs of tomorrow today.</v>
          </cell>
          <cell r="C1383" t="str">
            <v>Active</v>
          </cell>
          <cell r="D1383">
            <v>2013</v>
          </cell>
          <cell r="G1383" t="str">
            <v>Rwanda</v>
          </cell>
          <cell r="X1383" t="str">
            <v>Information Technology</v>
          </cell>
          <cell r="Y1383" t="str">
            <v>Information Technology, Tracking</v>
          </cell>
        </row>
        <row r="1384">
          <cell r="A1384" t="str">
            <v>Pawame</v>
          </cell>
          <cell r="B1384" t="str">
            <v>Pawame's mission is to provide energy access as a gateway to enhancing the quality of life of off-grid communities in Sub-Saharan Africa. Their solar home systems are capable of leapfrogging traditional power lines and offer an innovative, affordable rent-to-own, pay-as-you-go business model. Their goal is to use their PAYGO platform, customer relationships and data to offer life-changing products and services like electrical appliances, micro-insurance, education loans, and remote health services, thereby making a meaningful contribution to global poverty alleviation.</v>
          </cell>
          <cell r="C1384" t="str">
            <v>Active</v>
          </cell>
          <cell r="D1384">
            <v>2016</v>
          </cell>
          <cell r="G1384" t="str">
            <v>Kenya</v>
          </cell>
          <cell r="X1384" t="str">
            <v>Energy &amp; Environment Resources</v>
          </cell>
          <cell r="Y1384" t="str">
            <v>Environmental Engineering, Renewable Energy</v>
          </cell>
        </row>
        <row r="1385">
          <cell r="A1385" t="str">
            <v>Parceltip</v>
          </cell>
          <cell r="B1385" t="str">
            <v>We are a simple logistic start-up company helping you cut costs of sending parcels from one city/town/suburb to another across Australia, U.K and Africa by up to 50% whilst also rewarding travelers with tips when they deliver Sender’s parcels ranging from documents to goods.” ParcelTip | Courtesy that Rewards .</v>
          </cell>
          <cell r="C1385" t="str">
            <v>Active</v>
          </cell>
          <cell r="D1385">
            <v>2018</v>
          </cell>
          <cell r="G1385" t="str">
            <v>Zimbabwe</v>
          </cell>
          <cell r="X1385" t="str">
            <v>Transport &amp; Logistics</v>
          </cell>
          <cell r="Y1385" t="str">
            <v>N/A</v>
          </cell>
        </row>
        <row r="1386">
          <cell r="A1386" t="str">
            <v>PayNas</v>
          </cell>
          <cell r="B1386" t="str">
            <v>PayNas is a cloud-based platform for SMEs that allows them to manage their employees’ payroll, documents, onboarding, recruitment, attendance, leave, performance and even benefits online.</v>
          </cell>
          <cell r="C1386" t="str">
            <v>Active</v>
          </cell>
          <cell r="D1386">
            <v>2018</v>
          </cell>
          <cell r="G1386" t="str">
            <v>Egypt</v>
          </cell>
          <cell r="X1386" t="str">
            <v>Financial Services</v>
          </cell>
          <cell r="Y1386" t="str">
            <v>E-Commerce</v>
          </cell>
        </row>
        <row r="1387">
          <cell r="A1387" t="str">
            <v>Payday Investor</v>
          </cell>
          <cell r="B1387" t="str">
            <v>Payday Investor is a cool investment app. A simple and secure way to put money aside for the things you want.</v>
          </cell>
          <cell r="C1387" t="str">
            <v>Active</v>
          </cell>
          <cell r="D1387">
            <v>2018</v>
          </cell>
          <cell r="G1387" t="str">
            <v>Nigeria</v>
          </cell>
          <cell r="X1387" t="str">
            <v>Financial services</v>
          </cell>
          <cell r="Y1387" t="str">
            <v>Investments, Savings</v>
          </cell>
        </row>
        <row r="1388">
          <cell r="A1388" t="str">
            <v>Paynet</v>
          </cell>
          <cell r="B1388" t="str">
            <v>Paynet is the electronic payments processing system offered to the market through Financial Institutions.</v>
          </cell>
          <cell r="C1388" t="str">
            <v>Active</v>
          </cell>
          <cell r="D1388">
            <v>2003</v>
          </cell>
          <cell r="G1388" t="str">
            <v>Zimbabwe</v>
          </cell>
          <cell r="X1388" t="str">
            <v>Financial Services</v>
          </cell>
        </row>
        <row r="1389">
          <cell r="A1389" t="str">
            <v>Pelebox</v>
          </cell>
          <cell r="B1389" t="str">
            <v>Pelebox is a digital platform that manages various internet enabled smart lockers. Pelebox smart lockers enable patients to collect their repeat chronic medication in under 2 minutes instead of waiting hours queuing at public clinics</v>
          </cell>
          <cell r="C1389" t="str">
            <v>Active</v>
          </cell>
          <cell r="D1389">
            <v>2015</v>
          </cell>
          <cell r="G1389" t="str">
            <v>South Africa</v>
          </cell>
          <cell r="X1389" t="str">
            <v>Healthcare &amp; Pharma</v>
          </cell>
          <cell r="Y1389" t="str">
            <v>Health Services, Information Technology</v>
          </cell>
        </row>
        <row r="1390">
          <cell r="A1390" t="str">
            <v>Pesa Na Pesa</v>
          </cell>
          <cell r="B1390" t="str">
            <v>PesaNaPesa is an innovative mobile phone based borrowing and lending product developed by AVL Capital ltd which offers emergency loans to anyone who needs short term emergency funds.</v>
          </cell>
          <cell r="C1390" t="str">
            <v>Active</v>
          </cell>
          <cell r="X1390" t="str">
            <v>Financial Services</v>
          </cell>
        </row>
        <row r="1391">
          <cell r="A1391" t="str">
            <v>Pesaguide</v>
          </cell>
          <cell r="B1391" t="str">
            <v>PesaGuide is Africa's first platform that allows you to share your financial experience and to discover the best solution for you. Candid reviews about banks, mobile lenders and SACCOs in Kenya - all in one place.</v>
          </cell>
          <cell r="C1391" t="str">
            <v>Active</v>
          </cell>
          <cell r="D1391">
            <v>2018</v>
          </cell>
          <cell r="G1391" t="str">
            <v>Kenya</v>
          </cell>
          <cell r="X1391" t="str">
            <v>Financial Services</v>
          </cell>
          <cell r="Y1391" t="str">
            <v>Financial Services, FinTech, Payments, Personal Finance</v>
          </cell>
        </row>
        <row r="1392">
          <cell r="A1392" t="str">
            <v>Pesapal</v>
          </cell>
          <cell r="B1392" t="str">
            <v>PesaPal provides a simple, safe and secure way for individuals and businesses to make and accept payments in Africa</v>
          </cell>
          <cell r="C1392" t="str">
            <v>Active</v>
          </cell>
          <cell r="D1392">
            <v>2009</v>
          </cell>
          <cell r="G1392" t="str">
            <v>Kenya</v>
          </cell>
          <cell r="X1392" t="str">
            <v>Financial Services</v>
          </cell>
          <cell r="Y1392" t="str">
            <v>Fintech</v>
          </cell>
        </row>
        <row r="1393">
          <cell r="A1393" t="str">
            <v>Pesapata</v>
          </cell>
          <cell r="B1393" t="str">
            <v>Pesapata is a peer to peer lending platform seeking to provide our communities with an alternative form of funding from the conventional banking model</v>
          </cell>
          <cell r="C1393" t="str">
            <v>Active</v>
          </cell>
          <cell r="G1393" t="str">
            <v>Kenya</v>
          </cell>
          <cell r="X1393" t="str">
            <v>Financial Services</v>
          </cell>
        </row>
        <row r="1394">
          <cell r="A1394" t="str">
            <v>Paynow</v>
          </cell>
          <cell r="B1394" t="str">
            <v>Credit Recovery, SaaS, Financial, White Label Platform</v>
          </cell>
          <cell r="C1394" t="str">
            <v>Active</v>
          </cell>
          <cell r="D1394">
            <v>2017</v>
          </cell>
          <cell r="X1394" t="str">
            <v>Information Technology</v>
          </cell>
          <cell r="Y1394" t="str">
            <v>B2B, Financial Services, FinTech</v>
          </cell>
        </row>
        <row r="1395">
          <cell r="A1395" t="str">
            <v>Payplux</v>
          </cell>
          <cell r="B1395" t="str">
            <v>PayPlux is a digital currency exchange that allows you to buy/sell currencies such as Bitcoin, Perfect Money, Litecoin, Ethereum, Bitcoin Cash for GHS</v>
          </cell>
          <cell r="D1395">
            <v>2010</v>
          </cell>
        </row>
        <row r="1396">
          <cell r="A1396" t="str">
            <v>Pebl</v>
          </cell>
          <cell r="B1396" t="str">
            <v>PEBL computers is the first Pan-African computer brand developed and assembled in Africa. PEBL is a high-tech central processing unit (the brain of a computer system) developed to support all your IT related needs. PEBL is small, portable and radiates the electric African spirit.</v>
          </cell>
          <cell r="C1396" t="str">
            <v>Active</v>
          </cell>
          <cell r="D1396">
            <v>2015</v>
          </cell>
          <cell r="G1396" t="str">
            <v>Namibia</v>
          </cell>
          <cell r="X1396" t="str">
            <v>Information Technology</v>
          </cell>
          <cell r="Y1396" t="str">
            <v>Computer, Hardware, ICT, Manufacturing, Product Design</v>
          </cell>
        </row>
        <row r="1397">
          <cell r="A1397" t="str">
            <v>Peepz</v>
          </cell>
          <cell r="B1397" t="str">
            <v>Peepz is an online staff booking portal for the marketing and events industries. Peepz was designed to create admin efficiencies, cost savings and lower the margin for error. We are here to shake up the industry and save you money in the process</v>
          </cell>
          <cell r="C1397" t="str">
            <v>Active</v>
          </cell>
          <cell r="D1397">
            <v>2017</v>
          </cell>
          <cell r="G1397" t="str">
            <v>South Africa</v>
          </cell>
          <cell r="X1397" t="str">
            <v>Commercial &amp; Professional Services</v>
          </cell>
          <cell r="Y1397" t="str">
            <v>Recruiting, Staffing Agency</v>
          </cell>
        </row>
        <row r="1398">
          <cell r="A1398" t="str">
            <v>Pesazetu</v>
          </cell>
          <cell r="B1398" t="str">
            <v>PesaZetu is a mobile marketplace that brings together responsible Kenyans who need to borrow with Kenyans prepared to lend money</v>
          </cell>
          <cell r="C1398" t="str">
            <v>Active</v>
          </cell>
          <cell r="D1398">
            <v>2015</v>
          </cell>
          <cell r="G1398" t="str">
            <v>Kenya</v>
          </cell>
          <cell r="X1398" t="str">
            <v>Financial Services</v>
          </cell>
          <cell r="Y1398" t="str">
            <v>Financial Services</v>
          </cell>
        </row>
        <row r="1399">
          <cell r="A1399" t="str">
            <v>Pharmascout</v>
          </cell>
          <cell r="B1399" t="str">
            <v>PharmaScout is a single point solution developed by 5nines Technologies, a Cape Town based Internet of Things (“IoT”) business, which overcomes a litany of hurdles faced by healthcare professionals wishing to mitigate legal risk and meet regulatory standards imposed to ensure the safety and quality of stored temperature sensitive pharmaceutical products.</v>
          </cell>
          <cell r="C1399" t="str">
            <v>Active</v>
          </cell>
          <cell r="D1399">
            <v>2015</v>
          </cell>
          <cell r="G1399" t="str">
            <v>South Africa</v>
          </cell>
          <cell r="X1399" t="str">
            <v>Healthcare &amp; Pharma</v>
          </cell>
          <cell r="Y1399" t="str">
            <v>Hardware, Health Care, Pharmaceutical</v>
          </cell>
        </row>
        <row r="1400">
          <cell r="A1400" t="str">
            <v>Penda Health</v>
          </cell>
          <cell r="B1400" t="str">
            <v>Penda Health builds and operates a chain of outpatient medical centers that offer outpatient care for patients in Kenya.</v>
          </cell>
          <cell r="C1400" t="str">
            <v>Active</v>
          </cell>
          <cell r="D1400">
            <v>2012</v>
          </cell>
          <cell r="G1400" t="str">
            <v>Kenya</v>
          </cell>
          <cell r="X1400" t="str">
            <v>Healthcare &amp; Pharma</v>
          </cell>
          <cell r="Y1400" t="str">
            <v>Fitness, Health Care</v>
          </cell>
        </row>
        <row r="1401">
          <cell r="A1401" t="str">
            <v>Pegasus Technologies LTD</v>
          </cell>
          <cell r="B1401" t="str">
            <v>Pegasus Technologies is a leading payment services aggregator in Uganda with extensive experience in development, configuration, deployment, support and maintenance of financial and billing solutions for businesses and institutions</v>
          </cell>
        </row>
        <row r="1402">
          <cell r="A1402" t="str">
            <v>Pesabase</v>
          </cell>
          <cell r="B1402" t="str">
            <v>Blockchain Based remittance, payments and banking platform whose Mission is to financially connect Africa</v>
          </cell>
          <cell r="C1402" t="str">
            <v>Active</v>
          </cell>
          <cell r="D1402">
            <v>2017</v>
          </cell>
          <cell r="G1402" t="str">
            <v>Kenya</v>
          </cell>
          <cell r="X1402" t="str">
            <v>Financial Services</v>
          </cell>
          <cell r="Y1402" t="str">
            <v>Blockchain, FInTech, Mobile Payments, Remittances</v>
          </cell>
        </row>
        <row r="1403">
          <cell r="A1403" t="str">
            <v>Pesabazaar</v>
          </cell>
          <cell r="B1403" t="str">
            <v>Pesabazaar.com is Kenya’s prominent online insurance aggregator. The company specialises in making comparative analysis of the insurance products based on price, quality and key benefits. Pesabazaar empowers customers with their accurate and up to date information on insurance products, combined with excellent customer service.</v>
          </cell>
          <cell r="C1403" t="str">
            <v>Active</v>
          </cell>
          <cell r="D1403">
            <v>2014</v>
          </cell>
          <cell r="G1403" t="str">
            <v>Kenya</v>
          </cell>
          <cell r="X1403" t="str">
            <v>Financial Services</v>
          </cell>
          <cell r="Y1403" t="str">
            <v>Identity Management, Insurance, Internet</v>
          </cell>
        </row>
        <row r="1404">
          <cell r="A1404" t="str">
            <v>Popote</v>
          </cell>
          <cell r="B1404" t="str">
            <v>Popote is a payments application that goes beyond fulfilling the transaction by providing compelling accounting and management features.</v>
          </cell>
          <cell r="C1404" t="str">
            <v>Active</v>
          </cell>
          <cell r="D1404">
            <v>2013</v>
          </cell>
          <cell r="X1404" t="str">
            <v>Financial Services</v>
          </cell>
          <cell r="Y1404" t="str">
            <v>Apps, iOS, Mobile, Mobile Payments</v>
          </cell>
        </row>
        <row r="1405">
          <cell r="A1405" t="str">
            <v>Project ubu</v>
          </cell>
          <cell r="B1405" t="str">
            <v>projectUBU is a network effects ecosystem that unlocks trapped asset value and distributes it to participants.</v>
          </cell>
          <cell r="C1405" t="str">
            <v>Active</v>
          </cell>
          <cell r="D1405">
            <v>2016</v>
          </cell>
          <cell r="G1405" t="str">
            <v>South Africa</v>
          </cell>
          <cell r="X1405" t="str">
            <v>Financial Services</v>
          </cell>
          <cell r="Y1405" t="str">
            <v>Financial Services</v>
          </cell>
        </row>
        <row r="1406">
          <cell r="A1406" t="str">
            <v>ProxyPay</v>
          </cell>
          <cell r="B1406" t="str">
            <v>Proxypay enables SME's facilitate online payments</v>
          </cell>
          <cell r="C1406" t="str">
            <v>Active</v>
          </cell>
          <cell r="D1406">
            <v>2017</v>
          </cell>
          <cell r="G1406" t="str">
            <v>Angola</v>
          </cell>
          <cell r="X1406" t="str">
            <v>Financial Services</v>
          </cell>
        </row>
        <row r="1407">
          <cell r="A1407" t="str">
            <v>Quoxient Ltd</v>
          </cell>
          <cell r="B1407" t="str">
            <v>Quoxient is a fintech company in Kenya. It delivers technology solutions to support SMEs in Financial Services</v>
          </cell>
          <cell r="C1407" t="str">
            <v>Active</v>
          </cell>
          <cell r="D1407">
            <v>2015</v>
          </cell>
          <cell r="G1407" t="str">
            <v>Kenya</v>
          </cell>
          <cell r="X1407" t="str">
            <v>Financial Services</v>
          </cell>
          <cell r="Y1407" t="str">
            <v>FinTech, Payments</v>
          </cell>
        </row>
        <row r="1408">
          <cell r="A1408" t="str">
            <v>Rainfin</v>
          </cell>
          <cell r="B1408" t="str">
            <v>Rainfin is an online credit marketplace that allows the banks to provide individuals and MSMEs with real-time mobile financial services.</v>
          </cell>
          <cell r="C1408" t="str">
            <v>Active</v>
          </cell>
          <cell r="D1408">
            <v>2012</v>
          </cell>
          <cell r="G1408" t="str">
            <v>South Africa</v>
          </cell>
          <cell r="X1408" t="str">
            <v>Financial Services</v>
          </cell>
          <cell r="Y1408" t="str">
            <v>Credit services, Peer-to-Peer lending</v>
          </cell>
        </row>
        <row r="1409">
          <cell r="A1409" t="str">
            <v>Peslink</v>
          </cell>
          <cell r="C1409" t="str">
            <v>Active</v>
          </cell>
        </row>
        <row r="1410">
          <cell r="A1410" t="str">
            <v>Picsa</v>
          </cell>
          <cell r="B1410" t="str">
            <v>Picsa offers holistic savings solutions to help low-income agriculture employees improve their financial health.</v>
          </cell>
          <cell r="C1410" t="str">
            <v>Active</v>
          </cell>
          <cell r="G1410" t="str">
            <v>South Africa</v>
          </cell>
          <cell r="X1410" t="str">
            <v>Financial Services</v>
          </cell>
          <cell r="Y1410" t="str">
            <v>Agriculture, Finance, Financial Services, Health Care, Wealth Management</v>
          </cell>
        </row>
        <row r="1411">
          <cell r="A1411" t="str">
            <v>Pikiwash</v>
          </cell>
          <cell r="B1411" t="str">
            <v>PikiWash Ltd. is a for profit company that was founded after identification of the need for clean</v>
          </cell>
          <cell r="C1411" t="str">
            <v>Active</v>
          </cell>
          <cell r="D1411">
            <v>2017</v>
          </cell>
        </row>
        <row r="1412">
          <cell r="A1412" t="str">
            <v>Pingle</v>
          </cell>
          <cell r="B1412" t="str">
            <v>Pingle is a platform that is connecting users to activities that interest them within Nairobi’s malls. Users on the Pingle platform can discover, book, and pay for these activities on the app.</v>
          </cell>
          <cell r="C1412" t="str">
            <v>Active</v>
          </cell>
          <cell r="G1412" t="str">
            <v>Kenya</v>
          </cell>
          <cell r="X1412" t="str">
            <v>Media &amp; Entertainment</v>
          </cell>
          <cell r="Y1412" t="str">
            <v>E-Commerce, Information, advertising</v>
          </cell>
        </row>
        <row r="1413">
          <cell r="A1413" t="str">
            <v>Plaas</v>
          </cell>
          <cell r="B1413" t="str">
            <v>PLAAS does research, policy engagement, teaching and training about the dynamics of chronic poverty and structural inequality in Southern Africa, with a particular emphasis on the key role of restructuring and contesting land holding and agro-food systems in the subcontinent and beyond.</v>
          </cell>
          <cell r="C1413" t="str">
            <v>Active</v>
          </cell>
          <cell r="D1413">
            <v>1995</v>
          </cell>
        </row>
        <row r="1414">
          <cell r="A1414" t="str">
            <v>Placements.Com.Ng</v>
          </cell>
          <cell r="B1414" t="str">
            <v>Placements is a search platform for Graduate &amp; Undergraduate Internship programs in Africa, Scaling from Nigeria.</v>
          </cell>
          <cell r="C1414" t="str">
            <v>Active</v>
          </cell>
          <cell r="D1414">
            <v>2016</v>
          </cell>
          <cell r="X1414" t="str">
            <v>Commercial &amp; Professional Services</v>
          </cell>
          <cell r="Y1414" t="str">
            <v>E-Commerce, Internet</v>
          </cell>
        </row>
        <row r="1415">
          <cell r="A1415" t="str">
            <v>Plant Doctor</v>
          </cell>
          <cell r="G1415" t="str">
            <v>Nigeria</v>
          </cell>
        </row>
        <row r="1416">
          <cell r="A1416" t="str">
            <v>Play 3arabi</v>
          </cell>
          <cell r="B1416" t="str">
            <v>Play 3arabi is a leading Arabic games publisher in MENA region.</v>
          </cell>
          <cell r="C1416" t="str">
            <v>Active</v>
          </cell>
          <cell r="G1416" t="str">
            <v>Jordan</v>
          </cell>
          <cell r="X1416" t="str">
            <v>Media and Entertainment</v>
          </cell>
        </row>
        <row r="1417">
          <cell r="A1417" t="str">
            <v>Plentify</v>
          </cell>
          <cell r="B1417" t="str">
            <v>Plentify provides reliable and sustainable energy and water services that are more affordable than the grid.</v>
          </cell>
          <cell r="C1417" t="str">
            <v>Active</v>
          </cell>
          <cell r="D1417">
            <v>2017</v>
          </cell>
          <cell r="G1417" t="str">
            <v>South Africa</v>
          </cell>
          <cell r="X1417" t="str">
            <v>Energy &amp; Environment Resources</v>
          </cell>
          <cell r="Y1417" t="str">
            <v>Energy and water services</v>
          </cell>
        </row>
        <row r="1418">
          <cell r="A1418" t="str">
            <v>Plumter</v>
          </cell>
          <cell r="B1418" t="str">
            <v>Plumter helps users to schedule, co-ordinate and keep records of meetings and tasks in an everlasting calendar</v>
          </cell>
          <cell r="C1418" t="str">
            <v>Active</v>
          </cell>
          <cell r="D1418">
            <v>2018</v>
          </cell>
        </row>
        <row r="1419">
          <cell r="A1419" t="str">
            <v>Podozi</v>
          </cell>
          <cell r="B1419" t="str">
            <v>We are a beauty-tech company building the next generation of brands that leverages cutting edge technology to empower our consumers in achieving self-discovery, self-expression and forging global connections. From idea conceptualization to design and production, every product is inspired by what women want in real life, made by experts who understand the power of beauty.</v>
          </cell>
          <cell r="C1419" t="str">
            <v>Active</v>
          </cell>
          <cell r="D1419">
            <v>2015</v>
          </cell>
          <cell r="G1419" t="str">
            <v>Nigeria</v>
          </cell>
          <cell r="X1419" t="str">
            <v>E-Commerce &amp; Retail</v>
          </cell>
          <cell r="Y1419" t="str">
            <v>Beauty, Makeup, Ecommerce, Content, Cosmetics, and Luxury</v>
          </cell>
        </row>
        <row r="1420">
          <cell r="A1420" t="str">
            <v>Poa! Internet</v>
          </cell>
          <cell r="B1420" t="str">
            <v>Poa! provides low cost internet to individuals and small businesses in low-income neighborhoods in East Africa.</v>
          </cell>
          <cell r="X1420" t="str">
            <v>Communication Services</v>
          </cell>
          <cell r="Y1420" t="str">
            <v>Information Services, Internet, ISP</v>
          </cell>
        </row>
        <row r="1421">
          <cell r="A1421" t="str">
            <v>RetailTower</v>
          </cell>
          <cell r="B1421" t="str">
            <v>RetailTower enables online merchants to distribute and monitor products across online marketplaces and shopping comparison engines.</v>
          </cell>
          <cell r="D1421">
            <v>2010</v>
          </cell>
          <cell r="X1421" t="str">
            <v>Information Technology</v>
          </cell>
          <cell r="Y1421" t="str">
            <v>E-Commerce, Software</v>
          </cell>
        </row>
        <row r="1422">
          <cell r="A1422" t="str">
            <v>Ride Safe Africa</v>
          </cell>
          <cell r="B1422" t="str">
            <v>RideSafe is an emergency response solution that enables riders to access quick, affordable and quality first aid at the point of an accident, built on a decentralised blockchain application.</v>
          </cell>
          <cell r="C1422" t="str">
            <v>Active</v>
          </cell>
          <cell r="D1422">
            <v>2018</v>
          </cell>
          <cell r="G1422" t="str">
            <v>Kenya</v>
          </cell>
          <cell r="X1422" t="str">
            <v>Healthcare &amp; Pharma</v>
          </cell>
          <cell r="Y1422" t="str">
            <v>First aid, Health, Blockchain, App</v>
          </cell>
        </row>
        <row r="1423">
          <cell r="A1423" t="str">
            <v>Portable Voices</v>
          </cell>
          <cell r="G1423" t="str">
            <v>Kenya</v>
          </cell>
        </row>
        <row r="1424">
          <cell r="A1424" t="str">
            <v>Powah Limited</v>
          </cell>
          <cell r="B1424" t="str">
            <v>Our company, Powah limited, is a provider of solar energy solutions that fit the budgetary, practical and social needs of agriculture communities in Uganda</v>
          </cell>
          <cell r="C1424" t="str">
            <v>Active</v>
          </cell>
          <cell r="D1424">
            <v>2017</v>
          </cell>
          <cell r="G1424" t="str">
            <v>Uganda</v>
          </cell>
          <cell r="X1424" t="str">
            <v>Resource &amp; Energy</v>
          </cell>
          <cell r="Y1424" t="str">
            <v>Clean Technology</v>
          </cell>
        </row>
        <row r="1425">
          <cell r="A1425" t="str">
            <v>Powergen Renewable Energy</v>
          </cell>
          <cell r="B1425" t="str">
            <v>PowerGen Renewable Energy is a micro-grid developer, implementer, and operator in East Africa, reshaping the prevailing rural electrification model in the region. PowerGen is creating an African energy system that utilizes clean, renewable energy and smarter grids to deliver power to all.</v>
          </cell>
          <cell r="C1425" t="str">
            <v>Active</v>
          </cell>
          <cell r="D1425">
            <v>2011</v>
          </cell>
          <cell r="G1425" t="str">
            <v>Kenya</v>
          </cell>
          <cell r="X1425" t="str">
            <v>Energy &amp; Environment Resources</v>
          </cell>
          <cell r="Y1425" t="str">
            <v>Power Grid, Renewable Energy, Solar</v>
          </cell>
        </row>
        <row r="1426">
          <cell r="A1426" t="str">
            <v>Powell Pay</v>
          </cell>
          <cell r="C1426" t="str">
            <v>Active</v>
          </cell>
        </row>
        <row r="1427">
          <cell r="A1427" t="str">
            <v xml:space="preserve">Practical Education Network </v>
          </cell>
          <cell r="B1427" t="str">
            <v>PEN provides a teacher training program infused with MIT-style learning-by-doing to promote hands-on science regardless of resource constraints.</v>
          </cell>
          <cell r="C1427" t="str">
            <v>Active</v>
          </cell>
          <cell r="D1427">
            <v>2014</v>
          </cell>
          <cell r="G1427" t="str">
            <v>Ghana</v>
          </cell>
          <cell r="X1427" t="str">
            <v>Education</v>
          </cell>
          <cell r="Y1427" t="str">
            <v>Training</v>
          </cell>
        </row>
        <row r="1428">
          <cell r="A1428" t="str">
            <v>Preeva</v>
          </cell>
          <cell r="B1428" t="str">
            <v>Preeva is the tutoring company that does so much more. We foresee a bright future for South Africa and believe the key to this future lies in empowering and educating the people.</v>
          </cell>
          <cell r="C1428" t="str">
            <v>Active</v>
          </cell>
          <cell r="D1428">
            <v>2015</v>
          </cell>
          <cell r="G1428" t="str">
            <v>South Africa</v>
          </cell>
          <cell r="X1428" t="str">
            <v>Education</v>
          </cell>
          <cell r="Y1428" t="str">
            <v>Education, Training, Tutoring</v>
          </cell>
        </row>
        <row r="1429">
          <cell r="A1429" t="str">
            <v>Predictive Insights</v>
          </cell>
          <cell r="B1429" t="str">
            <v>A Data science and predictive modeling Company.</v>
          </cell>
          <cell r="C1429" t="str">
            <v>Active</v>
          </cell>
          <cell r="D1429">
            <v>2017</v>
          </cell>
          <cell r="G1429" t="str">
            <v>South Africa</v>
          </cell>
          <cell r="X1429" t="str">
            <v>Information Technology</v>
          </cell>
          <cell r="Y1429" t="str">
            <v>Artificial Intelligence, Big Data</v>
          </cell>
        </row>
        <row r="1430">
          <cell r="A1430" t="str">
            <v>Pro-it</v>
          </cell>
          <cell r="B1430" t="str">
            <v>Hardware sales &amp; upgrades &amp; repairs, Software sales &amp; support &amp; configuration, Networking – Cable &amp; Wi-Fi, LAN &amp; WAN support.Backup &amp; restore implementations.IT Audits.Microsoft Exchange, Outlook, Lotus Notes &amp; Domino Server support.Windows Server &amp; desktop support.Manage software licensing.Antivirus Software &amp; virus removal</v>
          </cell>
          <cell r="C1430" t="str">
            <v>Active</v>
          </cell>
          <cell r="D1430">
            <v>2010</v>
          </cell>
          <cell r="X1430" t="str">
            <v>Information Technology</v>
          </cell>
          <cell r="Y1430" t="str">
            <v>Information Technology and Services</v>
          </cell>
        </row>
        <row r="1431">
          <cell r="A1431" t="str">
            <v>Probity Farms.com</v>
          </cell>
          <cell r="B1431" t="str">
            <v>Probity Medical Transcription is a leading provider of clinical documentation to the healthcare industry.</v>
          </cell>
          <cell r="C1431" t="str">
            <v>Active</v>
          </cell>
          <cell r="D1431">
            <v>2003</v>
          </cell>
          <cell r="X1431" t="str">
            <v>Agriculture</v>
          </cell>
          <cell r="Y1431" t="str">
            <v>Biotechnology, Health Care, Medical</v>
          </cell>
        </row>
        <row r="1432">
          <cell r="A1432" t="str">
            <v>Prodigy</v>
          </cell>
          <cell r="B1432" t="str">
            <v>Prodigy is a school management software platform. It enables schools owners to manage their school effectively and efficiently</v>
          </cell>
          <cell r="C1432" t="str">
            <v>Active</v>
          </cell>
          <cell r="D1432">
            <v>2013</v>
          </cell>
          <cell r="G1432" t="str">
            <v>Nigeria</v>
          </cell>
        </row>
        <row r="1433">
          <cell r="A1433" t="str">
            <v>Project Move</v>
          </cell>
          <cell r="G1433" t="str">
            <v>Nigeria</v>
          </cell>
        </row>
        <row r="1434">
          <cell r="A1434" t="str">
            <v>Rology</v>
          </cell>
          <cell r="B1434" t="str">
            <v>Rology is an AI-Assisted, on-demand teleradiology platform</v>
          </cell>
          <cell r="C1434" t="str">
            <v>Active</v>
          </cell>
          <cell r="D1434">
            <v>2017</v>
          </cell>
          <cell r="G1434" t="str">
            <v>Egypt</v>
          </cell>
          <cell r="X1434" t="str">
            <v>Healthcare &amp; Pharma</v>
          </cell>
          <cell r="Y1434" t="str">
            <v>Health Diagnostics</v>
          </cell>
        </row>
        <row r="1435">
          <cell r="A1435" t="str">
            <v>Property Fox</v>
          </cell>
          <cell r="B1435" t="str">
            <v>Property Fox is a real estate selling platform that allows sellers to list their home and even meet potential buyers.</v>
          </cell>
          <cell r="C1435" t="str">
            <v>Active</v>
          </cell>
          <cell r="D1435">
            <v>2016</v>
          </cell>
          <cell r="G1435" t="str">
            <v>South Africa</v>
          </cell>
          <cell r="X1435" t="str">
            <v>E-Commerce &amp; Retail</v>
          </cell>
          <cell r="Y1435" t="str">
            <v>Professional Services, Real Estate</v>
          </cell>
        </row>
        <row r="1436">
          <cell r="A1436" t="str">
            <v>Prom-Agric</v>
          </cell>
          <cell r="C1436" t="str">
            <v>Active</v>
          </cell>
          <cell r="X1436" t="str">
            <v>Agriculture</v>
          </cell>
        </row>
        <row r="1437">
          <cell r="A1437" t="str">
            <v>Propertypro.Ng (Tolet.Com.Ng)</v>
          </cell>
          <cell r="B1437" t="str">
            <v>PropertyPro.ng is the leading real estate property centre platform in Nigeria. With a web-based platform for property rentals and sales, we provide users with the best property search experience both online and offline by connecting them with legitimate and verified real estate agents. In the Nigerian property market, with over 60,000 property listings which include properties like homes, houses, lands, shops, office spaces and other commercial properties, small, medium and large-scale real estate companies in Nigeria who desire to scale up the sales and rentals of their properties can partner with PropertyPro.ng.</v>
          </cell>
          <cell r="C1437" t="str">
            <v>Active</v>
          </cell>
          <cell r="D1437">
            <v>2013</v>
          </cell>
          <cell r="G1437" t="str">
            <v>Nigeria</v>
          </cell>
          <cell r="X1437" t="str">
            <v>Real estate</v>
          </cell>
          <cell r="Y1437" t="str">
            <v>Real estate, Properties for Rent, Properties for Sale, International, Online Property Search, Properties, Real Estate Consulting, and Real Estate Industry Report</v>
          </cell>
        </row>
        <row r="1438">
          <cell r="A1438" t="str">
            <v>propertybook</v>
          </cell>
          <cell r="B1438" t="str">
            <v>Propertybook Pvt Ltd's roots stem back to 2006 as a community formed group (Harare Rentals) with the aim of assisting our friends and families to find accommodation to rent in Harare, Zimbabwe. Our membership grew rapidly leading to a required expansion of our groups to include sales in and around Harare then further more to cover the whole of Zimbabwe.</v>
          </cell>
          <cell r="C1438" t="str">
            <v>Active</v>
          </cell>
          <cell r="D1438">
            <v>2006</v>
          </cell>
          <cell r="X1438" t="str">
            <v>Real Estate</v>
          </cell>
          <cell r="Y1438" t="str">
            <v>Real Estate Advertising, Real Estate Information, Travel, Suppliers, New Developments, Investment, Real Estate News, Hotels, B&amp;B's, Contractors, and Property</v>
          </cell>
        </row>
        <row r="1439">
          <cell r="A1439" t="str">
            <v>SAI</v>
          </cell>
          <cell r="B1439" t="str">
            <v>SAI and its Sierra Gol is a company that offers customer-driven enterprise call accounting</v>
          </cell>
          <cell r="D1439">
            <v>2016</v>
          </cell>
          <cell r="X1439" t="str">
            <v>Network Security</v>
          </cell>
          <cell r="Y1439" t="str">
            <v>Network Security, Telecommunications</v>
          </cell>
        </row>
        <row r="1440">
          <cell r="A1440" t="str">
            <v>Prothem Usine</v>
          </cell>
          <cell r="B1440" t="str">
            <v>Prothem-Usine s.a is an acronym that stands for Mwaro Tea Promotion</v>
          </cell>
          <cell r="D1440">
            <v>2006</v>
          </cell>
          <cell r="X1440" t="str">
            <v>Agriculture</v>
          </cell>
          <cell r="Y1440" t="str">
            <v>Agriculture, AgTech, Farming, Tea</v>
          </cell>
        </row>
        <row r="1441">
          <cell r="A1441" t="str">
            <v>Proville</v>
          </cell>
          <cell r="B1441" t="str">
            <v>Peer to Peer Online service Market Place</v>
          </cell>
          <cell r="D1441">
            <v>2016</v>
          </cell>
          <cell r="X1441" t="str">
            <v>Information Technology</v>
          </cell>
          <cell r="Y1441" t="str">
            <v>Employment, Marketplace, Online Forums, Peer to Peer, Professional Networking, Professional Services, Service Industry</v>
          </cell>
        </row>
        <row r="1442">
          <cell r="A1442" t="str">
            <v>Publiseer</v>
          </cell>
          <cell r="B1442" t="str">
            <v>Publiseer is a free book and music publishing platform for Nigerian authors and artists.</v>
          </cell>
          <cell r="D1442">
            <v>2017</v>
          </cell>
          <cell r="X1442" t="str">
            <v>Publishing</v>
          </cell>
          <cell r="Y1442" t="str">
            <v>Music, Publishing</v>
          </cell>
        </row>
        <row r="1443">
          <cell r="A1443" t="str">
            <v>Pulse PerfectFit Studio</v>
          </cell>
          <cell r="B1443" t="str">
            <v>PerfectFit is a virtual platform with fitness classes accessible via the web and mobile.</v>
          </cell>
          <cell r="C1443" t="str">
            <v>Active</v>
          </cell>
          <cell r="D1443">
            <v>2013</v>
          </cell>
          <cell r="G1443" t="str">
            <v>Namibia</v>
          </cell>
          <cell r="X1443" t="str">
            <v>Education</v>
          </cell>
          <cell r="Y1443" t="str">
            <v>Fitness, Wellness</v>
          </cell>
        </row>
        <row r="1444">
          <cell r="A1444" t="str">
            <v>Pula</v>
          </cell>
          <cell r="B1444" t="str">
            <v>At Pula, we are radically restructuring agricultural insurance, using technology to insure the previously unbanked, uninsured, untapped market of 1.5 billion smallholders worldwide.</v>
          </cell>
          <cell r="C1444" t="str">
            <v>Active</v>
          </cell>
          <cell r="D1444">
            <v>2014</v>
          </cell>
          <cell r="G1444" t="str">
            <v>Kenya</v>
          </cell>
          <cell r="X1444" t="str">
            <v>Agriculture</v>
          </cell>
          <cell r="Y1444" t="str">
            <v>Insurance, FinTech, Agriculture</v>
          </cell>
        </row>
        <row r="1445">
          <cell r="A1445" t="str">
            <v>Pura Soda</v>
          </cell>
          <cell r="B1445" t="str">
            <v>Pura Soda manufactures, distributes, markets and sells “better for you” beverages</v>
          </cell>
          <cell r="C1445" t="str">
            <v>Active</v>
          </cell>
          <cell r="D1445">
            <v>2017</v>
          </cell>
          <cell r="G1445" t="str">
            <v>South Africa</v>
          </cell>
          <cell r="X1445" t="str">
            <v>E-Commerce &amp; Retail</v>
          </cell>
          <cell r="Y1445" t="str">
            <v>Food &amp; Beverages</v>
          </cell>
        </row>
        <row r="1446">
          <cell r="A1446" t="str">
            <v>Quainted</v>
          </cell>
          <cell r="B1446" t="str">
            <v>We are a B2B Human Resources SAAS company. We improve employee engagement by solving employees’ problems. We do this by: 1. Identifying the problem, 2. Assigning the problem to the best possible person, 3. Solving the problem (either the “fixer” knows how to or a discussion be facilitated) and 4. Following up if the problem is solved.</v>
          </cell>
          <cell r="C1446" t="str">
            <v>Active</v>
          </cell>
          <cell r="D1446">
            <v>2013</v>
          </cell>
          <cell r="G1446" t="str">
            <v>South Africa</v>
          </cell>
          <cell r="X1446" t="str">
            <v>Information Technology</v>
          </cell>
          <cell r="Y1446" t="str">
            <v>Human Resources, SaaS, Software, Subscription Service</v>
          </cell>
        </row>
        <row r="1447">
          <cell r="A1447" t="str">
            <v>Quadron Studios</v>
          </cell>
        </row>
        <row r="1448">
          <cell r="A1448" t="str">
            <v>Quanode - Eg</v>
          </cell>
          <cell r="B1448" t="str">
            <v>QuaNode is a startup building an IoT platform starting from a BAAS product.</v>
          </cell>
          <cell r="C1448" t="str">
            <v>Active</v>
          </cell>
          <cell r="D1448">
            <v>2017</v>
          </cell>
          <cell r="G1448" t="str">
            <v>Egypt</v>
          </cell>
          <cell r="X1448" t="str">
            <v>Information Technology</v>
          </cell>
          <cell r="Y1448" t="str">
            <v>E-Commerce, Enterprise Software</v>
          </cell>
        </row>
        <row r="1449">
          <cell r="A1449" t="str">
            <v>Questworks</v>
          </cell>
          <cell r="B1449" t="str">
            <v>QuestWorks is a firm of consultants in the real estate industry. We are founded on principles that seek to change the way consulting is done in Kenya. We offer a range of services including project management, value engineering, international procurement and tax planning</v>
          </cell>
          <cell r="C1449" t="str">
            <v>Active</v>
          </cell>
          <cell r="D1449">
            <v>2011</v>
          </cell>
          <cell r="G1449" t="str">
            <v>Kenya</v>
          </cell>
          <cell r="X1449" t="str">
            <v>Real Estate</v>
          </cell>
          <cell r="Y1449" t="str">
            <v>Procurement, Value Engineering, Tax planning and Advisory</v>
          </cell>
        </row>
        <row r="1450">
          <cell r="A1450" t="str">
            <v>Quickcheck</v>
          </cell>
          <cell r="B1450" t="str">
            <v>QuickCheck is a Nigerian Fintech Startup of Seedstars portfolio with the mission of providing financial services to underserved consumers. Built by people who work towards solving real world problems, we realized that a large portion of the Nigerian population has no access to proper banking services... We want to fill this gap!</v>
          </cell>
          <cell r="C1450" t="str">
            <v>Active</v>
          </cell>
          <cell r="D1450">
            <v>2016</v>
          </cell>
          <cell r="G1450" t="str">
            <v>Nigeria</v>
          </cell>
          <cell r="X1450" t="str">
            <v>Financial Services</v>
          </cell>
          <cell r="Y1450" t="str">
            <v>Micro-loans, Lending, Credit Scoring, Mobile</v>
          </cell>
        </row>
        <row r="1451">
          <cell r="A1451" t="str">
            <v>Quicket</v>
          </cell>
          <cell r="B1451" t="str">
            <v>Quicket is a fast and effective online ticketing service for events of all sizes.</v>
          </cell>
          <cell r="C1451" t="str">
            <v>Active</v>
          </cell>
          <cell r="D1451">
            <v>2011</v>
          </cell>
          <cell r="G1451" t="str">
            <v>South Africa</v>
          </cell>
          <cell r="X1451" t="str">
            <v>E-Commerce &amp; Retail</v>
          </cell>
          <cell r="Y1451" t="str">
            <v>Event Management, Events, Ticketing</v>
          </cell>
        </row>
        <row r="1452">
          <cell r="A1452" t="str">
            <v>quip.link</v>
          </cell>
          <cell r="B1452" t="str">
            <v>quip.link is the online marketplace for heavy equipment in emerging markets</v>
          </cell>
          <cell r="C1452" t="str">
            <v>Active</v>
          </cell>
          <cell r="D1452">
            <v>2018</v>
          </cell>
          <cell r="G1452" t="str">
            <v>Rwanda</v>
          </cell>
          <cell r="X1452" t="str">
            <v>E-Commerce &amp; Retail</v>
          </cell>
          <cell r="Y1452" t="str">
            <v>Construction, E-Commerce, Logistics, Marketplace, Software, Machinery</v>
          </cell>
        </row>
        <row r="1453">
          <cell r="A1453" t="str">
            <v>Qualip Solutions</v>
          </cell>
          <cell r="B1453" t="str">
            <v>Qualip Solutions is a software and application development consulting company which builds applications and systems to help organisations automate their processes.</v>
          </cell>
          <cell r="G1453" t="str">
            <v>South Africa</v>
          </cell>
        </row>
        <row r="1454">
          <cell r="A1454" t="str">
            <v>Sagitarix</v>
          </cell>
          <cell r="B1454" t="str">
            <v>has developed a mobile health information exchange called iSikCure which enables users to enables access quality medicines at the most affordable rates by integrating with digital prescriptions from providers.</v>
          </cell>
          <cell r="C1454" t="str">
            <v>Active</v>
          </cell>
          <cell r="D1454">
            <v>2016</v>
          </cell>
          <cell r="G1454" t="str">
            <v>Kenya</v>
          </cell>
          <cell r="X1454" t="str">
            <v>Healthcare &amp; Pharma</v>
          </cell>
          <cell r="Y1454" t="str">
            <v>Health and Pharmaceuticals</v>
          </cell>
        </row>
        <row r="1455">
          <cell r="A1455" t="str">
            <v>Railistic</v>
          </cell>
        </row>
        <row r="1456">
          <cell r="A1456" t="str">
            <v>Saida</v>
          </cell>
          <cell r="B1456" t="str">
            <v>Saida is a lending platform for emerging markets starting in Africa, allowing borrowers to get approved for a loan instantly right from their mobile phone</v>
          </cell>
          <cell r="C1456" t="str">
            <v>Active</v>
          </cell>
          <cell r="G1456" t="str">
            <v>Kenya</v>
          </cell>
          <cell r="X1456" t="str">
            <v>Financial Services</v>
          </cell>
          <cell r="Y1456" t="str">
            <v>Apps, Mobile Apps, Mobile Payments</v>
          </cell>
        </row>
        <row r="1457">
          <cell r="A1457" t="str">
            <v>rainmaker</v>
          </cell>
          <cell r="B1457" t="str">
            <v>rainmaker helps in traditional destination management, hospitality and tourism businesses compete against the increasingly dominant online travel agents by getting them online and helping them thrive there.</v>
          </cell>
          <cell r="C1457" t="str">
            <v>Active</v>
          </cell>
          <cell r="D1457">
            <v>2016</v>
          </cell>
          <cell r="G1457" t="str">
            <v>Namibia</v>
          </cell>
          <cell r="X1457" t="str">
            <v>Travel &amp; Leisure</v>
          </cell>
          <cell r="Y1457" t="str">
            <v>Leisure, Travel &amp; Tourism</v>
          </cell>
        </row>
        <row r="1458">
          <cell r="A1458" t="str">
            <v>Raise</v>
          </cell>
          <cell r="B1458" t="str">
            <v>Raise is building the future of frictionless asset ownership management for investors, broker dealers, companies and law firms.</v>
          </cell>
          <cell r="C1458" t="str">
            <v>Active</v>
          </cell>
          <cell r="D1458">
            <v>2018</v>
          </cell>
          <cell r="G1458" t="str">
            <v>Bahamas</v>
          </cell>
          <cell r="X1458" t="str">
            <v>Financial Services</v>
          </cell>
          <cell r="Y1458" t="str">
            <v>Asset Management, Digital Securities</v>
          </cell>
        </row>
        <row r="1459">
          <cell r="A1459" t="str">
            <v>Rancard Solutions</v>
          </cell>
          <cell r="B1459" t="str">
            <v>Rancard is a leader in social recommendations technology for online retail, places, and services.</v>
          </cell>
          <cell r="C1459" t="str">
            <v>Active</v>
          </cell>
          <cell r="D1459">
            <v>2001</v>
          </cell>
          <cell r="G1459" t="str">
            <v>Ghana</v>
          </cell>
          <cell r="X1459" t="str">
            <v>Information Technology</v>
          </cell>
          <cell r="Y1459" t="str">
            <v>E-Commerce, Mobile, Social Shopping</v>
          </cell>
        </row>
        <row r="1460">
          <cell r="A1460" t="str">
            <v>Rasello</v>
          </cell>
          <cell r="B1460" t="str">
            <v>Rasello is an cloud enterprise software solutions company with Software as a Service (SaaS) and Platform as a Service (PaaS) product ranges across unified enterprise communication, big data analytics and business intelligence platforms. Through the Rascom product, Rasello addresses the problem of Enterprises having isolated channels for communication to keep their customers engaged and informed by providing businesses with one software solution with multiple channels of communication.</v>
          </cell>
          <cell r="C1460" t="str">
            <v>Active</v>
          </cell>
          <cell r="D1460">
            <v>2011</v>
          </cell>
          <cell r="G1460" t="str">
            <v>Tanzania</v>
          </cell>
          <cell r="X1460" t="str">
            <v>Information Technology</v>
          </cell>
          <cell r="Y1460" t="str">
            <v>Human Resource Systems, Software Development, Email Communication, Data Analytics, Digital Communications, Mobile Applications, Business Intelligence, and Communications</v>
          </cell>
        </row>
        <row r="1461">
          <cell r="A1461" t="str">
            <v>Recomed</v>
          </cell>
          <cell r="B1461" t="str">
            <v>RecoMed is South Africa’s largest and fastest growing online healthcare booking platform. Our mobile-friendly platform helps patients quickly find and make appointments with quality healthcare providers, 24/7, without any phone calls or paperwork.</v>
          </cell>
          <cell r="C1461" t="str">
            <v>Active</v>
          </cell>
          <cell r="D1461">
            <v>2013</v>
          </cell>
          <cell r="G1461" t="str">
            <v>South Africa</v>
          </cell>
          <cell r="X1461" t="str">
            <v>Healthcare &amp; Pharma</v>
          </cell>
          <cell r="Y1461" t="str">
            <v>Health Care, Medical, Software</v>
          </cell>
        </row>
        <row r="1462">
          <cell r="A1462" t="str">
            <v>RecyclePoints</v>
          </cell>
          <cell r="B1462" t="str">
            <v>RecyclePoints is a waste recycling and social benefit venture that operates an incentive-based scheme which collects recyclable materials from post consumers and in turn rewards them with “Points” which they can accumulate and use to redeem/shop for household items offered through our iRecycle store</v>
          </cell>
          <cell r="C1462" t="str">
            <v>Active</v>
          </cell>
          <cell r="D1462">
            <v>2015</v>
          </cell>
          <cell r="G1462" t="str">
            <v>Nigeria</v>
          </cell>
          <cell r="X1462" t="str">
            <v>Renewables &amp; Environment</v>
          </cell>
          <cell r="Y1462" t="str">
            <v>Renewable Energy, Waste Management</v>
          </cell>
        </row>
        <row r="1463">
          <cell r="A1463" t="str">
            <v>Raintree Farms</v>
          </cell>
          <cell r="B1463" t="str">
            <v>Raintree Farms is an agri-ceutical company based in Masindi, Uganda. It is Uganda's largestproducer of high quality, organically-certified moringa oliefera powder.</v>
          </cell>
          <cell r="C1463" t="str">
            <v>Active</v>
          </cell>
          <cell r="D1463">
            <v>2012</v>
          </cell>
          <cell r="G1463" t="str">
            <v>Uganda</v>
          </cell>
          <cell r="X1463" t="str">
            <v>Agriculture</v>
          </cell>
          <cell r="Y1463" t="str">
            <v>Agriculture</v>
          </cell>
        </row>
        <row r="1464">
          <cell r="A1464" t="str">
            <v>Reliance HMO</v>
          </cell>
          <cell r="B1464" t="str">
            <v>Reliance HMO is a technology driven health insurance company.</v>
          </cell>
          <cell r="C1464" t="str">
            <v>Active</v>
          </cell>
          <cell r="D1464">
            <v>2017</v>
          </cell>
          <cell r="X1464" t="str">
            <v>Financial Services</v>
          </cell>
          <cell r="Y1464" t="str">
            <v>Health Insurance</v>
          </cell>
        </row>
        <row r="1465">
          <cell r="A1465" t="str">
            <v>Red Flash Mobile</v>
          </cell>
          <cell r="B1465" t="str">
            <v>Flash Mobile gives you the opportunity to take full advantage of the growth in the use of mobile services.</v>
          </cell>
          <cell r="C1465" t="str">
            <v>Active</v>
          </cell>
          <cell r="D1465">
            <v>2014</v>
          </cell>
          <cell r="X1465" t="str">
            <v>Utilities and Telecommunication Services</v>
          </cell>
          <cell r="Y1465" t="str">
            <v>Telecommunications</v>
          </cell>
        </row>
        <row r="1466">
          <cell r="A1466" t="str">
            <v>RedViolet Company</v>
          </cell>
        </row>
        <row r="1467">
          <cell r="A1467" t="str">
            <v>Rema</v>
          </cell>
          <cell r="B1467" t="str">
            <v>REMA, is a remote medical collaboration service dedicated to African doctors. We connect african doctors for better medical decisions.</v>
          </cell>
          <cell r="C1467" t="str">
            <v>Active</v>
          </cell>
          <cell r="D1467">
            <v>2018</v>
          </cell>
          <cell r="X1467" t="str">
            <v>Medical Practice</v>
          </cell>
          <cell r="Y1467" t="str">
            <v>Collaboration, Health Diagnostics, Medical, Social Network</v>
          </cell>
        </row>
        <row r="1468">
          <cell r="A1468" t="str">
            <v>Remit</v>
          </cell>
          <cell r="C1468" t="str">
            <v>Active</v>
          </cell>
        </row>
        <row r="1469">
          <cell r="A1469" t="str">
            <v>RentHero</v>
          </cell>
          <cell r="B1469" t="str">
            <v>Rent Hero seeks to revolutionize the way property owners and managers collect, manage and store tenancy related transaction records.</v>
          </cell>
          <cell r="C1469" t="str">
            <v>Active</v>
          </cell>
          <cell r="G1469" t="str">
            <v>Kenya</v>
          </cell>
          <cell r="X1469" t="str">
            <v>Real Estate</v>
          </cell>
        </row>
        <row r="1470">
          <cell r="A1470" t="str">
            <v>Rentoza</v>
          </cell>
          <cell r="B1470" t="str">
            <v>Rentoza connects lenders &amp; renters in an online marketplace.</v>
          </cell>
          <cell r="G1470" t="str">
            <v>South Africa</v>
          </cell>
        </row>
        <row r="1471">
          <cell r="A1471" t="str">
            <v>Retail Capital</v>
          </cell>
          <cell r="B1471" t="str">
            <v>Retail Capital was established to provide businesses with an accessible, flexible and convenient alternative to traditional business loans. In a survey sent to over 20,000 businesses, access to working capital and cash flow was identified as the single biggest challenge that they faced</v>
          </cell>
          <cell r="C1471" t="str">
            <v>Active</v>
          </cell>
          <cell r="D1471">
            <v>2011</v>
          </cell>
          <cell r="G1471" t="str">
            <v>South Africa</v>
          </cell>
          <cell r="X1471" t="str">
            <v>Financial Services</v>
          </cell>
          <cell r="Y1471" t="str">
            <v>Financial Services, Lending, Retail</v>
          </cell>
        </row>
        <row r="1472">
          <cell r="A1472" t="str">
            <v>Rera</v>
          </cell>
          <cell r="B1472" t="str">
            <v>An online chicken farming platform for retail consumers</v>
          </cell>
          <cell r="C1472" t="str">
            <v>Active</v>
          </cell>
          <cell r="D1472">
            <v>2016</v>
          </cell>
          <cell r="X1472" t="str">
            <v>Agriculture</v>
          </cell>
          <cell r="Y1472" t="str">
            <v>Agriculture, Food and Beverage, Internet</v>
          </cell>
        </row>
        <row r="1473">
          <cell r="A1473" t="str">
            <v>Respo</v>
          </cell>
          <cell r="C1473" t="str">
            <v>Active</v>
          </cell>
        </row>
        <row r="1474">
          <cell r="A1474" t="str">
            <v>Simfy Africa</v>
          </cell>
          <cell r="B1474" t="str">
            <v>Simfy Africa is provides the best music service to our users that brings together superb backend technology, general streaming know how and in-depth experience in dealing with digital content, local infrastructure and customer support.</v>
          </cell>
          <cell r="C1474" t="str">
            <v>Active</v>
          </cell>
          <cell r="D1474">
            <v>2012</v>
          </cell>
          <cell r="G1474" t="str">
            <v>South Africa</v>
          </cell>
          <cell r="X1474" t="str">
            <v>Media &amp; Entertainment</v>
          </cell>
          <cell r="Y1474" t="str">
            <v>Music, Streaming, Audio</v>
          </cell>
        </row>
        <row r="1475">
          <cell r="A1475" t="str">
            <v>RideLink</v>
          </cell>
          <cell r="B1475" t="str">
            <v>Ridelink is a transport network company filling mobility gaps in African cities for both SMEs and large corporations.</v>
          </cell>
          <cell r="C1475" t="str">
            <v>Active</v>
          </cell>
          <cell r="D1475">
            <v>2017</v>
          </cell>
          <cell r="G1475" t="str">
            <v>Uganda</v>
          </cell>
          <cell r="X1475" t="str">
            <v>Transport &amp; Logistics</v>
          </cell>
          <cell r="Y1475" t="str">
            <v>Corporate Travel, Cars for Hire</v>
          </cell>
        </row>
        <row r="1476">
          <cell r="A1476" t="str">
            <v>Ridver</v>
          </cell>
          <cell r="B1476" t="str">
            <v>Ridver is a ride-hailing service Made In Africa for All.</v>
          </cell>
          <cell r="C1476" t="str">
            <v>Active</v>
          </cell>
          <cell r="D1476">
            <v>2019</v>
          </cell>
          <cell r="G1476" t="str">
            <v>South Africa</v>
          </cell>
          <cell r="X1476" t="str">
            <v>Transport &amp; Logistics</v>
          </cell>
          <cell r="Y1476" t="str">
            <v>Ride-Hailing, Taxi</v>
          </cell>
        </row>
        <row r="1477">
          <cell r="A1477" t="str">
            <v>Simulation Engineering Technologies</v>
          </cell>
          <cell r="B1477" t="str">
            <v>SET is an independent consulting company that specializes in creating accurate discrete-event computer simulation models.</v>
          </cell>
          <cell r="D1477">
            <v>2004</v>
          </cell>
          <cell r="G1477" t="str">
            <v>South Africa</v>
          </cell>
          <cell r="X1477" t="str">
            <v>Mining &amp; Metals</v>
          </cell>
          <cell r="Y1477" t="str">
            <v>Consulting, Logistics, Mining Technology, Precious Metals, Railroad</v>
          </cell>
        </row>
        <row r="1478">
          <cell r="A1478" t="str">
            <v>RiseUp</v>
          </cell>
          <cell r="B1478" t="str">
            <v>Rise Up is a platform that connects startups to the most relevant resources, worldwide.RiseUp has grown over the years from a grass-root movement to a global momentum. The purpose behind RiseUp has remained the same: to connect startups to the most relevant resources worldwide.They act as the glue that fuses ecosystems together to help them realize their ultimate potential. By connecting stakeholders to local &amp; global networks, and fusing diverse talents &amp; resources, ecosystems are enabled to accelerate, innovate, and grow.Their mission is accomplished through their four products: Summit, Connect, Explore, and Meetup.</v>
          </cell>
          <cell r="C1478" t="str">
            <v>Active</v>
          </cell>
          <cell r="D1478">
            <v>2014</v>
          </cell>
          <cell r="G1478" t="str">
            <v>Egypt</v>
          </cell>
          <cell r="X1478" t="str">
            <v>Nonprofit Organization Management</v>
          </cell>
          <cell r="Y1478" t="str">
            <v>Career Planning, Education, Recruiting, Social Media, Sports</v>
          </cell>
        </row>
        <row r="1479">
          <cell r="A1479" t="str">
            <v>Revision Online</v>
          </cell>
          <cell r="B1479" t="str">
            <v>Specifically designed to assist Year 11 and 12 ATAR students in their preparation for end of year exams, ReviseOnline began their journey in the West Australian market, and have now grown to also specialise in assisting VCE students with targeted and specific exam preparation.</v>
          </cell>
          <cell r="C1479" t="str">
            <v>Active</v>
          </cell>
          <cell r="D1479">
            <v>2015</v>
          </cell>
          <cell r="X1479" t="str">
            <v>Education</v>
          </cell>
          <cell r="Y1479" t="str">
            <v>Innovative Study Solutions, Efficient and Effective Revision Tools, and Specialist Product Developers</v>
          </cell>
        </row>
        <row r="1480">
          <cell r="A1480" t="str">
            <v>Riovic</v>
          </cell>
          <cell r="B1480" t="str">
            <v>On Demand Insurance Platform</v>
          </cell>
          <cell r="C1480" t="str">
            <v>Active</v>
          </cell>
          <cell r="D1480">
            <v>2015</v>
          </cell>
          <cell r="G1480" t="str">
            <v>South Africa</v>
          </cell>
          <cell r="X1480" t="str">
            <v>Financial Services</v>
          </cell>
          <cell r="Y1480" t="str">
            <v>FinTech, Insurance, InsurTech, Life Insurance</v>
          </cell>
        </row>
        <row r="1481">
          <cell r="A1481" t="str">
            <v>Roamsmart</v>
          </cell>
          <cell r="B1481" t="str">
            <v>RoamSmart is one of the world pioneers in providing innovative Roaming and Big Data Solutions to Mobile Operators.</v>
          </cell>
          <cell r="C1481" t="str">
            <v>Active</v>
          </cell>
          <cell r="D1481">
            <v>2012</v>
          </cell>
          <cell r="X1481" t="str">
            <v>Telecommunications</v>
          </cell>
          <cell r="Y1481" t="str">
            <v>Big Data, Information Technology, Mobile, Telecommunications</v>
          </cell>
        </row>
        <row r="1482">
          <cell r="A1482" t="str">
            <v>RoamStart</v>
          </cell>
          <cell r="C1482" t="str">
            <v>Active</v>
          </cell>
        </row>
        <row r="1483">
          <cell r="A1483" t="str">
            <v>Robaux Machine</v>
          </cell>
          <cell r="B1483" t="str">
            <v>Machine is simplistic, streamlined bookkeeping, delivered every day with consistent quality at a fixed monthly price.</v>
          </cell>
          <cell r="C1483" t="str">
            <v>Active</v>
          </cell>
          <cell r="D1483">
            <v>2016</v>
          </cell>
          <cell r="X1483" t="str">
            <v>Media &amp; Entertainment</v>
          </cell>
          <cell r="Y1483" t="str">
            <v>Content, Delivery Service, EBooks</v>
          </cell>
        </row>
        <row r="1484">
          <cell r="A1484" t="str">
            <v>Rocketmine</v>
          </cell>
          <cell r="B1484" t="str">
            <v>South Africa's Premier Drone/ UAV Aerial Data Solution Provider</v>
          </cell>
          <cell r="C1484" t="str">
            <v>Active</v>
          </cell>
          <cell r="D1484">
            <v>2013</v>
          </cell>
          <cell r="X1484" t="str">
            <v>Emerging Technologies</v>
          </cell>
          <cell r="Y1484" t="str">
            <v>Drones</v>
          </cell>
        </row>
        <row r="1485">
          <cell r="A1485" t="str">
            <v>Smart Medical Services</v>
          </cell>
          <cell r="B1485" t="str">
            <v>Established in 2009, Smart Medical Services is an Egyptian based Tech-enabled healthcare management company providing business process outsourcing services, and accessible healthcare managed plans with efficiency, flexibility and innovation.</v>
          </cell>
          <cell r="C1485" t="str">
            <v>Active</v>
          </cell>
          <cell r="D1485">
            <v>2009</v>
          </cell>
          <cell r="G1485" t="str">
            <v>Egypt</v>
          </cell>
          <cell r="X1485" t="str">
            <v>Healthcare &amp; Pharma</v>
          </cell>
          <cell r="Y1485" t="str">
            <v>Health Care, Medical Care, Medical Insurance, Insurance, and Technology</v>
          </cell>
        </row>
        <row r="1486">
          <cell r="A1486" t="str">
            <v>Roque Online</v>
          </cell>
          <cell r="B1486" t="str">
            <v>We are a team of individuals dedicated to connecting the informal markets of the world with empowering technologies. Our inspiration is the famous Roque Santeiro open-air market in the Republic of Angola that operated from 1991 to 2011. This market was the largest of its kind in Africa and provided a valuable service during a period of significant strife in the country's history.</v>
          </cell>
          <cell r="C1486" t="str">
            <v>Active</v>
          </cell>
          <cell r="D1486">
            <v>2018</v>
          </cell>
          <cell r="X1486" t="str">
            <v>E-Commerce &amp; Retail</v>
          </cell>
          <cell r="Y1486" t="str">
            <v>Logistics and Supply Chain</v>
          </cell>
        </row>
        <row r="1487">
          <cell r="A1487" t="str">
            <v>Roundr</v>
          </cell>
          <cell r="B1487" t="str">
            <v>Round is the first fintech firm in the world that provides active investment management services of the ultra-wealthy to everyon</v>
          </cell>
          <cell r="C1487" t="str">
            <v>Active</v>
          </cell>
          <cell r="D1487">
            <v>2016</v>
          </cell>
          <cell r="X1487" t="str">
            <v>Financial Services</v>
          </cell>
          <cell r="Y1487" t="str">
            <v>Financial Services, Internet</v>
          </cell>
        </row>
        <row r="1488">
          <cell r="A1488" t="str">
            <v>Rugsal Trading</v>
          </cell>
          <cell r="B1488" t="str">
            <v>Rugsal Trading makes custom made paperbags and briquettes.</v>
          </cell>
          <cell r="C1488" t="str">
            <v>Active</v>
          </cell>
          <cell r="D1488">
            <v>2017</v>
          </cell>
          <cell r="G1488" t="str">
            <v>Sierra Leone</v>
          </cell>
          <cell r="X1488" t="str">
            <v>Energy &amp; Environment Resources</v>
          </cell>
        </row>
        <row r="1489">
          <cell r="A1489" t="str">
            <v>Ruzivo</v>
          </cell>
          <cell r="B1489" t="str">
            <v>Ruzivo is an online interactive digital learning platform targeted at primary and secondary students. All our content is aligned to the Zimbabwean curricula.</v>
          </cell>
          <cell r="C1489" t="str">
            <v>Active</v>
          </cell>
          <cell r="D1489">
            <v>2018</v>
          </cell>
        </row>
        <row r="1490">
          <cell r="A1490" t="str">
            <v>SA Components</v>
          </cell>
        </row>
        <row r="1491">
          <cell r="A1491" t="str">
            <v>Safari Meals</v>
          </cell>
          <cell r="B1491" t="str">
            <v>Safari Meals is restaurant aggregator and acts as a medium to increase the reach of restaurants to customers and at the same time help customers save their time, money and provide them a choice to order from nearby restaurants</v>
          </cell>
          <cell r="C1491" t="str">
            <v>Active</v>
          </cell>
          <cell r="D1491">
            <v>2017</v>
          </cell>
          <cell r="X1491" t="str">
            <v>E-Commerce &amp; Retail</v>
          </cell>
          <cell r="Y1491" t="str">
            <v>Food &amp; Beverages</v>
          </cell>
        </row>
        <row r="1492">
          <cell r="A1492" t="str">
            <v>Safe Pay</v>
          </cell>
          <cell r="B1492" t="str">
            <v>Safepay solutions is a payments company offering cash and card receipting services.</v>
          </cell>
          <cell r="C1492" t="str">
            <v>Active</v>
          </cell>
          <cell r="D1492">
            <v>2017</v>
          </cell>
          <cell r="X1492" t="str">
            <v>Information Technology</v>
          </cell>
          <cell r="Y1492" t="str">
            <v>Electronics, Mobile, Payments</v>
          </cell>
        </row>
        <row r="1493">
          <cell r="A1493" t="str">
            <v>Safi Organics</v>
          </cell>
          <cell r="B1493" t="str">
            <v>Safi Organics develops cheaper locally produced higher-quality fertilisers which are custom-tailored to local soil and crop requirements.</v>
          </cell>
        </row>
        <row r="1494">
          <cell r="A1494" t="str">
            <v>Softeller</v>
          </cell>
          <cell r="B1494" t="str">
            <v>Welcome to Softeller, the best Money Transfer and Online Airtime Top up platform of Cameroon</v>
          </cell>
          <cell r="C1494" t="str">
            <v>Active</v>
          </cell>
          <cell r="X1494" t="str">
            <v>Financial Services</v>
          </cell>
          <cell r="Y1494" t="str">
            <v>Internet</v>
          </cell>
        </row>
        <row r="1495">
          <cell r="A1495" t="str">
            <v>Samawat Energy</v>
          </cell>
          <cell r="B1495" t="str">
            <v>Samawat Energy is leapfrogging Africa's energy grid by providing affordable solar systems for off-grid residences, small businesses, and communities.</v>
          </cell>
          <cell r="C1495" t="str">
            <v>Active</v>
          </cell>
          <cell r="D1495">
            <v>2016</v>
          </cell>
          <cell r="G1495" t="str">
            <v>Somalia</v>
          </cell>
          <cell r="X1495" t="str">
            <v>Energy &amp; Environment Resources</v>
          </cell>
          <cell r="Y1495" t="str">
            <v>Solar, Renewable Energy</v>
          </cell>
        </row>
        <row r="1496">
          <cell r="A1496" t="str">
            <v>Sahitna</v>
          </cell>
          <cell r="C1496" t="str">
            <v>Active</v>
          </cell>
        </row>
        <row r="1497">
          <cell r="A1497" t="str">
            <v>Smart Integration</v>
          </cell>
          <cell r="B1497" t="str">
            <v>Smart Integration, an integrated automation company. Smart Integration is an accredited system integrator that focuses on the installation of IP-based technology, including lighting, security, audio, energy efficiency, access control, structured cabling and UPS installation</v>
          </cell>
          <cell r="C1497" t="str">
            <v>Acquired</v>
          </cell>
          <cell r="G1497" t="str">
            <v>South Africa</v>
          </cell>
          <cell r="X1497" t="str">
            <v>Information Technology</v>
          </cell>
          <cell r="Y1497" t="str">
            <v>Information Services, Information Technology</v>
          </cell>
        </row>
        <row r="1498">
          <cell r="A1498" t="str">
            <v>Sami Online</v>
          </cell>
          <cell r="B1498" t="str">
            <v>Sami Online is a first Somali e-commerce company established on august 2014 in Hargeisa.Saamionline is one-stop shop that provides customer-to-customer,business-to-customer and business-to-business sales services via online porta</v>
          </cell>
          <cell r="C1498" t="str">
            <v>Active</v>
          </cell>
          <cell r="D1498">
            <v>2014</v>
          </cell>
          <cell r="X1498" t="str">
            <v>E-Commerce &amp; Retail</v>
          </cell>
        </row>
        <row r="1499">
          <cell r="A1499" t="str">
            <v>Sarwa Capital</v>
          </cell>
        </row>
        <row r="1500">
          <cell r="A1500" t="str">
            <v>Savanna Circuit Technologies Ltd</v>
          </cell>
          <cell r="B1500" t="str">
            <v>SCT product, MaziwaPlus Pre-Chiller, pioneering portable Solar powered chilling on transit systems that can be mounted on motorbikes, trucks etc with a Milk collection app for efficiency, accountability and maximize profits to dairy producers and cooperatives by cutting Milk post harvest losses at the farm gate, enhancing product traceability and quality control.</v>
          </cell>
          <cell r="C1500" t="str">
            <v>Active</v>
          </cell>
          <cell r="D1500">
            <v>2017</v>
          </cell>
          <cell r="G1500" t="str">
            <v>Kenya</v>
          </cell>
          <cell r="X1500" t="str">
            <v>Energy &amp; Environment Resources</v>
          </cell>
          <cell r="Y1500" t="str">
            <v>Solar Energy</v>
          </cell>
        </row>
        <row r="1501">
          <cell r="A1501" t="str">
            <v>Savekubwa</v>
          </cell>
          <cell r="B1501" t="str">
            <v>We believe in efficiency. We believe in Transparency. We believe in Savings. We have now brought our beliefs to the Insurance Industry.</v>
          </cell>
          <cell r="C1501" t="str">
            <v>Active</v>
          </cell>
          <cell r="D1501">
            <v>2016</v>
          </cell>
          <cell r="G1501" t="str">
            <v>Kenya</v>
          </cell>
          <cell r="X1501" t="str">
            <v>Financial Services</v>
          </cell>
          <cell r="Y1501" t="str">
            <v>Motor Insurance Online . Insurtech . Innovating for the Consumer . Transparent Insurance</v>
          </cell>
        </row>
        <row r="1502">
          <cell r="A1502" t="str">
            <v>Satoshi Centre</v>
          </cell>
          <cell r="B1502" t="str">
            <v>Botswana's first blockchain technology hub.Providing blockchain solutions,partnering with the world to bring blockchain solutions to Botswana</v>
          </cell>
          <cell r="C1502" t="str">
            <v>Active</v>
          </cell>
          <cell r="X1502" t="str">
            <v>Information Technology</v>
          </cell>
        </row>
        <row r="1503">
          <cell r="A1503" t="str">
            <v>Satoshicentre Blockchain Hub</v>
          </cell>
          <cell r="B1503" t="str">
            <v>The SatoshiCentre was founded in 2014 as a platform that would create awareness in blockchain technology in Botswana and around Africa. The centre mainly concentrated on encouraging entrepreneurs to use blockchain technology to solve some of the main African problems. Since it was founded,</v>
          </cell>
          <cell r="C1503" t="str">
            <v>Active</v>
          </cell>
          <cell r="D1503">
            <v>2014</v>
          </cell>
          <cell r="G1503" t="str">
            <v>Botsawana</v>
          </cell>
          <cell r="X1503" t="str">
            <v>Emerging Technologies</v>
          </cell>
          <cell r="Y1503" t="str">
            <v>Information Technology and Services</v>
          </cell>
        </row>
        <row r="1504">
          <cell r="A1504" t="str">
            <v>Sauti East Africa</v>
          </cell>
          <cell r="B1504" t="str">
            <v>Sauti meaning voice in Swahili, is a women-led social enterprise based in Kenya that deploys market and trade information to women cross border traders in “low-technology” environments across East Africa. Sauti leverages on the competitive advantage of mobile technology, specifically USSD and SMS, to deliver tailored trade and market information to traders. Our mission is to empower women cross-border traders to trade legally, safely, and profitably.</v>
          </cell>
          <cell r="C1504" t="str">
            <v>Active</v>
          </cell>
          <cell r="D1504">
            <v>2016</v>
          </cell>
          <cell r="G1504" t="str">
            <v>Kenya</v>
          </cell>
          <cell r="X1504" t="str">
            <v>Agriculture</v>
          </cell>
          <cell r="Y1504" t="str">
            <v>AgTech</v>
          </cell>
        </row>
        <row r="1505">
          <cell r="A1505" t="str">
            <v>Savemychild</v>
          </cell>
          <cell r="C1505" t="str">
            <v>Active</v>
          </cell>
        </row>
        <row r="1506">
          <cell r="A1506" t="str">
            <v>Sawa Minerals</v>
          </cell>
          <cell r="C1506" t="str">
            <v>Active</v>
          </cell>
          <cell r="G1506" t="str">
            <v>Kenya</v>
          </cell>
        </row>
        <row r="1507">
          <cell r="A1507" t="str">
            <v>Say Peace</v>
          </cell>
          <cell r="G1507" t="str">
            <v>Nigeria</v>
          </cell>
        </row>
        <row r="1508">
          <cell r="A1508" t="str">
            <v>Spoon Money</v>
          </cell>
          <cell r="B1508" t="str">
            <v>Spoon Money is a online stokvel management system which improves transparency.</v>
          </cell>
          <cell r="C1508" t="str">
            <v>Active</v>
          </cell>
          <cell r="G1508" t="str">
            <v>South Africa</v>
          </cell>
          <cell r="X1508" t="str">
            <v>Financial Services</v>
          </cell>
          <cell r="Y1508" t="str">
            <v>Financial Services</v>
          </cell>
        </row>
        <row r="1509">
          <cell r="A1509" t="str">
            <v>SayeTech</v>
          </cell>
          <cell r="B1509" t="str">
            <v>SayeTech Multi-crop Thresher (Kumasi, Ghana) produces multi-crop threshers that help reduce grain waste.</v>
          </cell>
        </row>
        <row r="1510">
          <cell r="A1510" t="str">
            <v>Schoolap</v>
          </cell>
          <cell r="G1510" t="str">
            <v>Democratic Republic of Congo</v>
          </cell>
          <cell r="X1510" t="str">
            <v>Education</v>
          </cell>
        </row>
        <row r="1511">
          <cell r="A1511" t="str">
            <v>SchoolPlus</v>
          </cell>
          <cell r="B1511" t="str">
            <v>SchoolPlus is SaaS that brings electronic data storage and processing to East African schools.</v>
          </cell>
          <cell r="C1511" t="str">
            <v>Active</v>
          </cell>
          <cell r="D1511">
            <v>2015</v>
          </cell>
          <cell r="G1511" t="str">
            <v>Uganda</v>
          </cell>
          <cell r="X1511" t="str">
            <v>Information Technology</v>
          </cell>
          <cell r="Y1511" t="str">
            <v>Data Storage, Software</v>
          </cell>
        </row>
        <row r="1512">
          <cell r="A1512" t="str">
            <v>Selina Wamucii</v>
          </cell>
          <cell r="B1512" t="str">
            <v>Selina Wamucii is a pan African social enterprise that integrates smallholder farmers, pastoralists and fishing communities into local and global supply chains</v>
          </cell>
          <cell r="C1512" t="str">
            <v>Active</v>
          </cell>
          <cell r="D1512">
            <v>2015</v>
          </cell>
          <cell r="G1512" t="str">
            <v>Kenya</v>
          </cell>
          <cell r="X1512" t="str">
            <v>Agriculture</v>
          </cell>
          <cell r="Y1512" t="str">
            <v>Agriculture</v>
          </cell>
        </row>
        <row r="1513">
          <cell r="A1513" t="str">
            <v>Sendbox</v>
          </cell>
          <cell r="B1513" t="str">
            <v>Sendbox is a platform that provides infrastructure for shipping, escrow payments and discovery services to merchants and customers in North America, Europe and Africa, who participate in e-commerce on social platforms like Instagram, Facebook &amp; WhatsApp</v>
          </cell>
          <cell r="C1513" t="str">
            <v>Active</v>
          </cell>
          <cell r="D1513">
            <v>2016</v>
          </cell>
          <cell r="G1513" t="str">
            <v>Nigeria</v>
          </cell>
          <cell r="X1513" t="str">
            <v>E-Commerce &amp; Retail</v>
          </cell>
          <cell r="Y1513" t="str">
            <v>E-Commerce Platforms, Shipping, Software</v>
          </cell>
        </row>
        <row r="1514">
          <cell r="A1514" t="str">
            <v>Sea Monster</v>
          </cell>
        </row>
        <row r="1515">
          <cell r="A1515" t="str">
            <v>Securesys Limited</v>
          </cell>
          <cell r="B1515" t="str">
            <v>SecureSys is the leader in affordable risk mitigation and information security services. We are the only company to provide a free enterprise-grade security assessment to small and medium-cap companies.SecureSys is dedicated to helping businesses identify and eliminate technology risks. Securesys works with business owners and their assignees to guard critical assets and protect against undue liability. Our offerings are designed with your business in mind presenting vertically diverse solutions applicable to your enterprise.To find out more about SecureSys and how we can help protect your business call (888) 302-4856</v>
          </cell>
          <cell r="X1515" t="str">
            <v>Information Technology</v>
          </cell>
          <cell r="Y1515" t="str">
            <v>Computer &amp; Network Security</v>
          </cell>
        </row>
        <row r="1516">
          <cell r="A1516" t="str">
            <v>Sentian</v>
          </cell>
          <cell r="B1516" t="str">
            <v>Sentian provides you with the information you need to respond appropriately to events at your property, as well as providing you with an instrument through which to respond</v>
          </cell>
          <cell r="C1516" t="str">
            <v>Active</v>
          </cell>
          <cell r="D1516">
            <v>2013</v>
          </cell>
          <cell r="G1516" t="str">
            <v>South Africa</v>
          </cell>
          <cell r="X1516" t="str">
            <v>Security &amp; Investigations</v>
          </cell>
          <cell r="Y1516" t="str">
            <v>Home Security, Home automation, CCTV, Paradox, DSC, Hikvision, and IoT</v>
          </cell>
        </row>
        <row r="1517">
          <cell r="A1517" t="str">
            <v>Sekargo.com</v>
          </cell>
          <cell r="C1517" t="str">
            <v>Active</v>
          </cell>
          <cell r="X1517" t="str">
            <v>E-Commerce &amp; Retail</v>
          </cell>
        </row>
        <row r="1518">
          <cell r="A1518" t="str">
            <v>Sela Labs</v>
          </cell>
          <cell r="B1518" t="str">
            <v>The Sela platform fosters transparency, measurement, and community for development projects</v>
          </cell>
          <cell r="D1518">
            <v>2017</v>
          </cell>
          <cell r="X1518" t="str">
            <v>Emerging Technologies</v>
          </cell>
          <cell r="Y1518" t="str">
            <v>Artificial Intelligence, Blockchain, Computer Vision, Impact Investing, Social Impact, Software</v>
          </cell>
        </row>
        <row r="1519">
          <cell r="A1519" t="str">
            <v>Senditoo</v>
          </cell>
          <cell r="B1519" t="str">
            <v>Send airtime to any phone in the world</v>
          </cell>
          <cell r="C1519" t="str">
            <v>Active</v>
          </cell>
          <cell r="D1519">
            <v>2016</v>
          </cell>
          <cell r="G1519" t="str">
            <v>United Kingdom</v>
          </cell>
          <cell r="X1519" t="str">
            <v>Financial Services</v>
          </cell>
          <cell r="Y1519" t="str">
            <v>Remittances</v>
          </cell>
        </row>
        <row r="1520">
          <cell r="A1520" t="str">
            <v>Sensur</v>
          </cell>
          <cell r="B1520" t="str">
            <v>Sensur is an intelligent automotive systems and behaviour analytics provider.</v>
          </cell>
        </row>
        <row r="1521">
          <cell r="A1521" t="str">
            <v>Sesaco Limited</v>
          </cell>
          <cell r="G1521" t="str">
            <v>Uganda</v>
          </cell>
          <cell r="X1521" t="str">
            <v>Agriculture</v>
          </cell>
        </row>
        <row r="1522">
          <cell r="A1522" t="str">
            <v>Sesi Technologies</v>
          </cell>
          <cell r="B1522" t="str">
            <v>Sesi Technologies GrainMate Grain Moisture Meter (Kumasi, Ghana) is a low-cost grain moisture tester that helps grain farmers reduce post-harvest losses by making it easier to accurately measure grain moisture content before storage</v>
          </cell>
          <cell r="C1522" t="str">
            <v>Active</v>
          </cell>
          <cell r="D1522">
            <v>2018</v>
          </cell>
          <cell r="G1522" t="str">
            <v>Ghana</v>
          </cell>
          <cell r="X1522" t="str">
            <v>Agriculture</v>
          </cell>
          <cell r="Y1522" t="str">
            <v>AgriTech, IoT, Connected devices</v>
          </cell>
        </row>
        <row r="1523">
          <cell r="A1523" t="str">
            <v>Shelter Afrique</v>
          </cell>
          <cell r="B1523" t="str">
            <v>Shelter Afrique is the only pan-African finance institution that exclusively supports the development of the housing and real estate sector in Africa.By meeting the needs of the continent’s rapidly growing urban population, our work has a direct and positive impact on the lives of many</v>
          </cell>
          <cell r="C1523" t="str">
            <v>Active</v>
          </cell>
          <cell r="D1523">
            <v>1982</v>
          </cell>
          <cell r="G1523" t="str">
            <v>Kenya</v>
          </cell>
          <cell r="X1523" t="str">
            <v>Financial Services</v>
          </cell>
          <cell r="Y1523" t="str">
            <v>Banking, Financial Services, Real Estate</v>
          </cell>
        </row>
        <row r="1524">
          <cell r="A1524" t="str">
            <v>Sheria Kiganjani</v>
          </cell>
          <cell r="B1524" t="str">
            <v>Sheria Kiganjani is the first online legal digital platform in Tanzania which enable users to access various legal services remotely from their devices.</v>
          </cell>
          <cell r="C1524" t="str">
            <v>Active</v>
          </cell>
          <cell r="G1524" t="str">
            <v>Tanzania</v>
          </cell>
          <cell r="X1524" t="str">
            <v>Education</v>
          </cell>
          <cell r="Y1524" t="str">
            <v>Legal services</v>
          </cell>
        </row>
        <row r="1525">
          <cell r="A1525" t="str">
            <v>Shield</v>
          </cell>
          <cell r="B1525" t="str">
            <v>Shield Finance is a FinTech company using proprietary technology and leveraging on mobile money to offer employees affordable salary advances. Its product offering is a micro lending platform based on a mobile app for the employed and a turnkey mobile based lending platform for tel-cos across Africa</v>
          </cell>
          <cell r="C1525" t="str">
            <v>Active</v>
          </cell>
          <cell r="D1525">
            <v>2015</v>
          </cell>
          <cell r="G1525" t="str">
            <v>Kenya</v>
          </cell>
          <cell r="X1525" t="str">
            <v>Financial Services</v>
          </cell>
          <cell r="Y1525" t="str">
            <v>Finance, FinTech</v>
          </cell>
        </row>
        <row r="1526">
          <cell r="A1526" t="str">
            <v>Shieldfy</v>
          </cell>
          <cell r="B1526" t="str">
            <v>Shieldfy is web applicaiton security platform for web developers</v>
          </cell>
          <cell r="C1526" t="str">
            <v>Active</v>
          </cell>
          <cell r="D1526">
            <v>2016</v>
          </cell>
          <cell r="G1526" t="str">
            <v>Egypt</v>
          </cell>
          <cell r="X1526" t="str">
            <v>Information Technology</v>
          </cell>
          <cell r="Y1526" t="str">
            <v>Cyber Security, Developer Tools, Information Technology, Internet, SaaS</v>
          </cell>
        </row>
        <row r="1527">
          <cell r="A1527" t="str">
            <v>Seso Global</v>
          </cell>
          <cell r="B1527" t="str">
            <v>Seso utilizes Blockchain technology to solve the inability of secured lending in emerging economies.</v>
          </cell>
          <cell r="C1527" t="str">
            <v>Active</v>
          </cell>
          <cell r="D1527">
            <v>2017</v>
          </cell>
          <cell r="X1527" t="str">
            <v>Financial Services</v>
          </cell>
        </row>
        <row r="1528">
          <cell r="A1528" t="str">
            <v>Silulo Ulutho Technologies</v>
          </cell>
          <cell r="B1528" t="str">
            <v>Silulo Ulutho Technologies is pioneering information communication technology in emerging and rural communities in South Africa.</v>
          </cell>
          <cell r="C1528" t="str">
            <v>Active</v>
          </cell>
          <cell r="D1528">
            <v>2004</v>
          </cell>
          <cell r="G1528" t="str">
            <v>South Africa</v>
          </cell>
          <cell r="X1528" t="str">
            <v>Information Technology</v>
          </cell>
          <cell r="Y1528" t="str">
            <v xml:space="preserve">Information Technology, Training, </v>
          </cell>
        </row>
        <row r="1529">
          <cell r="A1529" t="str">
            <v>Sgc</v>
          </cell>
          <cell r="B1529" t="str">
            <v>SGC Group is a developer and manufacturing company of excavator mulchers.</v>
          </cell>
          <cell r="X1529" t="str">
            <v>Agriculture</v>
          </cell>
          <cell r="Y1529" t="str">
            <v>Manufacturing</v>
          </cell>
        </row>
        <row r="1530">
          <cell r="A1530" t="str">
            <v>Steeple</v>
          </cell>
          <cell r="B1530" t="str">
            <v>Steeple's mission is to offer a professional, value-for-money, trustworthy estate agency service.</v>
          </cell>
          <cell r="C1530" t="str">
            <v>Acquired</v>
          </cell>
          <cell r="D1530">
            <v>2001</v>
          </cell>
          <cell r="X1530" t="str">
            <v>Information Technology</v>
          </cell>
          <cell r="Y1530" t="str">
            <v>Consulting, Information Services, Information Technology, Telecommunications</v>
          </cell>
        </row>
        <row r="1531">
          <cell r="A1531" t="str">
            <v>Simply</v>
          </cell>
          <cell r="B1531" t="str">
            <v>Simply was founded in 2015 by three partners: Anthony Miller, an engineer with an MBA and a successful track record as an entrepreneur; Simon Nicholson, an actuary with extensive life insurance experience in South Africa, Asia and Europe; and Shaun Dippnall, an actuary who had left the world of life insurance to start up an education technology business. They had all reached crossroads in their careers and wanted to use what they had learned to do something positive and meaningful.</v>
          </cell>
          <cell r="C1531" t="str">
            <v>Active</v>
          </cell>
          <cell r="D1531">
            <v>2015</v>
          </cell>
          <cell r="G1531" t="str">
            <v>South Africa</v>
          </cell>
          <cell r="X1531" t="str">
            <v>Financial Services</v>
          </cell>
          <cell r="Y1531" t="str">
            <v>Life Insurance, long term insurance, Disability Insurance, Funeral Insurance, and Group insurance</v>
          </cell>
        </row>
        <row r="1532">
          <cell r="A1532" t="str">
            <v>Shekra</v>
          </cell>
          <cell r="B1532" t="str">
            <v>Shaker brings social networks to life by allowing people to interact in real time in a shared environment.</v>
          </cell>
          <cell r="D1532">
            <v>2010</v>
          </cell>
          <cell r="X1532" t="str">
            <v>Information Technology</v>
          </cell>
          <cell r="Y1532" t="str">
            <v>Apps, Communities, Real Time, Social Media, Software, Virtualization</v>
          </cell>
        </row>
        <row r="1533">
          <cell r="A1533" t="str">
            <v>Shopah</v>
          </cell>
          <cell r="B1533" t="str">
            <v>Shopah helps you minimize time and energy spend in shopping online/offline. With professional individuals (not bots)shopah is ready to do end-to-end shopping (and also to do the product/service/market research) on your behalf. Our service is affordable from as low as Ksh350 depending on the quantity of the shopping. All you need to do is send us your shopping list and consider the job done. It's basically outsourcing your shopping needs/pain/responsibility to others. Let me know if anyone is interested in getting this done together!</v>
          </cell>
          <cell r="C1533" t="str">
            <v>Active</v>
          </cell>
          <cell r="D1533">
            <v>2018</v>
          </cell>
          <cell r="G1533" t="str">
            <v>Kenya</v>
          </cell>
          <cell r="X1533" t="str">
            <v>E-Commerce &amp; Retail</v>
          </cell>
          <cell r="Y1533" t="str">
            <v>N/A</v>
          </cell>
        </row>
        <row r="1534">
          <cell r="A1534" t="str">
            <v xml:space="preserve">Skillup Tutors </v>
          </cell>
          <cell r="B1534" t="str">
            <v>Skilluptutors.com is a marketplace of tutors for students and parents, focused initially on in-person extra lessons for primary, secondary and university students</v>
          </cell>
          <cell r="C1534" t="str">
            <v>Active</v>
          </cell>
          <cell r="D1534">
            <v>2016</v>
          </cell>
          <cell r="G1534" t="str">
            <v>South Africa</v>
          </cell>
          <cell r="X1534" t="str">
            <v>Education</v>
          </cell>
          <cell r="Y1534" t="str">
            <v>EdTech, Education</v>
          </cell>
        </row>
        <row r="1535">
          <cell r="A1535" t="str">
            <v>Silmak Agencies</v>
          </cell>
          <cell r="B1535" t="str">
            <v>Silmak Agencies is an impact company manufacturing end to end menstrual hygiene products from cotton sanitary pads, adult pampers to sanitary pad vending/dispensing machines and sanitary pad incinerator</v>
          </cell>
          <cell r="C1535" t="str">
            <v>Active</v>
          </cell>
          <cell r="G1535" t="str">
            <v>Kenya</v>
          </cell>
        </row>
        <row r="1536">
          <cell r="A1536" t="str">
            <v>SimbiBot</v>
          </cell>
          <cell r="C1536" t="str">
            <v>Active</v>
          </cell>
          <cell r="G1536" t="str">
            <v>Nigeria</v>
          </cell>
        </row>
        <row r="1537">
          <cell r="A1537" t="str">
            <v>Sureswipe</v>
          </cell>
          <cell r="B1537" t="str">
            <v>Sureswipe delivers a simple, accessible and secure solution to payment acceptance</v>
          </cell>
          <cell r="C1537" t="str">
            <v>Acquired</v>
          </cell>
          <cell r="D1537">
            <v>2008</v>
          </cell>
          <cell r="G1537" t="str">
            <v>South Africa</v>
          </cell>
          <cell r="X1537" t="str">
            <v>Financial Services</v>
          </cell>
        </row>
        <row r="1538">
          <cell r="A1538" t="str">
            <v>Sinclare Angels Initiative</v>
          </cell>
        </row>
        <row r="1539">
          <cell r="A1539" t="str">
            <v>SkillUp</v>
          </cell>
          <cell r="B1539" t="str">
            <v>Leading curated marketplace directly connecting companies with the best training providers with over 20 000 trainings and 50 000 reviews.</v>
          </cell>
          <cell r="C1539" t="str">
            <v>Active</v>
          </cell>
          <cell r="D1539">
            <v>2016</v>
          </cell>
          <cell r="G1539" t="str">
            <v>South Africa</v>
          </cell>
          <cell r="X1539" t="str">
            <v>Education</v>
          </cell>
          <cell r="Y1539" t="str">
            <v>Human Resources, Marketplace, Training</v>
          </cell>
        </row>
        <row r="1540">
          <cell r="A1540" t="str">
            <v>Skillup Tutors</v>
          </cell>
          <cell r="B1540" t="str">
            <v>Skilluptutors.com is a marketplace of tutors for students and parents, focused initially on in-person extra lessons.</v>
          </cell>
          <cell r="D1540">
            <v>2016</v>
          </cell>
          <cell r="G1540" t="str">
            <v>South Africa</v>
          </cell>
          <cell r="X1540" t="str">
            <v>Education</v>
          </cell>
          <cell r="Y1540" t="str">
            <v>EdTech, Education</v>
          </cell>
        </row>
        <row r="1541">
          <cell r="A1541" t="str">
            <v>SkoolDesk</v>
          </cell>
          <cell r="G1541" t="str">
            <v>Uganda</v>
          </cell>
          <cell r="X1541" t="str">
            <v>Software Development</v>
          </cell>
        </row>
        <row r="1542">
          <cell r="A1542" t="str">
            <v>Skynotch Energy Africa</v>
          </cell>
          <cell r="B1542" t="str">
            <v>Skynotch Energy Africa is a renewable energy access promotion company</v>
          </cell>
          <cell r="D1542">
            <v>2012</v>
          </cell>
          <cell r="X1542" t="str">
            <v>Energy &amp; Environment Resources</v>
          </cell>
          <cell r="Y1542" t="str">
            <v>Energy, Renewable Energy, Solar</v>
          </cell>
        </row>
        <row r="1543">
          <cell r="A1543" t="str">
            <v>Stack Dx</v>
          </cell>
          <cell r="B1543" t="str">
            <v>Stack Dx is a online platform that connects patients and health professionals to genetic tests.</v>
          </cell>
          <cell r="D1543">
            <v>2018</v>
          </cell>
          <cell r="G1543" t="str">
            <v>Nigeria</v>
          </cell>
          <cell r="X1543" t="str">
            <v>Healthcare &amp; Pharma</v>
          </cell>
          <cell r="Y1543" t="str">
            <v>Fitness, Health Care, Internet</v>
          </cell>
        </row>
        <row r="1544">
          <cell r="A1544" t="str">
            <v>Sliideairtime</v>
          </cell>
          <cell r="B1544" t="str">
            <v>Sliide Airtime is a smart app that gives news &amp; entertainment.</v>
          </cell>
          <cell r="D1544">
            <v>2015</v>
          </cell>
          <cell r="X1544" t="str">
            <v>Telecommunications</v>
          </cell>
          <cell r="Y1544" t="str">
            <v>Advertising, Digital Entertainment, Marketing, Media and Entertainment, Mobile Apps, News</v>
          </cell>
        </row>
        <row r="1545">
          <cell r="A1545" t="str">
            <v>SmartTeller</v>
          </cell>
          <cell r="B1545" t="str">
            <v>Digital banking platform that provides cooperatives and microfinance with the features to manage their financial activities.</v>
          </cell>
          <cell r="C1545" t="str">
            <v>Active</v>
          </cell>
          <cell r="D1545">
            <v>2018</v>
          </cell>
          <cell r="G1545" t="str">
            <v>Nigeria</v>
          </cell>
          <cell r="X1545" t="str">
            <v>Financial Services</v>
          </cell>
          <cell r="Y1545" t="str">
            <v>FinTech, Banking, Information Technology</v>
          </cell>
        </row>
        <row r="1546">
          <cell r="A1546" t="str">
            <v>Slyd</v>
          </cell>
        </row>
        <row r="1547">
          <cell r="A1547" t="str">
            <v>SMEasy</v>
          </cell>
          <cell r="B1547" t="str">
            <v>SMEasy is a business management and accounting system solution for people in small businesses.</v>
          </cell>
          <cell r="C1547" t="str">
            <v>Active</v>
          </cell>
          <cell r="D1547">
            <v>2009</v>
          </cell>
          <cell r="G1547" t="str">
            <v>South Africa</v>
          </cell>
          <cell r="X1547" t="str">
            <v>Information technology</v>
          </cell>
          <cell r="Y1547" t="str">
            <v>Accounting, Business Development, Small and Medium Businesses</v>
          </cell>
        </row>
        <row r="1548">
          <cell r="A1548" t="str">
            <v>Smile Identity</v>
          </cell>
          <cell r="B1548" t="str">
            <v>Smile Identity is a universal KYC enrollment and authentication solution for enterprises in mobile-first economies. Our platform includes SDKs and APIs for face recognition and ID validation in mobile applications, as well as analytics dashboards to monitor the accuracy of customer records. Our mission is to make the benefits of a modern digital lifestyle universally accessible by expanding trust in underserved markets. We are backed by Vinod Khosla, 500 Startups, CRE Venture Capital and Catalyst Fund.</v>
          </cell>
          <cell r="C1548" t="str">
            <v>Active</v>
          </cell>
          <cell r="D1548">
            <v>2016</v>
          </cell>
          <cell r="G1548" t="str">
            <v>Kenya</v>
          </cell>
          <cell r="X1548" t="str">
            <v>Information Technology</v>
          </cell>
          <cell r="Y1548" t="str">
            <v>Apps, Identity Management, Machine Learning</v>
          </cell>
        </row>
        <row r="1549">
          <cell r="A1549" t="str">
            <v>Smoke Advertising</v>
          </cell>
          <cell r="B1549" t="str">
            <v>Smoke Advertising specializes in both above and below the line advertising.</v>
          </cell>
          <cell r="C1549" t="str">
            <v>Active</v>
          </cell>
          <cell r="G1549" t="str">
            <v>Kenya</v>
          </cell>
          <cell r="X1549" t="str">
            <v>Media &amp; Entertainment</v>
          </cell>
          <cell r="Y1549" t="str">
            <v>Animation, Graphics Designing, Video Production</v>
          </cell>
        </row>
        <row r="1550">
          <cell r="A1550" t="str">
            <v>Smubu</v>
          </cell>
          <cell r="B1550" t="str">
            <v>Smubu is an app facilitating the streaming, downloading of Ease African songs.</v>
          </cell>
          <cell r="C1550" t="str">
            <v>Active</v>
          </cell>
          <cell r="D1550">
            <v>2018</v>
          </cell>
          <cell r="G1550" t="str">
            <v>Kampala (Uganda)</v>
          </cell>
          <cell r="X1550" t="str">
            <v>Media &amp; Entertainment</v>
          </cell>
        </row>
        <row r="1551">
          <cell r="A1551" t="str">
            <v>Smart connect</v>
          </cell>
          <cell r="B1551" t="str">
            <v>SmartConnect is designed to simplify the design and management of an integrated business.</v>
          </cell>
          <cell r="C1551" t="str">
            <v>Active</v>
          </cell>
          <cell r="D1551">
            <v>2018</v>
          </cell>
        </row>
        <row r="1552">
          <cell r="A1552" t="str">
            <v>Snapplify</v>
          </cell>
          <cell r="B1552" t="str">
            <v>Snapplify is a media and technology company specializing in the retail and distribution of digital content (including prescribed eTextbooks, videos, audiobooks and apps from over 270 partnered publishers) to educational institutions and individual users. Snapplify for Education – the company’s suite of eLearning products &amp; services – is being used in over 500 schools across Africa.</v>
          </cell>
          <cell r="C1552" t="str">
            <v>Active</v>
          </cell>
          <cell r="D1552">
            <v>2011</v>
          </cell>
          <cell r="G1552" t="str">
            <v>South Africa</v>
          </cell>
          <cell r="X1552" t="str">
            <v>Education</v>
          </cell>
          <cell r="Y1552" t="str">
            <v>Digital Publishing, eBook Aggregation, eBook Solutions, Newsstand Publishing, eLearning Solutions, DRM, Digital Book App Publishing, Digital Magazine App Publishing, edtech, and digital learning</v>
          </cell>
        </row>
        <row r="1553">
          <cell r="A1553" t="str">
            <v>Smart Electricity</v>
          </cell>
          <cell r="G1553" t="str">
            <v>Nigeria</v>
          </cell>
        </row>
        <row r="1554">
          <cell r="A1554" t="str">
            <v>Snode Technologies</v>
          </cell>
          <cell r="B1554" t="str">
            <v>Snode Technologies is a roots in consulting and penetration testing</v>
          </cell>
          <cell r="C1554" t="str">
            <v>Active</v>
          </cell>
          <cell r="D1554">
            <v>2016</v>
          </cell>
          <cell r="G1554" t="str">
            <v>South Africa</v>
          </cell>
          <cell r="X1554" t="str">
            <v>Information Technology</v>
          </cell>
          <cell r="Y1554" t="str">
            <v>Computer, Network Security</v>
          </cell>
        </row>
        <row r="1555">
          <cell r="A1555" t="str">
            <v>Smart Farming</v>
          </cell>
          <cell r="B1555" t="str">
            <v>Smartfarmingug.comisane-commerceplatformthatenablesfarmerstoaccesscertifiedfarmproductsanytimeanywhereinEastAfrica</v>
          </cell>
          <cell r="C1555" t="str">
            <v>Active</v>
          </cell>
          <cell r="D1555">
            <v>2016</v>
          </cell>
        </row>
        <row r="1556">
          <cell r="A1556" t="str">
            <v>Social Lender</v>
          </cell>
          <cell r="B1556" t="str">
            <v>Social Lender is a lending solution based on social reputation on mobile, online and social media platforms.</v>
          </cell>
          <cell r="C1556" t="str">
            <v>Active</v>
          </cell>
          <cell r="D1556">
            <v>2014</v>
          </cell>
          <cell r="G1556" t="str">
            <v>Nigeria</v>
          </cell>
          <cell r="X1556" t="str">
            <v>Financial Services</v>
          </cell>
          <cell r="Y1556" t="str">
            <v>Financial Services, Lending, Mobile, Social Media</v>
          </cell>
        </row>
        <row r="1557">
          <cell r="A1557" t="str">
            <v>Telkom Kenya</v>
          </cell>
          <cell r="B1557" t="str">
            <v>Telkom Kenya was established as a telecommunications operator under the Companies Act in April 1999.</v>
          </cell>
          <cell r="C1557" t="str">
            <v>Active</v>
          </cell>
          <cell r="D1557">
            <v>1999</v>
          </cell>
          <cell r="G1557" t="str">
            <v>Kenya</v>
          </cell>
          <cell r="X1557" t="str">
            <v>Telecommunications</v>
          </cell>
          <cell r="Y1557" t="str">
            <v>Information and Communications Technology (ICT), Public Relations</v>
          </cell>
        </row>
        <row r="1558">
          <cell r="A1558" t="str">
            <v>Soko</v>
          </cell>
          <cell r="B1558" t="str">
            <v>Soko is an ethical manufacturing platform, supporting right-size manufacturing from developing economies, serving leading ethical brands.</v>
          </cell>
          <cell r="C1558" t="str">
            <v>Active</v>
          </cell>
          <cell r="D1558">
            <v>2012</v>
          </cell>
          <cell r="G1558" t="str">
            <v>United States</v>
          </cell>
          <cell r="X1558" t="str">
            <v>E-Commerce &amp; Retail</v>
          </cell>
          <cell r="Y1558" t="str">
            <v>E-Commerce, Manufacturing, Marketplace, Online Portals</v>
          </cell>
        </row>
        <row r="1559">
          <cell r="A1559" t="str">
            <v>Sokohela</v>
          </cell>
          <cell r="B1559" t="str">
            <v>An online short term working capital provider for micro, small and medium enterprises in the urban agricultural value chain.</v>
          </cell>
          <cell r="C1559" t="str">
            <v>Active</v>
          </cell>
          <cell r="D1559">
            <v>2018</v>
          </cell>
          <cell r="G1559" t="str">
            <v>Kenya</v>
          </cell>
          <cell r="X1559" t="str">
            <v>Financial Services</v>
          </cell>
          <cell r="Y1559" t="str">
            <v>Fintech,</v>
          </cell>
        </row>
        <row r="1560">
          <cell r="A1560" t="str">
            <v>Smartech Holdings</v>
          </cell>
          <cell r="B1560" t="str">
            <v>Smartech Holdings is a custom software development company which helps clients digitally transform their businesses through solutions that are tailored to clients’ requirements.</v>
          </cell>
          <cell r="G1560" t="str">
            <v>South Africa</v>
          </cell>
        </row>
        <row r="1561">
          <cell r="A1561" t="str">
            <v>Smartone</v>
          </cell>
          <cell r="B1561" t="str">
            <v>SmartOne is a data annotation service, providing high quality and high scale human-in-the-loop data to feed AI and ML projects</v>
          </cell>
          <cell r="C1561" t="str">
            <v>Active</v>
          </cell>
        </row>
        <row r="1562">
          <cell r="A1562" t="str">
            <v>Solar Freeze</v>
          </cell>
          <cell r="B1562" t="str">
            <v>Solar Freeze uses an integrated approach to Postharvest management recognizing that it is a systems-based challenge and requires an integrated innovation strategy that incorporates technological and financial innovations, capacity building across the value chain, enhanced market access and other elements to achieve impact at scale</v>
          </cell>
          <cell r="C1562" t="str">
            <v>Active</v>
          </cell>
          <cell r="D1562">
            <v>2016</v>
          </cell>
          <cell r="G1562" t="str">
            <v>Kenya</v>
          </cell>
          <cell r="X1562" t="str">
            <v>Energy &amp; Environment Resources</v>
          </cell>
          <cell r="Y1562" t="str">
            <v>Clean Energy, Solar</v>
          </cell>
        </row>
        <row r="1563">
          <cell r="A1563" t="str">
            <v>Smartzed</v>
          </cell>
          <cell r="B1563" t="str">
            <v>Smartzed is a collective of amazing people striving to build delightful learning tools</v>
          </cell>
          <cell r="C1563" t="str">
            <v>Active</v>
          </cell>
          <cell r="D1563">
            <v>2018</v>
          </cell>
          <cell r="G1563" t="str">
            <v>Zambia</v>
          </cell>
          <cell r="X1563" t="str">
            <v>Education</v>
          </cell>
        </row>
        <row r="1564">
          <cell r="A1564" t="str">
            <v>SnapHubr</v>
          </cell>
          <cell r="B1564" t="str">
            <v>SnapHubr transforms the way African images are shared online by uniting enthusiasts through a cutting-edge, digital marketplace</v>
          </cell>
          <cell r="D1564">
            <v>2016</v>
          </cell>
          <cell r="G1564" t="str">
            <v>Nigeria</v>
          </cell>
        </row>
        <row r="1565">
          <cell r="A1565" t="str">
            <v>Solarnow</v>
          </cell>
          <cell r="B1565" t="str">
            <v>SolarNow sells high-quality, reliable solar home systems in Uganda and Kenya. With SolarNow's PayPlan, selected clients can take advantage of 24 month credit terms. SolarNow works with a branch-network of 50 branches in Uganda and 16 branches in Kenya, all guaranteeing reliable after-sales services, including up to 20 years warranty on the PV modules.</v>
          </cell>
          <cell r="C1565" t="str">
            <v>Active</v>
          </cell>
          <cell r="D1565">
            <v>2011</v>
          </cell>
          <cell r="G1565" t="str">
            <v>Uganda</v>
          </cell>
          <cell r="X1565" t="str">
            <v>Energy &amp; Environment Resources</v>
          </cell>
          <cell r="Y1565" t="str">
            <v>Solar PV (Solar Home Systems), Rural Off-grid markets in Africa, Financing, and Distribution</v>
          </cell>
        </row>
        <row r="1566">
          <cell r="A1566" t="str">
            <v>Snapslip</v>
          </cell>
          <cell r="B1566" t="str">
            <v>Snaslip is a digital receipting and Analytics application.</v>
          </cell>
          <cell r="C1566" t="str">
            <v>Active</v>
          </cell>
          <cell r="D1566">
            <v>2017</v>
          </cell>
          <cell r="G1566" t="str">
            <v>South Africa</v>
          </cell>
          <cell r="X1566" t="str">
            <v>Information Technology</v>
          </cell>
          <cell r="Y1566" t="str">
            <v>Information Technology</v>
          </cell>
        </row>
        <row r="1567">
          <cell r="A1567" t="str">
            <v>Soba e-store</v>
          </cell>
          <cell r="B1567" t="str">
            <v>SOBA e­-Store é o mais revolucionário e sofisticado serviço de vendas online em Angola, com entrega nas 18 províncias.</v>
          </cell>
          <cell r="C1567" t="str">
            <v>Active</v>
          </cell>
          <cell r="X1567" t="str">
            <v>E-Commerce &amp; Retail</v>
          </cell>
        </row>
        <row r="1568">
          <cell r="A1568" t="str">
            <v>Student Finance</v>
          </cell>
          <cell r="B1568" t="str">
            <v>SFA is Africa’s private higher education student loan company.</v>
          </cell>
          <cell r="D1568">
            <v>2015</v>
          </cell>
          <cell r="X1568" t="str">
            <v>Financial Services</v>
          </cell>
          <cell r="Y1568" t="str">
            <v>Financial Services, Higher Education, Lending</v>
          </cell>
        </row>
        <row r="1569">
          <cell r="A1569" t="str">
            <v>Sokompare</v>
          </cell>
          <cell r="B1569" t="str">
            <v>Kenya's first original E-commerce platform for car's, insurance &amp; finance.</v>
          </cell>
          <cell r="D1569">
            <v>2016</v>
          </cell>
          <cell r="X1569" t="str">
            <v>Information Technology</v>
          </cell>
          <cell r="Y1569" t="str">
            <v>E-Commerce, Financial Services, Transportation</v>
          </cell>
        </row>
        <row r="1570">
          <cell r="A1570" t="str">
            <v>Sokopepe</v>
          </cell>
          <cell r="B1570" t="str">
            <v>Sokopepe Ltd is a social enterprise supporting the agricultural sector in Kenya by offering market information through SOKO+ and farm records management service through Farm Record Management Information System (FARMIS)</v>
          </cell>
          <cell r="C1570" t="str">
            <v>Active</v>
          </cell>
          <cell r="X1570" t="str">
            <v>Agriculture</v>
          </cell>
          <cell r="Y1570" t="str">
            <v>Farming</v>
          </cell>
        </row>
        <row r="1571">
          <cell r="A1571" t="str">
            <v>Solar Shack</v>
          </cell>
          <cell r="C1571" t="str">
            <v>Active</v>
          </cell>
        </row>
        <row r="1572">
          <cell r="A1572" t="str">
            <v>Solaris Offgrid</v>
          </cell>
          <cell r="B1572" t="str">
            <v>Provide sustainable energy in low income communities.</v>
          </cell>
          <cell r="C1572" t="str">
            <v>Active</v>
          </cell>
          <cell r="D1572">
            <v>2014</v>
          </cell>
          <cell r="X1572" t="str">
            <v>Renewables &amp; Environment</v>
          </cell>
          <cell r="Y1572" t="str">
            <v>Clean Energy, Solar</v>
          </cell>
        </row>
        <row r="1573">
          <cell r="A1573" t="str">
            <v>Solarpak</v>
          </cell>
          <cell r="X1573" t="str">
            <v>Resource &amp; Energy</v>
          </cell>
        </row>
        <row r="1574">
          <cell r="A1574" t="str">
            <v>Sooretul</v>
          </cell>
          <cell r="B1574" t="str">
            <v>Sooretul is an online platform for the sale of local products processed in Senegal.</v>
          </cell>
          <cell r="C1574" t="str">
            <v>Active</v>
          </cell>
          <cell r="D1574">
            <v>2018</v>
          </cell>
          <cell r="G1574" t="str">
            <v>Senegal</v>
          </cell>
          <cell r="X1574" t="str">
            <v>E-Commerce &amp; Retail</v>
          </cell>
          <cell r="Y1574" t="str">
            <v>Internet</v>
          </cell>
        </row>
        <row r="1575">
          <cell r="A1575" t="str">
            <v>Sowani-Reservations at your tips</v>
          </cell>
          <cell r="C1575" t="str">
            <v>Active</v>
          </cell>
        </row>
        <row r="1576">
          <cell r="A1576" t="str">
            <v>Spare Payments</v>
          </cell>
          <cell r="B1576" t="str">
            <v>Spare is an electronic payments business helping school campuses become cash-free.</v>
          </cell>
          <cell r="C1576" t="str">
            <v>Active</v>
          </cell>
          <cell r="D1576">
            <v>2018</v>
          </cell>
          <cell r="G1576" t="str">
            <v>Egypt</v>
          </cell>
          <cell r="X1576" t="str">
            <v>Financial Services</v>
          </cell>
          <cell r="Y1576" t="str">
            <v>Retail, Fintech</v>
          </cell>
        </row>
        <row r="1577">
          <cell r="A1577" t="str">
            <v>Spark Agro</v>
          </cell>
          <cell r="C1577" t="str">
            <v>Active</v>
          </cell>
        </row>
        <row r="1578">
          <cell r="A1578" t="str">
            <v>Spark Agro-Initiatives Ltd</v>
          </cell>
        </row>
        <row r="1579">
          <cell r="A1579" t="str">
            <v>Sparkfolios</v>
          </cell>
          <cell r="B1579" t="str">
            <v>Sparkfolios is an online toolkit driving repeat peak performance via professional services for goal setting, task completion, performance &amp; incentive management, motivation, instant rewards and staff recognition.</v>
          </cell>
        </row>
        <row r="1580">
          <cell r="A1580" t="str">
            <v>Stawika</v>
          </cell>
        </row>
        <row r="1581">
          <cell r="A1581" t="str">
            <v>Sunkambe</v>
          </cell>
          <cell r="B1581" t="str">
            <v>A fintech platform that raises finance for record labels and artists by trading on future potential revenue.</v>
          </cell>
          <cell r="C1581" t="str">
            <v>Active</v>
          </cell>
          <cell r="D1581">
            <v>2017</v>
          </cell>
          <cell r="G1581" t="str">
            <v>South Africa</v>
          </cell>
          <cell r="X1581" t="str">
            <v>Financial Services</v>
          </cell>
          <cell r="Y1581" t="str">
            <v>Music Videos, Finances</v>
          </cell>
        </row>
        <row r="1582">
          <cell r="A1582" t="str">
            <v>Spreebie</v>
          </cell>
          <cell r="B1582" t="str">
            <v>Spreebie provides a listing and navigation mobile application that encourages trade by facilitating physical meetings. It offers Spreebie, an application that connects buyers with sellers and products. The company’s Spreebie enables sellers to post their products from anywhere. It offers its Spreebie for IPhones. Spreebie is based in Maseru, Lesotho.</v>
          </cell>
        </row>
        <row r="1583">
          <cell r="A1583" t="str">
            <v>SureStart</v>
          </cell>
          <cell r="B1583" t="str">
            <v>Surestart.co.za is an emerging market company that is innovating in the global short term &amp; long term insurance sector through building digital distribution channels.</v>
          </cell>
          <cell r="C1583" t="str">
            <v>Active</v>
          </cell>
          <cell r="G1583" t="str">
            <v>South Africa</v>
          </cell>
          <cell r="X1583" t="str">
            <v>Financial Services</v>
          </cell>
          <cell r="Y1583" t="str">
            <v>Financial Services, Insurance</v>
          </cell>
        </row>
        <row r="1584">
          <cell r="A1584" t="str">
            <v>Staffbus</v>
          </cell>
          <cell r="B1584" t="str">
            <v>Staff Bus Nigeria commutes residents in Lagos from home to work and back every day, hassle free. It solves the challenges of daily commuters in the city of Lagos</v>
          </cell>
          <cell r="C1584" t="str">
            <v>Active</v>
          </cell>
          <cell r="D1584">
            <v>2016</v>
          </cell>
          <cell r="G1584" t="str">
            <v>Nigeria</v>
          </cell>
          <cell r="X1584" t="str">
            <v>Transport &amp; Logistics</v>
          </cell>
          <cell r="Y1584" t="str">
            <v>E-Booking</v>
          </cell>
        </row>
        <row r="1585">
          <cell r="A1585" t="str">
            <v>Stamp Dot Africa</v>
          </cell>
        </row>
        <row r="1586">
          <cell r="A1586" t="str">
            <v>Sudonum</v>
          </cell>
          <cell r="B1586" t="str">
            <v>Sudonum is a call tracking and communication API that is fast to integrate and easy to use.</v>
          </cell>
          <cell r="C1586" t="str">
            <v>Active</v>
          </cell>
          <cell r="D1586">
            <v>2015</v>
          </cell>
          <cell r="G1586" t="str">
            <v>South Africa</v>
          </cell>
          <cell r="X1586" t="str">
            <v>Information Technology</v>
          </cell>
          <cell r="Y1586" t="str">
            <v>App Discovery, Mobile Apps, Mobile Devices</v>
          </cell>
        </row>
        <row r="1587">
          <cell r="A1587" t="str">
            <v>Starnew Mobile</v>
          </cell>
          <cell r="B1587" t="str">
            <v>THE ADDICTIVE MOBILE VIDEO NETWORK FOR AFRICA, THE WORLD’S FASTEST GROWING MOBILE MARKET</v>
          </cell>
          <cell r="D1587">
            <v>2017</v>
          </cell>
          <cell r="X1587" t="str">
            <v>Online Media</v>
          </cell>
          <cell r="Y1587" t="str">
            <v>Online Media</v>
          </cell>
        </row>
        <row r="1588">
          <cell r="A1588" t="str">
            <v>SunCulture</v>
          </cell>
          <cell r="B1588" t="str">
            <v>SunCulture designs and sells solar-powered irrigation systems to farmers in Kenya.</v>
          </cell>
          <cell r="C1588" t="str">
            <v>Active</v>
          </cell>
          <cell r="D1588">
            <v>2012</v>
          </cell>
          <cell r="G1588" t="str">
            <v>Kenya</v>
          </cell>
          <cell r="X1588" t="str">
            <v>Agriculture</v>
          </cell>
          <cell r="Y1588" t="str">
            <v>Agriculture, Farming, Solar</v>
          </cell>
        </row>
        <row r="1589">
          <cell r="A1589" t="str">
            <v>Sunubus</v>
          </cell>
          <cell r="B1589" t="str">
            <v>Sunubus est une application mobile collaborative de localisation de bus. En effet, la plupart des solutions proposées en cette matière sont sujettes à un investissement initial lourd et à une maintenance pénible. Sunubus répond à ce problème en motivant tout un chacun à utiliser son téléphone comme moyen de localisation des lignes de transport</v>
          </cell>
          <cell r="C1589" t="str">
            <v>Active</v>
          </cell>
          <cell r="D1589">
            <v>2017</v>
          </cell>
          <cell r="G1589" t="str">
            <v>Senegal</v>
          </cell>
          <cell r="X1589" t="str">
            <v>Transport &amp; Logistics</v>
          </cell>
          <cell r="Y1589" t="str">
            <v>Transportation/Trucking/Railroad</v>
          </cell>
        </row>
        <row r="1590">
          <cell r="A1590" t="str">
            <v>SuperFluids Labs</v>
          </cell>
          <cell r="B1590" t="str">
            <v>SUPERFLUID LABS has developed a platform that enables businesses to identify and unlock hidden revenue opportunities and expand their services and impact to reach several millions more customers through the power of data and artificial intelligence (AI). Our team of data scientists, engineers and mathematicians have built a proprietary technology platform that mines customer transactional data to automatically predict future business events, reveal customer behaviours and trends (e.g. credit risk and defaults), enhance engagement, reduce churn risk, and increase overall profitability. Our mission is to bring AI to businesses and consumers to drive economic growth and opportunities.</v>
          </cell>
          <cell r="C1590" t="str">
            <v>Active</v>
          </cell>
          <cell r="D1590">
            <v>2015</v>
          </cell>
          <cell r="G1590" t="str">
            <v>Kenya</v>
          </cell>
          <cell r="X1590" t="str">
            <v>Information Technology</v>
          </cell>
          <cell r="Y1590" t="str">
            <v>Analytics, Business Intelligence, Data Mining, FinTech, Personal Finance, SaaS</v>
          </cell>
        </row>
        <row r="1591">
          <cell r="A1591" t="str">
            <v>StarNews Mobile</v>
          </cell>
          <cell r="G1591" t="str">
            <v>Ivory Coast</v>
          </cell>
          <cell r="X1591" t="str">
            <v>Media/Entertainment</v>
          </cell>
        </row>
        <row r="1592">
          <cell r="A1592" t="str">
            <v>Teranga Solutions</v>
          </cell>
          <cell r="B1592" t="str">
            <v>Teranga Hospitality Solutions offers an unprecedented hospitality experience by leveraging on the convergence of mobile.</v>
          </cell>
          <cell r="C1592" t="str">
            <v>Acquired</v>
          </cell>
          <cell r="D1592">
            <v>2013</v>
          </cell>
          <cell r="G1592" t="str">
            <v>Senegal</v>
          </cell>
          <cell r="X1592" t="str">
            <v>Travel &amp; Leisure</v>
          </cell>
          <cell r="Y1592" t="str">
            <v>Hospitality, Mobile, Point of Sale</v>
          </cell>
        </row>
        <row r="1593">
          <cell r="A1593" t="str">
            <v>Suregifts</v>
          </cell>
          <cell r="B1593" t="str">
            <v>Sometimes, words are not enough to express just how much you celebrate, appreciate, regard or love someone. Here at SureGifts, we make the art of gifting simpler but richer. For the sender, we offer the luxury of convenience. You don’t have to struggle to figure out the most ideal gift; neither do you have to go through the hassle of picking it up, wrapping and delivery. It’s all in a click of a button. For the recipient, get ready to free your storage room of un-preferred gifts. We know it’s the thought that counts, but it won’t hurt getting that thing you’ve always wanted instead! Gift Cards from SureGifts are sent with love. They can be personalized with special messages and delivered just in time to ignite the widest smile. You can have it delivered to the recipients’ e-mail or physical addresses, and they can redeem at your selected vendor or anywhere SureGifts Cards are accepted. What’s more? Prices are usually cheaper on SureGifts than in-store, and SureGifts Gift Cards don’t expire.</v>
          </cell>
          <cell r="C1593" t="str">
            <v>Active</v>
          </cell>
          <cell r="D1593">
            <v>2014</v>
          </cell>
          <cell r="G1593" t="str">
            <v>Nigeria</v>
          </cell>
          <cell r="X1593" t="str">
            <v>E-Commerce &amp; Retail</v>
          </cell>
          <cell r="Y1593" t="str">
            <v>E-Commerce, Employee Benefits, Financial Services, Gift Card, Loyalty Programs, Payments</v>
          </cell>
        </row>
        <row r="1594">
          <cell r="A1594" t="str">
            <v>Sureremit</v>
          </cell>
          <cell r="B1594" t="str">
            <v>SureRemit is an ecosystem for global non-cash remittances. SureRemit leverages on the merchant network of SureGifts and her global partners, to enable immigrants send e-vouchers that can be used to purchase goods and services at several quality merchants and pay bills globally.</v>
          </cell>
          <cell r="C1594" t="str">
            <v>Active</v>
          </cell>
          <cell r="D1594">
            <v>2017</v>
          </cell>
          <cell r="G1594" t="str">
            <v>Nigeria</v>
          </cell>
          <cell r="X1594" t="str">
            <v>Financial Services</v>
          </cell>
          <cell r="Y1594" t="str">
            <v>Blockchain, Cryptocurrency, Financial Services</v>
          </cell>
        </row>
        <row r="1595">
          <cell r="A1595" t="str">
            <v>Study</v>
          </cell>
          <cell r="B1595" t="str">
            <v>Online video learning platform for K-12 and college courses</v>
          </cell>
          <cell r="C1595" t="str">
            <v>Active</v>
          </cell>
          <cell r="D1595">
            <v>2002</v>
          </cell>
          <cell r="X1595" t="str">
            <v>Education</v>
          </cell>
          <cell r="Y1595" t="str">
            <v>Content, E-Learning, EdTech, Education, Higher Education, Internet</v>
          </cell>
        </row>
        <row r="1596">
          <cell r="A1596" t="str">
            <v>Sturta</v>
          </cell>
          <cell r="B1596" t="str">
            <v>Sturta gives users access to a variety of professional service providers, such as cleaners, electricians and carpenters.</v>
          </cell>
          <cell r="C1596" t="str">
            <v>Active</v>
          </cell>
          <cell r="D1596">
            <v>2018</v>
          </cell>
          <cell r="G1596" t="str">
            <v>Ghana</v>
          </cell>
        </row>
        <row r="1597">
          <cell r="A1597" t="str">
            <v>Sudan Gold Coin (SGC)</v>
          </cell>
          <cell r="B1597" t="str">
            <v>Sudan Gold Coin is a unique gold mining project that uses blockchain technology for a fair distribution of the profit.</v>
          </cell>
          <cell r="C1597" t="str">
            <v>Active</v>
          </cell>
          <cell r="D1597">
            <v>2017</v>
          </cell>
          <cell r="X1597" t="str">
            <v>Mining &amp; Metals</v>
          </cell>
          <cell r="Y1597" t="str">
            <v>Mining, Blockchain, Gold, Facility, Development, Investments, Facility Management, Crypto, Project Management, Cryptocurrency, Safety, Security, Anonymous, Transparency, Investors, Altcoin , and Smart Contract</v>
          </cell>
        </row>
        <row r="1598">
          <cell r="A1598" t="str">
            <v>Swaggify</v>
          </cell>
          <cell r="B1598" t="str">
            <v>Swaggify is the world’s first B2B/B2C Music Video Augmented Reality Cloud Shopping platform. SwaggifyTM allows fashion brands and designers to sell and market their clothing lines worn in music videos by artists and celebrities to millions of television and online music video viewers.</v>
          </cell>
          <cell r="C1598" t="str">
            <v>Active</v>
          </cell>
          <cell r="D1598">
            <v>2019</v>
          </cell>
          <cell r="G1598" t="str">
            <v>Zimbabwe</v>
          </cell>
          <cell r="X1598" t="str">
            <v>E-Commerce &amp; Retail</v>
          </cell>
          <cell r="Y1598" t="str">
            <v>fashion brand</v>
          </cell>
        </row>
        <row r="1599">
          <cell r="A1599" t="str">
            <v>Sudpay</v>
          </cell>
          <cell r="B1599" t="str">
            <v>SUDPAY is a specialist startup in Mobile and Ticketing solutions.</v>
          </cell>
          <cell r="C1599" t="str">
            <v>Active</v>
          </cell>
          <cell r="D1599">
            <v>2014</v>
          </cell>
          <cell r="X1599" t="str">
            <v>Information Technology</v>
          </cell>
          <cell r="Y1599" t="str">
            <v>Mobile, Ticketing</v>
          </cell>
        </row>
        <row r="1600">
          <cell r="A1600" t="str">
            <v>Supermart.ng</v>
          </cell>
          <cell r="B1600" t="str">
            <v>Supermart is a grocery delivery service that allows shop from all favourite supermarkets all under one roof.</v>
          </cell>
          <cell r="D1600">
            <v>2014</v>
          </cell>
          <cell r="G1600" t="str">
            <v>Nigeria</v>
          </cell>
          <cell r="X1600" t="str">
            <v>E-Commerce &amp; Retail</v>
          </cell>
          <cell r="Y1600" t="str">
            <v>Delivery Service, Food Delivery, Grocery</v>
          </cell>
        </row>
        <row r="1601">
          <cell r="A1601" t="str">
            <v>Sure Corporation</v>
          </cell>
        </row>
        <row r="1602">
          <cell r="A1602" t="str">
            <v>Surefox</v>
          </cell>
          <cell r="B1602" t="str">
            <v>On-demand, instant, intuitive cargo insurance software for brokers &amp; underwriters. We use smart risk-matrix calculations that consider distance, cargo type, weight, packaging, value &amp; historic claims to determine the most suitable risk premium. Pay-only-for-what-you-need with SUREfox.</v>
          </cell>
          <cell r="C1602" t="str">
            <v>Active</v>
          </cell>
          <cell r="D1602">
            <v>2018</v>
          </cell>
          <cell r="X1602" t="str">
            <v>Financial Services</v>
          </cell>
        </row>
        <row r="1603">
          <cell r="A1603" t="str">
            <v>Swiftly</v>
          </cell>
          <cell r="B1603" t="str">
            <v>Swiftly is a global deliveries &amp; shipping solutions platform</v>
          </cell>
          <cell r="C1603" t="str">
            <v>Active</v>
          </cell>
          <cell r="D1603">
            <v>2014</v>
          </cell>
          <cell r="G1603" t="str">
            <v>Ghana</v>
          </cell>
          <cell r="X1603" t="str">
            <v>Transport &amp; Logistics</v>
          </cell>
          <cell r="Y1603" t="str">
            <v>Analytics, Big Data, Public Transportation, Transportation</v>
          </cell>
        </row>
        <row r="1604">
          <cell r="A1604" t="str">
            <v>Thula Baba Project NPO</v>
          </cell>
          <cell r="B1604" t="str">
            <v>The Thula Baba Box is a survival kit for babies that is handed out to mothers who give birth in public healthcare facilities.</v>
          </cell>
          <cell r="C1604" t="str">
            <v>Active</v>
          </cell>
          <cell r="D1604">
            <v>2017</v>
          </cell>
          <cell r="G1604" t="str">
            <v>South Africa</v>
          </cell>
          <cell r="X1604" t="str">
            <v>Healthcare &amp; Pharma</v>
          </cell>
          <cell r="Y1604" t="str">
            <v>Health Care, Personal Health, Wellness</v>
          </cell>
        </row>
        <row r="1605">
          <cell r="A1605" t="str">
            <v>Thawte</v>
          </cell>
          <cell r="B1605" t="str">
            <v>Thawte is a certificate authority to issue SSL certificates to public entities outside of the United States.</v>
          </cell>
          <cell r="D1605">
            <v>1995</v>
          </cell>
          <cell r="G1605" t="str">
            <v>South Africa</v>
          </cell>
          <cell r="X1605" t="str">
            <v>Information Technology</v>
          </cell>
          <cell r="Y1605" t="str">
            <v>Cyber Security, Information Services, Information Technology</v>
          </cell>
        </row>
        <row r="1606">
          <cell r="A1606" t="str">
            <v>Suritec</v>
          </cell>
          <cell r="B1606" t="str">
            <v>Suritec is a peer-to-peer marketplace that enables users to find and share extra space (storage, parking and venues) via an easy-to-use online platform</v>
          </cell>
        </row>
        <row r="1607">
          <cell r="A1607" t="str">
            <v>TabAds</v>
          </cell>
          <cell r="B1607" t="str">
            <v>TabAds provides tablets and places behind headrests in cabs.</v>
          </cell>
          <cell r="C1607" t="str">
            <v>Active</v>
          </cell>
          <cell r="D1607">
            <v>2017</v>
          </cell>
          <cell r="G1607" t="str">
            <v>Kenya</v>
          </cell>
          <cell r="X1607" t="str">
            <v>Media &amp; Entertainment</v>
          </cell>
          <cell r="Y1607" t="str">
            <v>Media and Entertainment, News</v>
          </cell>
        </row>
        <row r="1608">
          <cell r="A1608" t="str">
            <v>Taeillo</v>
          </cell>
          <cell r="B1608" t="str">
            <v>Tǽillὸ is a Nigerian Furniture and Lifestyle Brand that designs and manufactures Furniture by harnessing traditional forms, Materials, Local resources available with both local and modern Technology to create premium Furniture pieces with 99% Local content.</v>
          </cell>
          <cell r="C1608" t="str">
            <v>Active</v>
          </cell>
          <cell r="D1608">
            <v>2016</v>
          </cell>
          <cell r="G1608" t="str">
            <v>Nigeria</v>
          </cell>
          <cell r="X1608" t="str">
            <v>E-Commerce &amp; Retail</v>
          </cell>
          <cell r="Y1608" t="str">
            <v>Furniture, Fashion, Design</v>
          </cell>
        </row>
        <row r="1609">
          <cell r="A1609" t="str">
            <v>Tahrir Academy</v>
          </cell>
        </row>
        <row r="1610">
          <cell r="A1610" t="str">
            <v>TakaTaka Solutions</v>
          </cell>
          <cell r="B1610" t="str">
            <v>Taka Taka is providing solutions to Kenya's waste problem, through providing an effective waste management system.</v>
          </cell>
          <cell r="C1610" t="str">
            <v>Active</v>
          </cell>
          <cell r="D1610">
            <v>2011</v>
          </cell>
          <cell r="G1610" t="str">
            <v>Kenya</v>
          </cell>
          <cell r="X1610" t="str">
            <v>Energy &amp; Environment Resources</v>
          </cell>
          <cell r="Y1610" t="str">
            <v>Waste Management</v>
          </cell>
        </row>
        <row r="1611">
          <cell r="A1611" t="str">
            <v xml:space="preserve">Swaiba </v>
          </cell>
          <cell r="B1611" t="str">
            <v>Kenya’s Swaiba explores ways to supercharge student and industry engagement through university departments and career services</v>
          </cell>
          <cell r="C1611" t="str">
            <v>Active</v>
          </cell>
          <cell r="G1611" t="str">
            <v>Kenya</v>
          </cell>
          <cell r="X1611" t="str">
            <v>Education</v>
          </cell>
          <cell r="Y1611" t="str">
            <v>Training</v>
          </cell>
        </row>
        <row r="1612">
          <cell r="A1612" t="str">
            <v>Tanda</v>
          </cell>
          <cell r="B1612" t="str">
            <v>Tanda is a fintech startup working to revolutionize access to essential digital financial services for micro-retilers across Africa.</v>
          </cell>
          <cell r="C1612" t="str">
            <v>Active</v>
          </cell>
          <cell r="D1612">
            <v>2017</v>
          </cell>
          <cell r="G1612" t="str">
            <v>Kenya</v>
          </cell>
          <cell r="X1612" t="str">
            <v>Financial Services</v>
          </cell>
          <cell r="Y1612" t="str">
            <v>Credit, Financial Services, FinTech, Micro Lending, Supply Chain Management</v>
          </cell>
        </row>
        <row r="1613">
          <cell r="A1613" t="str">
            <v>Tap4Glam</v>
          </cell>
          <cell r="B1613" t="str">
            <v>Tap4Glam, the Uber of Beauty, is an on-demand beauty services solution, based on a Marketplace model that connects professionals and beauty customers and allows the booking of beauty and wellness services at home. , in companies or events.</v>
          </cell>
          <cell r="C1613" t="str">
            <v>Active</v>
          </cell>
          <cell r="D1613">
            <v>2018</v>
          </cell>
          <cell r="G1613" t="str">
            <v>Tunisia</v>
          </cell>
          <cell r="X1613" t="str">
            <v>Information Technology</v>
          </cell>
          <cell r="Y1613" t="str">
            <v>Consumer Services, Beauty Tech</v>
          </cell>
        </row>
        <row r="1614">
          <cell r="A1614" t="str">
            <v>Taskmoby</v>
          </cell>
          <cell r="B1614" t="str">
            <v>Taskmoby is a home services application and will allow users find service providers to fulfill tasks around.</v>
          </cell>
          <cell r="C1614" t="str">
            <v>Active</v>
          </cell>
          <cell r="D1614">
            <v>2016</v>
          </cell>
          <cell r="G1614" t="str">
            <v>Ethiopia</v>
          </cell>
          <cell r="X1614" t="str">
            <v>Commercial &amp; Professional Services</v>
          </cell>
          <cell r="Y1614" t="str">
            <v>Home Services, Talent, Labour</v>
          </cell>
        </row>
        <row r="1615">
          <cell r="A1615" t="str">
            <v>Swift GeoSpatial</v>
          </cell>
        </row>
        <row r="1616">
          <cell r="A1616" t="str">
            <v>Taxi Live Africa</v>
          </cell>
          <cell r="B1616" t="str">
            <v>Taxi Live Africa is an e-hailing, metered taxi App built for Africa</v>
          </cell>
          <cell r="C1616" t="str">
            <v>Active</v>
          </cell>
          <cell r="D1616">
            <v>2017</v>
          </cell>
          <cell r="G1616" t="str">
            <v>South Africa</v>
          </cell>
          <cell r="X1616" t="str">
            <v>Transport &amp; Logistics</v>
          </cell>
          <cell r="Y1616" t="str">
            <v>Ride-Hailing, Taxi</v>
          </cell>
        </row>
        <row r="1617">
          <cell r="A1617" t="str">
            <v>Swift Vee</v>
          </cell>
        </row>
        <row r="1618">
          <cell r="A1618" t="str">
            <v>Swiftaide</v>
          </cell>
          <cell r="B1618" t="str">
            <v>Swiftaide is a mobile marketplace that matches freelance labor with local demand, allowing consumers to find immediate help with everyday tasks, including cleaning, moving, delivery and handyman work.</v>
          </cell>
          <cell r="D1618">
            <v>2018</v>
          </cell>
          <cell r="X1618" t="str">
            <v>Information Technology</v>
          </cell>
        </row>
        <row r="1619">
          <cell r="A1619" t="str">
            <v>swiftVEE</v>
          </cell>
          <cell r="B1619" t="str">
            <v>swiftVEE, is an online platform that connects livestock agencies to a network of buyers and sellers.</v>
          </cell>
          <cell r="C1619" t="str">
            <v>Active</v>
          </cell>
          <cell r="D1619">
            <v>2016</v>
          </cell>
          <cell r="G1619" t="str">
            <v>South Africa</v>
          </cell>
        </row>
        <row r="1620">
          <cell r="A1620" t="str">
            <v>Ta Telecom</v>
          </cell>
          <cell r="B1620" t="str">
            <v>TA telecom is an African mobile technology and software company that builds mobile content platforms and analytic tools.</v>
          </cell>
          <cell r="D1620">
            <v>2000</v>
          </cell>
          <cell r="X1620" t="str">
            <v>Telecommunications</v>
          </cell>
          <cell r="Y1620" t="str">
            <v>Analytics, Big Data, Social Media Management, Telecommunications</v>
          </cell>
        </row>
        <row r="1621">
          <cell r="A1621" t="str">
            <v>Tattlr</v>
          </cell>
          <cell r="B1621" t="str">
            <v>Tattlr is a social media and digital communications solutions provider.</v>
          </cell>
          <cell r="D1621">
            <v>2011</v>
          </cell>
          <cell r="X1621" t="str">
            <v>Media &amp; Entertainment</v>
          </cell>
          <cell r="Y1621" t="str">
            <v>Content Creators, Social Media Advertising, Video Advertising</v>
          </cell>
        </row>
        <row r="1622">
          <cell r="A1622" t="str">
            <v>TaxiJet</v>
          </cell>
          <cell r="B1622" t="str">
            <v>With TaxiJet, book your TaxiJet with just three clicks.</v>
          </cell>
          <cell r="C1622" t="str">
            <v>Active</v>
          </cell>
          <cell r="G1622" t="str">
            <v>Ivory Coast</v>
          </cell>
          <cell r="X1622" t="str">
            <v>Transport &amp; Logistics</v>
          </cell>
          <cell r="Y1622" t="str">
            <v>Ride Hailing</v>
          </cell>
        </row>
        <row r="1623">
          <cell r="A1623" t="str">
            <v>Teachmepad</v>
          </cell>
          <cell r="B1623" t="str">
            <v>African EdTech Company that conceives materially &amp; energetically educational tablets.</v>
          </cell>
          <cell r="C1623" t="str">
            <v>Active</v>
          </cell>
          <cell r="D1623">
            <v>2016</v>
          </cell>
          <cell r="X1623" t="str">
            <v>Education</v>
          </cell>
          <cell r="Y1623" t="str">
            <v>EdTech</v>
          </cell>
        </row>
        <row r="1624">
          <cell r="A1624" t="str">
            <v>TeachMobile by Eneza</v>
          </cell>
        </row>
        <row r="1625">
          <cell r="A1625" t="str">
            <v>Ten Senses Africa</v>
          </cell>
          <cell r="B1625" t="str">
            <v>Ten Senses Africa is a fair-trade and organic macadamia trading company in Kenya</v>
          </cell>
          <cell r="C1625" t="str">
            <v>Active</v>
          </cell>
          <cell r="D1625">
            <v>2008</v>
          </cell>
          <cell r="G1625" t="str">
            <v>Kenya</v>
          </cell>
          <cell r="X1625" t="str">
            <v>Agriculture</v>
          </cell>
          <cell r="Y1625" t="str">
            <v>Agro-Processing, Agri-Business</v>
          </cell>
        </row>
        <row r="1626">
          <cell r="A1626" t="str">
            <v>Team Jobs</v>
          </cell>
          <cell r="B1626" t="str">
            <v>TeamJobs is a dedicated and established recruitment business based in Poole and the Bournemouth town centre . We were proudly awarded Dorset, Company of the Year status for 2015</v>
          </cell>
          <cell r="C1626" t="str">
            <v>Active</v>
          </cell>
          <cell r="D1626">
            <v>2002</v>
          </cell>
          <cell r="X1626" t="str">
            <v>Staffing and Recruiting</v>
          </cell>
          <cell r="Y1626" t="str">
            <v>Staffing and Recruiting</v>
          </cell>
        </row>
        <row r="1627">
          <cell r="A1627" t="str">
            <v>Team Kanji</v>
          </cell>
          <cell r="G1627" t="str">
            <v>Nigeria</v>
          </cell>
        </row>
        <row r="1628">
          <cell r="A1628" t="str">
            <v>Technovera Pty Ltd</v>
          </cell>
          <cell r="B1628" t="str">
            <v>Technovera is a social impact organisation that is focused on technology inclusion with the aim of improving the last mile for chronic medication access in Africa. We develop innovative technology solution that impact the lives of our people. We’ve developed Pelebox, a smart locker system that enables patients to collect their repeat chronic medication in under 2 minutes instead of waiting hours on queues at public clinics.</v>
          </cell>
          <cell r="C1628" t="str">
            <v>Active</v>
          </cell>
          <cell r="D1628">
            <v>2015</v>
          </cell>
          <cell r="G1628" t="str">
            <v>South Africa</v>
          </cell>
          <cell r="X1628" t="str">
            <v>Information Technology</v>
          </cell>
        </row>
        <row r="1629">
          <cell r="A1629" t="str">
            <v>Tecmicro</v>
          </cell>
          <cell r="B1629" t="str">
            <v>Marketing of various electronic components.Development and commercialization of equipment for residential automation</v>
          </cell>
          <cell r="C1629" t="str">
            <v>Active</v>
          </cell>
          <cell r="D1629">
            <v>2015</v>
          </cell>
          <cell r="G1629" t="str">
            <v>Angola</v>
          </cell>
          <cell r="X1629" t="str">
            <v>Emerging Technologies</v>
          </cell>
        </row>
        <row r="1630">
          <cell r="A1630" t="str">
            <v>The Good Tree</v>
          </cell>
          <cell r="B1630" t="str">
            <v>The Good Tree is revolutionizing marketing for offline SME's and invented a way for Media Owners to generate income without having to rely on only selling advertising. We have solved this with our white label payment/loyalty app. With the app in place, media owners (radio stations, magazines, brands, out-of-home) are enabled to offer followers a loyalty app with always-on discounts (app users always pay less than retail price). SME's get feet through the door when app users redeem their loyalty credits at these shops. Everybody wins.</v>
          </cell>
          <cell r="C1630" t="str">
            <v>Active</v>
          </cell>
          <cell r="D1630">
            <v>2016</v>
          </cell>
          <cell r="G1630" t="str">
            <v>South Africa</v>
          </cell>
          <cell r="X1630" t="str">
            <v>Media &amp; Entertainment</v>
          </cell>
          <cell r="Y1630" t="str">
            <v>Radio, Adverts, SMEs</v>
          </cell>
        </row>
        <row r="1631">
          <cell r="A1631" t="str">
            <v>The Grocery Shop</v>
          </cell>
          <cell r="B1631" t="str">
            <v>The Grocery Shop is an e-commerce company designed to make the e-grocery shopping experience an exquisite one for clients.</v>
          </cell>
          <cell r="C1631" t="str">
            <v>Active</v>
          </cell>
          <cell r="D1631">
            <v>2017</v>
          </cell>
          <cell r="G1631" t="str">
            <v>Egypt</v>
          </cell>
          <cell r="X1631" t="str">
            <v>Supermarkets</v>
          </cell>
          <cell r="Y1631" t="str">
            <v>E-Commerce</v>
          </cell>
        </row>
        <row r="1632">
          <cell r="A1632" t="str">
            <v>Tecnologias</v>
          </cell>
          <cell r="B1632" t="str">
            <v>OurUsb is combines a social network, a cloud storage service and e-mail to create what we call a social mail client, which enhances communication and collaboration</v>
          </cell>
          <cell r="C1632" t="str">
            <v>Active</v>
          </cell>
          <cell r="D1632">
            <v>2012</v>
          </cell>
          <cell r="G1632" t="str">
            <v>Angola</v>
          </cell>
          <cell r="X1632" t="str">
            <v>Information Technology</v>
          </cell>
        </row>
        <row r="1633">
          <cell r="A1633" t="str">
            <v>Thomani</v>
          </cell>
          <cell r="B1633" t="str">
            <v>Thomani is a real estate investment platform serving clients in South Africa.</v>
          </cell>
          <cell r="C1633" t="str">
            <v>Active</v>
          </cell>
          <cell r="D1633">
            <v>2019</v>
          </cell>
          <cell r="G1633" t="str">
            <v>South Africa</v>
          </cell>
          <cell r="X1633" t="str">
            <v>Information Technology</v>
          </cell>
          <cell r="Y1633" t="str">
            <v>Information Technology, Real Estate</v>
          </cell>
        </row>
        <row r="1634">
          <cell r="A1634" t="str">
            <v>Tegeka Home Services (HS)</v>
          </cell>
          <cell r="C1634" t="str">
            <v>Active</v>
          </cell>
        </row>
        <row r="1635">
          <cell r="A1635" t="str">
            <v>TransferZero</v>
          </cell>
          <cell r="B1635" t="str">
            <v>Transferzero is an online international money transfer solution for companies and the individuals in more than 200 countries for free.</v>
          </cell>
          <cell r="D1635">
            <v>2016</v>
          </cell>
          <cell r="X1635" t="str">
            <v>Financial Services</v>
          </cell>
          <cell r="Y1635" t="str">
            <v>Financial Services, FinTech</v>
          </cell>
        </row>
        <row r="1636">
          <cell r="A1636" t="str">
            <v>Tellas</v>
          </cell>
          <cell r="B1636" t="str">
            <v>Tellas is a service providing painting and artistic services.</v>
          </cell>
          <cell r="X1636" t="str">
            <v>Information Technology</v>
          </cell>
          <cell r="Y1636" t="str">
            <v>Information Technology</v>
          </cell>
        </row>
        <row r="1637">
          <cell r="A1637" t="str">
            <v>Touchsides</v>
          </cell>
          <cell r="B1637" t="str">
            <v>Touchsides uses technology and big data insights to help brands and retailers win and retain loyal customers in high-growth markets</v>
          </cell>
          <cell r="D1637">
            <v>2013</v>
          </cell>
          <cell r="X1637" t="str">
            <v>Information Technology</v>
          </cell>
          <cell r="Y1637" t="str">
            <v>Customer Service, Data Visualization, Retail</v>
          </cell>
        </row>
        <row r="1638">
          <cell r="A1638" t="str">
            <v>Tetch Astro Systems</v>
          </cell>
          <cell r="B1638" t="str">
            <v>Tetch Astro Systems is a Kenyan based an IOT &amp; smart utilities technology company.</v>
          </cell>
          <cell r="C1638" t="str">
            <v>Active</v>
          </cell>
          <cell r="D1638">
            <v>2018</v>
          </cell>
          <cell r="G1638" t="str">
            <v>Kenya</v>
          </cell>
          <cell r="X1638" t="str">
            <v>Emerging technologies</v>
          </cell>
          <cell r="Y1638" t="str">
            <v>Internet of Things</v>
          </cell>
        </row>
        <row r="1639">
          <cell r="A1639" t="str">
            <v>Tikkeo Technologies</v>
          </cell>
          <cell r="B1639" t="str">
            <v>Tikkeo Technologies is an all-in-one software platform for events</v>
          </cell>
          <cell r="C1639" t="str">
            <v>Active</v>
          </cell>
          <cell r="D1639">
            <v>2017</v>
          </cell>
          <cell r="G1639" t="str">
            <v>Gabon</v>
          </cell>
          <cell r="X1639" t="str">
            <v>Information Technology</v>
          </cell>
          <cell r="Y1639" t="str">
            <v>Ticketing, Events website, events technology</v>
          </cell>
        </row>
        <row r="1640">
          <cell r="A1640" t="str">
            <v>Timbuktu</v>
          </cell>
          <cell r="B1640" t="str">
            <v>Timbuktu is an interactive platform that allows travellers to design and customize their own trip to Africa from a selection of hundreds of handpicked lodges and curated itineraries. They are changing how safaris are discovered and booked, empowering the traveller to take control by planning their own trips online, saving time and money along the way</v>
          </cell>
          <cell r="C1640" t="str">
            <v>Active</v>
          </cell>
          <cell r="D1640">
            <v>2014</v>
          </cell>
          <cell r="G1640" t="str">
            <v>South Africa</v>
          </cell>
          <cell r="X1640" t="str">
            <v>Travel &amp; Leisure</v>
          </cell>
          <cell r="Y1640" t="str">
            <v>Hospitality, Safari, Leisure</v>
          </cell>
        </row>
        <row r="1641">
          <cell r="A1641" t="str">
            <v>Tpay Mobile</v>
          </cell>
          <cell r="B1641" t="str">
            <v>TPAY Mobile is an open mobile payment platform that connects consumers, businesses, and mobile operators for operators billing</v>
          </cell>
          <cell r="C1641" t="str">
            <v>Acquired</v>
          </cell>
          <cell r="D1641">
            <v>2014</v>
          </cell>
          <cell r="G1641" t="str">
            <v>Egypt</v>
          </cell>
          <cell r="X1641" t="str">
            <v>Financial Services</v>
          </cell>
          <cell r="Y1641" t="str">
            <v>Apps, E-Commerce, FinTech, Mobile, Mobile Payments, Software, Telecommunications</v>
          </cell>
        </row>
        <row r="1642">
          <cell r="A1642" t="str">
            <v>Tirhal</v>
          </cell>
          <cell r="B1642" t="str">
            <v>With Tirhal you can book a car -saloon or amjad- as you need, for you or your friend. The app automatically calculates the cost.</v>
          </cell>
          <cell r="C1642" t="str">
            <v>Active</v>
          </cell>
          <cell r="D1642">
            <v>2016</v>
          </cell>
          <cell r="G1642" t="str">
            <v>Sudan</v>
          </cell>
          <cell r="X1642" t="str">
            <v>Transport &amp; Logistics</v>
          </cell>
          <cell r="Y1642" t="str">
            <v>Ride-hailing, Application software</v>
          </cell>
        </row>
        <row r="1643">
          <cell r="A1643" t="str">
            <v>The Farmer's Son Cycles</v>
          </cell>
          <cell r="B1643" t="str">
            <v>TFS Cycles is a cycle manufacturing company which designs, develops and manufactures various low cost cycles (three-wheeled human-powered cargo bikes) for the use of transportation of goods and services from one location to another in Africa</v>
          </cell>
          <cell r="C1643" t="str">
            <v>Active</v>
          </cell>
          <cell r="D1643">
            <v>2017</v>
          </cell>
          <cell r="G1643" t="str">
            <v>Nigeria</v>
          </cell>
          <cell r="X1643" t="str">
            <v>Automotive</v>
          </cell>
          <cell r="Y1643" t="str">
            <v>Manufacturing</v>
          </cell>
        </row>
        <row r="1644">
          <cell r="A1644" t="str">
            <v>Toolboksi</v>
          </cell>
          <cell r="B1644" t="str">
            <v>Toolboksi is a platform that solves &amp; unemployment and poverty by increasing the access to job opportunities to the skilled workers (Blue-collar workers, handymen, repairmen) operating in the informal sector by connecting them with customers using inclusive technologies (Web/SMS/Apps/Call/Short-code)</v>
          </cell>
          <cell r="C1644" t="str">
            <v>Active</v>
          </cell>
          <cell r="D1644">
            <v>2017</v>
          </cell>
          <cell r="G1644" t="str">
            <v>Tanzania</v>
          </cell>
          <cell r="X1644" t="str">
            <v>Information technology</v>
          </cell>
          <cell r="Y1644" t="str">
            <v>Information Technology, FinTech</v>
          </cell>
        </row>
        <row r="1645">
          <cell r="A1645" t="str">
            <v>TORA Africa</v>
          </cell>
          <cell r="B1645" t="str">
            <v>TORA Africa an academy that recruits, trains, verifies, insures and provides background-checked drivers for individuals and businesses</v>
          </cell>
          <cell r="C1645" t="str">
            <v>Active</v>
          </cell>
          <cell r="D1645">
            <v>2019</v>
          </cell>
          <cell r="G1645" t="str">
            <v>Nigeria</v>
          </cell>
          <cell r="X1645" t="str">
            <v>Education</v>
          </cell>
          <cell r="Y1645" t="str">
            <v>Business Travel, Human Resources</v>
          </cell>
        </row>
        <row r="1646">
          <cell r="A1646" t="str">
            <v>TheSunExchange</v>
          </cell>
          <cell r="B1646" t="str">
            <v>The Sun Exchange enables anyone anywhere to own and earn from solar panels</v>
          </cell>
          <cell r="C1646" t="str">
            <v>Active</v>
          </cell>
          <cell r="D1646">
            <v>2015</v>
          </cell>
          <cell r="G1646" t="str">
            <v>South Africa</v>
          </cell>
          <cell r="X1646" t="str">
            <v>Renewables &amp; Environment</v>
          </cell>
        </row>
        <row r="1647">
          <cell r="A1647" t="str">
            <v>Toufoula Kids</v>
          </cell>
          <cell r="B1647" t="str">
            <v>Toufoula Kids is an educational application in Arabic language for children aged 4 to 10 years old accompanied by other extracted products such as smart magazine.</v>
          </cell>
          <cell r="C1647" t="str">
            <v>Active</v>
          </cell>
          <cell r="D1647">
            <v>2015</v>
          </cell>
          <cell r="G1647" t="str">
            <v>Tunisia</v>
          </cell>
          <cell r="X1647" t="str">
            <v>Media and Entertainment</v>
          </cell>
          <cell r="Y1647" t="str">
            <v>Education, Media, Entertainment</v>
          </cell>
        </row>
        <row r="1648">
          <cell r="A1648" t="str">
            <v>Three Ws Investments Ltd</v>
          </cell>
          <cell r="B1648" t="str">
            <v>Three Ws Investments Ltd proposes an Agricultural Management Information Systems (AMIS). This product would feature capturing data relating to: Farmers, suppliers of certified inputs (Drugs, fertilisers, seeds, tools and equipment, etc), Service Providers (Veterinary officers andagronomists), market, agricutural financing (Banks and SACCOs</v>
          </cell>
        </row>
        <row r="1649">
          <cell r="A1649" t="str">
            <v>TMX Global</v>
          </cell>
          <cell r="B1649" t="str">
            <v>TMX Group companies provide listing venues, trading markets, clearing facilities, data products services to the global financial community.</v>
          </cell>
          <cell r="C1649" t="str">
            <v>Active</v>
          </cell>
          <cell r="D1649">
            <v>2008</v>
          </cell>
          <cell r="X1649" t="str">
            <v>Financial Services</v>
          </cell>
          <cell r="Y1649" t="str">
            <v>Consulting, Financial Exchanges, Financial Services, Market Research, Stock Exchanges</v>
          </cell>
        </row>
        <row r="1650">
          <cell r="A1650" t="str">
            <v>Trade</v>
          </cell>
          <cell r="B1650" t="str">
            <v>Trade is a platform that connects buyers, sellers, and transporters of commodities in Ghana. Trade allows buyers and sellers in Ghana to trade directly, cutting out the middlemen. You pick your quantity, grade, and price and they look for sellers to match you with. They weigh and grade every bag that they trade, deliver directly to you, and will take back any bag you reject, so you can buy without worrying.</v>
          </cell>
          <cell r="C1650" t="str">
            <v>Active</v>
          </cell>
          <cell r="D1650">
            <v>2016</v>
          </cell>
          <cell r="G1650" t="str">
            <v>Ghana</v>
          </cell>
          <cell r="X1650" t="str">
            <v>E-Commerce &amp; Retail</v>
          </cell>
          <cell r="Y1650" t="str">
            <v>Internet, Service Industry, Transportation</v>
          </cell>
        </row>
        <row r="1651">
          <cell r="A1651" t="str">
            <v>Trade Ghana</v>
          </cell>
          <cell r="B1651" t="str">
            <v>Trade connects buyers, sellers, and transporters.</v>
          </cell>
          <cell r="C1651" t="str">
            <v>Active</v>
          </cell>
          <cell r="D1651">
            <v>2016</v>
          </cell>
          <cell r="G1651" t="str">
            <v>Ghana</v>
          </cell>
          <cell r="X1651" t="str">
            <v>E-Commerce &amp; Retail</v>
          </cell>
          <cell r="Y1651" t="str">
            <v>Internet, Service Industry, Transportation</v>
          </cell>
        </row>
        <row r="1652">
          <cell r="A1652" t="str">
            <v>Thumeza</v>
          </cell>
          <cell r="B1652" t="str">
            <v>A next-generation logistics platform using the peer to peer model to provide delivery solutions.</v>
          </cell>
          <cell r="C1652" t="str">
            <v>Active</v>
          </cell>
          <cell r="D1652">
            <v>2018</v>
          </cell>
          <cell r="G1652" t="str">
            <v>Zimbabwe</v>
          </cell>
          <cell r="X1652" t="str">
            <v>Transport &amp; Logistics</v>
          </cell>
          <cell r="Y1652" t="str">
            <v>Courier Service, Delivery Service, Same Day Delivery, Transportation</v>
          </cell>
        </row>
        <row r="1653">
          <cell r="A1653" t="str">
            <v>TIFAT</v>
          </cell>
          <cell r="B1653" t="str">
            <v>TIFAT offers a mobile application that registers farmers, provides information about the available produce from farmers, buyers can place orders and farmers can access agribusiness information from farm experts</v>
          </cell>
        </row>
        <row r="1654">
          <cell r="A1654" t="str">
            <v>Tikkeo Gabon</v>
          </cell>
        </row>
        <row r="1655">
          <cell r="A1655" t="str">
            <v>Tira Robots</v>
          </cell>
          <cell r="B1655" t="str">
            <v>Industrial robots manufacturer</v>
          </cell>
          <cell r="D1655">
            <v>2018</v>
          </cell>
          <cell r="X1655" t="str">
            <v>Emerging Technologies</v>
          </cell>
          <cell r="Y1655" t="str">
            <v>Industrial Automation, Industrial Engineering, Machinery Manufacturing, Robotics, Software Engineering</v>
          </cell>
        </row>
        <row r="1656">
          <cell r="A1656" t="str">
            <v>Toto Health</v>
          </cell>
          <cell r="B1656" t="str">
            <v>Detecting development abnormalities and improving access to healthcare information for the remote and vulnerable populations</v>
          </cell>
          <cell r="D1656">
            <v>2014</v>
          </cell>
          <cell r="X1656" t="str">
            <v>Healthcare &amp; Pharma</v>
          </cell>
          <cell r="Y1656" t="str">
            <v>Health Care, Information Technology, mHealth</v>
          </cell>
        </row>
        <row r="1657">
          <cell r="A1657" t="str">
            <v>Travelcar</v>
          </cell>
          <cell r="B1657" t="str">
            <v>TravelCar is a startup who’s innovating parking and rentals for travelers.</v>
          </cell>
          <cell r="D1657">
            <v>2012</v>
          </cell>
          <cell r="X1657" t="str">
            <v>Travel &amp; Leisure</v>
          </cell>
          <cell r="Y1657" t="str">
            <v>Automotive, Car Sharing, Collaborative Consumption, Mobile Apps, Parking, Peer to Peer, Transportation, Travel</v>
          </cell>
        </row>
        <row r="1658">
          <cell r="A1658" t="str">
            <v>Trove Finance</v>
          </cell>
          <cell r="B1658" t="str">
            <v>Trove allows you invest in publicly traded stocks,cryptocurrency assets &amp; bonds from a click of a button.</v>
          </cell>
          <cell r="C1658" t="str">
            <v>Active</v>
          </cell>
          <cell r="D1658">
            <v>2016</v>
          </cell>
          <cell r="G1658" t="str">
            <v>Nigeria</v>
          </cell>
          <cell r="X1658" t="str">
            <v>Financial Services</v>
          </cell>
          <cell r="Y1658" t="str">
            <v>Cryptocurrency, Bitcoin, Bond trading</v>
          </cell>
        </row>
        <row r="1659">
          <cell r="A1659" t="str">
            <v>WeBuyCars</v>
          </cell>
          <cell r="B1659" t="str">
            <v>Webuycars is specialised car buying service</v>
          </cell>
          <cell r="C1659" t="str">
            <v>Active</v>
          </cell>
          <cell r="D1659">
            <v>2001</v>
          </cell>
          <cell r="G1659" t="str">
            <v>South Africa</v>
          </cell>
          <cell r="X1659" t="str">
            <v>E-Commerce &amp; Retail</v>
          </cell>
          <cell r="Y1659" t="str">
            <v>Automotive, car retail</v>
          </cell>
        </row>
        <row r="1660">
          <cell r="A1660" t="str">
            <v>VTN Communications</v>
          </cell>
          <cell r="B1660" t="str">
            <v>VTN Communications as a force in the telecommunications industry was established in 2011</v>
          </cell>
          <cell r="D1660">
            <v>2011</v>
          </cell>
          <cell r="G1660" t="str">
            <v>South Africa</v>
          </cell>
          <cell r="X1660" t="str">
            <v>Wireless</v>
          </cell>
          <cell r="Y1660" t="str">
            <v>Telecommunications, Wireless</v>
          </cell>
        </row>
        <row r="1661">
          <cell r="A1661" t="str">
            <v>Tqweem</v>
          </cell>
        </row>
        <row r="1662">
          <cell r="A1662" t="str">
            <v>Turaco</v>
          </cell>
          <cell r="B1662" t="str">
            <v>Turaco is changing healthcare financing in the developing world. Emerging consumers can’t get the care they want and need because they lack access to affordable insurance products and financing. Turaco creates simplified insurance and credit solutions distributed through mobile technology to uniquely solve the healthcare financing needs of emerging customers.</v>
          </cell>
          <cell r="C1662" t="str">
            <v>Active</v>
          </cell>
          <cell r="D1662">
            <v>2018</v>
          </cell>
          <cell r="G1662" t="str">
            <v>Kenya</v>
          </cell>
          <cell r="X1662" t="str">
            <v>Financial Services</v>
          </cell>
          <cell r="Y1662" t="str">
            <v>Health, Information Technology, FinTech</v>
          </cell>
        </row>
        <row r="1663">
          <cell r="A1663" t="str">
            <v>Utmost - Eg</v>
          </cell>
          <cell r="B1663" t="str">
            <v>Health tech company based in San Francisco</v>
          </cell>
          <cell r="D1663">
            <v>2016</v>
          </cell>
          <cell r="X1663" t="str">
            <v>Healthcare &amp; Pharma</v>
          </cell>
          <cell r="Y1663" t="str">
            <v>Health Care, Information Technology</v>
          </cell>
        </row>
        <row r="1664">
          <cell r="A1664" t="str">
            <v>Tranzit</v>
          </cell>
        </row>
        <row r="1665">
          <cell r="A1665" t="str">
            <v>Tuteria</v>
          </cell>
          <cell r="B1665" t="str">
            <v>Tuteria is an online learning platform that connects you with verified, expert teachers in your area to learn any subject, skill, language or pass any exam.</v>
          </cell>
          <cell r="C1665" t="str">
            <v>Active</v>
          </cell>
          <cell r="D1665">
            <v>2014</v>
          </cell>
          <cell r="G1665" t="str">
            <v>Nigeria</v>
          </cell>
          <cell r="X1665" t="str">
            <v>Education</v>
          </cell>
          <cell r="Y1665" t="str">
            <v>Education</v>
          </cell>
        </row>
        <row r="1666">
          <cell r="A1666" t="str">
            <v>Weza Tele</v>
          </cell>
          <cell r="B1666" t="str">
            <v>The company provides a range of financial products, including mobile loans and retail credit cards.</v>
          </cell>
          <cell r="C1666" t="str">
            <v>Acquired</v>
          </cell>
          <cell r="D1666">
            <v>2011</v>
          </cell>
          <cell r="G1666" t="str">
            <v>Kenya</v>
          </cell>
          <cell r="X1666" t="str">
            <v>Financial Services</v>
          </cell>
          <cell r="Y1666" t="str">
            <v>Financial Services, Mobile, Web Development</v>
          </cell>
        </row>
        <row r="1667">
          <cell r="A1667" t="str">
            <v>TrepLabs</v>
          </cell>
          <cell r="G1667" t="str">
            <v>Nigeria</v>
          </cell>
        </row>
        <row r="1668">
          <cell r="A1668" t="str">
            <v>Tripafrique</v>
          </cell>
          <cell r="B1668" t="str">
            <v>TripAfrique offers a pan-African platform specializing in travel to and within Africa.</v>
          </cell>
          <cell r="D1668">
            <v>2016</v>
          </cell>
          <cell r="X1668" t="str">
            <v>Travel &amp; Leisure</v>
          </cell>
          <cell r="Y1668" t="str">
            <v>Leisure, Tourism, Travel</v>
          </cell>
        </row>
        <row r="1669">
          <cell r="A1669" t="str">
            <v>Tymebank</v>
          </cell>
          <cell r="B1669" t="str">
            <v>TymeBank is a fully black-owned and controlled investment company based in South Africa. It is an exclusively digital retail bank that aims to provide every South African accessible and affordable banking so that they can take part in, grow and benefit from the country’s economy</v>
          </cell>
          <cell r="C1669" t="str">
            <v>Active</v>
          </cell>
          <cell r="D1669">
            <v>2012</v>
          </cell>
          <cell r="G1669" t="str">
            <v>South Africa</v>
          </cell>
          <cell r="X1669" t="str">
            <v>Financial Services</v>
          </cell>
          <cell r="Y1669" t="str">
            <v>Banking, Financial Services, Information Technology, Payments</v>
          </cell>
        </row>
        <row r="1670">
          <cell r="A1670" t="str">
            <v>Trukto</v>
          </cell>
          <cell r="B1670" t="str">
            <v>Trukto is a platform that uses cutting edge technology to link shippers with truckers.</v>
          </cell>
          <cell r="D1670">
            <v>2017</v>
          </cell>
          <cell r="X1670" t="str">
            <v>Information Technology</v>
          </cell>
          <cell r="Y1670" t="str">
            <v>Information Technology, Shipping</v>
          </cell>
        </row>
        <row r="1671">
          <cell r="A1671" t="str">
            <v>Ubongo</v>
          </cell>
          <cell r="B1671" t="str">
            <v>Ubongo is Africa's leading producer of kids' edutainment. As a non-profit social enterprise they create fun, localised and multi-platform educational content that helps kids learn, and leverage their learning to change their lives. Ubongo reaches millions of families across Africa through accessible technologies like TV, radio and mobile phones. Learn more about Ubongo at www.ubongo.org</v>
          </cell>
          <cell r="C1671" t="str">
            <v>Active</v>
          </cell>
          <cell r="D1671">
            <v>2013</v>
          </cell>
          <cell r="G1671" t="str">
            <v>Tanzania</v>
          </cell>
          <cell r="X1671" t="str">
            <v>Education</v>
          </cell>
          <cell r="Y1671" t="str">
            <v>E-Learning, EdTech, Edutainment</v>
          </cell>
        </row>
        <row r="1672">
          <cell r="A1672" t="str">
            <v>Truluv Granola</v>
          </cell>
          <cell r="B1672" t="str">
            <v>After living in Addis a while, we noticed that there are tons of Addis Ababans living busy and active lives, but lacking delicious and nutritious snacks to fuel their hard work and big adventures on-the-go. We seek to fuel meaningful experiences with convenient, nutritious, and natural snacks infused with the flavors of Ethiopia and crafted with love. We exist to support our employees, suppliers, partners, families and communities to create better lives.</v>
          </cell>
          <cell r="D1672">
            <v>2016</v>
          </cell>
          <cell r="X1672" t="str">
            <v>E-Commerce &amp; Retail</v>
          </cell>
        </row>
        <row r="1673">
          <cell r="A1673" t="str">
            <v>TTST Solutions</v>
          </cell>
        </row>
        <row r="1674">
          <cell r="A1674" t="str">
            <v>Ugabus</v>
          </cell>
          <cell r="B1674" t="str">
            <v>Ugabus offers a web &amp; mobile app for you to Book any bus, to travel Anywhere within Eastafrica.</v>
          </cell>
          <cell r="C1674" t="str">
            <v>Active</v>
          </cell>
          <cell r="D1674">
            <v>2016</v>
          </cell>
          <cell r="G1674" t="str">
            <v>Uganda</v>
          </cell>
          <cell r="X1674" t="str">
            <v>Transport &amp; Logistics</v>
          </cell>
          <cell r="Y1674" t="str">
            <v>Transportation/Trucking/Railroad</v>
          </cell>
        </row>
        <row r="1675">
          <cell r="A1675" t="str">
            <v>Turnkey Ledger</v>
          </cell>
          <cell r="G1675" t="str">
            <v>Tunisia</v>
          </cell>
          <cell r="X1675" t="str">
            <v>Personal Services</v>
          </cell>
        </row>
        <row r="1676">
          <cell r="A1676" t="str">
            <v>Tuseapp</v>
          </cell>
          <cell r="B1676" t="str">
            <v>Tuse allows people to communicate in places with no signal</v>
          </cell>
          <cell r="D1676">
            <v>2015</v>
          </cell>
          <cell r="X1676" t="str">
            <v>Telecommunications</v>
          </cell>
          <cell r="Y1676" t="str">
            <v>Apps</v>
          </cell>
        </row>
        <row r="1677">
          <cell r="A1677" t="str">
            <v>Tuta-Me</v>
          </cell>
          <cell r="C1677" t="str">
            <v>Active</v>
          </cell>
          <cell r="G1677" t="str">
            <v>South Africa</v>
          </cell>
          <cell r="X1677" t="str">
            <v>Education</v>
          </cell>
        </row>
        <row r="1678">
          <cell r="A1678" t="str">
            <v>Tutor Roots</v>
          </cell>
          <cell r="B1678" t="str">
            <v>We believe that every child has the capacity for great things. The one-on-one environment of private tuition means their capabilities can be nourished! Children are our future &amp; what better way is to secure their roots in a strong foundation</v>
          </cell>
          <cell r="D1678">
            <v>2015</v>
          </cell>
        </row>
        <row r="1679">
          <cell r="A1679" t="str">
            <v>Ujuzikilimo Solutions</v>
          </cell>
          <cell r="B1679" t="str">
            <v>UjuziKilimo leverages on the power of big data analytics and soil sensors to provide precision farming knowledge to small holder farmers</v>
          </cell>
          <cell r="C1679" t="str">
            <v>Active</v>
          </cell>
          <cell r="D1679">
            <v>2015</v>
          </cell>
          <cell r="G1679" t="str">
            <v>Kenya</v>
          </cell>
          <cell r="X1679" t="str">
            <v>Agriculture</v>
          </cell>
          <cell r="Y1679" t="str">
            <v>Agriculture, Analytics, Big Data, Farming, Internet of Things, Predictive Analytics</v>
          </cell>
        </row>
        <row r="1680">
          <cell r="A1680" t="str">
            <v>Tutorama</v>
          </cell>
          <cell r="B1680" t="str">
            <v>Tutorama is a curated tutoring marketplace connecting parents and students with tutors.</v>
          </cell>
          <cell r="D1680">
            <v>2016</v>
          </cell>
          <cell r="X1680" t="str">
            <v>Education</v>
          </cell>
          <cell r="Y1680" t="str">
            <v>E-Learning, EdTech, Tutoring</v>
          </cell>
        </row>
        <row r="1681">
          <cell r="A1681" t="str">
            <v>Twaa</v>
          </cell>
          <cell r="G1681" t="str">
            <v>Tanzania</v>
          </cell>
          <cell r="X1681" t="str">
            <v>E-Commerce &amp; Retail</v>
          </cell>
        </row>
        <row r="1682">
          <cell r="A1682" t="str">
            <v>Umati Capital</v>
          </cell>
          <cell r="B1682" t="str">
            <v>Umati Capital is a non-bank financial institution focused on the provision of credit and related payment technologies. Umati Capital is revolutionising access to finance through the consistent and innovative use of technology.</v>
          </cell>
          <cell r="C1682" t="str">
            <v>Active</v>
          </cell>
          <cell r="D1682">
            <v>2012</v>
          </cell>
          <cell r="G1682" t="str">
            <v>Kenya</v>
          </cell>
          <cell r="X1682" t="str">
            <v>Financial Services</v>
          </cell>
          <cell r="Y1682" t="str">
            <v>Fast-Moving Consumer Goods, Financial Services</v>
          </cell>
        </row>
        <row r="1683">
          <cell r="A1683" t="str">
            <v>Unicorn.Ng</v>
          </cell>
          <cell r="B1683" t="str">
            <v>Building the fastest and most intuitive way to securely store, buy, sell, trade and learn about bitcoin and cryptocurrencies in Africa.</v>
          </cell>
          <cell r="C1683" t="str">
            <v>Active</v>
          </cell>
          <cell r="D1683">
            <v>2017</v>
          </cell>
          <cell r="G1683" t="str">
            <v>Nigeria</v>
          </cell>
          <cell r="X1683" t="str">
            <v>Financial Services</v>
          </cell>
          <cell r="Y1683" t="str">
            <v>Blockchain, Cryptocurrency, FinTech</v>
          </cell>
        </row>
        <row r="1684">
          <cell r="A1684" t="str">
            <v>Tydoc Construction</v>
          </cell>
        </row>
        <row r="1685">
          <cell r="A1685" t="str">
            <v>Uprise.Africa</v>
          </cell>
          <cell r="B1685" t="str">
            <v>South Africa's Equity Crowdfunding Platform. A new innovative space for capital raising and small business investment.</v>
          </cell>
          <cell r="C1685" t="str">
            <v>Active</v>
          </cell>
          <cell r="D1685">
            <v>2017</v>
          </cell>
          <cell r="G1685" t="str">
            <v>South Africa</v>
          </cell>
          <cell r="X1685" t="str">
            <v>Financial Services</v>
          </cell>
          <cell r="Y1685" t="str">
            <v>Equity Crowdfunding, Investment, and Funding</v>
          </cell>
        </row>
        <row r="1686">
          <cell r="A1686" t="str">
            <v>Ufolo</v>
          </cell>
          <cell r="C1686" t="str">
            <v>Active</v>
          </cell>
          <cell r="X1686" t="str">
            <v>Energy &amp; Environment Resources</v>
          </cell>
        </row>
        <row r="1687">
          <cell r="A1687" t="str">
            <v>UG Tickets</v>
          </cell>
          <cell r="B1687" t="str">
            <v>UG Tickets is a secure, online platform designed to facilitate the selling, marketing, and distribution of tickets for the convenience of event organizers/vendors and the consumers making it possible for people to browse through a variety of events in music, football, festivals, conferences and talk-shows online</v>
          </cell>
          <cell r="C1687" t="str">
            <v>Active</v>
          </cell>
          <cell r="D1687">
            <v>2015</v>
          </cell>
          <cell r="G1687" t="str">
            <v>Uganda</v>
          </cell>
          <cell r="X1687" t="str">
            <v>Media &amp; Entertainment</v>
          </cell>
          <cell r="Y1687" t="str">
            <v>Ticketing, Events, Retail</v>
          </cell>
        </row>
        <row r="1688">
          <cell r="A1688" t="str">
            <v>Uganda Flying Labs</v>
          </cell>
          <cell r="B1688" t="str">
            <v>Fly Labs – Making video creativity mainstream</v>
          </cell>
          <cell r="D1688">
            <v>2012</v>
          </cell>
          <cell r="X1688" t="str">
            <v>Telecommunications</v>
          </cell>
          <cell r="Y1688" t="str">
            <v>Computer, iOS, Software</v>
          </cell>
        </row>
        <row r="1689">
          <cell r="A1689" t="str">
            <v>Uganics</v>
          </cell>
          <cell r="B1689" t="str">
            <v>Uganics s leveraging a product, the Uganics mosquito repellent soap in the fight against Malaria, one of Africa's bigget killer diseases.</v>
          </cell>
          <cell r="C1689" t="str">
            <v>Active</v>
          </cell>
          <cell r="D1689">
            <v>2016</v>
          </cell>
          <cell r="G1689" t="str">
            <v>Uganda</v>
          </cell>
          <cell r="X1689" t="str">
            <v>Energy &amp; Environment Resources</v>
          </cell>
        </row>
        <row r="1690">
          <cell r="A1690" t="str">
            <v>VEhSEh</v>
          </cell>
          <cell r="B1690" t="str">
            <v>VEhSEh is creating solutions for the healthcare industry through VenHealth.</v>
          </cell>
          <cell r="C1690" t="str">
            <v>Active</v>
          </cell>
          <cell r="D1690">
            <v>2016</v>
          </cell>
          <cell r="G1690" t="str">
            <v>Cameroon</v>
          </cell>
          <cell r="X1690" t="str">
            <v>Healthcare &amp; Pharma</v>
          </cell>
          <cell r="Y1690" t="str">
            <v>HealthTech</v>
          </cell>
        </row>
        <row r="1691">
          <cell r="A1691" t="str">
            <v>UGTickets</v>
          </cell>
          <cell r="C1691" t="str">
            <v>Active</v>
          </cell>
        </row>
        <row r="1692">
          <cell r="A1692" t="str">
            <v>Ukhozi Analytics</v>
          </cell>
          <cell r="B1692" t="str">
            <v>Ukhozi Analytics is a provider of insights derived from earth observation satellites, location-based analytics, unmanned aerial vehicles, and other associated geo-information data sources</v>
          </cell>
          <cell r="C1692" t="str">
            <v>Active</v>
          </cell>
          <cell r="G1692" t="str">
            <v>Zimbabwe</v>
          </cell>
        </row>
        <row r="1693">
          <cell r="A1693" t="str">
            <v>Vericampus</v>
          </cell>
          <cell r="B1693" t="str">
            <v>At VeriCampus, we leverage emerging and exponential tech in helping schools help their students succeed. We have two headline products - VeriCampus Mobile and VeriCampus Assistant.</v>
          </cell>
          <cell r="C1693" t="str">
            <v>Active</v>
          </cell>
          <cell r="D1693">
            <v>2016</v>
          </cell>
          <cell r="G1693" t="str">
            <v>Nigeria</v>
          </cell>
          <cell r="X1693" t="str">
            <v>Education</v>
          </cell>
          <cell r="Y1693" t="str">
            <v>Artificial Intelligence, Education, Internet, Machine Learning, Messaging, Mobile Apps, SaaS</v>
          </cell>
        </row>
        <row r="1694">
          <cell r="A1694" t="str">
            <v>Ukulima Tech</v>
          </cell>
          <cell r="B1694" t="str">
            <v>Ukulima Tech (UT) specializes in the design, fabrication and installation of Vertical Farming systems, tower gardens and kitchen gardens</v>
          </cell>
          <cell r="C1694" t="str">
            <v>Active</v>
          </cell>
          <cell r="D1694">
            <v>2014</v>
          </cell>
          <cell r="X1694" t="str">
            <v>Agriculture</v>
          </cell>
        </row>
        <row r="1695">
          <cell r="A1695" t="str">
            <v>Umbrella</v>
          </cell>
          <cell r="B1695" t="str">
            <v>Using AI and data analytics to help corporates tackle bias and improve diversity and inclusion</v>
          </cell>
          <cell r="D1695">
            <v>2018</v>
          </cell>
          <cell r="X1695" t="str">
            <v>Commercial &amp; Professional Services</v>
          </cell>
          <cell r="Y1695" t="str">
            <v>Consulting, Software</v>
          </cell>
        </row>
        <row r="1696">
          <cell r="A1696" t="str">
            <v>Versara Finance</v>
          </cell>
          <cell r="B1696" t="str">
            <v>Versara is a provider of small loans and advances to individuals and small businesses</v>
          </cell>
          <cell r="C1696" t="str">
            <v>Active</v>
          </cell>
          <cell r="D1696">
            <v>2015</v>
          </cell>
          <cell r="G1696" t="str">
            <v>Zambia</v>
          </cell>
          <cell r="X1696" t="str">
            <v>Financial Services</v>
          </cell>
          <cell r="Y1696" t="str">
            <v>Finance, FinTech</v>
          </cell>
        </row>
        <row r="1697">
          <cell r="A1697" t="str">
            <v>UpNepa</v>
          </cell>
          <cell r="D1697">
            <v>2017</v>
          </cell>
          <cell r="X1697" t="str">
            <v>Information Technology</v>
          </cell>
          <cell r="Y1697" t="str">
            <v>Electrical Distribution, Mobile Apps, Software</v>
          </cell>
        </row>
        <row r="1698">
          <cell r="A1698" t="str">
            <v>Vesicash</v>
          </cell>
          <cell r="B1698" t="str">
            <v>Vesicash is an instant digital escrow service built on a proprietary payment technology that ensures you transact safely at all times.</v>
          </cell>
          <cell r="C1698" t="str">
            <v>Active</v>
          </cell>
          <cell r="D1698">
            <v>2018</v>
          </cell>
          <cell r="G1698" t="str">
            <v>Nigeria</v>
          </cell>
          <cell r="X1698" t="str">
            <v>Financial services</v>
          </cell>
          <cell r="Y1698" t="str">
            <v>Financial Services</v>
          </cell>
        </row>
        <row r="1699">
          <cell r="A1699" t="str">
            <v>Ustos Media Technologies</v>
          </cell>
          <cell r="B1699" t="str">
            <v>Custos uses patented blockchain incentives to stop media piracy. Over 120 000 movies protected to date</v>
          </cell>
          <cell r="D1699">
            <v>2014</v>
          </cell>
          <cell r="X1699" t="str">
            <v>Information Technology</v>
          </cell>
          <cell r="Y1699" t="str">
            <v>Bitcoin, Blockchain, Content, Digital Media, DRM, Information Technology</v>
          </cell>
        </row>
        <row r="1700">
          <cell r="A1700" t="str">
            <v>Verifone Mobile Money</v>
          </cell>
          <cell r="B1700" t="str">
            <v>Verifone Mobile Money is a San Francisco-based financial services firm.</v>
          </cell>
          <cell r="D1700">
            <v>2011</v>
          </cell>
          <cell r="X1700" t="str">
            <v>Financial Services</v>
          </cell>
          <cell r="Y1700" t="str">
            <v>Banking, Financial Services, FinTech, Mobile Payments</v>
          </cell>
        </row>
        <row r="1701">
          <cell r="A1701" t="str">
            <v>Utopixar</v>
          </cell>
          <cell r="B1701" t="str">
            <v>Utopixar provides technology that enables communities to thrive. We develop innovative solutions designed by and for resilient communities.We rely on the combination of open source software and user-centered design to solve global challenges.</v>
          </cell>
          <cell r="D1701">
            <v>2013</v>
          </cell>
          <cell r="G1701" t="str">
            <v>Tunisia</v>
          </cell>
          <cell r="X1701" t="str">
            <v>Information Technology</v>
          </cell>
          <cell r="Y1701" t="str">
            <v>Open source, collaboration tool, Social network, CRM, and IT security</v>
          </cell>
        </row>
        <row r="1702">
          <cell r="A1702" t="str">
            <v>Vaya Africa</v>
          </cell>
          <cell r="B1702" t="str">
            <v>An app-based ride hailing service which connects people with the best local drivers to provide a seamless and comfortable transfer from one place to another</v>
          </cell>
          <cell r="C1702" t="str">
            <v>Active</v>
          </cell>
          <cell r="D1702">
            <v>2018</v>
          </cell>
          <cell r="Y1702" t="str">
            <v>N/A</v>
          </cell>
        </row>
        <row r="1703">
          <cell r="A1703" t="str">
            <v>Veemo.ma</v>
          </cell>
          <cell r="B1703" t="str">
            <v>Veemo is an online marketplace operating in Morocco.</v>
          </cell>
          <cell r="C1703" t="str">
            <v>Active</v>
          </cell>
          <cell r="D1703">
            <v>2019</v>
          </cell>
          <cell r="G1703" t="str">
            <v>Morocco</v>
          </cell>
          <cell r="X1703" t="str">
            <v>E-Commerce &amp; Retail</v>
          </cell>
          <cell r="Y1703" t="str">
            <v>E-Commerce</v>
          </cell>
        </row>
        <row r="1704">
          <cell r="A1704" t="str">
            <v>Vendex</v>
          </cell>
          <cell r="B1704" t="str">
            <v>Established in 2003, Vendex is the premier event for the UK vending industry, attracting serious buyers eager or keen to see the latest innovations on offer from machine manufacturers, ingredient suppliers and distributors of products, equipment and allied services, together with major brand names. Vendex has become a truly international exhibition, attracting exhibitors and visitors from around the world.</v>
          </cell>
          <cell r="C1704" t="str">
            <v>Active</v>
          </cell>
          <cell r="D1704">
            <v>2003</v>
          </cell>
          <cell r="X1704" t="str">
            <v>Wholesale</v>
          </cell>
        </row>
        <row r="1705">
          <cell r="A1705" t="str">
            <v>Venture Garden Group</v>
          </cell>
          <cell r="B1705" t="str">
            <v>Venture Garden Nigeria is a holding company for a group of financial technology entities.</v>
          </cell>
          <cell r="D1705">
            <v>2010</v>
          </cell>
          <cell r="X1705" t="str">
            <v>Information Technology</v>
          </cell>
          <cell r="Y1705" t="str">
            <v>Enterprise Software, Information Services, Information Technology, Professional Services</v>
          </cell>
        </row>
        <row r="1706">
          <cell r="A1706" t="str">
            <v>Vertofx</v>
          </cell>
          <cell r="B1706" t="str">
            <v>VERTO provides liquidity and price discovery tools for international businesses.</v>
          </cell>
          <cell r="D1706">
            <v>2017</v>
          </cell>
          <cell r="X1706" t="str">
            <v>Financial Services</v>
          </cell>
          <cell r="Y1706" t="str">
            <v>Finance, FinTech, Marketplace, Payments, Small and Medium Businesses</v>
          </cell>
        </row>
        <row r="1707">
          <cell r="A1707" t="str">
            <v>VeriSign</v>
          </cell>
          <cell r="B1707" t="str">
            <v>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v>
          </cell>
          <cell r="C1707" t="str">
            <v>Active</v>
          </cell>
          <cell r="D1707">
            <v>1995</v>
          </cell>
          <cell r="G1707" t="str">
            <v>United States of America</v>
          </cell>
          <cell r="X1707" t="str">
            <v>Information Technology</v>
          </cell>
          <cell r="Y1707" t="str">
            <v>Cyber Security, Information Technology, Infrastructure, Internet, Security, Web Hosting</v>
          </cell>
        </row>
        <row r="1708">
          <cell r="A1708" t="str">
            <v>Vetsark</v>
          </cell>
          <cell r="B1708" t="str">
            <v>By simply using Vetsark you can manage your doctors (staff), conduct sales and inventory, and boost your business productivity by over 100%.</v>
          </cell>
          <cell r="C1708" t="str">
            <v>Active</v>
          </cell>
          <cell r="D1708">
            <v>2018</v>
          </cell>
          <cell r="G1708" t="str">
            <v>Nigeria</v>
          </cell>
          <cell r="X1708" t="str">
            <v>Software</v>
          </cell>
          <cell r="Y1708" t="str">
            <v>Agriculture · Software · Veterinarian</v>
          </cell>
        </row>
        <row r="1709">
          <cell r="A1709" t="str">
            <v>Vidr</v>
          </cell>
          <cell r="B1709" t="str">
            <v>Vidr is a an app, and video content production company using state-of-the-art technology to create immersive content.</v>
          </cell>
          <cell r="C1709" t="str">
            <v>Active</v>
          </cell>
          <cell r="D1709">
            <v>2017</v>
          </cell>
          <cell r="G1709" t="str">
            <v>South Africa</v>
          </cell>
          <cell r="X1709" t="str">
            <v>Media and Entertainment</v>
          </cell>
          <cell r="Y1709" t="str">
            <v>Insta Video, Film making, video Production</v>
          </cell>
        </row>
        <row r="1710">
          <cell r="A1710" t="str">
            <v>Village Enterprise</v>
          </cell>
          <cell r="B1710" t="str">
            <v>Village Enterprise is a organization dedicated to ending poverty in rural African villages through entrepreneurship and innovation.</v>
          </cell>
          <cell r="D1710">
            <v>1987</v>
          </cell>
          <cell r="X1710" t="str">
            <v>Nonprofit Organization Management</v>
          </cell>
          <cell r="Y1710" t="str">
            <v>Communities</v>
          </cell>
        </row>
        <row r="1711">
          <cell r="A1711" t="str">
            <v>Vimosure</v>
          </cell>
          <cell r="B1711" t="str">
            <v>Vimosure offers a platform which allows insurers to digitally engage, cross-sell and up-sell with risk-holders.</v>
          </cell>
          <cell r="C1711" t="str">
            <v>Active</v>
          </cell>
          <cell r="D1711">
            <v>2018</v>
          </cell>
          <cell r="G1711" t="str">
            <v>South Africa</v>
          </cell>
          <cell r="X1711" t="str">
            <v>Financial Services</v>
          </cell>
        </row>
        <row r="1712">
          <cell r="A1712" t="str">
            <v>Wakanow</v>
          </cell>
          <cell r="B1712" t="str">
            <v>Wakanow is Africa’s leading online travel company. We offer travelers the cheapest available fares for flights, hotel reservations, airport pickups, visa assistance, vacation packages and many other travel services from a broad selection of partners</v>
          </cell>
          <cell r="C1712" t="str">
            <v>Active</v>
          </cell>
          <cell r="D1712">
            <v>2008</v>
          </cell>
          <cell r="G1712" t="str">
            <v>Nigeria</v>
          </cell>
          <cell r="X1712" t="str">
            <v>Travel &amp; Leisure</v>
          </cell>
          <cell r="Y1712" t="str">
            <v>Travel and Leisure</v>
          </cell>
        </row>
        <row r="1713">
          <cell r="A1713" t="str">
            <v>Vio Digital</v>
          </cell>
          <cell r="B1713" t="str">
            <v>One simple subscription - a world of journalism.</v>
          </cell>
          <cell r="D1713">
            <v>2014</v>
          </cell>
          <cell r="X1713" t="str">
            <v>Financial Services</v>
          </cell>
          <cell r="Y1713" t="str">
            <v>Content, Journalism, News, Publishing</v>
          </cell>
        </row>
        <row r="1714">
          <cell r="A1714" t="str">
            <v>Vipimo</v>
          </cell>
          <cell r="B1714" t="str">
            <v>Vipimo.io is an IOT platform that offers sensor subscriptions with a strong focus on water, agriculture, climate and logistics.</v>
          </cell>
          <cell r="C1714" t="str">
            <v>Active</v>
          </cell>
          <cell r="G1714" t="str">
            <v>Kenya</v>
          </cell>
          <cell r="X1714" t="str">
            <v>Emerging technologies</v>
          </cell>
          <cell r="Y1714" t="str">
            <v>Internet of Things, Sensor technology</v>
          </cell>
        </row>
        <row r="1715">
          <cell r="A1715" t="str">
            <v>Virtacash Ltd</v>
          </cell>
          <cell r="B1715" t="str">
            <v>Buy, Sell and Exchange e-Currencies(Perfect Money, Bitcoin, Skrill, Webmoney, SolidTrustPay, OKpay) and Money Transfer in Cameroon, CEMAC and Africa!</v>
          </cell>
          <cell r="D1715">
            <v>2009</v>
          </cell>
          <cell r="X1715" t="str">
            <v>Financial Services</v>
          </cell>
          <cell r="Y1715" t="str">
            <v>Buy, Sell and Exchange e-Currencies</v>
          </cell>
        </row>
        <row r="1716">
          <cell r="A1716" t="str">
            <v>Virtual Drive</v>
          </cell>
          <cell r="D1716">
            <v>2016</v>
          </cell>
          <cell r="X1716" t="str">
            <v>E-Commerce &amp; Retail</v>
          </cell>
          <cell r="Y1716" t="str">
            <v>Marketing, Online Portals, Sales</v>
          </cell>
        </row>
        <row r="1717">
          <cell r="A1717" t="str">
            <v>Vizibiliti Insight Africa</v>
          </cell>
          <cell r="B1717" t="str">
            <v>Vizibiliti Insight Africa is a Fintech business specialising in alternative credit scoring.</v>
          </cell>
          <cell r="D1717">
            <v>2016</v>
          </cell>
          <cell r="G1717" t="str">
            <v>South Africa</v>
          </cell>
          <cell r="X1717" t="str">
            <v>Information Technology</v>
          </cell>
          <cell r="Y1717" t="str">
            <v>Information Technology, Payments, Software</v>
          </cell>
        </row>
        <row r="1718">
          <cell r="A1718" t="str">
            <v>WayaWaya</v>
          </cell>
          <cell r="B1718" t="str">
            <v>One Account combining your bank, mobile wallet, savings &amp; payments services through Apps, Social platforms and APIs</v>
          </cell>
          <cell r="D1718">
            <v>2016</v>
          </cell>
          <cell r="G1718" t="str">
            <v>Kenya</v>
          </cell>
          <cell r="X1718" t="str">
            <v>Financial Services</v>
          </cell>
          <cell r="Y1718" t="str">
            <v>E-Commerce, Financial Services, FinTech, Mobile, Mobile Payments</v>
          </cell>
        </row>
        <row r="1719">
          <cell r="A1719" t="str">
            <v>Vmk Tech Congo</v>
          </cell>
          <cell r="B1719" t="str">
            <v>VMK is a company that was acquired by MercadoLibre in 2014.</v>
          </cell>
          <cell r="D1719">
            <v>2009</v>
          </cell>
          <cell r="Y1719" t="str">
            <v>Mobile</v>
          </cell>
        </row>
        <row r="1720">
          <cell r="A1720" t="str">
            <v xml:space="preserve">Vouch Digital </v>
          </cell>
          <cell r="B1720" t="str">
            <v>Vouch Digital champions the development of digital platforms particularly focusing on digital and mobile payments for cash-based programs.</v>
          </cell>
          <cell r="C1720" t="str">
            <v>Active</v>
          </cell>
        </row>
        <row r="1721">
          <cell r="A1721" t="str">
            <v>Vound Egypt</v>
          </cell>
        </row>
        <row r="1722">
          <cell r="A1722" t="str">
            <v>Voyaj Inc - Morocco</v>
          </cell>
          <cell r="B1722" t="str">
            <v>Voyaj connects people from around the world to deepen global understanding abroad or in your local community.Experience authentic one-one-one cultural exchange first hand.Travel as a guest, welcome as a host, expand and share knowledge in collaboration.Develop skills in global communication and leadership.Offer the gifts of your culture, open the heart and mind of a Voyajeur.</v>
          </cell>
          <cell r="D1722">
            <v>2014</v>
          </cell>
          <cell r="X1722" t="str">
            <v>Information Technology</v>
          </cell>
        </row>
        <row r="1723">
          <cell r="A1723" t="str">
            <v>Wecyclers</v>
          </cell>
          <cell r="B1723" t="str">
            <v>Wecyclers gives households a chance to capture value from their waste while providing a reliable supply of materials to the local recycling industry.</v>
          </cell>
          <cell r="C1723" t="str">
            <v>Active</v>
          </cell>
          <cell r="D1723">
            <v>2012</v>
          </cell>
          <cell r="G1723" t="str">
            <v>Nigeria</v>
          </cell>
          <cell r="X1723" t="str">
            <v>Renewables &amp; Environment</v>
          </cell>
          <cell r="Y1723" t="str">
            <v>Association, Communities, Recycling, Service Industry</v>
          </cell>
        </row>
        <row r="1724">
          <cell r="A1724" t="str">
            <v>WeDeliver</v>
          </cell>
          <cell r="B1724" t="str">
            <v>WeDeliver is an on-demand delivery company with the objective of creating a centralized on-demand delivery platform through a mobile application.</v>
          </cell>
          <cell r="C1724" t="str">
            <v>Active</v>
          </cell>
          <cell r="G1724" t="str">
            <v>Ethiopia</v>
          </cell>
          <cell r="X1724" t="str">
            <v>E-Commerce &amp; Retail</v>
          </cell>
          <cell r="Y1724" t="str">
            <v>E-commerce, Logistics</v>
          </cell>
        </row>
        <row r="1725">
          <cell r="A1725" t="str">
            <v>Vugapay</v>
          </cell>
          <cell r="B1725" t="str">
            <v>Media Marketplace</v>
          </cell>
          <cell r="D1725">
            <v>2017</v>
          </cell>
          <cell r="X1725" t="str">
            <v>Communication Services</v>
          </cell>
          <cell r="Y1725" t="str">
            <v>E-Commerce, Financial Services, Mobile, Mobile Payments</v>
          </cell>
        </row>
        <row r="1726">
          <cell r="A1726" t="str">
            <v>Wala</v>
          </cell>
          <cell r="B1726" t="str">
            <v>Wala is built a community-driven and gamified personal financial management tool for cash-based consumers in emerging markets.</v>
          </cell>
          <cell r="C1726" t="str">
            <v>Dead</v>
          </cell>
          <cell r="D1726">
            <v>2015</v>
          </cell>
          <cell r="X1726" t="str">
            <v>Financial Services</v>
          </cell>
          <cell r="Y1726" t="str">
            <v>Banking, FinTech, Mobile</v>
          </cell>
        </row>
        <row r="1727">
          <cell r="A1727" t="str">
            <v>WeMove Technologies</v>
          </cell>
          <cell r="B1727" t="str">
            <v>WeMove builds technologies for transportation and transport reliant businesses and industries.</v>
          </cell>
          <cell r="C1727" t="str">
            <v>Active</v>
          </cell>
          <cell r="D1727">
            <v>2017</v>
          </cell>
          <cell r="G1727" t="str">
            <v>Nigeria</v>
          </cell>
          <cell r="X1727" t="str">
            <v>Transport &amp; Logistics</v>
          </cell>
          <cell r="Y1727" t="str">
            <v>Car Hire</v>
          </cell>
        </row>
        <row r="1728">
          <cell r="A1728" t="str">
            <v>WapiMED</v>
          </cell>
          <cell r="B1728" t="str">
            <v>WapiMED is an African startup developing eHealth solutions aiming to ease access to quality healthcare in the African sub-Saharan region</v>
          </cell>
          <cell r="C1728" t="str">
            <v>Active</v>
          </cell>
          <cell r="D1728">
            <v>2016</v>
          </cell>
          <cell r="X1728" t="str">
            <v>Healthcare &amp; Pharma</v>
          </cell>
          <cell r="Y1728" t="str">
            <v>mHealth, Mobile Apps, Mobile Payments</v>
          </cell>
        </row>
        <row r="1729">
          <cell r="A1729" t="str">
            <v>Wesabi</v>
          </cell>
          <cell r="B1729" t="str">
            <v>Wesabi facilitates an online platform that enables individuals to find and obtain services of local workers and artisans for their residential or commercial property development. It enables them to obtain services in plumbing, carpentry, AC repair, electrical, home cleaning, laundry, tiling, and painting.</v>
          </cell>
          <cell r="C1729" t="str">
            <v>Active</v>
          </cell>
          <cell r="D1729">
            <v>2015</v>
          </cell>
          <cell r="G1729" t="str">
            <v>Nigeria</v>
          </cell>
          <cell r="X1729" t="str">
            <v>Commercial &amp; Professional Services</v>
          </cell>
          <cell r="Y1729" t="str">
            <v>Art, Internet, Service Industry</v>
          </cell>
        </row>
        <row r="1730">
          <cell r="A1730" t="str">
            <v>Wescore</v>
          </cell>
          <cell r="B1730" t="str">
            <v>Wescore helps in collecting social intelligence, and fans membership data to enable partners to promote their products and merchandising through discounts, and attractive offerings while building a rewards system</v>
          </cell>
          <cell r="C1730" t="str">
            <v>Active</v>
          </cell>
          <cell r="G1730" t="str">
            <v>Tunisia</v>
          </cell>
          <cell r="X1730" t="str">
            <v>Information Technology</v>
          </cell>
          <cell r="Y1730" t="str">
            <v>Management Systems</v>
          </cell>
        </row>
        <row r="1731">
          <cell r="A1731" t="str">
            <v>Waracake</v>
          </cell>
          <cell r="B1731" t="str">
            <v>WaraCake is Nigeria's largest cake marketplace.</v>
          </cell>
          <cell r="D1731">
            <v>2014</v>
          </cell>
          <cell r="X1731" t="str">
            <v>E-Commerce &amp; Retail</v>
          </cell>
          <cell r="Y1731" t="str">
            <v>E-Commerce, Internet, Mobile</v>
          </cell>
        </row>
        <row r="1732">
          <cell r="A1732" t="str">
            <v>Wattnow</v>
          </cell>
          <cell r="B1732" t="str">
            <v>Wattnow is a real-time monitoring solution that provides a breakdown of energy spending to identify wasteful trends.</v>
          </cell>
          <cell r="D1732">
            <v>2017</v>
          </cell>
          <cell r="X1732" t="str">
            <v>Research</v>
          </cell>
          <cell r="Y1732" t="str">
            <v>Analytics, Energy, Machine Learning, Renewable Energy</v>
          </cell>
        </row>
        <row r="1733">
          <cell r="A1733" t="str">
            <v>Wethinkcode</v>
          </cell>
          <cell r="B1733" t="str">
            <v>WeThinkCode_ is a network of revolutionary tech institutions dedicated to deliver Africa’s human potential and meet the increasing demand for software engineering skills.</v>
          </cell>
          <cell r="C1733" t="str">
            <v>Active</v>
          </cell>
          <cell r="D1733">
            <v>2015</v>
          </cell>
          <cell r="G1733" t="str">
            <v>South Africa</v>
          </cell>
          <cell r="X1733" t="str">
            <v>Education</v>
          </cell>
          <cell r="Y1733" t="str">
            <v>Education, Technology, Software engineering, and Coding</v>
          </cell>
        </row>
        <row r="1734">
          <cell r="A1734" t="str">
            <v>Watu Credit</v>
          </cell>
          <cell r="B1734" t="str">
            <v>Watu Credit Limited is a micro-finance institute specialized in emerging, sustainable and inclusive finance.</v>
          </cell>
          <cell r="C1734" t="str">
            <v>Active</v>
          </cell>
          <cell r="D1734">
            <v>2015</v>
          </cell>
          <cell r="G1734" t="str">
            <v>Kenya</v>
          </cell>
          <cell r="X1734" t="str">
            <v>Financial Services</v>
          </cell>
          <cell r="Y1734" t="str">
            <v>Finance, Financial Services, Sustainability</v>
          </cell>
        </row>
        <row r="1735">
          <cell r="A1735" t="str">
            <v>Ways</v>
          </cell>
          <cell r="C1735" t="str">
            <v>Active</v>
          </cell>
        </row>
        <row r="1736">
          <cell r="A1736" t="str">
            <v>WidEnergy Africa Ltd</v>
          </cell>
          <cell r="B1736" t="str">
            <v>Widenergy Africa Ltd , is a women – led company, registered in Zambia, dedicated in the last miles distribution of clean energy solutions.</v>
          </cell>
          <cell r="C1736" t="str">
            <v>Active</v>
          </cell>
          <cell r="D1736">
            <v>2016</v>
          </cell>
          <cell r="G1736" t="str">
            <v>Zambia</v>
          </cell>
          <cell r="X1736" t="str">
            <v>Solar Energy, Energy and Resources</v>
          </cell>
          <cell r="Y1736" t="str">
            <v>Energy and Resources</v>
          </cell>
        </row>
        <row r="1737">
          <cell r="A1737" t="str">
            <v>wiGroup</v>
          </cell>
          <cell r="B1737" t="str">
            <v>wiGroup develops mobile transaction solutions provides businesses and consumers with a secure transaction platform.</v>
          </cell>
          <cell r="C1737" t="str">
            <v>Active</v>
          </cell>
          <cell r="D1737">
            <v>2007</v>
          </cell>
          <cell r="G1737" t="str">
            <v>South Africa</v>
          </cell>
          <cell r="X1737" t="str">
            <v>Information Technology</v>
          </cell>
          <cell r="Y1737" t="str">
            <v>Business Information Systems, Information Technology, Loyalty Programs, Mobile, Mobile Apps, Software</v>
          </cell>
        </row>
        <row r="1738">
          <cell r="A1738" t="str">
            <v>Wazapay</v>
          </cell>
          <cell r="B1738" t="str">
            <v>E-Wallet Payment Gateway Supporting Mobile Money</v>
          </cell>
          <cell r="C1738" t="str">
            <v>Active</v>
          </cell>
          <cell r="D1738">
            <v>2014</v>
          </cell>
          <cell r="X1738" t="str">
            <v>Financial Services</v>
          </cell>
          <cell r="Y1738" t="str">
            <v>E-Commerce, Financial Services, Payments</v>
          </cell>
        </row>
        <row r="1739">
          <cell r="A1739" t="str">
            <v>Wazi Vision</v>
          </cell>
          <cell r="B1739" t="str">
            <v>Wazi Vision provides more affordable eye care in Africa.</v>
          </cell>
          <cell r="D1739">
            <v>2016</v>
          </cell>
          <cell r="X1739" t="str">
            <v>Healthcare &amp; Pharma</v>
          </cell>
          <cell r="Y1739" t="str">
            <v>Beauty, Health Care, Medical</v>
          </cell>
        </row>
        <row r="1740">
          <cell r="A1740" t="str">
            <v>Wazinsure</v>
          </cell>
          <cell r="B1740" t="str">
            <v>Integrated platform connecting insurance stakeholders, and leverages on data analytics to help insurance players meet their sales target.</v>
          </cell>
          <cell r="D1740">
            <v>2016</v>
          </cell>
          <cell r="X1740" t="str">
            <v>Financial Services</v>
          </cell>
          <cell r="Y1740" t="str">
            <v>Analytics</v>
          </cell>
        </row>
        <row r="1741">
          <cell r="A1741" t="str">
            <v>Wire Microsystems</v>
          </cell>
          <cell r="B1741" t="str">
            <v>Connecting imagination to reality via Providing humanity with an incredibly stable &amp; data loss free computing experience.</v>
          </cell>
          <cell r="C1741" t="str">
            <v>Active</v>
          </cell>
          <cell r="D1741">
            <v>2016</v>
          </cell>
          <cell r="G1741" t="str">
            <v>Egypt</v>
          </cell>
          <cell r="X1741" t="str">
            <v>Information Technology</v>
          </cell>
          <cell r="Y1741" t="str">
            <v>Computer, Cyber Security, Information Technology, Operating Systems, Software</v>
          </cell>
        </row>
        <row r="1742">
          <cell r="A1742" t="str">
            <v>WeCashUp</v>
          </cell>
          <cell r="B1742" t="str">
            <v>WeCashUp enables organizations to go global and manage cross-network, cross-border, cross-currency and interoperable payments seamlessly.</v>
          </cell>
          <cell r="D1742">
            <v>2015</v>
          </cell>
          <cell r="X1742" t="str">
            <v>Financial Services</v>
          </cell>
          <cell r="Y1742" t="str">
            <v>Developer APIs, Mobile, Mobile Payments, Payments</v>
          </cell>
        </row>
        <row r="1743">
          <cell r="A1743" t="str">
            <v>Wecode Land</v>
          </cell>
          <cell r="B1743" t="str">
            <v>WeCode Land is a social venture where anyone can get access to a digital job or launch a digital business only with a computer and internet connection.WeCode Land is developing training to help 18 to 35 years old economically inactive youth join the labor market by getting access to digital jobs or launching their own digital business. The trainings range from 2 hours’ workshops to three months’ part time courses. The fields of those trainings are Soft Skills, Business Skills, Coding Skills and design.</v>
          </cell>
          <cell r="D1743">
            <v>2015</v>
          </cell>
          <cell r="X1743" t="str">
            <v>Education</v>
          </cell>
        </row>
        <row r="1744">
          <cell r="A1744" t="str">
            <v>Weego</v>
          </cell>
          <cell r="B1744" t="str">
            <v>Weego is an online travel platform providing Chinese outbound travelers one single access to personalised destination information&amp;servicces</v>
          </cell>
          <cell r="D1744">
            <v>2015</v>
          </cell>
          <cell r="X1744" t="str">
            <v>Information Technology</v>
          </cell>
          <cell r="Y1744" t="str">
            <v>Internet, Tourism, Travel</v>
          </cell>
        </row>
        <row r="1745">
          <cell r="A1745" t="str">
            <v>Wefix - South Africa</v>
          </cell>
          <cell r="B1745" t="str">
            <v>weFix is South Africa's premier Apple, Samsung &amp; Huawei Repair Specialists. With stores countrywide, we've got you covered!</v>
          </cell>
          <cell r="D1745">
            <v>2006</v>
          </cell>
          <cell r="X1745" t="str">
            <v>Commercial &amp; Professional Services</v>
          </cell>
          <cell r="Y1745" t="str">
            <v>iPhone Repair, Mac Repair, iPad Repair, iPod Repair, Samsung Repair, Huawei Repair, and Authorised DJI Stockist and Repair Center</v>
          </cell>
        </row>
        <row r="1746">
          <cell r="A1746" t="str">
            <v>Wefly Agri</v>
          </cell>
          <cell r="B1746" t="str">
            <v>WeFly Agri is the Ivorian company that provides user-friendly, drone-enabled technologies and services developed exclusively for agriculture in Africa. Our promise is to give farmers eyes in the sky to remotely monitor crop progress, identify production inefficiencies and enable better crop management. Thanks to our drones’ advanced imaging capabilities, we empower farmers and give them new ways to increase yields, reduce costs and maximize productivity.</v>
          </cell>
          <cell r="D1746">
            <v>2017</v>
          </cell>
          <cell r="X1746" t="str">
            <v>Emerging Technologies</v>
          </cell>
          <cell r="Y1746" t="str">
            <v>Precision agriculture, interactive mapping, agtech, drones, VR, and mapping</v>
          </cell>
        </row>
        <row r="1747">
          <cell r="A1747" t="str">
            <v>Wutiko</v>
          </cell>
          <cell r="B1747" t="str">
            <v>Wutiko is a professional platform which connects people to best business opportunities. Our matchmaking algorithms are proudly made with love from Africa.</v>
          </cell>
          <cell r="C1747" t="str">
            <v>Active</v>
          </cell>
          <cell r="D1747">
            <v>2014</v>
          </cell>
          <cell r="G1747" t="str">
            <v>Senegal</v>
          </cell>
          <cell r="X1747" t="str">
            <v>Recruitment &amp; Human Resource</v>
          </cell>
          <cell r="Y1747" t="str">
            <v>Job board, Business Directory, Recrutement, Professional Network, and Funding</v>
          </cell>
        </row>
        <row r="1748">
          <cell r="A1748" t="str">
            <v>Wenadata</v>
          </cell>
          <cell r="B1748" t="str">
            <v>A WenaData foi lançada no dia 18 de mês de Dezembro de 2017 em Português e Inglês .</v>
          </cell>
          <cell r="D1748">
            <v>2019</v>
          </cell>
          <cell r="X1748" t="str">
            <v>Commercial &amp; Professional Services</v>
          </cell>
        </row>
        <row r="1749">
          <cell r="A1749" t="str">
            <v>WeSit</v>
          </cell>
          <cell r="C1749" t="str">
            <v>Active</v>
          </cell>
        </row>
        <row r="1750">
          <cell r="A1750" t="str">
            <v>Yaoota</v>
          </cell>
          <cell r="B1750" t="str">
            <v>Yaoota is the largest online shopping engine in the Middle East and Africa.</v>
          </cell>
          <cell r="C1750" t="str">
            <v>Active</v>
          </cell>
          <cell r="D1750">
            <v>2013</v>
          </cell>
          <cell r="G1750" t="str">
            <v>Egypt</v>
          </cell>
          <cell r="X1750" t="str">
            <v>E-Commerce &amp; Retail</v>
          </cell>
          <cell r="Y1750" t="str">
            <v>E-Coomerce</v>
          </cell>
        </row>
        <row r="1751">
          <cell r="A1751" t="str">
            <v>WofaGroup</v>
          </cell>
          <cell r="G1751" t="str">
            <v>Guinea</v>
          </cell>
          <cell r="X1751" t="str">
            <v>Healthcare &amp; Pharma</v>
          </cell>
        </row>
        <row r="1752">
          <cell r="A1752" t="str">
            <v>Westcape</v>
          </cell>
          <cell r="C1752" t="str">
            <v>Active</v>
          </cell>
          <cell r="G1752" t="str">
            <v>Ghana</v>
          </cell>
        </row>
        <row r="1753">
          <cell r="A1753" t="str">
            <v>Wi-Connect</v>
          </cell>
          <cell r="B1753" t="str">
            <v>WiConnect is a leading carrier grade Telecommunications System Integrator and Turn Key Solutions Provider.</v>
          </cell>
          <cell r="D1753">
            <v>2002</v>
          </cell>
          <cell r="X1753" t="str">
            <v>Telecommunications</v>
          </cell>
          <cell r="Y1753" t="str">
            <v>Network Security, Telecommunications</v>
          </cell>
        </row>
        <row r="1754">
          <cell r="A1754" t="str">
            <v>Wicover</v>
          </cell>
          <cell r="B1754" t="str">
            <v>wiCover is a digital insurance customer experience business with offices in South Africa and Sydney. We specialise in building digital front-end customer engagement assets for insurance companies to bring them in line with the modern technology world. We deliver digital self-service capabilities for sales and service to create powerful customer experiences.</v>
          </cell>
          <cell r="D1754">
            <v>2016</v>
          </cell>
          <cell r="X1754" t="str">
            <v>Information Technology</v>
          </cell>
          <cell r="Y1754" t="str">
            <v>Tech, InsurTech, Platforms, Design, Development, UX, Customer Experience, User Experience, and Insurance</v>
          </cell>
        </row>
        <row r="1755">
          <cell r="A1755" t="str">
            <v>Yobante Express</v>
          </cell>
          <cell r="B1755" t="str">
            <v>Yobante Express is a web and mobile platform for quick delivery of small goods.</v>
          </cell>
          <cell r="C1755" t="str">
            <v>Active</v>
          </cell>
          <cell r="D1755">
            <v>2018</v>
          </cell>
          <cell r="G1755" t="str">
            <v>Senegal</v>
          </cell>
          <cell r="X1755" t="str">
            <v>Transport &amp; Logistics</v>
          </cell>
          <cell r="Y1755" t="str">
            <v>Transportation and logistics</v>
          </cell>
        </row>
        <row r="1756">
          <cell r="A1756" t="str">
            <v xml:space="preserve">Windwood Millers </v>
          </cell>
          <cell r="B1756" t="str">
            <v>Windwood Millers Farmer Loyalty card eases identification of farmers by registering farmers including bio data, language preference, location and other economic activities</v>
          </cell>
          <cell r="C1756" t="str">
            <v>Active</v>
          </cell>
          <cell r="D1756">
            <v>2009</v>
          </cell>
          <cell r="G1756" t="str">
            <v>Uganda</v>
          </cell>
          <cell r="X1756" t="str">
            <v>Agriculture</v>
          </cell>
          <cell r="Y1756" t="str">
            <v>AgriTech</v>
          </cell>
        </row>
        <row r="1757">
          <cell r="A1757" t="str">
            <v>Yookoo Ride</v>
          </cell>
          <cell r="B1757" t="str">
            <v>The Yookoo Ride service is the most affordable and secure and easy to pay ride service in the market.</v>
          </cell>
          <cell r="C1757" t="str">
            <v>Active</v>
          </cell>
          <cell r="D1757">
            <v>2014</v>
          </cell>
          <cell r="G1757" t="str">
            <v>South Africa</v>
          </cell>
          <cell r="X1757" t="str">
            <v>Transport &amp; Logistics</v>
          </cell>
          <cell r="Y1757" t="str">
            <v>Ride-Hailing, Taxi</v>
          </cell>
        </row>
        <row r="1758">
          <cell r="A1758" t="str">
            <v>Wipo Wireless Power</v>
          </cell>
          <cell r="B1758" t="str">
            <v>Wireless Power Solutions enables autonomous operation of drones, electric forklifts and factory robots using wireless power</v>
          </cell>
          <cell r="D1758">
            <v>2017</v>
          </cell>
          <cell r="G1758" t="str">
            <v>South Africa</v>
          </cell>
          <cell r="X1758" t="str">
            <v>Emerging Technologies</v>
          </cell>
          <cell r="Y1758" t="str">
            <v>Energy, Hardware, Internet of Things, Wireless</v>
          </cell>
        </row>
        <row r="1759">
          <cell r="A1759" t="str">
            <v>WizzPass</v>
          </cell>
          <cell r="B1759" t="str">
            <v>WizzPass provides a variety of Visitor Management solutions for stand-alone corporate offices, industrial &amp; manufacturing facilities, mines, depots and refineries, as well as multi-tenant office buildings, office parks and residential estates</v>
          </cell>
          <cell r="C1759" t="str">
            <v>Active</v>
          </cell>
          <cell r="D1759">
            <v>2015</v>
          </cell>
          <cell r="G1759" t="str">
            <v>South Africa</v>
          </cell>
        </row>
        <row r="1760">
          <cell r="A1760" t="str">
            <v>Youverify</v>
          </cell>
          <cell r="B1760" t="str">
            <v>Youverify is building trust in Africa by helping businesses and individuals confirm identity and physical addresses. Using artificial intelligence, Youverify confirms a user’s identity document and compares it with their facial biometrics. This information can be cross-checked against more than 300 databases locally and globally. Youverify in partnership with over 20,000 field verification officers verifies physical addresses all over Sub-Sahara Africa in less than 48 hours. We bridge the gap in Africa's digital industry by providing one API for identity and physical address verification.</v>
          </cell>
          <cell r="C1760" t="str">
            <v>Active</v>
          </cell>
          <cell r="D1760">
            <v>2017</v>
          </cell>
          <cell r="G1760" t="str">
            <v>Nigeria</v>
          </cell>
          <cell r="X1760" t="str">
            <v>SaaS</v>
          </cell>
          <cell r="Y1760" t="str">
            <v>Identity Verification, Address Verification, and Background Checks</v>
          </cell>
        </row>
        <row r="1761">
          <cell r="A1761" t="str">
            <v>Yum Deliveries</v>
          </cell>
          <cell r="B1761" t="str">
            <v>Yum is an online and phone-ordering delivery platform that provides up to 600 deliveries a day for a wide range of restaurants and has been in business since 2012. We also provide turn-key and a la carte white label services to major restaurant franchises in Kenya, Uganda and Tanzania.</v>
          </cell>
          <cell r="C1761" t="str">
            <v>Active</v>
          </cell>
          <cell r="D1761">
            <v>2012</v>
          </cell>
          <cell r="G1761" t="str">
            <v>Kenya</v>
          </cell>
          <cell r="X1761" t="str">
            <v>Transport &amp; Logistics</v>
          </cell>
          <cell r="Y1761" t="str">
            <v>Food &amp; Beverages</v>
          </cell>
        </row>
        <row r="1762">
          <cell r="A1762" t="str">
            <v>Yusudi</v>
          </cell>
          <cell r="B1762" t="str">
            <v>Yusudi was founded with the vision to enable holistic, creative learning programs, unique to every individual. Yusudi believes that the fast-changing pace of work in the 21st century creates a need to shift and combine skill sets for professional growth. This need can be addressed with a new type of purposefully designed learning programs that caters to learners beyond a formal education to help them grow into or shift their careers.</v>
          </cell>
          <cell r="C1762" t="str">
            <v>Active</v>
          </cell>
          <cell r="D1762">
            <v>2015</v>
          </cell>
          <cell r="G1762" t="str">
            <v>Kenya</v>
          </cell>
          <cell r="X1762" t="str">
            <v>Recruitment</v>
          </cell>
          <cell r="Y1762" t="str">
            <v>Training, youth development, Business Skills, internship placement, Intern recruitment, capacity building, Entry-level recruitment, Up-skilling, Business Etiquette, Sales skills, Marketing skills, Customer service skills, Administration skills, SME Talent Provision, and Recruitment</v>
          </cell>
        </row>
        <row r="1763">
          <cell r="A1763" t="str">
            <v>Workspap</v>
          </cell>
          <cell r="C1763" t="str">
            <v>Active</v>
          </cell>
          <cell r="G1763" t="str">
            <v>Kenya</v>
          </cell>
        </row>
        <row r="1764">
          <cell r="A1764" t="str">
            <v>Wumdrop</v>
          </cell>
          <cell r="B1764" t="str">
            <v>WumDrop use your phone’s GPS to determine your location</v>
          </cell>
          <cell r="D1764">
            <v>2014</v>
          </cell>
          <cell r="G1764" t="str">
            <v>South Africa</v>
          </cell>
          <cell r="X1764" t="str">
            <v>Transport &amp; Logistics</v>
          </cell>
          <cell r="Y1764" t="str">
            <v>Logistics, Transportation</v>
          </cell>
        </row>
        <row r="1765">
          <cell r="A1765" t="str">
            <v>Wyzetalk</v>
          </cell>
          <cell r="B1765" t="str">
            <v>Wyzetalk is a secure social business platform.</v>
          </cell>
          <cell r="C1765" t="str">
            <v>Active</v>
          </cell>
          <cell r="D1765">
            <v>2011</v>
          </cell>
          <cell r="G1765" t="str">
            <v>South Africa</v>
          </cell>
          <cell r="X1765" t="str">
            <v>Information Technology</v>
          </cell>
          <cell r="Y1765" t="str">
            <v>Crowdsourcing, Information Technology, Software</v>
          </cell>
        </row>
        <row r="1766">
          <cell r="A1766" t="str">
            <v>Zande Africa</v>
          </cell>
          <cell r="B1766" t="str">
            <v>Zande Africa (formerly Invoice Worx) is a working capital financing company aimed at providing access to a business network that helps businesses reach their optimum operational levels.`</v>
          </cell>
          <cell r="C1766" t="str">
            <v>Active</v>
          </cell>
          <cell r="D1766">
            <v>2015</v>
          </cell>
          <cell r="G1766" t="str">
            <v>South Africa</v>
          </cell>
          <cell r="X1766" t="str">
            <v>Financial Services</v>
          </cell>
          <cell r="Y1766" t="str">
            <v>Loan financing, SME financing</v>
          </cell>
        </row>
        <row r="1767">
          <cell r="A1767" t="str">
            <v>ZAR X</v>
          </cell>
          <cell r="B1767" t="str">
            <v>ZAR X is a licensed stock exchange that uses disruptive fintech to create a more efficient market for all</v>
          </cell>
          <cell r="C1767" t="str">
            <v>Active</v>
          </cell>
          <cell r="D1767">
            <v>2015</v>
          </cell>
          <cell r="G1767" t="str">
            <v>South Africa</v>
          </cell>
          <cell r="X1767" t="str">
            <v>Financial Services</v>
          </cell>
          <cell r="Y1767" t="str">
            <v>Stock Exchanges</v>
          </cell>
        </row>
        <row r="1768">
          <cell r="A1768" t="str">
            <v>Yalu</v>
          </cell>
        </row>
        <row r="1769">
          <cell r="A1769" t="str">
            <v>Zaytech</v>
          </cell>
          <cell r="B1769" t="str">
            <v>ZayTech is a technologically advancing company making technology platforms for clients.</v>
          </cell>
          <cell r="C1769" t="str">
            <v>Active</v>
          </cell>
          <cell r="D1769">
            <v>2018</v>
          </cell>
          <cell r="G1769" t="str">
            <v>Ethiopia</v>
          </cell>
          <cell r="X1769" t="str">
            <v>Information Technology</v>
          </cell>
          <cell r="Y1769" t="str">
            <v>Consulting, Software</v>
          </cell>
        </row>
        <row r="1770">
          <cell r="A1770" t="str">
            <v>Zazu Africa</v>
          </cell>
          <cell r="B1770" t="str">
            <v>A smart digital-money account that helps you do more with your money.</v>
          </cell>
          <cell r="C1770" t="str">
            <v>Active</v>
          </cell>
          <cell r="D1770">
            <v>2015</v>
          </cell>
          <cell r="G1770" t="str">
            <v>Zambia</v>
          </cell>
          <cell r="X1770" t="str">
            <v>Financial Services</v>
          </cell>
          <cell r="Y1770" t="str">
            <v>Banking, FinTech, Digital Money</v>
          </cell>
        </row>
        <row r="1771">
          <cell r="A1771" t="str">
            <v>Zebra Cabs</v>
          </cell>
          <cell r="B1771" t="str">
            <v>Zebra Cabs is a uniquely South African cab service based in Gauteng. We offer our clients a safe, comfortable and stylish trip experience – with a difference.</v>
          </cell>
          <cell r="C1771" t="str">
            <v>Active</v>
          </cell>
          <cell r="D1771">
            <v>2008</v>
          </cell>
          <cell r="G1771" t="str">
            <v>South Africa</v>
          </cell>
          <cell r="X1771" t="str">
            <v>Travel &amp; Leisure</v>
          </cell>
          <cell r="Y1771" t="str">
            <v>Public Transportation, Taxi Service, Transportation</v>
          </cell>
        </row>
        <row r="1772">
          <cell r="A1772" t="str">
            <v>Zeepay</v>
          </cell>
          <cell r="B1772" t="str">
            <v>Zeepay Ghana Limited is a wholly Ghanaian owned Mobile FinancialServices company focusing on providing integrated mobile payments services with mobile wallets targeting the unbanked and banked population with the objective of bringing the unbanked into the financial stream and easing payments and collections for the banked population.</v>
          </cell>
          <cell r="C1772" t="str">
            <v>Active</v>
          </cell>
          <cell r="D1772">
            <v>2014</v>
          </cell>
          <cell r="G1772" t="str">
            <v>Ghana</v>
          </cell>
          <cell r="X1772" t="str">
            <v>Financial Services</v>
          </cell>
          <cell r="Y1772" t="str">
            <v>Financial Services, Mobile, Mobile Apps, Retail</v>
          </cell>
        </row>
        <row r="1773">
          <cell r="A1773" t="str">
            <v>Yefa</v>
          </cell>
          <cell r="C1773" t="str">
            <v>Active</v>
          </cell>
          <cell r="D1773">
            <v>1954</v>
          </cell>
          <cell r="X1773" t="str">
            <v>Sports</v>
          </cell>
          <cell r="Y1773" t="str">
            <v>Sports</v>
          </cell>
        </row>
        <row r="1774">
          <cell r="A1774" t="str">
            <v>Yo Books!</v>
          </cell>
          <cell r="B1774" t="str">
            <v>YO’ Books Limited offers quality selection of affordable new, bargain, &amp; gently read books in print and digital format, as well as gifts and educational items for customers of all ages and backgrounds at affordable prices</v>
          </cell>
          <cell r="C1774" t="str">
            <v>Active</v>
          </cell>
          <cell r="D1774">
            <v>2017</v>
          </cell>
          <cell r="X1774" t="str">
            <v>Online e-store</v>
          </cell>
        </row>
        <row r="1775">
          <cell r="A1775" t="str">
            <v>ZeroPrime Technologies (CanBank)</v>
          </cell>
          <cell r="B1775" t="str">
            <v>CanBank is a machine that allows users to exchange their used beverage cans or plastic bottles with phone credit, discounts on different services, or charity</v>
          </cell>
          <cell r="C1775" t="str">
            <v>Active</v>
          </cell>
          <cell r="D1775">
            <v>2017</v>
          </cell>
          <cell r="G1775" t="str">
            <v>Egypt</v>
          </cell>
          <cell r="X1775" t="str">
            <v>Energy &amp; Environment Resources</v>
          </cell>
          <cell r="Y1775" t="str">
            <v>Wastes management, Smart Cities</v>
          </cell>
        </row>
        <row r="1776">
          <cell r="A1776" t="str">
            <v>Yo-Waste</v>
          </cell>
          <cell r="C1776" t="str">
            <v>Active</v>
          </cell>
        </row>
        <row r="1777">
          <cell r="A1777" t="str">
            <v>YOFIZ</v>
          </cell>
          <cell r="C1777" t="str">
            <v>Active</v>
          </cell>
        </row>
        <row r="1778">
          <cell r="A1778" t="str">
            <v>Yomken.Com</v>
          </cell>
          <cell r="B1778" t="str">
            <v>Yomkencom is a crowdfunding and innovation platform that addresses industrial and societal challenges faced by entities in Egypt.</v>
          </cell>
          <cell r="D1778">
            <v>2012</v>
          </cell>
          <cell r="X1778" t="str">
            <v>Information Technology</v>
          </cell>
          <cell r="Y1778" t="str">
            <v>Crowdfunding, Enterprise Software</v>
          </cell>
        </row>
        <row r="1779">
          <cell r="A1779" t="str">
            <v>You farm</v>
          </cell>
          <cell r="B1779" t="str">
            <v>We developed our farm to incorporate many forms of agriculture. We have rescued animals, honey bees, community gardens, You Pick sunflower fields, chickens and eggs. We specialize in modern farming and grow many beyond organic greens in an indoor controlled environment.</v>
          </cell>
          <cell r="C1779" t="str">
            <v>Active</v>
          </cell>
          <cell r="X1779" t="str">
            <v>Agriculture</v>
          </cell>
        </row>
        <row r="1780">
          <cell r="A1780" t="str">
            <v>Youdee</v>
          </cell>
          <cell r="B1780" t="str">
            <v>Youdee is a real-estate platform aiming to bring together owners, renters, buyers, and sellers.</v>
          </cell>
          <cell r="D1780">
            <v>2016</v>
          </cell>
          <cell r="X1780" t="str">
            <v>Real Estate</v>
          </cell>
          <cell r="Y1780" t="str">
            <v>Real Estate</v>
          </cell>
        </row>
        <row r="1781">
          <cell r="A1781" t="str">
            <v>YouFarm</v>
          </cell>
          <cell r="B1781" t="str">
            <v>Mobile App</v>
          </cell>
          <cell r="C1781" t="str">
            <v>Active</v>
          </cell>
          <cell r="D1781">
            <v>2017</v>
          </cell>
          <cell r="X1781" t="str">
            <v>Agriculture</v>
          </cell>
          <cell r="Y1781" t="str">
            <v>Agriculture, Financial Services, Internet</v>
          </cell>
        </row>
        <row r="1782">
          <cell r="A1782" t="str">
            <v>Youi</v>
          </cell>
          <cell r="B1782" t="str">
            <v>Youi is an Australian insurance company that provides its users with various products, including vehicles, buildings and content, and warcraft and business liability. It offers direct financial product advice to its clients through its online platform, email, or telephonically by its staff. Youi charges a fixed premium from its clients for the services provided by the company. The company focuses on handling its clients’ claims efficiently as well as promptly.</v>
          </cell>
          <cell r="C1782" t="str">
            <v>Active</v>
          </cell>
          <cell r="D1782">
            <v>2008</v>
          </cell>
          <cell r="G1782" t="str">
            <v>South Africa</v>
          </cell>
          <cell r="X1782" t="str">
            <v>Financial Services</v>
          </cell>
          <cell r="Y1782" t="str">
            <v>FinTech</v>
          </cell>
        </row>
        <row r="1783">
          <cell r="A1783" t="str">
            <v>Zagace</v>
          </cell>
          <cell r="B1783" t="str">
            <v>To make SMB(small-medium business) cloud software services basic and accessible to all</v>
          </cell>
          <cell r="D1783">
            <v>2013</v>
          </cell>
          <cell r="X1783" t="str">
            <v>Information Technology</v>
          </cell>
          <cell r="Y1783" t="str">
            <v>E-Commerce, Mobile, SaaS, Small and Medium Businesses</v>
          </cell>
        </row>
        <row r="1784">
          <cell r="A1784" t="str">
            <v>Zagric</v>
          </cell>
          <cell r="B1784" t="str">
            <v>Agribusiness Classifieds</v>
          </cell>
          <cell r="C1784" t="str">
            <v>Active</v>
          </cell>
          <cell r="D1784">
            <v>2018</v>
          </cell>
          <cell r="X1784" t="str">
            <v>E-Commerce &amp; Retail</v>
          </cell>
          <cell r="Y1784" t="str">
            <v>Farming</v>
          </cell>
        </row>
        <row r="1785">
          <cell r="A1785" t="str">
            <v>ZPOS</v>
          </cell>
          <cell r="B1785" t="str">
            <v>Z'POS is a mobile app that allows you to record your business transactions to make it easy for you to know how well your business is performing.</v>
          </cell>
          <cell r="C1785" t="str">
            <v>Active</v>
          </cell>
          <cell r="D1785">
            <v>2016</v>
          </cell>
          <cell r="G1785" t="str">
            <v>Zambia</v>
          </cell>
          <cell r="X1785" t="str">
            <v>Financial services</v>
          </cell>
          <cell r="Y1785" t="str">
            <v>Apps, Internet, Retail</v>
          </cell>
        </row>
        <row r="1786">
          <cell r="A1786" t="str">
            <v>ZayRide</v>
          </cell>
          <cell r="B1786" t="str">
            <v>ZayRide is a customer centric on-demand taxi service offering fast</v>
          </cell>
          <cell r="C1786" t="str">
            <v>Active</v>
          </cell>
          <cell r="D1786">
            <v>2015</v>
          </cell>
          <cell r="G1786" t="str">
            <v>Ethiopia</v>
          </cell>
          <cell r="X1786" t="str">
            <v>Information Technology</v>
          </cell>
          <cell r="Y1786" t="str">
            <v>Apps, Internet, Travel</v>
          </cell>
        </row>
        <row r="1787">
          <cell r="A1787" t="str">
            <v>Zydii</v>
          </cell>
          <cell r="B1787" t="str">
            <v>Zydii is a learning marketplace tailor-made for the African market</v>
          </cell>
          <cell r="C1787" t="str">
            <v>Active</v>
          </cell>
          <cell r="D1787">
            <v>2016</v>
          </cell>
          <cell r="G1787" t="str">
            <v>Kenya</v>
          </cell>
          <cell r="X1787" t="str">
            <v>Education</v>
          </cell>
          <cell r="Y1787" t="str">
            <v>E-Learning, EdTech, Training, Education</v>
          </cell>
        </row>
        <row r="1788">
          <cell r="A1788" t="str">
            <v>Zenapi</v>
          </cell>
          <cell r="G1788" t="str">
            <v>Ivory Coast</v>
          </cell>
        </row>
        <row r="1789">
          <cell r="A1789" t="str">
            <v>Zenvus</v>
          </cell>
          <cell r="B1789" t="str">
            <v>AgTech company using soil sensors and cameras to build interface between farm data and financial institutions like banks and insurers</v>
          </cell>
          <cell r="C1789" t="str">
            <v>Active</v>
          </cell>
          <cell r="D1789">
            <v>2016</v>
          </cell>
          <cell r="X1789" t="str">
            <v>Agriculture</v>
          </cell>
          <cell r="Y1789" t="str">
            <v>Agriculture, Analytics, Electronics</v>
          </cell>
        </row>
        <row r="1790">
          <cell r="A1790" t="str">
            <v>Ziimart Investment Web Application</v>
          </cell>
        </row>
        <row r="1791">
          <cell r="A1791" t="str">
            <v>Zimcoin</v>
          </cell>
          <cell r="B1791" t="str">
            <v>Read more: https://www.dailytrust.com.ng/clean-energy-4-firms-clinch-10-000-capital-prize-264708.html</v>
          </cell>
          <cell r="D1791">
            <v>2014</v>
          </cell>
        </row>
        <row r="1792">
          <cell r="A1792" t="str">
            <v>Zimsake</v>
          </cell>
          <cell r="B1792" t="str">
            <v>ZIMSAKE is an elearning website which narrows the elearning gape in Zimbabwe by giving exam classes elearning resources as well as past and practice exams</v>
          </cell>
          <cell r="C1792" t="str">
            <v>Active</v>
          </cell>
          <cell r="D1792">
            <v>2019</v>
          </cell>
        </row>
        <row r="1793">
          <cell r="A1793" t="str">
            <v>Illuminum Greenhouses</v>
          </cell>
          <cell r="B1793" t="str">
            <v>Illuminum Greenhouses provides smallholder farmers with affordable greenhouses equipped with solar-powered sensors</v>
          </cell>
          <cell r="C1793" t="str">
            <v>Active</v>
          </cell>
          <cell r="D1793">
            <v>2014</v>
          </cell>
          <cell r="G1793" t="str">
            <v>Kenya</v>
          </cell>
          <cell r="X1793" t="str">
            <v>Agriculture</v>
          </cell>
          <cell r="Y1793" t="str">
            <v>AgriTech</v>
          </cell>
        </row>
        <row r="1794">
          <cell r="A1794" t="str">
            <v>ZimSelector</v>
          </cell>
          <cell r="B1794" t="str">
            <v>zimselector.com brings together the most trusted insurance and banking brands to give customers a simple and reliable way to buy on line</v>
          </cell>
          <cell r="C1794" t="str">
            <v>Active</v>
          </cell>
          <cell r="D1794">
            <v>2012</v>
          </cell>
          <cell r="X1794" t="str">
            <v>Financial Services</v>
          </cell>
          <cell r="Y1794" t="str">
            <v>Motor Insurance</v>
          </cell>
        </row>
        <row r="1795">
          <cell r="A1795" t="str">
            <v>Zimswitch</v>
          </cell>
          <cell r="B1795" t="str">
            <v>Zimswitch is the national electronic funds switch for Zimbabwe which processes transactions among member participants on line in real time.</v>
          </cell>
          <cell r="C1795" t="str">
            <v>Active</v>
          </cell>
          <cell r="D1795">
            <v>1994</v>
          </cell>
          <cell r="X1795" t="str">
            <v>Financial Services</v>
          </cell>
          <cell r="Y1795" t="str">
            <v>Electronic funds</v>
          </cell>
        </row>
        <row r="1796">
          <cell r="A1796" t="str">
            <v>Zinbiss-yaar</v>
          </cell>
          <cell r="G1796" t="str">
            <v>Burkina Fasso</v>
          </cell>
          <cell r="X1796" t="str">
            <v>E-Commerce &amp; Retail</v>
          </cell>
        </row>
        <row r="1797">
          <cell r="A1797" t="str">
            <v>Zipline</v>
          </cell>
          <cell r="B1797" t="str">
            <v>Zipline is a new social media app that allows you to capture, edit, and share up to 60 second videos called "Zips".</v>
          </cell>
          <cell r="D1797">
            <v>2014</v>
          </cell>
          <cell r="X1797" t="str">
            <v>Communication Services</v>
          </cell>
          <cell r="Y1797" t="str">
            <v>Apps, Internet, Social Media</v>
          </cell>
        </row>
        <row r="1798">
          <cell r="A1798" t="str">
            <v>Zoa Tech Limited</v>
          </cell>
          <cell r="B1798" t="str">
            <v>Fintech company in the business of developing technology based solutions that impact how customers interact with money.</v>
          </cell>
          <cell r="D1798">
            <v>2017</v>
          </cell>
          <cell r="X1798" t="str">
            <v>Financial Services</v>
          </cell>
          <cell r="Y1798" t="str">
            <v>Financial Services, Information Technology, Insurance</v>
          </cell>
        </row>
        <row r="1799">
          <cell r="A1799" t="str">
            <v>Zoame</v>
          </cell>
        </row>
        <row r="1800">
          <cell r="A1800" t="str">
            <v>Zukulu box</v>
          </cell>
          <cell r="C1800" t="str">
            <v>Active</v>
          </cell>
          <cell r="X1800" t="str">
            <v>Education</v>
          </cell>
        </row>
        <row r="1801">
          <cell r="A1801" t="str">
            <v>Zuoix Company Ltd</v>
          </cell>
          <cell r="X1801" t="str">
            <v>Information Technology</v>
          </cell>
        </row>
        <row r="1802">
          <cell r="A1802" t="str">
            <v>Zyelabs</v>
          </cell>
          <cell r="B1802" t="str">
            <v>Zyelabs facilitates and supports data driven decision-making so that clients can improve their customer experience, boost revenue and reduce costs. The firm helps companies make sense of big data by providing data engineering, data science and analytics and data operations services.</v>
          </cell>
          <cell r="C1802" t="str">
            <v>Active</v>
          </cell>
          <cell r="G1802" t="str">
            <v>South Africa</v>
          </cell>
        </row>
        <row r="1803">
          <cell r="A1803" t="str">
            <v xml:space="preserve">DREET </v>
          </cell>
          <cell r="B1803" t="str">
            <v>DREET is a mobile phone app that allows a child in rural Africa to have their hearing tested in real time by a professional who may live thousands of miles away.</v>
          </cell>
          <cell r="C1803" t="str">
            <v>Active</v>
          </cell>
          <cell r="G1803" t="str">
            <v>Botswana</v>
          </cell>
          <cell r="X1803" t="str">
            <v>Healthcare &amp; Pharma</v>
          </cell>
          <cell r="Y1803" t="str">
            <v>Medical Software</v>
          </cell>
        </row>
        <row r="1804">
          <cell r="A1804" t="str">
            <v>Prepdia</v>
          </cell>
          <cell r="B1804" t="str">
            <v>Prepdia is an online platform that connects students with reliable tutors.</v>
          </cell>
          <cell r="C1804" t="str">
            <v>Active</v>
          </cell>
          <cell r="D1804">
            <v>2019</v>
          </cell>
          <cell r="G1804" t="str">
            <v>Cameroon</v>
          </cell>
          <cell r="X1804" t="str">
            <v>Education</v>
          </cell>
          <cell r="Y1804" t="str">
            <v>Tutoring services</v>
          </cell>
        </row>
        <row r="1805">
          <cell r="A1805" t="str">
            <v>Ovamba Solutions</v>
          </cell>
          <cell r="B1805" t="str">
            <v>Ovamba is a global technology firm that focuses on creating wealth, growth and economic well-being for under-served businesses in Africa. We deliver growth and wealth creation via our specialized suite of technology and managed supply chain solutions in partnership with Banks and Investors in order to create sustainable profitable growth for African merchants and manufacturers.</v>
          </cell>
          <cell r="C1805" t="str">
            <v>Active</v>
          </cell>
          <cell r="D1805">
            <v>2013</v>
          </cell>
          <cell r="G1805" t="str">
            <v>United States</v>
          </cell>
          <cell r="X1805" t="str">
            <v>Financial Services</v>
          </cell>
          <cell r="Y1805" t="str">
            <v>Investments</v>
          </cell>
        </row>
        <row r="1806">
          <cell r="A1806" t="str">
            <v>OverC Studios</v>
          </cell>
          <cell r="B1806" t="str">
            <v>OverC Studios is a software development company specializes web development, mobile e-commerce applications and web desinging.</v>
          </cell>
          <cell r="C1806" t="str">
            <v>Active</v>
          </cell>
          <cell r="D1806">
            <v>2013</v>
          </cell>
          <cell r="G1806" t="str">
            <v>Egypt</v>
          </cell>
          <cell r="X1806" t="str">
            <v>Information Technology</v>
          </cell>
          <cell r="Y1806" t="str">
            <v>Software Development</v>
          </cell>
        </row>
        <row r="1807">
          <cell r="A1807" t="str">
            <v>Intixel</v>
          </cell>
          <cell r="B1807" t="str">
            <v>Intixel is providing AI-powered Solutions for Diagnostic Imaging</v>
          </cell>
          <cell r="C1807" t="str">
            <v>Active</v>
          </cell>
          <cell r="D1807">
            <v>2018</v>
          </cell>
          <cell r="G1807" t="str">
            <v>Egypt</v>
          </cell>
          <cell r="X1807" t="str">
            <v>Healthcare &amp; Pharma</v>
          </cell>
          <cell r="Y1807" t="str">
            <v>Diagnostics, Articficial Intelligence</v>
          </cell>
        </row>
        <row r="1808">
          <cell r="A1808" t="str">
            <v>Mercury Engineering</v>
          </cell>
          <cell r="B1808" t="str">
            <v>MEC is a leading company at Egypt in the field of  Engineering and innovative control solutions.</v>
          </cell>
          <cell r="C1808" t="str">
            <v>Active</v>
          </cell>
          <cell r="D1808">
            <v>2015</v>
          </cell>
          <cell r="G1808" t="str">
            <v>Egypt</v>
          </cell>
          <cell r="X1808" t="str">
            <v>Information Technology</v>
          </cell>
          <cell r="Y1808" t="str">
            <v>Software Development</v>
          </cell>
        </row>
        <row r="1809">
          <cell r="A1809" t="str">
            <v>SSTM Egypt</v>
          </cell>
          <cell r="B1809" t="str">
            <v xml:space="preserve">SSTM Egypt is established with the objective of developing IOT Industry Grade Solutions. </v>
          </cell>
          <cell r="C1809" t="str">
            <v>Active</v>
          </cell>
          <cell r="D1809">
            <v>2017</v>
          </cell>
          <cell r="G1809" t="str">
            <v>Egypt</v>
          </cell>
          <cell r="X1809" t="str">
            <v>Information Technology</v>
          </cell>
          <cell r="Y1809" t="str">
            <v>IoT, Connectivity Solutions</v>
          </cell>
        </row>
        <row r="1810">
          <cell r="A1810" t="str">
            <v>Anspire Agency</v>
          </cell>
          <cell r="B1810" t="str">
            <v>Anspire Agency is a full-service advertisement agency with special expertise in social media networking and creative designing.</v>
          </cell>
          <cell r="C1810" t="str">
            <v>Active</v>
          </cell>
          <cell r="D1810">
            <v>2011</v>
          </cell>
          <cell r="G1810" t="str">
            <v>Egypt</v>
          </cell>
          <cell r="X1810" t="str">
            <v>Media and Entertainment</v>
          </cell>
          <cell r="Y1810" t="str">
            <v>Digital Marketing, Branding</v>
          </cell>
        </row>
        <row r="1811">
          <cell r="A1811" t="str">
            <v>OGGEH</v>
          </cell>
          <cell r="B1811" t="str">
            <v>OGGEH provides cloud computing services to businesses</v>
          </cell>
          <cell r="C1811" t="str">
            <v>Active</v>
          </cell>
          <cell r="D1811">
            <v>2014</v>
          </cell>
          <cell r="G1811" t="str">
            <v>Egypt</v>
          </cell>
          <cell r="X1811" t="str">
            <v>Information Technology</v>
          </cell>
          <cell r="Y1811" t="str">
            <v>Cloud Computing</v>
          </cell>
        </row>
        <row r="1812">
          <cell r="A1812" t="str">
            <v>Royal Safari Excursions</v>
          </cell>
          <cell r="B1812" t="str">
            <v xml:space="preserve">Royal Safari as a company for tourism services and excursions is leading in the online tours in Egypt specially in Excursions and day trips in Red Sea area. </v>
          </cell>
          <cell r="C1812" t="str">
            <v>Active</v>
          </cell>
          <cell r="D1812">
            <v>2013</v>
          </cell>
          <cell r="G1812" t="str">
            <v>Egypt</v>
          </cell>
          <cell r="X1812" t="str">
            <v>Travel and Leisure</v>
          </cell>
          <cell r="Y1812" t="str">
            <v>Tourism</v>
          </cell>
        </row>
        <row r="1813">
          <cell r="A1813" t="str">
            <v>Egywheelers.com</v>
          </cell>
          <cell r="B1813" t="str">
            <v>Egywheelers.com is a marketplace for used cars and bikes in Egypt</v>
          </cell>
          <cell r="C1813" t="str">
            <v>Active</v>
          </cell>
          <cell r="D1813">
            <v>2015</v>
          </cell>
          <cell r="G1813" t="str">
            <v>Egypt</v>
          </cell>
          <cell r="X1813" t="str">
            <v>E-Commerce &amp; Retail</v>
          </cell>
        </row>
        <row r="1814">
          <cell r="A1814" t="str">
            <v>DW Designs Egypt</v>
          </cell>
          <cell r="B1814" t="str">
            <v>A professional web design company based in Cairo, Egypt</v>
          </cell>
          <cell r="C1814" t="str">
            <v>Active</v>
          </cell>
          <cell r="D1814">
            <v>2010</v>
          </cell>
          <cell r="G1814" t="str">
            <v>Egypt</v>
          </cell>
          <cell r="X1814" t="str">
            <v>Commercial &amp; Professional Services</v>
          </cell>
          <cell r="Y1814" t="str">
            <v>Digital Solutions</v>
          </cell>
        </row>
        <row r="1815">
          <cell r="A1815" t="str">
            <v>Korsatk</v>
          </cell>
          <cell r="B1815" t="str">
            <v>Kosartk provide training courses from accredited training centres in Egypt</v>
          </cell>
          <cell r="C1815" t="str">
            <v>Active</v>
          </cell>
          <cell r="D1815">
            <v>2014</v>
          </cell>
          <cell r="G1815" t="str">
            <v>Egypt</v>
          </cell>
          <cell r="X1815" t="str">
            <v>Education</v>
          </cell>
          <cell r="Y1815" t="str">
            <v>E-Learning</v>
          </cell>
        </row>
        <row r="1816">
          <cell r="A1816" t="str">
            <v>Owls</v>
          </cell>
          <cell r="B1816" t="str">
            <v>Owls is an online community for night owls where people around the world share real night thoughts, trade advice and tell their day story.</v>
          </cell>
          <cell r="C1816" t="str">
            <v>Active</v>
          </cell>
          <cell r="D1816">
            <v>2018</v>
          </cell>
          <cell r="G1816" t="str">
            <v>Egypt</v>
          </cell>
          <cell r="X1816" t="str">
            <v>Communication Services</v>
          </cell>
          <cell r="Y1816" t="str">
            <v>Social Media</v>
          </cell>
        </row>
        <row r="1817">
          <cell r="A1817" t="str">
            <v>Square Art Gallery</v>
          </cell>
          <cell r="B1817" t="str">
            <v>Square Art Gallery is an online marketplace for fine art masterpieces</v>
          </cell>
          <cell r="C1817" t="str">
            <v>Active</v>
          </cell>
          <cell r="D1817">
            <v>2013</v>
          </cell>
          <cell r="G1817" t="str">
            <v>Egypt</v>
          </cell>
          <cell r="X1817" t="str">
            <v>E-Commerce &amp; Retail</v>
          </cell>
          <cell r="Y1817" t="str">
            <v>Retail</v>
          </cell>
        </row>
        <row r="1818">
          <cell r="A1818" t="str">
            <v>Bagahez</v>
          </cell>
          <cell r="B1818" t="str">
            <v>The first Arabic website that covers home and wedding preparations.</v>
          </cell>
          <cell r="C1818" t="str">
            <v>Active</v>
          </cell>
          <cell r="D1818">
            <v>2018</v>
          </cell>
          <cell r="G1818" t="str">
            <v>Egypt</v>
          </cell>
          <cell r="X1818" t="str">
            <v>E-Commerce &amp; Retail</v>
          </cell>
        </row>
        <row r="1819">
          <cell r="A1819" t="str">
            <v>Pixly</v>
          </cell>
          <cell r="B1819" t="str">
            <v>Pixlly is media production house aims to impact changes through videos and VR &amp; AR exprience.</v>
          </cell>
          <cell r="C1819" t="str">
            <v>Active</v>
          </cell>
          <cell r="D1819">
            <v>2015</v>
          </cell>
          <cell r="G1819" t="str">
            <v>Egypt</v>
          </cell>
          <cell r="X1819" t="str">
            <v>Media and Entertainment</v>
          </cell>
          <cell r="Y1819" t="str">
            <v>Media Production, Augumented Reality, Virtual Reality</v>
          </cell>
        </row>
        <row r="1820">
          <cell r="A1820" t="str">
            <v>Digital Crafts</v>
          </cell>
          <cell r="B1820" t="str">
            <v>Digital Crafts is a leading digital agency based inCairo</v>
          </cell>
          <cell r="C1820" t="str">
            <v>Active</v>
          </cell>
          <cell r="D1820">
            <v>2014</v>
          </cell>
          <cell r="G1820" t="str">
            <v>Egypt</v>
          </cell>
          <cell r="X1820" t="str">
            <v>Information Technology</v>
          </cell>
          <cell r="Y1820" t="str">
            <v>Web Development</v>
          </cell>
        </row>
        <row r="1821">
          <cell r="A1821" t="str">
            <v>Road9 Media</v>
          </cell>
          <cell r="B1821" t="str">
            <v>Road9 Media is a media company that delivers Digital Media (Web solutions &amp; Multimedia materials), Branding (Logo design &amp; corporate identities) &amp; Print Media (Advertisements &amp; Publications).</v>
          </cell>
          <cell r="C1821" t="str">
            <v>Active</v>
          </cell>
          <cell r="D1821">
            <v>2016</v>
          </cell>
          <cell r="G1821" t="str">
            <v>Egypt</v>
          </cell>
          <cell r="X1821" t="str">
            <v>Media and Entertainment</v>
          </cell>
          <cell r="Y1821" t="str">
            <v>Digital Solutions</v>
          </cell>
        </row>
        <row r="1822">
          <cell r="A1822" t="str">
            <v>Flareinn</v>
          </cell>
          <cell r="B1822" t="str">
            <v>Flareinn is an online community and marketplace for amateur artists, where we provide a hub for amateurs to benefit from their artwork</v>
          </cell>
          <cell r="C1822" t="str">
            <v>Active</v>
          </cell>
          <cell r="D1822">
            <v>2017</v>
          </cell>
          <cell r="G1822" t="str">
            <v>Egypt</v>
          </cell>
          <cell r="X1822" t="str">
            <v>E-Commerce &amp; Retail</v>
          </cell>
          <cell r="Y1822" t="str">
            <v>Contemporary Art</v>
          </cell>
        </row>
        <row r="1823">
          <cell r="A1823" t="str">
            <v>Greens247</v>
          </cell>
          <cell r="B1823" t="str">
            <v>Fast and affordable web hosting for personal and business websites. Professional web design services to help you achieve your online goals.</v>
          </cell>
          <cell r="C1823" t="str">
            <v>Active</v>
          </cell>
          <cell r="D1823">
            <v>2015</v>
          </cell>
          <cell r="G1823" t="str">
            <v>Egypt</v>
          </cell>
          <cell r="X1823" t="str">
            <v>Information Technology</v>
          </cell>
          <cell r="Y1823" t="str">
            <v>Web Hosting, IT Infrastructure</v>
          </cell>
        </row>
        <row r="1824">
          <cell r="A1824" t="str">
            <v>El Masna3</v>
          </cell>
          <cell r="B1824" t="str">
            <v>El Masna3 is an entertainment and media company providing digital services solutions to business Branding, content production</v>
          </cell>
          <cell r="C1824" t="str">
            <v>Active</v>
          </cell>
          <cell r="D1824">
            <v>2013</v>
          </cell>
          <cell r="G1824" t="str">
            <v>Egypt</v>
          </cell>
          <cell r="X1824" t="str">
            <v>Media and Entertainment</v>
          </cell>
          <cell r="Y1824" t="str">
            <v>Branding, Marketing</v>
          </cell>
        </row>
        <row r="1825">
          <cell r="A1825" t="str">
            <v>Bionic Limbs</v>
          </cell>
          <cell r="B1825" t="str">
            <v>Bionic Limbs is an R&amp;D based company for developing affordable prosthetic limbs.</v>
          </cell>
          <cell r="C1825" t="str">
            <v>Active</v>
          </cell>
          <cell r="D1825">
            <v>2016</v>
          </cell>
          <cell r="G1825" t="str">
            <v>Egypt</v>
          </cell>
          <cell r="X1825" t="str">
            <v>Healthcare &amp; Pharma</v>
          </cell>
        </row>
        <row r="1826">
          <cell r="A1826" t="str">
            <v>Pan Arab Media</v>
          </cell>
          <cell r="B1826" t="str">
            <v>An Integrated group of talented professionals with a hands-on experience in different aspects of Media and Entertainment Industry</v>
          </cell>
          <cell r="C1826" t="str">
            <v>Active</v>
          </cell>
          <cell r="D1826">
            <v>2012</v>
          </cell>
          <cell r="G1826" t="str">
            <v>Egypt</v>
          </cell>
          <cell r="X1826" t="str">
            <v>Media and Entertainment</v>
          </cell>
          <cell r="Y1826" t="str">
            <v>Digital Marketing, Content Creation</v>
          </cell>
        </row>
        <row r="1827">
          <cell r="A1827" t="str">
            <v>SpimeSense Labs</v>
          </cell>
          <cell r="B1827" t="str">
            <v>SpimeSense Labs is an Egyptian company with expertise in The IT and telecom industry.</v>
          </cell>
          <cell r="C1827" t="str">
            <v>Active</v>
          </cell>
          <cell r="D1827">
            <v>2013</v>
          </cell>
          <cell r="G1827" t="str">
            <v>Egypt</v>
          </cell>
          <cell r="X1827" t="str">
            <v>Information Technology</v>
          </cell>
          <cell r="Y1827" t="str">
            <v>IoT, Connectivity Solutions</v>
          </cell>
        </row>
        <row r="1828">
          <cell r="A1828" t="str">
            <v>Engineering Syatems</v>
          </cell>
          <cell r="B1828" t="str">
            <v>Engineering Systems, the publisher of ZBuilder, an integrated solution for construction management Platform.</v>
          </cell>
          <cell r="C1828" t="str">
            <v>Active</v>
          </cell>
          <cell r="D1828">
            <v>2014</v>
          </cell>
          <cell r="G1828" t="str">
            <v>Egypt</v>
          </cell>
          <cell r="X1828" t="str">
            <v>Information Technology</v>
          </cell>
          <cell r="Y1828" t="str">
            <v>Software</v>
          </cell>
        </row>
        <row r="1829">
          <cell r="A1829" t="str">
            <v>Bare Entertainment</v>
          </cell>
          <cell r="B1829" t="str">
            <v>Bare. is a media content creator that recognizes the region's growing need for high-quality, purposeful conten</v>
          </cell>
          <cell r="C1829" t="str">
            <v>Active</v>
          </cell>
          <cell r="D1829">
            <v>2011</v>
          </cell>
          <cell r="G1829" t="str">
            <v>Egypt</v>
          </cell>
          <cell r="X1829" t="str">
            <v>Media and Entertainment</v>
          </cell>
          <cell r="Y1829" t="str">
            <v>Media Production</v>
          </cell>
        </row>
        <row r="1830">
          <cell r="A1830" t="str">
            <v>The Planet</v>
          </cell>
          <cell r="B1830" t="str">
            <v>We offer the full spectrum of digital media services, strategically positioned to help you elevate your business</v>
          </cell>
          <cell r="C1830" t="str">
            <v>Active</v>
          </cell>
          <cell r="D1830">
            <v>2010</v>
          </cell>
          <cell r="G1830" t="str">
            <v>Egypt</v>
          </cell>
          <cell r="X1830" t="str">
            <v>Media and Entertainment</v>
          </cell>
          <cell r="Y1830" t="str">
            <v>Digital Media, Production</v>
          </cell>
        </row>
        <row r="1831">
          <cell r="A1831" t="str">
            <v>Et3alem.com</v>
          </cell>
          <cell r="B1831" t="str">
            <v>Et3alem.com is an innovative Arabic Online training website that is the first to provide courses covering a wide</v>
          </cell>
          <cell r="C1831" t="str">
            <v>Active</v>
          </cell>
          <cell r="D1831">
            <v>2013</v>
          </cell>
          <cell r="G1831" t="str">
            <v>Egypt</v>
          </cell>
          <cell r="X1831" t="str">
            <v>Education</v>
          </cell>
          <cell r="Y1831" t="str">
            <v>E-Learning</v>
          </cell>
        </row>
        <row r="1832">
          <cell r="A1832" t="str">
            <v>Valeeno</v>
          </cell>
          <cell r="B1832" t="str">
            <v>Valeeno enables users to buy and sell goods online safely</v>
          </cell>
          <cell r="C1832" t="str">
            <v>Active</v>
          </cell>
          <cell r="D1832">
            <v>2018</v>
          </cell>
          <cell r="G1832" t="str">
            <v>Egypt</v>
          </cell>
          <cell r="X1832" t="str">
            <v>E-Commerce &amp; Retail</v>
          </cell>
        </row>
        <row r="1833">
          <cell r="A1833" t="str">
            <v>Dimensions Real Estate</v>
          </cell>
          <cell r="B1833" t="str">
            <v>Dimensions is a real estate comapny in Egypt.</v>
          </cell>
          <cell r="C1833" t="str">
            <v>Active</v>
          </cell>
          <cell r="D1833">
            <v>2018</v>
          </cell>
          <cell r="G1833" t="str">
            <v>Egypt</v>
          </cell>
          <cell r="X1833" t="str">
            <v>Real Estate</v>
          </cell>
        </row>
        <row r="1834">
          <cell r="A1834" t="str">
            <v>apt-9</v>
          </cell>
          <cell r="B1834" t="str">
            <v>apt-9 is a real estate brokerage firm in Egypt</v>
          </cell>
          <cell r="C1834" t="str">
            <v>Active</v>
          </cell>
          <cell r="D1834">
            <v>2014</v>
          </cell>
          <cell r="G1834" t="str">
            <v>Egypt</v>
          </cell>
          <cell r="X1834" t="str">
            <v>Real Estate</v>
          </cell>
        </row>
        <row r="1835">
          <cell r="A1835" t="str">
            <v>Innovito</v>
          </cell>
          <cell r="B1835" t="str">
            <v>Innovito is a publisher of Evolve, a learning experience platform for enterprises, that is built around the employee experience and engagement, through a flexible and user friendly interface.</v>
          </cell>
          <cell r="C1835" t="str">
            <v>Active</v>
          </cell>
          <cell r="D1835">
            <v>2014</v>
          </cell>
          <cell r="G1835" t="str">
            <v>Egypt</v>
          </cell>
          <cell r="X1835" t="str">
            <v>Education</v>
          </cell>
          <cell r="Y1835" t="str">
            <v>Training</v>
          </cell>
        </row>
        <row r="1836">
          <cell r="A1836" t="str">
            <v>MKY Communications</v>
          </cell>
          <cell r="B1836" t="str">
            <v>MKY Communications is a leading full-service digital media agency.</v>
          </cell>
          <cell r="C1836" t="str">
            <v>Active</v>
          </cell>
          <cell r="D1836">
            <v>2019</v>
          </cell>
          <cell r="G1836" t="str">
            <v>Egypt</v>
          </cell>
          <cell r="X1836" t="str">
            <v>Media and Entertainment</v>
          </cell>
          <cell r="Y1836" t="str">
            <v xml:space="preserve">Digital Media </v>
          </cell>
        </row>
        <row r="1837">
          <cell r="A1837" t="str">
            <v>Solid Integrated Solutions</v>
          </cell>
          <cell r="B1837" t="str">
            <v>Endpoint Management and Cyber Security Platform</v>
          </cell>
          <cell r="C1837" t="str">
            <v>Active</v>
          </cell>
          <cell r="D1837">
            <v>2017</v>
          </cell>
          <cell r="G1837" t="str">
            <v>Egypt</v>
          </cell>
          <cell r="X1837" t="str">
            <v>Information Technology</v>
          </cell>
          <cell r="Y1837" t="str">
            <v>Cyber Security</v>
          </cell>
        </row>
        <row r="1838">
          <cell r="A1838" t="str">
            <v>Frien10</v>
          </cell>
          <cell r="B1838" t="str">
            <v>Social Media platform where you meet like-minded people and share ideas.</v>
          </cell>
          <cell r="C1838" t="str">
            <v>Active</v>
          </cell>
          <cell r="D1838">
            <v>2013</v>
          </cell>
          <cell r="G1838" t="str">
            <v>Egypt</v>
          </cell>
          <cell r="X1838" t="str">
            <v>Media and Entertainment</v>
          </cell>
          <cell r="Y1838" t="str">
            <v>Social Media</v>
          </cell>
        </row>
        <row r="1839">
          <cell r="A1839" t="str">
            <v>MedBold</v>
          </cell>
          <cell r="B1839" t="str">
            <v>Medbold is an AI-based medical search engine, where Arabic users can get all information regarding health</v>
          </cell>
          <cell r="C1839" t="str">
            <v>Active</v>
          </cell>
          <cell r="D1839">
            <v>2018</v>
          </cell>
          <cell r="G1839" t="str">
            <v>Egypt</v>
          </cell>
        </row>
        <row r="1840">
          <cell r="A1840" t="str">
            <v>Egybell</v>
          </cell>
          <cell r="B1840" t="str">
            <v>EgyBell is a multifaceted company that provides solutions and service in Technology and Operations managements. Delivering HR solutions for your business to succeed.</v>
          </cell>
          <cell r="C1840" t="str">
            <v>Active</v>
          </cell>
          <cell r="D1840">
            <v>2014</v>
          </cell>
          <cell r="G1840" t="str">
            <v>Egypt</v>
          </cell>
          <cell r="X1840" t="str">
            <v>Commercial &amp; Professional Services</v>
          </cell>
          <cell r="Y1840" t="str">
            <v>HR Solutions</v>
          </cell>
        </row>
        <row r="1841">
          <cell r="A1841" t="str">
            <v>Embassi Identity Design</v>
          </cell>
          <cell r="B1841" t="str">
            <v>Embassi ID offer Digital Media solutions including Branding, Web Designing, Marketing</v>
          </cell>
          <cell r="C1841" t="str">
            <v>Active</v>
          </cell>
          <cell r="D1841">
            <v>2015</v>
          </cell>
          <cell r="G1841" t="str">
            <v>Egypt</v>
          </cell>
          <cell r="X1841" t="str">
            <v>Media &amp; Entertainment</v>
          </cell>
          <cell r="Y1841" t="str">
            <v>Digital Media solutions</v>
          </cell>
        </row>
        <row r="1842">
          <cell r="A1842" t="str">
            <v>Contalents</v>
          </cell>
          <cell r="B1842" t="str">
            <v>We are an Arabic content writing agency located in Cairo, Egypt.</v>
          </cell>
          <cell r="C1842" t="str">
            <v>Active</v>
          </cell>
          <cell r="D1842">
            <v>2019</v>
          </cell>
          <cell r="G1842" t="str">
            <v>Egypt</v>
          </cell>
          <cell r="X1842" t="str">
            <v>Commercial &amp; Professional Services</v>
          </cell>
          <cell r="Y1842" t="str">
            <v>Content Development, Writing</v>
          </cell>
        </row>
        <row r="1843">
          <cell r="A1843" t="str">
            <v>Recyclobekia</v>
          </cell>
          <cell r="B1843" t="str">
            <v>RecycloBekia is an electronic waste recycling company based in Egypt and serving the Middle East and North Africa (MENA) region.</v>
          </cell>
          <cell r="C1843" t="str">
            <v>Active</v>
          </cell>
          <cell r="D1843">
            <v>2014</v>
          </cell>
          <cell r="G1843" t="str">
            <v>Egypt</v>
          </cell>
          <cell r="X1843" t="str">
            <v>Energy &amp; Environment Resources</v>
          </cell>
          <cell r="Y1843" t="str">
            <v>E-waste Management</v>
          </cell>
        </row>
        <row r="1844">
          <cell r="A1844" t="str">
            <v>HLPR</v>
          </cell>
          <cell r="B1844" t="str">
            <v>Online platform that connects Household clients with pre-vetted domestic helpers (Cleaning, Nursing, Baby sitting)</v>
          </cell>
          <cell r="C1844" t="str">
            <v>Active</v>
          </cell>
          <cell r="D1844">
            <v>2017</v>
          </cell>
          <cell r="G1844" t="str">
            <v>Egypt</v>
          </cell>
          <cell r="X1844" t="str">
            <v>Commercial &amp; Professional Services</v>
          </cell>
          <cell r="Y1844" t="str">
            <v>Home Services</v>
          </cell>
        </row>
        <row r="1845">
          <cell r="A1845" t="str">
            <v>IBS Academy</v>
          </cell>
          <cell r="B1845" t="str">
            <v>IBS Academy is an Egyptian Training Academy offering a wide range of courses</v>
          </cell>
          <cell r="C1845" t="str">
            <v>Active</v>
          </cell>
          <cell r="D1845">
            <v>2014</v>
          </cell>
          <cell r="G1845" t="str">
            <v>Egypt</v>
          </cell>
          <cell r="X1845" t="str">
            <v>Education</v>
          </cell>
          <cell r="Y1845" t="str">
            <v>E-Learning, Training</v>
          </cell>
        </row>
        <row r="1846">
          <cell r="A1846" t="str">
            <v>realestate.eg</v>
          </cell>
          <cell r="B1846" t="str">
            <v>Real Estate Egypt is the biggest real estate website in Egypt for compounds, resorts and commercial projects.</v>
          </cell>
          <cell r="C1846" t="str">
            <v>Active</v>
          </cell>
          <cell r="D1846">
            <v>2018</v>
          </cell>
          <cell r="G1846" t="str">
            <v>Egypt</v>
          </cell>
          <cell r="X1846" t="str">
            <v>Real Estate</v>
          </cell>
          <cell r="Y1846" t="str">
            <v>E-Commerce</v>
          </cell>
        </row>
        <row r="1847">
          <cell r="A1847" t="str">
            <v>Sana3ly</v>
          </cell>
          <cell r="B1847" t="str">
            <v>Sana3ly provides a comprehensive solution to all the problems of buying spare parts and machinery for factories</v>
          </cell>
          <cell r="C1847" t="str">
            <v>Active</v>
          </cell>
          <cell r="D1847">
            <v>2018</v>
          </cell>
          <cell r="G1847" t="str">
            <v>Egypt</v>
          </cell>
          <cell r="X1847" t="str">
            <v>E-Commerce &amp; Retail</v>
          </cell>
          <cell r="Y1847" t="str">
            <v>Machinery, Spare Parts</v>
          </cell>
        </row>
        <row r="1848">
          <cell r="A1848" t="str">
            <v>Enkaaz</v>
          </cell>
          <cell r="B1848" t="str">
            <v>We save lives when your vehicle breaks down on the road by connecting the stranded customers to roadside assistance providers</v>
          </cell>
          <cell r="C1848" t="str">
            <v>Active</v>
          </cell>
          <cell r="D1848">
            <v>2018</v>
          </cell>
          <cell r="G1848" t="str">
            <v>Egypt</v>
          </cell>
          <cell r="X1848" t="str">
            <v>Transport &amp; Logistics</v>
          </cell>
          <cell r="Y1848" t="str">
            <v>Emergency Services</v>
          </cell>
        </row>
        <row r="1849">
          <cell r="A1849" t="str">
            <v>Yadaweya</v>
          </cell>
          <cell r="B1849" t="str">
            <v>E-Commerce platform for Egyptian handicrafts</v>
          </cell>
          <cell r="C1849" t="str">
            <v>Active</v>
          </cell>
          <cell r="D1849">
            <v>2012</v>
          </cell>
          <cell r="G1849" t="str">
            <v>Egypt</v>
          </cell>
          <cell r="X1849" t="str">
            <v>E-Commerce &amp; Retail</v>
          </cell>
          <cell r="Y1849" t="str">
            <v>Art and Crafts</v>
          </cell>
        </row>
        <row r="1850">
          <cell r="A1850" t="str">
            <v>Bsocial</v>
          </cell>
          <cell r="B1850" t="str">
            <v>BSocial is a digital agency passionate about building and nurturing online communities to help the brands establish and grow a loyal online following, based on engagement and meaningful interactions.</v>
          </cell>
          <cell r="C1850" t="str">
            <v>Active</v>
          </cell>
          <cell r="D1850">
            <v>2010</v>
          </cell>
          <cell r="G1850" t="str">
            <v>Egypt</v>
          </cell>
          <cell r="X1850" t="str">
            <v>Media &amp; Entertainment</v>
          </cell>
          <cell r="Y1850" t="str">
            <v>Digital Marketing</v>
          </cell>
        </row>
        <row r="1851">
          <cell r="A1851" t="str">
            <v>iGrow Solutions</v>
          </cell>
          <cell r="B1851" t="str">
            <v>iGrow has expertise in Web design and development, and online marketing</v>
          </cell>
          <cell r="C1851" t="str">
            <v>Active</v>
          </cell>
          <cell r="D1851">
            <v>2015</v>
          </cell>
          <cell r="G1851" t="str">
            <v>Egypt</v>
          </cell>
          <cell r="X1851" t="str">
            <v>Information Technology</v>
          </cell>
          <cell r="Y1851" t="str">
            <v>Web Development, Marketing</v>
          </cell>
        </row>
        <row r="1852">
          <cell r="A1852" t="str">
            <v>Tasweela</v>
          </cell>
          <cell r="B1852" t="str">
            <v>Tawseela offers cashless payment for public transportation and demand responsive bus routes in developing countries.</v>
          </cell>
          <cell r="C1852" t="str">
            <v>Active</v>
          </cell>
          <cell r="D1852">
            <v>2014</v>
          </cell>
          <cell r="G1852" t="str">
            <v>Egypt</v>
          </cell>
          <cell r="X1852" t="str">
            <v>Financial Services</v>
          </cell>
          <cell r="Y1852" t="str">
            <v>Payments, Transport</v>
          </cell>
        </row>
        <row r="1853">
          <cell r="A1853" t="str">
            <v>Elegate</v>
          </cell>
          <cell r="B1853" t="str">
            <v>Creating a branded ordering channel for each F&amp;B brands.</v>
          </cell>
          <cell r="C1853" t="str">
            <v>Active</v>
          </cell>
          <cell r="D1853">
            <v>2018</v>
          </cell>
          <cell r="G1853" t="str">
            <v>Egypt</v>
          </cell>
          <cell r="X1853" t="str">
            <v>Information Technology</v>
          </cell>
        </row>
        <row r="1854">
          <cell r="A1854" t="str">
            <v>ASSESS Talent Management</v>
          </cell>
          <cell r="B1854" t="str">
            <v>Psychometric testing technology and business solutions company.</v>
          </cell>
          <cell r="C1854" t="str">
            <v>Active</v>
          </cell>
          <cell r="D1854">
            <v>2015</v>
          </cell>
          <cell r="G1854" t="str">
            <v>Egypt</v>
          </cell>
          <cell r="X1854" t="str">
            <v>Commercial &amp; Professional Services</v>
          </cell>
        </row>
        <row r="1855">
          <cell r="A1855" t="str">
            <v>Nilecode</v>
          </cell>
          <cell r="B1855" t="str">
            <v>Nilecode is an Egyptian Software development company.</v>
          </cell>
          <cell r="C1855" t="str">
            <v>Active</v>
          </cell>
          <cell r="D1855">
            <v>2011</v>
          </cell>
          <cell r="G1855" t="str">
            <v>Egypt</v>
          </cell>
          <cell r="X1855" t="str">
            <v>Information Technology</v>
          </cell>
          <cell r="Y1855" t="str">
            <v>Software Development</v>
          </cell>
        </row>
        <row r="1856">
          <cell r="A1856" t="str">
            <v>Argineering</v>
          </cell>
          <cell r="B1856" t="str">
            <v>Argineering is an interactive design lab that simplifies the creation of interactive design.</v>
          </cell>
          <cell r="C1856" t="str">
            <v>Active</v>
          </cell>
          <cell r="D1856">
            <v>2017</v>
          </cell>
          <cell r="G1856" t="str">
            <v>Egypt</v>
          </cell>
          <cell r="X1856" t="str">
            <v>Information Technology</v>
          </cell>
          <cell r="Y1856" t="str">
            <v>IoT</v>
          </cell>
        </row>
        <row r="1857">
          <cell r="A1857" t="str">
            <v>Dailymedicalinfo.com</v>
          </cell>
          <cell r="B1857" t="str">
            <v>Everyday Medical Information is a platform that meets the needs of the Arab public for health and medical information on the Internet</v>
          </cell>
          <cell r="C1857" t="str">
            <v>Active</v>
          </cell>
          <cell r="D1857">
            <v>2010</v>
          </cell>
          <cell r="G1857" t="str">
            <v>Egypt</v>
          </cell>
          <cell r="X1857" t="str">
            <v xml:space="preserve">Healthcare &amp; Pharma </v>
          </cell>
          <cell r="Y1857" t="str">
            <v>Wellness</v>
          </cell>
        </row>
        <row r="1858">
          <cell r="A1858" t="str">
            <v>AT Instruments</v>
          </cell>
          <cell r="B1858" t="str">
            <v>AT Instruments is creating security devices of the future using deep learning, AI and machine learning.</v>
          </cell>
          <cell r="C1858" t="str">
            <v>Active</v>
          </cell>
          <cell r="D1858">
            <v>2018</v>
          </cell>
          <cell r="G1858" t="str">
            <v>Egypt</v>
          </cell>
          <cell r="X1858" t="str">
            <v>Information Technology</v>
          </cell>
          <cell r="Y1858" t="str">
            <v>Cyber Security</v>
          </cell>
        </row>
        <row r="1859">
          <cell r="A1859" t="str">
            <v>Up-Fuse</v>
          </cell>
          <cell r="B1859" t="str">
            <v>Up-fuse designs &amp; produces backpacks and laptop cases made of upcycled plastic bags &amp; other environmentally friendly materials.</v>
          </cell>
          <cell r="C1859" t="str">
            <v>Active</v>
          </cell>
          <cell r="D1859">
            <v>2013</v>
          </cell>
          <cell r="G1859" t="str">
            <v>Egypt</v>
          </cell>
          <cell r="X1859" t="str">
            <v>E-Commerce &amp; Retail</v>
          </cell>
        </row>
        <row r="1860">
          <cell r="A1860" t="str">
            <v>Amgad</v>
          </cell>
          <cell r="B1860" t="str">
            <v>Amgad is an innovative provider for energy management solutions and iot systems, we provide smart metering systems for clients in commercial and industrial sectors to help them save 25% of their electrical bill and control their energy consumption</v>
          </cell>
          <cell r="C1860" t="str">
            <v>Active</v>
          </cell>
          <cell r="D1860">
            <v>2014</v>
          </cell>
          <cell r="G1860" t="str">
            <v>Egypt</v>
          </cell>
          <cell r="X1860" t="str">
            <v>Information Technology</v>
          </cell>
          <cell r="Y1860" t="str">
            <v>Smart Devices, IoT, Connectivity Solutions</v>
          </cell>
        </row>
        <row r="1861">
          <cell r="A1861" t="str">
            <v>Fifth Dimension</v>
          </cell>
          <cell r="B1861" t="str">
            <v>5d is a full service digital agency with a unique expertise in emerging technology.</v>
          </cell>
          <cell r="C1861" t="str">
            <v>Active</v>
          </cell>
          <cell r="D1861">
            <v>2013</v>
          </cell>
          <cell r="G1861" t="str">
            <v>Egypt</v>
          </cell>
          <cell r="X1861" t="str">
            <v>Media &amp; Entertainment</v>
          </cell>
          <cell r="Y1861" t="str">
            <v>Digital Marketing</v>
          </cell>
        </row>
        <row r="1862">
          <cell r="A1862" t="str">
            <v>Sendian Creations</v>
          </cell>
          <cell r="B1862" t="str">
            <v>Marketing, advertising agency, and technology solutions provider based in Cairo and provides a diversified portfolio of services &amp; solutions to all markets.</v>
          </cell>
          <cell r="C1862" t="str">
            <v>Active</v>
          </cell>
          <cell r="D1862">
            <v>2017</v>
          </cell>
          <cell r="G1862" t="str">
            <v>Egypt</v>
          </cell>
          <cell r="X1862" t="str">
            <v>Media &amp; Entertainment</v>
          </cell>
          <cell r="Y1862" t="str">
            <v>Digital Marketing</v>
          </cell>
        </row>
        <row r="1863">
          <cell r="A1863" t="str">
            <v>Nezaker</v>
          </cell>
          <cell r="B1863" t="str">
            <v>The first integrated platform aimed at helping parents develop their children's performance in various fields "study, health, social, ethical, sports, psychological, cultural" through attractive videos directed to parents, ranging from 3 to 10 minute</v>
          </cell>
          <cell r="C1863" t="str">
            <v>Active</v>
          </cell>
          <cell r="D1863">
            <v>2016</v>
          </cell>
          <cell r="G1863" t="str">
            <v>Egypt</v>
          </cell>
          <cell r="X1863" t="str">
            <v>Education</v>
          </cell>
        </row>
        <row r="1864">
          <cell r="A1864" t="str">
            <v>WAFFARX</v>
          </cell>
          <cell r="B1864" t="str">
            <v>WaffarX! is the first cash back website in MENA region</v>
          </cell>
          <cell r="C1864" t="str">
            <v>Active</v>
          </cell>
          <cell r="D1864">
            <v>2017</v>
          </cell>
          <cell r="G1864" t="str">
            <v>Egypt</v>
          </cell>
          <cell r="X1864" t="str">
            <v>E-Commerce &amp; Retail</v>
          </cell>
        </row>
        <row r="1865">
          <cell r="A1865" t="str">
            <v>Akelni</v>
          </cell>
          <cell r="B1865" t="str">
            <v>Akelni is a service offers online food delivery, so that you can order from your favorite restaurants and experience new restaurants as well</v>
          </cell>
          <cell r="C1865" t="str">
            <v>Active</v>
          </cell>
          <cell r="D1865">
            <v>2017</v>
          </cell>
          <cell r="G1865" t="str">
            <v>Egypt</v>
          </cell>
          <cell r="X1865" t="str">
            <v>E-Commerce &amp; Retail</v>
          </cell>
        </row>
        <row r="1866">
          <cell r="A1866" t="str">
            <v>ElCoach</v>
          </cell>
          <cell r="B1866" t="str">
            <v>The on-demand fitness app for the Middle East.</v>
          </cell>
          <cell r="C1866" t="str">
            <v>Active</v>
          </cell>
          <cell r="D1866">
            <v>2018</v>
          </cell>
          <cell r="G1866" t="str">
            <v>Egypt</v>
          </cell>
          <cell r="X1866" t="str">
            <v>Healthcare &amp; Pharma</v>
          </cell>
        </row>
        <row r="1867">
          <cell r="A1867" t="str">
            <v>Botme</v>
          </cell>
          <cell r="B1867" t="str">
            <v>Botme is a standalone platform for building chatbots for businesses and managing the whole business processes</v>
          </cell>
          <cell r="C1867" t="str">
            <v>Active</v>
          </cell>
          <cell r="D1867">
            <v>2017</v>
          </cell>
          <cell r="G1867" t="str">
            <v>Egypt</v>
          </cell>
          <cell r="X1867" t="str">
            <v>Communication Services</v>
          </cell>
        </row>
        <row r="1868">
          <cell r="A1868" t="str">
            <v>VoxEra</v>
          </cell>
          <cell r="B1868" t="str">
            <v>VoxEra is a roaming-free device for travellers.</v>
          </cell>
          <cell r="C1868" t="str">
            <v>Active</v>
          </cell>
          <cell r="D1868">
            <v>2016</v>
          </cell>
          <cell r="G1868" t="str">
            <v>Egypt</v>
          </cell>
          <cell r="X1868" t="str">
            <v>Telecommunication</v>
          </cell>
        </row>
        <row r="1869">
          <cell r="A1869" t="str">
            <v>Majecules</v>
          </cell>
          <cell r="B1869" t="str">
            <v>Research as a service, Saas, Education</v>
          </cell>
          <cell r="C1869" t="str">
            <v>Active</v>
          </cell>
          <cell r="D1869">
            <v>2018</v>
          </cell>
          <cell r="G1869" t="str">
            <v>Egypt</v>
          </cell>
          <cell r="X1869" t="str">
            <v>Education</v>
          </cell>
        </row>
        <row r="1870">
          <cell r="A1870" t="str">
            <v>SCL</v>
          </cell>
          <cell r="B1870" t="str">
            <v>SCL is one of the finest School Management System in its category. Premium high-end feature rich possibilities.</v>
          </cell>
          <cell r="C1870" t="str">
            <v>Active</v>
          </cell>
          <cell r="D1870">
            <v>2018</v>
          </cell>
          <cell r="G1870" t="str">
            <v>Egypt</v>
          </cell>
          <cell r="X1870" t="str">
            <v>Education</v>
          </cell>
        </row>
        <row r="1871">
          <cell r="A1871" t="str">
            <v>Cantalop</v>
          </cell>
          <cell r="B1871" t="str">
            <v>Cantalop.com is the 1st Regional Job Search Engine dedicated to Egypt &amp; MENA Region.</v>
          </cell>
          <cell r="C1871" t="str">
            <v>Active</v>
          </cell>
          <cell r="D1871">
            <v>2014</v>
          </cell>
          <cell r="G1871" t="str">
            <v>Egypt</v>
          </cell>
          <cell r="X1871" t="str">
            <v>Commercial &amp; Professional Services</v>
          </cell>
        </row>
        <row r="1872">
          <cell r="A1872" t="str">
            <v xml:space="preserve">Estasharah </v>
          </cell>
          <cell r="B1872" t="str">
            <v>Online Medical Consultations 24/7 (A Doctor in your Pocket)</v>
          </cell>
          <cell r="C1872" t="str">
            <v>Active</v>
          </cell>
          <cell r="D1872">
            <v>2017</v>
          </cell>
          <cell r="G1872" t="str">
            <v>Egypt</v>
          </cell>
          <cell r="X1872" t="str">
            <v>Healthcare &amp; Pharma</v>
          </cell>
        </row>
        <row r="1873">
          <cell r="A1873" t="str">
            <v>Rkoba.com</v>
          </cell>
          <cell r="B1873" t="str">
            <v>Rkoba.com is an automotive online shop that offers accessories, spare parts, tuning and performance parts in Egypt.</v>
          </cell>
          <cell r="C1873" t="str">
            <v>Active</v>
          </cell>
          <cell r="D1873">
            <v>2014</v>
          </cell>
          <cell r="G1873" t="str">
            <v>Egypt</v>
          </cell>
          <cell r="X1873" t="str">
            <v>E-Commerce &amp; Retail</v>
          </cell>
        </row>
        <row r="1874">
          <cell r="A1874" t="str">
            <v>LocName: Global Addressing Systems</v>
          </cell>
          <cell r="B1874" t="str">
            <v>LocName is a new global addressing system that allows residents/businesses to choose their own address, giving the world freedom of address.</v>
          </cell>
          <cell r="C1874" t="str">
            <v>Active</v>
          </cell>
          <cell r="D1874">
            <v>2013</v>
          </cell>
          <cell r="G1874" t="str">
            <v>Egypt</v>
          </cell>
          <cell r="X1874" t="str">
            <v>Commercial &amp; Professional Services</v>
          </cell>
        </row>
        <row r="1875">
          <cell r="A1875" t="str">
            <v>Otmost</v>
          </cell>
          <cell r="B1875" t="str">
            <v>Otmost is a cashless solution to reinvent the way businesses used to do transactions.</v>
          </cell>
          <cell r="C1875" t="str">
            <v>Active</v>
          </cell>
          <cell r="D1875">
            <v>2017</v>
          </cell>
          <cell r="G1875" t="str">
            <v>Egypt</v>
          </cell>
          <cell r="X1875" t="str">
            <v>Financial services</v>
          </cell>
        </row>
        <row r="1876">
          <cell r="A1876" t="str">
            <v>Handaz</v>
          </cell>
          <cell r="B1876" t="str">
            <v>Handaz aims to play a profound role in shaping the new paradigm of the construction industry by innovating and automating it's processes</v>
          </cell>
          <cell r="C1876" t="str">
            <v>Active</v>
          </cell>
          <cell r="D1876">
            <v>2016</v>
          </cell>
          <cell r="G1876" t="str">
            <v>Egypt</v>
          </cell>
          <cell r="X1876" t="str">
            <v>Commercial &amp; Professional Services</v>
          </cell>
        </row>
        <row r="1877">
          <cell r="A1877" t="str">
            <v>PushBots</v>
          </cell>
          <cell r="B1877" t="str">
            <v>Painless push messaging for mobile apps.</v>
          </cell>
          <cell r="C1877" t="str">
            <v>Active</v>
          </cell>
          <cell r="D1877">
            <v>2012</v>
          </cell>
          <cell r="G1877" t="str">
            <v>Egypt</v>
          </cell>
          <cell r="X1877" t="str">
            <v>Telecommunication</v>
          </cell>
        </row>
        <row r="1878">
          <cell r="A1878" t="str">
            <v>Dileny Technologies</v>
          </cell>
          <cell r="B1878" t="str">
            <v>Dileny Technologies offers independent and standardized solutions for diagnostic medical imaging modalities</v>
          </cell>
          <cell r="C1878" t="str">
            <v>Active</v>
          </cell>
          <cell r="D1878">
            <v>2016</v>
          </cell>
          <cell r="G1878" t="str">
            <v>Egypt</v>
          </cell>
          <cell r="X1878" t="str">
            <v>Healthcare &amp; Pharma</v>
          </cell>
        </row>
        <row r="1879">
          <cell r="A1879" t="str">
            <v>Smardex</v>
          </cell>
          <cell r="B1879" t="str">
            <v>Smardex is an Android and iOS contact app that allows your contacts to update themselves directly in your phone!</v>
          </cell>
          <cell r="C1879" t="str">
            <v>Active</v>
          </cell>
          <cell r="D1879">
            <v>2015</v>
          </cell>
          <cell r="G1879" t="str">
            <v>Egypt</v>
          </cell>
          <cell r="X1879" t="str">
            <v>Commercial &amp; Professional Services</v>
          </cell>
        </row>
        <row r="1880">
          <cell r="A1880" t="str">
            <v>3Bont.com</v>
          </cell>
          <cell r="B1880" t="str">
            <v>3Bont is a global football content hub that is built to collect and unite news and social media content, videos, highlights and live scores.</v>
          </cell>
          <cell r="C1880" t="str">
            <v>Active</v>
          </cell>
          <cell r="D1880">
            <v>2015</v>
          </cell>
          <cell r="G1880" t="str">
            <v>Egypt</v>
          </cell>
          <cell r="X1880" t="str">
            <v>Media and entertainment</v>
          </cell>
        </row>
        <row r="1881">
          <cell r="A1881" t="str">
            <v>Yodawy</v>
          </cell>
          <cell r="B1881" t="str">
            <v>Online pharmacy marketplace and insurance benefits manager</v>
          </cell>
          <cell r="C1881" t="str">
            <v>Active</v>
          </cell>
          <cell r="D1881">
            <v>2018</v>
          </cell>
          <cell r="G1881" t="str">
            <v>Egypt</v>
          </cell>
          <cell r="X1881" t="str">
            <v>Healthcare &amp; Pharma</v>
          </cell>
        </row>
        <row r="1882">
          <cell r="A1882" t="str">
            <v>Al3abMizo</v>
          </cell>
          <cell r="B1882" t="str">
            <v>We're an games company located in Cairo, Egypt offer flash and mobile games.</v>
          </cell>
          <cell r="C1882" t="str">
            <v>Active</v>
          </cell>
          <cell r="D1882">
            <v>2013</v>
          </cell>
          <cell r="G1882" t="str">
            <v>Egypt</v>
          </cell>
          <cell r="X1882" t="str">
            <v>Media and entertainment</v>
          </cell>
        </row>
        <row r="1883">
          <cell r="A1883" t="str">
            <v>Hospitalia</v>
          </cell>
          <cell r="B1883" t="str">
            <v>Home Healthcare Services</v>
          </cell>
          <cell r="C1883" t="str">
            <v>Active</v>
          </cell>
          <cell r="D1883">
            <v>2019</v>
          </cell>
          <cell r="G1883" t="str">
            <v>Egypt</v>
          </cell>
          <cell r="X1883" t="str">
            <v>Healthcare &amp; Pharma</v>
          </cell>
        </row>
        <row r="1884">
          <cell r="A1884" t="str">
            <v>Raye7</v>
          </cell>
          <cell r="B1884" t="str">
            <v>Raye7 aims to reduce the traffic and its effects by providing a mobile service to organize and incentive the employees to carpool daily.</v>
          </cell>
          <cell r="C1884" t="str">
            <v>Active</v>
          </cell>
          <cell r="D1884">
            <v>2015</v>
          </cell>
          <cell r="G1884" t="str">
            <v>Egypt</v>
          </cell>
          <cell r="X1884" t="str">
            <v>Transport and logistics</v>
          </cell>
        </row>
        <row r="1885">
          <cell r="A1885" t="str">
            <v>Khayal Studio</v>
          </cell>
          <cell r="B1885" t="str">
            <v>Khayal Studio is a software development company believes in the Philosophy of “Winning the audience soul attention needs Engagement, engagement need Entertainment”.</v>
          </cell>
          <cell r="C1885" t="str">
            <v>Active</v>
          </cell>
          <cell r="D1885">
            <v>2016</v>
          </cell>
          <cell r="G1885" t="str">
            <v>Egypt</v>
          </cell>
          <cell r="X1885" t="str">
            <v>Commercial &amp; Professional Services</v>
          </cell>
        </row>
        <row r="1886">
          <cell r="A1886" t="str">
            <v>MazenJobs</v>
          </cell>
          <cell r="B1886" t="str">
            <v>MazenJobs is a local and international job website.</v>
          </cell>
          <cell r="C1886" t="str">
            <v>Active</v>
          </cell>
          <cell r="D1886">
            <v>2014</v>
          </cell>
          <cell r="G1886" t="str">
            <v>Egypt</v>
          </cell>
          <cell r="X1886" t="str">
            <v>Commercial &amp; Professional Services</v>
          </cell>
        </row>
        <row r="1887">
          <cell r="A1887" t="str">
            <v>KarmSolar</v>
          </cell>
          <cell r="B1887" t="str">
            <v>KarmSolar is a private off-grid solar energy integrator in Egypt.</v>
          </cell>
          <cell r="C1887" t="str">
            <v>Active</v>
          </cell>
          <cell r="D1887">
            <v>2011</v>
          </cell>
          <cell r="G1887" t="str">
            <v>Egypt</v>
          </cell>
          <cell r="X1887" t="str">
            <v>Energy &amp; Environment Resources</v>
          </cell>
        </row>
        <row r="1888">
          <cell r="A1888" t="str">
            <v>Jobzella</v>
          </cell>
          <cell r="B1888" t="str">
            <v>Jobzella provides a one-stop-shop to all career services for job-seekers and professionals to aspire to a better life.</v>
          </cell>
          <cell r="C1888" t="str">
            <v>Active</v>
          </cell>
          <cell r="D1888">
            <v>2013</v>
          </cell>
          <cell r="G1888" t="str">
            <v>Egypt</v>
          </cell>
          <cell r="X1888" t="str">
            <v>Telecommunication</v>
          </cell>
        </row>
        <row r="1889">
          <cell r="A1889" t="str">
            <v>Avelabs LLC Egypt</v>
          </cell>
          <cell r="B1889" t="str">
            <v>Avelabs is a supplier of embedded solutions and services for the automotive industry, located in Germany and Egypt.</v>
          </cell>
          <cell r="C1889" t="str">
            <v>Active</v>
          </cell>
          <cell r="D1889">
            <v>2012</v>
          </cell>
          <cell r="G1889" t="str">
            <v>Egypt</v>
          </cell>
          <cell r="X1889" t="str">
            <v>Commercial &amp; Professional Services</v>
          </cell>
        </row>
        <row r="1890">
          <cell r="A1890" t="str">
            <v>ExpandCart</v>
          </cell>
          <cell r="B1890" t="str">
            <v>ExpandCart is the fastest growing Arabic ecommerce platform in the Middle East</v>
          </cell>
          <cell r="C1890" t="str">
            <v>Active</v>
          </cell>
          <cell r="D1890">
            <v>2013</v>
          </cell>
          <cell r="G1890" t="str">
            <v>Egypt</v>
          </cell>
          <cell r="X1890" t="str">
            <v>E-Commerce &amp; Retail</v>
          </cell>
        </row>
        <row r="1891">
          <cell r="A1891" t="str">
            <v>Integreight</v>
          </cell>
          <cell r="B1891" t="str">
            <v>Integreight develops novel products for the electronic hobbyist and education market.</v>
          </cell>
          <cell r="C1891" t="str">
            <v>Active</v>
          </cell>
          <cell r="D1891">
            <v>2012</v>
          </cell>
          <cell r="G1891" t="str">
            <v>Egypt</v>
          </cell>
          <cell r="X1891" t="str">
            <v>Education</v>
          </cell>
        </row>
        <row r="1892">
          <cell r="A1892" t="str">
            <v>Unplugged</v>
          </cell>
          <cell r="B1892" t="str">
            <v>We create a platform for your business that will definitely help you acquire new clients and build relationships.</v>
          </cell>
          <cell r="C1892" t="str">
            <v>Active</v>
          </cell>
          <cell r="D1892">
            <v>2013</v>
          </cell>
          <cell r="G1892" t="str">
            <v>Egypt</v>
          </cell>
          <cell r="X1892" t="str">
            <v>Commercial &amp; Professional Services</v>
          </cell>
        </row>
        <row r="1893">
          <cell r="A1893" t="str">
            <v>Speakol</v>
          </cell>
          <cell r="B1893" t="str">
            <v>Speakol is a MENA region-focused content discovery &amp; recommendation platform. It provides Premium Native Ads to the most relevant audience.</v>
          </cell>
          <cell r="C1893" t="str">
            <v>Active</v>
          </cell>
          <cell r="D1893">
            <v>2016</v>
          </cell>
          <cell r="G1893" t="str">
            <v>Egypt</v>
          </cell>
          <cell r="X1893" t="str">
            <v>Telecommunication</v>
          </cell>
        </row>
        <row r="1894">
          <cell r="A1894" t="str">
            <v>SeeCureApp</v>
          </cell>
          <cell r="B1894" t="str">
            <v>SeeCureApp is a leading company in Information Security field providing many high profile businesses and leading startups.</v>
          </cell>
          <cell r="C1894" t="str">
            <v>Active</v>
          </cell>
          <cell r="D1894">
            <v>2016</v>
          </cell>
          <cell r="G1894" t="str">
            <v>Egypt</v>
          </cell>
          <cell r="X1894" t="str">
            <v>Commercial &amp; Professional Services</v>
          </cell>
        </row>
        <row r="1895">
          <cell r="A1895" t="str">
            <v>Tayary</v>
          </cell>
          <cell r="B1895" t="str">
            <v>Tayary is an online platform for ordering and delivering food.</v>
          </cell>
          <cell r="C1895" t="str">
            <v>Active</v>
          </cell>
          <cell r="D1895">
            <v>2017</v>
          </cell>
          <cell r="G1895" t="str">
            <v>Egypt</v>
          </cell>
          <cell r="X1895" t="str">
            <v>E-Commerce &amp; Retail</v>
          </cell>
        </row>
        <row r="1896">
          <cell r="A1896" t="str">
            <v>VRapeutic</v>
          </cell>
          <cell r="B1896" t="str">
            <v>A startup specializing in the development of virtual reality software for learning disabilities and developmental disorders.</v>
          </cell>
          <cell r="C1896" t="str">
            <v>Active</v>
          </cell>
          <cell r="D1896">
            <v>2018</v>
          </cell>
          <cell r="G1896" t="str">
            <v>Egypt</v>
          </cell>
          <cell r="X1896" t="str">
            <v>Commercial &amp; Professional Services</v>
          </cell>
        </row>
        <row r="1897">
          <cell r="A1897" t="str">
            <v>Autotell</v>
          </cell>
          <cell r="B1897" t="str">
            <v>Autotell is a platform to communicate with your car, on road analytics, detecting faults, instant driver advice with AI personal assistant</v>
          </cell>
          <cell r="C1897" t="str">
            <v>Active</v>
          </cell>
          <cell r="D1897">
            <v>2018</v>
          </cell>
          <cell r="G1897" t="str">
            <v>Egypt</v>
          </cell>
          <cell r="X1897" t="str">
            <v>Telecommunication</v>
          </cell>
        </row>
        <row r="1898">
          <cell r="A1898" t="str">
            <v>VOO</v>
          </cell>
          <cell r="B1898" t="str">
            <v>VOO, Delivery Marketplace for Merchants and Courier companies to connect.</v>
          </cell>
          <cell r="C1898" t="str">
            <v>Active</v>
          </cell>
          <cell r="D1898">
            <v>2017</v>
          </cell>
          <cell r="G1898" t="str">
            <v>Egypt</v>
          </cell>
          <cell r="X1898" t="str">
            <v>E-Commerce &amp; Retail</v>
          </cell>
        </row>
        <row r="1899">
          <cell r="A1899" t="str">
            <v>DevisionX</v>
          </cell>
          <cell r="B1899" t="str">
            <v>‚ÄúDevisionX‚Äù is coming from using ‚ÄúDeep‚Äù learning in ‚ÄúX‚Äù of machine ‚ÄúVision‚Äù solutions in ‚ÄúX‚Äù fields of industries.</v>
          </cell>
          <cell r="C1899" t="str">
            <v>Active</v>
          </cell>
          <cell r="D1899">
            <v>2016</v>
          </cell>
          <cell r="G1899" t="str">
            <v>Egypt</v>
          </cell>
          <cell r="X1899" t="str">
            <v>Commercial &amp; Professional Services</v>
          </cell>
        </row>
        <row r="1900">
          <cell r="A1900" t="str">
            <v>Nash2</v>
          </cell>
          <cell r="B1900" t="str">
            <v>Nash‚Äô is the first online Parenting platform in Arab world</v>
          </cell>
          <cell r="C1900" t="str">
            <v>Active</v>
          </cell>
          <cell r="D1900">
            <v>2018</v>
          </cell>
          <cell r="G1900" t="str">
            <v>Egypt</v>
          </cell>
          <cell r="X1900" t="str">
            <v>Telecommunication</v>
          </cell>
        </row>
        <row r="1901">
          <cell r="A1901" t="str">
            <v>Tomatiki</v>
          </cell>
          <cell r="B1901" t="str">
            <v>Tomatiki provides one stop IoT solution for your farm, organization, trade and industry.</v>
          </cell>
          <cell r="C1901" t="str">
            <v>Active</v>
          </cell>
          <cell r="D1901">
            <v>2016</v>
          </cell>
          <cell r="G1901" t="str">
            <v>Egypt</v>
          </cell>
          <cell r="X1901" t="str">
            <v>Commercial &amp; Professional Services</v>
          </cell>
        </row>
        <row r="1902">
          <cell r="A1902" t="str">
            <v>Homzmart</v>
          </cell>
          <cell r="B1902" t="str">
            <v>Homzmart is an end-to-end platform that connects homeowners with home professionals.</v>
          </cell>
          <cell r="C1902" t="str">
            <v>Active</v>
          </cell>
          <cell r="D1902">
            <v>2018</v>
          </cell>
          <cell r="G1902" t="str">
            <v>Egypt</v>
          </cell>
          <cell r="X1902" t="str">
            <v>Telecommunication</v>
          </cell>
        </row>
        <row r="1903">
          <cell r="A1903" t="str">
            <v>Belshifa</v>
          </cell>
          <cell r="B1903" t="str">
            <v>Mobile app that deliver medicines and healthcare products from pharmacy to door step</v>
          </cell>
          <cell r="C1903" t="str">
            <v>Active</v>
          </cell>
          <cell r="D1903">
            <v>2018</v>
          </cell>
          <cell r="G1903" t="str">
            <v>Egypt</v>
          </cell>
          <cell r="X1903" t="str">
            <v>Healthcare &amp; Pharma</v>
          </cell>
        </row>
        <row r="1904">
          <cell r="A1904" t="str">
            <v>RedCab LLC</v>
          </cell>
          <cell r="B1904" t="str">
            <v>RedCab LLC. offers a decentralized peer-to-peer transportation solution to individuals. Utilizing the power of Blockchain technologies</v>
          </cell>
          <cell r="C1904" t="str">
            <v>Active</v>
          </cell>
          <cell r="D1904">
            <v>2017</v>
          </cell>
          <cell r="G1904" t="str">
            <v>Egypt</v>
          </cell>
          <cell r="X1904" t="str">
            <v>Transport and logistics</v>
          </cell>
        </row>
        <row r="1905">
          <cell r="A1905" t="str">
            <v>Ordera</v>
          </cell>
          <cell r="B1905" t="str">
            <v>Ordera is a mobile application people can use to place and pay for their orders during their daily hangouts.</v>
          </cell>
          <cell r="C1905" t="str">
            <v>Active</v>
          </cell>
          <cell r="D1905">
            <v>2017</v>
          </cell>
          <cell r="G1905" t="str">
            <v>Egypt</v>
          </cell>
          <cell r="X1905" t="str">
            <v>E-Commerce &amp; Retail</v>
          </cell>
        </row>
        <row r="1906">
          <cell r="A1906" t="str">
            <v>AppGain.io</v>
          </cell>
          <cell r="B1906" t="str">
            <v>Saas Service for  Mobile App Marketing</v>
          </cell>
          <cell r="C1906" t="str">
            <v>Active</v>
          </cell>
          <cell r="D1906">
            <v>2016</v>
          </cell>
          <cell r="G1906" t="str">
            <v>Egypt</v>
          </cell>
          <cell r="X1906" t="str">
            <v>Commercial &amp; Professional Services</v>
          </cell>
        </row>
        <row r="1907">
          <cell r="A1907" t="str">
            <v>Go Ejaza</v>
          </cell>
          <cell r="B1907" t="str">
            <v>Social app for Planning &amp; Sharing trips</v>
          </cell>
          <cell r="C1907" t="str">
            <v>Active</v>
          </cell>
          <cell r="D1907">
            <v>2012</v>
          </cell>
          <cell r="G1907" t="str">
            <v>Egypt</v>
          </cell>
          <cell r="X1907" t="str">
            <v>E-Commerce &amp; Retail</v>
          </cell>
        </row>
        <row r="1908">
          <cell r="A1908" t="str">
            <v>Tagaddod</v>
          </cell>
          <cell r="B1908" t="str">
            <v>A renewable Energy and Waste Management Egyptian company, Built on a strong belief that renewable energy is the way forward.</v>
          </cell>
          <cell r="C1908" t="str">
            <v>Active</v>
          </cell>
          <cell r="D1908">
            <v>2013</v>
          </cell>
          <cell r="G1908" t="str">
            <v>Egypt</v>
          </cell>
          <cell r="X1908" t="str">
            <v>Energy &amp; Environment Resources</v>
          </cell>
        </row>
        <row r="1909">
          <cell r="A1909" t="str">
            <v>Kijamii</v>
          </cell>
          <cell r="B1909" t="str">
            <v>Kijamii is a social media agency based in Egypt that specializes in social media marketing.</v>
          </cell>
          <cell r="C1909" t="str">
            <v>Active</v>
          </cell>
          <cell r="D1909">
            <v>2012</v>
          </cell>
          <cell r="G1909" t="str">
            <v>Egypt</v>
          </cell>
          <cell r="X1909" t="str">
            <v>Commercial &amp; Professional Services</v>
          </cell>
        </row>
        <row r="1910">
          <cell r="A1910" t="str">
            <v>Mermaid - getamermaid.com</v>
          </cell>
          <cell r="B1910" t="str">
            <v>Marmaid is a professional on demand house cleaning service based in Egypt.</v>
          </cell>
          <cell r="C1910" t="str">
            <v>Active</v>
          </cell>
          <cell r="D1910">
            <v>2016</v>
          </cell>
          <cell r="G1910" t="str">
            <v>Egypt</v>
          </cell>
          <cell r="X1910" t="str">
            <v>Commercial &amp; Professional Services</v>
          </cell>
        </row>
        <row r="1911">
          <cell r="A1911" t="str">
            <v>Cyril Labs</v>
          </cell>
          <cell r="B1911" t="str">
            <v>SEO, Digital Marketing , PPC</v>
          </cell>
          <cell r="C1911" t="str">
            <v>Active</v>
          </cell>
          <cell r="D1911">
            <v>2012</v>
          </cell>
          <cell r="G1911" t="str">
            <v>Egypt</v>
          </cell>
          <cell r="X1911" t="str">
            <v>Commercial &amp; Professional Services</v>
          </cell>
        </row>
        <row r="1912">
          <cell r="A1912" t="str">
            <v>Cloudinn</v>
          </cell>
          <cell r="B1912" t="str">
            <v>Cloudinn is a specialized IT company focusing on developing Property Management System (PMS) for all types of accommodation providers.</v>
          </cell>
          <cell r="C1912" t="str">
            <v>Active</v>
          </cell>
          <cell r="D1912">
            <v>2013</v>
          </cell>
          <cell r="G1912" t="str">
            <v>Egypt</v>
          </cell>
          <cell r="X1912" t="str">
            <v>Real Estate</v>
          </cell>
        </row>
        <row r="1913">
          <cell r="A1913" t="str">
            <v>Cyber Talents</v>
          </cell>
          <cell r="B1913" t="str">
            <v>Cyber Talents is an online ethical hacking, computer network, and security challenge platform.</v>
          </cell>
          <cell r="C1913" t="str">
            <v>Active</v>
          </cell>
          <cell r="D1913">
            <v>2016</v>
          </cell>
          <cell r="G1913" t="str">
            <v>Egypt</v>
          </cell>
          <cell r="X1913" t="str">
            <v>Telecommunication</v>
          </cell>
        </row>
        <row r="1914">
          <cell r="A1914" t="str">
            <v>Entej</v>
          </cell>
          <cell r="B1914" t="str">
            <v>Entej is an Egypt-based company that develops digital economical social network, helping SMEs, SOHOs, and entrepreneurs achieve success.</v>
          </cell>
          <cell r="C1914" t="str">
            <v>Active</v>
          </cell>
          <cell r="D1914">
            <v>2013</v>
          </cell>
          <cell r="G1914" t="str">
            <v>Egypt</v>
          </cell>
          <cell r="X1914" t="str">
            <v>Telecommunication</v>
          </cell>
        </row>
        <row r="1915">
          <cell r="A1915" t="str">
            <v>Jodyshop</v>
          </cell>
          <cell r="B1915" t="str">
            <v>Jodyshop.com is an online shopping website for men and women that sells clothes, bags, shoes, cosmetics, electronics and more.</v>
          </cell>
          <cell r="C1915" t="str">
            <v>Active</v>
          </cell>
          <cell r="D1915">
            <v>2016</v>
          </cell>
          <cell r="G1915" t="str">
            <v>Egypt</v>
          </cell>
          <cell r="X1915" t="str">
            <v>E-Commerce &amp; Retail</v>
          </cell>
        </row>
        <row r="1916">
          <cell r="A1916" t="str">
            <v>Vidmy Inc</v>
          </cell>
          <cell r="B1916" t="str">
            <v>Vidmy is a video curation platform enabling users to build rich interactive monetizable websites containing the content of their choice.</v>
          </cell>
          <cell r="C1916" t="str">
            <v>Active</v>
          </cell>
          <cell r="D1916">
            <v>2014</v>
          </cell>
          <cell r="G1916" t="str">
            <v>Egypt</v>
          </cell>
          <cell r="X1916" t="str">
            <v>Media and entertainment</v>
          </cell>
        </row>
        <row r="1917">
          <cell r="A1917" t="str">
            <v>Filsekka</v>
          </cell>
          <cell r="B1917" t="str">
            <v>Filsekka is the first medical platform designed to care and support pregnant women in the Arab world.</v>
          </cell>
          <cell r="C1917" t="str">
            <v>Active</v>
          </cell>
          <cell r="D1917">
            <v>2016</v>
          </cell>
          <cell r="G1917" t="str">
            <v>Egypt</v>
          </cell>
          <cell r="X1917" t="str">
            <v>Healthcare &amp; Pharma</v>
          </cell>
        </row>
        <row r="1918">
          <cell r="A1918" t="str">
            <v>Faggala.com</v>
          </cell>
          <cell r="B1918" t="str">
            <v>Faggala.com is an online marketplace specialized in stationary books.</v>
          </cell>
          <cell r="C1918" t="str">
            <v>Active</v>
          </cell>
          <cell r="D1918">
            <v>2016</v>
          </cell>
          <cell r="G1918" t="str">
            <v>Egypt</v>
          </cell>
          <cell r="X1918" t="str">
            <v>E-Commerce &amp; Retail</v>
          </cell>
        </row>
        <row r="1919">
          <cell r="A1919" t="str">
            <v>Scoop Empire</v>
          </cell>
          <cell r="B1919" t="str">
            <v>We are your urban online hub, for all that is new, hip, enticing, and funk. If we know about it, then you should.</v>
          </cell>
          <cell r="C1919" t="str">
            <v>Active</v>
          </cell>
          <cell r="D1919">
            <v>2012</v>
          </cell>
          <cell r="G1919" t="str">
            <v>Egypt</v>
          </cell>
          <cell r="X1919" t="str">
            <v>Media and entertainment</v>
          </cell>
        </row>
        <row r="1920">
          <cell r="A1920" t="str">
            <v>Bus Pooling</v>
          </cell>
          <cell r="B1920" t="str">
            <v>Bus Pooling is a subscription-based bus service that transports commuters between home and work.</v>
          </cell>
          <cell r="C1920" t="str">
            <v>Active</v>
          </cell>
          <cell r="D1920">
            <v>2013</v>
          </cell>
          <cell r="G1920" t="str">
            <v>Egypt</v>
          </cell>
          <cell r="X1920" t="str">
            <v>Transport and logistics</v>
          </cell>
        </row>
        <row r="1921">
          <cell r="A1921" t="str">
            <v>Ship'nbag</v>
          </cell>
          <cell r="B1921" t="str">
            <v>An automated web and mobile-based shipping solution that connect orders with travelers on a global scale.</v>
          </cell>
          <cell r="C1921" t="str">
            <v>Active</v>
          </cell>
          <cell r="D1921">
            <v>2017</v>
          </cell>
          <cell r="G1921" t="str">
            <v>Egypt</v>
          </cell>
          <cell r="X1921" t="str">
            <v>Transport and logistics</v>
          </cell>
        </row>
        <row r="1922">
          <cell r="A1922" t="str">
            <v>5dVR</v>
          </cell>
          <cell r="B1922" t="str">
            <v>5dVR is a virtual reality content and production studio dedicated to the creation of stunning and immersive virtual reality experiences.</v>
          </cell>
          <cell r="C1922" t="str">
            <v>Active</v>
          </cell>
          <cell r="D1922">
            <v>2016</v>
          </cell>
          <cell r="G1922" t="str">
            <v>Egypt</v>
          </cell>
          <cell r="X1922" t="str">
            <v>Commercial &amp; Professional Services</v>
          </cell>
        </row>
        <row r="1923">
          <cell r="A1923" t="str">
            <v>E7gezly</v>
          </cell>
          <cell r="B1923" t="str">
            <v>E7gezly is an online and mobile booking services provider for the various platforms of events, venues, and transportation.</v>
          </cell>
          <cell r="C1923" t="str">
            <v>Active</v>
          </cell>
          <cell r="D1923">
            <v>2011</v>
          </cell>
          <cell r="G1923" t="str">
            <v>Egypt</v>
          </cell>
          <cell r="X1923" t="str">
            <v>E-Commerce &amp; Retail</v>
          </cell>
        </row>
        <row r="1924">
          <cell r="A1924" t="str">
            <v>BotCommander</v>
          </cell>
          <cell r="B1924" t="str">
            <v>AI, Chatbots</v>
          </cell>
          <cell r="C1924" t="str">
            <v>Active</v>
          </cell>
          <cell r="D1924">
            <v>2017</v>
          </cell>
          <cell r="G1924" t="str">
            <v>Egypt</v>
          </cell>
          <cell r="X1924" t="str">
            <v>Commercial &amp; Professional Services</v>
          </cell>
        </row>
        <row r="1925">
          <cell r="A1925" t="str">
            <v>Hawak Radio</v>
          </cell>
          <cell r="B1925" t="str">
            <v>Online Radio &amp; Music Application</v>
          </cell>
          <cell r="C1925" t="str">
            <v>Active</v>
          </cell>
          <cell r="D1925">
            <v>2013</v>
          </cell>
          <cell r="G1925" t="str">
            <v>Egypt</v>
          </cell>
          <cell r="X1925" t="str">
            <v>Media and entertainment</v>
          </cell>
        </row>
        <row r="1926">
          <cell r="A1926" t="str">
            <v>INTcore</v>
          </cell>
          <cell r="B1926" t="str">
            <v>INTcore - web solutions company &amp; mobile solutions and digital marketing company based in Egypt</v>
          </cell>
          <cell r="C1926" t="str">
            <v>Active</v>
          </cell>
          <cell r="D1926">
            <v>2012</v>
          </cell>
          <cell r="G1926" t="str">
            <v>Egypt</v>
          </cell>
          <cell r="X1926" t="str">
            <v>Commercial &amp; Professional Services</v>
          </cell>
        </row>
        <row r="1927">
          <cell r="A1927" t="str">
            <v>Mobihall</v>
          </cell>
          <cell r="B1927" t="str">
            <v>Mobihall is the largest mobile phone discovery platform in the Arab world</v>
          </cell>
          <cell r="C1927" t="str">
            <v>Active</v>
          </cell>
          <cell r="D1927">
            <v>2012</v>
          </cell>
          <cell r="G1927" t="str">
            <v>Egypt</v>
          </cell>
          <cell r="X1927" t="str">
            <v>Telecommunication</v>
          </cell>
        </row>
        <row r="1928">
          <cell r="A1928" t="str">
            <v>DCBEgypt</v>
          </cell>
          <cell r="B1928" t="str">
            <v>DCBEgypt operates as a direct carrier billing service provider.</v>
          </cell>
          <cell r="C1928" t="str">
            <v>Active</v>
          </cell>
          <cell r="D1928">
            <v>2014</v>
          </cell>
          <cell r="G1928" t="str">
            <v>Egypt</v>
          </cell>
          <cell r="X1928" t="str">
            <v>Telecommunication</v>
          </cell>
        </row>
        <row r="1929">
          <cell r="A1929" t="str">
            <v>YALLA NSADAR</v>
          </cell>
          <cell r="B1929" t="str">
            <v>Yalla Nsadar is a B2B marketplace, connecting wholesalers between whole world and the Arab countries.</v>
          </cell>
          <cell r="C1929" t="str">
            <v>Active</v>
          </cell>
          <cell r="D1929">
            <v>2016</v>
          </cell>
          <cell r="G1929" t="str">
            <v>Egypt</v>
          </cell>
          <cell r="X1929" t="str">
            <v>E-Commerce &amp; Retail</v>
          </cell>
        </row>
        <row r="1930">
          <cell r="A1930" t="str">
            <v>Tanqeeb</v>
          </cell>
          <cell r="B1930" t="str">
            <v>Tanqeeb , job search engine. Search for a job a cross the middle east and Gulf.</v>
          </cell>
          <cell r="C1930" t="str">
            <v>Active</v>
          </cell>
          <cell r="D1930">
            <v>2011</v>
          </cell>
          <cell r="G1930" t="str">
            <v>Egypt</v>
          </cell>
          <cell r="X1930" t="str">
            <v>Telecommunication</v>
          </cell>
        </row>
        <row r="1931">
          <cell r="A1931" t="str">
            <v>Omash.com</v>
          </cell>
          <cell r="B1931" t="str">
            <v>Omash.com is an online directory that collects fabrics from tailors all across Egypt, and displays them online for customers to purchase.</v>
          </cell>
          <cell r="C1931" t="str">
            <v>Active</v>
          </cell>
          <cell r="D1931">
            <v>2014</v>
          </cell>
          <cell r="G1931" t="str">
            <v>Egypt</v>
          </cell>
          <cell r="X1931" t="str">
            <v>E-Commerce &amp; Retail</v>
          </cell>
        </row>
        <row r="1932">
          <cell r="A1932" t="str">
            <v>Trolley</v>
          </cell>
          <cell r="B1932" t="str">
            <v>Trolley sells and delivers groceries all over Cairo and Giza through its web and mobile-based platform.</v>
          </cell>
          <cell r="C1932" t="str">
            <v>Active</v>
          </cell>
          <cell r="D1932">
            <v>2018</v>
          </cell>
          <cell r="G1932" t="str">
            <v>Egypt</v>
          </cell>
          <cell r="X1932" t="str">
            <v>E-Commerce &amp; Retail</v>
          </cell>
        </row>
        <row r="1933">
          <cell r="A1933" t="str">
            <v>NowPay</v>
          </cell>
          <cell r="B1933" t="str">
            <v>NowPay partners with employers to help their employees get their salaries in advance at any point during the month.</v>
          </cell>
          <cell r="C1933" t="str">
            <v>Active</v>
          </cell>
          <cell r="D1933">
            <v>2018</v>
          </cell>
          <cell r="G1933" t="str">
            <v>United States</v>
          </cell>
          <cell r="X1933" t="str">
            <v>Financial Services</v>
          </cell>
        </row>
        <row r="1934">
          <cell r="A1934" t="str">
            <v>Proteinea</v>
          </cell>
          <cell r="B1934" t="str">
            <v>At Proteinea, we are raising insects that are being fed on organic waste to replace fishmeal in aquaculture and animal feeds with sustainable and more environmental insect-based protein.</v>
          </cell>
          <cell r="C1934" t="str">
            <v>Active</v>
          </cell>
          <cell r="D1934">
            <v>2019</v>
          </cell>
          <cell r="G1934" t="str">
            <v>Egypt</v>
          </cell>
          <cell r="X1934" t="str">
            <v>Agriculture</v>
          </cell>
          <cell r="Y1934" t="str">
            <v>Biotechnology</v>
          </cell>
        </row>
        <row r="1935">
          <cell r="A1935" t="str">
            <v>Doctoorum</v>
          </cell>
          <cell r="B1935" t="str">
            <v>Doctoorum is a curated medical tourism online marketplace, Where patients can compare and book affordable treatments from trusted providers abroad.</v>
          </cell>
          <cell r="C1935" t="str">
            <v>Active</v>
          </cell>
          <cell r="D1935">
            <v>2018</v>
          </cell>
          <cell r="G1935" t="str">
            <v>Egypt</v>
          </cell>
          <cell r="X1935" t="str">
            <v>Healthcare &amp; Pharma</v>
          </cell>
          <cell r="Y1935" t="str">
            <v>Medical Tourism</v>
          </cell>
        </row>
        <row r="1936">
          <cell r="A1936" t="str">
            <v>Ghana Code Club</v>
          </cell>
          <cell r="B1936" t="str">
            <v>The Ghana Code Club is an after-school program that teaches children computer programming skills. Children between ages 5-17 can join any of our coding programs from Schools, Community Centers and Libraries to learn to create computer games, animations, interactive arts, websites and mobile apps</v>
          </cell>
          <cell r="C1936" t="str">
            <v>Active</v>
          </cell>
          <cell r="D1936">
            <v>2015</v>
          </cell>
          <cell r="G1936" t="str">
            <v>Ghana</v>
          </cell>
          <cell r="X1936" t="str">
            <v>Education</v>
          </cell>
          <cell r="Y1936" t="str">
            <v>E-Learning</v>
          </cell>
        </row>
        <row r="1937">
          <cell r="A1937" t="str">
            <v>BezoMoney</v>
          </cell>
          <cell r="B1937" t="str">
            <v>BezoMoney is a digital savings platform for traditional savings groups.</v>
          </cell>
          <cell r="C1937" t="str">
            <v>Active</v>
          </cell>
          <cell r="D1937">
            <v>2019</v>
          </cell>
          <cell r="G1937" t="str">
            <v>Ghana</v>
          </cell>
          <cell r="X1937" t="str">
            <v>Financial Services</v>
          </cell>
          <cell r="Y1937" t="str">
            <v>Savings</v>
          </cell>
        </row>
        <row r="1938">
          <cell r="A1938" t="str">
            <v>CoFundie</v>
          </cell>
          <cell r="B1938" t="str">
            <v>Co-Fundie is a platform for crowd-sourcing funds for the development of buildings using cost efficient and time-saving techniques</v>
          </cell>
          <cell r="C1938" t="str">
            <v>Active</v>
          </cell>
          <cell r="D1938">
            <v>2019</v>
          </cell>
          <cell r="G1938" t="str">
            <v>Ghana</v>
          </cell>
          <cell r="X1938" t="str">
            <v>Financial Services</v>
          </cell>
          <cell r="Y1938" t="str">
            <v>Real Estate, Crowdfunding</v>
          </cell>
        </row>
        <row r="1939">
          <cell r="A1939" t="str">
            <v>Massira</v>
          </cell>
          <cell r="B1939" t="str">
            <v>Massira is a social support network and healthcare service aggregator for women</v>
          </cell>
          <cell r="C1939" t="str">
            <v>Active</v>
          </cell>
          <cell r="D1939">
            <v>2019</v>
          </cell>
          <cell r="G1939" t="str">
            <v>Ghana</v>
          </cell>
          <cell r="X1939" t="str">
            <v>Healthcare &amp; Pharma</v>
          </cell>
          <cell r="Y1939" t="str">
            <v>Women's Health</v>
          </cell>
        </row>
        <row r="1940">
          <cell r="A1940" t="str">
            <v>Niqao</v>
          </cell>
          <cell r="B1940" t="str">
            <v>Niqao is a financing platform that connects merchants and lenders to enable them to offer customers the option of paying in installments</v>
          </cell>
          <cell r="C1940" t="str">
            <v>Active</v>
          </cell>
          <cell r="D1940">
            <v>2019</v>
          </cell>
          <cell r="G1940" t="str">
            <v>Ghana</v>
          </cell>
          <cell r="X1940" t="str">
            <v>Financial Services</v>
          </cell>
          <cell r="Y1940" t="str">
            <v>Payments</v>
          </cell>
        </row>
        <row r="1941">
          <cell r="A1941" t="str">
            <v>Adi+Bolga</v>
          </cell>
          <cell r="B1941" t="str">
            <v>Adi+Bolga is a platform using the power of technology and community to gather data and create conversations around the black skin and black skincare</v>
          </cell>
          <cell r="C1941" t="str">
            <v>Active</v>
          </cell>
          <cell r="D1941">
            <v>2019</v>
          </cell>
          <cell r="G1941" t="str">
            <v>Ghana</v>
          </cell>
          <cell r="X1941" t="str">
            <v>Information Technology</v>
          </cell>
          <cell r="Y1941" t="str">
            <v>Beauty &amp; Cosmetics</v>
          </cell>
        </row>
        <row r="1942">
          <cell r="A1942" t="str">
            <v>TalentsinAfrica</v>
          </cell>
          <cell r="B1942" t="str">
            <v>TalentsinAfrica simplifies the recruitment process for both job seekers and recruiters.</v>
          </cell>
          <cell r="C1942" t="str">
            <v>Active</v>
          </cell>
          <cell r="D1942">
            <v>2017</v>
          </cell>
          <cell r="G1942" t="str">
            <v>Ghana</v>
          </cell>
          <cell r="X1942" t="str">
            <v>Commercial &amp; Professional Services</v>
          </cell>
        </row>
        <row r="1943">
          <cell r="A1943" t="str">
            <v>Tonaton.com</v>
          </cell>
          <cell r="B1943" t="str">
            <v>Tonaton.com is a website where you can buy and sell almost everything.</v>
          </cell>
          <cell r="C1943" t="str">
            <v>Active</v>
          </cell>
          <cell r="D1943">
            <v>2013</v>
          </cell>
          <cell r="G1943" t="str">
            <v>Ghana</v>
          </cell>
          <cell r="X1943" t="str">
            <v>E-Commerce &amp; Retail</v>
          </cell>
        </row>
        <row r="1944">
          <cell r="A1944" t="str">
            <v>Rosak Consult</v>
          </cell>
          <cell r="B1944" t="str">
            <v>Rosak Consult offers its services within the hospitality and tourism industry.</v>
          </cell>
          <cell r="C1944" t="str">
            <v>Active</v>
          </cell>
          <cell r="D1944">
            <v>2014</v>
          </cell>
          <cell r="G1944" t="str">
            <v>Ghana</v>
          </cell>
          <cell r="X1944" t="str">
            <v>Travel and Leisure</v>
          </cell>
          <cell r="Y1944" t="str">
            <v>Training, Recruitment</v>
          </cell>
        </row>
        <row r="1945">
          <cell r="A1945" t="str">
            <v>Terk Trendz</v>
          </cell>
          <cell r="B1945" t="str">
            <v>Terk Trendz is an innovation driven company soon to become the Tech Hub of Africa</v>
          </cell>
          <cell r="C1945" t="str">
            <v>Active</v>
          </cell>
          <cell r="D1945">
            <v>2016</v>
          </cell>
          <cell r="G1945" t="str">
            <v>Ghana</v>
          </cell>
          <cell r="X1945" t="str">
            <v>Information technology</v>
          </cell>
          <cell r="Y1945" t="str">
            <v>Software Development</v>
          </cell>
        </row>
        <row r="1946">
          <cell r="A1946" t="str">
            <v>Edwa Global Company</v>
          </cell>
          <cell r="B1946" t="str">
            <v>Edwa Global is a company focused on becoming Africa's leading retail channel for local &amp; organic farm produce</v>
          </cell>
          <cell r="C1946" t="str">
            <v>Active</v>
          </cell>
          <cell r="D1946">
            <v>2016</v>
          </cell>
          <cell r="G1946" t="str">
            <v>Ghana</v>
          </cell>
          <cell r="X1946" t="str">
            <v>E-Commerce &amp; Retail</v>
          </cell>
        </row>
        <row r="1947">
          <cell r="A1947" t="str">
            <v>JimahTech Limited</v>
          </cell>
          <cell r="B1947" t="str">
            <v>JimahTech is focusing on software and applcation development across different platforms</v>
          </cell>
          <cell r="C1947" t="str">
            <v>Active</v>
          </cell>
          <cell r="D1947">
            <v>2014</v>
          </cell>
          <cell r="G1947" t="str">
            <v>Ghana</v>
          </cell>
          <cell r="X1947" t="str">
            <v>Information Technology</v>
          </cell>
          <cell r="Y1947" t="str">
            <v>Software Development</v>
          </cell>
        </row>
        <row r="1948">
          <cell r="A1948" t="str">
            <v>Sikasem Africa</v>
          </cell>
          <cell r="B1948" t="str">
            <v xml:space="preserve">Sikasem is a social enterprise that creates, provides and facilitates a complete financial services value chain for the unbanked and underserved individuals and micro businesses. </v>
          </cell>
          <cell r="C1948" t="str">
            <v>Active</v>
          </cell>
          <cell r="D1948">
            <v>2017</v>
          </cell>
          <cell r="G1948" t="str">
            <v>Ghana</v>
          </cell>
          <cell r="X1948" t="str">
            <v>Financial Services</v>
          </cell>
        </row>
        <row r="1949">
          <cell r="A1949" t="str">
            <v>Ahwenepa</v>
          </cell>
          <cell r="B1949" t="str">
            <v>Ahwenepa is a marketplace for handmade  trendy African inspired products.</v>
          </cell>
          <cell r="C1949" t="str">
            <v>Active</v>
          </cell>
          <cell r="D1949">
            <v>2014</v>
          </cell>
          <cell r="G1949" t="str">
            <v>Ghana</v>
          </cell>
          <cell r="X1949" t="str">
            <v>E-Commerce &amp; Retail</v>
          </cell>
        </row>
        <row r="1950">
          <cell r="A1950" t="str">
            <v>CountryTales</v>
          </cell>
          <cell r="B1950" t="str">
            <v>Country Tales is home for the niche market of African writers and their stories, comprising different genres.</v>
          </cell>
          <cell r="C1950" t="str">
            <v>Active</v>
          </cell>
          <cell r="D1950">
            <v>2017</v>
          </cell>
          <cell r="G1950" t="str">
            <v>Ghana</v>
          </cell>
          <cell r="X1950" t="str">
            <v xml:space="preserve">E-Commerce &amp; Retail </v>
          </cell>
          <cell r="Y1950" t="str">
            <v>Books, Literature</v>
          </cell>
        </row>
        <row r="1951">
          <cell r="A1951" t="str">
            <v>A-Plus E-Learning</v>
          </cell>
          <cell r="B1951" t="str">
            <v>Enabling academic excellence through e-learning</v>
          </cell>
          <cell r="C1951" t="str">
            <v>Active</v>
          </cell>
          <cell r="D1951">
            <v>2015</v>
          </cell>
          <cell r="G1951" t="str">
            <v>Ghana</v>
          </cell>
          <cell r="X1951" t="str">
            <v>Education</v>
          </cell>
          <cell r="Y1951" t="str">
            <v>E-Learning</v>
          </cell>
        </row>
        <row r="1952">
          <cell r="A1952" t="str">
            <v>GhanaCompares</v>
          </cell>
          <cell r="B1952" t="str">
            <v>Ghanacompares.com is an independent online comparison service, we provide customers in Ghana with the opportunity to compare quotes</v>
          </cell>
          <cell r="C1952" t="str">
            <v>Active</v>
          </cell>
          <cell r="D1952">
            <v>2016</v>
          </cell>
          <cell r="G1952" t="str">
            <v>Ghana</v>
          </cell>
          <cell r="X1952" t="str">
            <v>Financial Services</v>
          </cell>
        </row>
        <row r="1953">
          <cell r="A1953" t="str">
            <v>YALife</v>
          </cell>
          <cell r="B1953" t="str">
            <v>YALife is a new media publisher that gathers and creates information and inspiration that fuels the Next Generation of Africans to challenge the status quo and revolutionize the world.</v>
          </cell>
          <cell r="C1953" t="str">
            <v>Active</v>
          </cell>
          <cell r="D1953">
            <v>2016</v>
          </cell>
          <cell r="G1953" t="str">
            <v>Ghana</v>
          </cell>
          <cell r="X1953" t="str">
            <v>Media and Entertainment</v>
          </cell>
        </row>
        <row r="1954">
          <cell r="A1954" t="str">
            <v>Avenir Ghana</v>
          </cell>
          <cell r="B1954" t="str">
            <v xml:space="preserve"> specialising web/mobile design and development, and content development.</v>
          </cell>
          <cell r="C1954" t="str">
            <v>Active</v>
          </cell>
          <cell r="D1954">
            <v>2015</v>
          </cell>
          <cell r="G1954" t="str">
            <v>Ghana</v>
          </cell>
          <cell r="X1954" t="str">
            <v>Information Technology</v>
          </cell>
        </row>
        <row r="1955">
          <cell r="A1955" t="str">
            <v>Infinixel</v>
          </cell>
          <cell r="B1955" t="str">
            <v>Start-up company that specializes in the development of websites and web applications to solve day to day challenges</v>
          </cell>
          <cell r="C1955" t="str">
            <v>Active</v>
          </cell>
          <cell r="D1955">
            <v>2015</v>
          </cell>
          <cell r="G1955" t="str">
            <v>Ghana</v>
          </cell>
          <cell r="X1955" t="str">
            <v>Information Technology</v>
          </cell>
          <cell r="Y1955" t="str">
            <v>Software Development</v>
          </cell>
        </row>
        <row r="1956">
          <cell r="A1956" t="str">
            <v>PSS Ghana</v>
          </cell>
          <cell r="B1956" t="str">
            <v>PSS Ghana provides tools for website building at affordable cost.</v>
          </cell>
          <cell r="C1956" t="str">
            <v>Active</v>
          </cell>
          <cell r="D1956">
            <v>2017</v>
          </cell>
          <cell r="G1956" t="str">
            <v>Ghana</v>
          </cell>
          <cell r="X1956" t="str">
            <v>Information Technology</v>
          </cell>
        </row>
        <row r="1957">
          <cell r="A1957" t="str">
            <v>Naasakle</v>
          </cell>
          <cell r="B1957" t="str">
            <v>Naasakle is producing high quality shea based products for sale both B2B and B2C through a few different business lines.</v>
          </cell>
          <cell r="C1957" t="str">
            <v>Active</v>
          </cell>
          <cell r="D1957">
            <v>2015</v>
          </cell>
          <cell r="G1957" t="str">
            <v>United States</v>
          </cell>
          <cell r="X1957" t="str">
            <v>Agriculture</v>
          </cell>
          <cell r="Y1957" t="str">
            <v>Agribusiness</v>
          </cell>
        </row>
        <row r="1958">
          <cell r="A1958" t="str">
            <v>MeQasa Ltd</v>
          </cell>
          <cell r="B1958" t="str">
            <v>MeQasa offers an online platform that enables its users to rent, buy, and sell properties in Ghana.</v>
          </cell>
          <cell r="C1958" t="str">
            <v>Active</v>
          </cell>
          <cell r="D1958">
            <v>2013</v>
          </cell>
          <cell r="G1958" t="str">
            <v>Ghana</v>
          </cell>
        </row>
        <row r="1959">
          <cell r="A1959" t="str">
            <v>Dopecard Holdings Limited</v>
          </cell>
          <cell r="B1959" t="str">
            <v>Dope Card delivers Ô¨Ånancial products and services for young Africans.</v>
          </cell>
          <cell r="C1959" t="str">
            <v>Active</v>
          </cell>
          <cell r="D1959">
            <v>2018</v>
          </cell>
          <cell r="G1959" t="str">
            <v>Ghana</v>
          </cell>
        </row>
        <row r="1960">
          <cell r="A1960" t="str">
            <v>Surfline Communications</v>
          </cell>
          <cell r="B1960" t="str">
            <v>Surfline Communications Limited is a 100% Ghanaian-owned company which provides 4G LTE mobile wireless .</v>
          </cell>
          <cell r="C1960" t="str">
            <v>Active</v>
          </cell>
          <cell r="D1960">
            <v>2011</v>
          </cell>
          <cell r="G1960" t="str">
            <v>Ghana</v>
          </cell>
        </row>
        <row r="1961">
          <cell r="A1961" t="str">
            <v>Beam</v>
          </cell>
          <cell r="B1961" t="str">
            <v>Beam, the cheapest, fastest way to send money to Ghana and soon, Nigeria.</v>
          </cell>
          <cell r="C1961" t="str">
            <v>Active</v>
          </cell>
          <cell r="D1961">
            <v>2014</v>
          </cell>
          <cell r="G1961" t="str">
            <v>Ghana</v>
          </cell>
        </row>
        <row r="1962">
          <cell r="A1962" t="str">
            <v>SynCommerce</v>
          </cell>
          <cell r="B1962" t="str">
            <v>SynCommerce provides you an effective and easy to use tool to manage and synchronize inventory and orders across multiple sales channels.</v>
          </cell>
          <cell r="C1962" t="str">
            <v>Active</v>
          </cell>
          <cell r="D1962">
            <v>2014</v>
          </cell>
          <cell r="G1962" t="str">
            <v>Ghana</v>
          </cell>
        </row>
        <row r="1963">
          <cell r="A1963" t="str">
            <v>Ghalani</v>
          </cell>
          <cell r="B1963" t="str">
            <v>Ghalani provides a mobile and web-¬≠based ERP solution</v>
          </cell>
          <cell r="C1963" t="str">
            <v>Active</v>
          </cell>
          <cell r="D1963">
            <v>2010</v>
          </cell>
          <cell r="G1963" t="str">
            <v>Ghana</v>
          </cell>
        </row>
        <row r="1964">
          <cell r="A1964" t="str">
            <v>Okumkom Mobile App &amp; Community Food Stores</v>
          </cell>
          <cell r="B1964" t="str">
            <v>Okumkom brings affordable and convenience means of local food shopping closer to the communities through a mobile app and website</v>
          </cell>
          <cell r="C1964" t="str">
            <v>Active</v>
          </cell>
          <cell r="D1964">
            <v>2017</v>
          </cell>
          <cell r="G1964" t="str">
            <v>Ghana</v>
          </cell>
        </row>
        <row r="1965">
          <cell r="A1965" t="str">
            <v>Fido</v>
          </cell>
          <cell r="B1965" t="str">
            <v>Providing fast and easy short-term loans</v>
          </cell>
          <cell r="C1965" t="str">
            <v>Active</v>
          </cell>
          <cell r="D1965">
            <v>2013</v>
          </cell>
          <cell r="G1965" t="str">
            <v>Ghana</v>
          </cell>
        </row>
        <row r="1966">
          <cell r="A1966" t="str">
            <v>Alt Technologies LTD</v>
          </cell>
          <cell r="B1966" t="str">
            <v>Alt Technologies LTD is a audio media tech company to help audio content producers easily create host and monetise their creations.</v>
          </cell>
          <cell r="C1966" t="str">
            <v>Active</v>
          </cell>
          <cell r="D1966">
            <v>2016</v>
          </cell>
          <cell r="G1966" t="str">
            <v>Ghana</v>
          </cell>
        </row>
        <row r="1967">
          <cell r="A1967" t="str">
            <v>Ahonya</v>
          </cell>
          <cell r="B1967" t="str">
            <v>Ahonya provides consumers with an online platform to purchase retail goods from the US and UK.</v>
          </cell>
          <cell r="C1967" t="str">
            <v>Active</v>
          </cell>
          <cell r="D1967">
            <v>2013</v>
          </cell>
          <cell r="G1967" t="str">
            <v>Ghana</v>
          </cell>
        </row>
        <row r="1968">
          <cell r="A1968" t="str">
            <v>Homechow</v>
          </cell>
          <cell r="B1968" t="str">
            <v>We are changing how food, goods, and logistics intersect in cities on the Africa continent.</v>
          </cell>
          <cell r="C1968" t="str">
            <v>Active</v>
          </cell>
          <cell r="D1968">
            <v>2018</v>
          </cell>
          <cell r="G1968" t="str">
            <v>Ghana</v>
          </cell>
        </row>
        <row r="1969">
          <cell r="A1969" t="str">
            <v>Bluconyx</v>
          </cell>
          <cell r="B1969" t="str">
            <v>a social enterprise tech company with the objective of solving societal challenges and problems through technology.</v>
          </cell>
          <cell r="C1969" t="str">
            <v>Active</v>
          </cell>
          <cell r="D1969">
            <v>2018</v>
          </cell>
          <cell r="G1969" t="str">
            <v>Ghana</v>
          </cell>
        </row>
        <row r="1970">
          <cell r="A1970" t="str">
            <v>Asoriba</v>
          </cell>
          <cell r="B1970" t="str">
            <v>Asoriba's vision is to ultimately win more souls by using technology as a tool.</v>
          </cell>
          <cell r="C1970" t="str">
            <v>Active</v>
          </cell>
          <cell r="D1970">
            <v>2015</v>
          </cell>
          <cell r="G1970" t="str">
            <v>Ghana</v>
          </cell>
        </row>
        <row r="1971">
          <cell r="A1971" t="str">
            <v>Bitland Global</v>
          </cell>
          <cell r="B1971" t="str">
            <v>Bitland is an experimental platform using decentralized, trustless models such as Bitcoin‚Äôs blockchain to bridge the gap.</v>
          </cell>
          <cell r="C1971" t="str">
            <v>Active</v>
          </cell>
          <cell r="D1971">
            <v>2013</v>
          </cell>
          <cell r="G1971" t="str">
            <v>Ghana</v>
          </cell>
        </row>
        <row r="1972">
          <cell r="A1972" t="str">
            <v>SliceBiz</v>
          </cell>
          <cell r="B1972" t="str">
            <v>SliceBiz is an investment platform that provides alternative financing for startups in Africa and emerging markets.</v>
          </cell>
          <cell r="C1972" t="str">
            <v>Active</v>
          </cell>
          <cell r="D1972">
            <v>2012</v>
          </cell>
          <cell r="G1972" t="str">
            <v>Ghana</v>
          </cell>
        </row>
        <row r="1973">
          <cell r="A1973" t="str">
            <v>Zoobashop</v>
          </cell>
          <cell r="B1973" t="str">
            <v>Zoobashop is an online store in Ghana offering a wide range of electronics, home appliances, items of fashion etc.</v>
          </cell>
          <cell r="C1973" t="str">
            <v>Active</v>
          </cell>
          <cell r="D1973">
            <v>2013</v>
          </cell>
          <cell r="G1973" t="str">
            <v>Ghana</v>
          </cell>
        </row>
        <row r="1974">
          <cell r="A1974" t="str">
            <v>QualiTrace</v>
          </cell>
          <cell r="B1974" t="str">
            <v>Traceability and Anti-counterfeiting Solutions</v>
          </cell>
          <cell r="C1974" t="str">
            <v>Active</v>
          </cell>
          <cell r="D1974">
            <v>2017</v>
          </cell>
          <cell r="G1974" t="str">
            <v>Ghana</v>
          </cell>
        </row>
        <row r="1975">
          <cell r="A1975" t="str">
            <v>Ghanamotion Limited</v>
          </cell>
          <cell r="B1975" t="str">
            <v>Ghanamotion Limited is a music site for all the latest and the best in African music and entertainment.</v>
          </cell>
          <cell r="C1975" t="str">
            <v>Active</v>
          </cell>
          <cell r="D1975">
            <v>2010</v>
          </cell>
          <cell r="G1975" t="str">
            <v>Ghana</v>
          </cell>
        </row>
        <row r="1976">
          <cell r="A1976" t="str">
            <v>Ampersand Technologies</v>
          </cell>
          <cell r="B1976" t="str">
            <v>Ampersand Technologies develops and designs websites and provides related information consultancy services Ghana.</v>
          </cell>
          <cell r="C1976" t="str">
            <v>Active</v>
          </cell>
          <cell r="D1976">
            <v>2015</v>
          </cell>
          <cell r="G1976" t="str">
            <v>Ghana</v>
          </cell>
        </row>
        <row r="1977">
          <cell r="A1977" t="str">
            <v>The BEIGE Group</v>
          </cell>
          <cell r="B1977" t="str">
            <v>The BEIGE Group operates as a financial services provider.</v>
          </cell>
          <cell r="C1977" t="str">
            <v>Active</v>
          </cell>
          <cell r="D1977">
            <v>2012</v>
          </cell>
          <cell r="G1977" t="str">
            <v>Ghana</v>
          </cell>
        </row>
        <row r="1978">
          <cell r="A1978" t="str">
            <v>Zished</v>
          </cell>
          <cell r="B1978" t="str">
            <v>Zished, a gift site, enables consumers to order cakes, flowers, gift vouchers, and hampers online and have them delivered to the doorsteps.</v>
          </cell>
          <cell r="C1978" t="str">
            <v>Active</v>
          </cell>
          <cell r="D1978">
            <v>2013</v>
          </cell>
          <cell r="G1978" t="str">
            <v>Ghana</v>
          </cell>
        </row>
        <row r="1979">
          <cell r="A1979" t="str">
            <v>PayLock</v>
          </cell>
          <cell r="B1979" t="str">
            <v>Payment, Escrow, Fintech</v>
          </cell>
          <cell r="C1979" t="str">
            <v>Active</v>
          </cell>
          <cell r="D1979">
            <v>2018</v>
          </cell>
          <cell r="G1979" t="str">
            <v>Ghana</v>
          </cell>
        </row>
        <row r="1980">
          <cell r="A1980" t="str">
            <v>SnooCODE</v>
          </cell>
          <cell r="B1980" t="str">
            <v>SnooCODE is an addressing system that provides a private and unique geolocation code for individuals &amp; businesses across the emerging world</v>
          </cell>
          <cell r="C1980" t="str">
            <v>Active</v>
          </cell>
          <cell r="D1980">
            <v>2014</v>
          </cell>
          <cell r="G1980" t="str">
            <v>Ghana</v>
          </cell>
        </row>
        <row r="1981">
          <cell r="A1981" t="str">
            <v>Triva</v>
          </cell>
          <cell r="B1981" t="str">
            <v>Triva is a robo-financial services platform that helps people to achieve their dreams by providing access to tailored financial products.</v>
          </cell>
          <cell r="C1981" t="str">
            <v>Active</v>
          </cell>
          <cell r="D1981">
            <v>2017</v>
          </cell>
          <cell r="G1981" t="str">
            <v>Ghana</v>
          </cell>
        </row>
        <row r="1982">
          <cell r="A1982" t="str">
            <v>Cocoa360</v>
          </cell>
          <cell r="B1982" t="str">
            <v>Cocoa360 transforms farming communities and facilitates access to education and healthcare.</v>
          </cell>
          <cell r="C1982" t="str">
            <v>Active</v>
          </cell>
          <cell r="D1982">
            <v>2015</v>
          </cell>
          <cell r="G1982" t="str">
            <v>Ghana</v>
          </cell>
        </row>
        <row r="1983">
          <cell r="A1983" t="str">
            <v>Farmable</v>
          </cell>
          <cell r="B1983" t="str">
            <v>A Crowdfunding platform that links investors in developed countries with real farms in Ghana.</v>
          </cell>
          <cell r="C1983" t="str">
            <v>Active</v>
          </cell>
          <cell r="D1983">
            <v>2013</v>
          </cell>
          <cell r="G1983" t="str">
            <v>Ghana</v>
          </cell>
        </row>
        <row r="1984">
          <cell r="A1984" t="str">
            <v>Nandimobile</v>
          </cell>
          <cell r="B1984" t="str">
            <v>Nandimobile provides On-demand customer support service.</v>
          </cell>
          <cell r="C1984" t="str">
            <v>Active</v>
          </cell>
          <cell r="D1984">
            <v>2010</v>
          </cell>
          <cell r="G1984" t="str">
            <v>Ghana</v>
          </cell>
        </row>
        <row r="1985">
          <cell r="A1985" t="str">
            <v>Pavelon</v>
          </cell>
          <cell r="B1985" t="str">
            <v>Pavelon Provides smartphone insurance and on-demand repairs for mobile users in Ghana. It‚Äôs smartphone repairs that come to you.</v>
          </cell>
          <cell r="C1985" t="str">
            <v>Active</v>
          </cell>
          <cell r="D1985">
            <v>2018</v>
          </cell>
          <cell r="G1985" t="str">
            <v>Ghana</v>
          </cell>
        </row>
        <row r="1986">
          <cell r="A1986" t="str">
            <v>Curist Pharma</v>
          </cell>
          <cell r="B1986" t="str">
            <v>Curist Pharma is a fast growing pharmaceutical integrated value chain business with presence.</v>
          </cell>
          <cell r="C1986" t="str">
            <v>Active</v>
          </cell>
          <cell r="D1986">
            <v>2010</v>
          </cell>
          <cell r="G1986" t="str">
            <v>Ghana</v>
          </cell>
        </row>
        <row r="1987">
          <cell r="A1987" t="str">
            <v>Apprise Music &amp; Media</v>
          </cell>
          <cell r="B1987" t="str">
            <v>We offer many options to monetize and promote your music online</v>
          </cell>
          <cell r="C1987" t="str">
            <v>Active</v>
          </cell>
          <cell r="D1987">
            <v>2018</v>
          </cell>
          <cell r="G1987" t="str">
            <v>Ghana</v>
          </cell>
        </row>
        <row r="1988">
          <cell r="A1988" t="str">
            <v>Orderwind</v>
          </cell>
          <cell r="B1988" t="str">
            <v>A delivery solution for online businesses</v>
          </cell>
          <cell r="C1988" t="str">
            <v>Active</v>
          </cell>
          <cell r="D1988">
            <v>2018</v>
          </cell>
          <cell r="G1988" t="str">
            <v>Ghana</v>
          </cell>
        </row>
        <row r="1989">
          <cell r="A1989" t="str">
            <v>MarketExpress Solutions Ltd</v>
          </cell>
          <cell r="B1989" t="str">
            <v>Market Express is Ghana's online grocery supermarket for household supplies, groceries and office supplies.</v>
          </cell>
          <cell r="C1989" t="str">
            <v>Active</v>
          </cell>
          <cell r="D1989">
            <v>2016</v>
          </cell>
          <cell r="G1989" t="str">
            <v>Ghana</v>
          </cell>
        </row>
        <row r="1990">
          <cell r="A1990" t="str">
            <v>Forhey</v>
          </cell>
          <cell r="B1990" t="str">
            <v>Forhey provides full garment care services with smart on-demand door to door technology.</v>
          </cell>
          <cell r="C1990" t="str">
            <v>Active</v>
          </cell>
          <cell r="D1990">
            <v>2015</v>
          </cell>
          <cell r="G1990" t="str">
            <v>Ghana</v>
          </cell>
        </row>
        <row r="1991">
          <cell r="A1991" t="str">
            <v>Deskit Technologies</v>
          </cell>
          <cell r="B1991" t="str">
            <v>We are a Tech company with focus on developing customer-tailored solutions that meet business needs.</v>
          </cell>
          <cell r="C1991" t="str">
            <v>Active</v>
          </cell>
          <cell r="D1991">
            <v>2016</v>
          </cell>
          <cell r="G1991" t="str">
            <v>Ghana</v>
          </cell>
        </row>
        <row r="1992">
          <cell r="A1992" t="str">
            <v>Booomers International</v>
          </cell>
          <cell r="B1992" t="str">
            <v>A subsidiary social enterprise of The Yonso Project, which produces and markets bamboo bicycles and accessories.</v>
          </cell>
          <cell r="C1992" t="str">
            <v>Active</v>
          </cell>
          <cell r="D1992">
            <v>2014</v>
          </cell>
          <cell r="G1992" t="str">
            <v>Ghana</v>
          </cell>
        </row>
        <row r="1993">
          <cell r="A1993" t="str">
            <v>3E Management Training &amp; Research Institute</v>
          </cell>
          <cell r="B1993" t="str">
            <v>Bridging the skill gap in business strategy and growth hack for micro, small and medium-sized enterprices (MSMEs)</v>
          </cell>
          <cell r="C1993" t="str">
            <v>Active</v>
          </cell>
          <cell r="D1993">
            <v>2017</v>
          </cell>
          <cell r="G1993" t="str">
            <v>Ghana</v>
          </cell>
        </row>
        <row r="1994">
          <cell r="A1994" t="str">
            <v>Codetrain</v>
          </cell>
          <cell r="B1994" t="str">
            <v>A software training bootcamp that transforms people to become professional web or mobile app developers and connects them to companies.</v>
          </cell>
          <cell r="C1994" t="str">
            <v>Active</v>
          </cell>
          <cell r="D1994">
            <v>2017</v>
          </cell>
          <cell r="G1994" t="str">
            <v>Ghana</v>
          </cell>
        </row>
        <row r="1995">
          <cell r="A1995" t="str">
            <v>farmCap</v>
          </cell>
          <cell r="B1995" t="str">
            <v>farmCap is an Agritech company that allows individuals to participate in farming by funding existing farms or starting new ones.</v>
          </cell>
          <cell r="C1995" t="str">
            <v>Active</v>
          </cell>
          <cell r="D1995">
            <v>2017</v>
          </cell>
          <cell r="G1995" t="str">
            <v>Ghana</v>
          </cell>
        </row>
        <row r="1996">
          <cell r="A1996" t="str">
            <v>TransGov Ghana</v>
          </cell>
          <cell r="B1996" t="str">
            <v>They collect, analyze, archive and disseminate user-friendly data on the state of development projects and service delivery in Ghana.</v>
          </cell>
          <cell r="C1996" t="str">
            <v>Active</v>
          </cell>
          <cell r="D1996">
            <v>2015</v>
          </cell>
          <cell r="G1996" t="str">
            <v>Ghana</v>
          </cell>
        </row>
        <row r="1997">
          <cell r="A1997" t="str">
            <v>BookADoc Inc.</v>
          </cell>
          <cell r="B1997" t="str">
            <v>BookADoc is an on demand healthcare app that gives patients the ability to book consultations with licensed medical doctors.</v>
          </cell>
          <cell r="C1997" t="str">
            <v>Active</v>
          </cell>
          <cell r="D1997">
            <v>2017</v>
          </cell>
          <cell r="G1997" t="str">
            <v>Ghana</v>
          </cell>
        </row>
        <row r="1998">
          <cell r="A1998" t="str">
            <v>Dolphin Telecommunications</v>
          </cell>
          <cell r="B1998" t="str">
            <v>Dolphin Telecommunications is a company offering internet bandwidth for carriers, ISPs and companies.</v>
          </cell>
          <cell r="C1998" t="str">
            <v>Active</v>
          </cell>
          <cell r="D1998">
            <v>2013</v>
          </cell>
          <cell r="G1998" t="str">
            <v>Ghana</v>
          </cell>
        </row>
        <row r="1999">
          <cell r="A1999" t="str">
            <v>Mobile Web Ghana</v>
          </cell>
          <cell r="B1999" t="str">
            <v>Mobile Web Ghana creates relevant mobile applications for the local market.</v>
          </cell>
          <cell r="C1999" t="str">
            <v>Active</v>
          </cell>
          <cell r="D1999">
            <v>2010</v>
          </cell>
          <cell r="G1999" t="str">
            <v>Ghana</v>
          </cell>
        </row>
        <row r="2000">
          <cell r="A2000" t="str">
            <v>Whisppa</v>
          </cell>
          <cell r="B2000" t="str">
            <v>Whisppa is a music streaming and distribution service that focuses on providing a superb music experience for each user</v>
          </cell>
          <cell r="C2000" t="str">
            <v>Active</v>
          </cell>
          <cell r="D2000">
            <v>2013</v>
          </cell>
          <cell r="G2000" t="str">
            <v>Ghana</v>
          </cell>
        </row>
        <row r="2001">
          <cell r="A2001" t="str">
            <v>Afreetune</v>
          </cell>
          <cell r="B2001" t="str">
            <v>Afreetune is an online content delivery platform</v>
          </cell>
          <cell r="C2001" t="str">
            <v>Active</v>
          </cell>
          <cell r="D2001">
            <v>2018</v>
          </cell>
          <cell r="G2001" t="str">
            <v>Ghana</v>
          </cell>
        </row>
        <row r="2002">
          <cell r="A2002" t="str">
            <v>AeroShutter</v>
          </cell>
          <cell r="B2002" t="str">
            <v>AeroShutter is a Creative Drone Agency / UAV Data Solutions Service Provider.</v>
          </cell>
          <cell r="C2002" t="str">
            <v>Active</v>
          </cell>
          <cell r="D2002">
            <v>2014</v>
          </cell>
          <cell r="G2002" t="str">
            <v>Ghana</v>
          </cell>
        </row>
        <row r="2003">
          <cell r="A2003" t="str">
            <v>Jobberman Ghana</v>
          </cell>
          <cell r="B2003" t="str">
            <v>Ghana's Leading recruitment and HR platform. Over 500k jobseekers and 15k employers signed up and growing.</v>
          </cell>
          <cell r="C2003" t="str">
            <v>Active</v>
          </cell>
          <cell r="D2003">
            <v>2012</v>
          </cell>
          <cell r="G2003" t="str">
            <v>Ghana</v>
          </cell>
        </row>
        <row r="2004">
          <cell r="A2004" t="str">
            <v>COLDSiS</v>
          </cell>
          <cell r="B2004" t="str">
            <v>IoT, Data collection, Artificial Intelligence (AI), Proximity and Location based solutions.</v>
          </cell>
          <cell r="C2004" t="str">
            <v>Active</v>
          </cell>
          <cell r="D2004">
            <v>2010</v>
          </cell>
          <cell r="G2004" t="str">
            <v>Ghana</v>
          </cell>
        </row>
        <row r="2005">
          <cell r="A2005" t="str">
            <v>Gh-Asoriba Ltd</v>
          </cell>
          <cell r="B2005" t="str">
            <v>SaaS, Mobile App, Payment</v>
          </cell>
          <cell r="C2005" t="str">
            <v>Active</v>
          </cell>
          <cell r="D2005">
            <v>2015</v>
          </cell>
          <cell r="G2005" t="str">
            <v>Ghana</v>
          </cell>
        </row>
        <row r="2006">
          <cell r="A2006" t="str">
            <v>KINGSCEL</v>
          </cell>
          <cell r="B2006" t="str">
            <v>KINGSCEL is a leading cloud hosting, VPS, Software and Ui/Ux Development company.</v>
          </cell>
          <cell r="C2006" t="str">
            <v>Active</v>
          </cell>
          <cell r="D2006">
            <v>2018</v>
          </cell>
          <cell r="G2006" t="str">
            <v>Ghana</v>
          </cell>
        </row>
        <row r="2007">
          <cell r="A2007" t="str">
            <v>Dekini</v>
          </cell>
          <cell r="B2007" t="str">
            <v>Secured online marketplace for importers/exporters to find freight agents.</v>
          </cell>
          <cell r="C2007" t="str">
            <v>Active</v>
          </cell>
          <cell r="D2007">
            <v>2016</v>
          </cell>
          <cell r="G2007" t="str">
            <v>Ghana</v>
          </cell>
        </row>
        <row r="2008">
          <cell r="A2008" t="str">
            <v>BeSaz Boutique</v>
          </cell>
          <cell r="B2008" t="str">
            <v>BeSaz Boutique offers stylish women's outfit at best market price.</v>
          </cell>
          <cell r="C2008" t="str">
            <v>Active</v>
          </cell>
          <cell r="D2008">
            <v>2014</v>
          </cell>
          <cell r="G2008" t="str">
            <v>Ghana</v>
          </cell>
        </row>
        <row r="2009">
          <cell r="A2009" t="str">
            <v>Pay Sail</v>
          </cell>
          <cell r="B2009" t="str">
            <v>Pay Sail is a full-service payroll provider that supports local businesses to manage payroll and employee salaries.</v>
          </cell>
          <cell r="C2009" t="str">
            <v>Active</v>
          </cell>
          <cell r="D2009">
            <v>2014</v>
          </cell>
          <cell r="G2009" t="str">
            <v>Ghana</v>
          </cell>
        </row>
        <row r="2010">
          <cell r="A2010" t="str">
            <v>Ovation Hall</v>
          </cell>
          <cell r="B2010" t="str">
            <v>Ovation Hall is a hi-speed web hosting company in Ghana. We deal in domain registration and web hosting in Ghana with free SSL &amp; Domains.</v>
          </cell>
          <cell r="C2010" t="str">
            <v>Active</v>
          </cell>
          <cell r="D2010">
            <v>2018</v>
          </cell>
          <cell r="G2010" t="str">
            <v>Ghana</v>
          </cell>
        </row>
        <row r="2011">
          <cell r="A2011" t="str">
            <v>Ndivo</v>
          </cell>
          <cell r="B2011" t="str">
            <v>A complete web-to-print platform</v>
          </cell>
          <cell r="C2011" t="str">
            <v>Active</v>
          </cell>
          <cell r="D2011">
            <v>2018</v>
          </cell>
          <cell r="G2011" t="str">
            <v>Ghana</v>
          </cell>
        </row>
        <row r="2012">
          <cell r="A2012" t="str">
            <v>PollAfrique</v>
          </cell>
          <cell r="B2012" t="str">
            <v>PollAfrique is a web and mobile market data research platform that offers market surveys and software consulting services.</v>
          </cell>
          <cell r="C2012" t="str">
            <v>Active</v>
          </cell>
          <cell r="D2012">
            <v>2014</v>
          </cell>
          <cell r="G2012" t="str">
            <v>Ghana</v>
          </cell>
        </row>
        <row r="2013">
          <cell r="A2013" t="str">
            <v>Moja Ride</v>
          </cell>
          <cell r="B2013" t="str">
            <v>Moja Ride connects you with all available mode of public transports in your city.</v>
          </cell>
          <cell r="C2013" t="str">
            <v>Active</v>
          </cell>
          <cell r="D2013">
            <v>2017</v>
          </cell>
          <cell r="G2013" t="str">
            <v>United States</v>
          </cell>
          <cell r="X2013" t="str">
            <v>Transport &amp; Logistics</v>
          </cell>
          <cell r="Y2013" t="str">
            <v>Ride Hailing, Shuttles</v>
          </cell>
        </row>
        <row r="2014">
          <cell r="A2014" t="str">
            <v>Juakali Workforce</v>
          </cell>
          <cell r="B2014" t="str">
            <v>We facilitate livelihood opportunities by connecting clients with skilled workers from the informal sector.</v>
          </cell>
          <cell r="C2014" t="str">
            <v>Active</v>
          </cell>
          <cell r="D2014">
            <v>2012</v>
          </cell>
          <cell r="G2014" t="str">
            <v>Kenya</v>
          </cell>
          <cell r="X2014" t="str">
            <v>Commercial &amp; Professional Services</v>
          </cell>
          <cell r="Y2014" t="str">
            <v>Talent, Jobs</v>
          </cell>
        </row>
        <row r="2015">
          <cell r="A2015" t="str">
            <v>Intelipro</v>
          </cell>
          <cell r="B2015" t="str">
            <v>Make smarter business decisions with our Artificial Intelligence platforms.</v>
          </cell>
          <cell r="C2015" t="str">
            <v>Active</v>
          </cell>
          <cell r="D2015">
            <v>2016</v>
          </cell>
          <cell r="G2015" t="str">
            <v>Kenya</v>
          </cell>
          <cell r="X2015" t="str">
            <v>Information Technology</v>
          </cell>
          <cell r="Y2015" t="str">
            <v>Data Ascience, Artificial Intelligence</v>
          </cell>
        </row>
        <row r="2016">
          <cell r="A2016" t="str">
            <v>Data Science Ltd</v>
          </cell>
          <cell r="B2016" t="str">
            <v>We transform how you consume data by building information systems that offer solutions for data collection, management and analysis.</v>
          </cell>
          <cell r="C2016" t="str">
            <v>Active</v>
          </cell>
          <cell r="D2016">
            <v>2013</v>
          </cell>
          <cell r="G2016" t="str">
            <v>Kenya</v>
          </cell>
          <cell r="X2016" t="str">
            <v>Information Technology</v>
          </cell>
          <cell r="Y2016" t="str">
            <v>Data Science, Software enginerring</v>
          </cell>
        </row>
        <row r="2017">
          <cell r="A2017" t="str">
            <v>GoodHope Insights</v>
          </cell>
          <cell r="B2017" t="str">
            <v>Good Hope Insight is the first media platform in China that specializes in covering the digital economy of Africa.</v>
          </cell>
          <cell r="C2017" t="str">
            <v>Active</v>
          </cell>
          <cell r="D2017">
            <v>2018</v>
          </cell>
          <cell r="G2017" t="str">
            <v>China</v>
          </cell>
          <cell r="X2017" t="str">
            <v>Media &amp; Entertainment</v>
          </cell>
          <cell r="Y2017" t="str">
            <v>Information Services</v>
          </cell>
        </row>
        <row r="2018">
          <cell r="A2018" t="str">
            <v>Mr Green Africa</v>
          </cell>
          <cell r="B2018" t="str">
            <v>Recycling company that sells pre-processed recycling materials with a traceable social and environmental impact - fairly traded plastic.</v>
          </cell>
          <cell r="C2018" t="str">
            <v>Active</v>
          </cell>
          <cell r="D2018">
            <v>2014</v>
          </cell>
          <cell r="G2018" t="str">
            <v>Kenya</v>
          </cell>
          <cell r="X2018" t="str">
            <v>Energy &amp; Environment Resources</v>
          </cell>
          <cell r="Y2018" t="str">
            <v>Waste Management &amp; Recycling</v>
          </cell>
        </row>
        <row r="2019">
          <cell r="A2019" t="str">
            <v>Wapi Pay</v>
          </cell>
          <cell r="B2019" t="str">
            <v>Nairobi-based company that facilitates digital payments between African and Asia via mobile money or bank accounts</v>
          </cell>
          <cell r="C2019" t="str">
            <v>Active</v>
          </cell>
          <cell r="D2019">
            <v>2019</v>
          </cell>
          <cell r="G2019" t="str">
            <v>Kenya</v>
          </cell>
          <cell r="X2019" t="str">
            <v>Financial Services</v>
          </cell>
          <cell r="Y2019" t="str">
            <v>Payments</v>
          </cell>
        </row>
        <row r="2020">
          <cell r="A2020" t="str">
            <v>Nadia</v>
          </cell>
          <cell r="B2020" t="str">
            <v>Nadia is a personalized automated health companion that provides quick medical attention and prescriptions</v>
          </cell>
          <cell r="C2020" t="str">
            <v>Active</v>
          </cell>
          <cell r="D2020">
            <v>2019</v>
          </cell>
          <cell r="G2020" t="str">
            <v>Kenya</v>
          </cell>
          <cell r="X2020" t="str">
            <v>Healthcare &amp; Pharma</v>
          </cell>
          <cell r="Y2020" t="str">
            <v>mHealth</v>
          </cell>
        </row>
        <row r="2021">
          <cell r="A2021" t="str">
            <v>Saada</v>
          </cell>
          <cell r="B2021" t="str">
            <v>Saada is a messaging and mobile money ticketing services for increasing digital sales and data collection</v>
          </cell>
          <cell r="C2021" t="str">
            <v>Active</v>
          </cell>
          <cell r="D2021">
            <v>2019</v>
          </cell>
          <cell r="G2021" t="str">
            <v>Kenya</v>
          </cell>
          <cell r="X2021" t="str">
            <v>Information Technology</v>
          </cell>
          <cell r="Y2021" t="str">
            <v>Ticketing, Mobile Money</v>
          </cell>
        </row>
        <row r="2022">
          <cell r="A2022" t="str">
            <v>Farmula</v>
          </cell>
          <cell r="B2022" t="str">
            <v>Farmula is a web and USSD platform to create a direct connection between farmers and businesses using an automated process to increase order efficiency</v>
          </cell>
          <cell r="C2022" t="str">
            <v>Active</v>
          </cell>
          <cell r="D2022">
            <v>2019</v>
          </cell>
          <cell r="G2022" t="str">
            <v>Kenya</v>
          </cell>
          <cell r="X2022" t="str">
            <v>Information Technology</v>
          </cell>
          <cell r="Y2022" t="str">
            <v>Logistics &amp; Distribution, Software</v>
          </cell>
        </row>
        <row r="2023">
          <cell r="A2023" t="str">
            <v>Atabantu</v>
          </cell>
          <cell r="B2023" t="str">
            <v>Range is a platform that allows for students to get offers based on where they are and what they like.</v>
          </cell>
          <cell r="C2023" t="str">
            <v>Active</v>
          </cell>
          <cell r="D2023">
            <v>2017</v>
          </cell>
          <cell r="G2023" t="str">
            <v>Kenya</v>
          </cell>
          <cell r="X2023" t="str">
            <v>E-Commerce &amp; Retail</v>
          </cell>
        </row>
        <row r="2024">
          <cell r="A2024" t="str">
            <v>Abigail distribution and sourcing ltd</v>
          </cell>
          <cell r="B2024" t="str">
            <v>Logistics &amp; Distribution</v>
          </cell>
          <cell r="C2024" t="str">
            <v>Active</v>
          </cell>
          <cell r="D2024">
            <v>2016</v>
          </cell>
          <cell r="G2024" t="str">
            <v>Kenya</v>
          </cell>
          <cell r="X2024" t="str">
            <v>Transport and Logistics</v>
          </cell>
        </row>
        <row r="2025">
          <cell r="A2025" t="str">
            <v>Adlink LTD</v>
          </cell>
          <cell r="B2025" t="str">
            <v>At Adlink LTD we focus on creating a link between offline and online marketing.</v>
          </cell>
          <cell r="C2025" t="str">
            <v>Active</v>
          </cell>
          <cell r="D2025">
            <v>2014</v>
          </cell>
          <cell r="G2025" t="str">
            <v>Kenya</v>
          </cell>
          <cell r="X2025" t="str">
            <v>Commercial &amp; Professional Services</v>
          </cell>
        </row>
        <row r="2026">
          <cell r="A2026" t="str">
            <v>Afrisol Technologies</v>
          </cell>
          <cell r="B2026" t="str">
            <v>Web Development, Web Design, Software Development, Web Hosting, Dedicated Servers, VPS, Cloud Hosting, Payment Gateway Integration</v>
          </cell>
          <cell r="C2026" t="str">
            <v>Active</v>
          </cell>
          <cell r="D2026">
            <v>2016</v>
          </cell>
          <cell r="G2026" t="str">
            <v>Kenya</v>
          </cell>
          <cell r="X2026" t="str">
            <v>Telecommunicaton</v>
          </cell>
        </row>
        <row r="2027">
          <cell r="A2027" t="str">
            <v>AirKlip</v>
          </cell>
          <cell r="B2027" t="str">
            <v>AirKlip is a student planner that helps them manage their classes online by providing them with instant notification on classes changes.</v>
          </cell>
          <cell r="C2027" t="str">
            <v>Active</v>
          </cell>
          <cell r="D2027">
            <v>2014</v>
          </cell>
          <cell r="G2027" t="str">
            <v>Kenya</v>
          </cell>
          <cell r="X2027" t="str">
            <v>Education</v>
          </cell>
        </row>
        <row r="2028">
          <cell r="A2028" t="str">
            <v>Ajira Digital</v>
          </cell>
          <cell r="B2028" t="str">
            <v>Ajira Digital introduces young people to online work and provides the tools.</v>
          </cell>
          <cell r="C2028" t="str">
            <v>Active</v>
          </cell>
          <cell r="D2028">
            <v>2016</v>
          </cell>
          <cell r="G2028" t="str">
            <v>Kenya</v>
          </cell>
          <cell r="X2028" t="str">
            <v>Telecommunicaton</v>
          </cell>
        </row>
        <row r="2029">
          <cell r="A2029" t="str">
            <v>Albella Systems</v>
          </cell>
          <cell r="B2029" t="str">
            <v>Web &amp; Mobile Application Development</v>
          </cell>
          <cell r="C2029" t="str">
            <v>Active</v>
          </cell>
          <cell r="D2029">
            <v>2016</v>
          </cell>
          <cell r="G2029" t="str">
            <v>Kenya</v>
          </cell>
          <cell r="X2029" t="str">
            <v>Telecommunicaton</v>
          </cell>
        </row>
        <row r="2030">
          <cell r="A2030" t="str">
            <v>AmoebaX Ltd.</v>
          </cell>
          <cell r="B2030" t="str">
            <v>AmoebaX believes in solving the world's problems through tech.</v>
          </cell>
          <cell r="C2030" t="str">
            <v>Active</v>
          </cell>
          <cell r="D2030">
            <v>2017</v>
          </cell>
          <cell r="G2030" t="str">
            <v>Kenya</v>
          </cell>
          <cell r="X2030" t="str">
            <v>Telecommunicaton</v>
          </cell>
        </row>
        <row r="2031">
          <cell r="A2031" t="str">
            <v>Antara Health</v>
          </cell>
          <cell r="B2031" t="str">
            <v>Scaling patient-centered healthcare for everyone</v>
          </cell>
          <cell r="C2031" t="str">
            <v>Active</v>
          </cell>
          <cell r="D2031">
            <v>2019</v>
          </cell>
          <cell r="G2031" t="str">
            <v>Kenya</v>
          </cell>
          <cell r="X2031" t="str">
            <v>Healthcare &amp; Pharma</v>
          </cell>
        </row>
        <row r="2032">
          <cell r="A2032" t="str">
            <v>Acquire Adventures Safaris</v>
          </cell>
          <cell r="B2032" t="str">
            <v>Acquire Adventures Safaris is a holiday Tour Operator in Nairobi, Kenya, offering wildlife safari tours in East Africa and beach holidays</v>
          </cell>
          <cell r="C2032" t="str">
            <v>Active</v>
          </cell>
          <cell r="D2032">
            <v>2009</v>
          </cell>
          <cell r="G2032" t="str">
            <v>Kenya</v>
          </cell>
          <cell r="X2032" t="str">
            <v>Travel and Leisure</v>
          </cell>
        </row>
        <row r="2033">
          <cell r="A2033" t="str">
            <v>Africa Health Business</v>
          </cell>
          <cell r="B2033" t="str">
            <v>Africa Health Business is an African health consultancy company with the aim of changing the business of health across Africa.</v>
          </cell>
          <cell r="C2033" t="str">
            <v>Active</v>
          </cell>
          <cell r="D2033">
            <v>2015</v>
          </cell>
          <cell r="G2033" t="str">
            <v>Kenya</v>
          </cell>
          <cell r="X2033" t="str">
            <v>Healthcare &amp; Pharma</v>
          </cell>
        </row>
        <row r="2034">
          <cell r="A2034" t="str">
            <v>Afri-CAN Sun</v>
          </cell>
          <cell r="B2034" t="str">
            <v>Afri-CAN Sun Ltd specialized in tailored service-oriented solutions for small &amp; medium enterprises, banking sector and individual users.</v>
          </cell>
          <cell r="C2034" t="str">
            <v>Active</v>
          </cell>
          <cell r="D2034">
            <v>2015</v>
          </cell>
          <cell r="G2034" t="str">
            <v>Kenya</v>
          </cell>
          <cell r="X2034" t="str">
            <v>Telecommunicaton</v>
          </cell>
        </row>
        <row r="2035">
          <cell r="A2035" t="str">
            <v>AfriAfya</v>
          </cell>
          <cell r="B2035" t="str">
            <v>Creating universal and equitable access to quality health and development for communities by linking information processes.</v>
          </cell>
          <cell r="C2035" t="str">
            <v>Active</v>
          </cell>
          <cell r="D2035">
            <v>2001</v>
          </cell>
          <cell r="G2035" t="str">
            <v>Kenya</v>
          </cell>
          <cell r="X2035" t="str">
            <v>Healthcare &amp; Pharma</v>
          </cell>
        </row>
        <row r="2036">
          <cell r="A2036" t="str">
            <v>Africa Data Centres</v>
          </cell>
          <cell r="B2036" t="str">
            <v>Africa Data Centres the heart of Africa‚Äôs digital transformation.</v>
          </cell>
          <cell r="C2036" t="str">
            <v>Active</v>
          </cell>
          <cell r="D2036">
            <v>2013</v>
          </cell>
          <cell r="G2036" t="str">
            <v>Kenya</v>
          </cell>
          <cell r="X2036" t="str">
            <v>Telecommunicaton</v>
          </cell>
        </row>
        <row r="2037">
          <cell r="A2037" t="str">
            <v>Africa Venture Safaris</v>
          </cell>
          <cell r="B2037" t="str">
            <v>Africa Venture Safaris top leading tour company based in Nairobi Kenya buying and sdelling safari tours</v>
          </cell>
          <cell r="C2037" t="str">
            <v>Active</v>
          </cell>
          <cell r="D2037">
            <v>2007</v>
          </cell>
          <cell r="G2037" t="str">
            <v>Kenya</v>
          </cell>
          <cell r="X2037" t="str">
            <v>Travel and Leisure</v>
          </cell>
        </row>
        <row r="2038">
          <cell r="A2038" t="str">
            <v>African eDevelopment Resource Centre</v>
          </cell>
          <cell r="B2038" t="str">
            <v>AeRC is a regional technology training, research and consulting firm.</v>
          </cell>
          <cell r="C2038" t="str">
            <v>Active</v>
          </cell>
          <cell r="D2038">
            <v>2005</v>
          </cell>
          <cell r="G2038" t="str">
            <v>Kenya</v>
          </cell>
          <cell r="X2038" t="str">
            <v>Commercial &amp; Professional Services</v>
          </cell>
        </row>
        <row r="2039">
          <cell r="A2039" t="str">
            <v>Afritorial</v>
          </cell>
          <cell r="B2039" t="str">
            <v>Afritorial is an online magazine for pop culture, news, literary and cultural commentary across Africa.</v>
          </cell>
          <cell r="C2039" t="str">
            <v>Active</v>
          </cell>
          <cell r="D2039">
            <v>2012</v>
          </cell>
          <cell r="G2039" t="str">
            <v>Kenya</v>
          </cell>
          <cell r="X2039" t="str">
            <v>Media and Entertainment</v>
          </cell>
        </row>
        <row r="2040">
          <cell r="A2040" t="str">
            <v>Agrikaab</v>
          </cell>
          <cell r="B2040" t="str">
            <v>We enable investment in farming projects in East Africa that provide locally produced food and create jobs.</v>
          </cell>
          <cell r="C2040" t="str">
            <v>Active</v>
          </cell>
          <cell r="D2040">
            <v>2016</v>
          </cell>
          <cell r="G2040" t="str">
            <v>Kenya</v>
          </cell>
          <cell r="X2040" t="str">
            <v>Agriculture</v>
          </cell>
        </row>
        <row r="2041">
          <cell r="A2041" t="str">
            <v>Akiira Geothermal Ltd</v>
          </cell>
          <cell r="B2041" t="str">
            <v>Akiira Geothermal Limited operates as a geothermal exploration and power plant development project.</v>
          </cell>
          <cell r="C2041" t="str">
            <v>Active</v>
          </cell>
          <cell r="D2041">
            <v>2014</v>
          </cell>
          <cell r="G2041" t="str">
            <v>Kenya</v>
          </cell>
          <cell r="X2041" t="str">
            <v>Energy &amp; Environment Resources</v>
          </cell>
        </row>
        <row r="2042">
          <cell r="A2042" t="str">
            <v>Aleri Consulting</v>
          </cell>
          <cell r="B2042" t="str">
            <v>Aleri Consulting is a High quality, affordable Consulting service company</v>
          </cell>
          <cell r="C2042" t="str">
            <v>Active</v>
          </cell>
          <cell r="D2042">
            <v>2008</v>
          </cell>
          <cell r="G2042" t="str">
            <v>Kenya</v>
          </cell>
          <cell r="X2042" t="str">
            <v>Telecommunicaton</v>
          </cell>
        </row>
        <row r="2043">
          <cell r="A2043" t="str">
            <v>Amani Institute</v>
          </cell>
          <cell r="B2043" t="str">
            <v>Amani Institute offers businesses and educational institutes with courses that focus on professional skill and social innovation management.</v>
          </cell>
          <cell r="C2043" t="str">
            <v>Active</v>
          </cell>
          <cell r="D2043">
            <v>2011</v>
          </cell>
          <cell r="G2043" t="str">
            <v>Kenya</v>
          </cell>
          <cell r="X2043" t="str">
            <v>Education</v>
          </cell>
        </row>
        <row r="2044">
          <cell r="A2044" t="str">
            <v>Amazing Kisumu</v>
          </cell>
          <cell r="B2044" t="str">
            <v>Amazing Kisumu is an online travel magazine focused on native marketing, advertising, and event management solutions in Kenya.</v>
          </cell>
          <cell r="C2044" t="str">
            <v>Active</v>
          </cell>
          <cell r="D2044">
            <v>2012</v>
          </cell>
          <cell r="G2044" t="str">
            <v>Kenya</v>
          </cell>
          <cell r="X2044" t="str">
            <v>Media and Entertainment</v>
          </cell>
        </row>
        <row r="2045">
          <cell r="A2045" t="str">
            <v>Angani</v>
          </cell>
          <cell r="B2045" t="str">
            <v>Angani is a public cloud provider based out of Nairobi, Kenya.</v>
          </cell>
          <cell r="C2045" t="str">
            <v>Active</v>
          </cell>
          <cell r="D2045">
            <v>2014</v>
          </cell>
          <cell r="G2045" t="str">
            <v>Kenya</v>
          </cell>
          <cell r="X2045" t="str">
            <v>Commercial &amp; Professional Services</v>
          </cell>
        </row>
        <row r="2046">
          <cell r="A2046" t="str">
            <v>Angaza Elimu</v>
          </cell>
          <cell r="B2046" t="str">
            <v>At Angaza we deliver personalized and competency based learning experiences to students whilst amplifying teacher student engagement.</v>
          </cell>
          <cell r="C2046" t="str">
            <v>Active</v>
          </cell>
          <cell r="D2046">
            <v>2017</v>
          </cell>
          <cell r="G2046" t="str">
            <v>Kenya</v>
          </cell>
          <cell r="X2046" t="str">
            <v>Education</v>
          </cell>
        </row>
        <row r="2047">
          <cell r="A2047" t="str">
            <v>Aqnel</v>
          </cell>
          <cell r="B2047" t="str">
            <v>Aqnel is a legal technology company that is committed to bringing justice through technology.</v>
          </cell>
          <cell r="C2047" t="str">
            <v>Active</v>
          </cell>
          <cell r="D2047">
            <v>2017</v>
          </cell>
          <cell r="G2047" t="str">
            <v>Kenya</v>
          </cell>
          <cell r="X2047" t="str">
            <v>Telecommunicaton</v>
          </cell>
        </row>
        <row r="2048">
          <cell r="A2048" t="str">
            <v>Audio.Chat</v>
          </cell>
          <cell r="B2048" t="str">
            <v>Audio.chat is a mobile platform that allows users share their story using sounds and pictures.</v>
          </cell>
          <cell r="C2048" t="str">
            <v>Active</v>
          </cell>
          <cell r="D2048">
            <v>2016</v>
          </cell>
          <cell r="G2048" t="str">
            <v>Kenya</v>
          </cell>
          <cell r="X2048" t="str">
            <v>Communication Services</v>
          </cell>
        </row>
        <row r="2049">
          <cell r="A2049" t="str">
            <v>Avenue Group</v>
          </cell>
          <cell r="B2049" t="str">
            <v>Avenue Group is dedicated to the provision of high quality, affordable and accessible healthcare.</v>
          </cell>
          <cell r="C2049" t="str">
            <v>Active</v>
          </cell>
          <cell r="G2049" t="str">
            <v>Kenya</v>
          </cell>
          <cell r="X2049" t="str">
            <v>Healthcare &amp; Pharma</v>
          </cell>
        </row>
        <row r="2050">
          <cell r="A2050" t="str">
            <v>BabyMed by Jabotech</v>
          </cell>
          <cell r="B2050" t="str">
            <v>BabyMed is an Innovative and Integrated Mobile Health Information platform.</v>
          </cell>
          <cell r="C2050" t="str">
            <v>Active</v>
          </cell>
          <cell r="D2050">
            <v>2013</v>
          </cell>
          <cell r="G2050" t="str">
            <v>Kenya</v>
          </cell>
          <cell r="X2050" t="str">
            <v>Healthcare &amp; Pharma</v>
          </cell>
        </row>
        <row r="2051">
          <cell r="A2051" t="str">
            <v>Baobab Circle</v>
          </cell>
          <cell r="B2051" t="str">
            <v>Using mobile technology to tackle the growing burden of chronic disease in Africa</v>
          </cell>
          <cell r="C2051" t="str">
            <v>Active</v>
          </cell>
          <cell r="D2051">
            <v>2013</v>
          </cell>
          <cell r="G2051" t="str">
            <v>Kenya</v>
          </cell>
          <cell r="X2051" t="str">
            <v>Healthcare &amp; Pharma</v>
          </cell>
        </row>
        <row r="2052">
          <cell r="A2052" t="str">
            <v>Brave Venture Labs</v>
          </cell>
          <cell r="B2052" t="str">
            <v>Brave Venture Labs is a network science lab that matches talent with the right job opportunities using artificial intelligence.</v>
          </cell>
          <cell r="C2052" t="str">
            <v>Active</v>
          </cell>
          <cell r="D2052">
            <v>2016</v>
          </cell>
          <cell r="G2052" t="str">
            <v>Kenya</v>
          </cell>
          <cell r="X2052" t="str">
            <v>Telecommunicaton</v>
          </cell>
        </row>
        <row r="2053">
          <cell r="A2053" t="str">
            <v>Brighter Monday</v>
          </cell>
          <cell r="B2053" t="str">
            <v>BrighterMonday is an online platform that enables users to find and post job vacancies in East Africa.</v>
          </cell>
          <cell r="C2053" t="str">
            <v>Active</v>
          </cell>
          <cell r="D2053">
            <v>2006</v>
          </cell>
          <cell r="G2053" t="str">
            <v>Kenya</v>
          </cell>
          <cell r="X2053" t="str">
            <v>Telecommunicaton</v>
          </cell>
        </row>
        <row r="2054">
          <cell r="A2054" t="str">
            <v>BookNow</v>
          </cell>
          <cell r="B2054" t="str">
            <v>BookNow is an online aggregator that enables travelers to get find, learn about, book, and pay for bus tickets.</v>
          </cell>
          <cell r="C2054" t="str">
            <v>Active</v>
          </cell>
          <cell r="D2054">
            <v>2011</v>
          </cell>
          <cell r="G2054" t="str">
            <v>Kenya</v>
          </cell>
          <cell r="X2054" t="str">
            <v>Travel and Leisure</v>
          </cell>
        </row>
        <row r="2055">
          <cell r="A2055" t="str">
            <v>Bunifu Technologies</v>
          </cell>
          <cell r="B2055" t="str">
            <v>Bunifu provides software productivity tools for .NET software coders.</v>
          </cell>
          <cell r="C2055" t="str">
            <v>Active</v>
          </cell>
          <cell r="D2055">
            <v>2011</v>
          </cell>
          <cell r="G2055" t="str">
            <v>Kenya</v>
          </cell>
          <cell r="X2055" t="str">
            <v>Telecommunicaton</v>
          </cell>
        </row>
        <row r="2056">
          <cell r="A2056" t="str">
            <v>BuyRentKenya.com</v>
          </cell>
          <cell r="B2056" t="str">
            <v>Established in 2012, Buyrentkenya.com has rapidly become the no.1 property portal in Kenya and the country's 12th most popular website.</v>
          </cell>
          <cell r="C2056" t="str">
            <v>Active</v>
          </cell>
          <cell r="D2056">
            <v>2012</v>
          </cell>
          <cell r="G2056" t="str">
            <v>Kenya</v>
          </cell>
          <cell r="X2056" t="str">
            <v>Real Estate</v>
          </cell>
        </row>
        <row r="2057">
          <cell r="A2057" t="str">
            <v>C4DLab</v>
          </cell>
          <cell r="B2057" t="str">
            <v>C4DLab is a prototyping and innovative startup incubation lab.</v>
          </cell>
          <cell r="C2057" t="str">
            <v>Active</v>
          </cell>
          <cell r="D2057">
            <v>2012</v>
          </cell>
          <cell r="G2057" t="str">
            <v>Kenya</v>
          </cell>
          <cell r="X2057" t="str">
            <v>Telecommunicaton</v>
          </cell>
        </row>
        <row r="2058">
          <cell r="A2058" t="str">
            <v>C-NET WiFi</v>
          </cell>
          <cell r="B2058" t="str">
            <v>We enhance brands' visibility and maximize customer engagement using an online Wi-Fi Marketing Platform</v>
          </cell>
          <cell r="C2058" t="str">
            <v>Active</v>
          </cell>
          <cell r="D2058">
            <v>2015</v>
          </cell>
          <cell r="G2058" t="str">
            <v>Kenya</v>
          </cell>
          <cell r="X2058" t="str">
            <v>Commercial &amp; Professional Services</v>
          </cell>
        </row>
        <row r="2059">
          <cell r="A2059" t="str">
            <v>Capsule</v>
          </cell>
          <cell r="B2059" t="str">
            <v>NEXT GENERATION TECH PRODUCTS FOR HEALTHCARE DELIVERY IN EAST AFRICA</v>
          </cell>
          <cell r="C2059" t="str">
            <v>Active</v>
          </cell>
          <cell r="D2059">
            <v>2016</v>
          </cell>
          <cell r="G2059" t="str">
            <v>Kenya</v>
          </cell>
          <cell r="X2059" t="str">
            <v>Healthcare &amp; Pharma</v>
          </cell>
        </row>
        <row r="2060">
          <cell r="A2060" t="str">
            <v>Cheki.co.ke</v>
          </cell>
          <cell r="B2060" t="str">
            <v>Cheki.co.ke is Kenya‚Äôs #1 Auto website with more car buyers and car sellers than any other site in Kenya.</v>
          </cell>
          <cell r="C2060" t="str">
            <v>Active</v>
          </cell>
          <cell r="D2060">
            <v>2010</v>
          </cell>
          <cell r="G2060" t="str">
            <v>Kenya</v>
          </cell>
          <cell r="X2060" t="str">
            <v>E-Commerce &amp; Retail</v>
          </cell>
        </row>
        <row r="2061">
          <cell r="A2061" t="str">
            <v>Closet49</v>
          </cell>
          <cell r="B2061" t="str">
            <v>Kenya's biggest online fashion market place</v>
          </cell>
          <cell r="C2061" t="str">
            <v>Active</v>
          </cell>
          <cell r="D2061">
            <v>2012</v>
          </cell>
          <cell r="G2061" t="str">
            <v>Kenya</v>
          </cell>
          <cell r="X2061" t="str">
            <v>E-Commerce &amp; Retail</v>
          </cell>
        </row>
        <row r="2062">
          <cell r="A2062" t="str">
            <v>Cloud Productivity Solutions</v>
          </cell>
          <cell r="B2062" t="str">
            <v>Cloud Productivity is a professional services firm committed to delivering business solutions to Small, Medium and Enterprise organizations.</v>
          </cell>
          <cell r="C2062" t="str">
            <v>Active</v>
          </cell>
          <cell r="D2062">
            <v>2015</v>
          </cell>
          <cell r="G2062" t="str">
            <v>Kenya</v>
          </cell>
          <cell r="X2062" t="str">
            <v>Commercial &amp; Professional Services</v>
          </cell>
        </row>
        <row r="2063">
          <cell r="A2063" t="str">
            <v>Connect Media Interactive</v>
          </cell>
          <cell r="B2063" t="str">
            <v>Connect Media Interactive is specialized in the management, delivery, and billing of digital content.</v>
          </cell>
          <cell r="C2063" t="str">
            <v>Active</v>
          </cell>
          <cell r="D2063">
            <v>2007</v>
          </cell>
          <cell r="G2063" t="str">
            <v>Kenya</v>
          </cell>
          <cell r="X2063" t="str">
            <v>Communication Services</v>
          </cell>
        </row>
        <row r="2064">
          <cell r="A2064" t="str">
            <v>Cyber.co.ke</v>
          </cell>
          <cell r="B2064" t="str">
            <v>Cyber.co.ke is an online portal that enables Kenyans to order for online KRA services and pay conveniently for those services rendered.</v>
          </cell>
          <cell r="C2064" t="str">
            <v>Active</v>
          </cell>
          <cell r="D2064">
            <v>2018</v>
          </cell>
          <cell r="G2064" t="str">
            <v>Kenya</v>
          </cell>
          <cell r="X2064" t="str">
            <v>E-Commerce &amp; Retail</v>
          </cell>
        </row>
        <row r="2065">
          <cell r="A2065" t="str">
            <v>Cytonn Investments</v>
          </cell>
          <cell r="B2065" t="str">
            <v>Cytonn Investments is an investment and real estate company.</v>
          </cell>
          <cell r="C2065" t="str">
            <v>Active</v>
          </cell>
          <cell r="D2065">
            <v>2014</v>
          </cell>
          <cell r="G2065" t="str">
            <v>Kenya</v>
          </cell>
          <cell r="X2065" t="str">
            <v>Real Estate</v>
          </cell>
        </row>
        <row r="2066">
          <cell r="A2066" t="str">
            <v>Dapstrem Entertainment</v>
          </cell>
          <cell r="B2066" t="str">
            <v>Music Distribution Company</v>
          </cell>
          <cell r="C2066" t="str">
            <v>Active</v>
          </cell>
          <cell r="D2066">
            <v>2016</v>
          </cell>
          <cell r="G2066" t="str">
            <v>Kenya</v>
          </cell>
          <cell r="X2066" t="str">
            <v>Media and Entertainment</v>
          </cell>
        </row>
        <row r="2067">
          <cell r="A2067" t="str">
            <v>Dime Hub</v>
          </cell>
          <cell r="B2067" t="str">
            <v>Dimehub is a full-service digital marketing company in kenya that works with you to customize the best mix of online marketing.</v>
          </cell>
          <cell r="C2067" t="str">
            <v>Active</v>
          </cell>
          <cell r="D2067">
            <v>2018</v>
          </cell>
          <cell r="G2067" t="str">
            <v>Kenya</v>
          </cell>
          <cell r="X2067" t="str">
            <v>Marketing Tech</v>
          </cell>
        </row>
        <row r="2068">
          <cell r="A2068" t="str">
            <v>DiscoverBrands</v>
          </cell>
          <cell r="B2068" t="str">
            <v>DiscoverBrands is an online discovery platform that enables consumers discover brands of their choice, especially new ones.</v>
          </cell>
          <cell r="C2068" t="str">
            <v>Active</v>
          </cell>
          <cell r="D2068">
            <v>2017</v>
          </cell>
          <cell r="G2068" t="str">
            <v>Kenya</v>
          </cell>
          <cell r="X2068" t="str">
            <v>Telecommunicaton</v>
          </cell>
        </row>
        <row r="2069">
          <cell r="A2069" t="str">
            <v>Disrupt Africa</v>
          </cell>
          <cell r="B2069" t="str">
            <v>Disrupt Africa is a blog that provides readers information about startups and technology in Africa.</v>
          </cell>
          <cell r="C2069" t="str">
            <v>Active</v>
          </cell>
          <cell r="D2069">
            <v>2014</v>
          </cell>
          <cell r="G2069" t="str">
            <v>Kenya</v>
          </cell>
          <cell r="X2069" t="str">
            <v>Media and Entertainment</v>
          </cell>
        </row>
        <row r="2070">
          <cell r="A2070" t="str">
            <v>Dryland Seed Limited</v>
          </cell>
          <cell r="B2070" t="str">
            <v>To maintain a seed business for the marketing of superior dry land seed varieties that meet the farmer.</v>
          </cell>
          <cell r="C2070" t="str">
            <v>Active</v>
          </cell>
          <cell r="D2070">
            <v>2004</v>
          </cell>
          <cell r="G2070" t="str">
            <v>Kenya</v>
          </cell>
          <cell r="X2070" t="str">
            <v>Agriculture</v>
          </cell>
        </row>
        <row r="2071">
          <cell r="A2071" t="str">
            <v>EatOut.co.ke</v>
          </cell>
          <cell r="B2071" t="str">
            <v>EatOut is an food tech and media business primarily based in Kenya and East Africa.</v>
          </cell>
          <cell r="C2071" t="str">
            <v>Active</v>
          </cell>
          <cell r="D2071">
            <v>2010</v>
          </cell>
          <cell r="G2071" t="str">
            <v>Kenya</v>
          </cell>
          <cell r="X2071" t="str">
            <v>Telecommunicaton</v>
          </cell>
        </row>
        <row r="2072">
          <cell r="A2072" t="str">
            <v>East Afric Hi Tech Solutions</v>
          </cell>
          <cell r="B2072" t="str">
            <v>East Africa Hi Tech Solutions provides Audio Visual Services, Security Systems in Kenya and across East African Region</v>
          </cell>
          <cell r="C2072" t="str">
            <v>Active</v>
          </cell>
          <cell r="D2072">
            <v>2016</v>
          </cell>
          <cell r="G2072" t="str">
            <v>Kenya</v>
          </cell>
          <cell r="X2072" t="str">
            <v>Commercial &amp; Professional Services</v>
          </cell>
        </row>
        <row r="2073">
          <cell r="A2073" t="str">
            <v>Fiber Misr</v>
          </cell>
          <cell r="B2073" t="str">
            <v>FIBER Misr is an Egypt based Telecommunications and IT systems services provider.</v>
          </cell>
          <cell r="C2073" t="str">
            <v>Active</v>
          </cell>
          <cell r="D2073">
            <v>2016</v>
          </cell>
          <cell r="G2073" t="str">
            <v>Kenya</v>
          </cell>
          <cell r="X2073" t="str">
            <v>Telecominication</v>
          </cell>
        </row>
        <row r="2074">
          <cell r="A2074" t="str">
            <v>FrontlineSMS</v>
          </cell>
          <cell r="B2074" t="str">
            <v>FrontlineSMS is free, open source software.</v>
          </cell>
          <cell r="C2074" t="str">
            <v>Active</v>
          </cell>
          <cell r="D2074">
            <v>2005</v>
          </cell>
          <cell r="G2074" t="str">
            <v>Kenya</v>
          </cell>
          <cell r="X2074" t="str">
            <v>Communication Services</v>
          </cell>
        </row>
        <row r="2075">
          <cell r="A2075" t="str">
            <v>FrootBasket</v>
          </cell>
          <cell r="B2075" t="str">
            <v>Destination for fast and easy purchase of groceries delivered to our customers doorstep.</v>
          </cell>
          <cell r="C2075" t="str">
            <v>Active</v>
          </cell>
          <cell r="D2075">
            <v>2018</v>
          </cell>
          <cell r="G2075" t="str">
            <v>Kenya</v>
          </cell>
          <cell r="X2075" t="str">
            <v>E-Commerce &amp; Retail</v>
          </cell>
        </row>
        <row r="2076">
          <cell r="A2076" t="str">
            <v>Gaming for Kenya</v>
          </cell>
          <cell r="B2076" t="str">
            <v>A digital entertainment company that focuses on the video gaming industry in Kenya and East Africa.</v>
          </cell>
          <cell r="C2076" t="str">
            <v>Active</v>
          </cell>
          <cell r="D2076">
            <v>2012</v>
          </cell>
          <cell r="G2076" t="str">
            <v>Kenya</v>
          </cell>
          <cell r="X2076" t="str">
            <v>Media and Entertainment</v>
          </cell>
        </row>
        <row r="2077">
          <cell r="A2077" t="str">
            <v>GiG</v>
          </cell>
          <cell r="B2077" t="str">
            <v>GiG is a digital platform that provides real-time event data that provides meaningful and strategic insights to events!</v>
          </cell>
          <cell r="C2077" t="str">
            <v>Active</v>
          </cell>
          <cell r="D2077">
            <v>2015</v>
          </cell>
          <cell r="G2077" t="str">
            <v>Kenya</v>
          </cell>
          <cell r="X2077" t="str">
            <v>Telecommunicaton</v>
          </cell>
        </row>
        <row r="2078">
          <cell r="A2078" t="str">
            <v>Gigwapi</v>
          </cell>
          <cell r="B2078" t="str">
            <v>Gigwapi.com is an online social guide to Fun. Events, Tickets and other fun stuff happening around.</v>
          </cell>
          <cell r="C2078" t="str">
            <v>Active</v>
          </cell>
          <cell r="D2078">
            <v>2012</v>
          </cell>
          <cell r="G2078" t="str">
            <v>Kenya</v>
          </cell>
          <cell r="X2078" t="str">
            <v>Media and Entertainment</v>
          </cell>
        </row>
        <row r="2079">
          <cell r="A2079" t="str">
            <v>GoBEBA</v>
          </cell>
          <cell r="B2079" t="str">
            <v>GoBEBA is a Nairobi based e-commerce logistics company that is changing the way African consumers access goods locally, enabling anyone to get any product delivered within an hour.</v>
          </cell>
          <cell r="C2079" t="str">
            <v>Active</v>
          </cell>
          <cell r="D2079">
            <v>2018</v>
          </cell>
          <cell r="G2079" t="str">
            <v>Kenya</v>
          </cell>
          <cell r="X2079" t="str">
            <v>E-Commerce &amp; Retail</v>
          </cell>
        </row>
        <row r="2080">
          <cell r="A2080" t="str">
            <v>GoodLife Pharmacy</v>
          </cell>
          <cell r="B2080" t="str">
            <v>GoodLife Pharmacy is a quality-focused retail pharmacy with a strong reputation for delivering quality health and personal care products.</v>
          </cell>
          <cell r="C2080" t="str">
            <v>Active</v>
          </cell>
          <cell r="D2080">
            <v>2013</v>
          </cell>
          <cell r="G2080" t="str">
            <v>Kenya</v>
          </cell>
          <cell r="X2080" t="str">
            <v>Healthcare &amp; Pharma</v>
          </cell>
        </row>
        <row r="2081">
          <cell r="A2081" t="str">
            <v>Gravity.Earth</v>
          </cell>
          <cell r="B2081" t="str">
            <v>Gravity provides a platform where every individual and business can receive, store and share verifiable personal data</v>
          </cell>
          <cell r="C2081" t="str">
            <v>Active</v>
          </cell>
          <cell r="D2081">
            <v>2017</v>
          </cell>
          <cell r="G2081" t="str">
            <v>Kenya</v>
          </cell>
          <cell r="X2081" t="str">
            <v>Telecommunicaton</v>
          </cell>
        </row>
        <row r="2082">
          <cell r="A2082" t="str">
            <v>Green Credit</v>
          </cell>
          <cell r="B2082" t="str">
            <v>Green Credit is a microfinance lending platform.</v>
          </cell>
          <cell r="C2082" t="str">
            <v>Active</v>
          </cell>
          <cell r="G2082" t="str">
            <v>Kenya</v>
          </cell>
          <cell r="X2082" t="str">
            <v>Financial services</v>
          </cell>
        </row>
        <row r="2083">
          <cell r="A2083" t="str">
            <v>GreenChar</v>
          </cell>
          <cell r="B2083" t="str">
            <v>GreenChar is a sustainable energy firm converting sugarcane waste into clean and affordable energy for industrial use in Kenya.</v>
          </cell>
          <cell r="C2083" t="str">
            <v>Active</v>
          </cell>
          <cell r="D2083">
            <v>2013</v>
          </cell>
          <cell r="G2083" t="str">
            <v>Kenya</v>
          </cell>
          <cell r="X2083" t="str">
            <v>Energy &amp; Environment Resources</v>
          </cell>
        </row>
        <row r="2084">
          <cell r="A2084" t="str">
            <v>Hexapt</v>
          </cell>
          <cell r="B2084" t="str">
            <v>A web design and software development company.</v>
          </cell>
          <cell r="C2084" t="str">
            <v>Active</v>
          </cell>
          <cell r="D2084">
            <v>2017</v>
          </cell>
          <cell r="G2084" t="str">
            <v>Kenya</v>
          </cell>
          <cell r="X2084" t="str">
            <v>Commercial &amp; Professional Services</v>
          </cell>
        </row>
        <row r="2085">
          <cell r="A2085" t="str">
            <v>HiviSasa.com</v>
          </cell>
          <cell r="B2085" t="str">
            <v>At Hivisasa, we believe that societies function best when information flows freely among people.</v>
          </cell>
          <cell r="C2085" t="str">
            <v>Active</v>
          </cell>
          <cell r="D2085">
            <v>2014</v>
          </cell>
          <cell r="G2085" t="str">
            <v>Kenya</v>
          </cell>
          <cell r="X2085" t="str">
            <v>Telecommunicaton</v>
          </cell>
        </row>
        <row r="2086">
          <cell r="A2086" t="str">
            <v>futaa.com</v>
          </cell>
          <cell r="B2086" t="str">
            <v>Interactive Football news website for West and East Africa.</v>
          </cell>
          <cell r="C2086" t="str">
            <v>Active</v>
          </cell>
          <cell r="D2086">
            <v>2011</v>
          </cell>
          <cell r="G2086" t="str">
            <v>Kenya</v>
          </cell>
          <cell r="X2086" t="str">
            <v>Media and Entertainment</v>
          </cell>
        </row>
        <row r="2087">
          <cell r="A2087" t="str">
            <v>GENIUS DYNAMICS</v>
          </cell>
          <cell r="B2087" t="str">
            <v>technology Solutions Provider</v>
          </cell>
          <cell r="C2087" t="str">
            <v>Active</v>
          </cell>
          <cell r="D2087">
            <v>2015</v>
          </cell>
          <cell r="G2087" t="str">
            <v>Kenya</v>
          </cell>
          <cell r="X2087" t="str">
            <v>Commercial &amp; Professional Services</v>
          </cell>
        </row>
        <row r="2088">
          <cell r="A2088" t="str">
            <v>GetaShopa</v>
          </cell>
          <cell r="B2088" t="str">
            <v>On-demand shopping and delivery service from any store or restaurant.</v>
          </cell>
          <cell r="C2088" t="str">
            <v>Active</v>
          </cell>
          <cell r="D2088">
            <v>2014</v>
          </cell>
          <cell r="G2088" t="str">
            <v>Kenya</v>
          </cell>
          <cell r="X2088" t="str">
            <v>E-Commerce &amp; Retail</v>
          </cell>
        </row>
        <row r="2089">
          <cell r="A2089" t="str">
            <v>iAfrica Broadcasting</v>
          </cell>
          <cell r="B2089" t="str">
            <v>iAfrica.info Broadcasting live and recorded news, movies, events, sports, music and TV Shows via the internet to a Global Audience.</v>
          </cell>
          <cell r="C2089" t="str">
            <v>Active</v>
          </cell>
          <cell r="D2089">
            <v>2017</v>
          </cell>
          <cell r="G2089" t="str">
            <v>Kenya</v>
          </cell>
          <cell r="X2089" t="str">
            <v>Media and Entertainment</v>
          </cell>
        </row>
        <row r="2090">
          <cell r="A2090" t="str">
            <v>iBizAfrica</v>
          </cell>
          <cell r="B2090" t="str">
            <v>iBizAfrica provides funding, networking, and mentorship opportunities to startups in Africa.</v>
          </cell>
          <cell r="C2090" t="str">
            <v>Active</v>
          </cell>
          <cell r="D2090">
            <v>2012</v>
          </cell>
          <cell r="G2090" t="str">
            <v>Kenya</v>
          </cell>
          <cell r="X2090" t="str">
            <v>Telecommunicaton</v>
          </cell>
        </row>
        <row r="2091">
          <cell r="A2091" t="str">
            <v>iHub</v>
          </cell>
          <cell r="B2091" t="str">
            <v>iHub is a globally recognized organization that is deeply steeped in the local tech innovation culture.</v>
          </cell>
          <cell r="C2091" t="str">
            <v>Active</v>
          </cell>
          <cell r="D2091">
            <v>2010</v>
          </cell>
          <cell r="G2091" t="str">
            <v>Kenya</v>
          </cell>
          <cell r="X2091" t="str">
            <v>Commercial &amp; Professional Services</v>
          </cell>
        </row>
        <row r="2092">
          <cell r="A2092" t="str">
            <v>iLabAfrica</v>
          </cell>
          <cell r="B2092" t="str">
            <v>iLabAfrica is the ICT innovation and development department of Strathmore University.</v>
          </cell>
          <cell r="C2092" t="str">
            <v>Active</v>
          </cell>
          <cell r="D2092">
            <v>2010</v>
          </cell>
          <cell r="G2092" t="str">
            <v>Kenya</v>
          </cell>
          <cell r="X2092" t="str">
            <v>Telecommunicaton</v>
          </cell>
        </row>
        <row r="2093">
          <cell r="A2093" t="str">
            <v>Illumina Africa Limited</v>
          </cell>
          <cell r="B2093" t="str">
            <v>Solar PV and Solar Water Heating, Agri- tech, Insulation</v>
          </cell>
          <cell r="C2093" t="str">
            <v>Active</v>
          </cell>
          <cell r="D2093">
            <v>2016</v>
          </cell>
          <cell r="G2093" t="str">
            <v>Kenya</v>
          </cell>
          <cell r="X2093" t="str">
            <v>Energy &amp; Environment Resources</v>
          </cell>
        </row>
        <row r="2094">
          <cell r="A2094" t="str">
            <v>Imani Labs Limited</v>
          </cell>
          <cell r="B2094" t="str">
            <v>Imani Labs is a software solutions company with focus on property management automation</v>
          </cell>
          <cell r="C2094" t="str">
            <v>Active</v>
          </cell>
          <cell r="D2094">
            <v>2017</v>
          </cell>
          <cell r="G2094" t="str">
            <v>Kenya</v>
          </cell>
          <cell r="X2094" t="str">
            <v>Telecommunicaton</v>
          </cell>
        </row>
        <row r="2095">
          <cell r="A2095" t="str">
            <v>IMOBI TECHNOLOGY LABS LIMITED</v>
          </cell>
          <cell r="B2095" t="str">
            <v>SMS, USSD, WEB APPS, MOBILE APPS</v>
          </cell>
          <cell r="C2095" t="str">
            <v>Active</v>
          </cell>
          <cell r="D2095">
            <v>2017</v>
          </cell>
          <cell r="G2095" t="str">
            <v>Kenya</v>
          </cell>
          <cell r="X2095" t="str">
            <v>Communication Services</v>
          </cell>
        </row>
        <row r="2096">
          <cell r="A2096" t="str">
            <v>ImpalaCoin</v>
          </cell>
          <cell r="B2096" t="str">
            <v>Digital Currency Kenya</v>
          </cell>
          <cell r="C2096" t="str">
            <v>Active</v>
          </cell>
          <cell r="D2096">
            <v>2011</v>
          </cell>
          <cell r="G2096" t="str">
            <v>Kenya</v>
          </cell>
          <cell r="X2096" t="str">
            <v>Financial Services</v>
          </cell>
        </row>
        <row r="2097">
          <cell r="A2097" t="str">
            <v>Incubate Africa</v>
          </cell>
          <cell r="B2097" t="str">
            <v>we are an African Founded and run company with the focus of showcasing African founded &amp; developed technology to the rest of the world.</v>
          </cell>
          <cell r="C2097" t="str">
            <v>Active</v>
          </cell>
          <cell r="D2097">
            <v>2017</v>
          </cell>
          <cell r="G2097" t="str">
            <v>Kenya</v>
          </cell>
          <cell r="X2097" t="str">
            <v>Telecommunicaton</v>
          </cell>
        </row>
        <row r="2098">
          <cell r="A2098" t="str">
            <v>InsureAfrika.com</v>
          </cell>
          <cell r="B2098" t="str">
            <v>InsureAfrika.com, the first online platform to shop for and buy insurance in Kenya, is also an online agency to sell insurances.</v>
          </cell>
          <cell r="C2098" t="str">
            <v>Active</v>
          </cell>
          <cell r="D2098">
            <v>2015</v>
          </cell>
          <cell r="G2098" t="str">
            <v>Kenya</v>
          </cell>
          <cell r="X2098" t="str">
            <v>E-Commerce &amp; Retail</v>
          </cell>
        </row>
        <row r="2099">
          <cell r="A2099" t="str">
            <v>Intellisoftplus</v>
          </cell>
          <cell r="B2099" t="str">
            <v>Intellisoftplus is a provider of web and software development services to organizations, institutions, small and medium sized enterprises.</v>
          </cell>
          <cell r="C2099" t="str">
            <v>Active</v>
          </cell>
          <cell r="D2099">
            <v>2008</v>
          </cell>
          <cell r="G2099" t="str">
            <v>Kenya</v>
          </cell>
          <cell r="X2099" t="str">
            <v>Commercial &amp; Professional Services</v>
          </cell>
        </row>
        <row r="2100">
          <cell r="A2100" t="str">
            <v>Irentlist.com</v>
          </cell>
          <cell r="B2100" t="str">
            <v>An online portal for real estate property listing and searches for rent, for sale and lease.</v>
          </cell>
          <cell r="C2100" t="str">
            <v>Active</v>
          </cell>
          <cell r="D2100">
            <v>2017</v>
          </cell>
          <cell r="G2100" t="str">
            <v>Kenya</v>
          </cell>
          <cell r="X2100" t="str">
            <v>Real Estate</v>
          </cell>
        </row>
        <row r="2101">
          <cell r="A2101" t="str">
            <v>irisX</v>
          </cell>
          <cell r="B2101" t="str">
            <v>A SaaS company that provides a social crediting system for companies and cities worldwide</v>
          </cell>
          <cell r="C2101" t="str">
            <v>Active</v>
          </cell>
          <cell r="D2101">
            <v>2019</v>
          </cell>
          <cell r="G2101" t="str">
            <v>Kenya</v>
          </cell>
          <cell r="X2101" t="str">
            <v>Commercial &amp; Professional Services</v>
          </cell>
        </row>
        <row r="2102">
          <cell r="A2102" t="str">
            <v>iVa Archive</v>
          </cell>
          <cell r="B2102" t="str">
            <v>Learning through Sharing</v>
          </cell>
          <cell r="C2102" t="str">
            <v>Active</v>
          </cell>
          <cell r="D2102">
            <v>2013</v>
          </cell>
          <cell r="G2102" t="str">
            <v>Kenya</v>
          </cell>
          <cell r="X2102" t="str">
            <v>Education</v>
          </cell>
        </row>
        <row r="2103">
          <cell r="A2103" t="str">
            <v>Jacaranda Health</v>
          </cell>
          <cell r="B2103" t="str">
            <v>Reducing maternal and neonatal morality in Kenya.</v>
          </cell>
          <cell r="C2103" t="str">
            <v>Active</v>
          </cell>
          <cell r="D2103">
            <v>2010</v>
          </cell>
          <cell r="G2103" t="str">
            <v>Kenya</v>
          </cell>
          <cell r="X2103" t="str">
            <v>Health and  Pharma</v>
          </cell>
        </row>
        <row r="2104">
          <cell r="A2104" t="str">
            <v>JamboPay</v>
          </cell>
          <cell r="B2104" t="str">
            <v>JamboPay is an online payment gateway that allows users to securely make and receive payments through mobile phone over internet.</v>
          </cell>
          <cell r="C2104" t="str">
            <v>Active</v>
          </cell>
          <cell r="D2104">
            <v>2010</v>
          </cell>
          <cell r="G2104" t="str">
            <v>Kenya</v>
          </cell>
          <cell r="X2104" t="str">
            <v>Commercial &amp; Professional Services</v>
          </cell>
        </row>
        <row r="2105">
          <cell r="A2105" t="str">
            <v>Jobonics</v>
          </cell>
          <cell r="B2105" t="str">
            <v>Jobonics is an all in one recruiting solution for employers in Africa to find, screen and hire talent in an easy and fast way.</v>
          </cell>
          <cell r="C2105" t="str">
            <v>Active</v>
          </cell>
          <cell r="D2105">
            <v>2017</v>
          </cell>
          <cell r="G2105" t="str">
            <v>Kenya</v>
          </cell>
          <cell r="X2105" t="str">
            <v>Telecommunication</v>
          </cell>
        </row>
        <row r="2106">
          <cell r="A2106" t="str">
            <v>Joecalih</v>
          </cell>
          <cell r="B2106" t="str">
            <v>Photographer and Cinematographer from Kenya. Offers SEO, Theme Templates, Content Marketing, Photography, and Graphic design</v>
          </cell>
          <cell r="C2106" t="str">
            <v>Active</v>
          </cell>
          <cell r="D2106">
            <v>2018</v>
          </cell>
          <cell r="G2106" t="str">
            <v>Kenya</v>
          </cell>
          <cell r="X2106" t="str">
            <v>Media and Entertainment</v>
          </cell>
        </row>
        <row r="2107">
          <cell r="A2107" t="str">
            <v>Jooist</v>
          </cell>
          <cell r="B2107" t="str">
            <v>Jooist is a social gaming network that enables users to discover and play free games on mobile, tablet, laptops and desktop devices.</v>
          </cell>
          <cell r="C2107" t="str">
            <v>Active</v>
          </cell>
          <cell r="D2107">
            <v>2012</v>
          </cell>
          <cell r="G2107" t="str">
            <v>Kenya</v>
          </cell>
          <cell r="X2107" t="str">
            <v>Media and Entertainment</v>
          </cell>
        </row>
        <row r="2108">
          <cell r="A2108" t="str">
            <v>Judith &amp; James</v>
          </cell>
          <cell r="B2108" t="str">
            <v>Judith and James is an apparel company that turns a simple clothing purchase into a visible act of charity.</v>
          </cell>
          <cell r="C2108" t="str">
            <v>Active</v>
          </cell>
          <cell r="D2108">
            <v>2012</v>
          </cell>
          <cell r="G2108" t="str">
            <v>Kenya</v>
          </cell>
          <cell r="X2108" t="str">
            <v>E-Commerce &amp; Retail</v>
          </cell>
        </row>
        <row r="2109">
          <cell r="A2109" t="str">
            <v>Juhudi Kilimo</v>
          </cell>
          <cell r="B2109" t="str">
            <v>Juhudi Kilimo provides asset financing, technical assistance, and business training services to farmers and agro businesses in Kenya.</v>
          </cell>
          <cell r="C2109" t="str">
            <v>Active</v>
          </cell>
          <cell r="D2109">
            <v>2009</v>
          </cell>
          <cell r="G2109" t="str">
            <v>Kenya</v>
          </cell>
          <cell r="X2109" t="str">
            <v>Financial Services</v>
          </cell>
        </row>
        <row r="2110">
          <cell r="A2110" t="str">
            <v>Jumuika</v>
          </cell>
          <cell r="B2110" t="str">
            <v>Jumuika Mobile is a Kenyan based mobile marketing company founded in 2009.</v>
          </cell>
          <cell r="C2110" t="str">
            <v>Active</v>
          </cell>
          <cell r="D2110">
            <v>2009</v>
          </cell>
          <cell r="G2110" t="str">
            <v>Kenya</v>
          </cell>
          <cell r="X2110" t="str">
            <v>Utilities and Telecommunication Services</v>
          </cell>
        </row>
        <row r="2111">
          <cell r="A2111" t="str">
            <v>Just A Ride Limited</v>
          </cell>
          <cell r="B2111" t="str">
            <v>Justaride.co.ke is a carpooling platform linking drivers in Africa to riders going the same direction to carpool.</v>
          </cell>
          <cell r="C2111" t="str">
            <v>Active</v>
          </cell>
          <cell r="D2111">
            <v>2016</v>
          </cell>
          <cell r="G2111" t="str">
            <v>Kenya</v>
          </cell>
          <cell r="X2111" t="str">
            <v>Transport and Logistics</v>
          </cell>
        </row>
        <row r="2112">
          <cell r="A2112" t="str">
            <v>Kachwanya</v>
          </cell>
          <cell r="B2112" t="str">
            <v>Kachwanya.com is a blogsite dedicated to Tech gadget reviews, Business IT news updates, Social Media management, and Startup discussions.</v>
          </cell>
          <cell r="C2112" t="str">
            <v>Active</v>
          </cell>
          <cell r="D2112">
            <v>2009</v>
          </cell>
          <cell r="G2112" t="str">
            <v>Kenya</v>
          </cell>
          <cell r="X2112" t="str">
            <v>Telecommunication</v>
          </cell>
        </row>
        <row r="2113">
          <cell r="A2113" t="str">
            <v>Kawa Garments</v>
          </cell>
          <cell r="B2113" t="str">
            <v>Kawa Garments is a uniform manufacturing company that specializes in school, staff and security uniforms.</v>
          </cell>
          <cell r="C2113" t="str">
            <v>Active</v>
          </cell>
          <cell r="D2113">
            <v>2009</v>
          </cell>
          <cell r="G2113" t="str">
            <v>Kenya</v>
          </cell>
          <cell r="X2113" t="str">
            <v>Commercial &amp; Professional Services</v>
          </cell>
        </row>
        <row r="2114">
          <cell r="A2114" t="str">
            <v>KaziQuest</v>
          </cell>
          <cell r="B2114" t="str">
            <v>KaziQuest is on a mission to change the way organisations in Africa recruit and manage talent.</v>
          </cell>
          <cell r="C2114" t="str">
            <v>Active</v>
          </cell>
          <cell r="D2114">
            <v>2018</v>
          </cell>
          <cell r="G2114" t="str">
            <v>Kenya</v>
          </cell>
          <cell r="X2114" t="str">
            <v>Telecommunication</v>
          </cell>
        </row>
        <row r="2115">
          <cell r="A2115" t="str">
            <v>Kazisha</v>
          </cell>
          <cell r="B2115" t="str">
            <v>Hr recruitment consultancy firm and services, AI &amp; data driven</v>
          </cell>
          <cell r="C2115" t="str">
            <v>Active</v>
          </cell>
          <cell r="D2115">
            <v>2019</v>
          </cell>
          <cell r="G2115" t="str">
            <v>Kenya</v>
          </cell>
          <cell r="X2115" t="str">
            <v>Telecommunication</v>
          </cell>
        </row>
        <row r="2116">
          <cell r="A2116" t="str">
            <v>KejaHunt.com</v>
          </cell>
          <cell r="B2116" t="str">
            <v>Kejahunt helps you find houses in an easy, convenient and credible way.</v>
          </cell>
          <cell r="C2116" t="str">
            <v>Active</v>
          </cell>
          <cell r="D2116">
            <v>2014</v>
          </cell>
          <cell r="G2116" t="str">
            <v>Kenya</v>
          </cell>
          <cell r="X2116" t="str">
            <v>Real Estate</v>
          </cell>
        </row>
        <row r="2117">
          <cell r="A2117" t="str">
            <v>KenyaPlex.com</v>
          </cell>
          <cell r="B2117" t="str">
            <v>KenyaPlex.com is an educational portal providing information on schools, colleges, universities as well as courses.</v>
          </cell>
          <cell r="C2117" t="str">
            <v>Active</v>
          </cell>
          <cell r="D2117">
            <v>2008</v>
          </cell>
          <cell r="G2117" t="str">
            <v>Kenya</v>
          </cell>
          <cell r="X2117" t="str">
            <v>Education</v>
          </cell>
        </row>
        <row r="2118">
          <cell r="A2118" t="str">
            <v>Kenyayote.com</v>
          </cell>
          <cell r="B2118" t="str">
            <v>Kenyayote.com is Kenya's most trusted education content provider: Campus, University, College, High School, Education Tech</v>
          </cell>
          <cell r="C2118" t="str">
            <v>Active</v>
          </cell>
          <cell r="D2118">
            <v>2011</v>
          </cell>
          <cell r="G2118" t="str">
            <v>Kenya</v>
          </cell>
          <cell r="X2118" t="str">
            <v>Education</v>
          </cell>
        </row>
        <row r="2119">
          <cell r="A2119" t="str">
            <v>Kidogo</v>
          </cell>
          <cell r="B2119" t="str">
            <v>Kidogo is a social enterprise platform that improves access to early childhood care and education.</v>
          </cell>
          <cell r="C2119" t="str">
            <v>Active</v>
          </cell>
          <cell r="D2119">
            <v>2013</v>
          </cell>
          <cell r="G2119" t="str">
            <v>Kenya</v>
          </cell>
          <cell r="X2119" t="str">
            <v>Education</v>
          </cell>
        </row>
        <row r="2120">
          <cell r="A2120" t="str">
            <v>Kijani Software</v>
          </cell>
          <cell r="B2120" t="str">
            <v>Kijani Software is a Nairobi-based software business that primarily deals in Symfony-based Web Design &amp; Web Development.</v>
          </cell>
          <cell r="C2120" t="str">
            <v>Active</v>
          </cell>
          <cell r="D2120">
            <v>2018</v>
          </cell>
          <cell r="G2120" t="str">
            <v>Kenya</v>
          </cell>
          <cell r="X2120" t="str">
            <v>Commercial &amp; Professional Services</v>
          </cell>
        </row>
        <row r="2121">
          <cell r="A2121" t="str">
            <v>KITO International</v>
          </cell>
          <cell r="B2121" t="str">
            <v>To get youth off the street and out of poverty.</v>
          </cell>
          <cell r="C2121" t="str">
            <v>Active</v>
          </cell>
          <cell r="D2121">
            <v>2010</v>
          </cell>
          <cell r="G2121" t="str">
            <v>Kenya</v>
          </cell>
          <cell r="X2121" t="str">
            <v>Commercial &amp; Professional Services</v>
          </cell>
        </row>
        <row r="2122">
          <cell r="A2122" t="str">
            <v>KunaJam</v>
          </cell>
          <cell r="B2122" t="str">
            <v>KunaJam is an app that provides traffic feeds, bus routes, and a way to input traffic feeds and bus routes.</v>
          </cell>
          <cell r="C2122" t="str">
            <v>Active</v>
          </cell>
          <cell r="D2122">
            <v>2014</v>
          </cell>
          <cell r="G2122" t="str">
            <v>Kenya</v>
          </cell>
          <cell r="X2122" t="str">
            <v>Transport and Logistics</v>
          </cell>
        </row>
        <row r="2123">
          <cell r="A2123" t="str">
            <v>Lavishbeauty.co.ke</v>
          </cell>
          <cell r="B2123" t="str">
            <v>We are obsessed about beauty. Get ready for an extraordinary online shopping experience backed by excellent service!</v>
          </cell>
          <cell r="C2123" t="str">
            <v>Active</v>
          </cell>
          <cell r="D2123">
            <v>2012</v>
          </cell>
          <cell r="G2123" t="str">
            <v>Kenya</v>
          </cell>
          <cell r="X2123" t="str">
            <v>E-Commerce &amp; Retail</v>
          </cell>
        </row>
        <row r="2124">
          <cell r="A2124" t="str">
            <v>Live 99 Years</v>
          </cell>
          <cell r="B2124" t="str">
            <v>Live 99 Years is a startup dedicated to providing information about the latest health and medical products</v>
          </cell>
          <cell r="C2124" t="str">
            <v>Active</v>
          </cell>
          <cell r="D2124">
            <v>2018</v>
          </cell>
          <cell r="G2124" t="str">
            <v>Kenya</v>
          </cell>
          <cell r="X2124" t="str">
            <v>Health and  Pharma</v>
          </cell>
        </row>
        <row r="2125">
          <cell r="A2125" t="str">
            <v>Loniwa Sacco</v>
          </cell>
          <cell r="B2125" t="str">
            <v>Loniwa Sacco is a digital savings &amp; credit company. We offer both short &amp; long term loans to individuals and SMEs in Kenya</v>
          </cell>
          <cell r="C2125" t="str">
            <v>Active</v>
          </cell>
          <cell r="D2125">
            <v>2018</v>
          </cell>
          <cell r="G2125" t="str">
            <v>Kenya</v>
          </cell>
          <cell r="X2125" t="str">
            <v>Financial Services</v>
          </cell>
        </row>
        <row r="2126">
          <cell r="A2126" t="str">
            <v>M-Changa</v>
          </cell>
          <cell r="B2126" t="str">
            <v>M-Changa is service that allows you to manage a fundraiser right from your mobile phone.</v>
          </cell>
          <cell r="C2126" t="str">
            <v>Active</v>
          </cell>
          <cell r="D2126">
            <v>2012</v>
          </cell>
          <cell r="G2126" t="str">
            <v>Kenya</v>
          </cell>
          <cell r="X2126" t="str">
            <v>Financial services</v>
          </cell>
        </row>
        <row r="2127">
          <cell r="A2127" t="str">
            <v>Mambo Microsystems Ltd</v>
          </cell>
          <cell r="B2127" t="str">
            <v>Mambo Microsystems Ltd is a technology company that offers Web Services Including cloud hosting, app development, web security services</v>
          </cell>
          <cell r="C2127" t="str">
            <v>Active</v>
          </cell>
          <cell r="D2127">
            <v>2011</v>
          </cell>
          <cell r="G2127" t="str">
            <v>Kenya</v>
          </cell>
          <cell r="X2127" t="str">
            <v>Commercial &amp; Professional Services</v>
          </cell>
        </row>
        <row r="2128">
          <cell r="A2128" t="str">
            <v>Mara Ison</v>
          </cell>
          <cell r="B2128" t="str">
            <v>MARA ISON Technologies is a pan- African system integrator, managed service provider and strategic outsourcing player provide IT services.</v>
          </cell>
          <cell r="C2128" t="str">
            <v>Active</v>
          </cell>
          <cell r="D2128">
            <v>2010</v>
          </cell>
          <cell r="G2128" t="str">
            <v>Kenya</v>
          </cell>
          <cell r="X2128" t="str">
            <v>Telecommunication</v>
          </cell>
        </row>
        <row r="2129">
          <cell r="A2129" t="str">
            <v>Mdundo</v>
          </cell>
          <cell r="B2129" t="str">
            <v>Provide Africa with easy and affordable access to music</v>
          </cell>
          <cell r="C2129" t="str">
            <v>Active</v>
          </cell>
          <cell r="D2129">
            <v>2012</v>
          </cell>
          <cell r="G2129" t="str">
            <v>Kenya</v>
          </cell>
          <cell r="X2129" t="str">
            <v>Media and Entertainment</v>
          </cell>
        </row>
        <row r="2130">
          <cell r="A2130" t="str">
            <v>Medbit</v>
          </cell>
          <cell r="B2130" t="str">
            <v>Medbit is a platform that allows patients to search, and book doctors based on availability, location,insurance cover,and specialization.</v>
          </cell>
          <cell r="C2130" t="str">
            <v>E-Commerce, Fitness, Health Care, Information Technology, Marketplace, Mobile, Wellness</v>
          </cell>
          <cell r="D2130">
            <v>2017</v>
          </cell>
          <cell r="G2130" t="str">
            <v>Kenya</v>
          </cell>
          <cell r="X2130" t="str">
            <v>Health and  Pharma</v>
          </cell>
        </row>
        <row r="2131">
          <cell r="A2131" t="str">
            <v>Mesozi, Inc</v>
          </cell>
          <cell r="B2131" t="str">
            <v>MESOZI is an award-winning digital branding &amp; software technology company based in Nairobi, Kenya.</v>
          </cell>
          <cell r="C2131" t="str">
            <v>Active</v>
          </cell>
          <cell r="D2131">
            <v>2013</v>
          </cell>
          <cell r="G2131" t="str">
            <v>Kenya</v>
          </cell>
          <cell r="X2131" t="str">
            <v>Commercial &amp; Professional Services</v>
          </cell>
        </row>
        <row r="2132">
          <cell r="A2132" t="str">
            <v>MicroClinic Technologies Ltd</v>
          </cell>
          <cell r="B2132" t="str">
            <v>MicroClinic Technologies Ltd specializes in health care management and health systems development.</v>
          </cell>
          <cell r="C2132" t="str">
            <v>Active</v>
          </cell>
          <cell r="D2132">
            <v>2012</v>
          </cell>
          <cell r="G2132" t="str">
            <v>Kenya</v>
          </cell>
          <cell r="X2132" t="str">
            <v>Health and  Pharma</v>
          </cell>
        </row>
        <row r="2133">
          <cell r="A2133" t="str">
            <v>Mobidawa</v>
          </cell>
          <cell r="B2133" t="str">
            <v>Mobidawa, changing Healthcare in Africa using mobile phones.</v>
          </cell>
          <cell r="C2133" t="str">
            <v>Active</v>
          </cell>
          <cell r="D2133">
            <v>2015</v>
          </cell>
          <cell r="G2133" t="str">
            <v>Kenya</v>
          </cell>
          <cell r="X2133" t="str">
            <v>Healthcare &amp; Pharma</v>
          </cell>
        </row>
        <row r="2134">
          <cell r="A2134" t="str">
            <v>MoVas</v>
          </cell>
          <cell r="B2134" t="str">
            <v>MoVas is a software company that provides a range of software solutions for its clients.</v>
          </cell>
          <cell r="C2134" t="str">
            <v>Active</v>
          </cell>
          <cell r="G2134" t="str">
            <v>Kenya</v>
          </cell>
          <cell r="X2134" t="str">
            <v>Commercial &amp; Professional Services</v>
          </cell>
        </row>
        <row r="2135">
          <cell r="A2135" t="str">
            <v>MTL Systems</v>
          </cell>
          <cell r="B2135" t="str">
            <v>MTL Systems is an award-winning full-service mobile and software solution provider based in Nairobi, Kenya.</v>
          </cell>
          <cell r="C2135" t="str">
            <v>Active</v>
          </cell>
          <cell r="D2135">
            <v>2011</v>
          </cell>
          <cell r="G2135" t="str">
            <v>Kenya</v>
          </cell>
          <cell r="X2135" t="str">
            <v>Commercial &amp; Professional Services</v>
          </cell>
        </row>
        <row r="2136">
          <cell r="A2136" t="str">
            <v>Multi-Link Group</v>
          </cell>
          <cell r="B2136" t="str">
            <v>To be the regional clean energy company most admired for its people, partnership and performance.</v>
          </cell>
          <cell r="C2136" t="str">
            <v>Active</v>
          </cell>
          <cell r="D2136">
            <v>2010</v>
          </cell>
          <cell r="G2136" t="str">
            <v>Kenya</v>
          </cell>
          <cell r="X2136" t="str">
            <v>Energy &amp; Environment Resources</v>
          </cell>
        </row>
        <row r="2137">
          <cell r="A2137" t="str">
            <v>Muthurwa.com</v>
          </cell>
          <cell r="B2137" t="str">
            <v>Muthurwa Marketplace provides a platform for selling of digital products in Kenya. Our platform is integrated with local payment methods</v>
          </cell>
          <cell r="C2137" t="str">
            <v>Active</v>
          </cell>
          <cell r="D2137">
            <v>2017</v>
          </cell>
          <cell r="G2137" t="str">
            <v>Kenya</v>
          </cell>
          <cell r="X2137" t="str">
            <v>E-Commerce &amp; Retail</v>
          </cell>
        </row>
        <row r="2138">
          <cell r="A2138" t="str">
            <v>Nabaleka Digital Solutions</v>
          </cell>
          <cell r="B2138" t="str">
            <v>We‚Äôre a Kenyan web design and web development digital agency based in Nairobi, Kenya.</v>
          </cell>
          <cell r="C2138" t="str">
            <v>Active</v>
          </cell>
          <cell r="D2138">
            <v>2015</v>
          </cell>
          <cell r="G2138" t="str">
            <v>Kenya</v>
          </cell>
          <cell r="X2138" t="str">
            <v>Commercial &amp; Professional Services</v>
          </cell>
        </row>
        <row r="2139">
          <cell r="A2139" t="str">
            <v>Next Generation Sports</v>
          </cell>
          <cell r="B2139" t="str">
            <v>Next Generation Sports is the pioneer of sports performance analysis in sub-Sahara Africa.</v>
          </cell>
          <cell r="C2139" t="str">
            <v>Active</v>
          </cell>
          <cell r="D2139">
            <v>2016</v>
          </cell>
          <cell r="G2139" t="str">
            <v>Kenya</v>
          </cell>
          <cell r="X2139" t="str">
            <v>Media and Entertainment</v>
          </cell>
        </row>
        <row r="2140">
          <cell r="A2140" t="str">
            <v>ZYFFY</v>
          </cell>
          <cell r="B2140" t="str">
            <v>Zyffy is AI-based marketplace for business and consumer services.</v>
          </cell>
          <cell r="C2140" t="str">
            <v>Active</v>
          </cell>
          <cell r="D2140">
            <v>2018</v>
          </cell>
          <cell r="G2140" t="str">
            <v>Kenya</v>
          </cell>
          <cell r="X2140" t="str">
            <v>E-Commerce &amp; Retail</v>
          </cell>
        </row>
        <row r="2141">
          <cell r="A2141" t="str">
            <v>White Web Kenya</v>
          </cell>
          <cell r="B2141" t="str">
            <v>White Web is a mobile application development company based Kenya.</v>
          </cell>
          <cell r="C2141" t="str">
            <v>Active</v>
          </cell>
          <cell r="D2141">
            <v>2016</v>
          </cell>
          <cell r="G2141" t="str">
            <v>Kenya</v>
          </cell>
          <cell r="X2141" t="str">
            <v>E-Commerce &amp; Retail</v>
          </cell>
        </row>
        <row r="2142">
          <cell r="A2142" t="str">
            <v>Voxy</v>
          </cell>
          <cell r="B2142" t="str">
            <v>Movies With Friends.</v>
          </cell>
          <cell r="C2142" t="str">
            <v>Active</v>
          </cell>
          <cell r="D2142">
            <v>2017</v>
          </cell>
          <cell r="G2142" t="str">
            <v>Kenya</v>
          </cell>
          <cell r="X2142" t="str">
            <v>Media and Entertainment</v>
          </cell>
        </row>
        <row r="2143">
          <cell r="A2143" t="str">
            <v>Usalama Tech Group</v>
          </cell>
          <cell r="B2143" t="str">
            <v>Usalama Tech Group is built around the Usalama App. The company's flagship mobile platform that links users to emergency services.</v>
          </cell>
          <cell r="C2143" t="str">
            <v>Active</v>
          </cell>
          <cell r="D2143">
            <v>2017</v>
          </cell>
          <cell r="G2143" t="str">
            <v>Kenya</v>
          </cell>
          <cell r="X2143" t="str">
            <v>Healthcare &amp; Pharma</v>
          </cell>
          <cell r="Y2143" t="str">
            <v>Emergency Services</v>
          </cell>
        </row>
        <row r="2144">
          <cell r="A2144" t="str">
            <v>Trustcom, Ltd</v>
          </cell>
          <cell r="B2144" t="str">
            <v>Cyber Security Company</v>
          </cell>
          <cell r="C2144" t="str">
            <v>Active</v>
          </cell>
          <cell r="D2144">
            <v>2017</v>
          </cell>
          <cell r="G2144" t="str">
            <v>Kenya</v>
          </cell>
          <cell r="X2144" t="str">
            <v>Commercial &amp; Professional Services</v>
          </cell>
        </row>
        <row r="2145">
          <cell r="A2145" t="str">
            <v>Thebhub</v>
          </cell>
          <cell r="B2145" t="str">
            <v>A Blockchain, A.I first Innovation Hub &amp; Kid's Code School</v>
          </cell>
          <cell r="C2145" t="str">
            <v>Active</v>
          </cell>
          <cell r="D2145">
            <v>2018</v>
          </cell>
          <cell r="G2145" t="str">
            <v>Kenya</v>
          </cell>
          <cell r="X2145" t="str">
            <v>Commercial &amp; Professional Services</v>
          </cell>
        </row>
        <row r="2146">
          <cell r="A2146" t="str">
            <v>Strauss Energy</v>
          </cell>
          <cell r="B2146" t="str">
            <v>Building Integrated PhotoVoltaic Roofing Tile</v>
          </cell>
          <cell r="C2146" t="str">
            <v>Active</v>
          </cell>
          <cell r="D2146">
            <v>2007</v>
          </cell>
          <cell r="G2146" t="str">
            <v>Kenya</v>
          </cell>
          <cell r="X2146" t="str">
            <v>Energy &amp; Environment Resources</v>
          </cell>
        </row>
        <row r="2147">
          <cell r="A2147" t="str">
            <v>Snorezing Anti-Snoring Mouthpiece</v>
          </cell>
          <cell r="B2147" t="str">
            <v>Snorezing is a startup dedicated to offering news, reviews, and research on the latest anti-snoring devices.</v>
          </cell>
          <cell r="C2147" t="str">
            <v>Active</v>
          </cell>
          <cell r="D2147">
            <v>2016</v>
          </cell>
          <cell r="G2147" t="str">
            <v>Kenya</v>
          </cell>
          <cell r="X2147" t="str">
            <v>Media and Entertainment</v>
          </cell>
        </row>
        <row r="2148">
          <cell r="A2148" t="str">
            <v>Smatt Geeks Media</v>
          </cell>
          <cell r="B2148" t="str">
            <v>edia is one of the fastest growing tech sites focusing on various topics affecting the world of Technology &amp; business trends in Kenya and across the globe.</v>
          </cell>
          <cell r="C2148" t="str">
            <v>Active</v>
          </cell>
          <cell r="D2148">
            <v>2016</v>
          </cell>
          <cell r="G2148" t="str">
            <v>Kenya</v>
          </cell>
          <cell r="X2148" t="str">
            <v>Media and Entertainment</v>
          </cell>
        </row>
        <row r="2149">
          <cell r="A2149" t="str">
            <v xml:space="preserve">Simpaul Design	Simpaul Design specialize in working with clients to create brands, tell stories and develop strategies from user-centered design.	Advertising, Consulting, CRM, Marketing	Nairobi, Nairobi Area, Kenya	12/12/2016	day	https://simpauldesign.com/	https://www.linkedin.com/company/simpauldesign/	https://twitter.com/simpauldesign/	https://facebook.com/simpauldesign/															</v>
          </cell>
          <cell r="B2149" t="str">
            <v>Simpaul Design is the leading, creative agency with its studio based in Nairobi, Kenya.</v>
          </cell>
          <cell r="C2149" t="str">
            <v>Active</v>
          </cell>
          <cell r="D2149">
            <v>2016</v>
          </cell>
          <cell r="G2149" t="str">
            <v>Kenya</v>
          </cell>
          <cell r="X2149" t="str">
            <v>Commercial &amp; Professional Services</v>
          </cell>
        </row>
        <row r="2150">
          <cell r="A2150" t="str">
            <v>Senga Technologies</v>
          </cell>
          <cell r="B2150" t="str">
            <v>Senga is a technology-enabled logistics company based in Nairobi, Kenya</v>
          </cell>
          <cell r="C2150" t="str">
            <v>Active</v>
          </cell>
          <cell r="D2150">
            <v>2016</v>
          </cell>
          <cell r="G2150" t="str">
            <v>Kenya</v>
          </cell>
          <cell r="X2150" t="str">
            <v>Transport and Logistics</v>
          </cell>
        </row>
        <row r="2151">
          <cell r="A2151" t="str">
            <v>Saccotek</v>
          </cell>
          <cell r="B2151" t="str">
            <v>SaccoTek is a financial system targeting small upcoming firms in Africa</v>
          </cell>
          <cell r="C2151" t="str">
            <v>Active</v>
          </cell>
          <cell r="D2151">
            <v>2017</v>
          </cell>
          <cell r="G2151" t="str">
            <v>Kenya</v>
          </cell>
          <cell r="X2151" t="str">
            <v>Financial services</v>
          </cell>
        </row>
        <row r="2152">
          <cell r="A2152" t="str">
            <v>Request Africa</v>
          </cell>
          <cell r="B2152" t="str">
            <v>Request Africa provides data driven decision making for the music business.</v>
          </cell>
          <cell r="C2152" t="str">
            <v>Active</v>
          </cell>
          <cell r="D2152">
            <v>2016</v>
          </cell>
          <cell r="G2152" t="str">
            <v>Kenya</v>
          </cell>
          <cell r="X2152" t="str">
            <v>Media and Entertainment</v>
          </cell>
        </row>
        <row r="2153">
          <cell r="A2153" t="str">
            <v>RedHunt Kenya</v>
          </cell>
          <cell r="B2153" t="str">
            <v>Saving lives by getting blood in time</v>
          </cell>
          <cell r="C2153" t="str">
            <v>Active</v>
          </cell>
          <cell r="D2153">
            <v>2017</v>
          </cell>
          <cell r="G2153" t="str">
            <v>Kenya</v>
          </cell>
          <cell r="X2153" t="str">
            <v>Healthcare &amp; Pharma</v>
          </cell>
        </row>
        <row r="2154">
          <cell r="A2154" t="str">
            <v>PAZO GROUP</v>
          </cell>
          <cell r="B2154" t="str">
            <v>PAZO is Africa's ecosystem of online services ranging from on-demand taxi &amp; delivery services, to e-commerce to travel to trade &amp; much more!</v>
          </cell>
          <cell r="C2154" t="str">
            <v>Active</v>
          </cell>
          <cell r="D2154">
            <v>2018</v>
          </cell>
          <cell r="G2154" t="str">
            <v>Kenya</v>
          </cell>
          <cell r="X2154" t="str">
            <v>Travel and Leisure</v>
          </cell>
        </row>
        <row r="2155">
          <cell r="A2155" t="str">
            <v>Online Cyber Kenya</v>
          </cell>
          <cell r="B2155" t="str">
            <v>OnlineCyber.co.ke is your number one online cyber services business in Kenya. Get various online services done for you today.</v>
          </cell>
          <cell r="C2155" t="str">
            <v>Active</v>
          </cell>
          <cell r="D2155">
            <v>2017</v>
          </cell>
          <cell r="G2155" t="str">
            <v>Kenya</v>
          </cell>
          <cell r="X2155" t="str">
            <v>E-Commerce &amp; Retail</v>
          </cell>
        </row>
        <row r="2156">
          <cell r="A2156" t="str">
            <v>Ogaan Limited</v>
          </cell>
          <cell r="B2156" t="str">
            <v>Ogaan has the aim of creating a space to connect employers and prospective employees globally in the most efficient way possible</v>
          </cell>
          <cell r="C2156" t="str">
            <v>Active</v>
          </cell>
          <cell r="D2156">
            <v>2017</v>
          </cell>
          <cell r="G2156" t="str">
            <v>Kenya</v>
          </cell>
          <cell r="X2156" t="str">
            <v>Telecommunication</v>
          </cell>
        </row>
        <row r="2157">
          <cell r="A2157" t="str">
            <v>Nomad Magazine</v>
          </cell>
          <cell r="B2157" t="str">
            <v>Nomad is an East African magazine for intrepid travellers</v>
          </cell>
          <cell r="C2157" t="str">
            <v>Active</v>
          </cell>
          <cell r="D2157">
            <v>2016</v>
          </cell>
          <cell r="G2157" t="str">
            <v>Kenya</v>
          </cell>
        </row>
        <row r="2158">
          <cell r="A2158" t="str">
            <v>MyRide Africa</v>
          </cell>
          <cell r="B2158" t="str">
            <v>MyRide Africa is a mobile service that is making public transport in Africa convenient , safe, comfortable and fun.</v>
          </cell>
          <cell r="C2158" t="str">
            <v>Active</v>
          </cell>
          <cell r="D2158">
            <v>2016</v>
          </cell>
          <cell r="G2158" t="str">
            <v>Kenya</v>
          </cell>
          <cell r="X2158" t="str">
            <v>Transport and Logistics</v>
          </cell>
        </row>
        <row r="2159">
          <cell r="A2159" t="str">
            <v>MumsVillage</v>
          </cell>
          <cell r="B2159" t="str">
            <v>MumsVillage is an online community that seeks to provide a safe space for mothers to seek out advice, support, and inspire each others.</v>
          </cell>
          <cell r="C2159" t="str">
            <v>Active</v>
          </cell>
          <cell r="D2159">
            <v>2015</v>
          </cell>
          <cell r="G2159" t="str">
            <v>Kenya</v>
          </cell>
          <cell r="X2159" t="str">
            <v>Telecommunication</v>
          </cell>
        </row>
        <row r="2160">
          <cell r="A2160" t="str">
            <v>MobiTech Water Solutions</v>
          </cell>
          <cell r="B2160" t="str">
            <v>MobiTech developed Mobi-Water, a mobile-based IOT systems that monitors water levels in tanks and reservoirs in any location on your phone.</v>
          </cell>
          <cell r="C2160" t="str">
            <v>Active</v>
          </cell>
          <cell r="D2160">
            <v>2016</v>
          </cell>
          <cell r="G2160" t="str">
            <v>Kenya</v>
          </cell>
          <cell r="X2160" t="str">
            <v>Utilities</v>
          </cell>
        </row>
        <row r="2161">
          <cell r="A2161" t="str">
            <v>Little Limited</v>
          </cell>
          <cell r="B2161" t="str">
            <v>Little is a Kenya-based indigenous ride-hailing service.</v>
          </cell>
          <cell r="C2161" t="str">
            <v>Active</v>
          </cell>
          <cell r="D2161">
            <v>2016</v>
          </cell>
          <cell r="G2161" t="str">
            <v>Kenya</v>
          </cell>
          <cell r="X2161" t="str">
            <v>Transport and Logistics</v>
          </cell>
          <cell r="Y2161" t="str">
            <v>Ride Sharing</v>
          </cell>
        </row>
        <row r="2162">
          <cell r="A2162" t="str">
            <v>Levitation Dynamics</v>
          </cell>
          <cell r="B2162" t="str">
            <v>Comprehensive drone-powered services and consultation</v>
          </cell>
          <cell r="C2162" t="str">
            <v>Active</v>
          </cell>
          <cell r="D2162">
            <v>2017</v>
          </cell>
          <cell r="G2162" t="str">
            <v>Kenya</v>
          </cell>
          <cell r="X2162" t="str">
            <v>Commercial &amp; Professional Services</v>
          </cell>
        </row>
        <row r="2163">
          <cell r="A2163" t="str">
            <v>Kuza Automotive</v>
          </cell>
          <cell r="B2163" t="str">
            <v>Kuza Automotive Limited commits to the development and production of accessible, sustainable, and innovative transport.</v>
          </cell>
          <cell r="C2163" t="str">
            <v>Active</v>
          </cell>
          <cell r="D2163">
            <v>2016</v>
          </cell>
          <cell r="G2163" t="str">
            <v>Kenya</v>
          </cell>
          <cell r="X2163" t="str">
            <v>Telecommunication</v>
          </cell>
        </row>
        <row r="2164">
          <cell r="A2164" t="str">
            <v>KISAFI</v>
          </cell>
          <cell r="B2164" t="str">
            <v>KISAFI is the most convenient way to solve chores. Connecting vetted pros with busy people to solve laundry, cleaning and gas delivery.</v>
          </cell>
          <cell r="C2164" t="str">
            <v>Active</v>
          </cell>
          <cell r="D2164">
            <v>2016</v>
          </cell>
          <cell r="G2164" t="str">
            <v>Kenya</v>
          </cell>
          <cell r="X2164" t="str">
            <v>Commercial &amp; Professional Services</v>
          </cell>
        </row>
        <row r="2165">
          <cell r="A2165" t="str">
            <v>HydroIQ</v>
          </cell>
          <cell r="B2165" t="str">
            <v>HydroIQ is the World's First Virtual Water Network Operator (VWNO).</v>
          </cell>
          <cell r="C2165" t="str">
            <v>Active</v>
          </cell>
          <cell r="D2165">
            <v>2017</v>
          </cell>
          <cell r="G2165" t="str">
            <v>Kenya</v>
          </cell>
          <cell r="X2165" t="str">
            <v>Utilities</v>
          </cell>
        </row>
        <row r="2166">
          <cell r="A2166" t="str">
            <v>HOPE TECH PLUS LIMITED</v>
          </cell>
          <cell r="B2166" t="str">
            <v>We offer innovative solutions to the challenges of the visually impaired.</v>
          </cell>
          <cell r="C2166" t="str">
            <v>Active</v>
          </cell>
          <cell r="D2166">
            <v>2017</v>
          </cell>
          <cell r="G2166" t="str">
            <v>Kenya</v>
          </cell>
          <cell r="X2166" t="str">
            <v>Commercial &amp; Professional Services</v>
          </cell>
        </row>
        <row r="2167">
          <cell r="A2167" t="str">
            <v>Healthy Foods Only</v>
          </cell>
          <cell r="B2167" t="str">
            <v>Website</v>
          </cell>
          <cell r="C2167" t="str">
            <v>Active</v>
          </cell>
          <cell r="D2167">
            <v>2019</v>
          </cell>
          <cell r="G2167" t="str">
            <v>Kenya</v>
          </cell>
          <cell r="X2167" t="str">
            <v>Healthcare &amp; Pharma</v>
          </cell>
        </row>
        <row r="2168">
          <cell r="A2168" t="str">
            <v>Gjenge Enterprises</v>
          </cell>
          <cell r="B2168" t="str">
            <v>Gjenge a recycling ecosystem solution,for urban and peri-urban sustainability.</v>
          </cell>
          <cell r="C2168" t="str">
            <v>Active</v>
          </cell>
          <cell r="D2168">
            <v>2017</v>
          </cell>
          <cell r="G2168" t="str">
            <v>Kenya</v>
          </cell>
          <cell r="X2168" t="str">
            <v>Commercial &amp; Professional Services</v>
          </cell>
        </row>
        <row r="2169">
          <cell r="A2169" t="str">
            <v>Funza Mobile</v>
          </cell>
          <cell r="B2169" t="str">
            <v>A custom-made digital learning assistance mobile device running on a platform that helps in delivery of education content to students.</v>
          </cell>
          <cell r="C2169" t="str">
            <v>Active</v>
          </cell>
          <cell r="D2169">
            <v>2018</v>
          </cell>
          <cell r="G2169" t="str">
            <v>Kenya</v>
          </cell>
          <cell r="X2169" t="str">
            <v>Education</v>
          </cell>
        </row>
        <row r="2170">
          <cell r="A2170" t="str">
            <v>FleekBook</v>
          </cell>
          <cell r="B2170" t="str">
            <v>FleekBook is a Kenyan based fashion website that reviews celebrity fashion and styles.</v>
          </cell>
          <cell r="C2170" t="str">
            <v>Active</v>
          </cell>
          <cell r="D2170">
            <v>2017</v>
          </cell>
          <cell r="G2170" t="str">
            <v>Kenya</v>
          </cell>
          <cell r="X2170" t="str">
            <v>E-Commerce &amp; Retail</v>
          </cell>
        </row>
        <row r="2171">
          <cell r="A2171" t="str">
            <v>Eazzy Labs, LLC</v>
          </cell>
          <cell r="B2171" t="str">
            <v>A creative digital agency built for the now</v>
          </cell>
          <cell r="C2171" t="str">
            <v>Active</v>
          </cell>
          <cell r="D2171">
            <v>2019</v>
          </cell>
          <cell r="G2171" t="str">
            <v>Kenya</v>
          </cell>
          <cell r="X2171" t="str">
            <v>Commercial &amp; Professional Services</v>
          </cell>
        </row>
        <row r="2172">
          <cell r="A2172" t="str">
            <v>e-Kodi</v>
          </cell>
          <cell r="B2172" t="str">
            <v>e-kodi is the only property market place where you Manage the full tenant lifecycle in one simple solution</v>
          </cell>
          <cell r="C2172" t="str">
            <v>Active</v>
          </cell>
          <cell r="D2172">
            <v>2016</v>
          </cell>
          <cell r="G2172" t="str">
            <v>Kenya</v>
          </cell>
          <cell r="X2172" t="str">
            <v>Real Estate</v>
          </cell>
        </row>
        <row r="2173">
          <cell r="A2173" t="str">
            <v>DrHub Kenya Ltd</v>
          </cell>
          <cell r="B2173" t="str">
            <v>Drhub builds digital connections between physicians, specialists, pharmacies, medical service companies, and patients in Africa.</v>
          </cell>
          <cell r="C2173" t="str">
            <v>Active</v>
          </cell>
          <cell r="D2173">
            <v>2017</v>
          </cell>
          <cell r="G2173" t="str">
            <v>Kenya</v>
          </cell>
          <cell r="X2173" t="str">
            <v>Healthcare &amp; Pharma</v>
          </cell>
        </row>
        <row r="2174">
          <cell r="A2174" t="str">
            <v>Deaf eLimu Plus</v>
          </cell>
          <cell r="B2174" t="str">
            <v>Private company that provides innovative educational apps and tutorial services in sign languages</v>
          </cell>
          <cell r="C2174" t="str">
            <v>Active</v>
          </cell>
          <cell r="D2174">
            <v>2016</v>
          </cell>
          <cell r="G2174" t="str">
            <v>Kenya</v>
          </cell>
          <cell r="X2174" t="str">
            <v>Education</v>
          </cell>
        </row>
        <row r="2175">
          <cell r="A2175" t="str">
            <v>Cocoa Cure Kenya</v>
          </cell>
          <cell r="B2175" t="str">
            <v>Africa's E-commerice destination for locally curated Natural and Organic beauty solutions</v>
          </cell>
          <cell r="C2175" t="str">
            <v>Active</v>
          </cell>
          <cell r="D2175">
            <v>2017</v>
          </cell>
          <cell r="G2175" t="str">
            <v>Kenya</v>
          </cell>
          <cell r="X2175" t="str">
            <v>E-Commerce &amp; Retail</v>
          </cell>
        </row>
        <row r="2176">
          <cell r="A2176" t="str">
            <v>Biin.Online</v>
          </cell>
          <cell r="B2176" t="str">
            <v>Document Automation</v>
          </cell>
          <cell r="C2176" t="str">
            <v>Active</v>
          </cell>
          <cell r="D2176">
            <v>2017</v>
          </cell>
          <cell r="G2176" t="str">
            <v>Kenya</v>
          </cell>
          <cell r="X2176" t="str">
            <v>Telecommunication</v>
          </cell>
        </row>
        <row r="2177">
          <cell r="A2177" t="str">
            <v>Beba Mzigo</v>
          </cell>
          <cell r="B2177" t="str">
            <v>On demand company for the heavy commercial and logistics industry</v>
          </cell>
          <cell r="C2177" t="str">
            <v>Active</v>
          </cell>
          <cell r="D2177">
            <v>2017</v>
          </cell>
          <cell r="G2177" t="str">
            <v>Kenya</v>
          </cell>
          <cell r="X2177" t="str">
            <v>Transport and Logistics</v>
          </cell>
        </row>
        <row r="2178">
          <cell r="A2178" t="str">
            <v>Africa Assets</v>
          </cell>
          <cell r="B2178" t="str">
            <v>All about private equity and venture capital in sub Saharan Africa: news, analysis, data, people.</v>
          </cell>
          <cell r="C2178" t="str">
            <v>Active</v>
          </cell>
          <cell r="D2178">
            <v>2011</v>
          </cell>
          <cell r="G2178" t="str">
            <v>Kenya</v>
          </cell>
          <cell r="X2178" t="str">
            <v>Media and Entertainment</v>
          </cell>
        </row>
        <row r="2179">
          <cell r="A2179" t="str">
            <v>Aisha Flowers</v>
          </cell>
          <cell r="B2179" t="str">
            <v>Technology</v>
          </cell>
          <cell r="C2179" t="str">
            <v>Active</v>
          </cell>
          <cell r="D2179">
            <v>2011</v>
          </cell>
          <cell r="G2179" t="str">
            <v>Kenya</v>
          </cell>
          <cell r="X2179" t="str">
            <v>E-Commerce &amp; Retail</v>
          </cell>
        </row>
        <row r="2180">
          <cell r="A2180" t="str">
            <v>Ameya Technologies</v>
          </cell>
          <cell r="B2180" t="str">
            <v>Ameya Technologies Ltd. is a passionate and enthusiastic team that is committed to delivering stellar service to it's customers.</v>
          </cell>
          <cell r="C2180" t="str">
            <v>Active</v>
          </cell>
          <cell r="D2180">
            <v>2013</v>
          </cell>
          <cell r="G2180" t="str">
            <v>Kenya</v>
          </cell>
          <cell r="X2180" t="str">
            <v>Commercial &amp; Professional Services</v>
          </cell>
        </row>
        <row r="2181">
          <cell r="A2181" t="str">
            <v>ASAP Information Services Limited</v>
          </cell>
          <cell r="B2181" t="str">
            <v>Company information and Business intelligence, due diligence and compliance risks, Backgrounds checks and investigative research .</v>
          </cell>
          <cell r="C2181" t="str">
            <v>Active</v>
          </cell>
          <cell r="D2181">
            <v>2015</v>
          </cell>
          <cell r="G2181" t="str">
            <v>Kenya</v>
          </cell>
          <cell r="X2181" t="str">
            <v>Commercial &amp; Professional Services</v>
          </cell>
        </row>
        <row r="2182">
          <cell r="A2182" t="str">
            <v>Aslan Adventure Tours &amp; Travel Ltd.</v>
          </cell>
          <cell r="B2182" t="str">
            <v>Tours &amp; Travel</v>
          </cell>
          <cell r="C2182" t="str">
            <v>Active</v>
          </cell>
          <cell r="D2182">
            <v>2008</v>
          </cell>
          <cell r="G2182" t="str">
            <v>Kenya</v>
          </cell>
          <cell r="X2182" t="str">
            <v>Travel and Leisure</v>
          </cell>
        </row>
        <row r="2183">
          <cell r="A2183" t="str">
            <v>Bahati Ridge Development Limited</v>
          </cell>
          <cell r="B2183" t="str">
            <v>Bahati Ridge is a unique, middle income integrated development in Thika - Kenya set on 95 acres of land.</v>
          </cell>
          <cell r="C2183" t="str">
            <v>Active</v>
          </cell>
          <cell r="D2183">
            <v>2011</v>
          </cell>
          <cell r="G2183" t="str">
            <v>Kenya</v>
          </cell>
          <cell r="X2183" t="str">
            <v>Real Estate</v>
          </cell>
        </row>
        <row r="2184">
          <cell r="A2184" t="str">
            <v>Big Square</v>
          </cell>
          <cell r="B2184" t="str">
            <v>Big Square is a Kenyan fast food chain company.</v>
          </cell>
          <cell r="C2184" t="str">
            <v>Active</v>
          </cell>
          <cell r="D2184">
            <v>2013</v>
          </cell>
          <cell r="G2184" t="str">
            <v>Kenya</v>
          </cell>
          <cell r="X2184" t="str">
            <v>E-Commerce &amp; Retail</v>
          </cell>
        </row>
        <row r="2185">
          <cell r="A2185" t="str">
            <v>Bytecity Technologies</v>
          </cell>
          <cell r="B2185" t="str">
            <v>Bytecity offers businesses with web and application design and development services, SEO, and hosting solutions.</v>
          </cell>
          <cell r="C2185" t="str">
            <v>Active</v>
          </cell>
          <cell r="D2185">
            <v>2011</v>
          </cell>
          <cell r="G2185" t="str">
            <v>Kenya</v>
          </cell>
          <cell r="X2185" t="str">
            <v>Commercial &amp; Professional Services</v>
          </cell>
        </row>
        <row r="2186">
          <cell r="A2186" t="str">
            <v>Campus Discounts</v>
          </cell>
          <cell r="B2186" t="str">
            <v>Campus Discounts is a social network where university students view and share discounts offered by businesses around their campus.</v>
          </cell>
          <cell r="C2186" t="str">
            <v>Active</v>
          </cell>
          <cell r="D2186">
            <v>2014</v>
          </cell>
          <cell r="G2186" t="str">
            <v>Kenya</v>
          </cell>
          <cell r="X2186" t="str">
            <v>Telecommunication</v>
          </cell>
        </row>
        <row r="2187">
          <cell r="A2187" t="str">
            <v>Cancer Care Kenya</v>
          </cell>
          <cell r="B2187" t="str">
            <v>Cancer Care Kenya is the Cancer Care Centre.</v>
          </cell>
          <cell r="C2187" t="str">
            <v>Active</v>
          </cell>
          <cell r="D2187">
            <v>2010</v>
          </cell>
          <cell r="G2187" t="str">
            <v>Kenya</v>
          </cell>
          <cell r="X2187" t="str">
            <v>Healthcare &amp; Pharma</v>
          </cell>
        </row>
        <row r="2188">
          <cell r="A2188" t="str">
            <v>Cardplanet Solutions</v>
          </cell>
          <cell r="B2188" t="str">
            <v>CardPlanet Solutions develops and markets proprietary personal information solutions.</v>
          </cell>
          <cell r="C2188" t="str">
            <v>Active</v>
          </cell>
          <cell r="D2188">
            <v>2011</v>
          </cell>
          <cell r="G2188" t="str">
            <v>Kenya</v>
          </cell>
          <cell r="X2188" t="str">
            <v>Telecommunication</v>
          </cell>
        </row>
        <row r="2189">
          <cell r="A2189" t="str">
            <v>Chura co ke</v>
          </cell>
          <cell r="B2189" t="str">
            <v>Chura aims to ease the difficulties users experience in accessing airtime services across different mobile service providers.</v>
          </cell>
          <cell r="C2189" t="str">
            <v>Active</v>
          </cell>
          <cell r="D2189">
            <v>2012</v>
          </cell>
          <cell r="G2189" t="str">
            <v>Kenya</v>
          </cell>
          <cell r="X2189" t="str">
            <v>Commercial &amp; Professional Services</v>
          </cell>
        </row>
        <row r="2190">
          <cell r="A2190" t="str">
            <v>clean cook</v>
          </cell>
          <cell r="B2190" t="str">
            <v>Manufacturers of clean cook stove , innovators and sustainable livelihoods specialists.</v>
          </cell>
          <cell r="C2190" t="str">
            <v>Closed</v>
          </cell>
          <cell r="D2190">
            <v>2012</v>
          </cell>
          <cell r="G2190" t="str">
            <v>Kenya</v>
          </cell>
          <cell r="X2190" t="str">
            <v>E-Commerce &amp; Retail</v>
          </cell>
        </row>
        <row r="2191">
          <cell r="A2191" t="str">
            <v>Code For Africa</v>
          </cell>
          <cell r="B2191" t="str">
            <v>Code for Africa seeks a different path. It embraces the second definition, framing itself as a people-driven movement.</v>
          </cell>
          <cell r="C2191" t="str">
            <v>Active</v>
          </cell>
          <cell r="D2191">
            <v>2012</v>
          </cell>
          <cell r="G2191" t="str">
            <v>Kenya</v>
          </cell>
          <cell r="X2191" t="str">
            <v>Telecommunication</v>
          </cell>
        </row>
        <row r="2192">
          <cell r="A2192" t="str">
            <v>Countryside Dairy Ltd.</v>
          </cell>
          <cell r="B2192" t="str">
            <v>Countryside Dairy Ltd is a milk processor company.</v>
          </cell>
          <cell r="C2192" t="str">
            <v>Active</v>
          </cell>
          <cell r="D2192">
            <v>2014</v>
          </cell>
          <cell r="G2192" t="str">
            <v>Kenya</v>
          </cell>
          <cell r="X2192" t="str">
            <v>Agriculture</v>
          </cell>
        </row>
        <row r="2193">
          <cell r="A2193" t="str">
            <v>cretilike</v>
          </cell>
          <cell r="B2193" t="str">
            <v>Ray chris em3 music sign up in Ngomma just enjoy y YOUR SON AGAIN</v>
          </cell>
          <cell r="C2193" t="str">
            <v>Active</v>
          </cell>
          <cell r="D2193">
            <v>2014</v>
          </cell>
          <cell r="G2193" t="str">
            <v>Kenya</v>
          </cell>
          <cell r="X2193" t="str">
            <v>Media and Entertainment</v>
          </cell>
        </row>
        <row r="2194">
          <cell r="A2194" t="str">
            <v>Dairy Technologist</v>
          </cell>
          <cell r="B2194" t="str">
            <v>Dairy Technologist is a magazine that empowers dairy farmers, processors and lovers of dairy with the latest technology reviews &amp; info.</v>
          </cell>
          <cell r="C2194" t="str">
            <v>Active</v>
          </cell>
          <cell r="D2194">
            <v>2015</v>
          </cell>
          <cell r="G2194" t="str">
            <v>Kenya</v>
          </cell>
          <cell r="X2194" t="str">
            <v>Agriculture</v>
          </cell>
        </row>
        <row r="2195">
          <cell r="A2195" t="str">
            <v>Digital Uniq Limited</v>
          </cell>
          <cell r="B2195" t="str">
            <v>AI &amp; Advanced Analytics company</v>
          </cell>
          <cell r="C2195" t="str">
            <v>Active</v>
          </cell>
          <cell r="D2195">
            <v>2014</v>
          </cell>
          <cell r="G2195" t="str">
            <v>Kenya</v>
          </cell>
          <cell r="X2195" t="str">
            <v>Commercial &amp; Professional Services</v>
          </cell>
        </row>
        <row r="2196">
          <cell r="A2196" t="str">
            <v>east african compliant recycling</v>
          </cell>
          <cell r="B2196" t="str">
            <v>recycling of all e waste materials</v>
          </cell>
          <cell r="C2196" t="str">
            <v>Active</v>
          </cell>
          <cell r="D2196">
            <v>2012</v>
          </cell>
          <cell r="G2196" t="str">
            <v>Kenya</v>
          </cell>
          <cell r="X2196" t="str">
            <v>Commercial &amp; Professional Services</v>
          </cell>
        </row>
        <row r="2197">
          <cell r="A2197" t="str">
            <v>EcoPost Limited Kenya</v>
          </cell>
          <cell r="B2197" t="str">
            <v>EcoPost is a manufacturing business involved in recycling plastic waste into aesthetic, durable and environmentally friendly fencing posts.</v>
          </cell>
          <cell r="C2197" t="str">
            <v>Active</v>
          </cell>
          <cell r="D2197">
            <v>2010</v>
          </cell>
          <cell r="G2197" t="str">
            <v>Kenya</v>
          </cell>
          <cell r="X2197" t="str">
            <v>Commercial &amp; Professional Services</v>
          </cell>
        </row>
        <row r="2198">
          <cell r="A2198" t="str">
            <v>eleni</v>
          </cell>
          <cell r="B2198" t="str">
            <v>eleni focuses on building markets in Africa and provides capital, technology solutions, and designing and managing services.</v>
          </cell>
          <cell r="C2198" t="str">
            <v>Active</v>
          </cell>
          <cell r="D2198">
            <v>2012</v>
          </cell>
          <cell r="G2198" t="str">
            <v>Kenya</v>
          </cell>
          <cell r="X2198" t="str">
            <v>Commercial &amp; Professional Services</v>
          </cell>
        </row>
        <row r="2199">
          <cell r="A2199" t="str">
            <v>Essen Investments Limited</v>
          </cell>
          <cell r="B2199" t="str">
            <v>A kenyan company involved primarily in the sale and distribution of dry food stuff</v>
          </cell>
          <cell r="C2199" t="str">
            <v>Active</v>
          </cell>
          <cell r="D2199">
            <v>2015</v>
          </cell>
          <cell r="G2199" t="str">
            <v>Kenya</v>
          </cell>
          <cell r="X2199" t="str">
            <v>E-Commerce &amp; Retail</v>
          </cell>
        </row>
        <row r="2200">
          <cell r="A2200" t="str">
            <v>FlashCast Ventures</v>
          </cell>
          <cell r="B2200" t="str">
            <v>FlashCast Ventures operates a network of location-aware, dynamically refreshing text displays installed in public transit vehicles.</v>
          </cell>
          <cell r="C2200" t="str">
            <v>Active</v>
          </cell>
          <cell r="D2200">
            <v>2011</v>
          </cell>
          <cell r="G2200" t="str">
            <v>Kenya</v>
          </cell>
          <cell r="X2200" t="str">
            <v>Telecommunication</v>
          </cell>
        </row>
        <row r="2201">
          <cell r="A2201" t="str">
            <v>FSD Africa</v>
          </cell>
          <cell r="B2201" t="str">
            <v>FSD Africa is a regional platform.</v>
          </cell>
          <cell r="C2201" t="str">
            <v>Active</v>
          </cell>
          <cell r="D2201">
            <v>2012</v>
          </cell>
          <cell r="G2201" t="str">
            <v>Kenya</v>
          </cell>
          <cell r="X2201" t="str">
            <v>Financial services</v>
          </cell>
        </row>
        <row r="2202">
          <cell r="A2202" t="str">
            <v>Ghafla!</v>
          </cell>
          <cell r="B2202" t="str">
            <v>Ghafla is an African entertainment news website.</v>
          </cell>
          <cell r="C2202" t="str">
            <v>Active</v>
          </cell>
          <cell r="D2202">
            <v>2011</v>
          </cell>
          <cell r="G2202" t="str">
            <v>Kenya</v>
          </cell>
          <cell r="X2202" t="str">
            <v>Media and Entertainment</v>
          </cell>
        </row>
        <row r="2203">
          <cell r="A2203" t="str">
            <v>GlobalMarket</v>
          </cell>
          <cell r="B2203" t="str">
            <v>GlobalMerket is one of the world's leading B2B e-commerce company, connecting millions of buyers and suppliers worldwide</v>
          </cell>
          <cell r="C2203" t="str">
            <v>Active</v>
          </cell>
          <cell r="D2203">
            <v>2015</v>
          </cell>
          <cell r="G2203" t="str">
            <v>Kenya</v>
          </cell>
          <cell r="X2203" t="str">
            <v>E-Commerce &amp; Retail</v>
          </cell>
        </row>
        <row r="2204">
          <cell r="A2204" t="str">
            <v>Greensmart Solutions</v>
          </cell>
          <cell r="B2204" t="str">
            <v>Waste Management</v>
          </cell>
          <cell r="C2204" t="str">
            <v>Active</v>
          </cell>
          <cell r="D2204">
            <v>2019</v>
          </cell>
          <cell r="G2204" t="str">
            <v>Kenya</v>
          </cell>
          <cell r="X2204" t="str">
            <v>Utilities</v>
          </cell>
        </row>
        <row r="2205">
          <cell r="A2205" t="str">
            <v>Haltons Limited</v>
          </cell>
          <cell r="B2205" t="str">
            <v>Haltons Limited is a brand created by Haltons Limited that is composed of pharmacists, investors and leaders promoting pharmacy care.</v>
          </cell>
          <cell r="C2205" t="str">
            <v>Active</v>
          </cell>
          <cell r="D2205">
            <v>2013</v>
          </cell>
          <cell r="G2205" t="str">
            <v>Kenya</v>
          </cell>
          <cell r="X2205" t="str">
            <v>Healthcare &amp; Pharma</v>
          </cell>
        </row>
        <row r="2206">
          <cell r="A2206" t="str">
            <v>Happy Wishy</v>
          </cell>
          <cell r="B2206" t="str">
            <v>Rent or buy wedding gowns</v>
          </cell>
          <cell r="C2206" t="str">
            <v>Active</v>
          </cell>
          <cell r="D2206">
            <v>2014</v>
          </cell>
          <cell r="G2206" t="str">
            <v>Kenya</v>
          </cell>
          <cell r="X2206" t="str">
            <v>E-Commerce &amp; Retail</v>
          </cell>
        </row>
        <row r="2207">
          <cell r="A2207" t="str">
            <v>International Transformation Foundation</v>
          </cell>
          <cell r="B2207" t="str">
            <v>A youth lead non profit organization providing youth development programs encompassing leadership &amp; entrepreneurship.</v>
          </cell>
          <cell r="C2207" t="str">
            <v>Active</v>
          </cell>
          <cell r="D2207">
            <v>2010</v>
          </cell>
          <cell r="G2207" t="str">
            <v>Kenya</v>
          </cell>
          <cell r="X2207" t="str">
            <v>Utilities</v>
          </cell>
        </row>
        <row r="2208">
          <cell r="A2208" t="str">
            <v>Kejamove</v>
          </cell>
          <cell r="B2208" t="str">
            <v>Kejamove is a premier moving company that offers professional home and office relocation services</v>
          </cell>
          <cell r="C2208" t="str">
            <v>Active</v>
          </cell>
          <cell r="D2208">
            <v>2010</v>
          </cell>
          <cell r="G2208" t="str">
            <v>Kenya</v>
          </cell>
          <cell r="X2208" t="str">
            <v>Transport and Logistics</v>
          </cell>
        </row>
        <row r="2209">
          <cell r="A2209" t="str">
            <v>Kili (Africa)</v>
          </cell>
          <cell r="B2209" t="str">
            <v>Kili provides compute and storage Infrastructure to Kenyan startups and SMEs.</v>
          </cell>
          <cell r="C2209" t="str">
            <v>Active</v>
          </cell>
          <cell r="D2209">
            <v>2013</v>
          </cell>
          <cell r="G2209" t="str">
            <v>Kenya</v>
          </cell>
          <cell r="X2209" t="str">
            <v>Commercial &amp; Professional Services</v>
          </cell>
        </row>
        <row r="2210">
          <cell r="A2210" t="str">
            <v>Konza City</v>
          </cell>
          <cell r="B2210" t="str">
            <v>Konza will attract 17,000 jobs, generate $1.3 billion in GRP, and $400 million in annual wages in Phase 1</v>
          </cell>
          <cell r="C2210" t="str">
            <v>Active</v>
          </cell>
          <cell r="D2210">
            <v>2015</v>
          </cell>
          <cell r="G2210" t="str">
            <v>Kenya</v>
          </cell>
          <cell r="X2210" t="str">
            <v>Telecommunication</v>
          </cell>
        </row>
        <row r="2211">
          <cell r="A2211" t="str">
            <v>Kytabu</v>
          </cell>
          <cell r="B2211" t="str">
            <v>Kytabu is a textbook subscription application that allows students to rent preinstalled textbooks on android tablets and desktops.</v>
          </cell>
          <cell r="C2211" t="str">
            <v>Active</v>
          </cell>
          <cell r="D2211">
            <v>2012</v>
          </cell>
          <cell r="G2211" t="str">
            <v>Kenya</v>
          </cell>
          <cell r="X2211" t="str">
            <v>Education</v>
          </cell>
        </row>
        <row r="2212">
          <cell r="A2212" t="str">
            <v>Mail &amp; Guardian Africa</v>
          </cell>
          <cell r="B2212" t="str">
            <v>Mail &amp; Guardian Africa is a digital Pan-African news publication that publishes news, analysis, and opinion pieces about the continent.</v>
          </cell>
          <cell r="C2212" t="str">
            <v>Active</v>
          </cell>
          <cell r="D2212">
            <v>2014</v>
          </cell>
          <cell r="G2212" t="str">
            <v>Kenya</v>
          </cell>
          <cell r="X2212" t="str">
            <v>Media and Entertainment</v>
          </cell>
        </row>
        <row r="2213">
          <cell r="A2213" t="str">
            <v>Mimi Africana Accessories Ltd</v>
          </cell>
          <cell r="B2213" t="str">
            <v>A business focused on linking African artisans to the local and global markets</v>
          </cell>
          <cell r="C2213" t="str">
            <v>Active</v>
          </cell>
          <cell r="D2213">
            <v>2014</v>
          </cell>
          <cell r="G2213" t="str">
            <v>Kenya</v>
          </cell>
          <cell r="X2213" t="str">
            <v>E-Commerce &amp; Retail</v>
          </cell>
        </row>
        <row r="2214">
          <cell r="A2214" t="str">
            <v>Mr. Green Africa</v>
          </cell>
          <cell r="B2214" t="str">
            <v>Mr. Green Africa is a tech-enabled plastic recycling company that tackles waste management problems.</v>
          </cell>
          <cell r="C2214" t="str">
            <v>Active</v>
          </cell>
          <cell r="D2214">
            <v>2014</v>
          </cell>
          <cell r="G2214" t="str">
            <v>Kenya</v>
          </cell>
          <cell r="X2214" t="str">
            <v>Commercial &amp; Professional Services</v>
          </cell>
        </row>
        <row r="2215">
          <cell r="A2215" t="str">
            <v>Mwananchi Microfinance</v>
          </cell>
          <cell r="B2215" t="str">
            <v>Mwananchi Microfinance is a very young financial institution located in Eastern Kenya. Started March 2014 by a team of 4 people.</v>
          </cell>
          <cell r="C2215" t="str">
            <v>Active</v>
          </cell>
          <cell r="D2215">
            <v>2014</v>
          </cell>
          <cell r="G2215" t="str">
            <v>Kenya</v>
          </cell>
          <cell r="X2215" t="str">
            <v>Financial services</v>
          </cell>
        </row>
        <row r="2216">
          <cell r="A2216" t="str">
            <v>Nairobi Garage</v>
          </cell>
          <cell r="B2216" t="str">
            <v>Nairobi's largest co-working tech space</v>
          </cell>
          <cell r="C2216" t="str">
            <v>Active</v>
          </cell>
          <cell r="D2216">
            <v>2013</v>
          </cell>
          <cell r="G2216" t="str">
            <v>Kenya</v>
          </cell>
          <cell r="X2216" t="str">
            <v>E-Commerce &amp; Retail</v>
          </cell>
        </row>
        <row r="2217">
          <cell r="A2217" t="str">
            <v>Ndovu Card Limited</v>
          </cell>
          <cell r="B2217" t="str">
            <v>To offer efficiency, convenience, and security in cashless payments to our customers.</v>
          </cell>
          <cell r="C2217" t="str">
            <v>Active</v>
          </cell>
          <cell r="D2217">
            <v>2012</v>
          </cell>
          <cell r="G2217" t="str">
            <v>Kenya</v>
          </cell>
          <cell r="X2217" t="str">
            <v>Financial services</v>
          </cell>
        </row>
        <row r="2218">
          <cell r="A2218" t="str">
            <v>Niftecs Softwares</v>
          </cell>
          <cell r="B2218" t="str">
            <v>Tech startup solving societal problems through social entrepreneurship.</v>
          </cell>
          <cell r="C2218" t="str">
            <v>Active</v>
          </cell>
          <cell r="D2218">
            <v>2015</v>
          </cell>
          <cell r="G2218" t="str">
            <v>Kenya</v>
          </cell>
          <cell r="X2218" t="str">
            <v>Commercial &amp; Professional Services</v>
          </cell>
        </row>
        <row r="2219">
          <cell r="A2219" t="str">
            <v>Node Africa Limited</v>
          </cell>
          <cell r="B2219" t="str">
            <v>Managed Cloud for Enterprises in Africa</v>
          </cell>
          <cell r="C2219" t="str">
            <v>Active</v>
          </cell>
          <cell r="D2219">
            <v>2015</v>
          </cell>
          <cell r="G2219" t="str">
            <v>Kenya</v>
          </cell>
          <cell r="X2219" t="str">
            <v>Telecommunication</v>
          </cell>
        </row>
        <row r="2220">
          <cell r="A2220" t="str">
            <v>Notonlab</v>
          </cell>
          <cell r="B2220" t="str">
            <v>Software, Chatbots, Verification</v>
          </cell>
          <cell r="C2220" t="str">
            <v>Active</v>
          </cell>
          <cell r="D2220">
            <v>2015</v>
          </cell>
          <cell r="G2220" t="str">
            <v>Kenya</v>
          </cell>
          <cell r="X2220" t="str">
            <v>Healthcare &amp; Pharma</v>
          </cell>
        </row>
        <row r="2221">
          <cell r="A2221" t="str">
            <v>OB Analytics</v>
          </cell>
          <cell r="B2221" t="str">
            <v>OB Analytics, focuses on web analytics, lead generation, conversion optimization through data driven digital strategies.</v>
          </cell>
          <cell r="C2221" t="str">
            <v>Active</v>
          </cell>
          <cell r="D2221">
            <v>2015</v>
          </cell>
          <cell r="G2221" t="str">
            <v>Kenya</v>
          </cell>
          <cell r="X2221" t="str">
            <v>Commercial &amp; Professional Services</v>
          </cell>
        </row>
        <row r="2222">
          <cell r="A2222" t="str">
            <v>Ojay Greene</v>
          </cell>
          <cell r="B2222" t="str">
            <v>Redifing Standards of Fresh Produce Delivery</v>
          </cell>
          <cell r="C2222" t="str">
            <v>Active</v>
          </cell>
          <cell r="D2222">
            <v>2014</v>
          </cell>
          <cell r="G2222" t="str">
            <v>Kenya</v>
          </cell>
          <cell r="X2222" t="str">
            <v>Agriculture</v>
          </cell>
        </row>
        <row r="2223">
          <cell r="A2223" t="str">
            <v>Ona</v>
          </cell>
          <cell r="B2223" t="str">
            <v>Ona is a social enterprise that builds the data infrastructure to drive change.</v>
          </cell>
          <cell r="C2223" t="str">
            <v>Active</v>
          </cell>
          <cell r="D2223">
            <v>2013</v>
          </cell>
          <cell r="G2223" t="str">
            <v>Kenya</v>
          </cell>
          <cell r="X2223" t="str">
            <v>Commercial &amp; Professional Services</v>
          </cell>
        </row>
        <row r="2224">
          <cell r="A2224" t="str">
            <v>One Degree Solar</v>
          </cell>
          <cell r="B2224" t="str">
            <v>One Degree Solar is a technology company that provides its users with solar power solutions.</v>
          </cell>
          <cell r="C2224" t="str">
            <v>Active</v>
          </cell>
          <cell r="D2224">
            <v>2011</v>
          </cell>
          <cell r="G2224" t="str">
            <v>Kenya</v>
          </cell>
          <cell r="X2224" t="str">
            <v>Energy &amp; Environment Resources</v>
          </cell>
        </row>
        <row r="2225">
          <cell r="A2225" t="str">
            <v>Optace</v>
          </cell>
          <cell r="B2225" t="str">
            <v>Optace is a specializing in wireless technology, routing &amp; switching,network cabling, security and VoIP.</v>
          </cell>
          <cell r="C2225" t="str">
            <v>Active</v>
          </cell>
          <cell r="D2225">
            <v>2013</v>
          </cell>
          <cell r="G2225" t="str">
            <v>Kenya</v>
          </cell>
          <cell r="X2225" t="str">
            <v>Telecommunication</v>
          </cell>
        </row>
        <row r="2226">
          <cell r="A2226" t="str">
            <v>Peleza International</v>
          </cell>
          <cell r="B2226" t="str">
            <v>Employee Background Screening, Background Checks</v>
          </cell>
          <cell r="C2226" t="str">
            <v>Active</v>
          </cell>
          <cell r="D2226">
            <v>2013</v>
          </cell>
          <cell r="G2226" t="str">
            <v>Kenya</v>
          </cell>
          <cell r="X2226" t="str">
            <v>Commercial &amp; Professional Services</v>
          </cell>
        </row>
        <row r="2227">
          <cell r="A2227" t="str">
            <v>Pentagy Limited</v>
          </cell>
          <cell r="B2227" t="str">
            <v>Software Design and Digital Media Services</v>
          </cell>
          <cell r="C2227" t="str">
            <v>Active</v>
          </cell>
          <cell r="D2227">
            <v>2012</v>
          </cell>
          <cell r="G2227" t="str">
            <v>Kenya</v>
          </cell>
          <cell r="X2227" t="str">
            <v>Telecommunication</v>
          </cell>
        </row>
        <row r="2228">
          <cell r="A2228" t="str">
            <v>pesabazaar.com</v>
          </cell>
          <cell r="B2228" t="str">
            <v>Pesabazaar is Kenya‚Äôs prominent online general insurance aggregator.</v>
          </cell>
          <cell r="C2228" t="str">
            <v>Active</v>
          </cell>
          <cell r="D2228">
            <v>2014</v>
          </cell>
          <cell r="G2228" t="str">
            <v>Kenya</v>
          </cell>
          <cell r="X2228" t="str">
            <v>Commercial &amp; Professional Services</v>
          </cell>
        </row>
        <row r="2229">
          <cell r="A2229" t="str">
            <v>Plexus Energy Limited</v>
          </cell>
          <cell r="B2229" t="str">
            <v>Plexus Energy Limited is a Kenyan clean technology startup that offers energy solutions.</v>
          </cell>
          <cell r="C2229" t="str">
            <v>Active</v>
          </cell>
          <cell r="D2229">
            <v>2010</v>
          </cell>
          <cell r="G2229" t="str">
            <v>Kenya</v>
          </cell>
          <cell r="X2229" t="str">
            <v>Energy &amp; Environment Resources</v>
          </cell>
        </row>
        <row r="2230">
          <cell r="A2230" t="str">
            <v>Quest Website Developers Ltd</v>
          </cell>
          <cell r="B2230" t="str">
            <v>Quest Website Developers Ltd is a website and software development company offering custom made web applications.</v>
          </cell>
          <cell r="C2230" t="str">
            <v>Active</v>
          </cell>
          <cell r="D2230">
            <v>2013</v>
          </cell>
          <cell r="G2230" t="str">
            <v>Kenya</v>
          </cell>
          <cell r="X2230" t="str">
            <v>Telecommunication</v>
          </cell>
        </row>
        <row r="2231">
          <cell r="A2231" t="str">
            <v>Rupu.co.ke</v>
          </cell>
          <cell r="B2231" t="str">
            <v>Rupu Kenya is a daily deals and discounts website that started operations in December, 2010 and is based in Nairobi, Kenya.</v>
          </cell>
          <cell r="C2231" t="str">
            <v>Active</v>
          </cell>
          <cell r="D2231">
            <v>2010</v>
          </cell>
          <cell r="G2231" t="str">
            <v>Kenya</v>
          </cell>
          <cell r="X2231" t="str">
            <v>E-Commerce &amp; Retail</v>
          </cell>
        </row>
        <row r="2232">
          <cell r="A2232" t="str">
            <v>Ryanada Limited</v>
          </cell>
          <cell r="B2232" t="str">
            <v>Big Data Company on Mission to Empower People via Technology. Ryanada leverages on Cloud Computing, IoT and AI Technologies to empower SMEs.</v>
          </cell>
          <cell r="C2232" t="str">
            <v>Active</v>
          </cell>
          <cell r="D2232">
            <v>2011</v>
          </cell>
          <cell r="G2232" t="str">
            <v>Kenya</v>
          </cell>
          <cell r="X2232" t="str">
            <v>Commercial &amp; Professional Services</v>
          </cell>
        </row>
        <row r="2233">
          <cell r="A2233" t="str">
            <v>Simba Digital Marketing</v>
          </cell>
          <cell r="B2233" t="str">
            <v>Simba Digital Marketing run Simba Car Supermarket. Experts in digital marketing through all online channels like Google, Bing &amp; Facebook</v>
          </cell>
          <cell r="C2233" t="str">
            <v>Active</v>
          </cell>
          <cell r="D2233">
            <v>2014</v>
          </cell>
          <cell r="G2233" t="str">
            <v>Kenya</v>
          </cell>
          <cell r="X2233" t="str">
            <v>Telecommunication</v>
          </cell>
        </row>
        <row r="2234">
          <cell r="A2234" t="str">
            <v>Simplifi Networks</v>
          </cell>
          <cell r="B2234" t="str">
            <v>Simplifi Networks is a rapidly expanding importer and distributor of enterprise and broadband Wi-Fi products in the east african region.</v>
          </cell>
          <cell r="C2234" t="str">
            <v>Active</v>
          </cell>
          <cell r="D2234">
            <v>2014</v>
          </cell>
          <cell r="G2234" t="str">
            <v>Kenya</v>
          </cell>
          <cell r="X2234" t="str">
            <v>Telecommunication</v>
          </cell>
        </row>
        <row r="2235">
          <cell r="A2235" t="str">
            <v>Sinapis Group</v>
          </cell>
          <cell r="B2235" t="str">
            <v>Startup Accelerator Organization that empowers entrepreneurs.</v>
          </cell>
          <cell r="C2235" t="str">
            <v>Active</v>
          </cell>
          <cell r="D2235">
            <v>2010</v>
          </cell>
          <cell r="G2235" t="str">
            <v>Kenya</v>
          </cell>
          <cell r="X2235" t="str">
            <v>Commercial &amp; Professional Services</v>
          </cell>
        </row>
        <row r="2236">
          <cell r="A2236" t="str">
            <v>SUPERFLUID LABS</v>
          </cell>
          <cell r="B2236" t="str">
            <v>Superfluid Labs delivers Africa's Consumer Credit Risk Analytics platform using AI technologies and alternative data sets</v>
          </cell>
          <cell r="C2236" t="str">
            <v>Active</v>
          </cell>
          <cell r="D2236">
            <v>2015</v>
          </cell>
          <cell r="G2236" t="str">
            <v>Kenya</v>
          </cell>
          <cell r="X2236" t="str">
            <v>Telecommunication</v>
          </cell>
        </row>
        <row r="2237">
          <cell r="A2237" t="str">
            <v>Surf Kenya</v>
          </cell>
          <cell r="B2237" t="str">
            <v>Surf Kenya provides Wi-Fi hotspots in 1000 locations across Kenya.</v>
          </cell>
          <cell r="C2237" t="str">
            <v>Active</v>
          </cell>
          <cell r="D2237">
            <v>2015</v>
          </cell>
          <cell r="G2237" t="str">
            <v>Kenya</v>
          </cell>
          <cell r="X2237" t="str">
            <v>Telecommunication</v>
          </cell>
        </row>
        <row r="2238">
          <cell r="A2238" t="str">
            <v>TechArena</v>
          </cell>
          <cell r="B2238" t="str">
            <v>Techarena is a technology news and reviews website in Kenya whose main aim is to report on the latest happenings in the technology sector</v>
          </cell>
          <cell r="C2238" t="str">
            <v>Active</v>
          </cell>
          <cell r="D2238">
            <v>2013</v>
          </cell>
          <cell r="G2238" t="str">
            <v>Kenya</v>
          </cell>
          <cell r="X2238" t="str">
            <v>Media and Entertainment</v>
          </cell>
        </row>
        <row r="2239">
          <cell r="A2239" t="str">
            <v>TechExquisite</v>
          </cell>
          <cell r="B2239" t="str">
            <v>TechExquisite is a technology news aggregator and curation website that covers all things tech from the top tech blogs and websites.</v>
          </cell>
          <cell r="C2239" t="str">
            <v>Active</v>
          </cell>
          <cell r="D2239">
            <v>2014</v>
          </cell>
          <cell r="G2239" t="str">
            <v>Kenya</v>
          </cell>
          <cell r="X2239" t="str">
            <v>Media and Entertainment</v>
          </cell>
        </row>
        <row r="2240">
          <cell r="A2240" t="str">
            <v>Techhapa</v>
          </cell>
          <cell r="B2240" t="str">
            <v>Techhapa is a web tech magazine on the latest news and reviews of gadgets and consumer electronics, internet marketing, and SEO methods.</v>
          </cell>
          <cell r="C2240" t="str">
            <v>Active</v>
          </cell>
          <cell r="D2240">
            <v>2012</v>
          </cell>
          <cell r="G2240" t="str">
            <v>Kenya</v>
          </cell>
          <cell r="X2240" t="str">
            <v>Media and Entertainment</v>
          </cell>
        </row>
        <row r="2241">
          <cell r="A2241" t="str">
            <v>The Able Wireless Company</v>
          </cell>
          <cell r="B2241" t="str">
            <v>The Able Wireless Company is an on-demand Wireless Streaming Service Provider that provides caching equipment.</v>
          </cell>
          <cell r="C2241" t="str">
            <v>Active</v>
          </cell>
          <cell r="D2241">
            <v>2012</v>
          </cell>
          <cell r="G2241" t="str">
            <v>Kenya</v>
          </cell>
          <cell r="X2241" t="str">
            <v>Telecommunication</v>
          </cell>
        </row>
        <row r="2242">
          <cell r="A2242" t="str">
            <v>The African Management Initiative (AMI)</v>
          </cell>
          <cell r="B2242" t="str">
            <v>AMI has a new look, a new platform and a new FREE online course for African managers and entrepreneurs.</v>
          </cell>
          <cell r="C2242" t="str">
            <v>Active</v>
          </cell>
          <cell r="D2242">
            <v>2011</v>
          </cell>
          <cell r="G2242" t="str">
            <v>Kenya</v>
          </cell>
          <cell r="X2242" t="str">
            <v>Education</v>
          </cell>
        </row>
        <row r="2243">
          <cell r="A2243" t="str">
            <v>The Orion ImageCapital Communication Ltd</v>
          </cell>
          <cell r="B2243" t="str">
            <v>An Internet conglomerate creating a connected audience globally through Artificial Intelligence and Information Distribution.</v>
          </cell>
          <cell r="C2243" t="str">
            <v>Active</v>
          </cell>
          <cell r="D2243">
            <v>2015</v>
          </cell>
          <cell r="G2243" t="str">
            <v>Kenya</v>
          </cell>
          <cell r="X2243" t="str">
            <v>Media and Entertainment</v>
          </cell>
        </row>
        <row r="2244">
          <cell r="A2244" t="str">
            <v>Totohealth</v>
          </cell>
          <cell r="B2244" t="str">
            <v>Detecting development abnormalities and improving access to healthcare information for the remote and vulnerable populations</v>
          </cell>
          <cell r="C2244" t="str">
            <v>Active</v>
          </cell>
          <cell r="D2244">
            <v>2014</v>
          </cell>
          <cell r="G2244" t="str">
            <v>Kenya</v>
          </cell>
          <cell r="X2244" t="str">
            <v>Healthcare &amp; Pharma</v>
          </cell>
        </row>
        <row r="2245">
          <cell r="A2245" t="str">
            <v>Tusqee Systems</v>
          </cell>
          <cell r="B2245" t="str">
            <v>Tusqee Systems is an application provider with a focus on school information.</v>
          </cell>
          <cell r="C2245" t="str">
            <v>Active</v>
          </cell>
          <cell r="D2245">
            <v>2011</v>
          </cell>
          <cell r="G2245" t="str">
            <v>Kenya</v>
          </cell>
          <cell r="X2245" t="str">
            <v>Education</v>
          </cell>
        </row>
        <row r="2246">
          <cell r="A2246" t="str">
            <v>Uhasibu</v>
          </cell>
          <cell r="B2246" t="str">
            <v>To offer the strongest value-add of any accounting package in East Africa.</v>
          </cell>
          <cell r="C2246" t="str">
            <v>Active</v>
          </cell>
          <cell r="D2246">
            <v>2010</v>
          </cell>
          <cell r="G2246" t="str">
            <v>Kenya</v>
          </cell>
          <cell r="X2246" t="str">
            <v>Financial services</v>
          </cell>
        </row>
        <row r="2247">
          <cell r="A2247" t="str">
            <v>Uhired.Me</v>
          </cell>
          <cell r="B2247" t="str">
            <v>Redefining Recruitment. Make it social, easy and fun.</v>
          </cell>
          <cell r="C2247" t="str">
            <v>Active</v>
          </cell>
          <cell r="D2247">
            <v>2010</v>
          </cell>
          <cell r="G2247" t="str">
            <v>Kenya</v>
          </cell>
          <cell r="X2247" t="str">
            <v>Commercial &amp; Professional Services</v>
          </cell>
        </row>
        <row r="2248">
          <cell r="A2248" t="str">
            <v>VoiceMemo</v>
          </cell>
          <cell r="B2248" t="str">
            <v>VoiceMemo's mission is to make African business communication great</v>
          </cell>
          <cell r="C2248" t="str">
            <v>Active</v>
          </cell>
          <cell r="D2248">
            <v>2015</v>
          </cell>
          <cell r="G2248" t="str">
            <v>Kenya</v>
          </cell>
          <cell r="X2248" t="str">
            <v>Telecommunication</v>
          </cell>
        </row>
        <row r="2249">
          <cell r="A2249" t="str">
            <v>Wanda Organic Ltd</v>
          </cell>
          <cell r="B2249" t="str">
            <v>We provide the latest in bio-technological solutions to the medium-small scale farmers</v>
          </cell>
          <cell r="C2249" t="str">
            <v>Active</v>
          </cell>
          <cell r="D2249">
            <v>2011</v>
          </cell>
          <cell r="G2249" t="str">
            <v>Kenya</v>
          </cell>
          <cell r="X2249" t="str">
            <v>Agriculture</v>
          </cell>
        </row>
        <row r="2250">
          <cell r="A2250" t="str">
            <v>Websites for Restaurants</v>
          </cell>
          <cell r="B2250" t="str">
            <v>Websites for Restaurants is a restaurant website design, content manager, and website hosting.</v>
          </cell>
          <cell r="C2250" t="str">
            <v>Active</v>
          </cell>
          <cell r="D2250">
            <v>2010</v>
          </cell>
          <cell r="G2250" t="str">
            <v>Kenya</v>
          </cell>
          <cell r="X2250" t="str">
            <v>E-Commerce &amp; Retail</v>
          </cell>
        </row>
        <row r="2251">
          <cell r="A2251" t="str">
            <v>Wild Peak Adventures</v>
          </cell>
          <cell r="B2251" t="str">
            <v>Providing Kenya safari that are geared to leisure and adventure travelers is Wild Peak Adventures</v>
          </cell>
          <cell r="C2251" t="str">
            <v>Active</v>
          </cell>
          <cell r="D2251">
            <v>2012</v>
          </cell>
          <cell r="G2251" t="str">
            <v>Kenya</v>
          </cell>
          <cell r="X2251" t="str">
            <v>Travel and Leisure</v>
          </cell>
        </row>
        <row r="2252">
          <cell r="A2252" t="str">
            <v>WindGen Power Products</v>
          </cell>
          <cell r="B2252" t="str">
            <v>WindGen Power develops and manufactures small wind turbines for the East African off-grid energy market.</v>
          </cell>
          <cell r="C2252" t="str">
            <v>Active</v>
          </cell>
          <cell r="D2252">
            <v>2010</v>
          </cell>
          <cell r="G2252" t="str">
            <v>Kenya</v>
          </cell>
          <cell r="X2252" t="str">
            <v>Energy &amp; Environment Resources</v>
          </cell>
        </row>
        <row r="2253">
          <cell r="A2253" t="str">
            <v>Yum Kenya</v>
          </cell>
          <cell r="B2253" t="str">
            <v>Yum Kenya is an online food ordering service based in Kenya.</v>
          </cell>
          <cell r="C2253" t="str">
            <v>Active</v>
          </cell>
          <cell r="D2253">
            <v>2012</v>
          </cell>
          <cell r="G2253" t="str">
            <v>Kenya</v>
          </cell>
          <cell r="X2253" t="str">
            <v>E-Commerce &amp; Retail</v>
          </cell>
        </row>
        <row r="2254">
          <cell r="A2254" t="str">
            <v>Zawatu</v>
          </cell>
          <cell r="B2254" t="str">
            <v>Zawatu is a collection of online discovery platforms that offer an online point for entrepreneurs to list their businesses.</v>
          </cell>
          <cell r="C2254" t="str">
            <v>Active</v>
          </cell>
          <cell r="D2254">
            <v>2015</v>
          </cell>
          <cell r="G2254" t="str">
            <v>Kenya</v>
          </cell>
          <cell r="X2254" t="str">
            <v>Telecommunication</v>
          </cell>
        </row>
        <row r="2255">
          <cell r="A2255" t="str">
            <v>Zege Technologies</v>
          </cell>
          <cell r="B2255" t="str">
            <v>A software development firm that focuses on building financial solutions for daily living with mobile, web and money interaction.</v>
          </cell>
          <cell r="C2255" t="str">
            <v>Active</v>
          </cell>
          <cell r="D2255">
            <v>2010</v>
          </cell>
          <cell r="G2255" t="str">
            <v>Kenya</v>
          </cell>
          <cell r="X2255" t="str">
            <v>Telecommunication</v>
          </cell>
        </row>
        <row r="2256">
          <cell r="A2256" t="str">
            <v>Bebabeba</v>
          </cell>
          <cell r="B2256" t="str">
            <v>Bebabeba has  created a taxi application service to cater for your traveling needs anywhere anytime.</v>
          </cell>
          <cell r="C2256" t="str">
            <v>Active</v>
          </cell>
          <cell r="D2256">
            <v>2018</v>
          </cell>
          <cell r="G2256" t="str">
            <v>Kenya</v>
          </cell>
          <cell r="X2256" t="str">
            <v>Transport &amp; Logistics</v>
          </cell>
          <cell r="Y2256" t="str">
            <v>Ride-Hailing</v>
          </cell>
        </row>
        <row r="2257">
          <cell r="A2257" t="str">
            <v>Nopia</v>
          </cell>
          <cell r="B2257" t="str">
            <v>Nopia is manufacturing vehicles that are 100% electric cars Kenya</v>
          </cell>
          <cell r="C2257" t="str">
            <v>Active</v>
          </cell>
          <cell r="D2257">
            <v>2017</v>
          </cell>
          <cell r="G2257" t="str">
            <v>Kenya</v>
          </cell>
          <cell r="X2257" t="str">
            <v>Automotive</v>
          </cell>
        </row>
        <row r="2258">
          <cell r="A2258" t="str">
            <v>Safiri Express</v>
          </cell>
          <cell r="B2258" t="str">
            <v>Safiri Express is a reliable, affordable and comfortable pre-booked shuttle service in Nairobi.</v>
          </cell>
          <cell r="C2258" t="str">
            <v>Active</v>
          </cell>
          <cell r="G2258" t="str">
            <v>Kenya</v>
          </cell>
          <cell r="X2258" t="str">
            <v>Transport &amp; Logistics</v>
          </cell>
        </row>
        <row r="2259">
          <cell r="A2259" t="str">
            <v>MaraMoja</v>
          </cell>
          <cell r="B2259" t="str">
            <v>Mara Moja is the world's only socially powered taxi and transport app.</v>
          </cell>
          <cell r="C2259" t="str">
            <v>Active</v>
          </cell>
          <cell r="D2259">
            <v>2013</v>
          </cell>
          <cell r="G2259" t="str">
            <v>Kenya</v>
          </cell>
          <cell r="X2259" t="str">
            <v>Transport &amp; Logistics</v>
          </cell>
        </row>
        <row r="2260">
          <cell r="A2260" t="str">
            <v>MyHire Kenya</v>
          </cell>
          <cell r="B2260" t="str">
            <v>MyHire &amp; Rentals is Kenya's first aggregation service in the car rental business.</v>
          </cell>
          <cell r="C2260" t="str">
            <v>Active</v>
          </cell>
          <cell r="G2260" t="str">
            <v>Kenya</v>
          </cell>
          <cell r="X2260" t="str">
            <v>Transport &amp; Logistics</v>
          </cell>
          <cell r="Y2260" t="str">
            <v>Ride Hire</v>
          </cell>
        </row>
        <row r="2261">
          <cell r="A2261" t="str">
            <v>Savvy Riders</v>
          </cell>
          <cell r="B2261" t="str">
            <v>Savvy Riders provides safe and reliable motorcycle taxi rides.</v>
          </cell>
          <cell r="C2261" t="str">
            <v>Active</v>
          </cell>
          <cell r="D2261">
            <v>2018</v>
          </cell>
          <cell r="G2261" t="str">
            <v>Kenya</v>
          </cell>
          <cell r="X2261" t="str">
            <v>Transport &amp; Logistics</v>
          </cell>
          <cell r="Y2261" t="str">
            <v>Bike-Ride sharing</v>
          </cell>
        </row>
        <row r="2262">
          <cell r="A2262" t="str">
            <v>Icode AI</v>
          </cell>
          <cell r="B2262" t="str">
            <v>Icode AI is a data Science and Machine Learning engineering Residency, developing talent to unlock the continent’s potential.</v>
          </cell>
          <cell r="C2262" t="str">
            <v>Active</v>
          </cell>
          <cell r="D2262">
            <v>2018</v>
          </cell>
          <cell r="G2262" t="str">
            <v>Kenya</v>
          </cell>
          <cell r="X2262" t="str">
            <v>Education</v>
          </cell>
          <cell r="Y2262" t="str">
            <v>Training</v>
          </cell>
        </row>
        <row r="2263">
          <cell r="A2263" t="str">
            <v>Chanjo Plus</v>
          </cell>
          <cell r="B2263" t="str">
            <v>By helping health workers to properly identify children chanjoplus enables children most at risk ;access to lifesaving vaccines and adhere to full immunization schedules</v>
          </cell>
          <cell r="C2263" t="str">
            <v>Active</v>
          </cell>
          <cell r="D2263">
            <v>2015</v>
          </cell>
          <cell r="G2263" t="str">
            <v>Kenya</v>
          </cell>
          <cell r="X2263" t="str">
            <v>Healthcare &amp; Pharma</v>
          </cell>
          <cell r="Y2263" t="str">
            <v>Records Management</v>
          </cell>
        </row>
        <row r="2264">
          <cell r="A2264" t="str">
            <v>Erada Technology Alliance</v>
          </cell>
          <cell r="B2264" t="str">
            <v>ERADA is a healthtech shartup developing SMAART - Saliva-based Malaria Asymptomatic &amp; Asexual Rapid Test.</v>
          </cell>
          <cell r="C2264" t="str">
            <v>Active</v>
          </cell>
          <cell r="D2264">
            <v>2018</v>
          </cell>
          <cell r="G2264" t="str">
            <v>Mauritius</v>
          </cell>
          <cell r="X2264" t="str">
            <v>Healthcare &amp; Pharma</v>
          </cell>
          <cell r="Y2264" t="str">
            <v>Diagnosis</v>
          </cell>
        </row>
        <row r="2265">
          <cell r="A2265" t="str">
            <v>mDoc</v>
          </cell>
          <cell r="B2265" t="str">
            <v>mDoc provides Africans suffering from chronic diseases with a virtual eco-system where all of their healthcare data is located.</v>
          </cell>
          <cell r="C2265" t="str">
            <v>Active</v>
          </cell>
          <cell r="D2265">
            <v>2012</v>
          </cell>
          <cell r="G2265" t="str">
            <v>Nigeria</v>
          </cell>
          <cell r="X2265" t="str">
            <v>Healthcare &amp; Pharma</v>
          </cell>
          <cell r="Y2265" t="str">
            <v>mHealth, Wellness</v>
          </cell>
        </row>
        <row r="2266">
          <cell r="A2266" t="str">
            <v>MorsunMed</v>
          </cell>
          <cell r="B2266" t="str">
            <v>Provides quality, affordable and accessible health care to Nigeria and Africa as a whole</v>
          </cell>
          <cell r="C2266" t="str">
            <v>Active</v>
          </cell>
          <cell r="G2266" t="str">
            <v>China</v>
          </cell>
          <cell r="X2266" t="str">
            <v>Healthcare &amp; Pharma</v>
          </cell>
          <cell r="Y2266" t="str">
            <v>Health services</v>
          </cell>
        </row>
        <row r="2267">
          <cell r="A2267" t="str">
            <v>Vistafront</v>
          </cell>
          <cell r="B2267" t="str">
            <v>We are a tech platform for co-funding real estate projects, providing you with opportunities to make profit and fund social impact projects</v>
          </cell>
          <cell r="C2267" t="str">
            <v>Active</v>
          </cell>
          <cell r="D2267">
            <v>2019</v>
          </cell>
          <cell r="G2267" t="str">
            <v>Nigeria</v>
          </cell>
          <cell r="X2267" t="str">
            <v>Financial Services</v>
          </cell>
          <cell r="Y2267" t="str">
            <v>Real Estate, Crowdfunding</v>
          </cell>
        </row>
        <row r="2268">
          <cell r="A2268" t="str">
            <v>Zuri</v>
          </cell>
          <cell r="B2268" t="str">
            <v>Zuri is a platform that helps beauty professionals manage their customers and provides an easy way for people to find and book beauty services</v>
          </cell>
          <cell r="C2268" t="str">
            <v>Active</v>
          </cell>
          <cell r="D2268">
            <v>2019</v>
          </cell>
          <cell r="G2268" t="str">
            <v>Nigeria</v>
          </cell>
          <cell r="X2268" t="str">
            <v>Commercial &amp; Professional Services</v>
          </cell>
          <cell r="Y2268" t="str">
            <v>Beauty</v>
          </cell>
        </row>
        <row r="2269">
          <cell r="A2269" t="str">
            <v>CoVibes</v>
          </cell>
          <cell r="B2269" t="str">
            <v>CoVibes is a platform that pairs verified studios and producers, allowing them to list their profiles and manage bookings while enabling artists to find and collaborate with them and each other</v>
          </cell>
          <cell r="C2269" t="str">
            <v>Active</v>
          </cell>
          <cell r="D2269">
            <v>2019</v>
          </cell>
          <cell r="G2269" t="str">
            <v>Nigeria</v>
          </cell>
          <cell r="X2269" t="str">
            <v>Information Technology</v>
          </cell>
          <cell r="Y2269" t="str">
            <v>Media, E-Booking</v>
          </cell>
        </row>
        <row r="2270">
          <cell r="A2270" t="str">
            <v>Babban Gona</v>
          </cell>
          <cell r="B2270" t="str">
            <v>It delivers low-cost agriculture inputs, financial services and training to a franchise network of smallholder maize and rice farmers.</v>
          </cell>
          <cell r="C2270" t="str">
            <v>Active</v>
          </cell>
          <cell r="D2270">
            <v>2012</v>
          </cell>
          <cell r="G2270" t="str">
            <v>Nigeria</v>
          </cell>
          <cell r="X2270" t="str">
            <v>Agriculture</v>
          </cell>
        </row>
        <row r="2271">
          <cell r="A2271" t="str">
            <v>BuyPower</v>
          </cell>
          <cell r="B2271" t="str">
            <v>BuyPower is a utility payment platform in Nigeria.</v>
          </cell>
          <cell r="C2271" t="str">
            <v>Active</v>
          </cell>
          <cell r="D2271">
            <v>2016</v>
          </cell>
          <cell r="G2271" t="str">
            <v>Nigeria</v>
          </cell>
          <cell r="X2271" t="str">
            <v>Energy &amp; Environment Resources</v>
          </cell>
        </row>
        <row r="2272">
          <cell r="A2272" t="str">
            <v>TopCheck</v>
          </cell>
          <cell r="B2272" t="str">
            <v>TopCheck.com.ng is a platform for comparing financial services like insurance, credit cards or loans.</v>
          </cell>
          <cell r="C2272" t="str">
            <v>Active</v>
          </cell>
          <cell r="D2272">
            <v>2015</v>
          </cell>
          <cell r="G2272" t="str">
            <v>Nigeria</v>
          </cell>
          <cell r="X2272" t="str">
            <v>Financial Services</v>
          </cell>
        </row>
        <row r="2273">
          <cell r="A2273" t="str">
            <v>Tomato Jos</v>
          </cell>
          <cell r="B2273" t="str">
            <v>Empowering farmers through education, logistics and access to markets.</v>
          </cell>
          <cell r="C2273" t="str">
            <v>Active</v>
          </cell>
          <cell r="D2273">
            <v>2014</v>
          </cell>
          <cell r="G2273" t="str">
            <v>Nigeria</v>
          </cell>
          <cell r="X2273" t="str">
            <v>Agriculture</v>
          </cell>
        </row>
        <row r="2274">
          <cell r="A2274" t="str">
            <v>i.Sec</v>
          </cell>
          <cell r="B2274" t="str">
            <v>i.Sec is a financial security service that allows its users to approve and decline unwanted and malicious transactions.</v>
          </cell>
          <cell r="C2274" t="str">
            <v>Active</v>
          </cell>
          <cell r="D2274">
            <v>2013</v>
          </cell>
          <cell r="G2274" t="str">
            <v>Nigeria</v>
          </cell>
          <cell r="X2274" t="str">
            <v>Financial Services</v>
          </cell>
        </row>
        <row r="2275">
          <cell r="A2275" t="str">
            <v>LEKOIL LTD</v>
          </cell>
          <cell r="B2275" t="str">
            <v>Lekoil is an Africa focused oil and gas exploration and production company with interests in Nigeria and Namibia.</v>
          </cell>
          <cell r="C2275" t="str">
            <v>Active</v>
          </cell>
          <cell r="D2275">
            <v>2010</v>
          </cell>
          <cell r="G2275" t="str">
            <v>Nigeria</v>
          </cell>
          <cell r="X2275" t="str">
            <v>Energy &amp; Environment Resources</v>
          </cell>
        </row>
        <row r="2276">
          <cell r="A2276" t="str">
            <v>KiaKia</v>
          </cell>
          <cell r="B2276" t="str">
            <v>AI powered online market place for credit scoring and matching lenders with borrowers in real-time</v>
          </cell>
          <cell r="C2276" t="str">
            <v>Active</v>
          </cell>
          <cell r="D2276">
            <v>2015</v>
          </cell>
          <cell r="G2276" t="str">
            <v>Nigeria</v>
          </cell>
          <cell r="X2276" t="str">
            <v>Financial Services</v>
          </cell>
        </row>
        <row r="2277">
          <cell r="A2277" t="str">
            <v>vasiti.com</v>
          </cell>
          <cell r="B2277" t="str">
            <v>Vasiti.com is a student oriented classifieds website for buyers and sellers within the same institution to make transactions.</v>
          </cell>
          <cell r="C2277" t="str">
            <v>Active</v>
          </cell>
          <cell r="D2277">
            <v>2015</v>
          </cell>
          <cell r="G2277" t="str">
            <v>Nigeria</v>
          </cell>
          <cell r="X2277" t="str">
            <v>E-Commerce &amp; Retail</v>
          </cell>
        </row>
        <row r="2278">
          <cell r="A2278" t="str">
            <v>Zowasel.com</v>
          </cell>
          <cell r="B2278" t="str">
            <v>Zowasel is an AgTech marketplace connecting smallholder farmers with buyers through mobile and local outlets</v>
          </cell>
          <cell r="C2278" t="str">
            <v>Active</v>
          </cell>
          <cell r="D2278">
            <v>2016</v>
          </cell>
          <cell r="G2278" t="str">
            <v>Nigeria</v>
          </cell>
          <cell r="X2278" t="str">
            <v>Agriculture</v>
          </cell>
        </row>
        <row r="2279">
          <cell r="A2279" t="str">
            <v>Safi.NG</v>
          </cell>
          <cell r="B2279" t="str">
            <v>Safi.NG is an on-demand platform for premium dry-cleaning and laundry.</v>
          </cell>
          <cell r="C2279" t="str">
            <v>Active</v>
          </cell>
          <cell r="D2279">
            <v>2016</v>
          </cell>
          <cell r="G2279" t="str">
            <v>Nigeria</v>
          </cell>
          <cell r="X2279" t="str">
            <v>E-Commerce &amp; Retail</v>
          </cell>
        </row>
        <row r="2280">
          <cell r="A2280" t="str">
            <v>Maocular Tech Expert</v>
          </cell>
          <cell r="B2280" t="str">
            <v>We build professional Website Design at an affordable price We engage in Digital Marketing, Mobile App, Training/Workshop, School Portal.</v>
          </cell>
          <cell r="C2280" t="str">
            <v>Active</v>
          </cell>
          <cell r="D2280">
            <v>2010</v>
          </cell>
          <cell r="G2280" t="str">
            <v>Nigeria</v>
          </cell>
          <cell r="X2280" t="str">
            <v>Telecommunication</v>
          </cell>
        </row>
        <row r="2281">
          <cell r="A2281" t="str">
            <v>Logiciel</v>
          </cell>
          <cell r="B2281" t="str">
            <v>Logiciel Ghana Limited has the largest microfinance banking software platform in Ghana.</v>
          </cell>
          <cell r="C2281" t="str">
            <v>Active</v>
          </cell>
          <cell r="D2281">
            <v>2010</v>
          </cell>
          <cell r="G2281" t="str">
            <v>Nigeria</v>
          </cell>
          <cell r="X2281" t="str">
            <v>Financial Services</v>
          </cell>
        </row>
        <row r="2282">
          <cell r="A2282" t="str">
            <v>ChopUP</v>
          </cell>
          <cell r="B2282" t="str">
            <v>ChopUP is focused on the development of mobile games that are designed with African themes.</v>
          </cell>
          <cell r="C2282" t="str">
            <v>Active</v>
          </cell>
          <cell r="D2282">
            <v>2013</v>
          </cell>
          <cell r="G2282" t="str">
            <v>Nigeria</v>
          </cell>
          <cell r="X2282" t="str">
            <v>Media and Entertainment</v>
          </cell>
        </row>
        <row r="2283">
          <cell r="A2283" t="str">
            <v>Grit Systems</v>
          </cell>
          <cell r="B2283" t="str">
            <v>Grit Systems builds internet-enabled smart metres that will disrupt the way we monitor power consumption.</v>
          </cell>
          <cell r="C2283" t="str">
            <v>Active</v>
          </cell>
          <cell r="D2283">
            <v>2015</v>
          </cell>
          <cell r="G2283" t="str">
            <v>Nigeria</v>
          </cell>
          <cell r="X2283" t="str">
            <v>Energy &amp; Environment Resources</v>
          </cell>
        </row>
        <row r="2284">
          <cell r="A2284" t="str">
            <v>Dochase Ads</v>
          </cell>
          <cell r="B2284" t="str">
            <v>Dochase connects global businesses to customers in Africa using data analytics, robust targeting on mobile, web , social media and telecom.</v>
          </cell>
          <cell r="C2284" t="str">
            <v>Active</v>
          </cell>
          <cell r="D2284">
            <v>2015</v>
          </cell>
          <cell r="G2284" t="str">
            <v>Nigeria</v>
          </cell>
          <cell r="X2284" t="str">
            <v>Telecommunication</v>
          </cell>
        </row>
        <row r="2285">
          <cell r="A2285" t="str">
            <v>FoodStantly</v>
          </cell>
          <cell r="B2285" t="str">
            <v>Foodstantly is a mobile-web marketplace for food and Farm Produce.</v>
          </cell>
          <cell r="C2285" t="str">
            <v>Active</v>
          </cell>
          <cell r="D2285">
            <v>2014</v>
          </cell>
          <cell r="G2285" t="str">
            <v>Nigeria</v>
          </cell>
          <cell r="X2285" t="str">
            <v>E-Commerce &amp; Retail</v>
          </cell>
        </row>
        <row r="2286">
          <cell r="A2286" t="str">
            <v>Ideacentric</v>
          </cell>
          <cell r="B2286" t="str">
            <v>Ideacentric is focused on developing integrated mobile and web solutions to increase productivity.</v>
          </cell>
          <cell r="C2286" t="str">
            <v>Active</v>
          </cell>
          <cell r="D2286">
            <v>2010</v>
          </cell>
          <cell r="G2286" t="str">
            <v>Nigeria</v>
          </cell>
          <cell r="X2286" t="str">
            <v>E-Commerce &amp; Retail</v>
          </cell>
        </row>
        <row r="2287">
          <cell r="A2287" t="str">
            <v>G Force Global Solutions Ltd</v>
          </cell>
          <cell r="B2287" t="str">
            <v>G Force a revolution for 4 Billion connectivity-deprived masses using broadcast &amp; edge technology it plans to acquire customers @10 Capex</v>
          </cell>
          <cell r="C2287" t="str">
            <v>Active</v>
          </cell>
          <cell r="D2287">
            <v>2012</v>
          </cell>
          <cell r="G2287" t="str">
            <v>Nigeria</v>
          </cell>
          <cell r="X2287" t="str">
            <v>Telecommunication</v>
          </cell>
        </row>
        <row r="2288">
          <cell r="A2288" t="str">
            <v>Zidoff eCommerce</v>
          </cell>
          <cell r="B2288" t="str">
            <v>Zidoff.com, is a Global e-commerce Marketplace for Africa, allowing seamless trades between Africa and Global Merchants.</v>
          </cell>
          <cell r="C2288" t="str">
            <v>Active</v>
          </cell>
          <cell r="D2288">
            <v>2013</v>
          </cell>
          <cell r="G2288" t="str">
            <v>Nigeria</v>
          </cell>
          <cell r="X2288" t="str">
            <v>E-Commerce &amp; Retail</v>
          </cell>
        </row>
        <row r="2289">
          <cell r="A2289" t="str">
            <v>Waploaded</v>
          </cell>
          <cell r="B2289" t="str">
            <v>Waploaded is an entertainment website founded 2011, which has been a very updated source for her visitors to get all latest updates</v>
          </cell>
          <cell r="C2289" t="str">
            <v>Active</v>
          </cell>
          <cell r="D2289">
            <v>2011</v>
          </cell>
          <cell r="G2289" t="str">
            <v>Nigeria</v>
          </cell>
          <cell r="X2289" t="str">
            <v>Media and Entertainment</v>
          </cell>
        </row>
        <row r="2290">
          <cell r="A2290" t="str">
            <v>Edurecords Inc.</v>
          </cell>
          <cell r="B2290" t="str">
            <v>EduRecords redefines learner success by tracking a variety of quantitative outcome metrics that drive academic performances.</v>
          </cell>
          <cell r="C2290" t="str">
            <v>Active</v>
          </cell>
          <cell r="D2290">
            <v>2016</v>
          </cell>
          <cell r="G2290" t="str">
            <v>Nigeria</v>
          </cell>
          <cell r="X2290" t="str">
            <v>Education</v>
          </cell>
        </row>
        <row r="2291">
          <cell r="A2291" t="str">
            <v>LawPadi</v>
          </cell>
          <cell r="B2291" t="str">
            <v>Online legal advice to Nigerians, giving clear and easy to understand answers about the law and how it affects their daily lives</v>
          </cell>
          <cell r="C2291" t="str">
            <v>Active</v>
          </cell>
          <cell r="D2291">
            <v>2015</v>
          </cell>
          <cell r="G2291" t="str">
            <v>Nigeria</v>
          </cell>
          <cell r="X2291" t="str">
            <v>Commercial &amp; Professional Services</v>
          </cell>
        </row>
        <row r="2292">
          <cell r="A2292" t="str">
            <v>car mart nigeria</v>
          </cell>
          <cell r="B2292" t="str">
            <v>Carmartnigeria is Nigeria's no.1 fast-growing automobile marketplace.</v>
          </cell>
          <cell r="C2292" t="str">
            <v>Active</v>
          </cell>
          <cell r="D2292">
            <v>2019</v>
          </cell>
          <cell r="G2292" t="str">
            <v>Nigeria</v>
          </cell>
          <cell r="X2292" t="str">
            <v>E-Commerce &amp; Retail</v>
          </cell>
        </row>
        <row r="2293">
          <cell r="A2293" t="str">
            <v>Jekalo</v>
          </cell>
          <cell r="B2293" t="str">
            <v>Share a ride with trusted &amp; verified people going in your direction. It's convenient, affordable &amp; fun.</v>
          </cell>
          <cell r="C2293" t="str">
            <v>Active</v>
          </cell>
          <cell r="D2293">
            <v>2015</v>
          </cell>
          <cell r="G2293" t="str">
            <v>Nigeria</v>
          </cell>
          <cell r="X2293" t="str">
            <v>Transport and Logistics</v>
          </cell>
        </row>
        <row r="2294">
          <cell r="A2294" t="str">
            <v>LagChat</v>
          </cell>
          <cell r="B2294" t="str">
            <v>LagChat keeps users in touch with friends, family &amp; loved ones any where in the world via FREE chat, text, voice calling &amp; webcam</v>
          </cell>
          <cell r="C2294" t="str">
            <v>Active</v>
          </cell>
          <cell r="D2294">
            <v>2013</v>
          </cell>
          <cell r="G2294" t="str">
            <v>Nigeria</v>
          </cell>
          <cell r="X2294" t="str">
            <v>Communication Services</v>
          </cell>
        </row>
        <row r="2295">
          <cell r="A2295" t="str">
            <v>DavtonLearn</v>
          </cell>
          <cell r="B2295" t="str">
            <v>DavtonLearn is powering affordable E-learning infrastructure for Nigeria &amp; Africa.</v>
          </cell>
          <cell r="C2295" t="str">
            <v>Active</v>
          </cell>
          <cell r="D2295">
            <v>2016</v>
          </cell>
          <cell r="G2295" t="str">
            <v>Nigeria</v>
          </cell>
          <cell r="X2295" t="str">
            <v>Education</v>
          </cell>
        </row>
        <row r="2296">
          <cell r="A2296" t="str">
            <v>Proteach</v>
          </cell>
          <cell r="B2296" t="str">
            <v>proteach offers the best professional home and school tutors services in nigeria.</v>
          </cell>
          <cell r="C2296" t="str">
            <v>Active</v>
          </cell>
          <cell r="D2296">
            <v>2016</v>
          </cell>
          <cell r="G2296" t="str">
            <v>Nigeria</v>
          </cell>
          <cell r="X2296" t="str">
            <v>Education</v>
          </cell>
        </row>
        <row r="2297">
          <cell r="A2297" t="str">
            <v>MallforAfrica</v>
          </cell>
          <cell r="B2297" t="str">
            <v>MallforAfrica is an online mall that enables Africans to find and purchase items from international retailers.</v>
          </cell>
          <cell r="C2297" t="str">
            <v>Active</v>
          </cell>
          <cell r="D2297">
            <v>2012</v>
          </cell>
          <cell r="G2297" t="str">
            <v>Nigeria</v>
          </cell>
          <cell r="X2297" t="str">
            <v>E-Commerce &amp; Retail</v>
          </cell>
        </row>
        <row r="2298">
          <cell r="A2298" t="str">
            <v>Pledge51</v>
          </cell>
          <cell r="B2298" t="str">
            <v>Chopup is a social platform that allows mobile game players to interact based on in-game achievements.</v>
          </cell>
          <cell r="C2298" t="str">
            <v>Active</v>
          </cell>
          <cell r="D2298">
            <v>2012</v>
          </cell>
          <cell r="G2298" t="str">
            <v>Nigeria</v>
          </cell>
          <cell r="X2298" t="str">
            <v>Media and Entertainment</v>
          </cell>
        </row>
        <row r="2299">
          <cell r="A2299" t="str">
            <v>Termii</v>
          </cell>
          <cell r="B2299" t="str">
            <v>Termii helps teams secure repeat customers by sending personalized emails and sms through multiple channels</v>
          </cell>
          <cell r="C2299" t="str">
            <v>Active</v>
          </cell>
          <cell r="D2299">
            <v>2014</v>
          </cell>
          <cell r="G2299" t="str">
            <v>Nigeria</v>
          </cell>
          <cell r="X2299" t="str">
            <v>Telecommunication</v>
          </cell>
        </row>
        <row r="2300">
          <cell r="A2300" t="str">
            <v>MyMusic.com.ng</v>
          </cell>
          <cell r="B2300" t="str">
            <v>Africa's music streaming and download service</v>
          </cell>
          <cell r="C2300" t="str">
            <v>Active</v>
          </cell>
          <cell r="D2300">
            <v>2015</v>
          </cell>
          <cell r="G2300" t="str">
            <v>Nigeria</v>
          </cell>
          <cell r="X2300" t="str">
            <v>Media and Entertainment</v>
          </cell>
        </row>
        <row r="2301">
          <cell r="A2301" t="str">
            <v>soRepairIt.com</v>
          </cell>
          <cell r="B2301" t="str">
            <v>If it's broken, we fix it. Nigeria's premium repair shop with guarantee on our repairs. We repair everything from phones to Furniture.</v>
          </cell>
          <cell r="C2301" t="str">
            <v>Active</v>
          </cell>
          <cell r="D2301">
            <v>2014</v>
          </cell>
          <cell r="G2301" t="str">
            <v>Nigeria</v>
          </cell>
          <cell r="X2301" t="str">
            <v>Transport and Logistics</v>
          </cell>
        </row>
        <row r="2302">
          <cell r="A2302" t="str">
            <v>Sterling Virtual Offices</v>
          </cell>
          <cell r="B2302" t="str">
            <v>Sterling Virtual Offices provides fully serviced business support.</v>
          </cell>
          <cell r="C2302" t="str">
            <v>Active</v>
          </cell>
          <cell r="D2302">
            <v>2012</v>
          </cell>
          <cell r="G2302" t="str">
            <v>Nigeria</v>
          </cell>
          <cell r="X2302" t="str">
            <v>Commercial &amp; Professional Services</v>
          </cell>
        </row>
        <row r="2303">
          <cell r="A2303" t="str">
            <v>GoSolar Africa</v>
          </cell>
          <cell r="B2303" t="str">
            <v>Offering million of African Free energy from the Sun (Solar)</v>
          </cell>
          <cell r="C2303" t="str">
            <v>Active</v>
          </cell>
          <cell r="D2303">
            <v>2010</v>
          </cell>
          <cell r="G2303" t="str">
            <v>Nigeria</v>
          </cell>
          <cell r="X2303" t="str">
            <v>Energy &amp; Environment Resources</v>
          </cell>
        </row>
        <row r="2304">
          <cell r="A2304" t="str">
            <v>Fibre Lifestyle</v>
          </cell>
          <cell r="B2304" t="str">
            <v>We are making living in African cities simple.</v>
          </cell>
          <cell r="C2304" t="str">
            <v>Active</v>
          </cell>
          <cell r="D2304">
            <v>2016</v>
          </cell>
          <cell r="G2304" t="str">
            <v>Nigeria</v>
          </cell>
          <cell r="X2304" t="str">
            <v>Real Estate</v>
          </cell>
        </row>
        <row r="2305">
          <cell r="A2305" t="str">
            <v>Cheki.com.ng</v>
          </cell>
          <cell r="B2305" t="str">
            <v>Cheki.com.ng is an online marketplace where Nigeria's car dealers, importers, and private sellers post their cars for sale.</v>
          </cell>
          <cell r="C2305" t="str">
            <v>Active</v>
          </cell>
          <cell r="D2305">
            <v>2010</v>
          </cell>
          <cell r="G2305" t="str">
            <v>Nigeria</v>
          </cell>
          <cell r="X2305" t="str">
            <v>Transport and Logistics</v>
          </cell>
        </row>
        <row r="2306">
          <cell r="A2306" t="str">
            <v>Ventures Africa</v>
          </cell>
          <cell r="B2306" t="str">
            <v>Ventures Africa is a bimonthly Pan-African business print magazine and a daily online news service.</v>
          </cell>
          <cell r="C2306" t="str">
            <v>Active</v>
          </cell>
          <cell r="D2306">
            <v>2012</v>
          </cell>
          <cell r="G2306" t="str">
            <v>Nigeria</v>
          </cell>
          <cell r="X2306" t="str">
            <v>Media and Entertainment</v>
          </cell>
        </row>
        <row r="2307">
          <cell r="A2307" t="str">
            <v>projaro</v>
          </cell>
          <cell r="B2307" t="str">
            <v>projaro is a start-up that focus on building technology solutions through training, recruiting &amp; empowering world class software engineers.</v>
          </cell>
          <cell r="C2307" t="str">
            <v>Active</v>
          </cell>
          <cell r="D2307">
            <v>2016</v>
          </cell>
          <cell r="G2307" t="str">
            <v>Nigeria</v>
          </cell>
          <cell r="X2307" t="str">
            <v>Telecommunication</v>
          </cell>
        </row>
        <row r="2308">
          <cell r="A2308" t="str">
            <v>Naija News</v>
          </cell>
          <cell r="B2308" t="str">
            <v>Naija News online newspaper focused on delivering verified and undiluted news to Nigerians.</v>
          </cell>
          <cell r="C2308" t="str">
            <v>Active</v>
          </cell>
          <cell r="D2308">
            <v>2016</v>
          </cell>
          <cell r="G2308" t="str">
            <v>Nigeria</v>
          </cell>
          <cell r="X2308" t="str">
            <v>Media and Entertainment</v>
          </cell>
        </row>
        <row r="2309">
          <cell r="A2309" t="str">
            <v>TechCabal</v>
          </cell>
          <cell r="B2309" t="str">
            <v>TechCabal provides unmatched analysis and insight into technology, startups, mobile, internet and innovation on the African continent.</v>
          </cell>
          <cell r="C2309" t="str">
            <v>Active</v>
          </cell>
          <cell r="D2309">
            <v>2013</v>
          </cell>
          <cell r="G2309" t="str">
            <v>Nigeria</v>
          </cell>
          <cell r="X2309" t="str">
            <v>Media and Entertainment</v>
          </cell>
        </row>
        <row r="2310">
          <cell r="A2310" t="str">
            <v>Naij</v>
          </cell>
          <cell r="B2310" t="str">
            <v>Naij.com is a Nigerian news portal of new generation.</v>
          </cell>
          <cell r="C2310" t="str">
            <v>Active</v>
          </cell>
          <cell r="D2310">
            <v>2012</v>
          </cell>
          <cell r="G2310" t="str">
            <v>Nigeria</v>
          </cell>
          <cell r="X2310" t="str">
            <v>Media and Entertainment</v>
          </cell>
        </row>
        <row r="2311">
          <cell r="A2311" t="str">
            <v>AtYourService.NG</v>
          </cell>
          <cell r="B2311" t="str">
            <v>AYS is a free referrals platform where people can easily find verified professionals, artisans and freelancers</v>
          </cell>
          <cell r="C2311" t="str">
            <v>Active</v>
          </cell>
          <cell r="D2311">
            <v>2018</v>
          </cell>
          <cell r="G2311" t="str">
            <v>Nigeria</v>
          </cell>
          <cell r="X2311" t="str">
            <v>Commercial &amp; Professional Services</v>
          </cell>
        </row>
        <row r="2312">
          <cell r="A2312" t="str">
            <v>Vuga Music Associates</v>
          </cell>
          <cell r="B2312" t="str">
            <v>Online Database &amp; DIstribution service</v>
          </cell>
          <cell r="C2312" t="str">
            <v>Active</v>
          </cell>
          <cell r="D2312">
            <v>2013</v>
          </cell>
          <cell r="G2312" t="str">
            <v>Nigeria</v>
          </cell>
          <cell r="X2312" t="str">
            <v>Media and Entertainment</v>
          </cell>
        </row>
        <row r="2313">
          <cell r="A2313" t="str">
            <v>FreeMe Digital Ltd</v>
          </cell>
          <cell r="B2313" t="str">
            <v>Freeme Digital is a 3rd party digital distribution/label services company based in Nigeria.</v>
          </cell>
          <cell r="C2313" t="str">
            <v>Active</v>
          </cell>
          <cell r="D2313">
            <v>2013</v>
          </cell>
          <cell r="G2313" t="str">
            <v>Nigeria</v>
          </cell>
          <cell r="X2313" t="str">
            <v>Media and Entertainment</v>
          </cell>
        </row>
        <row r="2314">
          <cell r="A2314" t="str">
            <v>Techpoint</v>
          </cell>
          <cell r="B2314" t="str">
            <v>Techpoint.africa is a leading media platform dedicated to startups, entrepreneurship, innovation, and technology in Africa.</v>
          </cell>
          <cell r="C2314" t="str">
            <v>Active</v>
          </cell>
          <cell r="D2314">
            <v>2014</v>
          </cell>
          <cell r="G2314" t="str">
            <v>Nigeria</v>
          </cell>
          <cell r="X2314" t="str">
            <v>Media and Entertainment</v>
          </cell>
        </row>
        <row r="2315">
          <cell r="A2315" t="str">
            <v>Maliyo Games</v>
          </cell>
          <cell r="B2315" t="str">
            <v>Maliyo Games creates casual mobile games.</v>
          </cell>
          <cell r="C2315" t="str">
            <v>Active</v>
          </cell>
          <cell r="D2315">
            <v>2012</v>
          </cell>
          <cell r="G2315" t="str">
            <v>Nigeria</v>
          </cell>
          <cell r="X2315" t="str">
            <v>Media and Entertainment</v>
          </cell>
        </row>
        <row r="2316">
          <cell r="A2316" t="str">
            <v>MOP Entertainment</v>
          </cell>
          <cell r="B2316" t="str">
            <v>MOP stands for Masters of Play, which develops several high-tech games for children and combines physical toys with mobile applications.</v>
          </cell>
          <cell r="C2316" t="str">
            <v>Closed</v>
          </cell>
          <cell r="D2316">
            <v>2013</v>
          </cell>
          <cell r="G2316" t="str">
            <v>Nigeria</v>
          </cell>
          <cell r="X2316" t="str">
            <v>Media and Entertainment</v>
          </cell>
        </row>
        <row r="2317">
          <cell r="A2317" t="str">
            <v>HollaNow</v>
          </cell>
          <cell r="B2317" t="str">
            <v>Smart P2P phonebook for smartphone users to easily find &amp; call/whatsapp phone numbers of people &amp; services they need.</v>
          </cell>
          <cell r="C2317" t="str">
            <v>Active</v>
          </cell>
          <cell r="D2317">
            <v>2017</v>
          </cell>
          <cell r="G2317" t="str">
            <v>Nigeria</v>
          </cell>
          <cell r="X2317" t="str">
            <v>Communication Services</v>
          </cell>
        </row>
        <row r="2318">
          <cell r="A2318" t="str">
            <v>Spacebook</v>
          </cell>
          <cell r="B2318" t="str">
            <v>Spacebook is a peer-to-peer marketplace for booking space for events, meetings, and Vacations.</v>
          </cell>
          <cell r="C2318" t="str">
            <v>Active</v>
          </cell>
          <cell r="D2318">
            <v>2016</v>
          </cell>
          <cell r="G2318" t="str">
            <v>Nigeria</v>
          </cell>
          <cell r="X2318" t="str">
            <v>Real Estate</v>
          </cell>
        </row>
        <row r="2319">
          <cell r="A2319" t="str">
            <v>RubiQube</v>
          </cell>
          <cell r="B2319" t="str">
            <v>Rubiqube is an Advertising technology company with focus on Video and other Super Rich Media, with a goal to drive customer engagement.</v>
          </cell>
          <cell r="C2319" t="str">
            <v>Active</v>
          </cell>
          <cell r="D2319">
            <v>2016</v>
          </cell>
          <cell r="G2319" t="str">
            <v>Nigeria</v>
          </cell>
          <cell r="X2319" t="str">
            <v>Telecommunication</v>
          </cell>
        </row>
        <row r="2320">
          <cell r="A2320" t="str">
            <v>Chekkit Technologies Inc.</v>
          </cell>
          <cell r="B2320" t="str">
            <v>SaaS, Data analytics, blockchain, Anti-counterfeiting, tracking</v>
          </cell>
          <cell r="C2320" t="str">
            <v>Active</v>
          </cell>
          <cell r="D2320">
            <v>2017</v>
          </cell>
          <cell r="G2320" t="str">
            <v>Nigeria</v>
          </cell>
          <cell r="X2320" t="str">
            <v>Telecommunication</v>
          </cell>
        </row>
        <row r="2321">
          <cell r="A2321" t="str">
            <v>Big Cabal Media</v>
          </cell>
          <cell r="B2321" t="str">
            <v>Big Cabal Media is a Nigerian digital media company creating super-engaging content that African youth audiences love.</v>
          </cell>
          <cell r="C2321" t="str">
            <v>Active</v>
          </cell>
          <cell r="D2321">
            <v>2014</v>
          </cell>
          <cell r="G2321" t="str">
            <v>Nigeria</v>
          </cell>
          <cell r="X2321" t="str">
            <v>Media and Entertainment</v>
          </cell>
        </row>
        <row r="2322">
          <cell r="A2322" t="str">
            <v>Novadge</v>
          </cell>
          <cell r="B2322" t="str">
            <v>We provide Solutions that help individuals and corporate bodies increase efficiency and cut costs.</v>
          </cell>
          <cell r="C2322" t="str">
            <v>Active</v>
          </cell>
          <cell r="D2322">
            <v>2012</v>
          </cell>
          <cell r="G2322" t="str">
            <v>Nigeria</v>
          </cell>
          <cell r="X2322" t="str">
            <v>Commercial &amp; Professional Services</v>
          </cell>
        </row>
        <row r="2323">
          <cell r="A2323" t="str">
            <v>TARLENT</v>
          </cell>
          <cell r="B2323" t="str">
            <v>On-demand video recruitment and career development platform for employers in Africa and beyond.</v>
          </cell>
          <cell r="C2323" t="str">
            <v>Active</v>
          </cell>
          <cell r="D2323">
            <v>2017</v>
          </cell>
          <cell r="G2323" t="str">
            <v>Nigeria</v>
          </cell>
          <cell r="X2323" t="str">
            <v>Commercial &amp; Professional Services</v>
          </cell>
        </row>
        <row r="2324">
          <cell r="A2324" t="str">
            <v>Dragon Africa</v>
          </cell>
          <cell r="B2324" t="str">
            <v>Dragon Africa is a strategic communications and advisory firm based in Lagos.</v>
          </cell>
          <cell r="C2324" t="str">
            <v>Active</v>
          </cell>
          <cell r="D2324">
            <v>2016</v>
          </cell>
          <cell r="G2324" t="str">
            <v>Nigeria</v>
          </cell>
          <cell r="X2324" t="str">
            <v>Commercial &amp; Professional Services</v>
          </cell>
        </row>
        <row r="2325">
          <cell r="A2325" t="str">
            <v>Vanguard Media Limited</v>
          </cell>
          <cell r="B2325" t="str">
            <v>Vanguard Media Limited is a daily newspaper that covers news, politics, business, energy, sports, entertainment, lifestyle, and more.</v>
          </cell>
          <cell r="C2325" t="str">
            <v>Active</v>
          </cell>
          <cell r="D2325">
            <v>2012</v>
          </cell>
          <cell r="G2325" t="str">
            <v>Nigeria</v>
          </cell>
          <cell r="X2325" t="str">
            <v>Media and Entertainment</v>
          </cell>
        </row>
        <row r="2326">
          <cell r="A2326" t="str">
            <v>eShop.com.ng</v>
          </cell>
          <cell r="B2326" t="str">
            <v>eShop.com.ng is a Nigerian online shopping store that provides electronics, home appliances, mobiles, and personal care products.</v>
          </cell>
          <cell r="C2326" t="str">
            <v>Active</v>
          </cell>
          <cell r="D2326">
            <v>2015</v>
          </cell>
          <cell r="G2326" t="str">
            <v>Nigeria</v>
          </cell>
          <cell r="X2326" t="str">
            <v>E-Commerce &amp; Retail</v>
          </cell>
        </row>
        <row r="2327">
          <cell r="A2327" t="str">
            <v>Zippy Logistics</v>
          </cell>
          <cell r="B2327" t="str">
            <v>Zippy is a Nigerian logistics company determined to bring the growth strategies of SMEs to reality, via the motto ‚ÄúPartnerships that work‚Äù.</v>
          </cell>
          <cell r="C2327" t="str">
            <v>Active</v>
          </cell>
          <cell r="D2327">
            <v>2013</v>
          </cell>
          <cell r="G2327" t="str">
            <v>Nigeria</v>
          </cell>
          <cell r="X2327" t="str">
            <v>Transport and Logistics</v>
          </cell>
        </row>
        <row r="2328">
          <cell r="A2328" t="str">
            <v>SME9ja</v>
          </cell>
          <cell r="B2328" t="str">
            <v>SMEs in Nigeria can get a subscription to SME9ja for just ‚Ç¶2000 a month.</v>
          </cell>
          <cell r="C2328" t="str">
            <v>Active</v>
          </cell>
          <cell r="D2328">
            <v>2017</v>
          </cell>
          <cell r="G2328" t="str">
            <v>Nigeria</v>
          </cell>
          <cell r="X2328" t="str">
            <v>E-Commerce &amp; Retail</v>
          </cell>
        </row>
        <row r="2329">
          <cell r="A2329" t="str">
            <v>PushCV</v>
          </cell>
          <cell r="B2329" t="str">
            <v>PushCV is a service that provides unlimited access to pre-screened and fully tested candidates for top organisations.</v>
          </cell>
          <cell r="C2329" t="str">
            <v>Active</v>
          </cell>
          <cell r="D2329">
            <v>2014</v>
          </cell>
          <cell r="G2329" t="str">
            <v>Nigeria</v>
          </cell>
          <cell r="X2329" t="str">
            <v>Commercial &amp; Professional Services</v>
          </cell>
        </row>
        <row r="2330">
          <cell r="A2330" t="str">
            <v>Premium Times Nigeria</v>
          </cell>
          <cell r="B2330" t="str">
            <v>A multimedia Nigerian publication based in Abuja delivering fresh, factual &amp; reliable news.</v>
          </cell>
          <cell r="C2330" t="str">
            <v>Active</v>
          </cell>
          <cell r="D2330">
            <v>2011</v>
          </cell>
          <cell r="G2330" t="str">
            <v>Nigeria</v>
          </cell>
          <cell r="X2330" t="str">
            <v>Media and Entertainment</v>
          </cell>
        </row>
        <row r="2331">
          <cell r="A2331" t="str">
            <v>NATTERBASE LIMITED</v>
          </cell>
          <cell r="B2331" t="str">
            <v>Natterbase is a talent accelerator platform that enables companies to hire and manage developers remotely</v>
          </cell>
          <cell r="C2331" t="str">
            <v>Active</v>
          </cell>
          <cell r="D2331">
            <v>2017</v>
          </cell>
          <cell r="G2331" t="str">
            <v>Nigeria</v>
          </cell>
          <cell r="X2331" t="str">
            <v>Commercial &amp; Professional Services</v>
          </cell>
        </row>
        <row r="2332">
          <cell r="A2332" t="str">
            <v>Pass</v>
          </cell>
          <cell r="B2332" t="str">
            <v>Pass.ng is an e-testing platform that provides students with series of Mock test in preparation for major exams in Nigeria.</v>
          </cell>
          <cell r="C2332" t="str">
            <v>Active</v>
          </cell>
          <cell r="D2332">
            <v>2014</v>
          </cell>
          <cell r="G2332" t="str">
            <v>Nigeria</v>
          </cell>
          <cell r="X2332" t="str">
            <v>Education</v>
          </cell>
        </row>
        <row r="2333">
          <cell r="A2333" t="str">
            <v>CloudWare Technologies</v>
          </cell>
          <cell r="B2333" t="str">
            <v>Technology Solutions to African Problems</v>
          </cell>
          <cell r="C2333" t="str">
            <v>Active</v>
          </cell>
          <cell r="D2333">
            <v>2012</v>
          </cell>
          <cell r="G2333" t="str">
            <v>Nigeria</v>
          </cell>
          <cell r="X2333" t="str">
            <v>Telecommunication</v>
          </cell>
        </row>
        <row r="2334">
          <cell r="A2334" t="str">
            <v>Kuluya</v>
          </cell>
          <cell r="B2334" t="str">
            <v>Kuluya is a provider of a member based online gaming platform with over 200 hundred offered games for users.</v>
          </cell>
          <cell r="C2334" t="str">
            <v>Active</v>
          </cell>
          <cell r="D2334">
            <v>2012</v>
          </cell>
          <cell r="G2334" t="str">
            <v>Nigeria</v>
          </cell>
          <cell r="X2334" t="str">
            <v>Media and Entertainment</v>
          </cell>
        </row>
        <row r="2335">
          <cell r="A2335" t="str">
            <v>Playfre</v>
          </cell>
          <cell r="B2335" t="str">
            <v>Playfre lets you stream unlimited music for free, build playlists, share them with other listeners, and much more.</v>
          </cell>
          <cell r="C2335" t="str">
            <v>Active</v>
          </cell>
          <cell r="D2335">
            <v>2019</v>
          </cell>
          <cell r="G2335" t="str">
            <v>Nigeria</v>
          </cell>
          <cell r="X2335" t="str">
            <v>Media and Entertainment</v>
          </cell>
        </row>
        <row r="2336">
          <cell r="A2336" t="str">
            <v>Tata</v>
          </cell>
          <cell r="B2336" t="str">
            <v>An Artificial Intelligent assistant for university students.</v>
          </cell>
          <cell r="C2336" t="str">
            <v>Active</v>
          </cell>
          <cell r="D2336">
            <v>2018</v>
          </cell>
          <cell r="G2336" t="str">
            <v>Nigeria</v>
          </cell>
          <cell r="X2336" t="str">
            <v>Education</v>
          </cell>
        </row>
        <row r="2337">
          <cell r="A2337" t="str">
            <v>ETX-NG</v>
          </cell>
          <cell r="B2337" t="str">
            <v>Electronic Transcripts and Certificate Verifications in Nigeria</v>
          </cell>
          <cell r="C2337" t="str">
            <v>Active</v>
          </cell>
          <cell r="D2337">
            <v>2012</v>
          </cell>
          <cell r="G2337" t="str">
            <v>Nigeria</v>
          </cell>
          <cell r="X2337" t="str">
            <v>Education</v>
          </cell>
        </row>
        <row r="2338">
          <cell r="A2338" t="str">
            <v>Qataloog</v>
          </cell>
          <cell r="B2338" t="str">
            <v>Qataloog is a Higher education learning content distribution engine</v>
          </cell>
          <cell r="C2338" t="str">
            <v>Active</v>
          </cell>
          <cell r="D2338">
            <v>2017</v>
          </cell>
          <cell r="G2338" t="str">
            <v>Nigeria</v>
          </cell>
          <cell r="X2338" t="str">
            <v>Education</v>
          </cell>
        </row>
        <row r="2339">
          <cell r="A2339" t="str">
            <v>MedRx App</v>
          </cell>
          <cell r="B2339" t="str">
            <v>MedRx app is an interactive health platform for all users who have health needs.</v>
          </cell>
          <cell r="C2339" t="str">
            <v>Active</v>
          </cell>
          <cell r="D2339">
            <v>2015</v>
          </cell>
          <cell r="G2339" t="str">
            <v>Nigeria</v>
          </cell>
          <cell r="X2339" t="str">
            <v>Healthcare &amp; Pharma</v>
          </cell>
        </row>
        <row r="2340">
          <cell r="A2340" t="str">
            <v>NetPlusDotCom</v>
          </cell>
          <cell r="B2340" t="str">
            <v>NetPlusDotCom is a business and technology solutions provider.</v>
          </cell>
          <cell r="C2340" t="str">
            <v>Active</v>
          </cell>
          <cell r="D2340">
            <v>2010</v>
          </cell>
          <cell r="G2340" t="str">
            <v>Nigeria</v>
          </cell>
          <cell r="X2340" t="str">
            <v>E-Commerce &amp; Retail</v>
          </cell>
        </row>
        <row r="2341">
          <cell r="A2341" t="str">
            <v>Primera Africa Finance Group</v>
          </cell>
          <cell r="B2341" t="str">
            <v>Primera Africa, a top-ranked brokerage house.</v>
          </cell>
          <cell r="C2341" t="str">
            <v>Active</v>
          </cell>
          <cell r="D2341">
            <v>2011</v>
          </cell>
          <cell r="G2341" t="str">
            <v>Nigeria</v>
          </cell>
          <cell r="X2341" t="str">
            <v>Financial Services</v>
          </cell>
        </row>
        <row r="2342">
          <cell r="A2342" t="str">
            <v>CliqCab</v>
          </cell>
          <cell r="B2342" t="str">
            <v>CliqCab is an e-hailing business,taxi cab, food delivery, logistics, and transportation network company.</v>
          </cell>
          <cell r="C2342" t="str">
            <v>Active</v>
          </cell>
          <cell r="D2342">
            <v>2018</v>
          </cell>
          <cell r="G2342" t="str">
            <v>Nigeria</v>
          </cell>
          <cell r="X2342" t="str">
            <v>Transport and Logistics</v>
          </cell>
        </row>
        <row r="2343">
          <cell r="A2343" t="str">
            <v>Aimtoget.com</v>
          </cell>
          <cell r="B2343" t="str">
            <v>No.1 Nigerian Platform that convert airtime to cash with instant payment</v>
          </cell>
          <cell r="C2343" t="str">
            <v>Active</v>
          </cell>
          <cell r="D2343">
            <v>2016</v>
          </cell>
          <cell r="G2343" t="str">
            <v>Nigeria</v>
          </cell>
          <cell r="X2343" t="str">
            <v>Financial Services</v>
          </cell>
        </row>
        <row r="2344">
          <cell r="A2344" t="str">
            <v>MedEnhanz</v>
          </cell>
          <cell r="B2344" t="str">
            <v>Nigerian medical information company</v>
          </cell>
          <cell r="C2344" t="str">
            <v>Active</v>
          </cell>
          <cell r="D2344">
            <v>2012</v>
          </cell>
          <cell r="G2344" t="str">
            <v>Nigeria</v>
          </cell>
          <cell r="X2344" t="str">
            <v>Healthcare &amp; Pharma</v>
          </cell>
        </row>
        <row r="2345">
          <cell r="A2345" t="str">
            <v>Asuqu</v>
          </cell>
          <cell r="B2345" t="str">
            <v>Asuqu is an online marketplace to buy and sell creative and professional services.</v>
          </cell>
          <cell r="C2345" t="str">
            <v>Active</v>
          </cell>
          <cell r="D2345">
            <v>2014</v>
          </cell>
          <cell r="G2345" t="str">
            <v>Nigeria</v>
          </cell>
          <cell r="X2345" t="str">
            <v>Commercial &amp; Professional Services</v>
          </cell>
        </row>
        <row r="2346">
          <cell r="A2346" t="str">
            <v>CreditClan</v>
          </cell>
          <cell r="B2346" t="str">
            <v>CreditClan provides technology, data and operations for lenders and borrowers across Africa.</v>
          </cell>
          <cell r="C2346" t="str">
            <v>Active</v>
          </cell>
          <cell r="D2346">
            <v>2018</v>
          </cell>
          <cell r="G2346" t="str">
            <v>Nigeria</v>
          </cell>
          <cell r="X2346" t="str">
            <v>Financial Services</v>
          </cell>
        </row>
        <row r="2347">
          <cell r="A2347" t="str">
            <v>BabyBliss</v>
          </cell>
          <cell r="B2347" t="str">
            <v>BabyBliss is your one-stop shop for every expectant mom, toddlers, and infants</v>
          </cell>
          <cell r="C2347" t="str">
            <v>Active</v>
          </cell>
          <cell r="D2347">
            <v>2017</v>
          </cell>
          <cell r="G2347" t="str">
            <v>Nigeria</v>
          </cell>
          <cell r="X2347" t="str">
            <v>E-Commerce &amp; Retail</v>
          </cell>
        </row>
        <row r="2348">
          <cell r="A2348" t="str">
            <v>Sprinble</v>
          </cell>
          <cell r="B2348" t="str">
            <v>Masterpiece Web, Mobile, UI/UX Design Digital Agency</v>
          </cell>
          <cell r="C2348" t="str">
            <v>Active</v>
          </cell>
          <cell r="D2348">
            <v>2018</v>
          </cell>
          <cell r="G2348" t="str">
            <v>Nigeria</v>
          </cell>
          <cell r="X2348" t="str">
            <v>Telecommunication</v>
          </cell>
        </row>
        <row r="2349">
          <cell r="A2349" t="str">
            <v>Plaqad</v>
          </cell>
          <cell r="B2349" t="str">
            <v>Public relations, digital marketing, Content trading market place</v>
          </cell>
          <cell r="C2349" t="str">
            <v>Active</v>
          </cell>
          <cell r="D2349">
            <v>2017</v>
          </cell>
          <cell r="G2349" t="str">
            <v>Nigeria</v>
          </cell>
          <cell r="X2349" t="str">
            <v>Telecommunication</v>
          </cell>
        </row>
        <row r="2350">
          <cell r="A2350" t="str">
            <v>Realtor.ng</v>
          </cell>
          <cell r="B2350" t="str">
            <v>Realtor.ng is an online platform that connects buyers and sellers of real estate in Nigeria</v>
          </cell>
          <cell r="C2350" t="str">
            <v>Active</v>
          </cell>
          <cell r="D2350">
            <v>2018</v>
          </cell>
          <cell r="G2350" t="str">
            <v>Nigeria</v>
          </cell>
          <cell r="X2350" t="str">
            <v>Real Estate</v>
          </cell>
        </row>
        <row r="2351">
          <cell r="A2351" t="str">
            <v>GatePass</v>
          </cell>
          <cell r="B2351" t="str">
            <v>GatePass offers residents a platform for building and maintaining safe, connected, involved and empowered communities</v>
          </cell>
          <cell r="C2351" t="str">
            <v>Active</v>
          </cell>
          <cell r="D2351">
            <v>2017</v>
          </cell>
          <cell r="G2351" t="str">
            <v>Nigeria</v>
          </cell>
          <cell r="X2351" t="str">
            <v>Telecommunication</v>
          </cell>
        </row>
        <row r="2352">
          <cell r="A2352" t="str">
            <v>SureCredit</v>
          </cell>
          <cell r="B2352" t="str">
            <v>SureCredit is a voucher financing platform for employees of selected companies</v>
          </cell>
          <cell r="C2352" t="str">
            <v>Active</v>
          </cell>
          <cell r="D2352">
            <v>2016</v>
          </cell>
          <cell r="G2352" t="str">
            <v>Nigeria</v>
          </cell>
          <cell r="X2352" t="str">
            <v>Financial Services</v>
          </cell>
        </row>
        <row r="2353">
          <cell r="A2353" t="str">
            <v>Argitech Limited</v>
          </cell>
          <cell r="B2353" t="str">
            <v>Argitech is top-of-the-rack digital creative agency focusing on delivering design, branding, web, digital and print solution</v>
          </cell>
          <cell r="C2353" t="str">
            <v>Active</v>
          </cell>
          <cell r="D2353">
            <v>2016</v>
          </cell>
          <cell r="G2353" t="str">
            <v>Nigeria</v>
          </cell>
          <cell r="X2353" t="str">
            <v>Telecommunication</v>
          </cell>
        </row>
        <row r="2354">
          <cell r="A2354" t="str">
            <v>Coreum</v>
          </cell>
          <cell r="B2354" t="str">
            <v>Real Estate Co-Investment Platform</v>
          </cell>
          <cell r="C2354" t="str">
            <v>Active</v>
          </cell>
          <cell r="D2354">
            <v>2018</v>
          </cell>
          <cell r="G2354" t="str">
            <v>Nigeria</v>
          </cell>
          <cell r="X2354" t="str">
            <v>Real Estate</v>
          </cell>
        </row>
        <row r="2355">
          <cell r="A2355" t="str">
            <v>Crypto Staunch</v>
          </cell>
          <cell r="B2355" t="str">
            <v>Explore CryptoStaunch blog to discover bitcoin investment and cryptocurrency trading guides</v>
          </cell>
          <cell r="C2355" t="str">
            <v>Active</v>
          </cell>
          <cell r="D2355">
            <v>2017</v>
          </cell>
          <cell r="G2355" t="str">
            <v>Nigeria</v>
          </cell>
          <cell r="X2355" t="str">
            <v>Financial Services</v>
          </cell>
        </row>
        <row r="2356">
          <cell r="A2356" t="str">
            <v>Ngcareers</v>
          </cell>
          <cell r="B2356" t="str">
            <v>Africa's preferred Career Platform</v>
          </cell>
          <cell r="C2356" t="str">
            <v>Active</v>
          </cell>
          <cell r="D2356">
            <v>2013</v>
          </cell>
          <cell r="G2356" t="str">
            <v>Nigeria</v>
          </cell>
          <cell r="X2356" t="str">
            <v>Education</v>
          </cell>
        </row>
        <row r="2357">
          <cell r="A2357" t="str">
            <v>Heels.com.ng</v>
          </cell>
          <cell r="B2357" t="str">
            <v>Heels.com.ng is a premier female shoe megastore offering a wide selection of hand picked designer shoes.</v>
          </cell>
          <cell r="C2357" t="str">
            <v>Active</v>
          </cell>
          <cell r="D2357">
            <v>2013</v>
          </cell>
          <cell r="G2357" t="str">
            <v>Nigeria</v>
          </cell>
          <cell r="X2357" t="str">
            <v>E-Commerce &amp; Retail</v>
          </cell>
        </row>
        <row r="2358">
          <cell r="A2358" t="str">
            <v>Raadaa Partners Intl' Ltd</v>
          </cell>
          <cell r="B2358" t="str">
            <v>Raadaa aims to preserve and provide access to quality research starting from developing countries</v>
          </cell>
          <cell r="C2358" t="str">
            <v>Active</v>
          </cell>
          <cell r="D2358">
            <v>2017</v>
          </cell>
          <cell r="G2358" t="str">
            <v>Nigeria</v>
          </cell>
          <cell r="X2358" t="str">
            <v>Telecommunication</v>
          </cell>
        </row>
        <row r="2359">
          <cell r="A2359" t="str">
            <v>DIYlaw</v>
          </cell>
          <cell r="B2359" t="str">
            <v>DIYlaw is a technology platform that provides access to legal services and resources in Africa</v>
          </cell>
          <cell r="C2359" t="str">
            <v>Active</v>
          </cell>
          <cell r="D2359">
            <v>2015</v>
          </cell>
          <cell r="G2359" t="str">
            <v>Nigeria</v>
          </cell>
          <cell r="X2359" t="str">
            <v>Commercial &amp; Professional Services</v>
          </cell>
        </row>
        <row r="2360">
          <cell r="A2360" t="str">
            <v>Field Intelligence</v>
          </cell>
          <cell r="B2360" t="str">
            <v>Field Intelligence transforming the business of access in frontier markets.</v>
          </cell>
          <cell r="C2360" t="str">
            <v>Active</v>
          </cell>
          <cell r="D2360">
            <v>2015</v>
          </cell>
          <cell r="G2360" t="str">
            <v>Nigeria</v>
          </cell>
          <cell r="X2360" t="str">
            <v>Healthcare &amp; Pharma</v>
          </cell>
        </row>
        <row r="2361">
          <cell r="A2361" t="str">
            <v>TechAtLast International</v>
          </cell>
          <cell r="B2361" t="str">
            <v>TechAtLast is a technology firm that simplifies the way people consume and distribute information in Africa and the rest of the world.</v>
          </cell>
          <cell r="C2361" t="str">
            <v>Active</v>
          </cell>
          <cell r="D2361">
            <v>2010</v>
          </cell>
          <cell r="G2361" t="str">
            <v>Nigeria</v>
          </cell>
          <cell r="X2361" t="str">
            <v>Telecommunication</v>
          </cell>
        </row>
        <row r="2362">
          <cell r="A2362" t="str">
            <v>Parseal</v>
          </cell>
          <cell r="B2362" t="str">
            <v>Parseal is changing the way packages are distributed from one location to another.</v>
          </cell>
          <cell r="C2362" t="str">
            <v>Active</v>
          </cell>
          <cell r="D2362">
            <v>2017</v>
          </cell>
          <cell r="G2362" t="str">
            <v>Nigeria</v>
          </cell>
          <cell r="X2362" t="str">
            <v>Transport and Logistics</v>
          </cell>
        </row>
        <row r="2363">
          <cell r="A2363" t="str">
            <v>PageOne</v>
          </cell>
          <cell r="B2363" t="str">
            <v>PageOne is a new site focusing on breaking news and opinions in tech, business, politics and lifestyle from Nigeria and aroud the world</v>
          </cell>
          <cell r="C2363" t="str">
            <v>Active</v>
          </cell>
          <cell r="D2363">
            <v>2016</v>
          </cell>
          <cell r="G2363" t="str">
            <v>Nigeria</v>
          </cell>
          <cell r="X2363" t="str">
            <v>Media and Entertainment</v>
          </cell>
        </row>
        <row r="2364">
          <cell r="A2364" t="str">
            <v>Hutbay</v>
          </cell>
          <cell r="B2364" t="str">
            <v>Hutbay is an online real estate marketplace.</v>
          </cell>
          <cell r="C2364" t="str">
            <v>Active</v>
          </cell>
          <cell r="D2364">
            <v>2013</v>
          </cell>
          <cell r="G2364" t="str">
            <v>Nigeria</v>
          </cell>
          <cell r="X2364" t="str">
            <v>Real Estate</v>
          </cell>
        </row>
        <row r="2365">
          <cell r="A2365" t="str">
            <v>Rack Centre</v>
          </cell>
          <cell r="B2365" t="str">
            <v>Rack Centre is a state-of-the-art, Tier III Design Certified data centre offering carrier-neutral colocation services.</v>
          </cell>
          <cell r="C2365" t="str">
            <v>Active</v>
          </cell>
          <cell r="D2365">
            <v>2012</v>
          </cell>
          <cell r="G2365" t="str">
            <v>Nigeria</v>
          </cell>
          <cell r="X2365" t="str">
            <v>Telecommunication</v>
          </cell>
        </row>
        <row r="2366">
          <cell r="A2366" t="str">
            <v>Genii Games</v>
          </cell>
          <cell r="B2366" t="str">
            <v>Genii Games offers a range of mobile applications aimed at promoting and preserving the African culture in its richness.</v>
          </cell>
          <cell r="C2366" t="str">
            <v>Active</v>
          </cell>
          <cell r="D2366">
            <v>2012</v>
          </cell>
          <cell r="G2366" t="str">
            <v>Nigeria</v>
          </cell>
          <cell r="X2366" t="str">
            <v>Media and Entertainment</v>
          </cell>
        </row>
        <row r="2367">
          <cell r="A2367" t="str">
            <v>Pingheap</v>
          </cell>
          <cell r="B2367" t="str">
            <v>Retail, E-commerce, Digital Marketplace, Shipping, Real Estate, Software, Delivery Service, Product Rebranding.</v>
          </cell>
          <cell r="C2367" t="str">
            <v>Active</v>
          </cell>
          <cell r="D2367">
            <v>2019</v>
          </cell>
          <cell r="G2367" t="str">
            <v>Nigeria</v>
          </cell>
          <cell r="X2367" t="str">
            <v>E-Commerce &amp; Retail</v>
          </cell>
        </row>
        <row r="2368">
          <cell r="A2368" t="str">
            <v>MainOne</v>
          </cell>
          <cell r="B2368" t="str">
            <v>Main One is a leading provider of innovative telecom services and network solutions for businesses in West Africa.</v>
          </cell>
          <cell r="C2368" t="str">
            <v>Active</v>
          </cell>
          <cell r="D2368">
            <v>2010</v>
          </cell>
          <cell r="G2368" t="str">
            <v>Nigeria</v>
          </cell>
          <cell r="X2368" t="str">
            <v>Telecommunication</v>
          </cell>
        </row>
        <row r="2369">
          <cell r="A2369" t="str">
            <v>Devcenter</v>
          </cell>
          <cell r="B2369" t="str">
            <v>Devcenter helps to build world class software using technology and talent tapped from software developers and designers across Africa.</v>
          </cell>
          <cell r="C2369" t="str">
            <v>Active</v>
          </cell>
          <cell r="D2369">
            <v>2014</v>
          </cell>
          <cell r="G2369" t="str">
            <v>Nigeria</v>
          </cell>
          <cell r="X2369" t="str">
            <v>Telecommunication</v>
          </cell>
        </row>
        <row r="2370">
          <cell r="A2370" t="str">
            <v>Lendsqr</v>
          </cell>
          <cell r="B2370" t="str">
            <v>Lendsqr is a cloud-based, lending platform designed for small and medium-sized lenders, providing smart features at a zero upfront cost</v>
          </cell>
          <cell r="C2370" t="str">
            <v>Active</v>
          </cell>
          <cell r="D2370">
            <v>2018</v>
          </cell>
          <cell r="G2370" t="str">
            <v>Nigeria</v>
          </cell>
          <cell r="X2370" t="str">
            <v>Financial Services</v>
          </cell>
        </row>
        <row r="2371">
          <cell r="A2371" t="str">
            <v>Pepper Rest Africa</v>
          </cell>
          <cell r="B2371" t="str">
            <v>Social Payments provider</v>
          </cell>
          <cell r="C2371" t="str">
            <v>Active</v>
          </cell>
          <cell r="D2371">
            <v>2018</v>
          </cell>
          <cell r="G2371" t="str">
            <v>Nigeria</v>
          </cell>
          <cell r="X2371" t="str">
            <v>E-Commerce &amp; Retail</v>
          </cell>
        </row>
        <row r="2372">
          <cell r="A2372" t="str">
            <v>Flushreview</v>
          </cell>
          <cell r="B2372" t="str">
            <v>Flushreview is the best technology website for phone reviews, network reviews and money making program reviews.</v>
          </cell>
          <cell r="C2372" t="str">
            <v>Active</v>
          </cell>
          <cell r="D2372">
            <v>2018</v>
          </cell>
          <cell r="G2372" t="str">
            <v>Nigeria</v>
          </cell>
          <cell r="X2372" t="str">
            <v>Telecommunication</v>
          </cell>
        </row>
        <row r="2373">
          <cell r="A2373" t="str">
            <v>Twinpine Limited</v>
          </cell>
          <cell r="B2373" t="str">
            <v>Mobile Advertising business focused on Africa</v>
          </cell>
          <cell r="C2373" t="str">
            <v>Active</v>
          </cell>
          <cell r="D2373">
            <v>2011</v>
          </cell>
          <cell r="G2373" t="str">
            <v>Nigeria</v>
          </cell>
          <cell r="X2373" t="str">
            <v>Telecommunication</v>
          </cell>
        </row>
        <row r="2374">
          <cell r="A2374" t="str">
            <v>Drawp On-Demand</v>
          </cell>
          <cell r="B2374" t="str">
            <v>Drawp is an efficient and cost-friendly way for growing multi-channel retailers to ship faster.</v>
          </cell>
          <cell r="C2374" t="str">
            <v>Active</v>
          </cell>
          <cell r="D2374">
            <v>2018</v>
          </cell>
          <cell r="G2374" t="str">
            <v>Nigeria</v>
          </cell>
          <cell r="X2374" t="str">
            <v>Transport and Logistics</v>
          </cell>
        </row>
        <row r="2375">
          <cell r="A2375" t="str">
            <v>Middleman.Com.Ng</v>
          </cell>
          <cell r="B2375" t="str">
            <v>Middleman.Com.Ng is an online shopping website that is keen on bridging the gap between sellers and buyers.</v>
          </cell>
          <cell r="C2375" t="str">
            <v>Active</v>
          </cell>
          <cell r="D2375">
            <v>2016</v>
          </cell>
          <cell r="G2375" t="str">
            <v>Nigeria</v>
          </cell>
          <cell r="X2375" t="str">
            <v>E-Commerce &amp; Retail</v>
          </cell>
        </row>
        <row r="2376">
          <cell r="A2376" t="str">
            <v>Insegna</v>
          </cell>
          <cell r="B2376" t="str">
            <v>Mobile App</v>
          </cell>
          <cell r="C2376" t="str">
            <v>Active</v>
          </cell>
          <cell r="D2376">
            <v>2010</v>
          </cell>
          <cell r="G2376" t="str">
            <v>Nigeria</v>
          </cell>
          <cell r="X2376" t="str">
            <v>Telecommunication</v>
          </cell>
        </row>
        <row r="2377">
          <cell r="A2377" t="str">
            <v>DoingSoon</v>
          </cell>
          <cell r="B2377" t="str">
            <v>DoingSoon is a distributed event ticketing system that lets anyone book or buy event tickets through platforms they already use.</v>
          </cell>
          <cell r="C2377" t="str">
            <v>Active</v>
          </cell>
          <cell r="D2377">
            <v>2018</v>
          </cell>
          <cell r="G2377" t="str">
            <v>Nigeria</v>
          </cell>
          <cell r="X2377" t="str">
            <v>Telecommunication</v>
          </cell>
        </row>
        <row r="2378">
          <cell r="A2378" t="str">
            <v>Cifwep</v>
          </cell>
          <cell r="B2378" t="str">
            <v>Nigeria's Apex Digital Marketing Company, Located in Onitsha. We also Provide Website Design, e-Commerce, SEO, and Branding Services.</v>
          </cell>
          <cell r="C2378" t="str">
            <v>Active</v>
          </cell>
          <cell r="D2378">
            <v>2017</v>
          </cell>
          <cell r="G2378" t="str">
            <v>Nigeria</v>
          </cell>
          <cell r="X2378" t="str">
            <v>Telecommunication</v>
          </cell>
        </row>
        <row r="2379">
          <cell r="A2379" t="str">
            <v>Suvenia.com</v>
          </cell>
          <cell r="B2379" t="str">
            <v>A website that allows individuals discover, create, sell a snap buy personalized by items.</v>
          </cell>
          <cell r="C2379" t="str">
            <v>Active</v>
          </cell>
          <cell r="D2379">
            <v>2016</v>
          </cell>
          <cell r="G2379" t="str">
            <v>Nigeria</v>
          </cell>
          <cell r="X2379" t="str">
            <v>Commercial &amp; Professional Services</v>
          </cell>
        </row>
        <row r="2380">
          <cell r="A2380" t="str">
            <v>Moja</v>
          </cell>
          <cell r="B2380" t="str">
            <v>Moja is a mHealth innovation that ensures adequate, safe and timely therapeutic blood supply.</v>
          </cell>
          <cell r="C2380" t="str">
            <v>Active</v>
          </cell>
          <cell r="D2380">
            <v>2014</v>
          </cell>
          <cell r="G2380" t="str">
            <v>Nigeria</v>
          </cell>
          <cell r="X2380" t="str">
            <v>Healthcare &amp; Pharma</v>
          </cell>
        </row>
        <row r="2381">
          <cell r="A2381" t="str">
            <v>HausRenta</v>
          </cell>
          <cell r="B2381" t="str">
            <v>Online tenant management and rent payment solution for Africa</v>
          </cell>
          <cell r="C2381" t="str">
            <v>Active</v>
          </cell>
          <cell r="D2381">
            <v>2019</v>
          </cell>
          <cell r="G2381" t="str">
            <v>Nigeria</v>
          </cell>
          <cell r="X2381" t="str">
            <v>Real Estate</v>
          </cell>
        </row>
        <row r="2382">
          <cell r="A2382" t="str">
            <v>iQube Labs</v>
          </cell>
          <cell r="B2382" t="str">
            <v>iQube is an applied computer science research &amp; development company that aims to provide solutions to challenges.</v>
          </cell>
          <cell r="C2382" t="str">
            <v>Active</v>
          </cell>
          <cell r="D2382">
            <v>2010</v>
          </cell>
          <cell r="G2382" t="str">
            <v>Nigeria</v>
          </cell>
          <cell r="X2382" t="str">
            <v>Telecommunication</v>
          </cell>
        </row>
        <row r="2383">
          <cell r="A2383" t="str">
            <v>PredictionHQ</v>
          </cell>
          <cell r="B2383" t="str">
            <v>PredictionHQ Is A Free software that uses advanced data analytics to provide stats based betting tips and predictions for sports bettors</v>
          </cell>
          <cell r="C2383" t="str">
            <v>Active</v>
          </cell>
          <cell r="D2383">
            <v>2017</v>
          </cell>
          <cell r="G2383" t="str">
            <v>Nigeria</v>
          </cell>
          <cell r="X2383" t="str">
            <v>Media and Entertainment</v>
          </cell>
        </row>
        <row r="2384">
          <cell r="A2384" t="str">
            <v>Truppr</v>
          </cell>
          <cell r="B2384" t="str">
            <v>Truppr is a social tool that enables sports lovers to organize and find fitness events and team mates for their favorite sports.</v>
          </cell>
          <cell r="C2384" t="str">
            <v>Active</v>
          </cell>
          <cell r="D2384">
            <v>2014</v>
          </cell>
          <cell r="G2384" t="str">
            <v>Nigeria</v>
          </cell>
          <cell r="X2384" t="str">
            <v>Telecommunication</v>
          </cell>
        </row>
        <row r="2385">
          <cell r="A2385" t="str">
            <v>My Medicines Pan African Limited</v>
          </cell>
          <cell r="B2385" t="str">
            <v>Platform as a Service (Paas)</v>
          </cell>
          <cell r="C2385" t="str">
            <v>Active</v>
          </cell>
          <cell r="D2385">
            <v>2017</v>
          </cell>
          <cell r="G2385" t="str">
            <v>Nigeria</v>
          </cell>
          <cell r="X2385" t="str">
            <v>Healthcare &amp; Pharma</v>
          </cell>
        </row>
        <row r="2386">
          <cell r="A2386" t="str">
            <v>Primetweets</v>
          </cell>
          <cell r="B2386" t="str">
            <v>Entertainment, Fashion and Lifestyle</v>
          </cell>
          <cell r="C2386" t="str">
            <v>Active</v>
          </cell>
          <cell r="D2386">
            <v>2012</v>
          </cell>
          <cell r="G2386" t="str">
            <v>Nigeria</v>
          </cell>
          <cell r="X2386" t="str">
            <v>Media and Entertainment</v>
          </cell>
        </row>
        <row r="2387">
          <cell r="A2387" t="str">
            <v>Qeturah.com Ltd</v>
          </cell>
          <cell r="B2387" t="str">
            <v>Qeturah.com is an electronic company reimagining commerce across Africa. We combine marketplace, fulfilment service &amp; inventory management.</v>
          </cell>
          <cell r="C2387" t="str">
            <v>Active</v>
          </cell>
          <cell r="D2387">
            <v>2017</v>
          </cell>
          <cell r="G2387" t="str">
            <v>Nigeria</v>
          </cell>
          <cell r="X2387" t="str">
            <v>E-Commerce &amp; Retail</v>
          </cell>
        </row>
        <row r="2388">
          <cell r="A2388" t="str">
            <v>Zeno</v>
          </cell>
          <cell r="B2388" t="str">
            <v>Mobile app delivering mass transportation as a service</v>
          </cell>
          <cell r="C2388" t="str">
            <v>Active</v>
          </cell>
          <cell r="D2388">
            <v>2018</v>
          </cell>
          <cell r="G2388" t="str">
            <v>Nigeria</v>
          </cell>
          <cell r="X2388" t="str">
            <v>Transport and Logistics</v>
          </cell>
        </row>
        <row r="2389">
          <cell r="A2389" t="str">
            <v>AMPZ.TV</v>
          </cell>
          <cell r="B2389" t="str">
            <v>Social Media, Data as a Service, Sports, Mobile App</v>
          </cell>
          <cell r="C2389" t="str">
            <v>Active</v>
          </cell>
          <cell r="D2389">
            <v>2017</v>
          </cell>
          <cell r="G2389" t="str">
            <v>Nigeria</v>
          </cell>
          <cell r="X2389" t="str">
            <v>Media and Entertainment</v>
          </cell>
        </row>
        <row r="2390">
          <cell r="A2390" t="str">
            <v>ProNOV Health</v>
          </cell>
          <cell r="B2390" t="str">
            <v>ProNOV is a business intelligence solution for drugstores.</v>
          </cell>
          <cell r="C2390" t="str">
            <v>Active</v>
          </cell>
          <cell r="D2390">
            <v>2016</v>
          </cell>
          <cell r="G2390" t="str">
            <v>Nigeria</v>
          </cell>
          <cell r="X2390" t="str">
            <v>Healthcare &amp; Pharma</v>
          </cell>
        </row>
        <row r="2391">
          <cell r="A2391" t="str">
            <v>Kobolet</v>
          </cell>
          <cell r="B2391" t="str">
            <v>Kobolet is a lending company building an ecosystem to enable people use crypto assets as collateral to secure cash loans.</v>
          </cell>
          <cell r="C2391" t="str">
            <v>Active</v>
          </cell>
          <cell r="D2391">
            <v>2018</v>
          </cell>
          <cell r="G2391" t="str">
            <v>Nigeria</v>
          </cell>
          <cell r="X2391" t="str">
            <v>Financial Services</v>
          </cell>
        </row>
        <row r="2392">
          <cell r="A2392" t="str">
            <v>NaijaTechGuy Inc</v>
          </cell>
          <cell r="B2392" t="str">
            <v>NaijaTechGuy is a Tech Website focused on helping people by providing solutions to ICT problems.</v>
          </cell>
          <cell r="C2392" t="str">
            <v>Active</v>
          </cell>
          <cell r="D2392">
            <v>2015</v>
          </cell>
          <cell r="G2392" t="str">
            <v>Nigeria</v>
          </cell>
          <cell r="X2392" t="str">
            <v>Telecommunication</v>
          </cell>
        </row>
        <row r="2393">
          <cell r="A2393" t="str">
            <v>Dado Online food</v>
          </cell>
          <cell r="B2393" t="str">
            <v>Dado online food service is a multi-restaurant delivery service (MRDS) that aims to make local fast food accessible at a minimal cost.</v>
          </cell>
          <cell r="C2393" t="str">
            <v>Active</v>
          </cell>
          <cell r="D2393">
            <v>2017</v>
          </cell>
          <cell r="G2393" t="str">
            <v>Nigeria</v>
          </cell>
          <cell r="X2393" t="str">
            <v>E-Commerce &amp; Retail</v>
          </cell>
        </row>
        <row r="2394">
          <cell r="A2394" t="str">
            <v>Afritickets</v>
          </cell>
          <cell r="B2394" t="str">
            <v>Afritickets is an end-to-end Event Ticketing Platform that powers live experiences around Africa</v>
          </cell>
          <cell r="C2394" t="str">
            <v>Active</v>
          </cell>
          <cell r="D2394">
            <v>2011</v>
          </cell>
          <cell r="G2394" t="str">
            <v>Nigeria</v>
          </cell>
          <cell r="X2394" t="str">
            <v>E-Commerce &amp; Retail</v>
          </cell>
        </row>
        <row r="2395">
          <cell r="A2395" t="str">
            <v>Patricia</v>
          </cell>
          <cell r="B2395" t="str">
            <v>E Commerce Platform</v>
          </cell>
          <cell r="C2395" t="str">
            <v>Active</v>
          </cell>
          <cell r="D2395">
            <v>2017</v>
          </cell>
          <cell r="G2395" t="str">
            <v>Nigeria</v>
          </cell>
          <cell r="X2395" t="str">
            <v>E-Commerce &amp; Retail</v>
          </cell>
        </row>
        <row r="2396">
          <cell r="A2396" t="str">
            <v>GEC Academy</v>
          </cell>
          <cell r="B2396" t="str">
            <v>Education training company.</v>
          </cell>
          <cell r="C2396" t="str">
            <v>Active</v>
          </cell>
          <cell r="D2396">
            <v>2017</v>
          </cell>
          <cell r="G2396" t="str">
            <v>Nigeria</v>
          </cell>
          <cell r="X2396" t="str">
            <v>Education</v>
          </cell>
        </row>
        <row r="2397">
          <cell r="A2397" t="str">
            <v>PreDiagn</v>
          </cell>
          <cell r="B2397" t="str">
            <v>PreDiagn is an on-demand lab test platform that provides ease of access and convenience around the use of diagnostic testing for healthcare.</v>
          </cell>
          <cell r="C2397" t="str">
            <v>Active</v>
          </cell>
          <cell r="D2397">
            <v>2017</v>
          </cell>
          <cell r="G2397" t="str">
            <v>Nigeria</v>
          </cell>
          <cell r="X2397" t="str">
            <v>Healthcare &amp; Pharma</v>
          </cell>
        </row>
        <row r="2398">
          <cell r="A2398" t="str">
            <v>Afrimash</v>
          </cell>
          <cell r="B2398" t="str">
            <v>Afrimash is an e-commerce company that offers and supplies agricultural items across all brands.</v>
          </cell>
          <cell r="C2398" t="str">
            <v>Active</v>
          </cell>
          <cell r="D2398">
            <v>2016</v>
          </cell>
          <cell r="G2398" t="str">
            <v>Nigeria</v>
          </cell>
          <cell r="X2398" t="str">
            <v>E-Commerce &amp; Retail</v>
          </cell>
        </row>
        <row r="2399">
          <cell r="A2399" t="str">
            <v>Mediosa Healthcare</v>
          </cell>
          <cell r="B2399" t="str">
            <v>Consult doctors online, book lab tests and health packages and get reports online within 24hours.</v>
          </cell>
          <cell r="C2399" t="str">
            <v>Active</v>
          </cell>
          <cell r="D2399">
            <v>2017</v>
          </cell>
          <cell r="G2399" t="str">
            <v>Nigeria</v>
          </cell>
          <cell r="X2399" t="str">
            <v>Healthcare &amp; Pharma</v>
          </cell>
        </row>
        <row r="2400">
          <cell r="A2400" t="str">
            <v>Pan African Towers</v>
          </cell>
          <cell r="B2400" t="str">
            <v>Pan African Towers Limited, is a telecommunications infrastructure and wireless service facilitator.</v>
          </cell>
          <cell r="C2400" t="str">
            <v>Active</v>
          </cell>
          <cell r="D2400">
            <v>2017</v>
          </cell>
          <cell r="G2400" t="str">
            <v>Nigeria</v>
          </cell>
          <cell r="X2400" t="str">
            <v>Telecommunication</v>
          </cell>
        </row>
        <row r="2401">
          <cell r="A2401" t="str">
            <v>NextCounsel Limited</v>
          </cell>
          <cell r="B2401" t="str">
            <v>NextCounsel is the world most comprehensive practice management solution for lawyers/law-firms.</v>
          </cell>
          <cell r="C2401" t="str">
            <v>Active</v>
          </cell>
          <cell r="D2401">
            <v>2017</v>
          </cell>
          <cell r="G2401" t="str">
            <v>Nigeria</v>
          </cell>
          <cell r="X2401" t="str">
            <v>Commercial &amp; Professional Services</v>
          </cell>
        </row>
        <row r="2402">
          <cell r="A2402" t="str">
            <v>Flashlearners</v>
          </cell>
          <cell r="B2402" t="str">
            <v>Your #1 Source for Educational Information and Career Guide</v>
          </cell>
          <cell r="C2402" t="str">
            <v>Active</v>
          </cell>
          <cell r="D2402">
            <v>2016</v>
          </cell>
          <cell r="G2402" t="str">
            <v>Nigeria</v>
          </cell>
          <cell r="X2402" t="str">
            <v>Education</v>
          </cell>
        </row>
        <row r="2403">
          <cell r="A2403" t="str">
            <v>Mplify Limited</v>
          </cell>
          <cell r="B2403" t="str">
            <v>A SaaS solution for businesses to build their capacity, enhance their online visibility and accelerate growth</v>
          </cell>
          <cell r="C2403" t="str">
            <v>Active</v>
          </cell>
          <cell r="D2403">
            <v>2019</v>
          </cell>
          <cell r="G2403" t="str">
            <v>Nigeria</v>
          </cell>
          <cell r="X2403" t="str">
            <v>Telecommunication</v>
          </cell>
        </row>
        <row r="2404">
          <cell r="A2404" t="str">
            <v>Toursom</v>
          </cell>
          <cell r="B2404" t="str">
            <v>AI powered platform for booking custom tours across Africa</v>
          </cell>
          <cell r="C2404" t="str">
            <v>Active</v>
          </cell>
          <cell r="D2404">
            <v>2016</v>
          </cell>
          <cell r="G2404" t="str">
            <v>Nigeria</v>
          </cell>
          <cell r="X2404" t="str">
            <v>Travel and Leisure</v>
          </cell>
        </row>
        <row r="2405">
          <cell r="A2405" t="str">
            <v>Render Health</v>
          </cell>
          <cell r="B2405" t="str">
            <v>A platform for the healthcare Industry</v>
          </cell>
          <cell r="C2405" t="str">
            <v>Active</v>
          </cell>
          <cell r="D2405">
            <v>2018</v>
          </cell>
          <cell r="G2405" t="str">
            <v>Nigeria</v>
          </cell>
          <cell r="X2405" t="str">
            <v>Healthcare &amp; Pharma</v>
          </cell>
        </row>
        <row r="2406">
          <cell r="A2406" t="str">
            <v>Save and Buy</v>
          </cell>
          <cell r="B2406" t="str">
            <v>Save and Buy, a virtual savings platform, offers a convenient and fun way to save toward the products its users love from online merchants.</v>
          </cell>
          <cell r="C2406" t="str">
            <v>Active</v>
          </cell>
          <cell r="D2406">
            <v>2013</v>
          </cell>
          <cell r="G2406" t="str">
            <v>Nigeria</v>
          </cell>
          <cell r="X2406" t="str">
            <v>Financial Services</v>
          </cell>
        </row>
        <row r="2407">
          <cell r="A2407" t="str">
            <v>Packmyload</v>
          </cell>
          <cell r="B2407" t="str">
            <v>Quick and Most convenient way to move personal effects nationwide in Nigeria</v>
          </cell>
          <cell r="C2407" t="str">
            <v>Active</v>
          </cell>
          <cell r="D2407">
            <v>2015</v>
          </cell>
          <cell r="G2407" t="str">
            <v>Nigeria</v>
          </cell>
          <cell r="X2407" t="str">
            <v>Transport and Logistics</v>
          </cell>
        </row>
        <row r="2408">
          <cell r="A2408" t="str">
            <v>Ibomstore</v>
          </cell>
          <cell r="B2408" t="str">
            <v>eCommerce Company Established in 2013 with the best and most user-friendly ecommerce environment</v>
          </cell>
          <cell r="C2408" t="str">
            <v>Active</v>
          </cell>
          <cell r="D2408">
            <v>2013</v>
          </cell>
          <cell r="G2408" t="str">
            <v>Nigeria</v>
          </cell>
          <cell r="X2408" t="str">
            <v>E-Commerce &amp; Retail</v>
          </cell>
        </row>
        <row r="2409">
          <cell r="A2409" t="str">
            <v>AI Commons Global Limited</v>
          </cell>
          <cell r="B2409" t="str">
            <v>We develop technologies to empower companies and developers to easily adopt and deploy state-of-the-art Artificial Intelligence.</v>
          </cell>
          <cell r="C2409" t="str">
            <v>Active</v>
          </cell>
          <cell r="D2409">
            <v>2018</v>
          </cell>
          <cell r="G2409" t="str">
            <v>Nigeria</v>
          </cell>
          <cell r="X2409" t="str">
            <v>Commercial &amp; Professional Services</v>
          </cell>
        </row>
        <row r="2410">
          <cell r="A2410" t="str">
            <v>VacantBoards</v>
          </cell>
          <cell r="B2410" t="str">
            <v>VacantBoards is an online outdoor advertising marketplace.</v>
          </cell>
          <cell r="C2410" t="str">
            <v>Active</v>
          </cell>
          <cell r="D2410">
            <v>2014</v>
          </cell>
          <cell r="G2410" t="str">
            <v>Nigeria</v>
          </cell>
          <cell r="X2410" t="str">
            <v>Telecommunication</v>
          </cell>
        </row>
        <row r="2411">
          <cell r="A2411" t="str">
            <v>TraciFy</v>
          </cell>
          <cell r="B2411" t="str">
            <v>Delivery Management Software</v>
          </cell>
          <cell r="C2411" t="str">
            <v>Active</v>
          </cell>
          <cell r="D2411">
            <v>2017</v>
          </cell>
          <cell r="G2411" t="str">
            <v>Nigeria</v>
          </cell>
          <cell r="X2411" t="str">
            <v>Transport and Logistics</v>
          </cell>
        </row>
        <row r="2412">
          <cell r="A2412" t="str">
            <v>NUGI TECHNOLOGIES NIG LTD</v>
          </cell>
          <cell r="B2412" t="str">
            <v>An incredible team of industries experts focused on delivering quality solutions coupled with impressive client support</v>
          </cell>
          <cell r="C2412" t="str">
            <v>Active</v>
          </cell>
          <cell r="D2412">
            <v>2016</v>
          </cell>
          <cell r="G2412" t="str">
            <v>Nigeria</v>
          </cell>
          <cell r="X2412" t="str">
            <v>Commercial &amp; Professional Services</v>
          </cell>
        </row>
        <row r="2413">
          <cell r="A2413" t="str">
            <v>Zegist</v>
          </cell>
          <cell r="B2413" t="str">
            <v>Zegist is an open web forum where users discuss a variety of topics.</v>
          </cell>
          <cell r="C2413" t="str">
            <v>Active</v>
          </cell>
          <cell r="D2413">
            <v>2013</v>
          </cell>
          <cell r="G2413" t="str">
            <v>Nigeria</v>
          </cell>
          <cell r="X2413" t="str">
            <v>Telecommunication</v>
          </cell>
        </row>
        <row r="2414">
          <cell r="A2414" t="str">
            <v>WellNewMe</v>
          </cell>
          <cell r="B2414" t="str">
            <v>SaaS</v>
          </cell>
          <cell r="C2414" t="str">
            <v>Active</v>
          </cell>
          <cell r="D2414">
            <v>2018</v>
          </cell>
          <cell r="G2414" t="str">
            <v>Nigeria</v>
          </cell>
          <cell r="X2414" t="str">
            <v>Healthcare &amp; Pharma</v>
          </cell>
        </row>
        <row r="2415">
          <cell r="A2415" t="str">
            <v>360nobs Limited</v>
          </cell>
          <cell r="B2415" t="str">
            <v>Created by Advertising &amp; Events wiz</v>
          </cell>
          <cell r="C2415" t="str">
            <v>Active</v>
          </cell>
          <cell r="D2415">
            <v>2010</v>
          </cell>
          <cell r="G2415" t="str">
            <v>Nigeria</v>
          </cell>
          <cell r="X2415" t="str">
            <v>Media and Entertainment</v>
          </cell>
        </row>
        <row r="2416">
          <cell r="A2416" t="str">
            <v>Cartehub</v>
          </cell>
          <cell r="B2416" t="str">
            <v>Cartehub is a multi-merchant eCommerce platform which sells and promotes Afrocentric products. We bring the African market to you.</v>
          </cell>
          <cell r="C2416" t="str">
            <v>Active</v>
          </cell>
          <cell r="D2416">
            <v>2017</v>
          </cell>
          <cell r="G2416" t="str">
            <v>Nigeria</v>
          </cell>
          <cell r="X2416" t="str">
            <v>E-Commerce &amp; Retail</v>
          </cell>
        </row>
        <row r="2417">
          <cell r="A2417" t="str">
            <v>Zeta-Web Nigeria</v>
          </cell>
          <cell r="B2417" t="str">
            <v>Zeta-Web Nigeria is an ICT firm with vast experience in innovating, designing and deploying IT technology solutions.</v>
          </cell>
          <cell r="C2417" t="str">
            <v>Active</v>
          </cell>
          <cell r="D2417">
            <v>2013</v>
          </cell>
          <cell r="G2417" t="str">
            <v>Nigeria</v>
          </cell>
          <cell r="X2417" t="str">
            <v>Telecommunication</v>
          </cell>
        </row>
        <row r="2418">
          <cell r="A2418" t="str">
            <v>Alosfarm</v>
          </cell>
          <cell r="B2418" t="str">
            <v>Web platform helping small scale farmers to be sustainable and profitable</v>
          </cell>
          <cell r="C2418" t="str">
            <v>Active</v>
          </cell>
          <cell r="D2418">
            <v>2017</v>
          </cell>
          <cell r="G2418" t="str">
            <v>Nigeria</v>
          </cell>
          <cell r="X2418" t="str">
            <v>Agriculture</v>
          </cell>
        </row>
        <row r="2419">
          <cell r="A2419" t="str">
            <v>Naijaknowhow</v>
          </cell>
          <cell r="B2419" t="str">
            <v>Naijaknowhow is a technology know-how blog that publishes tech news, phone specs, reviews, new gadgets and everything around technology.</v>
          </cell>
          <cell r="C2419" t="str">
            <v>Active</v>
          </cell>
          <cell r="D2419">
            <v>2015</v>
          </cell>
          <cell r="G2419" t="str">
            <v>Nigeria</v>
          </cell>
          <cell r="X2419" t="str">
            <v>Media and Entertainment</v>
          </cell>
        </row>
        <row r="2420">
          <cell r="A2420" t="str">
            <v>FresHires</v>
          </cell>
          <cell r="B2420" t="str">
            <v>Self Branding Platform for College Students and University Graduates</v>
          </cell>
          <cell r="C2420" t="str">
            <v>Active</v>
          </cell>
          <cell r="D2420">
            <v>2014</v>
          </cell>
          <cell r="G2420" t="str">
            <v>Nigeria</v>
          </cell>
          <cell r="X2420" t="str">
            <v>Telecommunication</v>
          </cell>
        </row>
        <row r="2421">
          <cell r="A2421" t="str">
            <v>Leadspace</v>
          </cell>
          <cell r="B2421" t="str">
            <v>Leadspace provides coworking/office spaces for entrepreneurs, SMEs, mid-level executives, freelancers, remote workers and creative artists.</v>
          </cell>
          <cell r="C2421" t="str">
            <v>Active</v>
          </cell>
          <cell r="D2421">
            <v>2016</v>
          </cell>
          <cell r="G2421" t="str">
            <v>Nigeria</v>
          </cell>
          <cell r="X2421" t="str">
            <v>Real Estate</v>
          </cell>
        </row>
        <row r="2422">
          <cell r="A2422" t="str">
            <v>switemtech.com</v>
          </cell>
          <cell r="B2422" t="str">
            <v>Switem Technology Solutions is a web design &amp; ICT solutions company offering Hosting, Ecommerce, Web Design, Digital marketing &amp; Consulting</v>
          </cell>
          <cell r="C2422" t="str">
            <v>Active</v>
          </cell>
          <cell r="D2422">
            <v>2014</v>
          </cell>
          <cell r="G2422" t="str">
            <v>Nigeria</v>
          </cell>
          <cell r="X2422" t="str">
            <v>E-Commerce &amp; Retail</v>
          </cell>
        </row>
        <row r="2423">
          <cell r="A2423" t="str">
            <v>pRocrea8 Technology Solutions Ltd</v>
          </cell>
          <cell r="B2423" t="str">
            <v>pRocrea8 Technology Solutions is an IT startup that develops social networking scripts for its users.</v>
          </cell>
          <cell r="C2423" t="str">
            <v>Active</v>
          </cell>
          <cell r="D2423">
            <v>2014</v>
          </cell>
          <cell r="G2423" t="str">
            <v>Nigeria</v>
          </cell>
          <cell r="X2423" t="str">
            <v>Telecommunication</v>
          </cell>
        </row>
        <row r="2424">
          <cell r="A2424" t="str">
            <v>Ojawara</v>
          </cell>
          <cell r="B2424" t="str">
            <v>Ojawara is an online foodstuffs, groceries, and household consumables delivery service company.</v>
          </cell>
          <cell r="C2424" t="str">
            <v>Active</v>
          </cell>
          <cell r="D2424">
            <v>2014</v>
          </cell>
          <cell r="G2424" t="str">
            <v>Nigeria</v>
          </cell>
          <cell r="X2424" t="str">
            <v>Transport and Logistics</v>
          </cell>
        </row>
        <row r="2425">
          <cell r="A2425" t="str">
            <v>FreeNaija</v>
          </cell>
          <cell r="B2425" t="str">
            <v>FreeNaija is an online information technology website that talks about latest technology news, tricks, guides and more</v>
          </cell>
          <cell r="C2425" t="str">
            <v>Active</v>
          </cell>
          <cell r="D2425">
            <v>2019</v>
          </cell>
          <cell r="G2425" t="str">
            <v>Nigeria</v>
          </cell>
          <cell r="X2425" t="str">
            <v>Media and Entertainment</v>
          </cell>
        </row>
        <row r="2426">
          <cell r="A2426" t="str">
            <v>Miduman</v>
          </cell>
          <cell r="B2426" t="str">
            <v>Miduman is a freelance services marketplace in Africa that allows business owner's hire services on demand.</v>
          </cell>
          <cell r="C2426" t="str">
            <v>Active</v>
          </cell>
          <cell r="D2426">
            <v>2018</v>
          </cell>
          <cell r="G2426" t="str">
            <v>Nigeria</v>
          </cell>
          <cell r="X2426" t="str">
            <v>Commercial &amp; Professional Services</v>
          </cell>
        </row>
        <row r="2427">
          <cell r="A2427" t="str">
            <v>Wild Fusion</v>
          </cell>
          <cell r="B2427" t="str">
            <v>Digital Marketing Agency in Africa</v>
          </cell>
          <cell r="C2427" t="str">
            <v>Active</v>
          </cell>
          <cell r="D2427">
            <v>2010</v>
          </cell>
          <cell r="G2427" t="str">
            <v>Nigeria</v>
          </cell>
          <cell r="X2427" t="str">
            <v>Commercial &amp; Professional Services</v>
          </cell>
        </row>
        <row r="2428">
          <cell r="A2428" t="str">
            <v>Morebranches Media Africa ltd</v>
          </cell>
          <cell r="B2428" t="str">
            <v>Internet publishing company reaching young Africans worldwide, from Africa.</v>
          </cell>
          <cell r="C2428" t="str">
            <v>Active</v>
          </cell>
          <cell r="D2428">
            <v>2017</v>
          </cell>
          <cell r="G2428" t="str">
            <v>Nigeria</v>
          </cell>
          <cell r="X2428" t="str">
            <v>Media and Entertainment</v>
          </cell>
        </row>
        <row r="2429">
          <cell r="A2429" t="str">
            <v>Intelics Solutions</v>
          </cell>
          <cell r="B2429" t="str">
            <v>Intelics Solutions is africa‚Äôs information technology enabled services company.</v>
          </cell>
          <cell r="C2429" t="str">
            <v>Active</v>
          </cell>
          <cell r="D2429">
            <v>2017</v>
          </cell>
          <cell r="G2429" t="str">
            <v>Nigeria</v>
          </cell>
          <cell r="X2429" t="str">
            <v>Commercial &amp; Professional Services</v>
          </cell>
        </row>
        <row r="2430">
          <cell r="A2430" t="str">
            <v>Wi-PAY Global</v>
          </cell>
          <cell r="B2430" t="str">
            <v>Global Full Service Payment Solutions</v>
          </cell>
          <cell r="C2430" t="str">
            <v>Active</v>
          </cell>
          <cell r="D2430">
            <v>2012</v>
          </cell>
          <cell r="G2430" t="str">
            <v>Nigeria</v>
          </cell>
          <cell r="X2430" t="str">
            <v>Financial Services</v>
          </cell>
        </row>
        <row r="2431">
          <cell r="A2431" t="str">
            <v>Gibadi</v>
          </cell>
          <cell r="B2431" t="str">
            <v>Gibadi Nigeria | Africa's Number 1 Online Marketplace for industrial supplies.</v>
          </cell>
          <cell r="C2431" t="str">
            <v>Active</v>
          </cell>
          <cell r="D2431">
            <v>2015</v>
          </cell>
          <cell r="G2431" t="str">
            <v>Nigeria</v>
          </cell>
          <cell r="X2431" t="str">
            <v>E-Commerce &amp; Retail</v>
          </cell>
        </row>
        <row r="2432">
          <cell r="A2432" t="str">
            <v>Havene</v>
          </cell>
          <cell r="B2432" t="str">
            <v>Havene is a digital assets exchange and fundraising platform</v>
          </cell>
          <cell r="C2432" t="str">
            <v>Active</v>
          </cell>
          <cell r="D2432">
            <v>2017</v>
          </cell>
          <cell r="G2432" t="str">
            <v>Nigeria</v>
          </cell>
          <cell r="X2432" t="str">
            <v>Commercial &amp; Professional Services</v>
          </cell>
        </row>
        <row r="2433">
          <cell r="A2433" t="str">
            <v>StudySearch</v>
          </cell>
          <cell r="B2433" t="str">
            <v>StudySearch is a course matching and applications platform connecting Africans with the best universities abroad.</v>
          </cell>
          <cell r="C2433" t="str">
            <v>Active</v>
          </cell>
          <cell r="D2433">
            <v>2014</v>
          </cell>
          <cell r="G2433" t="str">
            <v>Nigeria</v>
          </cell>
          <cell r="X2433" t="str">
            <v>Education</v>
          </cell>
        </row>
        <row r="2434">
          <cell r="A2434" t="str">
            <v>Techinnover</v>
          </cell>
          <cell r="B2434" t="str">
            <v>A digital marketing agency that provide services as web and mobile development, social media, marketing campaigns, branding and designs, etc</v>
          </cell>
          <cell r="C2434" t="str">
            <v>Active</v>
          </cell>
          <cell r="D2434">
            <v>2014</v>
          </cell>
          <cell r="G2434" t="str">
            <v>Nigeria</v>
          </cell>
          <cell r="X2434" t="str">
            <v>Commercial &amp; Professional Services</v>
          </cell>
        </row>
        <row r="2435">
          <cell r="A2435" t="str">
            <v>SignalEats</v>
          </cell>
          <cell r="B2435" t="str">
            <v>Location based catering marketplace where businesses order customised meal.</v>
          </cell>
          <cell r="C2435" t="str">
            <v>Active</v>
          </cell>
          <cell r="D2435">
            <v>2017</v>
          </cell>
          <cell r="G2435" t="str">
            <v>Nigeria</v>
          </cell>
          <cell r="X2435" t="str">
            <v>E-Commerce &amp; Retail</v>
          </cell>
        </row>
        <row r="2436">
          <cell r="A2436" t="str">
            <v>The Language Insider</v>
          </cell>
          <cell r="B2436" t="str">
            <v>Education Tech</v>
          </cell>
          <cell r="C2436" t="str">
            <v>Active</v>
          </cell>
          <cell r="D2436">
            <v>2019</v>
          </cell>
          <cell r="G2436" t="str">
            <v>Nigeria</v>
          </cell>
          <cell r="X2436" t="str">
            <v>Education</v>
          </cell>
        </row>
        <row r="2437">
          <cell r="A2437" t="str">
            <v>TeachersAroundMe.com</v>
          </cell>
          <cell r="B2437" t="str">
            <v>TeachersAroundMe.com helps you source, screen and connects you with professional Teachers, Linguists, Counselors and Skill Trainers near you</v>
          </cell>
          <cell r="C2437" t="str">
            <v>Active</v>
          </cell>
          <cell r="D2437">
            <v>2017</v>
          </cell>
          <cell r="G2437" t="str">
            <v>Nigeria</v>
          </cell>
          <cell r="X2437" t="str">
            <v>Commercial &amp; Professional Services</v>
          </cell>
        </row>
        <row r="2438">
          <cell r="A2438" t="str">
            <v>Kurtiva</v>
          </cell>
          <cell r="B2438" t="str">
            <v>Kurtiva provides converged digital entertainment and content services to mobile operators and media/broadcast companies around the world.</v>
          </cell>
          <cell r="C2438" t="str">
            <v>Active</v>
          </cell>
          <cell r="D2438">
            <v>2010</v>
          </cell>
          <cell r="G2438" t="str">
            <v>Nigeria</v>
          </cell>
          <cell r="X2438" t="str">
            <v>Media and Entertainment</v>
          </cell>
        </row>
        <row r="2439">
          <cell r="A2439" t="str">
            <v>Rushing Tap</v>
          </cell>
          <cell r="B2439" t="str">
            <v>We are a content creation company dedicated to entertaining Africans by telling their own stories that will showcase the real Africa.</v>
          </cell>
          <cell r="C2439" t="str">
            <v>Active</v>
          </cell>
          <cell r="D2439">
            <v>2014</v>
          </cell>
          <cell r="G2439" t="str">
            <v>Nigeria</v>
          </cell>
          <cell r="X2439" t="str">
            <v>Commercial &amp; Professional Services</v>
          </cell>
        </row>
        <row r="2440">
          <cell r="A2440" t="str">
            <v>DientWeb</v>
          </cell>
          <cell r="B2440" t="str">
            <v>Website Design Company in Lagos Nigeria</v>
          </cell>
          <cell r="C2440" t="str">
            <v>Active</v>
          </cell>
          <cell r="D2440">
            <v>2014</v>
          </cell>
          <cell r="G2440" t="str">
            <v>Nigeria</v>
          </cell>
          <cell r="X2440" t="str">
            <v>Telecommunication</v>
          </cell>
        </row>
        <row r="2441">
          <cell r="A2441" t="str">
            <v>terawork</v>
          </cell>
          <cell r="B2441" t="str">
            <v>Online Platform for Freelancers</v>
          </cell>
          <cell r="C2441" t="str">
            <v>Active</v>
          </cell>
          <cell r="D2441">
            <v>2017</v>
          </cell>
          <cell r="G2441" t="str">
            <v>Nigeria</v>
          </cell>
          <cell r="X2441" t="str">
            <v>Commercial &amp; Professional Services</v>
          </cell>
        </row>
        <row r="2442">
          <cell r="A2442" t="str">
            <v>SUApp</v>
          </cell>
          <cell r="B2442" t="str">
            <v>SUApp is a evolution blockchain platform.</v>
          </cell>
          <cell r="C2442" t="str">
            <v>Active</v>
          </cell>
          <cell r="D2442">
            <v>2018</v>
          </cell>
          <cell r="G2442" t="str">
            <v>Nigeria</v>
          </cell>
          <cell r="X2442" t="str">
            <v>Education</v>
          </cell>
        </row>
        <row r="2443">
          <cell r="A2443" t="str">
            <v>Edusko.com</v>
          </cell>
          <cell r="B2443" t="str">
            <v>Edusko connects African parents and students with good and affordable schools in Africa, Europe and America.</v>
          </cell>
          <cell r="C2443" t="str">
            <v>Active</v>
          </cell>
          <cell r="D2443">
            <v>2015</v>
          </cell>
          <cell r="G2443" t="str">
            <v>Nigeria</v>
          </cell>
          <cell r="X2443" t="str">
            <v>Education</v>
          </cell>
        </row>
        <row r="2444">
          <cell r="A2444" t="str">
            <v>FlexiSAF</v>
          </cell>
          <cell r="B2444" t="str">
            <v>FlexiSAF is transforming education in Nigeria and Africa using Software</v>
          </cell>
          <cell r="C2444" t="str">
            <v>Active</v>
          </cell>
          <cell r="D2444">
            <v>2012</v>
          </cell>
          <cell r="G2444" t="str">
            <v>Nigeria</v>
          </cell>
          <cell r="X2444" t="str">
            <v>Education</v>
          </cell>
        </row>
        <row r="2445">
          <cell r="A2445" t="str">
            <v>YOUtv</v>
          </cell>
          <cell r="B2445" t="str">
            <v>YOUtv the cable TV and Cinema that fits into any pocket filled with various channels and movies.</v>
          </cell>
          <cell r="C2445" t="str">
            <v>Active</v>
          </cell>
          <cell r="D2445">
            <v>2015</v>
          </cell>
          <cell r="G2445" t="str">
            <v>Nigeria</v>
          </cell>
          <cell r="X2445" t="str">
            <v>Media and Entertainment</v>
          </cell>
        </row>
        <row r="2446">
          <cell r="A2446" t="str">
            <v>Gazhub</v>
          </cell>
          <cell r="B2446" t="str">
            <v>Gazhub is an online cooking gas logistics company. The company's overall mission is to provide cooking gas on demand &amp;sale of gas cylinders</v>
          </cell>
          <cell r="C2446" t="str">
            <v>Active</v>
          </cell>
          <cell r="D2446">
            <v>2015</v>
          </cell>
          <cell r="G2446" t="str">
            <v>Nigeria</v>
          </cell>
          <cell r="X2446" t="str">
            <v>Energy &amp; Environment Resources</v>
          </cell>
        </row>
        <row r="2447">
          <cell r="A2447" t="str">
            <v>Bomes Resources Consulting</v>
          </cell>
          <cell r="B2447" t="str">
            <v>Accounting | Audit| Tax | Consulting</v>
          </cell>
          <cell r="C2447" t="str">
            <v>Active</v>
          </cell>
          <cell r="D2447">
            <v>2016</v>
          </cell>
          <cell r="G2447" t="str">
            <v>Nigeria</v>
          </cell>
          <cell r="X2447" t="str">
            <v>Commercial &amp; Professional Services</v>
          </cell>
        </row>
        <row r="2448">
          <cell r="A2448" t="str">
            <v>Fundit</v>
          </cell>
          <cell r="B2448" t="str">
            <v>An e-deposit system that to deposit into bank account via USSD, mobile and web channel using fundit scratch card or airtime credit.</v>
          </cell>
          <cell r="C2448" t="str">
            <v>Active</v>
          </cell>
          <cell r="D2448">
            <v>2018</v>
          </cell>
          <cell r="G2448" t="str">
            <v>Nigeria</v>
          </cell>
          <cell r="X2448" t="str">
            <v>Financial Services</v>
          </cell>
        </row>
        <row r="2449">
          <cell r="A2449" t="str">
            <v>FLUXBIE</v>
          </cell>
          <cell r="B2449" t="str">
            <v>A RIDE-POOLING PLATFORM STAR-UPS, EMPLOYEES AND ENTERPRISES.</v>
          </cell>
          <cell r="C2449" t="str">
            <v>Active</v>
          </cell>
          <cell r="D2449">
            <v>2018</v>
          </cell>
          <cell r="G2449" t="str">
            <v>Nigeria</v>
          </cell>
          <cell r="X2449" t="str">
            <v>Transport and Logistics</v>
          </cell>
        </row>
        <row r="2450">
          <cell r="A2450" t="str">
            <v>Acadar</v>
          </cell>
          <cell r="B2450" t="str">
            <v>Acadar provides self-assessment tests and games to help students all over the world understand how well they understand and measure against</v>
          </cell>
          <cell r="C2450" t="str">
            <v>Active</v>
          </cell>
          <cell r="D2450">
            <v>2011</v>
          </cell>
          <cell r="G2450" t="str">
            <v>Nigeria</v>
          </cell>
          <cell r="X2450" t="str">
            <v>Education</v>
          </cell>
        </row>
        <row r="2451">
          <cell r="A2451" t="str">
            <v>Raoatech IT-Electromech Limited</v>
          </cell>
          <cell r="B2451" t="str">
            <v>It is an ICT firm that specialised majorly in software solutions.Its main app has processed over $677k for a client within 2 years.</v>
          </cell>
          <cell r="C2451" t="str">
            <v>Active</v>
          </cell>
          <cell r="D2451">
            <v>2014</v>
          </cell>
          <cell r="G2451" t="str">
            <v>Nigeria</v>
          </cell>
          <cell r="X2451" t="str">
            <v>Telecommunication</v>
          </cell>
        </row>
        <row r="2452">
          <cell r="A2452" t="str">
            <v>Compex Africa</v>
          </cell>
          <cell r="B2452" t="str">
            <v>Compex Africa is an online marketplace for buying and selling businesses.</v>
          </cell>
          <cell r="C2452" t="str">
            <v>Active</v>
          </cell>
          <cell r="D2452">
            <v>2016</v>
          </cell>
          <cell r="G2452" t="str">
            <v>Nigeria</v>
          </cell>
          <cell r="X2452" t="str">
            <v>E-Commerce &amp; Retail</v>
          </cell>
        </row>
        <row r="2453">
          <cell r="A2453" t="str">
            <v>Jobsinnigeria.com.ng</v>
          </cell>
          <cell r="B2453" t="str">
            <v>a platform to help potential employees, connect with their potential employers.</v>
          </cell>
          <cell r="C2453" t="str">
            <v>Active</v>
          </cell>
          <cell r="D2453">
            <v>2011</v>
          </cell>
          <cell r="G2453" t="str">
            <v>Nigeria</v>
          </cell>
          <cell r="X2453" t="str">
            <v>Commercial &amp; Professional Services</v>
          </cell>
        </row>
        <row r="2454">
          <cell r="A2454" t="str">
            <v>Frakem.com</v>
          </cell>
          <cell r="B2454" t="str">
            <v>Frakem.com is Nigeria‚Äôs largest online building materials retail store.</v>
          </cell>
          <cell r="C2454" t="str">
            <v>Active</v>
          </cell>
          <cell r="D2454">
            <v>2015</v>
          </cell>
          <cell r="G2454" t="str">
            <v>Nigeria</v>
          </cell>
          <cell r="X2454" t="str">
            <v>E-Commerce &amp; Retail</v>
          </cell>
        </row>
        <row r="2455">
          <cell r="A2455" t="str">
            <v>ChowHub</v>
          </cell>
          <cell r="B2455" t="str">
            <v>ChowHub helps you discover great places to eat and order from.</v>
          </cell>
          <cell r="C2455" t="str">
            <v>Active</v>
          </cell>
          <cell r="D2455">
            <v>2015</v>
          </cell>
          <cell r="G2455" t="str">
            <v>Nigeria</v>
          </cell>
          <cell r="X2455" t="str">
            <v>E-Commerce &amp; Retail</v>
          </cell>
        </row>
        <row r="2456">
          <cell r="A2456" t="str">
            <v>Onebox</v>
          </cell>
          <cell r="B2456" t="str">
            <v>Nigeria's online carton box store</v>
          </cell>
          <cell r="C2456" t="str">
            <v>Active</v>
          </cell>
          <cell r="D2456">
            <v>2018</v>
          </cell>
          <cell r="G2456" t="str">
            <v>Nigeria</v>
          </cell>
          <cell r="X2456" t="str">
            <v>E-Commerce &amp; Retail</v>
          </cell>
        </row>
        <row r="2457">
          <cell r="A2457" t="str">
            <v>Bookings Africa</v>
          </cell>
          <cell r="B2457" t="str">
            <v>The best online platform to Book Talented Creatives across Africa.</v>
          </cell>
          <cell r="C2457" t="str">
            <v>Active</v>
          </cell>
          <cell r="D2457">
            <v>2018</v>
          </cell>
          <cell r="G2457" t="str">
            <v>Nigeria</v>
          </cell>
          <cell r="X2457" t="str">
            <v>Commercial &amp; Professional Services</v>
          </cell>
        </row>
        <row r="2458">
          <cell r="A2458" t="str">
            <v>Reimnet Limited</v>
          </cell>
          <cell r="B2458" t="str">
            <v>Reimnet Limited is a technology firm in Nigeria, providing cloud application development services, software development etc</v>
          </cell>
          <cell r="C2458" t="str">
            <v>Active</v>
          </cell>
          <cell r="D2458">
            <v>2013</v>
          </cell>
          <cell r="G2458" t="str">
            <v>Nigeria</v>
          </cell>
          <cell r="X2458" t="str">
            <v>Commercial &amp; Professional Services</v>
          </cell>
        </row>
        <row r="2459">
          <cell r="A2459" t="str">
            <v>Techrabytes</v>
          </cell>
          <cell r="B2459" t="str">
            <v>Techrabytes is a tech blog that focuses on smart gadgets specs, prices and reviews.</v>
          </cell>
          <cell r="C2459" t="str">
            <v>Active</v>
          </cell>
          <cell r="D2459">
            <v>2017</v>
          </cell>
          <cell r="G2459" t="str">
            <v>Nigeria</v>
          </cell>
          <cell r="X2459" t="str">
            <v>Media and Entertainment</v>
          </cell>
        </row>
        <row r="2460">
          <cell r="A2460" t="str">
            <v>EmiratePad</v>
          </cell>
          <cell r="B2460" t="str">
            <v>EmiratePad connects commuters to wherever they need to go</v>
          </cell>
          <cell r="C2460" t="str">
            <v>Active</v>
          </cell>
          <cell r="D2460">
            <v>2014</v>
          </cell>
          <cell r="G2460" t="str">
            <v>Nigeria</v>
          </cell>
          <cell r="X2460" t="str">
            <v>Financial Services</v>
          </cell>
        </row>
        <row r="2461">
          <cell r="A2461" t="str">
            <v>Owojela's Blog</v>
          </cell>
          <cell r="B2461" t="str">
            <v>Owojela's Blog is the number one source for the latest nigerian news, inspirational talks, technology news, crutech school news</v>
          </cell>
          <cell r="C2461" t="str">
            <v>Active</v>
          </cell>
          <cell r="D2461">
            <v>2015</v>
          </cell>
          <cell r="G2461" t="str">
            <v>Nigeria</v>
          </cell>
          <cell r="X2461" t="str">
            <v>Telecommunication</v>
          </cell>
        </row>
        <row r="2462">
          <cell r="A2462" t="str">
            <v>MaketAam</v>
          </cell>
          <cell r="B2462" t="str">
            <v>MaketAam is an AI-powered social marketplace.</v>
          </cell>
          <cell r="C2462" t="str">
            <v>Active</v>
          </cell>
          <cell r="D2462">
            <v>2018</v>
          </cell>
          <cell r="G2462" t="str">
            <v>Nigeria</v>
          </cell>
          <cell r="X2462" t="str">
            <v>Commercial &amp; Professional Services</v>
          </cell>
        </row>
        <row r="2463">
          <cell r="A2463" t="str">
            <v>iClean</v>
          </cell>
          <cell r="B2463" t="str">
            <v>iClean is a home and office cleaning services company.We connect clients to on-demand domestic cleaners through our online booking platform.</v>
          </cell>
          <cell r="C2463" t="str">
            <v>Active</v>
          </cell>
          <cell r="D2463">
            <v>2017</v>
          </cell>
          <cell r="G2463" t="str">
            <v>Nigeria</v>
          </cell>
          <cell r="X2463" t="str">
            <v>Commercial &amp; Professional Services</v>
          </cell>
        </row>
        <row r="2464">
          <cell r="A2464" t="str">
            <v>Brangenius</v>
          </cell>
          <cell r="B2464" t="str">
            <v>A full service digital creative agency, run by design addict and creative people.</v>
          </cell>
          <cell r="C2464" t="str">
            <v>Active</v>
          </cell>
          <cell r="D2464">
            <v>2019</v>
          </cell>
          <cell r="G2464" t="str">
            <v>Nigeria</v>
          </cell>
          <cell r="X2464" t="str">
            <v>Telecommunication</v>
          </cell>
        </row>
        <row r="2465">
          <cell r="A2465" t="str">
            <v>Mylaw.ng</v>
          </cell>
          <cell r="B2465" t="str">
            <v>Mylaw.ng is a technology enabled platform where individuals and businesses can access legal services from the comfort of any device.</v>
          </cell>
          <cell r="C2465" t="str">
            <v>Active</v>
          </cell>
          <cell r="D2465">
            <v>2018</v>
          </cell>
          <cell r="G2465" t="str">
            <v>Nigeria</v>
          </cell>
          <cell r="X2465" t="str">
            <v>Commercial &amp; Professional Services</v>
          </cell>
        </row>
        <row r="2466">
          <cell r="A2466" t="str">
            <v>Generation Y</v>
          </cell>
          <cell r="B2466" t="str">
            <v>This is an online &amp; video production company, and we use all our platforms to tell inspired African stories to mass African audiences.</v>
          </cell>
          <cell r="C2466" t="str">
            <v>Active</v>
          </cell>
          <cell r="D2466">
            <v>2010</v>
          </cell>
          <cell r="G2466" t="str">
            <v>Nigeria</v>
          </cell>
          <cell r="X2466" t="str">
            <v>Telecommunication</v>
          </cell>
        </row>
        <row r="2467">
          <cell r="A2467" t="str">
            <v>Bigcode Microsystems</v>
          </cell>
          <cell r="B2467" t="str">
            <v>Bigcode Microsystems Ltd is a software development company and full service digital agency.</v>
          </cell>
          <cell r="C2467" t="str">
            <v>Active</v>
          </cell>
          <cell r="D2467">
            <v>2010</v>
          </cell>
          <cell r="G2467" t="str">
            <v>Nigeria</v>
          </cell>
          <cell r="X2467" t="str">
            <v>Commercial &amp; Professional Services</v>
          </cell>
        </row>
        <row r="2468">
          <cell r="A2468" t="str">
            <v>Zama</v>
          </cell>
          <cell r="B2468" t="str">
            <v>Zama is a real estate company driven by technology aimed at empowering consumers with data.</v>
          </cell>
          <cell r="C2468" t="str">
            <v>Active</v>
          </cell>
          <cell r="D2468">
            <v>2018</v>
          </cell>
          <cell r="G2468" t="str">
            <v>Nigeria</v>
          </cell>
          <cell r="X2468" t="str">
            <v>Real Estate</v>
          </cell>
        </row>
        <row r="2469">
          <cell r="A2469" t="str">
            <v>The Audio Age Company</v>
          </cell>
          <cell r="B2469" t="str">
            <v>The Audio Age Company is an information services, news and data company based in Lagos, Nigeria.</v>
          </cell>
          <cell r="C2469" t="str">
            <v>Active</v>
          </cell>
          <cell r="D2469">
            <v>2012</v>
          </cell>
          <cell r="G2469" t="str">
            <v>Nigeria</v>
          </cell>
          <cell r="X2469" t="str">
            <v>Media and Entertainment</v>
          </cell>
        </row>
        <row r="2470">
          <cell r="A2470" t="str">
            <v>Basenaija</v>
          </cell>
          <cell r="B2470" t="str">
            <v>Nigerian News And Entertainment Website</v>
          </cell>
          <cell r="C2470" t="str">
            <v>Active</v>
          </cell>
          <cell r="D2470">
            <v>2018</v>
          </cell>
          <cell r="G2470" t="str">
            <v>Nigeria</v>
          </cell>
          <cell r="X2470" t="str">
            <v>Media and Entertainment</v>
          </cell>
        </row>
        <row r="2471">
          <cell r="A2471" t="str">
            <v>Furnish.NG</v>
          </cell>
          <cell r="B2471" t="str">
            <v>Furnish.NG provides shoppers access to unlimited and affordable choices of furniture, homeware, and interior decor items in Nigeria.</v>
          </cell>
          <cell r="C2471" t="str">
            <v>Active</v>
          </cell>
          <cell r="D2471">
            <v>2016</v>
          </cell>
          <cell r="G2471" t="str">
            <v>Nigeria</v>
          </cell>
          <cell r="X2471" t="str">
            <v>E-Commerce &amp; Retail</v>
          </cell>
        </row>
        <row r="2472">
          <cell r="A2472" t="str">
            <v>TechSavvy</v>
          </cell>
          <cell r="B2472" t="str">
            <v>Our expertise across web, branding, and marketing, we shape creative and user-friendly solutions that will help you effectively.</v>
          </cell>
          <cell r="C2472" t="str">
            <v>Active</v>
          </cell>
          <cell r="D2472">
            <v>2013</v>
          </cell>
          <cell r="G2472" t="str">
            <v>Nigeria</v>
          </cell>
          <cell r="X2472" t="str">
            <v>Commercial &amp; Professional Services</v>
          </cell>
        </row>
        <row r="2473">
          <cell r="A2473" t="str">
            <v>Glamour.com.ng</v>
          </cell>
          <cell r="B2473" t="str">
            <v>Nigeria‚Äôs No.1 online retailer for all things glamour for men and women- fragrances, skin-care, cosmetics, and much more.</v>
          </cell>
          <cell r="C2473" t="str">
            <v>Active</v>
          </cell>
          <cell r="D2473">
            <v>2012</v>
          </cell>
          <cell r="G2473" t="str">
            <v>Nigeria</v>
          </cell>
          <cell r="X2473" t="str">
            <v>E-Commerce &amp; Retail</v>
          </cell>
        </row>
        <row r="2474">
          <cell r="A2474" t="str">
            <v>Instant Apartment</v>
          </cell>
          <cell r="B2474" t="str">
            <v>Instant Apartment is an online platform that provides short to medium term accommodation for your business trip.</v>
          </cell>
          <cell r="C2474" t="str">
            <v>Active</v>
          </cell>
          <cell r="D2474">
            <v>2017</v>
          </cell>
          <cell r="G2474" t="str">
            <v>Nigeria</v>
          </cell>
          <cell r="X2474" t="str">
            <v>Real Estate</v>
          </cell>
        </row>
        <row r="2475">
          <cell r="A2475" t="str">
            <v>Property Deal Zone</v>
          </cell>
          <cell r="B2475" t="str">
            <v>Nigeria's property marketplace. Find a property to buy or rent in Nigeria. Get quality real estate advice from real estate professionals.</v>
          </cell>
          <cell r="C2475" t="str">
            <v>Active</v>
          </cell>
          <cell r="D2475">
            <v>2011</v>
          </cell>
          <cell r="G2475" t="str">
            <v>Nigeria</v>
          </cell>
          <cell r="X2475" t="str">
            <v>Real Estate</v>
          </cell>
        </row>
        <row r="2476">
          <cell r="A2476" t="str">
            <v>Agribooth Technological Solutions Limited</v>
          </cell>
          <cell r="B2476" t="str">
            <v>B2C, B2B, B2G</v>
          </cell>
          <cell r="C2476" t="str">
            <v>Active</v>
          </cell>
          <cell r="D2476">
            <v>2017</v>
          </cell>
          <cell r="G2476" t="str">
            <v>Nigeria</v>
          </cell>
          <cell r="X2476" t="str">
            <v>Agriculture</v>
          </cell>
        </row>
        <row r="2477">
          <cell r="A2477" t="str">
            <v>Kago</v>
          </cell>
          <cell r="B2477" t="str">
            <v>Kago is an on-demand and non-asset based logistics startup that links users to our courier partners.</v>
          </cell>
          <cell r="C2477" t="str">
            <v>Active</v>
          </cell>
          <cell r="D2477">
            <v>2019</v>
          </cell>
          <cell r="G2477" t="str">
            <v>Nigeria</v>
          </cell>
          <cell r="X2477" t="str">
            <v>Transport and Logistics</v>
          </cell>
        </row>
        <row r="2478">
          <cell r="A2478" t="str">
            <v>Intellectric Systems</v>
          </cell>
          <cell r="B2478" t="str">
            <v>An energy company that has developed breakthrough software and hardware tech that makes solar systems many times cheaper.</v>
          </cell>
          <cell r="C2478" t="str">
            <v>Active</v>
          </cell>
          <cell r="D2478">
            <v>2015</v>
          </cell>
          <cell r="G2478" t="str">
            <v>Nigeria</v>
          </cell>
          <cell r="X2478" t="str">
            <v>Energy &amp; Environment Resources</v>
          </cell>
        </row>
        <row r="2479">
          <cell r="A2479" t="str">
            <v>DevWare</v>
          </cell>
          <cell r="B2479" t="str">
            <v>DevWare bridges the gulf between the growing demand for web developers in Europe and the unemployment among African graduates.</v>
          </cell>
          <cell r="C2479" t="str">
            <v>Active</v>
          </cell>
          <cell r="D2479">
            <v>2018</v>
          </cell>
          <cell r="G2479" t="str">
            <v>Nigeria</v>
          </cell>
          <cell r="X2479" t="str">
            <v>Commercial &amp; Professional Services</v>
          </cell>
        </row>
        <row r="2480">
          <cell r="A2480" t="str">
            <v>Abule Graphics</v>
          </cell>
          <cell r="B2480" t="str">
            <v>Abule Graphics is a Web Design and Digital Marketing Agency.</v>
          </cell>
          <cell r="C2480" t="str">
            <v>Active</v>
          </cell>
          <cell r="D2480">
            <v>2014</v>
          </cell>
          <cell r="G2480" t="str">
            <v>Nigeria</v>
          </cell>
          <cell r="X2480" t="str">
            <v>Commercial &amp; Professional Services</v>
          </cell>
        </row>
        <row r="2481">
          <cell r="A2481" t="str">
            <v>HealthFacts</v>
          </cell>
          <cell r="B2481" t="str">
            <v>An Interactive Health Media platform.</v>
          </cell>
          <cell r="C2481" t="str">
            <v>Active</v>
          </cell>
          <cell r="D2481">
            <v>2015</v>
          </cell>
          <cell r="G2481" t="str">
            <v>Nigeria</v>
          </cell>
          <cell r="X2481" t="str">
            <v>Healthcare &amp; Pharma</v>
          </cell>
        </row>
        <row r="2482">
          <cell r="A2482" t="str">
            <v>FlyBoku</v>
          </cell>
          <cell r="B2482" t="str">
            <v>Flyboku is an online travel portal where users can book flights online.</v>
          </cell>
          <cell r="C2482" t="str">
            <v>Active</v>
          </cell>
          <cell r="D2482">
            <v>2016</v>
          </cell>
          <cell r="G2482" t="str">
            <v>Nigeria</v>
          </cell>
          <cell r="X2482" t="str">
            <v>Travel and Leisure</v>
          </cell>
        </row>
        <row r="2483">
          <cell r="A2483" t="str">
            <v>cameraman.ng</v>
          </cell>
          <cell r="B2483" t="str">
            <v>Connect In Real-Time with talented pro. photographers/videographers around you at a great price.</v>
          </cell>
          <cell r="C2483" t="str">
            <v>Active</v>
          </cell>
          <cell r="D2483">
            <v>2017</v>
          </cell>
          <cell r="G2483" t="str">
            <v>Nigeria</v>
          </cell>
          <cell r="X2483" t="str">
            <v>Commercial &amp; Professional Services</v>
          </cell>
        </row>
        <row r="2484">
          <cell r="A2484" t="str">
            <v>Swish Ideas Limited</v>
          </cell>
          <cell r="B2484" t="str">
            <v>Swish Ideas is an online gift company.</v>
          </cell>
          <cell r="C2484" t="str">
            <v>Active</v>
          </cell>
          <cell r="D2484">
            <v>2011</v>
          </cell>
          <cell r="G2484" t="str">
            <v>Nigeria</v>
          </cell>
          <cell r="X2484" t="str">
            <v>E-Commerce &amp; Retail</v>
          </cell>
        </row>
        <row r="2485">
          <cell r="A2485" t="str">
            <v>Dockaysworld</v>
          </cell>
          <cell r="B2485" t="str">
            <v>News &amp; Entertainment | Download latest naija songs</v>
          </cell>
          <cell r="C2485" t="str">
            <v>Active</v>
          </cell>
          <cell r="D2485">
            <v>2017</v>
          </cell>
          <cell r="G2485" t="str">
            <v>Nigeria</v>
          </cell>
          <cell r="X2485" t="str">
            <v>Media and Entertainment</v>
          </cell>
        </row>
        <row r="2486">
          <cell r="A2486" t="str">
            <v>TechSuplex</v>
          </cell>
          <cell r="B2486" t="str">
            <v>Techsuplex is an online technology magazine based in Nigeria.</v>
          </cell>
          <cell r="C2486" t="str">
            <v>Active</v>
          </cell>
          <cell r="D2486">
            <v>2012</v>
          </cell>
          <cell r="G2486" t="str">
            <v>Nigeria</v>
          </cell>
          <cell r="X2486" t="str">
            <v>Telecommunication</v>
          </cell>
        </row>
        <row r="2487">
          <cell r="A2487" t="str">
            <v>SchoolsFocus.net</v>
          </cell>
          <cell r="B2487" t="str">
            <v>Simplifying School Management in Africa through technology. Democratizing and Accelerating Digital Penetration to the grassroots.</v>
          </cell>
          <cell r="C2487" t="str">
            <v>Active</v>
          </cell>
          <cell r="D2487">
            <v>2018</v>
          </cell>
          <cell r="G2487" t="str">
            <v>Nigeria</v>
          </cell>
          <cell r="X2487" t="str">
            <v>Education</v>
          </cell>
        </row>
        <row r="2488">
          <cell r="A2488" t="str">
            <v>The Trent</v>
          </cell>
          <cell r="B2488" t="str">
            <v>The Trent is a rich mash of politics, business, technology, lifestyle, pop culture, opinions, causes, news, and editorials.</v>
          </cell>
          <cell r="C2488" t="str">
            <v>Active</v>
          </cell>
          <cell r="D2488">
            <v>2013</v>
          </cell>
          <cell r="G2488" t="str">
            <v>Nigeria</v>
          </cell>
          <cell r="X2488" t="str">
            <v>Media and Entertainment</v>
          </cell>
        </row>
        <row r="2489">
          <cell r="A2489" t="str">
            <v>Hirefreehands</v>
          </cell>
          <cell r="B2489" t="str">
            <v>Hirefreehands is a 2-sided online market place where verified freelancers deliver digital and domestic services to clients.</v>
          </cell>
          <cell r="C2489" t="str">
            <v>Active</v>
          </cell>
          <cell r="D2489">
            <v>2015</v>
          </cell>
          <cell r="G2489" t="str">
            <v>Nigeria</v>
          </cell>
          <cell r="X2489" t="str">
            <v>Commercial &amp; Professional Services</v>
          </cell>
        </row>
        <row r="2490">
          <cell r="A2490" t="str">
            <v>Wow Effect Communications</v>
          </cell>
          <cell r="B2490" t="str">
            <v>Nigerian digital marketing agency</v>
          </cell>
          <cell r="C2490" t="str">
            <v>Active</v>
          </cell>
          <cell r="D2490">
            <v>2010</v>
          </cell>
          <cell r="G2490" t="str">
            <v>Nigeria</v>
          </cell>
          <cell r="X2490" t="str">
            <v>Telecommunication</v>
          </cell>
        </row>
        <row r="2491">
          <cell r="A2491" t="str">
            <v>Sellvila</v>
          </cell>
          <cell r="B2491" t="str">
            <v>online marketplace, ecommerce</v>
          </cell>
          <cell r="C2491" t="str">
            <v>Active</v>
          </cell>
          <cell r="D2491">
            <v>2018</v>
          </cell>
          <cell r="G2491" t="str">
            <v>Nigeria</v>
          </cell>
          <cell r="X2491" t="str">
            <v>E-Commerce &amp; Retail</v>
          </cell>
        </row>
        <row r="2492">
          <cell r="A2492" t="str">
            <v>MyWeb</v>
          </cell>
          <cell r="B2492" t="str">
            <v>Create Business Management Tools, Stunning Websites, Online Stores, Logos, Business Email Accounts in minutes. No Coding skill needed.</v>
          </cell>
          <cell r="C2492" t="str">
            <v>Active</v>
          </cell>
          <cell r="D2492">
            <v>2018</v>
          </cell>
          <cell r="G2492" t="str">
            <v>Nigeria</v>
          </cell>
          <cell r="X2492" t="str">
            <v>Telecommunication</v>
          </cell>
        </row>
        <row r="2493">
          <cell r="A2493" t="str">
            <v>Questechie</v>
          </cell>
          <cell r="B2493" t="str">
            <v>Questechie is a weblog with resource for those interested in computing technology and online marketing.</v>
          </cell>
          <cell r="C2493" t="str">
            <v>Active</v>
          </cell>
          <cell r="D2493">
            <v>2011</v>
          </cell>
          <cell r="G2493" t="str">
            <v>Nigeria</v>
          </cell>
          <cell r="X2493" t="str">
            <v>Telecommunication</v>
          </cell>
        </row>
        <row r="2494">
          <cell r="A2494" t="str">
            <v>ShawSec</v>
          </cell>
          <cell r="B2494" t="str">
            <v>Cyber Security &amp; Penetration Testing</v>
          </cell>
          <cell r="C2494" t="str">
            <v>Active</v>
          </cell>
          <cell r="D2494">
            <v>2017</v>
          </cell>
          <cell r="G2494" t="str">
            <v>Nigeria</v>
          </cell>
          <cell r="X2494" t="str">
            <v>Commercial &amp; Professional Services</v>
          </cell>
        </row>
        <row r="2495">
          <cell r="A2495" t="str">
            <v>Nikenga.com</v>
          </cell>
          <cell r="B2495" t="str">
            <v>A Nice Online Store</v>
          </cell>
          <cell r="C2495" t="str">
            <v>Active</v>
          </cell>
          <cell r="D2495">
            <v>2015</v>
          </cell>
          <cell r="G2495" t="str">
            <v>Nigeria</v>
          </cell>
          <cell r="X2495" t="str">
            <v>E-Commerce &amp; Retail</v>
          </cell>
        </row>
        <row r="2496">
          <cell r="A2496" t="str">
            <v>Nairapacket</v>
          </cell>
          <cell r="B2496" t="str">
            <v>Disrupting the financial-payment system via mobile gaming as a fun and rewarding system that motivates users to store money in digital form.</v>
          </cell>
          <cell r="C2496" t="str">
            <v>Active</v>
          </cell>
          <cell r="D2496">
            <v>2016</v>
          </cell>
          <cell r="G2496" t="str">
            <v>Nigeria</v>
          </cell>
          <cell r="X2496" t="str">
            <v>Financial Services</v>
          </cell>
        </row>
        <row r="2497">
          <cell r="A2497" t="str">
            <v>NaijaJobs</v>
          </cell>
          <cell r="B2497" t="str">
            <v>Naijajobs is a job search engine for Nigeria.</v>
          </cell>
          <cell r="C2497" t="str">
            <v>Active</v>
          </cell>
          <cell r="D2497">
            <v>2013</v>
          </cell>
          <cell r="G2497" t="str">
            <v>Nigeria</v>
          </cell>
          <cell r="X2497" t="str">
            <v>Commercial &amp; Professional Services</v>
          </cell>
        </row>
        <row r="2498">
          <cell r="A2498" t="str">
            <v>Jatefoods</v>
          </cell>
          <cell r="B2498" t="str">
            <v>Agricultural Tech</v>
          </cell>
          <cell r="C2498" t="str">
            <v>Active</v>
          </cell>
          <cell r="D2498">
            <v>2018</v>
          </cell>
          <cell r="G2498" t="str">
            <v>Nigeria</v>
          </cell>
          <cell r="X2498" t="str">
            <v>Agriculture</v>
          </cell>
        </row>
        <row r="2499">
          <cell r="A2499" t="str">
            <v>Campus Trybe</v>
          </cell>
          <cell r="B2499" t="str">
            <v>Campus Trybe exists to disseminate credible information about happenings in the Nigeria academic space.</v>
          </cell>
          <cell r="C2499" t="str">
            <v>Active</v>
          </cell>
          <cell r="D2499">
            <v>2015</v>
          </cell>
          <cell r="G2499" t="str">
            <v>Nigeria</v>
          </cell>
          <cell r="X2499" t="str">
            <v>Media and Entertainment</v>
          </cell>
        </row>
        <row r="2500">
          <cell r="A2500" t="str">
            <v>Simer</v>
          </cell>
          <cell r="B2500" t="str">
            <v>Simer is a social learning platform that connects the world to free education and lets people learn without limits.</v>
          </cell>
          <cell r="C2500" t="str">
            <v>Active</v>
          </cell>
          <cell r="D2500">
            <v>2012</v>
          </cell>
          <cell r="G2500" t="str">
            <v>Nigeria</v>
          </cell>
          <cell r="X2500" t="str">
            <v>Education</v>
          </cell>
        </row>
        <row r="2501">
          <cell r="A2501" t="str">
            <v>Krafty Sprouts</v>
          </cell>
          <cell r="B2501" t="str">
            <v>Online Media publishing company</v>
          </cell>
          <cell r="C2501" t="str">
            <v>Active</v>
          </cell>
          <cell r="D2501">
            <v>2015</v>
          </cell>
          <cell r="G2501" t="str">
            <v>Nigeria</v>
          </cell>
          <cell r="X2501" t="str">
            <v>Media and Entertainment</v>
          </cell>
        </row>
        <row r="2502">
          <cell r="A2502" t="str">
            <v>Filada.com</v>
          </cell>
          <cell r="B2502" t="str">
            <v>Filada.com is a Nigerian online female fashion website selling clothes, shoes, hairs and all other female fashion items.</v>
          </cell>
          <cell r="C2502" t="str">
            <v>Active</v>
          </cell>
          <cell r="D2502">
            <v>2016</v>
          </cell>
          <cell r="G2502" t="str">
            <v>Nigeria</v>
          </cell>
          <cell r="X2502" t="str">
            <v>E-Commerce &amp; Retail</v>
          </cell>
        </row>
        <row r="2503">
          <cell r="A2503" t="str">
            <v>Trickvile</v>
          </cell>
          <cell r="B2503" t="str">
            <v>Trickvile.com is a tech blog that Delivers hot Tutorials, free ebooks and Technology.</v>
          </cell>
          <cell r="C2503" t="str">
            <v>Active</v>
          </cell>
          <cell r="D2503">
            <v>2018</v>
          </cell>
          <cell r="G2503" t="str">
            <v>Nigeria</v>
          </cell>
          <cell r="X2503" t="str">
            <v>Media and Entertainment</v>
          </cell>
        </row>
        <row r="2504">
          <cell r="A2504" t="str">
            <v>jaraCake</v>
          </cell>
          <cell r="B2504" t="str">
            <v>The Largest E-Commerce Website for Confectioneries and specialty gifts in Nigeria</v>
          </cell>
          <cell r="C2504" t="str">
            <v>Active</v>
          </cell>
          <cell r="D2504">
            <v>2016</v>
          </cell>
          <cell r="G2504" t="str">
            <v>Nigeria</v>
          </cell>
          <cell r="X2504" t="str">
            <v>E-Commerce &amp; Retail</v>
          </cell>
        </row>
        <row r="2505">
          <cell r="A2505" t="str">
            <v>Chigisoft</v>
          </cell>
          <cell r="B2505" t="str">
            <v>Software Development and ICT Infrastructure Services</v>
          </cell>
          <cell r="C2505" t="str">
            <v>Active</v>
          </cell>
          <cell r="D2505">
            <v>2016</v>
          </cell>
          <cell r="G2505" t="str">
            <v>Nigeria</v>
          </cell>
          <cell r="X2505" t="str">
            <v>Commercial &amp; Professional Services</v>
          </cell>
        </row>
        <row r="2506">
          <cell r="A2506" t="str">
            <v>Hojah Food Delivery</v>
          </cell>
          <cell r="B2506" t="str">
            <v>Hojah is a food delivery company that delivers food from your favorite restaurants.</v>
          </cell>
          <cell r="C2506" t="str">
            <v>Active</v>
          </cell>
          <cell r="D2506">
            <v>2015</v>
          </cell>
          <cell r="G2506" t="str">
            <v>Nigeria</v>
          </cell>
          <cell r="X2506" t="str">
            <v>E-Commerce &amp; Retail</v>
          </cell>
        </row>
        <row r="2507">
          <cell r="A2507" t="str">
            <v>Yipada</v>
          </cell>
          <cell r="B2507" t="str">
            <v>Used Gadgets Retail</v>
          </cell>
          <cell r="C2507" t="str">
            <v>Active</v>
          </cell>
          <cell r="D2507">
            <v>2019</v>
          </cell>
          <cell r="G2507" t="str">
            <v>Nigeria</v>
          </cell>
          <cell r="X2507" t="str">
            <v>E-Commerce &amp; Retail</v>
          </cell>
        </row>
        <row r="2508">
          <cell r="A2508" t="str">
            <v>Mouthytech</v>
          </cell>
          <cell r="B2508" t="str">
            <v>Tech Blog</v>
          </cell>
          <cell r="C2508" t="str">
            <v>Active</v>
          </cell>
          <cell r="D2508">
            <v>2015</v>
          </cell>
          <cell r="G2508" t="str">
            <v>Nigeria</v>
          </cell>
          <cell r="X2508" t="str">
            <v>Telecommunication</v>
          </cell>
        </row>
        <row r="2509">
          <cell r="A2509" t="str">
            <v>Hoodtrends</v>
          </cell>
          <cell r="B2509" t="str">
            <v>Entertainment site</v>
          </cell>
          <cell r="C2509" t="str">
            <v>Active</v>
          </cell>
          <cell r="D2509">
            <v>2018</v>
          </cell>
          <cell r="G2509" t="str">
            <v>Nigeria</v>
          </cell>
          <cell r="X2509" t="str">
            <v>Media and Entertainment</v>
          </cell>
        </row>
        <row r="2510">
          <cell r="A2510" t="str">
            <v>Flinoid Texvo</v>
          </cell>
          <cell r="B2510" t="str">
            <v>Providing digital assistant to Africa ,implementing all digital tools available</v>
          </cell>
          <cell r="C2510" t="str">
            <v>Active</v>
          </cell>
          <cell r="D2510">
            <v>2016</v>
          </cell>
          <cell r="G2510" t="str">
            <v>Nigeria</v>
          </cell>
          <cell r="X2510" t="str">
            <v>Commercial &amp; Professional Services</v>
          </cell>
        </row>
        <row r="2511">
          <cell r="A2511" t="str">
            <v>Cashdown Nigeria</v>
          </cell>
          <cell r="B2511" t="str">
            <v>Cashdown Nigeria is a platform borne of the need to make the lives of Nigerians easier.</v>
          </cell>
          <cell r="C2511" t="str">
            <v>Active</v>
          </cell>
          <cell r="D2511">
            <v>2014</v>
          </cell>
          <cell r="G2511" t="str">
            <v>Nigeria</v>
          </cell>
          <cell r="X2511" t="str">
            <v>Financial Services</v>
          </cell>
        </row>
        <row r="2512">
          <cell r="A2512" t="str">
            <v>ML Academy Limited</v>
          </cell>
          <cell r="B2512" t="str">
            <v>Online learning platform based in West Africa that aims to bridge the educational divide</v>
          </cell>
          <cell r="C2512" t="str">
            <v>Active</v>
          </cell>
          <cell r="D2512">
            <v>2017</v>
          </cell>
          <cell r="G2512" t="str">
            <v>Nigeria</v>
          </cell>
          <cell r="X2512" t="str">
            <v>Education</v>
          </cell>
        </row>
        <row r="2513">
          <cell r="A2513" t="str">
            <v>Next Big Gadgets</v>
          </cell>
          <cell r="B2513" t="str">
            <v>Media Company</v>
          </cell>
          <cell r="C2513" t="str">
            <v>Active</v>
          </cell>
          <cell r="D2513">
            <v>2017</v>
          </cell>
          <cell r="G2513" t="str">
            <v>Nigeria</v>
          </cell>
          <cell r="X2513" t="str">
            <v>Media and Entertainment</v>
          </cell>
        </row>
        <row r="2514">
          <cell r="A2514" t="str">
            <v>Kynect Health</v>
          </cell>
          <cell r="B2514" t="str">
            <v>Using deep learning to solve the world's biggest health problems and make healthcare affordable and better for all</v>
          </cell>
          <cell r="C2514" t="str">
            <v>Active</v>
          </cell>
          <cell r="D2514">
            <v>2018</v>
          </cell>
          <cell r="G2514" t="str">
            <v>Nigeria</v>
          </cell>
          <cell r="X2514" t="str">
            <v>Healthcare &amp; Pharma</v>
          </cell>
        </row>
        <row r="2515">
          <cell r="A2515" t="str">
            <v>StoreFoundry</v>
          </cell>
          <cell r="B2515" t="str">
            <v>A different e-commerce experience in Ghana and beyond. Build your store online for free and leave the rest to us!</v>
          </cell>
          <cell r="C2515" t="str">
            <v>Active</v>
          </cell>
          <cell r="D2515">
            <v>2014</v>
          </cell>
          <cell r="G2515" t="str">
            <v>Nigeria</v>
          </cell>
          <cell r="X2515" t="str">
            <v>E-Commerce &amp; Retail</v>
          </cell>
        </row>
        <row r="2516">
          <cell r="A2516" t="str">
            <v>Street Toolz</v>
          </cell>
          <cell r="B2516" t="str">
            <v>Media and advertising</v>
          </cell>
          <cell r="C2516" t="str">
            <v>Active</v>
          </cell>
          <cell r="D2516">
            <v>2012</v>
          </cell>
          <cell r="G2516" t="str">
            <v>Nigeria</v>
          </cell>
          <cell r="X2516" t="str">
            <v>Telecommunication</v>
          </cell>
        </row>
        <row r="2517">
          <cell r="A2517" t="str">
            <v>Kodegenic</v>
          </cell>
          <cell r="B2517" t="str">
            <v>We build digital products better and faster.</v>
          </cell>
          <cell r="C2517" t="str">
            <v>Active</v>
          </cell>
          <cell r="D2517">
            <v>2018</v>
          </cell>
          <cell r="G2517" t="str">
            <v>Nigeria</v>
          </cell>
          <cell r="X2517" t="str">
            <v>Commercial &amp; Professional Services</v>
          </cell>
        </row>
        <row r="2518">
          <cell r="A2518" t="str">
            <v>MyUniHostels</v>
          </cell>
          <cell r="B2518" t="str">
            <v>Online platform for searching and booking of off-campus accommodation for tertiary students</v>
          </cell>
          <cell r="C2518" t="str">
            <v>Active</v>
          </cell>
          <cell r="D2518">
            <v>2016</v>
          </cell>
          <cell r="G2518" t="str">
            <v>Nigeria</v>
          </cell>
          <cell r="X2518" t="str">
            <v>Education</v>
          </cell>
        </row>
        <row r="2519">
          <cell r="A2519" t="str">
            <v>Techie Wiz</v>
          </cell>
          <cell r="B2519" t="str">
            <v>Techie Wiz offers reliable, up-to-date and in-depth tutorials on Android, iOS, web apps, software and PC.</v>
          </cell>
          <cell r="C2519" t="str">
            <v>Active</v>
          </cell>
          <cell r="D2519">
            <v>2019</v>
          </cell>
          <cell r="G2519" t="str">
            <v>Nigeria</v>
          </cell>
          <cell r="X2519" t="str">
            <v>Education</v>
          </cell>
        </row>
        <row r="2520">
          <cell r="A2520" t="str">
            <v>YEMIPIDAN &amp; CO</v>
          </cell>
          <cell r="B2520" t="str">
            <v>YEMIPIDAN &amp; CO is focused on website development, e-commerce and digital marketing services.</v>
          </cell>
          <cell r="C2520" t="str">
            <v>Active</v>
          </cell>
          <cell r="D2520">
            <v>2014</v>
          </cell>
          <cell r="G2520" t="str">
            <v>Nigeria</v>
          </cell>
          <cell r="X2520" t="str">
            <v>Commercial &amp; Professional Services</v>
          </cell>
        </row>
        <row r="2521">
          <cell r="A2521" t="str">
            <v>Jensiv</v>
          </cell>
          <cell r="B2521" t="str">
            <v>Software Development Firm</v>
          </cell>
          <cell r="C2521" t="str">
            <v>Active</v>
          </cell>
          <cell r="D2521">
            <v>2018</v>
          </cell>
          <cell r="G2521" t="str">
            <v>Nigeria</v>
          </cell>
          <cell r="X2521" t="str">
            <v>Commercial &amp; Professional Services</v>
          </cell>
        </row>
        <row r="2522">
          <cell r="A2522" t="str">
            <v>Regal Eagle</v>
          </cell>
          <cell r="B2522" t="str">
            <v>Regal Eagle is a Local Structural Engineering and Design Specialist</v>
          </cell>
          <cell r="C2522" t="str">
            <v>Active</v>
          </cell>
          <cell r="D2522">
            <v>2014</v>
          </cell>
          <cell r="G2522" t="str">
            <v>Nigeria</v>
          </cell>
          <cell r="X2522" t="str">
            <v>Commercial &amp; Professional Services</v>
          </cell>
        </row>
        <row r="2523">
          <cell r="A2523" t="str">
            <v>Microbold Incorporated</v>
          </cell>
          <cell r="B2523" t="str">
            <v>Microbold is a technology company that provides business intelligence solutions.</v>
          </cell>
          <cell r="C2523" t="str">
            <v>Active</v>
          </cell>
          <cell r="D2523">
            <v>2011</v>
          </cell>
          <cell r="G2523" t="str">
            <v>Nigeria</v>
          </cell>
          <cell r="X2523" t="str">
            <v>Commercial &amp; Professional Services</v>
          </cell>
        </row>
        <row r="2524">
          <cell r="A2524" t="str">
            <v>TechyPals Inc</v>
          </cell>
          <cell r="B2524" t="str">
            <v>A fast rising tech blog in Africa focused on providing effective solution to technological problems</v>
          </cell>
          <cell r="C2524" t="str">
            <v>Active</v>
          </cell>
          <cell r="D2524">
            <v>2018</v>
          </cell>
          <cell r="G2524" t="str">
            <v>Nigeria</v>
          </cell>
          <cell r="X2524" t="str">
            <v>Telecommunication</v>
          </cell>
        </row>
        <row r="2525">
          <cell r="A2525" t="str">
            <v>Afribary</v>
          </cell>
          <cell r="B2525" t="str">
            <v>Afribary is Africa's fastest growing platform providing digital publishing solutions for Africa focused research.</v>
          </cell>
          <cell r="C2525" t="str">
            <v>Active</v>
          </cell>
          <cell r="D2525">
            <v>2018</v>
          </cell>
          <cell r="G2525" t="str">
            <v>Nigeria</v>
          </cell>
          <cell r="X2525" t="str">
            <v>Education</v>
          </cell>
        </row>
        <row r="2526">
          <cell r="A2526" t="str">
            <v>Salescabal</v>
          </cell>
          <cell r="B2526" t="str">
            <v>Smart cloud retail and customer engagement platform.</v>
          </cell>
          <cell r="C2526" t="str">
            <v>Active</v>
          </cell>
          <cell r="D2526">
            <v>2018</v>
          </cell>
          <cell r="G2526" t="str">
            <v>Nigeria</v>
          </cell>
          <cell r="X2526" t="str">
            <v>E-Commerce &amp; Retail</v>
          </cell>
        </row>
        <row r="2527">
          <cell r="A2527" t="str">
            <v>Kennel Pride</v>
          </cell>
          <cell r="B2527" t="str">
            <v>Kennel Pride is an online platform that allows dog owners get all the essential services they need to take care of their dog.</v>
          </cell>
          <cell r="C2527" t="str">
            <v>Active</v>
          </cell>
          <cell r="D2527">
            <v>2016</v>
          </cell>
          <cell r="G2527" t="str">
            <v>Nigeria</v>
          </cell>
          <cell r="X2527" t="str">
            <v>E-Commerce &amp; Retail</v>
          </cell>
        </row>
        <row r="2528">
          <cell r="A2528" t="str">
            <v>Codeplus Software Academy</v>
          </cell>
          <cell r="B2528" t="str">
            <v>We are a talent and startup accelerator. We are developing new software engineers to fill job roles &amp; develop distruptive solutions</v>
          </cell>
          <cell r="C2528" t="str">
            <v>Active</v>
          </cell>
          <cell r="D2528">
            <v>2014</v>
          </cell>
          <cell r="G2528" t="str">
            <v>Nigeria</v>
          </cell>
          <cell r="X2528" t="str">
            <v>Commercial &amp; Professional Services</v>
          </cell>
        </row>
        <row r="2529">
          <cell r="A2529" t="str">
            <v>nlist</v>
          </cell>
          <cell r="B2529" t="str">
            <v>Detailed directory and casting platform for discovering African movies and talent.</v>
          </cell>
          <cell r="C2529" t="str">
            <v>Active</v>
          </cell>
          <cell r="D2529">
            <v>2016</v>
          </cell>
          <cell r="G2529" t="str">
            <v>Nigeria</v>
          </cell>
          <cell r="X2529" t="str">
            <v>Media and Entertainment</v>
          </cell>
        </row>
        <row r="2530">
          <cell r="A2530" t="str">
            <v>Komotion Studios</v>
          </cell>
          <cell r="B2530" t="str">
            <v>African media content creation company for Film and TV and online mediums</v>
          </cell>
          <cell r="C2530" t="str">
            <v>Active</v>
          </cell>
          <cell r="D2530">
            <v>2015</v>
          </cell>
          <cell r="G2530" t="str">
            <v>Nigeria</v>
          </cell>
          <cell r="X2530" t="str">
            <v>Media and Entertainment</v>
          </cell>
        </row>
        <row r="2531">
          <cell r="A2531" t="str">
            <v>FuelVoucher</v>
          </cell>
          <cell r="B2531" t="str">
            <v>FuelVoucher.com.ng provides you an easy way to purchase fuel vouchers that can be used in most filling stations around the country</v>
          </cell>
          <cell r="C2531" t="str">
            <v>Active</v>
          </cell>
          <cell r="D2531">
            <v>2013</v>
          </cell>
          <cell r="G2531" t="str">
            <v>Nigeria</v>
          </cell>
          <cell r="X2531" t="str">
            <v>E-Commerce &amp; Retail</v>
          </cell>
        </row>
        <row r="2532">
          <cell r="A2532" t="str">
            <v>Lukandi Digital</v>
          </cell>
          <cell r="B2532" t="str">
            <v>A digital marketing agency</v>
          </cell>
          <cell r="C2532" t="str">
            <v>Active</v>
          </cell>
          <cell r="D2532">
            <v>2018</v>
          </cell>
          <cell r="G2532" t="str">
            <v>Nigeria</v>
          </cell>
          <cell r="X2532" t="str">
            <v>Commercial &amp; Professional Services</v>
          </cell>
        </row>
        <row r="2533">
          <cell r="A2533" t="str">
            <v>Guide Tricks</v>
          </cell>
          <cell r="B2533" t="str">
            <v>Guide Tricks is an blog in Nigeria that talks about living a boss free life with blogging. We cover about Making money online and more</v>
          </cell>
          <cell r="C2533" t="str">
            <v>Active</v>
          </cell>
          <cell r="D2533">
            <v>2014</v>
          </cell>
          <cell r="G2533" t="str">
            <v>Nigeria</v>
          </cell>
          <cell r="X2533" t="str">
            <v>Telecommunication</v>
          </cell>
        </row>
        <row r="2534">
          <cell r="A2534" t="str">
            <v>LawStrive</v>
          </cell>
          <cell r="B2534" t="str">
            <v>LawStrive provides accessible legal services and legal education to citizens in African Countries</v>
          </cell>
          <cell r="C2534" t="str">
            <v>Active</v>
          </cell>
          <cell r="D2534">
            <v>2016</v>
          </cell>
          <cell r="G2534" t="str">
            <v>Nigeria</v>
          </cell>
          <cell r="X2534" t="str">
            <v>Education</v>
          </cell>
        </row>
        <row r="2535">
          <cell r="A2535" t="str">
            <v>Uzibox</v>
          </cell>
          <cell r="B2535" t="str">
            <v>Uzibox is built to serve as a platform that connect's African content creators to the right market,make your voice known to the world</v>
          </cell>
          <cell r="C2535" t="str">
            <v>Active</v>
          </cell>
          <cell r="D2535">
            <v>2018</v>
          </cell>
          <cell r="G2535" t="str">
            <v>Nigeria</v>
          </cell>
          <cell r="X2535" t="str">
            <v>E-Commerce &amp; Retail</v>
          </cell>
        </row>
        <row r="2536">
          <cell r="A2536" t="str">
            <v>Food i Like</v>
          </cell>
          <cell r="B2536" t="str">
            <v>Order Food Delivery from Restaurants.</v>
          </cell>
          <cell r="C2536" t="str">
            <v>Active</v>
          </cell>
          <cell r="D2536">
            <v>2014</v>
          </cell>
          <cell r="G2536" t="str">
            <v>Nigeria</v>
          </cell>
          <cell r="X2536" t="str">
            <v>E-Commerce &amp; Retail</v>
          </cell>
        </row>
        <row r="2537">
          <cell r="A2537" t="str">
            <v>Opticsms</v>
          </cell>
          <cell r="B2537" t="str">
            <v>Opticsms is an Enterprise Resource Planning (ERP) model on Saas that automates school processes and records from enrolment to graduation</v>
          </cell>
          <cell r="C2537" t="str">
            <v>Active</v>
          </cell>
          <cell r="D2537">
            <v>2019</v>
          </cell>
          <cell r="G2537" t="str">
            <v>Nigeria</v>
          </cell>
          <cell r="X2537" t="str">
            <v>Commercial &amp; Professional Services</v>
          </cell>
        </row>
        <row r="2538">
          <cell r="A2538" t="str">
            <v>3AL Universal Trade</v>
          </cell>
          <cell r="B2538" t="str">
            <v>3AL Universal Trade is ecommerce platform offers buying and selling of goods.</v>
          </cell>
          <cell r="C2538" t="str">
            <v>Active</v>
          </cell>
          <cell r="D2538">
            <v>2010</v>
          </cell>
          <cell r="G2538" t="str">
            <v>Nigeria</v>
          </cell>
          <cell r="X2538" t="str">
            <v>E-Commerce &amp; Retail</v>
          </cell>
        </row>
        <row r="2539">
          <cell r="A2539" t="str">
            <v>Fazsion Group</v>
          </cell>
          <cell r="B2539" t="str">
            <v>Affordable luxury to ermging countries</v>
          </cell>
          <cell r="C2539" t="str">
            <v>Active</v>
          </cell>
          <cell r="D2539">
            <v>2016</v>
          </cell>
          <cell r="G2539" t="str">
            <v>Nigeria</v>
          </cell>
          <cell r="X2539" t="str">
            <v>E-Commerce &amp; Retail</v>
          </cell>
        </row>
        <row r="2540">
          <cell r="A2540" t="str">
            <v>iLLuSys</v>
          </cell>
          <cell r="B2540" t="str">
            <v>Digital Media</v>
          </cell>
          <cell r="C2540" t="str">
            <v>Active</v>
          </cell>
          <cell r="D2540">
            <v>2018</v>
          </cell>
          <cell r="G2540" t="str">
            <v>Nigeria</v>
          </cell>
          <cell r="X2540" t="str">
            <v>Commercial &amp; Professional Services</v>
          </cell>
        </row>
        <row r="2541">
          <cell r="A2541" t="str">
            <v>Eaxum</v>
          </cell>
          <cell r="B2541" t="str">
            <v>Eaxum is a Nigerian animation studio. We're telling Africa in the purest and most beautiful way.</v>
          </cell>
          <cell r="C2541" t="str">
            <v>Active</v>
          </cell>
          <cell r="D2541">
            <v>2015</v>
          </cell>
          <cell r="G2541" t="str">
            <v>Nigeria</v>
          </cell>
          <cell r="X2541" t="str">
            <v>Commercial &amp; Professional Services</v>
          </cell>
        </row>
        <row r="2542">
          <cell r="A2542" t="str">
            <v>Derihunter Aquatransport</v>
          </cell>
          <cell r="B2542" t="str">
            <v>Derihunter Aquatransport provides marine transportation services.</v>
          </cell>
          <cell r="C2542" t="str">
            <v>Active</v>
          </cell>
          <cell r="D2542">
            <v>2018</v>
          </cell>
          <cell r="G2542" t="str">
            <v>Nigeria</v>
          </cell>
          <cell r="X2542" t="str">
            <v>Transport and Logistics</v>
          </cell>
        </row>
        <row r="2543">
          <cell r="A2543" t="str">
            <v>Festivilia</v>
          </cell>
          <cell r="B2543" t="str">
            <v>Co-founder / Content Strategist</v>
          </cell>
          <cell r="C2543" t="str">
            <v>Active</v>
          </cell>
          <cell r="D2543">
            <v>2018</v>
          </cell>
          <cell r="G2543" t="str">
            <v>Nigeria</v>
          </cell>
          <cell r="X2543" t="str">
            <v>Commercial &amp; Professional Services</v>
          </cell>
        </row>
        <row r="2544">
          <cell r="A2544" t="str">
            <v>WIFix.ng</v>
          </cell>
          <cell r="B2544" t="str">
            <v>WIFix.ng is an Online Repair Centre in Nigeria. Our vision is to be the largest Technology-Repair Platform in Africa</v>
          </cell>
          <cell r="C2544" t="str">
            <v>Active</v>
          </cell>
          <cell r="D2544">
            <v>2016</v>
          </cell>
          <cell r="G2544" t="str">
            <v>Nigeria</v>
          </cell>
          <cell r="X2544" t="str">
            <v>E-Commerce &amp; Retail</v>
          </cell>
        </row>
        <row r="2545">
          <cell r="A2545" t="str">
            <v>ByteHub Embedded</v>
          </cell>
          <cell r="B2545" t="str">
            <v>Open source embedded devices, Robotics and IoT</v>
          </cell>
          <cell r="C2545" t="str">
            <v>Active</v>
          </cell>
          <cell r="D2545">
            <v>2017</v>
          </cell>
          <cell r="G2545" t="str">
            <v>Nigeria</v>
          </cell>
          <cell r="X2545" t="str">
            <v>Commercial &amp; Professional Services</v>
          </cell>
        </row>
        <row r="2546">
          <cell r="A2546" t="str">
            <v>Frienditeplus.com</v>
          </cell>
          <cell r="B2546" t="str">
            <v>Friendite Plus is a social media site that enables people to chat, upload, and share things with friends and families.</v>
          </cell>
          <cell r="C2546" t="str">
            <v>Active</v>
          </cell>
          <cell r="D2546">
            <v>2013</v>
          </cell>
          <cell r="G2546" t="str">
            <v>Nigeria</v>
          </cell>
          <cell r="X2546" t="str">
            <v>E-Commerce &amp; Retail</v>
          </cell>
        </row>
        <row r="2547">
          <cell r="A2547" t="str">
            <v>Schoolstoreng Ltd</v>
          </cell>
          <cell r="B2547" t="str">
            <v>Schoolstoreng Limited is a fully Integrated provider of educational resources.</v>
          </cell>
          <cell r="C2547" t="str">
            <v>Active</v>
          </cell>
          <cell r="D2547">
            <v>2010</v>
          </cell>
          <cell r="G2547" t="str">
            <v>Nigeria</v>
          </cell>
          <cell r="X2547" t="str">
            <v>Education</v>
          </cell>
        </row>
        <row r="2548">
          <cell r="A2548" t="str">
            <v>Mobifin</v>
          </cell>
          <cell r="B2548" t="str">
            <v>Mobifin utilises mobile phone technology to make good quality information available to all, especially those without easy access to</v>
          </cell>
          <cell r="C2548" t="str">
            <v>Active</v>
          </cell>
          <cell r="D2548">
            <v>2010</v>
          </cell>
          <cell r="G2548" t="str">
            <v>Nigeria</v>
          </cell>
          <cell r="X2548" t="str">
            <v>Telecommunication</v>
          </cell>
        </row>
        <row r="2549">
          <cell r="A2549" t="str">
            <v>Sharp Journal</v>
          </cell>
          <cell r="B2549" t="str">
            <v>Sharpjournal.com is a top media platform in Nigeria for precision news reporting and analysis. It explains the news behind the news.</v>
          </cell>
          <cell r="C2549" t="str">
            <v>Active</v>
          </cell>
          <cell r="D2549">
            <v>2015</v>
          </cell>
          <cell r="G2549" t="str">
            <v>Nigeria</v>
          </cell>
          <cell r="X2549" t="str">
            <v>Media and Entertainment</v>
          </cell>
        </row>
        <row r="2550">
          <cell r="A2550" t="str">
            <v>EscapadeNg.com</v>
          </cell>
          <cell r="B2550" t="str">
            <v>Escapadeng.com is the fastest delivery online shopping store in Nigeria.</v>
          </cell>
          <cell r="C2550" t="str">
            <v>Active</v>
          </cell>
          <cell r="D2550">
            <v>2016</v>
          </cell>
          <cell r="G2550" t="str">
            <v>Nigeria</v>
          </cell>
          <cell r="X2550" t="str">
            <v>E-Commerce &amp; Retail</v>
          </cell>
        </row>
        <row r="2551">
          <cell r="A2551" t="str">
            <v>Ritan360 Technologies</v>
          </cell>
          <cell r="B2551" t="str">
            <v>RITAN360 is an IT company providing top-notch web-based products and services.</v>
          </cell>
          <cell r="C2551" t="str">
            <v>Active</v>
          </cell>
          <cell r="D2551">
            <v>2017</v>
          </cell>
          <cell r="G2551" t="str">
            <v>Nigeria</v>
          </cell>
          <cell r="X2551" t="str">
            <v>Telecommunication</v>
          </cell>
        </row>
        <row r="2552">
          <cell r="A2552" t="str">
            <v>NestSquare</v>
          </cell>
          <cell r="B2552" t="str">
            <v>NestSquare is your one-stop online accommodation platform for the best hotels and short-term apartments around the world.</v>
          </cell>
          <cell r="C2552" t="str">
            <v>Active</v>
          </cell>
          <cell r="D2552">
            <v>2017</v>
          </cell>
          <cell r="G2552" t="str">
            <v>Nigeria</v>
          </cell>
          <cell r="X2552" t="str">
            <v>Real Estate</v>
          </cell>
        </row>
        <row r="2553">
          <cell r="A2553" t="str">
            <v>Gidimediacity</v>
          </cell>
          <cell r="B2553" t="str">
            <v>Media sharing Platform</v>
          </cell>
          <cell r="C2553" t="str">
            <v>Active</v>
          </cell>
          <cell r="D2553">
            <v>2011</v>
          </cell>
          <cell r="G2553" t="str">
            <v>Nigeria</v>
          </cell>
          <cell r="X2553" t="str">
            <v>Media and Entertainment</v>
          </cell>
        </row>
        <row r="2554">
          <cell r="A2554" t="str">
            <v>Information Guide Africa</v>
          </cell>
          <cell r="B2554" t="str">
            <v>Online magazine for Africans!</v>
          </cell>
          <cell r="C2554" t="str">
            <v>Active</v>
          </cell>
          <cell r="D2554">
            <v>2017</v>
          </cell>
          <cell r="G2554" t="str">
            <v>Nigeria</v>
          </cell>
          <cell r="X2554" t="str">
            <v>Media and Entertainment</v>
          </cell>
        </row>
        <row r="2555">
          <cell r="A2555" t="str">
            <v>PrimaTimes</v>
          </cell>
          <cell r="B2555" t="str">
            <v>An online Media and Publishing company aimed at giving you an edge by getting you informed.</v>
          </cell>
          <cell r="C2555" t="str">
            <v>Active</v>
          </cell>
          <cell r="D2555">
            <v>2018</v>
          </cell>
          <cell r="G2555" t="str">
            <v>Nigeria</v>
          </cell>
          <cell r="X2555" t="str">
            <v>Media and Entertainment</v>
          </cell>
        </row>
        <row r="2556">
          <cell r="A2556" t="str">
            <v>Todhost Web Hosting</v>
          </cell>
          <cell r="B2556" t="str">
            <v>Todhost Web Hosting is a web hosting provider in Nigeria.</v>
          </cell>
          <cell r="C2556" t="str">
            <v>Active</v>
          </cell>
          <cell r="D2556">
            <v>2014</v>
          </cell>
          <cell r="G2556" t="str">
            <v>Nigeria</v>
          </cell>
          <cell r="X2556" t="str">
            <v>Commercial &amp; Professional Services</v>
          </cell>
        </row>
        <row r="2557">
          <cell r="A2557" t="str">
            <v>Livekampus</v>
          </cell>
          <cell r="B2557" t="str">
            <v>A student accommodation marketplace to help students find and book verified residential accommodation around top school cities in Nigeria.</v>
          </cell>
          <cell r="C2557" t="str">
            <v>Active</v>
          </cell>
          <cell r="D2557">
            <v>2016</v>
          </cell>
          <cell r="G2557" t="str">
            <v>Nigeria</v>
          </cell>
          <cell r="X2557" t="str">
            <v>Real Estate</v>
          </cell>
        </row>
        <row r="2558">
          <cell r="A2558" t="str">
            <v>Dumarto</v>
          </cell>
          <cell r="B2558" t="str">
            <v>An online marketplace for emerging Nigerian brands</v>
          </cell>
          <cell r="C2558" t="str">
            <v>Active</v>
          </cell>
          <cell r="D2558">
            <v>2017</v>
          </cell>
          <cell r="G2558" t="str">
            <v>Nigeria</v>
          </cell>
          <cell r="X2558" t="str">
            <v>E-Commerce &amp; Retail</v>
          </cell>
        </row>
        <row r="2559">
          <cell r="A2559" t="str">
            <v>StepwiseFlow</v>
          </cell>
          <cell r="B2559" t="str">
            <v>The chatbot platform for businesses.</v>
          </cell>
          <cell r="C2559" t="str">
            <v>Active</v>
          </cell>
          <cell r="D2559">
            <v>2017</v>
          </cell>
          <cell r="G2559" t="str">
            <v>Nigeria</v>
          </cell>
          <cell r="X2559" t="str">
            <v>Telecommunication</v>
          </cell>
        </row>
        <row r="2560">
          <cell r="A2560" t="str">
            <v>Aiki</v>
          </cell>
          <cell r="B2560" t="str">
            <v>Mobile App</v>
          </cell>
          <cell r="C2560" t="str">
            <v>Active</v>
          </cell>
          <cell r="D2560">
            <v>2015</v>
          </cell>
          <cell r="G2560" t="str">
            <v>Nigeria</v>
          </cell>
          <cell r="X2560" t="str">
            <v>Commercial &amp; Professional Services</v>
          </cell>
        </row>
        <row r="2561">
          <cell r="A2561" t="str">
            <v>Unpeep</v>
          </cell>
          <cell r="B2561" t="str">
            <v>Job board platform for photographers</v>
          </cell>
          <cell r="C2561" t="str">
            <v>Active</v>
          </cell>
          <cell r="D2561">
            <v>2018</v>
          </cell>
          <cell r="G2561" t="str">
            <v>Nigeria</v>
          </cell>
          <cell r="X2561" t="str">
            <v>Commercial &amp; Professional Services</v>
          </cell>
        </row>
        <row r="2562">
          <cell r="A2562" t="str">
            <v>iFwAxTeL</v>
          </cell>
          <cell r="B2562" t="str">
            <v>iFwAxTeL is a creative technology company that aims to solve the worlds problems one tech product at a time.</v>
          </cell>
          <cell r="C2562" t="str">
            <v>Active</v>
          </cell>
          <cell r="D2562">
            <v>2017</v>
          </cell>
          <cell r="G2562" t="str">
            <v>Nigeria</v>
          </cell>
          <cell r="X2562" t="str">
            <v>Commercial &amp; Professional Services</v>
          </cell>
        </row>
        <row r="2563">
          <cell r="A2563" t="str">
            <v>Flexskool</v>
          </cell>
          <cell r="B2563" t="str">
            <v>Flexskool is an interactive self paced learning app.</v>
          </cell>
          <cell r="C2563" t="str">
            <v>Active</v>
          </cell>
          <cell r="D2563">
            <v>2016</v>
          </cell>
          <cell r="G2563" t="str">
            <v>Nigeria</v>
          </cell>
          <cell r="X2563" t="str">
            <v>Education</v>
          </cell>
        </row>
        <row r="2564">
          <cell r="A2564" t="str">
            <v>SmartDesigns Nigeria</v>
          </cell>
          <cell r="B2564" t="str">
            <v>Web Design and Branding Company</v>
          </cell>
          <cell r="C2564" t="str">
            <v>Active</v>
          </cell>
          <cell r="D2564">
            <v>2013</v>
          </cell>
          <cell r="G2564" t="str">
            <v>Nigeria</v>
          </cell>
          <cell r="X2564" t="str">
            <v>Commercial &amp; Professional Services</v>
          </cell>
        </row>
        <row r="2565">
          <cell r="A2565" t="str">
            <v>Kiote Services</v>
          </cell>
          <cell r="B2565" t="str">
            <v>Nigeria's Premier Digital Marketing and Customer Care Consultancy</v>
          </cell>
          <cell r="C2565" t="str">
            <v>Active</v>
          </cell>
          <cell r="D2565">
            <v>2013</v>
          </cell>
          <cell r="G2565" t="str">
            <v>Nigeria</v>
          </cell>
          <cell r="X2565" t="str">
            <v>Commercial &amp; Professional Services</v>
          </cell>
        </row>
        <row r="2566">
          <cell r="A2566" t="str">
            <v>theMedia 360 Company</v>
          </cell>
          <cell r="B2566" t="str">
            <v>We build smart brands we believe in, can grow with and achieve solid results for.</v>
          </cell>
          <cell r="C2566" t="str">
            <v>Active</v>
          </cell>
          <cell r="D2566">
            <v>2013</v>
          </cell>
          <cell r="G2566" t="str">
            <v>Nigeria</v>
          </cell>
          <cell r="X2566" t="str">
            <v>Commercial &amp; Professional Services</v>
          </cell>
        </row>
        <row r="2567">
          <cell r="A2567" t="str">
            <v>Designub</v>
          </cell>
          <cell r="B2567" t="str">
            <v>Designub is an online graphics shop that provides design services for individuals, businesses and corporate organisations.</v>
          </cell>
          <cell r="C2567" t="str">
            <v>Active</v>
          </cell>
          <cell r="D2567">
            <v>2017</v>
          </cell>
          <cell r="G2567" t="str">
            <v>Nigeria</v>
          </cell>
          <cell r="X2567" t="str">
            <v>E-Commerce &amp; Retail</v>
          </cell>
        </row>
        <row r="2568">
          <cell r="A2568" t="str">
            <v>ProbityBooks</v>
          </cell>
          <cell r="B2568" t="str">
            <v>All-In-One Invoicing, Inventory &amp; Intelligence Reporting Online Accounting Solution</v>
          </cell>
          <cell r="C2568" t="str">
            <v>Active</v>
          </cell>
          <cell r="D2568">
            <v>2014</v>
          </cell>
          <cell r="G2568" t="str">
            <v>Nigeria</v>
          </cell>
          <cell r="X2568" t="str">
            <v>Commercial &amp; Professional Services</v>
          </cell>
        </row>
        <row r="2569">
          <cell r="A2569" t="str">
            <v>CHiBEX TECHNOLOGIES</v>
          </cell>
          <cell r="B2569" t="str">
            <v>Chibex Technologies is a software development and electronic gadget designing &amp; programming company.</v>
          </cell>
          <cell r="C2569" t="str">
            <v>Active</v>
          </cell>
          <cell r="D2569">
            <v>2010</v>
          </cell>
          <cell r="G2569" t="str">
            <v>Nigeria</v>
          </cell>
          <cell r="X2569" t="str">
            <v>Commercial &amp; Professional Services</v>
          </cell>
        </row>
        <row r="2570">
          <cell r="A2570" t="str">
            <v>Montwell Properties</v>
          </cell>
          <cell r="B2570" t="str">
            <v>A Luxury Property Finder for Real Estate Agents, Brokers, Property Developers, Property Marketers and Advertiser,</v>
          </cell>
          <cell r="C2570" t="str">
            <v>Active</v>
          </cell>
          <cell r="D2570">
            <v>2017</v>
          </cell>
          <cell r="G2570" t="str">
            <v>Nigeria</v>
          </cell>
          <cell r="X2570" t="str">
            <v>Real Estate</v>
          </cell>
        </row>
        <row r="2571">
          <cell r="A2571" t="str">
            <v>Iconway Media</v>
          </cell>
          <cell r="B2571" t="str">
            <v>Iconway is an African consumer internet company focused on mobile, media, commerce, and advertising platforms.</v>
          </cell>
          <cell r="C2571" t="str">
            <v>Active</v>
          </cell>
          <cell r="D2571">
            <v>2013</v>
          </cell>
          <cell r="G2571" t="str">
            <v>Nigeria</v>
          </cell>
          <cell r="X2571" t="str">
            <v>Commercial &amp; Professional Services</v>
          </cell>
        </row>
        <row r="2572">
          <cell r="A2572" t="str">
            <v>Afri Reviews</v>
          </cell>
          <cell r="B2572" t="str">
            <v>Afri Reviews is the number one destination for everything movies in Africa.</v>
          </cell>
          <cell r="C2572" t="str">
            <v>Active</v>
          </cell>
          <cell r="D2572">
            <v>2017</v>
          </cell>
          <cell r="G2572" t="str">
            <v>Nigeria</v>
          </cell>
          <cell r="X2572" t="str">
            <v>Media and Entertainment</v>
          </cell>
        </row>
        <row r="2573">
          <cell r="A2573" t="str">
            <v>The Lingerie Stories</v>
          </cell>
          <cell r="B2573" t="str">
            <v>Digital informative website</v>
          </cell>
          <cell r="C2573" t="str">
            <v>Active</v>
          </cell>
          <cell r="D2573">
            <v>2016</v>
          </cell>
          <cell r="G2573" t="str">
            <v>Nigeria</v>
          </cell>
          <cell r="X2573" t="str">
            <v>Telecommunication</v>
          </cell>
        </row>
        <row r="2574">
          <cell r="A2574" t="str">
            <v>Cablax</v>
          </cell>
          <cell r="B2574" t="str">
            <v>Web and mobile app ride-hailing platform with improved flexibility for both users and drivers.</v>
          </cell>
          <cell r="C2574" t="str">
            <v>Active</v>
          </cell>
          <cell r="D2574">
            <v>2019</v>
          </cell>
          <cell r="G2574" t="str">
            <v>Nigeria</v>
          </cell>
          <cell r="X2574" t="str">
            <v>Transport and Logistics</v>
          </cell>
        </row>
        <row r="2575">
          <cell r="A2575" t="str">
            <v>Gigabyte Developers</v>
          </cell>
          <cell r="B2575" t="str">
            <v>Fast growing StartUp Software Development Company</v>
          </cell>
          <cell r="C2575" t="str">
            <v>Active</v>
          </cell>
          <cell r="D2575">
            <v>2015</v>
          </cell>
          <cell r="G2575" t="str">
            <v>Nigeria</v>
          </cell>
          <cell r="X2575" t="str">
            <v>Commercial &amp; Professional Services</v>
          </cell>
        </row>
        <row r="2576">
          <cell r="A2576" t="str">
            <v>Nultan</v>
          </cell>
          <cell r="B2576" t="str">
            <v>Nultan is a Software, Internet and Telecommunications service provider solving everyday enterprise, consumer &amp; government challenges.</v>
          </cell>
          <cell r="C2576" t="str">
            <v>Active</v>
          </cell>
          <cell r="D2576">
            <v>2012</v>
          </cell>
          <cell r="G2576" t="str">
            <v>Nigeria</v>
          </cell>
          <cell r="X2576" t="str">
            <v>Telecommunication</v>
          </cell>
        </row>
        <row r="2577">
          <cell r="A2577" t="str">
            <v>Intellectual Apps</v>
          </cell>
          <cell r="B2577" t="str">
            <v>Intellectual Apps is strong belief in architecting and designing beautiful software.</v>
          </cell>
          <cell r="C2577" t="str">
            <v>Active</v>
          </cell>
          <cell r="D2577">
            <v>2015</v>
          </cell>
          <cell r="G2577" t="str">
            <v>Nigeria</v>
          </cell>
          <cell r="X2577" t="str">
            <v>Commercial &amp; Professional Services</v>
          </cell>
        </row>
        <row r="2578">
          <cell r="A2578" t="str">
            <v>Vibujor</v>
          </cell>
          <cell r="B2578" t="str">
            <v>Vibujor is an onlne platform for advertising your products and services. An online marketplace.</v>
          </cell>
          <cell r="C2578" t="str">
            <v>Active</v>
          </cell>
          <cell r="D2578">
            <v>2018</v>
          </cell>
          <cell r="G2578" t="str">
            <v>Nigeria</v>
          </cell>
          <cell r="X2578" t="str">
            <v>E-Commerce &amp; Retail</v>
          </cell>
        </row>
        <row r="2579">
          <cell r="A2579" t="str">
            <v>Dailydigest Nigeria</v>
          </cell>
          <cell r="B2579" t="str">
            <v>Daily Digest Nigeria is an Online Platform for Busy Professionals to cathup on the latest news and business trends</v>
          </cell>
          <cell r="C2579" t="str">
            <v>Active</v>
          </cell>
          <cell r="D2579">
            <v>2016</v>
          </cell>
          <cell r="G2579" t="str">
            <v>Nigeria</v>
          </cell>
          <cell r="X2579" t="str">
            <v>Media and Entertainment</v>
          </cell>
        </row>
        <row r="2580">
          <cell r="A2580" t="str">
            <v>Newhomes Nigeria</v>
          </cell>
          <cell r="B2580" t="str">
            <v>Real Estate, Online</v>
          </cell>
          <cell r="C2580" t="str">
            <v>Active</v>
          </cell>
          <cell r="D2580">
            <v>2017</v>
          </cell>
          <cell r="G2580" t="str">
            <v>Nigeria</v>
          </cell>
          <cell r="X2580" t="str">
            <v>Real Estate</v>
          </cell>
        </row>
        <row r="2581">
          <cell r="A2581" t="str">
            <v>Ndidiaa</v>
          </cell>
          <cell r="B2581" t="str">
            <v>Online Food Store</v>
          </cell>
          <cell r="C2581" t="str">
            <v>Active</v>
          </cell>
          <cell r="D2581">
            <v>2018</v>
          </cell>
          <cell r="G2581" t="str">
            <v>Nigeria</v>
          </cell>
          <cell r="X2581" t="str">
            <v>E-Commerce &amp; Retail</v>
          </cell>
        </row>
        <row r="2582">
          <cell r="A2582" t="str">
            <v>OnTripp.com</v>
          </cell>
          <cell r="B2582" t="str">
            <v>Like Viator, but for tourists activities in Africa</v>
          </cell>
          <cell r="C2582" t="str">
            <v>Active</v>
          </cell>
          <cell r="D2582">
            <v>2018</v>
          </cell>
          <cell r="G2582" t="str">
            <v>Nigeria</v>
          </cell>
          <cell r="X2582" t="str">
            <v>Travel and Leisure</v>
          </cell>
        </row>
        <row r="2583">
          <cell r="A2583" t="str">
            <v>e86</v>
          </cell>
          <cell r="B2583" t="str">
            <v>Software solutions provider for business/education. Our flagship product, Panacea e-library is a book rental platform at www.panacea.ng</v>
          </cell>
          <cell r="C2583" t="str">
            <v>Active</v>
          </cell>
          <cell r="D2583">
            <v>2017</v>
          </cell>
          <cell r="G2583" t="str">
            <v>Nigeria</v>
          </cell>
          <cell r="X2583" t="str">
            <v>Commercial &amp; Professional Services</v>
          </cell>
        </row>
        <row r="2584">
          <cell r="A2584" t="str">
            <v>Examstuts</v>
          </cell>
          <cell r="B2584" t="str">
            <v>Educational and career help center</v>
          </cell>
          <cell r="C2584" t="str">
            <v>Active</v>
          </cell>
          <cell r="D2584">
            <v>2017</v>
          </cell>
          <cell r="G2584" t="str">
            <v>Nigeria</v>
          </cell>
          <cell r="X2584" t="str">
            <v>Education</v>
          </cell>
        </row>
        <row r="2585">
          <cell r="A2585" t="str">
            <v>Gamfari</v>
          </cell>
          <cell r="B2585" t="str">
            <v>Gamfari is Africa's leading eSport mobile game competitions and developer game showcasing and advertising platform</v>
          </cell>
          <cell r="C2585" t="str">
            <v>Active</v>
          </cell>
          <cell r="D2585">
            <v>2016</v>
          </cell>
          <cell r="G2585" t="str">
            <v>Nigeria</v>
          </cell>
          <cell r="X2585" t="str">
            <v>Media and Entertainment</v>
          </cell>
        </row>
        <row r="2586">
          <cell r="A2586" t="str">
            <v>Skiibo</v>
          </cell>
          <cell r="B2586" t="str">
            <v>Skiibo - chat, date and meet new people in Africa and around the world</v>
          </cell>
          <cell r="C2586" t="str">
            <v>Active</v>
          </cell>
          <cell r="D2586">
            <v>2018</v>
          </cell>
          <cell r="G2586" t="str">
            <v>Nigeria</v>
          </cell>
          <cell r="X2586" t="str">
            <v>Telecommunication</v>
          </cell>
        </row>
        <row r="2587">
          <cell r="A2587" t="str">
            <v>FansConnect Online Ltd.</v>
          </cell>
          <cell r="B2587" t="str">
            <v>FansConnect Online Ltd. is a developer and marketing agency specializing in social media platforms and mobile applications.</v>
          </cell>
          <cell r="C2587" t="str">
            <v>Active</v>
          </cell>
          <cell r="D2587">
            <v>2010</v>
          </cell>
          <cell r="G2587" t="str">
            <v>Nigeria</v>
          </cell>
          <cell r="X2587" t="str">
            <v>Commercial &amp; Professional Services</v>
          </cell>
        </row>
        <row r="2588">
          <cell r="A2588" t="str">
            <v>MyYard</v>
          </cell>
          <cell r="B2588" t="str">
            <v>MyYard is a real-time video viewing platform that helps house renters or buyers inspect their next home live on their mobile devices.</v>
          </cell>
          <cell r="C2588" t="str">
            <v>Active</v>
          </cell>
          <cell r="D2588">
            <v>2018</v>
          </cell>
          <cell r="G2588" t="str">
            <v>Nigeria</v>
          </cell>
          <cell r="X2588" t="str">
            <v>Real Estate</v>
          </cell>
        </row>
        <row r="2589">
          <cell r="A2589" t="str">
            <v>Healthng</v>
          </cell>
          <cell r="B2589" t="str">
            <v>Healthng serve the perfect health information related to Men Women and children's.</v>
          </cell>
          <cell r="C2589" t="str">
            <v>Active</v>
          </cell>
          <cell r="D2589">
            <v>2015</v>
          </cell>
          <cell r="G2589" t="str">
            <v>Nigeria</v>
          </cell>
          <cell r="X2589" t="str">
            <v>Healthcare &amp; Pharma</v>
          </cell>
        </row>
        <row r="2590">
          <cell r="A2590" t="str">
            <v>Mypartmart.com.ng</v>
          </cell>
          <cell r="B2590" t="str">
            <v>Mypaymart is an online platform that helps non-trust entities in Nigeria and across execute trade.this payment.</v>
          </cell>
          <cell r="C2590" t="str">
            <v>Active</v>
          </cell>
          <cell r="D2590">
            <v>2019</v>
          </cell>
          <cell r="G2590" t="str">
            <v>Nigeria</v>
          </cell>
          <cell r="X2590" t="str">
            <v>E-Commerce &amp; Retail</v>
          </cell>
        </row>
        <row r="2591">
          <cell r="A2591" t="str">
            <v>Codeskill</v>
          </cell>
          <cell r="B2591" t="str">
            <v>Digital design and development agency, offering software as a service</v>
          </cell>
          <cell r="C2591" t="str">
            <v>Active</v>
          </cell>
          <cell r="D2591">
            <v>2018</v>
          </cell>
          <cell r="G2591" t="str">
            <v>Nigeria</v>
          </cell>
          <cell r="X2591" t="str">
            <v>Commercial &amp; Professional Services</v>
          </cell>
        </row>
        <row r="2592">
          <cell r="A2592" t="str">
            <v>Rutdan Solutions Limited</v>
          </cell>
          <cell r="B2592" t="str">
            <v>Information technology Company</v>
          </cell>
          <cell r="C2592" t="str">
            <v>Active</v>
          </cell>
          <cell r="D2592">
            <v>2016</v>
          </cell>
          <cell r="G2592" t="str">
            <v>Nigeria</v>
          </cell>
          <cell r="X2592" t="str">
            <v>Commercial &amp; Professional Services</v>
          </cell>
        </row>
        <row r="2593">
          <cell r="A2593" t="str">
            <v>creativecram</v>
          </cell>
          <cell r="B2593" t="str">
            <v>We are a digital marketing agency in lagos that creates cutting edge design.</v>
          </cell>
          <cell r="C2593" t="str">
            <v>Active</v>
          </cell>
          <cell r="D2593">
            <v>2018</v>
          </cell>
          <cell r="G2593" t="str">
            <v>Nigeria</v>
          </cell>
          <cell r="X2593" t="str">
            <v>Commercial &amp; Professional Services</v>
          </cell>
        </row>
        <row r="2594">
          <cell r="A2594" t="str">
            <v>ArtisanOga</v>
          </cell>
          <cell r="B2594" t="str">
            <v>Local service marketplace</v>
          </cell>
          <cell r="C2594" t="str">
            <v>Active</v>
          </cell>
          <cell r="D2594">
            <v>2016</v>
          </cell>
          <cell r="G2594" t="str">
            <v>Nigeria</v>
          </cell>
          <cell r="X2594" t="str">
            <v>Commercial &amp; Professional Services</v>
          </cell>
        </row>
        <row r="2595">
          <cell r="A2595" t="str">
            <v>Schoolphix</v>
          </cell>
          <cell r="B2595" t="str">
            <v>An online School Management Software for pre tertiary Schools in schools in Sub Saharan Afirca.</v>
          </cell>
          <cell r="C2595" t="str">
            <v>Active</v>
          </cell>
          <cell r="D2595">
            <v>2016</v>
          </cell>
          <cell r="G2595" t="str">
            <v>Nigeria</v>
          </cell>
          <cell r="X2595" t="str">
            <v>Education</v>
          </cell>
        </row>
        <row r="2596">
          <cell r="A2596" t="str">
            <v>Iroyin</v>
          </cell>
          <cell r="B2596" t="str">
            <v>News and Knowledge Base Platform</v>
          </cell>
          <cell r="C2596" t="str">
            <v>Active</v>
          </cell>
          <cell r="D2596">
            <v>2011</v>
          </cell>
          <cell r="G2596" t="str">
            <v>Nigeria</v>
          </cell>
          <cell r="X2596" t="str">
            <v>Media and Entertainment</v>
          </cell>
        </row>
        <row r="2597">
          <cell r="A2597" t="str">
            <v>SkyWalker Travels</v>
          </cell>
          <cell r="B2597" t="str">
            <v>Booking facility for domestic, international air travel, hotel bookings, business trips, holiday packages, and bus and railway reservations.</v>
          </cell>
          <cell r="C2597" t="str">
            <v>Active</v>
          </cell>
          <cell r="D2597">
            <v>2014</v>
          </cell>
          <cell r="G2597" t="str">
            <v>Nigeria</v>
          </cell>
          <cell r="X2597" t="str">
            <v>Travel and Leisure</v>
          </cell>
        </row>
        <row r="2598">
          <cell r="A2598" t="str">
            <v>Geekasoft</v>
          </cell>
          <cell r="B2598" t="str">
            <v>Geekasoft is an IT solutions company that provides system optimization, application development, and remote support services.</v>
          </cell>
          <cell r="C2598" t="str">
            <v>Active</v>
          </cell>
          <cell r="D2598">
            <v>2015</v>
          </cell>
          <cell r="G2598" t="str">
            <v>Nigeria</v>
          </cell>
          <cell r="X2598" t="str">
            <v>Telecommunication</v>
          </cell>
        </row>
        <row r="2599">
          <cell r="A2599" t="str">
            <v>Jobcentres Nigeria</v>
          </cell>
          <cell r="B2599" t="str">
            <v>Job search Platform</v>
          </cell>
          <cell r="C2599" t="str">
            <v>Active</v>
          </cell>
          <cell r="D2599">
            <v>2017</v>
          </cell>
          <cell r="G2599" t="str">
            <v>Nigeria</v>
          </cell>
          <cell r="X2599" t="str">
            <v>Commercial &amp; Professional Services</v>
          </cell>
        </row>
        <row r="2600">
          <cell r="A2600" t="str">
            <v>8o8wave Media</v>
          </cell>
          <cell r="B2600" t="str">
            <v>The number one source for the hottest New Hip-Hop &amp; R&amp;B Music, Videos, Albums, Mixtapes &amp; exclusive interviews, Updated Daily</v>
          </cell>
          <cell r="C2600" t="str">
            <v>Active</v>
          </cell>
          <cell r="D2600">
            <v>2011</v>
          </cell>
          <cell r="G2600" t="str">
            <v>Nigeria</v>
          </cell>
          <cell r="X2600" t="str">
            <v>Media and Entertainment</v>
          </cell>
        </row>
        <row r="2601">
          <cell r="A2601" t="str">
            <v>Prodigy School Management solution</v>
          </cell>
          <cell r="B2601" t="str">
            <v>A web based school management solution</v>
          </cell>
          <cell r="C2601" t="str">
            <v>Active</v>
          </cell>
          <cell r="D2601">
            <v>2014</v>
          </cell>
          <cell r="G2601" t="str">
            <v>Nigeria</v>
          </cell>
          <cell r="X2601" t="str">
            <v>Education</v>
          </cell>
        </row>
        <row r="2602">
          <cell r="A2602" t="str">
            <v>Webfala Digital Limited</v>
          </cell>
          <cell r="B2602" t="str">
            <v>Webfala is a Web Development, Brand Management and Digital Marketing Agency</v>
          </cell>
          <cell r="C2602" t="str">
            <v>Active</v>
          </cell>
          <cell r="D2602">
            <v>2017</v>
          </cell>
          <cell r="G2602" t="str">
            <v>Nigeria</v>
          </cell>
          <cell r="X2602" t="str">
            <v>Commercial &amp; Professional Services</v>
          </cell>
        </row>
        <row r="2603">
          <cell r="A2603" t="str">
            <v>OyaOya</v>
          </cell>
          <cell r="B2603" t="str">
            <v>Connecting buyers and sellers of commodities in Africa. Africa's first #CommodityOnDemand marketplace</v>
          </cell>
          <cell r="C2603" t="str">
            <v>Active</v>
          </cell>
          <cell r="D2603">
            <v>2017</v>
          </cell>
          <cell r="G2603" t="str">
            <v>Nigeria</v>
          </cell>
          <cell r="X2603" t="str">
            <v>E-Commerce &amp; Retail</v>
          </cell>
        </row>
        <row r="2604">
          <cell r="A2604" t="str">
            <v>Schoolrosta</v>
          </cell>
          <cell r="B2604" t="str">
            <v>A local and regional source of valid information about schools</v>
          </cell>
          <cell r="C2604" t="str">
            <v>Active</v>
          </cell>
          <cell r="D2604">
            <v>2012</v>
          </cell>
          <cell r="G2604" t="str">
            <v>Nigeria</v>
          </cell>
          <cell r="X2604" t="str">
            <v>Education</v>
          </cell>
        </row>
        <row r="2605">
          <cell r="A2605" t="str">
            <v>GrubsExpress</v>
          </cell>
          <cell r="B2605" t="str">
            <v>GrubsExpress.com is an online food ordering and delivery platform.</v>
          </cell>
          <cell r="C2605" t="str">
            <v>Active</v>
          </cell>
          <cell r="D2605">
            <v>2016</v>
          </cell>
          <cell r="G2605" t="str">
            <v>Nigeria</v>
          </cell>
          <cell r="X2605" t="str">
            <v>E-Commerce &amp; Retail</v>
          </cell>
        </row>
        <row r="2606">
          <cell r="A2606" t="str">
            <v>Digital Design247 Technologies</v>
          </cell>
          <cell r="B2606" t="str">
            <v>We specialise in producing thoughtful web designs that solve problems.</v>
          </cell>
          <cell r="C2606" t="str">
            <v>Active</v>
          </cell>
          <cell r="D2606">
            <v>2015</v>
          </cell>
          <cell r="G2606" t="str">
            <v>Nigeria</v>
          </cell>
          <cell r="X2606" t="str">
            <v>Telecommunication</v>
          </cell>
        </row>
        <row r="2607">
          <cell r="A2607" t="str">
            <v>Cheapy</v>
          </cell>
          <cell r="B2607" t="str">
            <v>Marketplace for buying &amp; selling</v>
          </cell>
          <cell r="C2607" t="str">
            <v>Active</v>
          </cell>
          <cell r="D2607">
            <v>2016</v>
          </cell>
          <cell r="G2607" t="str">
            <v>Nigeria</v>
          </cell>
          <cell r="X2607" t="str">
            <v>E-Commerce &amp; Retail</v>
          </cell>
        </row>
        <row r="2608">
          <cell r="A2608" t="str">
            <v>Minisaving</v>
          </cell>
          <cell r="B2608" t="str">
            <v>Minisaving is a daily saving Platform that allows Individuals, Petty Traders and SME's to save from their daily sales.</v>
          </cell>
          <cell r="C2608" t="str">
            <v>Active</v>
          </cell>
          <cell r="D2608">
            <v>2014</v>
          </cell>
          <cell r="G2608" t="str">
            <v>Nigeria</v>
          </cell>
          <cell r="X2608" t="str">
            <v>Financial Services</v>
          </cell>
        </row>
        <row r="2609">
          <cell r="A2609" t="str">
            <v>Reachabl</v>
          </cell>
          <cell r="B2609" t="str">
            <v>AdTech</v>
          </cell>
          <cell r="C2609" t="str">
            <v>Active</v>
          </cell>
          <cell r="D2609">
            <v>2019</v>
          </cell>
          <cell r="G2609" t="str">
            <v>Nigeria</v>
          </cell>
          <cell r="X2609" t="str">
            <v>Commercial &amp; Professional Services</v>
          </cell>
        </row>
        <row r="2610">
          <cell r="A2610" t="str">
            <v>Websmart Digital SOlutions</v>
          </cell>
          <cell r="B2610" t="str">
            <v>Professional Web Design Company, Lagos - Nigeria. We build websites that are focused on creating solutions.</v>
          </cell>
          <cell r="C2610" t="str">
            <v>Active</v>
          </cell>
          <cell r="D2610">
            <v>2016</v>
          </cell>
          <cell r="G2610" t="str">
            <v>Nigeria</v>
          </cell>
          <cell r="X2610" t="str">
            <v>Commercial &amp; Professional Services</v>
          </cell>
        </row>
        <row r="2611">
          <cell r="A2611" t="str">
            <v>EiSofft Limited</v>
          </cell>
          <cell r="B2611" t="str">
            <v>Software Solutions Development firm</v>
          </cell>
          <cell r="C2611" t="str">
            <v>Active</v>
          </cell>
          <cell r="D2611">
            <v>2016</v>
          </cell>
          <cell r="G2611" t="str">
            <v>Nigeria</v>
          </cell>
          <cell r="X2611" t="str">
            <v>Commercial &amp; Professional Services</v>
          </cell>
        </row>
        <row r="2612">
          <cell r="A2612" t="str">
            <v>Tatafo</v>
          </cell>
          <cell r="B2612" t="str">
            <v>Campus in your pocket!</v>
          </cell>
          <cell r="C2612" t="str">
            <v>Active</v>
          </cell>
          <cell r="D2612">
            <v>2018</v>
          </cell>
          <cell r="G2612" t="str">
            <v>Nigeria</v>
          </cell>
          <cell r="X2612" t="str">
            <v>Education</v>
          </cell>
        </row>
        <row r="2613">
          <cell r="A2613" t="str">
            <v>Citikab Nigeria</v>
          </cell>
          <cell r="B2613" t="str">
            <v xml:space="preserve">Citikab is an online taxi service founded by entrepreneurs who understand the social need of urban city transportation. </v>
          </cell>
          <cell r="C2613" t="str">
            <v>Active</v>
          </cell>
          <cell r="G2613" t="str">
            <v>Nigeria</v>
          </cell>
          <cell r="X2613" t="str">
            <v>Transport &amp; Logistics</v>
          </cell>
          <cell r="Y2613" t="str">
            <v>Ride Sharing</v>
          </cell>
        </row>
        <row r="2614">
          <cell r="A2614" t="str">
            <v>Tiny Hearts Technologies</v>
          </cell>
          <cell r="B2614" t="str">
            <v>Tiny Hearts Technologies invented Crib A’Glow, which is a low-cost phototherapy solution to treat newborn babies with neonatal jaundice.</v>
          </cell>
          <cell r="C2614" t="str">
            <v>Active</v>
          </cell>
          <cell r="D2614">
            <v>2016</v>
          </cell>
          <cell r="G2614" t="str">
            <v>Nigeria</v>
          </cell>
          <cell r="X2614" t="str">
            <v>Healthcare &amp; Pharma</v>
          </cell>
          <cell r="Y2614" t="str">
            <v>Medical Devices</v>
          </cell>
        </row>
        <row r="2615">
          <cell r="A2615" t="str">
            <v>Babyl</v>
          </cell>
          <cell r="B2615" t="str">
            <v>Babyl is the biggest digital health services provider in Rwanda.</v>
          </cell>
          <cell r="C2615" t="str">
            <v>Active</v>
          </cell>
          <cell r="D2615">
            <v>2014</v>
          </cell>
          <cell r="G2615" t="str">
            <v>United Kingdom</v>
          </cell>
          <cell r="X2615" t="str">
            <v>Healthcare &amp; Pharma</v>
          </cell>
        </row>
        <row r="2616">
          <cell r="A2616" t="str">
            <v>M Funding</v>
          </cell>
          <cell r="B2616" t="str">
            <v xml:space="preserve">M-funding is a fintech startup that helps social impact entrepreneurs in Africa to access to finance through Equity crowdfunding. </v>
          </cell>
          <cell r="C2616" t="str">
            <v>Active</v>
          </cell>
          <cell r="D2616">
            <v>2017</v>
          </cell>
          <cell r="G2616" t="str">
            <v>Rwanda</v>
          </cell>
          <cell r="X2616" t="str">
            <v>Financial Services</v>
          </cell>
          <cell r="Y2616" t="str">
            <v>Crowdfunding</v>
          </cell>
        </row>
        <row r="2617">
          <cell r="A2617" t="str">
            <v>Starlight</v>
          </cell>
          <cell r="B2617" t="str">
            <v>Fun educational STEM products to inspire and engage young people around the world</v>
          </cell>
          <cell r="C2617" t="str">
            <v>Active</v>
          </cell>
          <cell r="G2617" t="str">
            <v>Rwanda</v>
          </cell>
          <cell r="X2617" t="str">
            <v>Education</v>
          </cell>
          <cell r="Y2617" t="str">
            <v>EdTech</v>
          </cell>
        </row>
        <row r="2618">
          <cell r="A2618" t="str">
            <v>The Ihangane Project</v>
          </cell>
          <cell r="B2618" t="str">
            <v>It is a program that helps tackle healthcare worker burnout. The program helps offer stress management and mindfulness training.</v>
          </cell>
          <cell r="C2618" t="str">
            <v>Active</v>
          </cell>
          <cell r="D2618">
            <v>2008</v>
          </cell>
          <cell r="G2618" t="str">
            <v>Rwanda</v>
          </cell>
          <cell r="X2618" t="str">
            <v>Healthcare &amp; Pharma</v>
          </cell>
        </row>
        <row r="2619">
          <cell r="A2619" t="str">
            <v>iMed Tech Group</v>
          </cell>
          <cell r="B2619" t="str">
            <v>iMed provides innovative medical solutions to impact healthcare delivery across the continent.</v>
          </cell>
          <cell r="C2619" t="str">
            <v>Active</v>
          </cell>
          <cell r="D2619">
            <v>2015</v>
          </cell>
          <cell r="G2619" t="str">
            <v>South Africa</v>
          </cell>
          <cell r="X2619" t="str">
            <v>Healthcare &amp; Pharma</v>
          </cell>
        </row>
        <row r="2620">
          <cell r="A2620" t="str">
            <v>GotBot</v>
          </cell>
          <cell r="B2620" t="str">
            <v>GotBot is an artificial intelligence chatbot solution.</v>
          </cell>
          <cell r="C2620" t="str">
            <v>Active</v>
          </cell>
          <cell r="D2620">
            <v>2016</v>
          </cell>
          <cell r="G2620" t="str">
            <v>South Africa</v>
          </cell>
        </row>
        <row r="2621">
          <cell r="A2621" t="str">
            <v>Picup Technologies</v>
          </cell>
          <cell r="B2621" t="str">
            <v>Picup is a technology company focusing on last mile delivery.</v>
          </cell>
          <cell r="C2621" t="str">
            <v>Active</v>
          </cell>
          <cell r="D2621">
            <v>2014</v>
          </cell>
          <cell r="G2621" t="str">
            <v>South Africa</v>
          </cell>
        </row>
        <row r="2622">
          <cell r="A2622" t="str">
            <v>VoiceMap</v>
          </cell>
          <cell r="B2622" t="str">
            <v>VoiceMap is a platform and marketplace for location-aware audio tours</v>
          </cell>
          <cell r="C2622" t="str">
            <v>Active</v>
          </cell>
          <cell r="D2622">
            <v>2014</v>
          </cell>
          <cell r="G2622" t="str">
            <v>South Africa</v>
          </cell>
        </row>
        <row r="2623">
          <cell r="A2623" t="str">
            <v>DigsConnect.com</v>
          </cell>
          <cell r="B2623" t="str">
            <v>DigsConnect is the largest student accommodation marketplace in South Africa.</v>
          </cell>
          <cell r="C2623" t="str">
            <v>Active</v>
          </cell>
          <cell r="D2623">
            <v>2017</v>
          </cell>
          <cell r="G2623" t="str">
            <v>South Africa</v>
          </cell>
        </row>
        <row r="2624">
          <cell r="A2624" t="str">
            <v>IDEA Digital Education</v>
          </cell>
          <cell r="B2624" t="str">
            <v>IDEA is an EdTech company that has created high quality, interactive, data-driven, personalised digital education content and software.</v>
          </cell>
          <cell r="C2624" t="str">
            <v>Active</v>
          </cell>
          <cell r="D2624">
            <v>2014</v>
          </cell>
          <cell r="G2624" t="str">
            <v>South Africa</v>
          </cell>
        </row>
        <row r="2625">
          <cell r="A2625" t="str">
            <v>JOOX</v>
          </cell>
          <cell r="B2625" t="str">
            <v>JOOX is a mobile music streaming application which offers customers hundreds of personally curated playlists for every moment.</v>
          </cell>
          <cell r="C2625" t="str">
            <v>Active</v>
          </cell>
          <cell r="D2625">
            <v>2015</v>
          </cell>
          <cell r="G2625" t="str">
            <v>South Africa</v>
          </cell>
        </row>
        <row r="2626">
          <cell r="A2626" t="str">
            <v>CarZar</v>
          </cell>
          <cell r="B2626" t="str">
            <v>CarZar is an online car buying service, empowering consumers to sell their second hand vehicle.</v>
          </cell>
          <cell r="C2626" t="str">
            <v>Active</v>
          </cell>
          <cell r="D2626">
            <v>2016</v>
          </cell>
          <cell r="G2626" t="str">
            <v>South Africa</v>
          </cell>
        </row>
        <row r="2627">
          <cell r="A2627" t="str">
            <v>Vectra</v>
          </cell>
          <cell r="B2627" t="str">
            <v>Vectra is a software development company</v>
          </cell>
          <cell r="C2627" t="str">
            <v>Active</v>
          </cell>
          <cell r="D2627">
            <v>2017</v>
          </cell>
          <cell r="G2627" t="str">
            <v>South Africa</v>
          </cell>
        </row>
        <row r="2628">
          <cell r="A2628" t="str">
            <v>Kopano</v>
          </cell>
          <cell r="B2628" t="str">
            <v>Delivering insurance to emerging markets.</v>
          </cell>
          <cell r="C2628" t="str">
            <v>Active</v>
          </cell>
          <cell r="D2628">
            <v>2016</v>
          </cell>
          <cell r="G2628" t="str">
            <v>South Africa</v>
          </cell>
        </row>
        <row r="2629">
          <cell r="A2629" t="str">
            <v>Parcelninja</v>
          </cell>
          <cell r="B2629" t="str">
            <v>Parcelninja is a e-commerce startup that powers warehousing and delivery solutions</v>
          </cell>
          <cell r="C2629" t="str">
            <v>Active</v>
          </cell>
          <cell r="D2629">
            <v>2013</v>
          </cell>
          <cell r="G2629" t="str">
            <v>South Africa</v>
          </cell>
        </row>
        <row r="2630">
          <cell r="A2630" t="str">
            <v>Peach Payments</v>
          </cell>
          <cell r="B2630" t="str">
            <v>Peach Payments provides payment solutions to online and mobile businesses.</v>
          </cell>
          <cell r="C2630" t="str">
            <v>Active</v>
          </cell>
          <cell r="D2630">
            <v>2012</v>
          </cell>
          <cell r="G2630" t="str">
            <v>South Africa</v>
          </cell>
        </row>
        <row r="2631">
          <cell r="A2631" t="str">
            <v>Flowgear</v>
          </cell>
          <cell r="B2631" t="str">
            <v>Flowgear makes data and application integration accessible to enterprises of any size, for any purpose</v>
          </cell>
          <cell r="C2631" t="str">
            <v>Active</v>
          </cell>
          <cell r="D2631">
            <v>2010</v>
          </cell>
          <cell r="G2631" t="str">
            <v>South Africa</v>
          </cell>
        </row>
        <row r="2632">
          <cell r="A2632" t="str">
            <v>CapeRay</v>
          </cell>
          <cell r="B2632" t="str">
            <v>CapeRay Medical develops, manufactures and supplies medical imaging equipment for the diagnosis of breast cancer.</v>
          </cell>
          <cell r="C2632" t="str">
            <v>Active</v>
          </cell>
          <cell r="D2632">
            <v>2010</v>
          </cell>
          <cell r="G2632" t="str">
            <v>South Africa</v>
          </cell>
        </row>
        <row r="2633">
          <cell r="A2633" t="str">
            <v>Perk</v>
          </cell>
          <cell r="B2633" t="str">
            <v>Perk is an in-store customer engagement platform that helps retailers manage relevant conversations with customers.</v>
          </cell>
          <cell r="C2633" t="str">
            <v>Active</v>
          </cell>
          <cell r="D2633">
            <v>2012</v>
          </cell>
          <cell r="G2633" t="str">
            <v>South Africa</v>
          </cell>
        </row>
        <row r="2634">
          <cell r="A2634" t="str">
            <v>Ekaya.com</v>
          </cell>
          <cell r="B2634" t="str">
            <v>Ekaya is a renting platform where users can list, find properties, and collect rent on the same website.</v>
          </cell>
          <cell r="C2634" t="str">
            <v>Active</v>
          </cell>
          <cell r="D2634">
            <v>2013</v>
          </cell>
          <cell r="G2634" t="str">
            <v>South Africa</v>
          </cell>
        </row>
        <row r="2635">
          <cell r="A2635" t="str">
            <v>CommuScore</v>
          </cell>
          <cell r="B2635" t="str">
            <v>We digitise trust in the informal market. We provide alternative credit scoring for the unbanked to drive financial inclusion.</v>
          </cell>
          <cell r="C2635" t="str">
            <v>Active</v>
          </cell>
          <cell r="D2635">
            <v>2017</v>
          </cell>
          <cell r="G2635" t="str">
            <v>South Africa</v>
          </cell>
        </row>
        <row r="2636">
          <cell r="A2636" t="str">
            <v>MomSays</v>
          </cell>
          <cell r="B2636" t="str">
            <v>Product Recommendations for moms driven by experienced moms.</v>
          </cell>
          <cell r="C2636" t="str">
            <v>Active</v>
          </cell>
          <cell r="D2636">
            <v>2018</v>
          </cell>
          <cell r="G2636" t="str">
            <v>South Africa</v>
          </cell>
        </row>
        <row r="2637">
          <cell r="A2637" t="str">
            <v>Zlto</v>
          </cell>
          <cell r="B2637" t="str">
            <v>Zlto tracks and increases positive behavior.</v>
          </cell>
          <cell r="C2637" t="str">
            <v>Active</v>
          </cell>
          <cell r="D2637">
            <v>2016</v>
          </cell>
          <cell r="G2637" t="str">
            <v>South Africa</v>
          </cell>
        </row>
        <row r="2638">
          <cell r="A2638" t="str">
            <v>Syft Analytics</v>
          </cell>
          <cell r="B2638" t="str">
            <v>Syft Analytics is a SaaS reporting add-on for cloud accounting software.</v>
          </cell>
          <cell r="C2638" t="str">
            <v>Active</v>
          </cell>
          <cell r="D2638">
            <v>2016</v>
          </cell>
          <cell r="G2638" t="str">
            <v>South Africa</v>
          </cell>
        </row>
        <row r="2639">
          <cell r="A2639" t="str">
            <v>EduOne</v>
          </cell>
          <cell r="B2639" t="str">
            <v>EduOne is a suite of digital education products ranging from information websites to scholarship management platforms.</v>
          </cell>
          <cell r="C2639" t="str">
            <v>Active</v>
          </cell>
          <cell r="D2639">
            <v>2014</v>
          </cell>
          <cell r="G2639" t="str">
            <v>South Africa</v>
          </cell>
        </row>
        <row r="2640">
          <cell r="A2640" t="str">
            <v>Every1Mobile</v>
          </cell>
          <cell r="B2640" t="str">
            <v>Every1Mobile uses mobile social networks to build youth communities in Africa, focusing on health, education, jobs and entertainment.</v>
          </cell>
          <cell r="C2640" t="str">
            <v>Active</v>
          </cell>
          <cell r="D2640">
            <v>2010</v>
          </cell>
          <cell r="G2640" t="str">
            <v>South Africa</v>
          </cell>
        </row>
        <row r="2641">
          <cell r="A2641" t="str">
            <v>MySidekick</v>
          </cell>
          <cell r="B2641" t="str">
            <v>MySidekick shows you personalised specials at the nearest Malls and notifies you when you arrive</v>
          </cell>
          <cell r="C2641" t="str">
            <v>Active</v>
          </cell>
          <cell r="D2641">
            <v>2014</v>
          </cell>
          <cell r="G2641" t="str">
            <v>South Africa</v>
          </cell>
        </row>
        <row r="2642">
          <cell r="A2642" t="str">
            <v>CloudOne.mobi</v>
          </cell>
          <cell r="B2642" t="str">
            <v>CloudOne.mobi maximizes customers‚Äô profitability and provides cloud-based solutions to unleash the power of aggregated big data.</v>
          </cell>
          <cell r="C2642" t="str">
            <v>Active</v>
          </cell>
          <cell r="D2642">
            <v>2010</v>
          </cell>
          <cell r="G2642" t="str">
            <v>South Africa</v>
          </cell>
        </row>
        <row r="2643">
          <cell r="A2643" t="str">
            <v>Siyavula Education</v>
          </cell>
          <cell r="B2643" t="str">
            <v>Siyavula is an education technology company that enables learners to improve their performance in high school mathematics and science.</v>
          </cell>
          <cell r="C2643" t="str">
            <v>Active</v>
          </cell>
          <cell r="D2643">
            <v>2012</v>
          </cell>
          <cell r="G2643" t="str">
            <v>South Africa</v>
          </cell>
        </row>
        <row r="2644">
          <cell r="A2644" t="str">
            <v>KINEKT Terminals</v>
          </cell>
          <cell r="B2644" t="str">
            <v>The world's first underbanked 2-step payments terminal</v>
          </cell>
          <cell r="C2644" t="str">
            <v>Active</v>
          </cell>
          <cell r="D2644">
            <v>2017</v>
          </cell>
          <cell r="G2644" t="str">
            <v>South Africa</v>
          </cell>
        </row>
        <row r="2645">
          <cell r="A2645" t="str">
            <v>RIOT Network</v>
          </cell>
          <cell r="B2645" t="str">
            <v>RIOT Network develop consumer edge-computing equipment to enable the next generation of internet services.</v>
          </cell>
          <cell r="C2645" t="str">
            <v>Active</v>
          </cell>
          <cell r="D2645">
            <v>2015</v>
          </cell>
          <cell r="G2645" t="str">
            <v>South Africa</v>
          </cell>
        </row>
        <row r="2646">
          <cell r="A2646" t="str">
            <v>Getbuild.Today</v>
          </cell>
          <cell r="B2646" t="str">
            <v>Beautiful, Responsive and Code-free website building software that's fully E-commerce ready.</v>
          </cell>
          <cell r="C2646" t="str">
            <v>Active</v>
          </cell>
          <cell r="D2646">
            <v>2013</v>
          </cell>
          <cell r="G2646" t="str">
            <v>South Africa</v>
          </cell>
        </row>
        <row r="2647">
          <cell r="A2647" t="str">
            <v>Pragmatic Master</v>
          </cell>
          <cell r="B2647" t="str">
            <v>Pragmatic Master combines drones, artificial intelligence and remote sensing tools improve daily business decisions.</v>
          </cell>
          <cell r="C2647" t="str">
            <v>Active</v>
          </cell>
          <cell r="D2647">
            <v>2016</v>
          </cell>
          <cell r="G2647" t="str">
            <v>South Africa</v>
          </cell>
        </row>
        <row r="2648">
          <cell r="A2648" t="str">
            <v>Ryonic Robotics</v>
          </cell>
          <cell r="B2648" t="str">
            <v>Robotics company developing robotics for various industries</v>
          </cell>
          <cell r="C2648" t="str">
            <v>Active</v>
          </cell>
          <cell r="D2648">
            <v>2014</v>
          </cell>
          <cell r="G2648" t="str">
            <v>South Africa</v>
          </cell>
        </row>
        <row r="2649">
          <cell r="A2649" t="str">
            <v>Tented Adventures</v>
          </cell>
          <cell r="B2649" t="str">
            <v>Tented Adventures owns and operates award winning authentic tented camps on the most popular tourism routes throughout Southern Africa.</v>
          </cell>
          <cell r="C2649" t="str">
            <v>Active</v>
          </cell>
          <cell r="D2649">
            <v>2016</v>
          </cell>
          <cell r="G2649" t="str">
            <v>South Africa</v>
          </cell>
        </row>
        <row r="2650">
          <cell r="A2650" t="str">
            <v>NuvaLaw</v>
          </cell>
          <cell r="B2650" t="str">
            <v>Resolving claims and disputes by processing legal information efficiently.</v>
          </cell>
          <cell r="C2650" t="str">
            <v>Active</v>
          </cell>
          <cell r="D2650">
            <v>2016</v>
          </cell>
          <cell r="G2650" t="str">
            <v>South Africa</v>
          </cell>
        </row>
        <row r="2651">
          <cell r="A2651" t="str">
            <v>iSearchPlant</v>
          </cell>
          <cell r="B2651" t="str">
            <v>iSearchPlant provides a Solution dedicated to the Plant Hire industry</v>
          </cell>
          <cell r="C2651" t="str">
            <v>Active</v>
          </cell>
          <cell r="D2651">
            <v>2016</v>
          </cell>
          <cell r="G2651" t="str">
            <v>South Africa</v>
          </cell>
        </row>
        <row r="2652">
          <cell r="A2652" t="str">
            <v>Drifter Brewing Company</v>
          </cell>
          <cell r="B2652" t="str">
            <v>Cape Town-based Brewing Company.</v>
          </cell>
          <cell r="C2652" t="str">
            <v>Active</v>
          </cell>
          <cell r="D2652">
            <v>2015</v>
          </cell>
          <cell r="G2652" t="str">
            <v>South Africa</v>
          </cell>
        </row>
        <row r="2653">
          <cell r="A2653" t="str">
            <v>Plan My Wedding</v>
          </cell>
          <cell r="B2653" t="str">
            <v>Plan my Wedding is a premium online wedding planning resource .</v>
          </cell>
          <cell r="C2653" t="str">
            <v>Active</v>
          </cell>
          <cell r="D2653">
            <v>2014</v>
          </cell>
          <cell r="G2653" t="str">
            <v>South Africa</v>
          </cell>
        </row>
        <row r="2654">
          <cell r="A2654" t="str">
            <v>Over</v>
          </cell>
          <cell r="B2654" t="str">
            <v>Over is a visual communications tool that allows its users to create content, grow a business, or build a brand from their phone.</v>
          </cell>
          <cell r="C2654" t="str">
            <v>Active</v>
          </cell>
          <cell r="D2654">
            <v>2011</v>
          </cell>
          <cell r="G2654" t="str">
            <v>South Africa</v>
          </cell>
        </row>
        <row r="2655">
          <cell r="A2655" t="str">
            <v>Qnum Analytics</v>
          </cell>
          <cell r="B2655" t="str">
            <v>saas enterprise start-up empowering industrials to accurately account for stock and monitor stock variances.</v>
          </cell>
          <cell r="C2655" t="str">
            <v>Active</v>
          </cell>
          <cell r="D2655">
            <v>2018</v>
          </cell>
          <cell r="G2655" t="str">
            <v>South Africa</v>
          </cell>
        </row>
        <row r="2656">
          <cell r="A2656" t="str">
            <v>Weetracker</v>
          </cell>
          <cell r="B2656" t="str">
            <v>Digital Tech Media</v>
          </cell>
          <cell r="C2656" t="str">
            <v>Active</v>
          </cell>
          <cell r="D2656">
            <v>2018</v>
          </cell>
          <cell r="G2656" t="str">
            <v>South Africa</v>
          </cell>
        </row>
        <row r="2657">
          <cell r="A2657" t="str">
            <v>Brownie Points</v>
          </cell>
          <cell r="B2657" t="str">
            <v>Brownie Points aims to simplify volunteering and donating. It measure and incentivise philanthropic behaviour.</v>
          </cell>
          <cell r="C2657" t="str">
            <v>Active</v>
          </cell>
          <cell r="D2657">
            <v>2015</v>
          </cell>
          <cell r="G2657" t="str">
            <v>South Africa</v>
          </cell>
        </row>
        <row r="2658">
          <cell r="A2658" t="str">
            <v>MiBRAND</v>
          </cell>
          <cell r="B2658" t="str">
            <v>MiBRAND is an app that connects businesses and consumers.</v>
          </cell>
          <cell r="C2658" t="str">
            <v>Active</v>
          </cell>
          <cell r="D2658">
            <v>2016</v>
          </cell>
          <cell r="G2658" t="str">
            <v>South Africa</v>
          </cell>
        </row>
        <row r="2659">
          <cell r="A2659" t="str">
            <v>iKhokha</v>
          </cell>
          <cell r="B2659" t="str">
            <v>iKhokha makes it easier for South African businesses to accept credit card payments. With iKhokha, the device is yours, not the banks.</v>
          </cell>
          <cell r="C2659" t="str">
            <v>Active</v>
          </cell>
          <cell r="D2659">
            <v>2012</v>
          </cell>
          <cell r="G2659" t="str">
            <v>South Africa</v>
          </cell>
        </row>
        <row r="2660">
          <cell r="A2660" t="str">
            <v>X&amp;Go</v>
          </cell>
          <cell r="B2660" t="str">
            <v>Custom instant messaging platform</v>
          </cell>
          <cell r="C2660" t="str">
            <v>Active</v>
          </cell>
          <cell r="D2660">
            <v>2014</v>
          </cell>
          <cell r="G2660" t="str">
            <v>South Africa</v>
          </cell>
        </row>
        <row r="2661">
          <cell r="A2661" t="str">
            <v>Skynamo</v>
          </cell>
          <cell r="B2661" t="str">
            <v>Skynamo is a field sales management software and mobile sales app that provides real-time customer, stock, and sales information.</v>
          </cell>
          <cell r="C2661" t="str">
            <v>Active</v>
          </cell>
          <cell r="D2661">
            <v>2012</v>
          </cell>
          <cell r="G2661" t="str">
            <v>South Africa</v>
          </cell>
        </row>
        <row r="2662">
          <cell r="A2662" t="str">
            <v>Neutrinos</v>
          </cell>
          <cell r="B2662" t="str">
            <v>Neutrinos is an aplication development platform</v>
          </cell>
          <cell r="C2662" t="str">
            <v>Active</v>
          </cell>
          <cell r="D2662">
            <v>2015</v>
          </cell>
          <cell r="G2662" t="str">
            <v>South Africa</v>
          </cell>
        </row>
        <row r="2663">
          <cell r="A2663" t="str">
            <v>Instill Education</v>
          </cell>
          <cell r="B2663" t="str">
            <v>Instill Education is a a start-up education organisation with a vision to transform teaching and school leadership across the Africa.</v>
          </cell>
          <cell r="C2663" t="str">
            <v>Active</v>
          </cell>
          <cell r="D2663">
            <v>2015</v>
          </cell>
          <cell r="G2663" t="str">
            <v>South Africa</v>
          </cell>
        </row>
        <row r="2664">
          <cell r="A2664" t="str">
            <v>Anylytical Technologies</v>
          </cell>
          <cell r="B2664" t="str">
            <v>Anylytical Technologies is a software development and consultancy firm.</v>
          </cell>
          <cell r="C2664" t="str">
            <v>Active</v>
          </cell>
          <cell r="D2664">
            <v>2013</v>
          </cell>
          <cell r="G2664" t="str">
            <v>South Africa</v>
          </cell>
        </row>
        <row r="2665">
          <cell r="A2665" t="str">
            <v>Hwindi</v>
          </cell>
          <cell r="B2665" t="str">
            <v>Hwindi is an app that connects drivers to passengers</v>
          </cell>
          <cell r="C2665" t="str">
            <v>Active</v>
          </cell>
          <cell r="D2665">
            <v>2015</v>
          </cell>
          <cell r="G2665" t="str">
            <v>South Africa</v>
          </cell>
        </row>
        <row r="2666">
          <cell r="A2666" t="str">
            <v>SnapScan</v>
          </cell>
          <cell r="B2666" t="str">
            <v>SnapScan is a free and fast way to pay using your phone.</v>
          </cell>
          <cell r="C2666" t="str">
            <v>Active</v>
          </cell>
          <cell r="D2666">
            <v>2013</v>
          </cell>
          <cell r="G2666" t="str">
            <v>South Africa</v>
          </cell>
        </row>
        <row r="2667">
          <cell r="A2667" t="str">
            <v>The Social Collective</v>
          </cell>
          <cell r="B2667" t="str">
            <v>The Social Collective offers a customizable web and mobile solution that can be used to track community engagements and reporting for M&amp;E.</v>
          </cell>
          <cell r="C2667" t="str">
            <v>Active</v>
          </cell>
          <cell r="D2667">
            <v>2014</v>
          </cell>
          <cell r="G2667" t="str">
            <v>South Africa</v>
          </cell>
        </row>
        <row r="2668">
          <cell r="A2668" t="str">
            <v>Superbalist</v>
          </cell>
          <cell r="B2668" t="str">
            <v>An E-Commerce platform focusing on international fashion brands</v>
          </cell>
          <cell r="C2668" t="str">
            <v>Active</v>
          </cell>
          <cell r="D2668">
            <v>2010</v>
          </cell>
          <cell r="G2668" t="str">
            <v>South Africa</v>
          </cell>
        </row>
        <row r="2669">
          <cell r="A2669" t="str">
            <v>Yethu</v>
          </cell>
          <cell r="B2669" t="str">
            <v>Yethu is an online management system platform that helps individual manage their funds.</v>
          </cell>
          <cell r="C2669" t="str">
            <v>Active</v>
          </cell>
          <cell r="D2669">
            <v>2015</v>
          </cell>
          <cell r="G2669" t="str">
            <v>South Africa</v>
          </cell>
        </row>
        <row r="2670">
          <cell r="A2670" t="str">
            <v>Cassava FinTech</v>
          </cell>
          <cell r="B2670" t="str">
            <v>Cassava Fintech is a specialised Pan-African financial services Technology company.</v>
          </cell>
          <cell r="C2670" t="str">
            <v>Active</v>
          </cell>
          <cell r="D2670">
            <v>2017</v>
          </cell>
          <cell r="G2670" t="str">
            <v>South Africa</v>
          </cell>
        </row>
        <row r="2671">
          <cell r="A2671" t="str">
            <v>Dimension WebWorx</v>
          </cell>
          <cell r="B2671" t="str">
            <v>Dimension WebWorx provides a wide range of ict solutions fro businesses and individuals</v>
          </cell>
          <cell r="C2671" t="str">
            <v>Active</v>
          </cell>
          <cell r="D2671">
            <v>2011</v>
          </cell>
          <cell r="G2671" t="str">
            <v>South Africa</v>
          </cell>
        </row>
        <row r="2672">
          <cell r="A2672" t="str">
            <v>Fomo Travel</v>
          </cell>
          <cell r="B2672" t="str">
            <v>Fomo Travelm is a lay-buy travel platform</v>
          </cell>
          <cell r="C2672" t="str">
            <v>Active</v>
          </cell>
          <cell r="D2672">
            <v>2015</v>
          </cell>
          <cell r="G2672" t="str">
            <v>South Africa</v>
          </cell>
        </row>
        <row r="2673">
          <cell r="A2673" t="str">
            <v>Vumatel</v>
          </cell>
          <cell r="B2673" t="str">
            <v>Vumatel is an open access fibre to home network operators in South Africa.</v>
          </cell>
          <cell r="C2673" t="str">
            <v>Active</v>
          </cell>
          <cell r="D2673">
            <v>2014</v>
          </cell>
          <cell r="G2673" t="str">
            <v>South Africa</v>
          </cell>
        </row>
        <row r="2674">
          <cell r="A2674" t="str">
            <v>Webfluential</v>
          </cell>
          <cell r="B2674" t="str">
            <v>Webfluential is an online platform that helps brands across the globe find relevant social influencers.</v>
          </cell>
          <cell r="C2674" t="str">
            <v>Active</v>
          </cell>
          <cell r="D2674">
            <v>2013</v>
          </cell>
          <cell r="G2674" t="str">
            <v>South Africa</v>
          </cell>
        </row>
        <row r="2675">
          <cell r="A2675" t="str">
            <v>SampleBoard</v>
          </cell>
          <cell r="B2675" t="str">
            <v>SampleBoard develops solutions that enable designers to create professional visual concepts.</v>
          </cell>
          <cell r="C2675" t="str">
            <v>Active</v>
          </cell>
          <cell r="D2675">
            <v>2010</v>
          </cell>
          <cell r="G2675" t="str">
            <v>South Africa</v>
          </cell>
        </row>
        <row r="2676">
          <cell r="A2676" t="str">
            <v>Hello Doctor</v>
          </cell>
          <cell r="B2676" t="str">
            <v>House Call gives you 24/7 direct telephonic access to a registered doctor anytime, anywhere.</v>
          </cell>
          <cell r="C2676" t="str">
            <v>Active</v>
          </cell>
          <cell r="D2676">
            <v>2011</v>
          </cell>
          <cell r="G2676" t="str">
            <v>South Africa</v>
          </cell>
        </row>
        <row r="2677">
          <cell r="A2677" t="str">
            <v>Digital Twin</v>
          </cell>
          <cell r="B2677" t="str">
            <v>Digital Twin is Smart technologies to niche focus areas in the most cost effective manner with demonstrable ROI.</v>
          </cell>
          <cell r="C2677" t="str">
            <v>Active</v>
          </cell>
          <cell r="D2677">
            <v>2018</v>
          </cell>
          <cell r="G2677" t="str">
            <v>South Africa</v>
          </cell>
        </row>
        <row r="2678">
          <cell r="A2678" t="str">
            <v>Howler</v>
          </cell>
          <cell r="B2678" t="str">
            <v>Howler provides an event commerce platform.</v>
          </cell>
          <cell r="C2678" t="str">
            <v>Active</v>
          </cell>
          <cell r="D2678">
            <v>2016</v>
          </cell>
          <cell r="G2678" t="str">
            <v>South Africa</v>
          </cell>
        </row>
        <row r="2679">
          <cell r="A2679" t="str">
            <v>22Seven</v>
          </cell>
          <cell r="B2679" t="str">
            <v>22seven is a smartphone application that enables individuals to track and control their spending habits.</v>
          </cell>
          <cell r="C2679" t="str">
            <v>Active</v>
          </cell>
          <cell r="D2679">
            <v>2012</v>
          </cell>
          <cell r="G2679" t="str">
            <v>South Africa</v>
          </cell>
        </row>
        <row r="2680">
          <cell r="A2680" t="str">
            <v>Maxicash</v>
          </cell>
          <cell r="B2680" t="str">
            <v>Maxicash is a Fintech company &amp; developer of a mobile app that helps African financially support their loved ones back home.</v>
          </cell>
          <cell r="C2680" t="str">
            <v>Active</v>
          </cell>
          <cell r="D2680">
            <v>2015</v>
          </cell>
          <cell r="G2680" t="str">
            <v>South Africa</v>
          </cell>
        </row>
        <row r="2681">
          <cell r="A2681" t="str">
            <v xml:space="preserve">Cognician </v>
          </cell>
          <cell r="B2681" t="str">
            <v>Cognician creates digital coaching programs for organizations seeking to increase the performance and capabilities of their people.</v>
          </cell>
          <cell r="C2681" t="str">
            <v>Active</v>
          </cell>
          <cell r="D2681">
            <v>2010</v>
          </cell>
          <cell r="G2681" t="str">
            <v>South Africa</v>
          </cell>
        </row>
        <row r="2682">
          <cell r="A2682" t="str">
            <v>easy2map</v>
          </cell>
          <cell r="B2682" t="str">
            <v>Easy2Map is an online technology company that provides code-free solutions for creating and sharing maps across web and mobile platforms.</v>
          </cell>
          <cell r="C2682" t="str">
            <v>Active</v>
          </cell>
          <cell r="D2682">
            <v>2011</v>
          </cell>
          <cell r="G2682" t="str">
            <v>South Africa</v>
          </cell>
        </row>
        <row r="2683">
          <cell r="A2683" t="str">
            <v>Vizre</v>
          </cell>
          <cell r="B2683" t="str">
            <v>Vizre provides IT and Business advisory services to businesses of all sizes.</v>
          </cell>
          <cell r="C2683" t="str">
            <v>Active</v>
          </cell>
          <cell r="D2683">
            <v>2012</v>
          </cell>
          <cell r="G2683" t="str">
            <v>South Africa</v>
          </cell>
        </row>
        <row r="2684">
          <cell r="A2684" t="str">
            <v>Zulzi</v>
          </cell>
          <cell r="B2684" t="str">
            <v>Order groceries, liquor, food and pharmaceuticals with neighbours or colleagues and share the delivery costs.</v>
          </cell>
          <cell r="C2684" t="str">
            <v>Active</v>
          </cell>
          <cell r="D2684">
            <v>2014</v>
          </cell>
          <cell r="G2684" t="str">
            <v>South Africa</v>
          </cell>
        </row>
        <row r="2685">
          <cell r="A2685" t="str">
            <v>Signific</v>
          </cell>
          <cell r="B2685" t="str">
            <v>SaaS logistics and delivery management for SMBs. We optimise routing for small fleets, digitize operations and provide visibility/tracking</v>
          </cell>
          <cell r="C2685" t="str">
            <v>Active</v>
          </cell>
          <cell r="D2685">
            <v>2019</v>
          </cell>
          <cell r="G2685" t="str">
            <v>South Africa</v>
          </cell>
        </row>
        <row r="2686">
          <cell r="A2686" t="str">
            <v>UCook</v>
          </cell>
          <cell r="B2686" t="str">
            <v>UCOOK is a food and beverage platform that offers meal kit delivery service.</v>
          </cell>
          <cell r="C2686" t="str">
            <v>Active</v>
          </cell>
          <cell r="D2686">
            <v>2014</v>
          </cell>
          <cell r="G2686" t="str">
            <v>South Africa</v>
          </cell>
        </row>
        <row r="2687">
          <cell r="A2687" t="str">
            <v>Fincheck</v>
          </cell>
          <cell r="B2687" t="str">
            <v>Fincheck provides users with the facts and figures required to make an informed decision on their personal finance and loans.</v>
          </cell>
          <cell r="C2687" t="str">
            <v>Active</v>
          </cell>
          <cell r="D2687">
            <v>2015</v>
          </cell>
          <cell r="G2687" t="str">
            <v>South Africa</v>
          </cell>
          <cell r="X2687" t="str">
            <v>Information Technology</v>
          </cell>
          <cell r="Y2687" t="str">
            <v>Finance</v>
          </cell>
        </row>
        <row r="2688">
          <cell r="A2688" t="str">
            <v>Electrum</v>
          </cell>
          <cell r="B2688" t="str">
            <v>Electrum builds software that represents the next generation of payments technology.</v>
          </cell>
          <cell r="C2688" t="str">
            <v>Active</v>
          </cell>
          <cell r="D2688">
            <v>2012</v>
          </cell>
          <cell r="G2688" t="str">
            <v>South Africa</v>
          </cell>
        </row>
        <row r="2689">
          <cell r="A2689" t="str">
            <v>Seeds For Africa</v>
          </cell>
          <cell r="B2689" t="str">
            <v>Seeds for Africa is an independent company that sells over 2600 varieties of indigenous African and exotic plant seeds.</v>
          </cell>
          <cell r="C2689" t="str">
            <v>Active</v>
          </cell>
          <cell r="D2689">
            <v>2011</v>
          </cell>
          <cell r="G2689" t="str">
            <v>South Africa</v>
          </cell>
        </row>
        <row r="2690">
          <cell r="A2690" t="str">
            <v>SnapWidget</v>
          </cell>
          <cell r="B2690" t="str">
            <v>SnapWidget is the best way to display your Instagram, Twitter and Facebook photos on your website or blog.</v>
          </cell>
          <cell r="C2690" t="str">
            <v>Active</v>
          </cell>
          <cell r="D2690">
            <v>2011</v>
          </cell>
          <cell r="G2690" t="str">
            <v>South Africa</v>
          </cell>
        </row>
        <row r="2691">
          <cell r="A2691" t="str">
            <v>SovTech</v>
          </cell>
          <cell r="B2691" t="str">
            <v>SovTech is a custom software engineering platform. Mobile Apps, Web Apps, Blockchain, Enterprise &amp; AI.</v>
          </cell>
          <cell r="C2691" t="str">
            <v>Active</v>
          </cell>
          <cell r="D2691">
            <v>2012</v>
          </cell>
          <cell r="G2691" t="str">
            <v>South Africa</v>
          </cell>
        </row>
        <row r="2692">
          <cell r="A2692" t="str">
            <v>Runwaysale</v>
          </cell>
          <cell r="B2692" t="str">
            <v>Runwaysale is an online fashion retailer</v>
          </cell>
          <cell r="C2692" t="str">
            <v>Active</v>
          </cell>
          <cell r="D2692">
            <v>2012</v>
          </cell>
          <cell r="G2692" t="str">
            <v>South Africa</v>
          </cell>
        </row>
        <row r="2693">
          <cell r="A2693" t="str">
            <v>Wallettec</v>
          </cell>
          <cell r="B2693" t="str">
            <v>Wallettec is a SaaS platform that enables retailers to accept any type of mobile transaction or currency type at their Point of Sale.</v>
          </cell>
          <cell r="C2693" t="str">
            <v>Active</v>
          </cell>
          <cell r="D2693">
            <v>2013</v>
          </cell>
          <cell r="G2693" t="str">
            <v>South Africa</v>
          </cell>
        </row>
        <row r="2694">
          <cell r="A2694" t="str">
            <v>Snupit</v>
          </cell>
          <cell r="B2694" t="str">
            <v>Snupit is South Africa’s top online marketplace, letting you quickly find and hire local service professionals</v>
          </cell>
          <cell r="C2694" t="str">
            <v>Active</v>
          </cell>
          <cell r="D2694">
            <v>2012</v>
          </cell>
          <cell r="G2694" t="str">
            <v>South Africa</v>
          </cell>
        </row>
        <row r="2695">
          <cell r="A2695" t="str">
            <v>Snappic</v>
          </cell>
          <cell r="B2695" t="str">
            <v>Snappic is the ultimate photo booth platform which allows any user or event professional to run a photo booth business.</v>
          </cell>
          <cell r="C2695" t="str">
            <v>Active</v>
          </cell>
          <cell r="D2695">
            <v>2015</v>
          </cell>
          <cell r="G2695" t="str">
            <v>South Africa</v>
          </cell>
        </row>
        <row r="2696">
          <cell r="A2696" t="str">
            <v>Token Capital</v>
          </cell>
          <cell r="B2696" t="str">
            <v>We are a one-stop shop for all of your cryptocurrency needs. With Token Capital you can invest in the digital economy through one of our Bundles as well as Earn, Learn and Exchange digital assets.</v>
          </cell>
          <cell r="C2696" t="str">
            <v>Active</v>
          </cell>
          <cell r="D2696">
            <v>2019</v>
          </cell>
          <cell r="G2696" t="str">
            <v>South Africa</v>
          </cell>
        </row>
        <row r="2697">
          <cell r="A2697" t="str">
            <v>Eduze</v>
          </cell>
          <cell r="B2697" t="str">
            <v>Eduze is a digital media startup company that focuses on the distribution of mobile content.</v>
          </cell>
          <cell r="C2697" t="str">
            <v>Active</v>
          </cell>
          <cell r="D2697">
            <v>2013</v>
          </cell>
          <cell r="G2697" t="str">
            <v>South Africa</v>
          </cell>
        </row>
        <row r="2698">
          <cell r="A2698" t="str">
            <v>Snapbill</v>
          </cell>
          <cell r="B2698" t="str">
            <v>SnapBill is a web based billing software for freelancers and small businesses.</v>
          </cell>
          <cell r="C2698" t="str">
            <v>Active</v>
          </cell>
          <cell r="D2698">
            <v>2011</v>
          </cell>
          <cell r="G2698" t="str">
            <v>South Africa</v>
          </cell>
        </row>
        <row r="2699">
          <cell r="A2699" t="str">
            <v>Wisolar</v>
          </cell>
          <cell r="B2699" t="str">
            <v>WiSolar is a clean energy company in Africa that enables consumers and businesses obtain solar electricity.</v>
          </cell>
          <cell r="C2699" t="str">
            <v>Active</v>
          </cell>
          <cell r="D2699">
            <v>2016</v>
          </cell>
          <cell r="G2699" t="str">
            <v>South Africa</v>
          </cell>
        </row>
        <row r="2700">
          <cell r="A2700" t="str">
            <v>BusinessOptics</v>
          </cell>
          <cell r="B2700" t="str">
            <v>BusinessOptics is a prescriptive analytics solution for both real-time decision optimization and scenario analysis</v>
          </cell>
          <cell r="C2700" t="str">
            <v>Active</v>
          </cell>
          <cell r="D2700">
            <v>2011</v>
          </cell>
          <cell r="G2700" t="str">
            <v>South Africa</v>
          </cell>
        </row>
        <row r="2701">
          <cell r="A2701" t="str">
            <v>My9Lives</v>
          </cell>
          <cell r="B2701" t="str">
            <v>My9Lives is a start-up enterprise with the belief that self-awareness empowers.</v>
          </cell>
          <cell r="C2701" t="str">
            <v>Active</v>
          </cell>
          <cell r="D2701">
            <v>2014</v>
          </cell>
          <cell r="G2701" t="str">
            <v>South Africa</v>
          </cell>
        </row>
        <row r="2702">
          <cell r="A2702" t="str">
            <v>The Loyalty Box</v>
          </cell>
          <cell r="B2702" t="str">
            <v>The Loyalty Box is a customer loyalty software that gives retailers complete control over every aspect of their loyalty programs.</v>
          </cell>
          <cell r="C2702" t="str">
            <v>Active</v>
          </cell>
          <cell r="D2702">
            <v>2012</v>
          </cell>
          <cell r="G2702" t="str">
            <v>South Africa</v>
          </cell>
        </row>
        <row r="2703">
          <cell r="A2703" t="str">
            <v>OurHood</v>
          </cell>
          <cell r="B2703" t="str">
            <v>OurHood aims to accomplish just that by providing a digital space that connects neighbours online.</v>
          </cell>
          <cell r="C2703" t="str">
            <v>Active</v>
          </cell>
          <cell r="D2703">
            <v>2014</v>
          </cell>
          <cell r="G2703" t="str">
            <v>South Africa</v>
          </cell>
        </row>
        <row r="2704">
          <cell r="A2704" t="str">
            <v>IntelliCred</v>
          </cell>
          <cell r="B2704" t="str">
            <v>Protect what you value most online, your brand and identity.</v>
          </cell>
          <cell r="C2704" t="str">
            <v>Active</v>
          </cell>
          <cell r="D2704">
            <v>2013</v>
          </cell>
          <cell r="G2704" t="str">
            <v>South Africa</v>
          </cell>
        </row>
        <row r="2705">
          <cell r="A2705" t="str">
            <v>3X4Genetics</v>
          </cell>
          <cell r="B2705" t="str">
            <v>3X4Genetics offers at-home DNA analysis and genetic testing.</v>
          </cell>
          <cell r="C2705" t="str">
            <v>Active</v>
          </cell>
          <cell r="D2705">
            <v>2018</v>
          </cell>
          <cell r="G2705" t="str">
            <v>South Africa</v>
          </cell>
        </row>
        <row r="2706">
          <cell r="A2706" t="str">
            <v>HostAfrica</v>
          </cell>
          <cell r="B2706" t="str">
            <v>High Performance Servers and Hosting Solutions</v>
          </cell>
          <cell r="C2706" t="str">
            <v>Active</v>
          </cell>
          <cell r="D2706">
            <v>2015</v>
          </cell>
          <cell r="G2706" t="str">
            <v>South Africa</v>
          </cell>
        </row>
        <row r="2707">
          <cell r="A2707" t="str">
            <v>FitKey</v>
          </cell>
          <cell r="B2707" t="str">
            <v>Discover a happy and healthy new you with FitKey</v>
          </cell>
          <cell r="C2707" t="str">
            <v>Active</v>
          </cell>
          <cell r="D2707">
            <v>2015</v>
          </cell>
          <cell r="G2707" t="str">
            <v>South Africa</v>
          </cell>
        </row>
        <row r="2708">
          <cell r="A2708" t="str">
            <v>Hey Jude</v>
          </cell>
          <cell r="B2708" t="str">
            <v>The smartest way to get things done.</v>
          </cell>
          <cell r="C2708" t="str">
            <v>Active</v>
          </cell>
          <cell r="D2708">
            <v>2015</v>
          </cell>
          <cell r="G2708" t="str">
            <v>South Africa</v>
          </cell>
        </row>
        <row r="2709">
          <cell r="A2709" t="str">
            <v>Vinewave</v>
          </cell>
          <cell r="B2709" t="str">
            <v>Premium SharePoint web parts &amp; add-ons for your SharePoint intranet or website.</v>
          </cell>
          <cell r="C2709" t="str">
            <v>Active</v>
          </cell>
          <cell r="D2709">
            <v>2011</v>
          </cell>
          <cell r="G2709" t="str">
            <v>South Africa</v>
          </cell>
        </row>
        <row r="2710">
          <cell r="A2710" t="str">
            <v>Daptio</v>
          </cell>
          <cell r="B2710" t="str">
            <v>Daptio is an adaptive online learning platform that is optimised for integration into current LMS's and 3rd World environments.</v>
          </cell>
          <cell r="C2710" t="str">
            <v>Active</v>
          </cell>
          <cell r="D2710">
            <v>2013</v>
          </cell>
          <cell r="G2710" t="str">
            <v>South Africa</v>
          </cell>
        </row>
        <row r="2711">
          <cell r="A2711" t="str">
            <v>Sensorit.io</v>
          </cell>
          <cell r="B2711" t="str">
            <v>Sensorit.io is a smart mobility company.</v>
          </cell>
          <cell r="C2711" t="str">
            <v>Active</v>
          </cell>
          <cell r="D2711">
            <v>2017</v>
          </cell>
          <cell r="G2711" t="str">
            <v>South Africa</v>
          </cell>
        </row>
        <row r="2712">
          <cell r="A2712" t="str">
            <v>PetHeaven</v>
          </cell>
          <cell r="B2712" t="str">
            <v>Pet Heaven is an e-commerce platform offering pet foods and accessories.</v>
          </cell>
          <cell r="C2712" t="str">
            <v>Active</v>
          </cell>
          <cell r="D2712">
            <v>2012</v>
          </cell>
          <cell r="G2712" t="str">
            <v>South Africa</v>
          </cell>
        </row>
        <row r="2713">
          <cell r="A2713" t="str">
            <v>HealthCloud</v>
          </cell>
          <cell r="B2713" t="str">
            <v>HealthCloud is a data interoperability platform for the healthcare industry.</v>
          </cell>
          <cell r="C2713" t="str">
            <v>Active</v>
          </cell>
          <cell r="D2713">
            <v>2017</v>
          </cell>
          <cell r="G2713" t="str">
            <v>South Africa</v>
          </cell>
        </row>
        <row r="2714">
          <cell r="A2714" t="str">
            <v>Ditto Hire</v>
          </cell>
          <cell r="B2714" t="str">
            <v>Ditto Hire is an intelligent recruiting platform that will make you source, manage, market and place more qualified candidates in less time.</v>
          </cell>
          <cell r="C2714" t="str">
            <v>Active</v>
          </cell>
          <cell r="D2714">
            <v>2016</v>
          </cell>
          <cell r="G2714" t="str">
            <v>South Africa</v>
          </cell>
        </row>
        <row r="2715">
          <cell r="A2715" t="str">
            <v>Super Simple Survey</v>
          </cell>
          <cell r="B2715" t="str">
            <v>SuperSimpleSurvey is a online survey creator, trusted by 6000+ awesome people worldwide.</v>
          </cell>
          <cell r="C2715" t="str">
            <v>Active</v>
          </cell>
          <cell r="D2715">
            <v>2012</v>
          </cell>
          <cell r="G2715" t="str">
            <v>South Africa</v>
          </cell>
        </row>
        <row r="2716">
          <cell r="A2716" t="str">
            <v>Octobase</v>
          </cell>
          <cell r="B2716" t="str">
            <v>The simplest, most forgiving Granny Wallet.</v>
          </cell>
          <cell r="C2716" t="str">
            <v>Active</v>
          </cell>
          <cell r="D2716">
            <v>2017</v>
          </cell>
          <cell r="G2716" t="str">
            <v>South Africa</v>
          </cell>
        </row>
        <row r="2717">
          <cell r="A2717" t="str">
            <v>MySmartfarm</v>
          </cell>
          <cell r="B2717" t="str">
            <v>MySmartFarm is a radically better way for farmers to work with their high value &amp; live data.</v>
          </cell>
          <cell r="C2717" t="str">
            <v>Active</v>
          </cell>
          <cell r="D2717">
            <v>2012</v>
          </cell>
          <cell r="G2717" t="str">
            <v>South Africa</v>
          </cell>
        </row>
        <row r="2718">
          <cell r="A2718" t="str">
            <v>Scientrix</v>
          </cell>
          <cell r="B2718" t="str">
            <v>Digital strategy and execution software product</v>
          </cell>
          <cell r="C2718" t="str">
            <v>Active</v>
          </cell>
          <cell r="D2718">
            <v>2013</v>
          </cell>
          <cell r="G2718" t="str">
            <v>South Africa</v>
          </cell>
        </row>
        <row r="2719">
          <cell r="A2719" t="str">
            <v>PayProp</v>
          </cell>
          <cell r="B2719" t="str">
            <v>PayProp provides automated payments for residential rental agents</v>
          </cell>
          <cell r="C2719" t="str">
            <v>Active</v>
          </cell>
          <cell r="D2719">
            <v>2011</v>
          </cell>
          <cell r="G2719" t="str">
            <v>South Africa</v>
          </cell>
        </row>
        <row r="2720">
          <cell r="A2720" t="str">
            <v>ShoppingFeeder</v>
          </cell>
          <cell r="B2720" t="str">
            <v>ShoppingFeeder is a feed management and product data optimization platform.</v>
          </cell>
          <cell r="C2720" t="str">
            <v>Active</v>
          </cell>
          <cell r="D2720">
            <v>2014</v>
          </cell>
          <cell r="G2720" t="str">
            <v>South Africa</v>
          </cell>
        </row>
        <row r="2721">
          <cell r="A2721" t="str">
            <v>Washr</v>
          </cell>
          <cell r="B2721" t="str">
            <v>Washr is a web-based Laundromat that enables users to get their laundry picked, dry cleaned, and delivered to their doorsteps.</v>
          </cell>
          <cell r="C2721" t="str">
            <v>Active</v>
          </cell>
          <cell r="D2721">
            <v>2013</v>
          </cell>
          <cell r="G2721" t="str">
            <v>South Africa</v>
          </cell>
        </row>
        <row r="2722">
          <cell r="A2722" t="str">
            <v>Khula</v>
          </cell>
          <cell r="B2722" t="str">
            <v>KHULA is a Software and mobile marketplace for farmers.</v>
          </cell>
          <cell r="C2722" t="str">
            <v>Active</v>
          </cell>
          <cell r="D2722">
            <v>2016</v>
          </cell>
          <cell r="G2722" t="str">
            <v>South Africa</v>
          </cell>
        </row>
        <row r="2723">
          <cell r="A2723" t="str">
            <v>Kisua</v>
          </cell>
          <cell r="B2723" t="str">
            <v>Contemporary ready-to-wear fashion marketplace</v>
          </cell>
          <cell r="C2723" t="str">
            <v>Active</v>
          </cell>
          <cell r="D2723">
            <v>2013</v>
          </cell>
          <cell r="G2723" t="str">
            <v>South Africa</v>
          </cell>
        </row>
        <row r="2724">
          <cell r="A2724" t="str">
            <v>bountiXP</v>
          </cell>
          <cell r="B2724" t="str">
            <v>The ultimate cloud-based employee experience and employee recognition software</v>
          </cell>
          <cell r="C2724" t="str">
            <v>Active</v>
          </cell>
          <cell r="D2724">
            <v>2017</v>
          </cell>
          <cell r="G2724" t="str">
            <v>South Africa</v>
          </cell>
        </row>
        <row r="2725">
          <cell r="A2725" t="str">
            <v>Strider Technology</v>
          </cell>
          <cell r="B2725" t="str">
            <v>Strider is a young non-conventional fin-tech company serving blue-chip financial institutions such as banks, insurers and asset managers.</v>
          </cell>
          <cell r="C2725" t="str">
            <v>Active</v>
          </cell>
          <cell r="D2725">
            <v>2013</v>
          </cell>
          <cell r="G2725" t="str">
            <v>South Africa</v>
          </cell>
        </row>
        <row r="2726">
          <cell r="A2726" t="str">
            <v>Glucode</v>
          </cell>
          <cell r="B2726" t="str">
            <v>Glucode brings innovative thinkers and creators together to produce apps that people love.</v>
          </cell>
          <cell r="C2726" t="str">
            <v>Active</v>
          </cell>
          <cell r="D2726">
            <v>2016</v>
          </cell>
          <cell r="G2726" t="str">
            <v>South Africa</v>
          </cell>
        </row>
        <row r="2727">
          <cell r="A2727" t="str">
            <v>Muzi</v>
          </cell>
          <cell r="B2727" t="str">
            <v>We use smartphones to more accurately interpret RDTs, generate electronic health records and gather valuable epidemiology data</v>
          </cell>
          <cell r="C2727" t="str">
            <v>Active</v>
          </cell>
          <cell r="D2727">
            <v>2016</v>
          </cell>
          <cell r="G2727" t="str">
            <v>South Africa</v>
          </cell>
        </row>
        <row r="2728">
          <cell r="A2728" t="str">
            <v>airManaged</v>
          </cell>
          <cell r="B2728" t="str">
            <v>Air Management is a technology-driven home rentals management company based in Cape Town.</v>
          </cell>
          <cell r="C2728" t="str">
            <v>Active</v>
          </cell>
          <cell r="D2728">
            <v>2015</v>
          </cell>
          <cell r="G2728" t="str">
            <v>South Africa</v>
          </cell>
        </row>
        <row r="2729">
          <cell r="A2729" t="str">
            <v>I-Drop Water</v>
          </cell>
          <cell r="B2729" t="str">
            <v>I-Drop Water is making safe drinking water affordable and accessible to everyone, everywhere by enabling shops to sell purified drinking water by the liter.</v>
          </cell>
          <cell r="C2729" t="str">
            <v>Active</v>
          </cell>
          <cell r="D2729">
            <v>2015</v>
          </cell>
          <cell r="G2729" t="str">
            <v>South Africa</v>
          </cell>
        </row>
        <row r="2730">
          <cell r="A2730" t="str">
            <v>Denarii</v>
          </cell>
          <cell r="B2730" t="str">
            <v>Denarii is an outsourced financial management specialist that provide customised and affordable financial expertise in Cape Town.</v>
          </cell>
          <cell r="C2730" t="str">
            <v>Active</v>
          </cell>
          <cell r="D2730">
            <v>2015</v>
          </cell>
          <cell r="G2730" t="str">
            <v>South Africa</v>
          </cell>
        </row>
        <row r="2731">
          <cell r="A2731" t="str">
            <v>Ooka</v>
          </cell>
          <cell r="B2731" t="str">
            <v>Ooka.co.za provides local small farmers the ability to make an income selling their fruits, vegetables, and moderate producing crops.</v>
          </cell>
          <cell r="C2731" t="str">
            <v>Active</v>
          </cell>
          <cell r="D2731">
            <v>2015</v>
          </cell>
          <cell r="G2731" t="str">
            <v>South Africa</v>
          </cell>
        </row>
        <row r="2732">
          <cell r="A2732" t="str">
            <v>Cashbag</v>
          </cell>
          <cell r="B2732" t="str">
            <v>CashBag is an exciting rewards program where you earn cash back when shopping online.</v>
          </cell>
          <cell r="C2732" t="str">
            <v>Active</v>
          </cell>
          <cell r="D2732">
            <v>2013</v>
          </cell>
          <cell r="G2732" t="str">
            <v>South Africa</v>
          </cell>
        </row>
        <row r="2733">
          <cell r="A2733" t="str">
            <v>Diga Digital Intelligence</v>
          </cell>
          <cell r="B2733" t="str">
            <v>DIGA provides a trusted outsourced business enablement service and platform to clients who seek to improve financial performance.</v>
          </cell>
          <cell r="C2733" t="str">
            <v>Active</v>
          </cell>
          <cell r="D2733">
            <v>2013</v>
          </cell>
          <cell r="G2733" t="str">
            <v>South Africa</v>
          </cell>
        </row>
        <row r="2734">
          <cell r="A2734" t="str">
            <v xml:space="preserve">Drive Revenue </v>
          </cell>
          <cell r="B2734" t="str">
            <v>Drive Revenue – an online accounting and practice management platform to transform your legal practice.</v>
          </cell>
          <cell r="C2734" t="str">
            <v>Active</v>
          </cell>
          <cell r="D2734">
            <v>2013</v>
          </cell>
          <cell r="G2734" t="str">
            <v>South Africa</v>
          </cell>
        </row>
        <row r="2735">
          <cell r="A2735" t="str">
            <v>Ukheshe</v>
          </cell>
          <cell r="B2735" t="str">
            <v>uKheshe is a micro-transaction platform that allows cardholders to pay and get paid. Unlike other eWallet or QR payment service, uKheshe works based on user lifestyle.</v>
          </cell>
          <cell r="C2735" t="str">
            <v>Active</v>
          </cell>
          <cell r="D2735">
            <v>2015</v>
          </cell>
          <cell r="G2735" t="str">
            <v>South Africa</v>
          </cell>
          <cell r="X2735" t="str">
            <v>Financial Services</v>
          </cell>
          <cell r="Y2735" t="str">
            <v>Payments</v>
          </cell>
        </row>
        <row r="2736">
          <cell r="A2736" t="str">
            <v>Isazi Consulting</v>
          </cell>
          <cell r="B2736" t="str">
            <v>Isazi Consulting is a data science company that excel in applying scientific methods to large datasets</v>
          </cell>
          <cell r="C2736" t="str">
            <v>Active</v>
          </cell>
          <cell r="D2736">
            <v>2012</v>
          </cell>
          <cell r="G2736" t="str">
            <v>South Africa</v>
          </cell>
        </row>
        <row r="2737">
          <cell r="A2737" t="str">
            <v>Destiny Changers Education Group</v>
          </cell>
          <cell r="B2737" t="str">
            <v>Destiny Changers providing affordable private schooling in the Gauteng area based on the fundamental principle of teaching excellence.</v>
          </cell>
          <cell r="C2737" t="str">
            <v>Active</v>
          </cell>
          <cell r="D2737">
            <v>2012</v>
          </cell>
          <cell r="G2737" t="str">
            <v>South Africa</v>
          </cell>
        </row>
        <row r="2738">
          <cell r="A2738" t="str">
            <v>Agridrone</v>
          </cell>
          <cell r="B2738" t="str">
            <v>AgriDrone designs, builds and sells fully autonomous, self-contained drone systems to the agricultural and related sectors.</v>
          </cell>
          <cell r="C2738" t="str">
            <v>Active</v>
          </cell>
          <cell r="D2738">
            <v>2014</v>
          </cell>
          <cell r="G2738" t="str">
            <v>South Africa</v>
          </cell>
        </row>
        <row r="2739">
          <cell r="A2739" t="str">
            <v>A2D24</v>
          </cell>
          <cell r="B2739" t="str">
            <v>A2D24are committed to providing innovate problem-solving solutions to processes across various sectors.</v>
          </cell>
          <cell r="C2739" t="str">
            <v>Active</v>
          </cell>
          <cell r="D2739">
            <v>2015</v>
          </cell>
          <cell r="G2739" t="str">
            <v>South Africa</v>
          </cell>
        </row>
        <row r="2740">
          <cell r="A2740" t="str">
            <v>Afrimart</v>
          </cell>
          <cell r="B2740" t="str">
            <v>Afrimart is an online Wholesale Supplier &amp; distributor in South Africa</v>
          </cell>
          <cell r="C2740" t="str">
            <v>Active</v>
          </cell>
          <cell r="D2740">
            <v>2016</v>
          </cell>
          <cell r="G2740" t="str">
            <v>South Africa</v>
          </cell>
        </row>
        <row r="2741">
          <cell r="A2741" t="str">
            <v>WaxdPay</v>
          </cell>
          <cell r="B2741" t="str">
            <v>WaxdPay is an EFT aggregator that processes mobile &amp; online EFT transactions at a low cost.</v>
          </cell>
          <cell r="C2741" t="str">
            <v>Active</v>
          </cell>
          <cell r="D2741">
            <v>2016</v>
          </cell>
          <cell r="G2741" t="str">
            <v>South Africa</v>
          </cell>
        </row>
        <row r="2742">
          <cell r="A2742" t="str">
            <v>Tessara</v>
          </cell>
          <cell r="B2742" t="str">
            <v>Tessara is using fresh science to enhance fresh produce</v>
          </cell>
          <cell r="C2742" t="str">
            <v>Active</v>
          </cell>
          <cell r="D2742">
            <v>2015</v>
          </cell>
          <cell r="G2742" t="str">
            <v>South Africa</v>
          </cell>
        </row>
        <row r="2743">
          <cell r="A2743" t="str">
            <v>Flow Software</v>
          </cell>
          <cell r="B2743" t="str">
            <v>The Flow applications integration solution automates business processes that cross over system boundaries.</v>
          </cell>
          <cell r="C2743" t="str">
            <v>Active</v>
          </cell>
          <cell r="D2743">
            <v>2015</v>
          </cell>
          <cell r="G2743" t="str">
            <v>South Africa</v>
          </cell>
        </row>
        <row r="2744">
          <cell r="A2744" t="str">
            <v>TaxTim</v>
          </cell>
          <cell r="B2744" t="str">
            <v>TaxTim is an online digital tax assistant who asks you a set of simple questions, then fills out your return.</v>
          </cell>
          <cell r="C2744" t="str">
            <v>Active</v>
          </cell>
          <cell r="D2744">
            <v>2011</v>
          </cell>
          <cell r="G2744" t="str">
            <v>South Africa</v>
          </cell>
        </row>
        <row r="2745">
          <cell r="A2745" t="str">
            <v>AsaDuru</v>
          </cell>
          <cell r="B2745" t="str">
            <v>AsaDuru is a green building firm based on exclusively delivering environmentally sustainable and functional solutions – inspired by nature.</v>
          </cell>
          <cell r="C2745" t="str">
            <v>Active</v>
          </cell>
          <cell r="D2745">
            <v>2014</v>
          </cell>
          <cell r="G2745" t="str">
            <v>South Africa</v>
          </cell>
        </row>
        <row r="2746">
          <cell r="A2746" t="str">
            <v>QuicklySign</v>
          </cell>
          <cell r="B2746" t="str">
            <v>A legal digital way to sign a document. With Quicklysign, you are able to have all your documents signed, without your clients needing to print, scan or fax.</v>
          </cell>
          <cell r="C2746" t="str">
            <v>Active</v>
          </cell>
          <cell r="D2746">
            <v>2014</v>
          </cell>
          <cell r="G2746" t="str">
            <v>South Africa</v>
          </cell>
        </row>
        <row r="2747">
          <cell r="A2747" t="str">
            <v>Thoopid</v>
          </cell>
          <cell r="B2747" t="str">
            <v>Thoopid is a game development studio</v>
          </cell>
          <cell r="C2747" t="str">
            <v>Active</v>
          </cell>
          <cell r="D2747">
            <v>2013</v>
          </cell>
          <cell r="G2747" t="str">
            <v>South Africa</v>
          </cell>
        </row>
        <row r="2748">
          <cell r="A2748" t="str">
            <v>Autopilot Workflow Solutions</v>
          </cell>
          <cell r="B2748" t="str">
            <v>Autopilot workflow solutions focuses on the implementation and roll-out of process-driven electronic form solutions.</v>
          </cell>
          <cell r="C2748" t="str">
            <v>Active</v>
          </cell>
          <cell r="D2748">
            <v>2014</v>
          </cell>
          <cell r="G2748" t="str">
            <v>South Africa</v>
          </cell>
        </row>
        <row r="2749">
          <cell r="A2749" t="str">
            <v>Indico Information Systems</v>
          </cell>
          <cell r="B2749" t="str">
            <v>Indico Information Systems enables users keep their home content inventory up to date with their insurance company.</v>
          </cell>
          <cell r="C2749" t="str">
            <v>Active</v>
          </cell>
          <cell r="D2749">
            <v>2012</v>
          </cell>
          <cell r="G2749" t="str">
            <v>South Africa</v>
          </cell>
        </row>
        <row r="2750">
          <cell r="A2750" t="str">
            <v>Glu Global</v>
          </cell>
          <cell r="B2750" t="str">
            <v>GLU Global is a Specialist Integration Team that creates value through simplified connections</v>
          </cell>
          <cell r="C2750" t="str">
            <v>Active</v>
          </cell>
          <cell r="D2750">
            <v>2015</v>
          </cell>
          <cell r="G2750" t="str">
            <v>South Africa</v>
          </cell>
        </row>
        <row r="2751">
          <cell r="A2751" t="str">
            <v>PAIX Data Centres</v>
          </cell>
          <cell r="B2751" t="str">
            <v>PAIX data centres is a Pan-African provider of cloud- and carrier-neutral colocation data centre services</v>
          </cell>
          <cell r="C2751" t="str">
            <v>Active</v>
          </cell>
          <cell r="D2751">
            <v>2016</v>
          </cell>
          <cell r="G2751" t="str">
            <v>Netherlands</v>
          </cell>
        </row>
        <row r="2752">
          <cell r="A2752" t="str">
            <v>Raru</v>
          </cell>
          <cell r="B2752" t="str">
            <v>Raru is an online retailer that sells electronics, books, movies, video games, music, toys, boards and dice, and more.</v>
          </cell>
          <cell r="C2752" t="str">
            <v>Active</v>
          </cell>
          <cell r="D2752">
            <v>2014</v>
          </cell>
          <cell r="G2752" t="str">
            <v>South Africa</v>
          </cell>
        </row>
        <row r="2753">
          <cell r="A2753" t="str">
            <v>Rubybox</v>
          </cell>
          <cell r="B2753" t="str">
            <v>Your beauty product sampling box. Home delivered</v>
          </cell>
          <cell r="C2753" t="str">
            <v>Active</v>
          </cell>
          <cell r="D2753">
            <v>2011</v>
          </cell>
          <cell r="G2753" t="str">
            <v>South Africa</v>
          </cell>
        </row>
        <row r="2754">
          <cell r="A2754" t="str">
            <v>Forj</v>
          </cell>
          <cell r="B2754" t="str">
            <v>Forj offers VR and 360 tours, a new way to view property.</v>
          </cell>
          <cell r="C2754" t="str">
            <v>Active</v>
          </cell>
          <cell r="D2754">
            <v>2017</v>
          </cell>
          <cell r="G2754" t="str">
            <v>South Africa</v>
          </cell>
        </row>
        <row r="2755">
          <cell r="A2755" t="str">
            <v>Popping</v>
          </cell>
          <cell r="B2755" t="str">
            <v>Poppin helps your business rent venues for its Pop-Up Shop.</v>
          </cell>
          <cell r="C2755" t="str">
            <v>Active</v>
          </cell>
          <cell r="D2755">
            <v>2019</v>
          </cell>
          <cell r="G2755" t="str">
            <v>South Africa</v>
          </cell>
        </row>
        <row r="2756">
          <cell r="A2756" t="str">
            <v>Business Process Mechanics</v>
          </cell>
          <cell r="B2756" t="str">
            <v>We document and analyze business processes to reduce inefficiencies.</v>
          </cell>
          <cell r="C2756" t="str">
            <v>Active</v>
          </cell>
          <cell r="D2756">
            <v>2014</v>
          </cell>
          <cell r="G2756" t="str">
            <v>South Africa</v>
          </cell>
        </row>
        <row r="2757">
          <cell r="A2757" t="str">
            <v>Vibescout</v>
          </cell>
          <cell r="B2757" t="str">
            <v>Provides updated daily events and activities wherever you are.</v>
          </cell>
          <cell r="C2757" t="str">
            <v>Active</v>
          </cell>
          <cell r="D2757">
            <v>2015</v>
          </cell>
          <cell r="G2757" t="str">
            <v>South Africa</v>
          </cell>
        </row>
        <row r="2758">
          <cell r="A2758" t="str">
            <v>Foschini</v>
          </cell>
          <cell r="B2758" t="str">
            <v>Foschini is the top-to-toe destination for the fashionable woman.</v>
          </cell>
          <cell r="C2758" t="str">
            <v>Active</v>
          </cell>
          <cell r="D2758">
            <v>2011</v>
          </cell>
          <cell r="G2758" t="str">
            <v>South Africa</v>
          </cell>
        </row>
        <row r="2759">
          <cell r="A2759" t="str">
            <v>Merchant Services</v>
          </cell>
          <cell r="B2759" t="str">
            <v>Merchant Services revolutionising the payments industry by providing transparent and simplified merchant services that enhances the merchant – customer process and experience.</v>
          </cell>
          <cell r="C2759" t="str">
            <v>Active</v>
          </cell>
          <cell r="D2759">
            <v>2012</v>
          </cell>
          <cell r="G2759" t="str">
            <v>South Africa</v>
          </cell>
        </row>
        <row r="2760">
          <cell r="A2760" t="str">
            <v>Neural Sense</v>
          </cell>
          <cell r="B2760" t="str">
            <v>We elevate the customer experience through neuroscience. We provide customer-centric insights using eye-tracking, EEG, biometrics and implicit testing.</v>
          </cell>
          <cell r="C2760" t="str">
            <v>Active</v>
          </cell>
          <cell r="D2760">
            <v>2010</v>
          </cell>
          <cell r="G2760" t="str">
            <v>South Africa</v>
          </cell>
        </row>
        <row r="2761">
          <cell r="A2761" t="str">
            <v>Terracam</v>
          </cell>
          <cell r="B2761" t="str">
            <v>Professional UAV Solutions</v>
          </cell>
          <cell r="C2761" t="str">
            <v>Active</v>
          </cell>
          <cell r="D2761">
            <v>2012</v>
          </cell>
          <cell r="G2761" t="str">
            <v>South Africa</v>
          </cell>
        </row>
        <row r="2762">
          <cell r="A2762" t="str">
            <v>CrashDetech</v>
          </cell>
          <cell r="B2762" t="str">
            <v>Auto-detects a serious car crash and alerts the CrashDetech emergency contact centre.</v>
          </cell>
          <cell r="C2762" t="str">
            <v>Active</v>
          </cell>
          <cell r="D2762">
            <v>2014</v>
          </cell>
          <cell r="G2762" t="str">
            <v>South Africa</v>
          </cell>
        </row>
        <row r="2763">
          <cell r="A2763" t="str">
            <v>Sprout</v>
          </cell>
          <cell r="B2763" t="str">
            <v>Sprout Performance is a media buying partner who provides optimised services for various brands.</v>
          </cell>
          <cell r="C2763" t="str">
            <v>Active</v>
          </cell>
          <cell r="D2763">
            <v>2013</v>
          </cell>
          <cell r="G2763" t="str">
            <v>South Africa</v>
          </cell>
        </row>
        <row r="2764">
          <cell r="A2764" t="str">
            <v>Agilocity</v>
          </cell>
          <cell r="B2764" t="str">
            <v>Agilocity your Agile Training, Coaching and Consulting partner in South Africa.</v>
          </cell>
          <cell r="C2764" t="str">
            <v>Active</v>
          </cell>
          <cell r="D2764">
            <v>2012</v>
          </cell>
          <cell r="G2764" t="str">
            <v>South Africa</v>
          </cell>
        </row>
        <row r="2765">
          <cell r="A2765" t="str">
            <v>Bluechip Retail Solutions</v>
          </cell>
          <cell r="B2765" t="str">
            <v>BluChip Retail Solutions is a company that offers end to end digital services solutions.</v>
          </cell>
          <cell r="C2765" t="str">
            <v>Active</v>
          </cell>
          <cell r="D2765">
            <v>2010</v>
          </cell>
          <cell r="G2765" t="str">
            <v>South Africa</v>
          </cell>
        </row>
        <row r="2766">
          <cell r="A2766" t="str">
            <v>Ordercloud</v>
          </cell>
          <cell r="B2766" t="str">
            <v>Integrated Ordering Payment Solutions.</v>
          </cell>
          <cell r="C2766" t="str">
            <v>Active</v>
          </cell>
          <cell r="D2766">
            <v>2011</v>
          </cell>
          <cell r="G2766" t="str">
            <v>South Africa</v>
          </cell>
        </row>
        <row r="2767">
          <cell r="A2767" t="str">
            <v>Organica</v>
          </cell>
          <cell r="B2767" t="str">
            <v>Organica brings you the best natural medicinal cannabis and cbd products for your health with secure shopping and free nationwide shipping options.</v>
          </cell>
          <cell r="C2767" t="str">
            <v>Active</v>
          </cell>
          <cell r="D2767">
            <v>2016</v>
          </cell>
          <cell r="G2767" t="str">
            <v>South Africa</v>
          </cell>
        </row>
        <row r="2768">
          <cell r="A2768" t="str">
            <v>Entry Ninja</v>
          </cell>
          <cell r="B2768" t="str">
            <v>Entry Ninja is a online start-up that facilitates entries into South African sporting events.</v>
          </cell>
          <cell r="C2768" t="str">
            <v>Active</v>
          </cell>
          <cell r="D2768">
            <v>2014</v>
          </cell>
          <cell r="G2768" t="str">
            <v>South Africa</v>
          </cell>
        </row>
        <row r="2769">
          <cell r="A2769" t="str">
            <v>WeCast</v>
          </cell>
          <cell r="B2769" t="str">
            <v>We're the first digital talent agency and job platform for part-time talent.</v>
          </cell>
          <cell r="C2769" t="str">
            <v>Active</v>
          </cell>
          <cell r="D2769">
            <v>2016</v>
          </cell>
          <cell r="G2769" t="str">
            <v>South Africa</v>
          </cell>
        </row>
        <row r="2770">
          <cell r="A2770" t="str">
            <v>Paycode</v>
          </cell>
          <cell r="B2770" t="str">
            <v>Paycode is the leader in providing digital financial services infrastructure.</v>
          </cell>
          <cell r="C2770" t="str">
            <v>Active</v>
          </cell>
          <cell r="D2770">
            <v>2014</v>
          </cell>
          <cell r="G2770" t="str">
            <v>South Africa</v>
          </cell>
        </row>
        <row r="2771">
          <cell r="A2771" t="str">
            <v>iHouzit</v>
          </cell>
          <cell r="B2771" t="str">
            <v>iHouzit is an e-commerce platform that focuses on items for the home.</v>
          </cell>
          <cell r="C2771" t="str">
            <v>Active</v>
          </cell>
          <cell r="D2771">
            <v>2016</v>
          </cell>
          <cell r="G2771" t="str">
            <v>South Africa</v>
          </cell>
        </row>
        <row r="2772">
          <cell r="A2772" t="str">
            <v>Team6 Consulting</v>
          </cell>
          <cell r="B2772" t="str">
            <v>Tam6 Consulting is helping in the digitalissation of African entreprises</v>
          </cell>
          <cell r="C2772" t="str">
            <v>Active</v>
          </cell>
          <cell r="D2772">
            <v>2016</v>
          </cell>
          <cell r="G2772" t="str">
            <v>South Africa</v>
          </cell>
        </row>
        <row r="2773">
          <cell r="A2773" t="str">
            <v>PST Sensors</v>
          </cell>
          <cell r="B2773" t="str">
            <v>PST Sensors is a Cape Town based technology company focussed on printed electronics and sensors.</v>
          </cell>
          <cell r="C2773" t="str">
            <v>Active</v>
          </cell>
          <cell r="D2773">
            <v>2010</v>
          </cell>
          <cell r="G2773" t="str">
            <v>South Africa</v>
          </cell>
        </row>
        <row r="2774">
          <cell r="A2774" t="str">
            <v>Hoorah Digital</v>
          </cell>
          <cell r="B2774" t="str">
            <v>Hoorah Digital is Africa's most exciting digital media consultancy.</v>
          </cell>
          <cell r="C2774" t="str">
            <v>Active</v>
          </cell>
          <cell r="D2774">
            <v>2018</v>
          </cell>
          <cell r="G2774" t="str">
            <v>South Africa</v>
          </cell>
        </row>
        <row r="2775">
          <cell r="A2775" t="str">
            <v>Tutorfy</v>
          </cell>
          <cell r="B2775" t="str">
            <v>Tutorfy connects you with vetted and experienced home tutors. Do everything online, from selecting and booking your tutor, to payment.</v>
          </cell>
          <cell r="C2775" t="str">
            <v>Active</v>
          </cell>
          <cell r="D2775">
            <v>2016</v>
          </cell>
          <cell r="G2775" t="str">
            <v>South Africa</v>
          </cell>
        </row>
        <row r="2776">
          <cell r="A2776" t="str">
            <v>Wezart</v>
          </cell>
          <cell r="B2776" t="str">
            <v>Wezart, is an African Arts Marketplace</v>
          </cell>
          <cell r="C2776" t="str">
            <v>Active</v>
          </cell>
          <cell r="D2776">
            <v>2017</v>
          </cell>
          <cell r="G2776" t="str">
            <v>South Africa</v>
          </cell>
        </row>
        <row r="2777">
          <cell r="A2777" t="str">
            <v>ProximityID</v>
          </cell>
          <cell r="B2777" t="str">
            <v>ProximityID is an industry leader in real-time location services</v>
          </cell>
          <cell r="C2777" t="str">
            <v>Active</v>
          </cell>
          <cell r="D2777">
            <v>2015</v>
          </cell>
          <cell r="G2777" t="str">
            <v>South Africa</v>
          </cell>
        </row>
        <row r="2778">
          <cell r="A2778" t="str">
            <v>Vibio</v>
          </cell>
          <cell r="B2778" t="str">
            <v>Vibio is the world's first native leisure network, allowing our users see what is happening around them in real-time using geolocation and photo &amp; video stories.</v>
          </cell>
          <cell r="C2778" t="str">
            <v>Active</v>
          </cell>
          <cell r="D2778">
            <v>2018</v>
          </cell>
          <cell r="G2778" t="str">
            <v>South Africa</v>
          </cell>
        </row>
        <row r="2779">
          <cell r="A2779" t="str">
            <v>Liquidity SA</v>
          </cell>
          <cell r="B2779" t="str">
            <v>Liquidity is an alternative lender offering secured financing solutions including personal asset loans, bridging finance and more.</v>
          </cell>
          <cell r="C2779" t="str">
            <v>Active</v>
          </cell>
          <cell r="D2779">
            <v>2014</v>
          </cell>
          <cell r="G2779" t="str">
            <v>South Africa</v>
          </cell>
        </row>
        <row r="2780">
          <cell r="A2780" t="str">
            <v>Shopstar</v>
          </cell>
          <cell r="B2780" t="str">
            <v>Shopstar helps you set up your own online retail store in minutes.</v>
          </cell>
          <cell r="C2780" t="str">
            <v>Active</v>
          </cell>
          <cell r="D2780">
            <v>2013</v>
          </cell>
          <cell r="G2780" t="str">
            <v>South Africa</v>
          </cell>
        </row>
        <row r="2781">
          <cell r="A2781" t="str">
            <v>Mulah</v>
          </cell>
          <cell r="B2781" t="str">
            <v>Mulah provides easy and quick short-term loans</v>
          </cell>
          <cell r="C2781" t="str">
            <v>Active</v>
          </cell>
          <cell r="D2781">
            <v>2013</v>
          </cell>
          <cell r="G2781" t="str">
            <v>South Africa</v>
          </cell>
        </row>
        <row r="2782">
          <cell r="A2782" t="str">
            <v>Shift One</v>
          </cell>
          <cell r="B2782" t="str">
            <v>Shift ONE is a creative, integrated marketing agency based out of Cape Town South Africa that delivers world class service, creative strategies and marketing campaigns to our clients</v>
          </cell>
          <cell r="C2782" t="str">
            <v>Active</v>
          </cell>
          <cell r="D2782">
            <v>2011</v>
          </cell>
          <cell r="G2782" t="str">
            <v>South Africa</v>
          </cell>
        </row>
        <row r="2783">
          <cell r="A2783" t="str">
            <v>Adclick Africa</v>
          </cell>
          <cell r="B2783" t="str">
            <v>Adclick Africa is one of South Africa's fastest growing marketing agencies offering best in class digital solutions that drive revenue growth for brands.</v>
          </cell>
          <cell r="C2783" t="str">
            <v>Active</v>
          </cell>
          <cell r="D2783">
            <v>2013</v>
          </cell>
          <cell r="G2783" t="str">
            <v>South Africa</v>
          </cell>
        </row>
        <row r="2784">
          <cell r="A2784" t="str">
            <v>Droppa</v>
          </cell>
          <cell r="B2784" t="str">
            <v>Droppa is logistics company that gets your goods and furniture delivered.</v>
          </cell>
          <cell r="C2784" t="str">
            <v>Active</v>
          </cell>
          <cell r="D2784">
            <v>2016</v>
          </cell>
          <cell r="G2784" t="str">
            <v>South Africa</v>
          </cell>
        </row>
        <row r="2785">
          <cell r="A2785" t="str">
            <v>Errand Nomads</v>
          </cell>
          <cell r="B2785" t="str">
            <v>The Errand Nomads are a group of experienced assistants travelling the world, whilst providing value to your business by performing a wide variety of personal and administrative tasks.</v>
          </cell>
          <cell r="C2785" t="str">
            <v>Active</v>
          </cell>
          <cell r="D2785">
            <v>2019</v>
          </cell>
          <cell r="G2785" t="str">
            <v>South Africa</v>
          </cell>
        </row>
        <row r="2786">
          <cell r="A2786" t="str">
            <v>Prim-U</v>
          </cell>
          <cell r="B2786" t="str">
            <v>South Africa’s first on-demand mobile platform that connects beauty and wellness therapists to U at the touch of a screen.</v>
          </cell>
          <cell r="C2786" t="str">
            <v>Active</v>
          </cell>
          <cell r="D2786">
            <v>2017</v>
          </cell>
          <cell r="G2786" t="str">
            <v>South Africa</v>
          </cell>
        </row>
        <row r="2787">
          <cell r="A2787" t="str">
            <v>MathsGee</v>
          </cell>
          <cell r="B2787" t="str">
            <v>MathsGee is a platform for skills-sharing for the 4IR economy.</v>
          </cell>
          <cell r="C2787" t="str">
            <v>Active</v>
          </cell>
          <cell r="D2787">
            <v>2013</v>
          </cell>
          <cell r="G2787" t="str">
            <v>South Africa</v>
          </cell>
        </row>
        <row r="2788">
          <cell r="A2788" t="str">
            <v>Aerovision SouthAfrica</v>
          </cell>
          <cell r="B2788" t="str">
            <v>Aerovision is a Cape Town based company specialising in remote controlled aerial imaging platforms (UAV's / drones)</v>
          </cell>
          <cell r="C2788" t="str">
            <v>Active</v>
          </cell>
          <cell r="D2788">
            <v>2012</v>
          </cell>
          <cell r="G2788" t="str">
            <v>South Africa</v>
          </cell>
        </row>
        <row r="2789">
          <cell r="A2789" t="str">
            <v>MiiGuy</v>
          </cell>
          <cell r="B2789" t="str">
            <v>MiiGuy is logo recognition tool that allows you to invest in the brands that you love and buy stocks in the companies that you love.</v>
          </cell>
          <cell r="C2789" t="str">
            <v>Active</v>
          </cell>
          <cell r="D2789">
            <v>2019</v>
          </cell>
          <cell r="G2789" t="str">
            <v>South Africa</v>
          </cell>
        </row>
        <row r="2790">
          <cell r="A2790" t="str">
            <v>Recor</v>
          </cell>
          <cell r="B2790" t="str">
            <v>Recor offers green technologies/solutions converting waste into electricity, fuel, food and water on any scale.</v>
          </cell>
          <cell r="C2790" t="str">
            <v>Active</v>
          </cell>
          <cell r="D2790">
            <v>2012</v>
          </cell>
          <cell r="G2790" t="str">
            <v>South Africa</v>
          </cell>
        </row>
        <row r="2791">
          <cell r="A2791" t="str">
            <v>Euphoria</v>
          </cell>
          <cell r="B2791" t="str">
            <v>Pushing the boundaries since 2010 to provide the most comprehensive and customer-centric telephony solution South Africa has ever seen.</v>
          </cell>
          <cell r="C2791" t="str">
            <v>Active</v>
          </cell>
          <cell r="D2791">
            <v>2010</v>
          </cell>
          <cell r="G2791" t="str">
            <v>South Africa</v>
          </cell>
        </row>
        <row r="2792">
          <cell r="A2792" t="str">
            <v>Innovo Networks</v>
          </cell>
          <cell r="B2792" t="str">
            <v>Innovo Networks is a high touch, business focused on voice, data and cloud.</v>
          </cell>
          <cell r="C2792" t="str">
            <v>Active</v>
          </cell>
          <cell r="D2792">
            <v>2013</v>
          </cell>
          <cell r="G2792" t="str">
            <v>South Africa</v>
          </cell>
        </row>
        <row r="2793">
          <cell r="A2793" t="str">
            <v>Dyme Beauty App</v>
          </cell>
          <cell r="B2793" t="str">
            <v>Dyme beauty app is an on-demand mobile beauty and spa services app.</v>
          </cell>
          <cell r="C2793" t="str">
            <v>Active</v>
          </cell>
          <cell r="D2793">
            <v>2017</v>
          </cell>
          <cell r="G2793" t="str">
            <v>South Africa</v>
          </cell>
        </row>
        <row r="2794">
          <cell r="A2794" t="str">
            <v>TradeSafe</v>
          </cell>
          <cell r="B2794" t="str">
            <v>TradeSafe is South Africa's trusted third party in a trade between yourself and another party. We provide a platform to enable you to buy and sell goods and services, safely and securely.</v>
          </cell>
          <cell r="C2794" t="str">
            <v>Active</v>
          </cell>
          <cell r="D2794">
            <v>2014</v>
          </cell>
          <cell r="G2794" t="str">
            <v>South Africa</v>
          </cell>
        </row>
        <row r="2795">
          <cell r="A2795" t="str">
            <v>R-Squared Digital</v>
          </cell>
          <cell r="B2795" t="str">
            <v>R-Squared is an Influencer Marketing Creative Agency that designs, builds and executes kickass influencer marketing projects</v>
          </cell>
          <cell r="C2795" t="str">
            <v>Active</v>
          </cell>
          <cell r="D2795">
            <v>2014</v>
          </cell>
          <cell r="G2795" t="str">
            <v>South Africa</v>
          </cell>
        </row>
        <row r="2796">
          <cell r="A2796" t="str">
            <v>Real Foods Group</v>
          </cell>
          <cell r="B2796" t="str">
            <v>Real Foods is a multi-brand food group with unmatched dedication to natural food, innovation, social responsibility and integrity.</v>
          </cell>
          <cell r="C2796" t="str">
            <v>Active</v>
          </cell>
          <cell r="D2796">
            <v>2013</v>
          </cell>
          <cell r="G2796" t="str">
            <v>South Africa</v>
          </cell>
        </row>
        <row r="2797">
          <cell r="A2797" t="str">
            <v>NMPi</v>
          </cell>
          <cell r="B2797" t="str">
            <v>NMPi (formerly Clicks2Customers) provides performance-based search marketing solutions that help clients improve the efficiency of paid search campaigns.</v>
          </cell>
          <cell r="C2797" t="str">
            <v>Active</v>
          </cell>
          <cell r="D2797">
            <v>2003</v>
          </cell>
          <cell r="G2797" t="str">
            <v>South Africa</v>
          </cell>
          <cell r="X2797" t="str">
            <v>Information Technology</v>
          </cell>
        </row>
        <row r="2798">
          <cell r="A2798" t="str">
            <v>FASTNET</v>
          </cell>
          <cell r="B2798" t="str">
            <v>FastNet is an innovative wireless connectivity solutions provider in South Africa.</v>
          </cell>
          <cell r="C2798" t="str">
            <v>Active</v>
          </cell>
          <cell r="D2798">
            <v>1994</v>
          </cell>
          <cell r="G2798" t="str">
            <v>South Africa</v>
          </cell>
        </row>
        <row r="2799">
          <cell r="A2799" t="str">
            <v>IsiDuli</v>
          </cell>
          <cell r="B2799" t="str">
            <v>A housing company with focus on affordable rental housing market. Bringing innovative financial solution for the Township market.</v>
          </cell>
          <cell r="C2799" t="str">
            <v>Active</v>
          </cell>
          <cell r="D2799">
            <v>2019</v>
          </cell>
          <cell r="G2799" t="str">
            <v>South Africa</v>
          </cell>
        </row>
        <row r="2800">
          <cell r="A2800" t="str">
            <v>GetVanced</v>
          </cell>
          <cell r="B2800" t="str">
            <v>GetVanced is a financial wellness platform that allows employees to get immediate access to a percentage of their earned wages, which allows them to cover unexpected expenses and avoid expensive credit products.</v>
          </cell>
          <cell r="C2800" t="str">
            <v>Active</v>
          </cell>
          <cell r="G2800" t="str">
            <v>South Africa</v>
          </cell>
        </row>
        <row r="2801">
          <cell r="A2801" t="str">
            <v>OkGO.Live</v>
          </cell>
          <cell r="B2801" t="str">
            <v>A vehicle insurance platform</v>
          </cell>
          <cell r="C2801" t="str">
            <v>Active</v>
          </cell>
          <cell r="G2801" t="str">
            <v>South Africa</v>
          </cell>
        </row>
        <row r="2802">
          <cell r="A2802" t="str">
            <v>FundingHub</v>
          </cell>
          <cell r="B2802" t="str">
            <v>FundingHub is South Africa's trsuted business loan marketplace</v>
          </cell>
          <cell r="C2802" t="str">
            <v>Acquired</v>
          </cell>
          <cell r="D2802">
            <v>2017</v>
          </cell>
          <cell r="G2802" t="str">
            <v>South Africa</v>
          </cell>
          <cell r="X2802" t="str">
            <v>Financial Services</v>
          </cell>
          <cell r="Y2802" t="str">
            <v>Loans, Asset Financing</v>
          </cell>
        </row>
        <row r="2803">
          <cell r="A2803" t="str">
            <v>Oyi Medical Card</v>
          </cell>
          <cell r="B2803" t="str">
            <v>The simplest way to pay for medical care</v>
          </cell>
          <cell r="C2803" t="str">
            <v>Active</v>
          </cell>
          <cell r="D2803">
            <v>2017</v>
          </cell>
          <cell r="G2803" t="str">
            <v>South Africa</v>
          </cell>
          <cell r="X2803" t="str">
            <v>Financial Services</v>
          </cell>
          <cell r="Y2803" t="str">
            <v>Payments, Healthcare</v>
          </cell>
        </row>
        <row r="2804">
          <cell r="A2804" t="str">
            <v>Mari</v>
          </cell>
          <cell r="B2804" t="str">
            <v>MAri is a laybuy platform</v>
          </cell>
          <cell r="C2804" t="str">
            <v>Active</v>
          </cell>
          <cell r="G2804" t="str">
            <v>South Africa</v>
          </cell>
        </row>
        <row r="2805">
          <cell r="A2805" t="str">
            <v>Olova</v>
          </cell>
          <cell r="B2805" t="str">
            <v>Public Transportation payments platform</v>
          </cell>
          <cell r="C2805" t="str">
            <v>Active</v>
          </cell>
          <cell r="G2805" t="str">
            <v>South Africa</v>
          </cell>
          <cell r="X2805" t="str">
            <v>Financial Services</v>
          </cell>
          <cell r="Y2805" t="str">
            <v>Payments</v>
          </cell>
        </row>
        <row r="2806">
          <cell r="A2806" t="str">
            <v>Budgie</v>
          </cell>
          <cell r="B2806" t="str">
            <v>Budgie provides users with a budgeting tool for better financial management.</v>
          </cell>
          <cell r="C2806" t="str">
            <v>Active</v>
          </cell>
          <cell r="D2806">
            <v>2018</v>
          </cell>
          <cell r="G2806" t="str">
            <v>South Africa</v>
          </cell>
          <cell r="X2806" t="str">
            <v>Financial Services</v>
          </cell>
          <cell r="Y2806" t="str">
            <v>Financial Management</v>
          </cell>
        </row>
        <row r="2807">
          <cell r="A2807" t="str">
            <v>Earlybird Educare@Work</v>
          </cell>
          <cell r="B2807" t="str">
            <v>Earlybird Educare@Work is South Africa’s first high-quality, socially inclusive workplace- and community-based educare model.</v>
          </cell>
          <cell r="C2807" t="str">
            <v>Active</v>
          </cell>
          <cell r="D2807">
            <v>2017</v>
          </cell>
          <cell r="G2807" t="str">
            <v>South Africa</v>
          </cell>
          <cell r="X2807" t="str">
            <v>Education</v>
          </cell>
          <cell r="Y2807" t="str">
            <v>Education Management</v>
          </cell>
        </row>
        <row r="2808">
          <cell r="A2808" t="str">
            <v>Finfind</v>
          </cell>
          <cell r="B2808" t="str">
            <v>Finfind is an online platform that connects small &amp; medium enterprises (SME‚Äôs) with debt and equity funders.</v>
          </cell>
          <cell r="C2808" t="str">
            <v>Active</v>
          </cell>
          <cell r="D2808">
            <v>2014</v>
          </cell>
          <cell r="G2808" t="str">
            <v>South Africa</v>
          </cell>
          <cell r="X2808" t="str">
            <v>Financial Services</v>
          </cell>
        </row>
        <row r="2809">
          <cell r="A2809" t="str">
            <v>The Virtual Agent</v>
          </cell>
          <cell r="B2809" t="str">
            <v>The Virtual Agent is a Data &amp; CRM Tool for Estate Agents .</v>
          </cell>
          <cell r="C2809" t="str">
            <v>Active</v>
          </cell>
          <cell r="D2809">
            <v>2015</v>
          </cell>
          <cell r="G2809" t="str">
            <v>South Africa</v>
          </cell>
          <cell r="X2809" t="str">
            <v>Real Estate</v>
          </cell>
        </row>
        <row r="2810">
          <cell r="A2810" t="str">
            <v>Digemy</v>
          </cell>
          <cell r="B2810" t="str">
            <v>Digemy is a laerning platform that enables organisations to get in-depth insights about the knowledge levels of their people.</v>
          </cell>
          <cell r="C2810" t="str">
            <v>Active</v>
          </cell>
          <cell r="D2810">
            <v>2017</v>
          </cell>
          <cell r="G2810" t="str">
            <v>South Africa</v>
          </cell>
          <cell r="X2810" t="str">
            <v>Education</v>
          </cell>
        </row>
        <row r="2811">
          <cell r="A2811" t="str">
            <v>DataKeepers</v>
          </cell>
          <cell r="B2811" t="str">
            <v>DataKeepers provide cloud data storage services.</v>
          </cell>
          <cell r="C2811" t="str">
            <v>Active</v>
          </cell>
          <cell r="D2811">
            <v>2016</v>
          </cell>
          <cell r="G2811" t="str">
            <v>South Africa</v>
          </cell>
          <cell r="X2811" t="str">
            <v>Information Technology</v>
          </cell>
        </row>
        <row r="2812">
          <cell r="A2812" t="str">
            <v>Hello Pretty</v>
          </cell>
          <cell r="B2812" t="str">
            <v>Hello Pretty is an online marketplace showcasing independent South African designers and creatives.</v>
          </cell>
          <cell r="C2812" t="str">
            <v>Active</v>
          </cell>
          <cell r="D2812">
            <v>2012</v>
          </cell>
          <cell r="G2812" t="str">
            <v>South Africa</v>
          </cell>
          <cell r="X2812" t="str">
            <v>E-Commerce &amp; Retail</v>
          </cell>
        </row>
        <row r="2813">
          <cell r="A2813" t="str">
            <v>Lepsta</v>
          </cell>
          <cell r="B2813" t="str">
            <v>Lepsta is a version control and code syncing service that helps developers spend more time coding and less time managing code by automating their code management workflow.</v>
          </cell>
          <cell r="C2813" t="str">
            <v>Active</v>
          </cell>
          <cell r="D2813">
            <v>2013</v>
          </cell>
          <cell r="G2813" t="str">
            <v>South Africa</v>
          </cell>
          <cell r="X2813" t="str">
            <v>Information Technology</v>
          </cell>
        </row>
        <row r="2814">
          <cell r="A2814" t="str">
            <v>Nutreats</v>
          </cell>
          <cell r="B2814" t="str">
            <v>Nutreats is an online retailer of sports nutrition and health foods.</v>
          </cell>
          <cell r="C2814" t="str">
            <v>Active</v>
          </cell>
          <cell r="D2814">
            <v>2012</v>
          </cell>
          <cell r="G2814" t="str">
            <v>South Africa</v>
          </cell>
          <cell r="X2814" t="str">
            <v>E-Commerce &amp; Retail</v>
          </cell>
        </row>
        <row r="2815">
          <cell r="A2815" t="str">
            <v>Levergy</v>
          </cell>
          <cell r="B2815" t="str">
            <v>Levergy is an independent communications agency.</v>
          </cell>
          <cell r="C2815" t="str">
            <v>Active</v>
          </cell>
          <cell r="D2815">
            <v>2012</v>
          </cell>
          <cell r="G2815" t="str">
            <v>South Africa</v>
          </cell>
          <cell r="X2815" t="str">
            <v>Communication Services</v>
          </cell>
        </row>
        <row r="2816">
          <cell r="A2816" t="str">
            <v>Cavalry Media</v>
          </cell>
          <cell r="B2816" t="str">
            <v>Cavalry is a user experience design and development agency based in Johannesburg, South Africa.</v>
          </cell>
          <cell r="C2816" t="str">
            <v>Active</v>
          </cell>
          <cell r="D2816">
            <v>2013</v>
          </cell>
          <cell r="G2816" t="str">
            <v>South Africa</v>
          </cell>
          <cell r="X2816" t="str">
            <v>Communication Services</v>
          </cell>
        </row>
        <row r="2817">
          <cell r="A2817" t="str">
            <v>Airborne Drones</v>
          </cell>
          <cell r="B2817" t="str">
            <v>Airborne Drones Manufacturers of High End Long Range UAV systems.</v>
          </cell>
          <cell r="C2817" t="str">
            <v>Active</v>
          </cell>
          <cell r="D2817">
            <v>2013</v>
          </cell>
          <cell r="G2817" t="str">
            <v>South Africa</v>
          </cell>
          <cell r="X2817" t="str">
            <v>Emerging Technologies</v>
          </cell>
          <cell r="Y2817" t="str">
            <v>Drones</v>
          </cell>
        </row>
        <row r="2818">
          <cell r="A2818" t="str">
            <v>Wahi</v>
          </cell>
          <cell r="B2818" t="str">
            <v>Wahi is a first peer-to-peer marketplace for space.</v>
          </cell>
          <cell r="C2818" t="str">
            <v>Active</v>
          </cell>
          <cell r="D2818">
            <v>2017</v>
          </cell>
          <cell r="G2818" t="str">
            <v>South Africa</v>
          </cell>
          <cell r="X2818" t="str">
            <v>Transport &amp; Logistics</v>
          </cell>
          <cell r="Y2818" t="str">
            <v>Logistics, Warehousing, Storage</v>
          </cell>
        </row>
        <row r="2819">
          <cell r="A2819" t="str">
            <v>Sponsorshop</v>
          </cell>
          <cell r="B2819" t="str">
            <v>Sponsorshop is bridging the gap between rights owners and sponsors.</v>
          </cell>
          <cell r="C2819" t="str">
            <v>Active</v>
          </cell>
          <cell r="D2819">
            <v>2016</v>
          </cell>
          <cell r="G2819" t="str">
            <v>South Africa</v>
          </cell>
          <cell r="X2819" t="str">
            <v>Media &amp; Entertainment</v>
          </cell>
        </row>
        <row r="2820">
          <cell r="A2820" t="str">
            <v>Healr</v>
          </cell>
          <cell r="B2820" t="str">
            <v>Healr enables users to to search and book appointments with hospitals, clinics and healthcare practitioners.</v>
          </cell>
          <cell r="C2820" t="str">
            <v>Active</v>
          </cell>
          <cell r="D2820">
            <v>2017</v>
          </cell>
          <cell r="G2820" t="str">
            <v>South Africa</v>
          </cell>
          <cell r="X2820" t="str">
            <v>Healthcare &amp; Pharma</v>
          </cell>
        </row>
        <row r="2821">
          <cell r="A2821" t="str">
            <v>Go Life Mobile Technologies</v>
          </cell>
          <cell r="B2821" t="str">
            <v>Go Life is a mobile application development copmpany, specialisng in iOS applications.</v>
          </cell>
          <cell r="C2821" t="str">
            <v>Active</v>
          </cell>
          <cell r="D2821">
            <v>2013</v>
          </cell>
          <cell r="G2821" t="str">
            <v>South Africa</v>
          </cell>
          <cell r="X2821" t="str">
            <v>Information Technology</v>
          </cell>
        </row>
        <row r="2822">
          <cell r="A2822" t="str">
            <v>Realty Africa</v>
          </cell>
          <cell r="B2822" t="str">
            <v>Realty Africa is the first online Property crowdfunding platform in South Africa</v>
          </cell>
          <cell r="C2822" t="str">
            <v>Active</v>
          </cell>
          <cell r="D2822">
            <v>2014</v>
          </cell>
          <cell r="G2822" t="str">
            <v>South Africa</v>
          </cell>
          <cell r="X2822" t="str">
            <v>Real Estate</v>
          </cell>
        </row>
        <row r="2823">
          <cell r="A2823" t="str">
            <v>Tour2.0</v>
          </cell>
          <cell r="B2823" t="str">
            <v>Tour2.0 is the leading provider of unique urban, community and cultural tourism experiences in South Africa.</v>
          </cell>
          <cell r="C2823" t="str">
            <v>Active</v>
          </cell>
          <cell r="D2823">
            <v>2015</v>
          </cell>
          <cell r="G2823" t="str">
            <v>South Africa</v>
          </cell>
          <cell r="X2823" t="str">
            <v>Travel &amp; Leisure</v>
          </cell>
        </row>
        <row r="2824">
          <cell r="A2824" t="str">
            <v>SpeakGeek</v>
          </cell>
          <cell r="B2824" t="str">
            <v>SpeakGeek provides Virtual Reality, Augumented Reality, Software &amp; IoT solutions to South Africans.</v>
          </cell>
          <cell r="C2824" t="str">
            <v>Active</v>
          </cell>
          <cell r="D2824">
            <v>2013</v>
          </cell>
          <cell r="G2824" t="str">
            <v>South Africa</v>
          </cell>
          <cell r="X2824" t="str">
            <v>Emerging Technologies</v>
          </cell>
        </row>
        <row r="2825">
          <cell r="A2825" t="str">
            <v>Spazapp</v>
          </cell>
          <cell r="B2825" t="str">
            <v>Spazapp is a mobile application which acts as a mechanism to connect consumers, big brands, and traders to informal spaza shop owners.</v>
          </cell>
          <cell r="C2825" t="str">
            <v>Active</v>
          </cell>
          <cell r="D2825">
            <v>2015</v>
          </cell>
          <cell r="G2825" t="str">
            <v>South Africa</v>
          </cell>
          <cell r="X2825" t="str">
            <v>Information Technology</v>
          </cell>
          <cell r="Y2825" t="str">
            <v>Retail, Distribution</v>
          </cell>
        </row>
        <row r="2826">
          <cell r="A2826" t="str">
            <v>Cryptanalysis</v>
          </cell>
          <cell r="B2826" t="str">
            <v>The only place on the web you will need to visit in order to get the latest Crypto News &amp; Market information.</v>
          </cell>
          <cell r="C2826" t="str">
            <v>Active</v>
          </cell>
          <cell r="D2826">
            <v>2017</v>
          </cell>
          <cell r="G2826" t="str">
            <v>South Africa</v>
          </cell>
          <cell r="X2826" t="str">
            <v>Financial Services</v>
          </cell>
          <cell r="Y2826" t="str">
            <v>Cryptocurrencies</v>
          </cell>
        </row>
        <row r="2827">
          <cell r="A2827" t="str">
            <v>Memeburn</v>
          </cell>
          <cell r="B2827" t="str">
            <v>Memeburn is a website that is focused on digital news and events in the emerging markets.</v>
          </cell>
          <cell r="C2827" t="str">
            <v>Active</v>
          </cell>
          <cell r="D2827">
            <v>2010</v>
          </cell>
          <cell r="G2827" t="str">
            <v>South Africa</v>
          </cell>
          <cell r="X2827" t="str">
            <v>Media &amp; Entertainment</v>
          </cell>
        </row>
        <row r="2828">
          <cell r="A2828" t="str">
            <v>Aerial Vision Africa</v>
          </cell>
          <cell r="B2828" t="str">
            <v>Aerial Vision Africa uses the latest in UAV technology to offer cost effective low altitude aerial photography and videography.</v>
          </cell>
          <cell r="C2828" t="str">
            <v>Active</v>
          </cell>
          <cell r="D2828">
            <v>2015</v>
          </cell>
          <cell r="G2828" t="str">
            <v>South Africa</v>
          </cell>
          <cell r="X2828" t="str">
            <v>Emerging Technologies</v>
          </cell>
        </row>
        <row r="2829">
          <cell r="A2829" t="str">
            <v>DashPay</v>
          </cell>
          <cell r="B2829" t="str">
            <v>Dashpay offers excellent service and great card acquiring rates for SMEs.</v>
          </cell>
          <cell r="C2829" t="str">
            <v>Active</v>
          </cell>
          <cell r="D2829">
            <v>2013</v>
          </cell>
          <cell r="G2829" t="str">
            <v>South Africa</v>
          </cell>
          <cell r="X2829" t="str">
            <v>Financial Services</v>
          </cell>
        </row>
        <row r="2830">
          <cell r="A2830" t="str">
            <v>Ydangle Apps</v>
          </cell>
          <cell r="B2830" t="str">
            <v>Ydangle is a software development company across all platforms.</v>
          </cell>
          <cell r="C2830" t="str">
            <v>Active</v>
          </cell>
          <cell r="D2830">
            <v>2010</v>
          </cell>
          <cell r="G2830" t="str">
            <v>South Africa</v>
          </cell>
          <cell r="X2830" t="str">
            <v>Information Technology</v>
          </cell>
        </row>
        <row r="2831">
          <cell r="A2831" t="str">
            <v>Mansa Digital</v>
          </cell>
          <cell r="B2831" t="str">
            <v>Mansa Digital is providing creative designs for the 4th Industrial Revolution.</v>
          </cell>
          <cell r="C2831" t="str">
            <v>Active</v>
          </cell>
          <cell r="D2831">
            <v>2016</v>
          </cell>
          <cell r="G2831" t="str">
            <v>South Africa</v>
          </cell>
          <cell r="X2831" t="str">
            <v>Media &amp; Entertainment</v>
          </cell>
        </row>
        <row r="2832">
          <cell r="A2832" t="str">
            <v>SafCoin</v>
          </cell>
          <cell r="B2832" t="str">
            <v>SafCoin is Africa’s Crypto wallet and exchange.</v>
          </cell>
          <cell r="C2832" t="str">
            <v>Active</v>
          </cell>
          <cell r="D2832">
            <v>2017</v>
          </cell>
          <cell r="G2832" t="str">
            <v>South Africa</v>
          </cell>
          <cell r="X2832" t="str">
            <v>Financial Services</v>
          </cell>
        </row>
        <row r="2833">
          <cell r="A2833" t="str">
            <v>FreshProjects</v>
          </cell>
          <cell r="B2833" t="str">
            <v>FreshProjects is a practice management software for Architects and Engineers</v>
          </cell>
          <cell r="C2833" t="str">
            <v>Active</v>
          </cell>
          <cell r="D2833">
            <v>2014</v>
          </cell>
          <cell r="G2833" t="str">
            <v>South Africa</v>
          </cell>
          <cell r="X2833" t="str">
            <v>Information Technology</v>
          </cell>
        </row>
        <row r="2834">
          <cell r="A2834" t="str">
            <v>Rethink Education</v>
          </cell>
          <cell r="B2834" t="str">
            <v>Rethink Education believes in delivering high quality education resources to all students through innovatively leveraging technology.</v>
          </cell>
          <cell r="C2834" t="str">
            <v>Active</v>
          </cell>
          <cell r="D2834">
            <v>2012</v>
          </cell>
          <cell r="G2834" t="str">
            <v>South Africa</v>
          </cell>
          <cell r="X2834" t="str">
            <v>Education</v>
          </cell>
        </row>
        <row r="2835">
          <cell r="A2835" t="str">
            <v>Turtlejar Tutors</v>
          </cell>
          <cell r="B2835" t="str">
            <v>Turtlejar is a platform that connects students to tutors in South Africa. Turtlejar is South Africa's fastest growing tutoring company</v>
          </cell>
          <cell r="C2835" t="str">
            <v>Active</v>
          </cell>
          <cell r="D2835">
            <v>2018</v>
          </cell>
          <cell r="G2835" t="str">
            <v>South Africa</v>
          </cell>
          <cell r="X2835" t="str">
            <v>Education</v>
          </cell>
        </row>
        <row r="2836">
          <cell r="A2836" t="str">
            <v>Shandapa.com</v>
          </cell>
          <cell r="B2836" t="str">
            <v>South Africa's online retailer for natural, African-owned beauty and body care products.</v>
          </cell>
          <cell r="C2836" t="str">
            <v>Active</v>
          </cell>
          <cell r="D2836">
            <v>2018</v>
          </cell>
          <cell r="G2836" t="str">
            <v>South Africa</v>
          </cell>
          <cell r="X2836" t="str">
            <v>E-Commerce &amp; Retail</v>
          </cell>
        </row>
        <row r="2837">
          <cell r="A2837" t="str">
            <v>Wixel</v>
          </cell>
          <cell r="B2837" t="str">
            <v>Wixel builds web, mobile and desktop products for businesses.</v>
          </cell>
          <cell r="C2837" t="str">
            <v>Active</v>
          </cell>
          <cell r="D2837">
            <v>2010</v>
          </cell>
          <cell r="G2837" t="str">
            <v>South Africa</v>
          </cell>
          <cell r="X2837" t="str">
            <v>Information Technology</v>
          </cell>
        </row>
        <row r="2838">
          <cell r="A2838" t="str">
            <v>Provulo</v>
          </cell>
          <cell r="B2838" t="str">
            <v>Provulo provides cloud-based business process and workflow services</v>
          </cell>
          <cell r="C2838" t="str">
            <v>Active</v>
          </cell>
          <cell r="D2838">
            <v>2013</v>
          </cell>
          <cell r="G2838" t="str">
            <v>South Africa</v>
          </cell>
          <cell r="X2838" t="str">
            <v>Information Technology</v>
          </cell>
        </row>
        <row r="2839">
          <cell r="A2839" t="str">
            <v>Kukura Capital</v>
          </cell>
          <cell r="B2839" t="str">
            <v>Kukura Capital is a platform that prioritises education on personal finance management and entrepreneurship.</v>
          </cell>
          <cell r="C2839" t="str">
            <v>Active</v>
          </cell>
          <cell r="D2839">
            <v>2016</v>
          </cell>
          <cell r="G2839" t="str">
            <v>South Africa</v>
          </cell>
          <cell r="X2839" t="str">
            <v>Education</v>
          </cell>
        </row>
        <row r="2840">
          <cell r="A2840" t="str">
            <v>MySOS</v>
          </cell>
          <cell r="B2840" t="str">
            <v>MySOS - SA's 1st integrated Emergency Portal App.</v>
          </cell>
          <cell r="C2840" t="str">
            <v>Active</v>
          </cell>
          <cell r="D2840">
            <v>2013</v>
          </cell>
          <cell r="G2840" t="str">
            <v>South Africa</v>
          </cell>
          <cell r="X2840" t="str">
            <v>Healthcare &amp; Pharma</v>
          </cell>
        </row>
        <row r="2841">
          <cell r="A2841" t="str">
            <v>Teamgeek</v>
          </cell>
          <cell r="B2841" t="str">
            <v>Award-winning studio helping companies rethink. Design and build better brands.</v>
          </cell>
          <cell r="C2841" t="str">
            <v>Active</v>
          </cell>
          <cell r="D2841">
            <v>2012</v>
          </cell>
          <cell r="G2841" t="str">
            <v>South Africa</v>
          </cell>
          <cell r="X2841" t="str">
            <v>Media &amp; Entertainment</v>
          </cell>
        </row>
        <row r="2842">
          <cell r="A2842" t="str">
            <v>Big5 Games</v>
          </cell>
          <cell r="B2842" t="str">
            <v>Big5 Games is a mobile games and esports company dedicated to growing the games industry across Africa.</v>
          </cell>
          <cell r="C2842" t="str">
            <v>Active</v>
          </cell>
          <cell r="D2842">
            <v>2015</v>
          </cell>
          <cell r="G2842" t="str">
            <v>South Africa</v>
          </cell>
          <cell r="X2842" t="str">
            <v>Media &amp; Entertainment</v>
          </cell>
        </row>
        <row r="2843">
          <cell r="A2843" t="str">
            <v>SouthPoint</v>
          </cell>
          <cell r="B2843" t="str">
            <v>South Point provides student accommodation in Johannesburg, Pretoria, Port Elizabeth, Durban, and Cape Town.</v>
          </cell>
          <cell r="C2843" t="str">
            <v>Active</v>
          </cell>
          <cell r="D2843">
            <v>2013</v>
          </cell>
          <cell r="G2843" t="str">
            <v>South Africa</v>
          </cell>
          <cell r="X2843" t="str">
            <v>Real Estate</v>
          </cell>
        </row>
        <row r="2844">
          <cell r="A2844" t="str">
            <v>Eazi Real Estate</v>
          </cell>
          <cell r="B2844" t="str">
            <v>Eazi is an online digital estate agency.</v>
          </cell>
          <cell r="C2844" t="str">
            <v>Active</v>
          </cell>
          <cell r="D2844">
            <v>2016</v>
          </cell>
          <cell r="G2844" t="str">
            <v>South Africa</v>
          </cell>
          <cell r="X2844" t="str">
            <v>E-Commerce &amp; Retail</v>
          </cell>
          <cell r="Y2844" t="str">
            <v>Real Estate</v>
          </cell>
        </row>
        <row r="2845">
          <cell r="A2845" t="str">
            <v>click Africa Digital</v>
          </cell>
          <cell r="B2845" t="str">
            <v>Click Africa digital provides a wide range of digital solutions to clients.</v>
          </cell>
          <cell r="C2845" t="str">
            <v>Active</v>
          </cell>
          <cell r="D2845">
            <v>2016</v>
          </cell>
          <cell r="G2845" t="str">
            <v>South Africa</v>
          </cell>
          <cell r="X2845" t="str">
            <v>Media &amp; Entertainment</v>
          </cell>
        </row>
        <row r="2846">
          <cell r="A2846" t="str">
            <v>Kasi Eats</v>
          </cell>
          <cell r="B2846" t="str">
            <v>Kasi Eats provides last mile logistics for emerging markets</v>
          </cell>
          <cell r="C2846" t="str">
            <v>Active</v>
          </cell>
          <cell r="D2846">
            <v>2017</v>
          </cell>
          <cell r="G2846" t="str">
            <v>South Africa</v>
          </cell>
          <cell r="X2846" t="str">
            <v>Transport &amp; Logistics</v>
          </cell>
          <cell r="Y2846" t="str">
            <v>Logistics and Distribution</v>
          </cell>
        </row>
        <row r="2847">
          <cell r="A2847" t="str">
            <v>ixio Analytics</v>
          </cell>
          <cell r="B2847" t="str">
            <v>ixio Analytics is a pan African data science consultancy</v>
          </cell>
          <cell r="C2847" t="str">
            <v>Active</v>
          </cell>
          <cell r="D2847">
            <v>2012</v>
          </cell>
          <cell r="G2847" t="str">
            <v>South Africa</v>
          </cell>
          <cell r="X2847" t="str">
            <v>Information Technology</v>
          </cell>
        </row>
        <row r="2848">
          <cell r="A2848" t="str">
            <v>Avo Owner</v>
          </cell>
          <cell r="B2848" t="str">
            <v>Provider of a trading platform intended to provide opportunities for investors to invest in Avocado trees.</v>
          </cell>
          <cell r="C2848" t="str">
            <v>Active</v>
          </cell>
          <cell r="D2848">
            <v>2013</v>
          </cell>
          <cell r="G2848" t="str">
            <v>South Africa</v>
          </cell>
          <cell r="X2848" t="str">
            <v>Financial Services</v>
          </cell>
        </row>
        <row r="2849">
          <cell r="A2849" t="str">
            <v>Simplus Innovation</v>
          </cell>
          <cell r="B2849" t="str">
            <v>Simplus Innovation develops custom analytics solutions.</v>
          </cell>
          <cell r="C2849" t="str">
            <v>Active</v>
          </cell>
          <cell r="D2849">
            <v>2016</v>
          </cell>
          <cell r="G2849" t="str">
            <v>South Africa</v>
          </cell>
          <cell r="X2849" t="str">
            <v>Information Technology</v>
          </cell>
        </row>
        <row r="2850">
          <cell r="A2850" t="str">
            <v>Qurio</v>
          </cell>
          <cell r="B2850" t="str">
            <v>Qurio is a web and mobile application that helps its users get opinions and feedback from their audiences, employees, and customers.</v>
          </cell>
          <cell r="C2850" t="str">
            <v>Active</v>
          </cell>
          <cell r="D2850">
            <v>2015</v>
          </cell>
          <cell r="G2850" t="str">
            <v>South Africa</v>
          </cell>
          <cell r="X2850" t="str">
            <v>Information Technology</v>
          </cell>
        </row>
        <row r="2851">
          <cell r="A2851" t="str">
            <v>Totalstay</v>
          </cell>
          <cell r="B2851" t="str">
            <v>Totalstay provides property management solutions to clients</v>
          </cell>
          <cell r="C2851" t="str">
            <v>Active</v>
          </cell>
          <cell r="D2851">
            <v>2014</v>
          </cell>
          <cell r="G2851" t="str">
            <v>South Africa</v>
          </cell>
          <cell r="X2851" t="str">
            <v>Real Estate</v>
          </cell>
        </row>
        <row r="2852">
          <cell r="A2852" t="str">
            <v>Lula Build</v>
          </cell>
          <cell r="B2852" t="str">
            <v>Lula Build is a state of the art web-platform, specifically designed for project teams who need to collaboratively manage and control the budgets of complex construction projects.</v>
          </cell>
          <cell r="C2852" t="str">
            <v>Active</v>
          </cell>
          <cell r="D2852">
            <v>2014</v>
          </cell>
          <cell r="G2852" t="str">
            <v>South Africa</v>
          </cell>
          <cell r="X2852" t="str">
            <v>Information Technology</v>
          </cell>
        </row>
        <row r="2853">
          <cell r="A2853" t="str">
            <v>SkillsPassport</v>
          </cell>
          <cell r="B2853" t="str">
            <v>A tech company that has developed a platform that provides an accurate, real-time dynamic digital profile for community members.</v>
          </cell>
          <cell r="C2853" t="str">
            <v>Active</v>
          </cell>
          <cell r="D2853">
            <v>2017</v>
          </cell>
          <cell r="G2853" t="str">
            <v>South Africa</v>
          </cell>
          <cell r="X2853" t="str">
            <v>Commercial &amp; Professional Services</v>
          </cell>
        </row>
        <row r="2854">
          <cell r="A2854" t="str">
            <v>Dalmatian Advertising</v>
          </cell>
          <cell r="B2854" t="str">
            <v>Dalmatian is a Cape Town-based media advertising agency</v>
          </cell>
          <cell r="C2854" t="str">
            <v>Active</v>
          </cell>
          <cell r="D2854">
            <v>2011</v>
          </cell>
          <cell r="G2854" t="str">
            <v>South Africa</v>
          </cell>
          <cell r="X2854" t="str">
            <v>Media &amp; Entertainment</v>
          </cell>
        </row>
        <row r="2855">
          <cell r="A2855" t="str">
            <v>Mindzu</v>
          </cell>
          <cell r="B2855" t="str">
            <v>Mindzu is an application that is changing the way High school stuents learn.</v>
          </cell>
          <cell r="C2855" t="str">
            <v>Active</v>
          </cell>
          <cell r="D2855">
            <v>2015</v>
          </cell>
          <cell r="G2855" t="str">
            <v>South Africa</v>
          </cell>
          <cell r="X2855" t="str">
            <v>Education</v>
          </cell>
          <cell r="Y2855" t="str">
            <v>E-Learning</v>
          </cell>
        </row>
        <row r="2856">
          <cell r="A2856" t="str">
            <v>ROK Originals</v>
          </cell>
          <cell r="B2856" t="str">
            <v>ROK Originals is an online store that offers personalised handcrafted leather arm accessories and wristbands for men and women.</v>
          </cell>
          <cell r="C2856" t="str">
            <v>Active</v>
          </cell>
          <cell r="D2856">
            <v>2010</v>
          </cell>
          <cell r="G2856" t="str">
            <v>South Africa</v>
          </cell>
          <cell r="X2856" t="str">
            <v>E-Commerce &amp; Retail</v>
          </cell>
        </row>
        <row r="2857">
          <cell r="A2857" t="str">
            <v>Snappsales</v>
          </cell>
          <cell r="B2857" t="str">
            <v>SnappSales specialises in Lead Generation in the IT and Software Industry</v>
          </cell>
          <cell r="C2857" t="str">
            <v>Active</v>
          </cell>
          <cell r="D2857">
            <v>2015</v>
          </cell>
          <cell r="G2857" t="str">
            <v>South Africa</v>
          </cell>
          <cell r="X2857" t="str">
            <v>Information Technology</v>
          </cell>
        </row>
        <row r="2858">
          <cell r="A2858" t="str">
            <v>Zabercoin</v>
          </cell>
          <cell r="B2858" t="str">
            <v>Zabercoin is an Asset backed ERC20 Ethereum token developed by Cryptocurrency Engineers.</v>
          </cell>
          <cell r="C2858" t="str">
            <v>Active</v>
          </cell>
          <cell r="D2858">
            <v>2017</v>
          </cell>
          <cell r="G2858" t="str">
            <v>South Africa</v>
          </cell>
          <cell r="X2858" t="str">
            <v>Financial Services</v>
          </cell>
          <cell r="Y2858" t="str">
            <v>Cryptocurrencies</v>
          </cell>
        </row>
        <row r="2859">
          <cell r="A2859" t="str">
            <v>3D Forms</v>
          </cell>
          <cell r="B2859" t="str">
            <v>3D Forms is a company that provides professional 3D Printing services in South Africa.</v>
          </cell>
          <cell r="C2859" t="str">
            <v>Active</v>
          </cell>
          <cell r="D2859">
            <v>2014</v>
          </cell>
          <cell r="G2859" t="str">
            <v>South Africa</v>
          </cell>
          <cell r="X2859" t="str">
            <v>Emerging Technologies</v>
          </cell>
          <cell r="Y2859" t="str">
            <v>3D-Printing</v>
          </cell>
        </row>
        <row r="2860">
          <cell r="A2860" t="str">
            <v>Paper Video</v>
          </cell>
          <cell r="B2860" t="str">
            <v>Paper Video offers past exam papers and subject maps with step-by-step video lessons for each and every question and concept.</v>
          </cell>
          <cell r="C2860" t="str">
            <v>Active</v>
          </cell>
          <cell r="D2860">
            <v>2014</v>
          </cell>
          <cell r="G2860" t="str">
            <v>South Africa</v>
          </cell>
          <cell r="X2860" t="str">
            <v>Education</v>
          </cell>
          <cell r="Y2860" t="str">
            <v>E-Learning</v>
          </cell>
        </row>
        <row r="2861">
          <cell r="A2861" t="str">
            <v>Afridiligence</v>
          </cell>
          <cell r="B2861" t="str">
            <v>Leading provider of investigative research, enhanced due diligence and risk advisory services in sub-Saharan Africa.</v>
          </cell>
          <cell r="C2861" t="str">
            <v>Active</v>
          </cell>
          <cell r="D2861">
            <v>2016</v>
          </cell>
          <cell r="G2861" t="str">
            <v>South Africa</v>
          </cell>
          <cell r="X2861" t="str">
            <v>Commercial &amp; Professional Services</v>
          </cell>
          <cell r="Y2861" t="str">
            <v>Research</v>
          </cell>
        </row>
        <row r="2862">
          <cell r="A2862" t="str">
            <v>RevLeads</v>
          </cell>
          <cell r="B2862" t="str">
            <v>Revcore Leads is a system built to help you maintain and manage any leads your company acquires.</v>
          </cell>
          <cell r="C2862" t="str">
            <v>Active</v>
          </cell>
          <cell r="D2862">
            <v>2017</v>
          </cell>
          <cell r="G2862" t="str">
            <v>South Africa</v>
          </cell>
          <cell r="X2862" t="str">
            <v>Information Technology</v>
          </cell>
          <cell r="Y2862" t="str">
            <v>Software</v>
          </cell>
        </row>
        <row r="2863">
          <cell r="A2863" t="str">
            <v>IQmates</v>
          </cell>
          <cell r="B2863" t="str">
            <v>IQmates is a platform where students meet and share knowledge over various subjects</v>
          </cell>
          <cell r="C2863" t="str">
            <v>Active</v>
          </cell>
          <cell r="D2863">
            <v>2013</v>
          </cell>
          <cell r="G2863" t="str">
            <v>South Africa</v>
          </cell>
          <cell r="X2863" t="str">
            <v>Education</v>
          </cell>
        </row>
        <row r="2864">
          <cell r="A2864" t="str">
            <v>UGoMyWay</v>
          </cell>
          <cell r="B2864" t="str">
            <v>South Africa's own carpool, rideshare and lift-club app for schools, colleges and universities.</v>
          </cell>
          <cell r="C2864" t="str">
            <v>Active</v>
          </cell>
          <cell r="D2864">
            <v>2014</v>
          </cell>
          <cell r="G2864" t="str">
            <v>South Africa</v>
          </cell>
          <cell r="X2864" t="str">
            <v>Transport &amp; Logistics</v>
          </cell>
          <cell r="Y2864" t="str">
            <v>Carpooling, RIde Share</v>
          </cell>
        </row>
        <row r="2865">
          <cell r="A2865" t="str">
            <v>Ghea Live</v>
          </cell>
          <cell r="B2865" t="str">
            <v>Ghea is a smart platform for running a security company, which connects guards, supervisors, managers and</v>
          </cell>
          <cell r="C2865" t="str">
            <v>Active</v>
          </cell>
          <cell r="D2865">
            <v>2014</v>
          </cell>
          <cell r="G2865" t="str">
            <v>South Africa</v>
          </cell>
          <cell r="X2865" t="str">
            <v>Information Technology</v>
          </cell>
        </row>
        <row r="2866">
          <cell r="A2866" t="str">
            <v>BrandRocket</v>
          </cell>
          <cell r="B2866" t="str">
            <v>The best solution for printing Instagram, Twitter &amp; Whatsapp images live at your event. Photo Booth hire with a twist.</v>
          </cell>
          <cell r="C2866" t="str">
            <v>Active</v>
          </cell>
          <cell r="D2866">
            <v>2014</v>
          </cell>
          <cell r="G2866" t="str">
            <v>South Africa</v>
          </cell>
          <cell r="X2866" t="str">
            <v>Media &amp; Entertainment</v>
          </cell>
        </row>
        <row r="2867">
          <cell r="A2867" t="str">
            <v>Makanda Finance</v>
          </cell>
          <cell r="B2867" t="str">
            <v>Online Micro lending and investment company</v>
          </cell>
          <cell r="C2867" t="str">
            <v>Active</v>
          </cell>
          <cell r="D2867">
            <v>2010</v>
          </cell>
          <cell r="G2867" t="str">
            <v>South Africa</v>
          </cell>
          <cell r="X2867" t="str">
            <v>Financial Services</v>
          </cell>
        </row>
        <row r="2868">
          <cell r="A2868" t="str">
            <v>Riovic Wallet</v>
          </cell>
          <cell r="B2868" t="str">
            <v>We are making the benefits of private and ecommerce business banking accessible to people and businesses at the bottom of the economic pyramid.</v>
          </cell>
          <cell r="C2868" t="str">
            <v>Active</v>
          </cell>
          <cell r="D2868">
            <v>2015</v>
          </cell>
          <cell r="G2868" t="str">
            <v>South Africa</v>
          </cell>
          <cell r="X2868" t="str">
            <v>Financial Services</v>
          </cell>
          <cell r="Y2868" t="str">
            <v>Fintech, Payments, Savings</v>
          </cell>
        </row>
        <row r="2869">
          <cell r="A2869" t="str">
            <v>Zestly</v>
          </cell>
          <cell r="B2869" t="str">
            <v>Zestly is a gifting industry that creates premium themed gifts for all occasions.</v>
          </cell>
          <cell r="C2869" t="str">
            <v>Active</v>
          </cell>
          <cell r="D2869">
            <v>2015</v>
          </cell>
          <cell r="G2869" t="str">
            <v>South Africa</v>
          </cell>
          <cell r="X2869" t="str">
            <v>Commercial &amp; Professional Services</v>
          </cell>
        </row>
        <row r="2870">
          <cell r="A2870" t="str">
            <v>iAfrikan</v>
          </cell>
          <cell r="B2870" t="str">
            <v>iAfrikan is a publication that explores how digital technology impacts Africa.</v>
          </cell>
          <cell r="C2870" t="str">
            <v>Active</v>
          </cell>
          <cell r="D2870">
            <v>2014</v>
          </cell>
          <cell r="G2870" t="str">
            <v>South Africa</v>
          </cell>
          <cell r="X2870" t="str">
            <v>Media &amp; Entertainment</v>
          </cell>
        </row>
        <row r="2871">
          <cell r="A2871" t="str">
            <v>Zoom Connect</v>
          </cell>
          <cell r="B2871" t="str">
            <v>Zoom Connect is a company that offers SMS solutions for marketing campaigns, general information, and email to SMS.</v>
          </cell>
          <cell r="C2871" t="str">
            <v>Active</v>
          </cell>
          <cell r="D2871">
            <v>2011</v>
          </cell>
          <cell r="G2871" t="str">
            <v>South Africa</v>
          </cell>
          <cell r="X2871" t="str">
            <v>Information Technology</v>
          </cell>
        </row>
        <row r="2872">
          <cell r="A2872" t="str">
            <v>re:source Deisgn</v>
          </cell>
          <cell r="B2872" t="str">
            <v>Software development house specializing in mobile and web development with a passion for startups</v>
          </cell>
          <cell r="C2872" t="str">
            <v>Active</v>
          </cell>
          <cell r="D2872">
            <v>2015</v>
          </cell>
          <cell r="G2872" t="str">
            <v>South Africa</v>
          </cell>
          <cell r="X2872" t="str">
            <v>Information Technology</v>
          </cell>
        </row>
        <row r="2873">
          <cell r="A2873" t="str">
            <v xml:space="preserve">VML </v>
          </cell>
          <cell r="B2873" t="str">
            <v>provides a full range of services including creative, design, technology execution, marketing analytics.</v>
          </cell>
          <cell r="C2873" t="str">
            <v>Active</v>
          </cell>
          <cell r="D2873">
            <v>2010</v>
          </cell>
          <cell r="G2873" t="str">
            <v>South Africa</v>
          </cell>
          <cell r="X2873" t="str">
            <v>Media &amp; Entertainment</v>
          </cell>
        </row>
        <row r="2874">
          <cell r="A2874" t="str">
            <v>Non-Fiction School</v>
          </cell>
          <cell r="B2874" t="str">
            <v>Non-Fiction School is a coding school in Durban focused on training youth to become software</v>
          </cell>
          <cell r="C2874" t="str">
            <v>Active</v>
          </cell>
          <cell r="D2874">
            <v>2018</v>
          </cell>
          <cell r="G2874" t="str">
            <v>South Africa</v>
          </cell>
          <cell r="X2874" t="str">
            <v>Education</v>
          </cell>
        </row>
        <row r="2875">
          <cell r="A2875" t="str">
            <v>NaturallyGood</v>
          </cell>
          <cell r="B2875" t="str">
            <v>E-Commerce site for biodegradable eco-friendly products</v>
          </cell>
          <cell r="C2875" t="str">
            <v>Active</v>
          </cell>
          <cell r="D2875">
            <v>2010</v>
          </cell>
          <cell r="G2875" t="str">
            <v>South Africa</v>
          </cell>
          <cell r="X2875" t="str">
            <v>E-Commerce &amp; Retail</v>
          </cell>
        </row>
        <row r="2876">
          <cell r="A2876" t="str">
            <v>Emizen</v>
          </cell>
          <cell r="B2876" t="str">
            <v>Emizen is developes products that will enhance the lifestyle of their customer by using innovative technology.</v>
          </cell>
          <cell r="C2876" t="str">
            <v>Active</v>
          </cell>
          <cell r="D2876">
            <v>2015</v>
          </cell>
          <cell r="G2876" t="str">
            <v>South Africa</v>
          </cell>
          <cell r="X2876" t="str">
            <v>Emerging Technologies</v>
          </cell>
          <cell r="Y2876" t="str">
            <v>IoT, Connected Devices</v>
          </cell>
        </row>
        <row r="2877">
          <cell r="A2877" t="str">
            <v>Kweza</v>
          </cell>
          <cell r="B2877" t="str">
            <v>Kweza is a service that enables informal retailers to order products at the best price and receive deliveries directly to their stores</v>
          </cell>
          <cell r="C2877" t="str">
            <v>Active</v>
          </cell>
          <cell r="D2877">
            <v>2019</v>
          </cell>
          <cell r="G2877" t="str">
            <v>South Africa</v>
          </cell>
          <cell r="X2877" t="str">
            <v>Transport &amp; Logistics</v>
          </cell>
          <cell r="Y2877" t="str">
            <v>Logistics &amp; Distribution, Software</v>
          </cell>
        </row>
        <row r="2878">
          <cell r="A2878" t="str">
            <v>MPULL</v>
          </cell>
          <cell r="B2878" t="str">
            <v>MPULL is a B2B marketing agency which focuses on attracting new qualified sales leads and converts them to customers for companies.</v>
          </cell>
          <cell r="C2878" t="str">
            <v>Active</v>
          </cell>
          <cell r="D2878">
            <v>2011</v>
          </cell>
          <cell r="G2878" t="str">
            <v>South Africa</v>
          </cell>
          <cell r="X2878" t="str">
            <v>Media &amp; Entertainment</v>
          </cell>
          <cell r="Y2878" t="str">
            <v>Meida, Advertising</v>
          </cell>
        </row>
        <row r="2879">
          <cell r="A2879" t="str">
            <v>Clockwork Acorn</v>
          </cell>
          <cell r="B2879" t="str">
            <v>Clockwork Acorn is a small interactive software development studio specialising in the creation of games and other user-facing applications.</v>
          </cell>
          <cell r="C2879" t="str">
            <v>Active</v>
          </cell>
          <cell r="D2879">
            <v>2014</v>
          </cell>
          <cell r="G2879" t="str">
            <v>South Africa</v>
          </cell>
          <cell r="X2879" t="str">
            <v>Media &amp; Entertainment</v>
          </cell>
          <cell r="Y2879" t="str">
            <v>Game Development</v>
          </cell>
        </row>
        <row r="2880">
          <cell r="A2880" t="str">
            <v>Digital Solut10n Foundry</v>
          </cell>
          <cell r="B2880" t="str">
            <v>Dynasty Solutions provides bespoke Business and Home IT support services</v>
          </cell>
          <cell r="C2880" t="str">
            <v>Active</v>
          </cell>
          <cell r="D2880">
            <v>2017</v>
          </cell>
          <cell r="G2880" t="str">
            <v>South Africa</v>
          </cell>
          <cell r="X2880" t="str">
            <v>Information Technology</v>
          </cell>
          <cell r="Y2880" t="str">
            <v>Software Development</v>
          </cell>
        </row>
        <row r="2881">
          <cell r="A2881" t="str">
            <v>SmartPrac</v>
          </cell>
          <cell r="B2881" t="str">
            <v>SmartPrac is a Simple, Powerful and Professional Web-based healthcare practice management software.</v>
          </cell>
          <cell r="C2881" t="str">
            <v>Active</v>
          </cell>
          <cell r="D2881">
            <v>2012</v>
          </cell>
          <cell r="G2881" t="str">
            <v>South Africa</v>
          </cell>
          <cell r="X2881" t="str">
            <v>Healthcare &amp; Pharma</v>
          </cell>
          <cell r="Y2881" t="str">
            <v>Software, Management</v>
          </cell>
        </row>
        <row r="2882">
          <cell r="A2882" t="str">
            <v>ClockInstant</v>
          </cell>
          <cell r="B2882" t="str">
            <v>ClockInstant is a simple automated time &amp; attendance register and tracker.</v>
          </cell>
          <cell r="C2882" t="str">
            <v>Active</v>
          </cell>
          <cell r="D2882">
            <v>2019</v>
          </cell>
          <cell r="G2882" t="str">
            <v>South Africa</v>
          </cell>
          <cell r="X2882" t="str">
            <v>Information Technology</v>
          </cell>
          <cell r="Y2882" t="str">
            <v>Management software</v>
          </cell>
        </row>
        <row r="2883">
          <cell r="A2883" t="str">
            <v>Overscore AI</v>
          </cell>
          <cell r="B2883" t="str">
            <v>Overscore AI provides a wide range of IT support services including cloud computing, and database architcture</v>
          </cell>
          <cell r="C2883" t="str">
            <v>Active</v>
          </cell>
          <cell r="D2883">
            <v>2010</v>
          </cell>
          <cell r="G2883" t="str">
            <v>South Africa</v>
          </cell>
          <cell r="X2883" t="str">
            <v>Information Technology</v>
          </cell>
          <cell r="Y2883" t="str">
            <v>Softawre, Cloud Computing</v>
          </cell>
        </row>
        <row r="2884">
          <cell r="A2884" t="str">
            <v>Easy Home Sales</v>
          </cell>
          <cell r="B2884" t="str">
            <v>Platform that enablse users to sell or buy property at no extra commision cost.</v>
          </cell>
          <cell r="C2884" t="str">
            <v>Active</v>
          </cell>
          <cell r="D2884">
            <v>2010</v>
          </cell>
          <cell r="G2884" t="str">
            <v>South Africa</v>
          </cell>
          <cell r="X2884" t="str">
            <v>E-Commerce &amp; Retail</v>
          </cell>
          <cell r="Y2884" t="str">
            <v>Real Estate</v>
          </cell>
        </row>
        <row r="2885">
          <cell r="A2885" t="str">
            <v>Wrapistry</v>
          </cell>
          <cell r="B2885" t="str">
            <v>Wrapistty is an e-commerce site with a vast collection of baetiful wedding gifts</v>
          </cell>
          <cell r="C2885" t="str">
            <v>Active</v>
          </cell>
          <cell r="D2885">
            <v>2014</v>
          </cell>
          <cell r="G2885" t="str">
            <v>South Africa</v>
          </cell>
          <cell r="X2885" t="str">
            <v>E-Commerce &amp; Retail</v>
          </cell>
          <cell r="Y2885" t="str">
            <v>Gifts</v>
          </cell>
        </row>
        <row r="2886">
          <cell r="A2886" t="str">
            <v>Diarize Me</v>
          </cell>
          <cell r="B2886" t="str">
            <v>Diarize Me helps businesses to track and manage their appointments, inventory, and clients.</v>
          </cell>
          <cell r="C2886" t="str">
            <v>Active</v>
          </cell>
          <cell r="D2886">
            <v>2014</v>
          </cell>
          <cell r="G2886" t="str">
            <v>South Africa</v>
          </cell>
          <cell r="X2886" t="str">
            <v>Information Technology</v>
          </cell>
        </row>
        <row r="2887">
          <cell r="A2887" t="str">
            <v>Gracenet Logistics</v>
          </cell>
          <cell r="B2887" t="str">
            <v>Logistics Company focusing on last mile deliveries</v>
          </cell>
          <cell r="C2887" t="str">
            <v>Active</v>
          </cell>
          <cell r="D2887">
            <v>2014</v>
          </cell>
          <cell r="G2887" t="str">
            <v>South Africa</v>
          </cell>
          <cell r="X2887" t="str">
            <v>Transport &amp; Logistics</v>
          </cell>
          <cell r="Y2887" t="str">
            <v>Logistics</v>
          </cell>
        </row>
        <row r="2888">
          <cell r="A2888" t="str">
            <v>FREI One Digital</v>
          </cell>
          <cell r="B2888" t="str">
            <v>FREI is a digital virtual network enabler that makes digital and cellular easy for brands.</v>
          </cell>
          <cell r="C2888" t="str">
            <v>Active</v>
          </cell>
          <cell r="D2888">
            <v>2017</v>
          </cell>
          <cell r="G2888" t="str">
            <v>South Africa</v>
          </cell>
          <cell r="X2888" t="str">
            <v>Media &amp; Entertainment</v>
          </cell>
        </row>
        <row r="2889">
          <cell r="A2889" t="str">
            <v>Get Rewards</v>
          </cell>
          <cell r="B2889" t="str">
            <v>Get Rewards Offers The Widest Range of Awards in SA.</v>
          </cell>
          <cell r="C2889" t="str">
            <v>Active</v>
          </cell>
          <cell r="D2889">
            <v>2018</v>
          </cell>
          <cell r="G2889" t="str">
            <v>South Africa</v>
          </cell>
          <cell r="X2889" t="str">
            <v>E-Commerce &amp; Retail</v>
          </cell>
          <cell r="Y2889" t="str">
            <v>Rewards</v>
          </cell>
        </row>
        <row r="2890">
          <cell r="A2890" t="str">
            <v>Netwerk24</v>
          </cell>
          <cell r="B2890" t="str">
            <v>Netwerk24 is a newspaper agrregator targeting Afrikaners.</v>
          </cell>
          <cell r="C2890" t="str">
            <v>Active</v>
          </cell>
          <cell r="D2890">
            <v>2015</v>
          </cell>
          <cell r="G2890" t="str">
            <v>South Africa</v>
          </cell>
          <cell r="X2890" t="str">
            <v>Media &amp; Entertainment</v>
          </cell>
        </row>
        <row r="2891">
          <cell r="A2891" t="str">
            <v>HumanValue</v>
          </cell>
          <cell r="B2891" t="str">
            <v>HumanValue is a business consultant platform that offers HR consulting and recruitment services.</v>
          </cell>
          <cell r="C2891" t="str">
            <v>Active</v>
          </cell>
          <cell r="D2891">
            <v>2015</v>
          </cell>
          <cell r="G2891" t="str">
            <v>South Africa</v>
          </cell>
          <cell r="X2891" t="str">
            <v>Commercial &amp; Professional Services</v>
          </cell>
          <cell r="Y2891" t="str">
            <v>HR Consultancy</v>
          </cell>
        </row>
        <row r="2892">
          <cell r="A2892" t="str">
            <v>Endurance Drones</v>
          </cell>
          <cell r="B2892" t="str">
            <v>Africa's leading commecial drones supplier and repair facility</v>
          </cell>
          <cell r="C2892" t="str">
            <v>Active</v>
          </cell>
          <cell r="D2892">
            <v>2014</v>
          </cell>
          <cell r="G2892" t="str">
            <v>South Africa</v>
          </cell>
          <cell r="X2892" t="str">
            <v>Emerging Technologies</v>
          </cell>
          <cell r="Y2892" t="str">
            <v>Drones</v>
          </cell>
        </row>
        <row r="2893">
          <cell r="A2893" t="str">
            <v>Dimago</v>
          </cell>
          <cell r="B2893" t="str">
            <v>Dimago is a data and analytics company providing services to companies.</v>
          </cell>
          <cell r="C2893" t="str">
            <v>Active</v>
          </cell>
          <cell r="D2893">
            <v>2014</v>
          </cell>
          <cell r="G2893" t="str">
            <v>South Africa</v>
          </cell>
          <cell r="X2893" t="str">
            <v>Commercial &amp; Professional Services</v>
          </cell>
          <cell r="Y2893" t="str">
            <v>Data Analytics</v>
          </cell>
        </row>
        <row r="2894">
          <cell r="A2894" t="str">
            <v>Do Digital</v>
          </cell>
          <cell r="B2894" t="str">
            <v>Do Digital is an agency driven eLearning platform based in Cape Town, South Africa and offers affordable digital marketing courses.</v>
          </cell>
          <cell r="C2894" t="str">
            <v>Active</v>
          </cell>
          <cell r="D2894">
            <v>2019</v>
          </cell>
          <cell r="G2894" t="str">
            <v>South Africa</v>
          </cell>
          <cell r="X2894" t="str">
            <v>Education</v>
          </cell>
          <cell r="Y2894" t="str">
            <v>EdTech, E-Learning</v>
          </cell>
        </row>
        <row r="2895">
          <cell r="A2895" t="str">
            <v>Involved Digital</v>
          </cell>
          <cell r="B2895" t="str">
            <v>We are a creative digital marketing and online advertising agency based in the heart of Cape Town.</v>
          </cell>
          <cell r="C2895" t="str">
            <v>Active</v>
          </cell>
          <cell r="D2895">
            <v>2016</v>
          </cell>
          <cell r="G2895" t="str">
            <v>South Africa</v>
          </cell>
          <cell r="X2895" t="str">
            <v>Media &amp; Entertainment</v>
          </cell>
          <cell r="Y2895" t="str">
            <v>Media Advertising, MArketing</v>
          </cell>
        </row>
        <row r="2896">
          <cell r="A2896" t="str">
            <v>iSpani</v>
          </cell>
          <cell r="B2896" t="str">
            <v>iSpani Group is a business that was started to unlock the economic opportunity sitting in emerging markets.</v>
          </cell>
          <cell r="C2896" t="str">
            <v>Active</v>
          </cell>
          <cell r="D2896">
            <v>2017</v>
          </cell>
          <cell r="G2896" t="str">
            <v>South Africa</v>
          </cell>
          <cell r="X2896" t="str">
            <v>Commercial &amp; Professional Services</v>
          </cell>
          <cell r="Y2896" t="str">
            <v>Research</v>
          </cell>
        </row>
        <row r="2897">
          <cell r="A2897" t="str">
            <v>ComUnity</v>
          </cell>
          <cell r="B2897" t="str">
            <v xml:space="preserve">ComUnity is a one-stop digital services platform that enables businesses and institutions to easily deliver rich, wrap-around applications and services to clients via any consumer device, including native apps on all feature phones. </v>
          </cell>
          <cell r="C2897" t="str">
            <v>Active</v>
          </cell>
          <cell r="D2897">
            <v>2010</v>
          </cell>
          <cell r="G2897" t="str">
            <v>South Africa</v>
          </cell>
          <cell r="X2897" t="str">
            <v>Information Technology</v>
          </cell>
          <cell r="Y2897" t="str">
            <v>Software Development</v>
          </cell>
        </row>
        <row r="2898">
          <cell r="A2898" t="str">
            <v>Tenebris Lab</v>
          </cell>
          <cell r="B2898" t="str">
            <v>Tenebris Lab is a computer graphics based design collaborative and software development studio. Focusing on vr, ar and mr games and apps.</v>
          </cell>
          <cell r="C2898" t="str">
            <v>Active</v>
          </cell>
          <cell r="D2898">
            <v>2017</v>
          </cell>
          <cell r="G2898" t="str">
            <v>South Africa</v>
          </cell>
          <cell r="X2898" t="str">
            <v>Emerging Technologies</v>
          </cell>
          <cell r="Y2898" t="str">
            <v>Virtual Rieallity, Augumented Reality</v>
          </cell>
        </row>
        <row r="2899">
          <cell r="A2899" t="str">
            <v>SowetanLIve</v>
          </cell>
          <cell r="B2899" t="str">
            <v>South African online news platform focusing on sports, entertainment and business</v>
          </cell>
          <cell r="C2899" t="str">
            <v>Active</v>
          </cell>
          <cell r="D2899">
            <v>2010</v>
          </cell>
          <cell r="G2899" t="str">
            <v>South Africa</v>
          </cell>
          <cell r="X2899" t="str">
            <v>Media &amp; Entertainment</v>
          </cell>
        </row>
        <row r="2900">
          <cell r="A2900" t="str">
            <v>WithNova Experience Management</v>
          </cell>
          <cell r="B2900" t="str">
            <v>Enabling smarter, faster decisions based on insights into customers across touchpoints.</v>
          </cell>
          <cell r="C2900" t="str">
            <v>Active</v>
          </cell>
          <cell r="D2900">
            <v>2016</v>
          </cell>
          <cell r="G2900" t="str">
            <v>South Africa</v>
          </cell>
          <cell r="X2900" t="str">
            <v>Commercial &amp; Professional Services</v>
          </cell>
          <cell r="Y2900" t="str">
            <v>Customer experience Management</v>
          </cell>
        </row>
        <row r="2901">
          <cell r="A2901" t="str">
            <v>SpaceDecode</v>
          </cell>
          <cell r="B2901" t="str">
            <v>Spacedecode introduces the concept of recipes allowing you to save instances of your work for later use.</v>
          </cell>
          <cell r="C2901" t="str">
            <v>Active</v>
          </cell>
          <cell r="D2901">
            <v>2013</v>
          </cell>
          <cell r="G2901" t="str">
            <v>South Africa</v>
          </cell>
          <cell r="X2901" t="str">
            <v>Information Technology</v>
          </cell>
          <cell r="Y2901" t="str">
            <v>Software Development</v>
          </cell>
        </row>
        <row r="2902">
          <cell r="A2902" t="str">
            <v>Orgunite</v>
          </cell>
          <cell r="B2902" t="str">
            <v>Orgunite's mission is to help companies deliver rewarding and personalised customer experiences.</v>
          </cell>
          <cell r="C2902" t="str">
            <v>Active</v>
          </cell>
          <cell r="D2902">
            <v>2015</v>
          </cell>
          <cell r="G2902" t="str">
            <v>South Africa</v>
          </cell>
          <cell r="X2902" t="str">
            <v>Information Technology</v>
          </cell>
          <cell r="Y2902" t="str">
            <v>CRM</v>
          </cell>
        </row>
        <row r="2903">
          <cell r="A2903" t="str">
            <v>Darkiepages</v>
          </cell>
          <cell r="B2903" t="str">
            <v>A mobile app to search and locate black-owned businesses in South Africa</v>
          </cell>
          <cell r="C2903" t="str">
            <v>Active</v>
          </cell>
          <cell r="D2903">
            <v>2018</v>
          </cell>
          <cell r="G2903" t="str">
            <v>South Africa</v>
          </cell>
          <cell r="X2903" t="str">
            <v>Information Technology</v>
          </cell>
        </row>
        <row r="2904">
          <cell r="A2904" t="str">
            <v>Ionizr</v>
          </cell>
          <cell r="B2904" t="str">
            <v>Ionizr provides analytical insight of physical and online behavior, combining the real time flow of visits to your venue and website.</v>
          </cell>
          <cell r="C2904" t="str">
            <v>Active</v>
          </cell>
          <cell r="D2904">
            <v>2015</v>
          </cell>
          <cell r="G2904" t="str">
            <v>South Africa</v>
          </cell>
          <cell r="X2904" t="str">
            <v>Information Technology</v>
          </cell>
        </row>
        <row r="2905">
          <cell r="A2905" t="str">
            <v>Hooros Digital</v>
          </cell>
          <cell r="B2905" t="str">
            <v>Hooros Digital has built a curated freelance hiring marketplace where companies who require a freelancer/freelancers to help them with a particular project</v>
          </cell>
          <cell r="C2905" t="str">
            <v>Active</v>
          </cell>
          <cell r="D2905">
            <v>2016</v>
          </cell>
          <cell r="G2905" t="str">
            <v>South Africa</v>
          </cell>
          <cell r="X2905" t="str">
            <v>Commercial &amp; Professional Services</v>
          </cell>
          <cell r="Y2905" t="str">
            <v>Talent, Labour</v>
          </cell>
        </row>
        <row r="2906">
          <cell r="A2906" t="str">
            <v>Goodies Hub</v>
          </cell>
          <cell r="B2906" t="str">
            <v>Goodies Hub is an online marketplace for Handcrafted deigner products.</v>
          </cell>
          <cell r="C2906" t="str">
            <v>Active</v>
          </cell>
          <cell r="D2906">
            <v>2015</v>
          </cell>
          <cell r="G2906" t="str">
            <v>South Africa</v>
          </cell>
          <cell r="X2906" t="str">
            <v>E-Commerce &amp; Retail</v>
          </cell>
        </row>
        <row r="2907">
          <cell r="A2907" t="str">
            <v>Cumii</v>
          </cell>
          <cell r="B2907" t="str">
            <v xml:space="preserve">Cumii is a pan-African IoT company that focuses on disruptive technology that transforms Africa. </v>
          </cell>
          <cell r="C2907" t="str">
            <v>Active</v>
          </cell>
          <cell r="D2907">
            <v>2015</v>
          </cell>
          <cell r="G2907" t="str">
            <v>South Africa</v>
          </cell>
          <cell r="X2907" t="str">
            <v>Emerging Technologies</v>
          </cell>
          <cell r="Y2907" t="str">
            <v>IoT, Connectivty Solutions</v>
          </cell>
        </row>
        <row r="2908">
          <cell r="A2908" t="str">
            <v>We are Monsters</v>
          </cell>
          <cell r="B2908" t="str">
            <v xml:space="preserve"> We partner with corporates as an external innovation arm, helping them disrupt from the outside in.</v>
          </cell>
          <cell r="C2908" t="str">
            <v>Active</v>
          </cell>
          <cell r="D2908">
            <v>2015</v>
          </cell>
          <cell r="G2908" t="str">
            <v>South Africa</v>
          </cell>
          <cell r="X2908" t="str">
            <v>Commercial &amp; Professional Services</v>
          </cell>
        </row>
        <row r="2909">
          <cell r="A2909" t="str">
            <v>Pista</v>
          </cell>
          <cell r="B2909" t="str">
            <v>A research, design and innovation practice specialising in product &amp; service design using design thinking, cultural intelligence and technology.</v>
          </cell>
          <cell r="C2909" t="str">
            <v>Active</v>
          </cell>
          <cell r="D2909">
            <v>2017</v>
          </cell>
          <cell r="G2909" t="str">
            <v>South Africa</v>
          </cell>
          <cell r="X2909" t="str">
            <v>Commercial &amp; Professional Services</v>
          </cell>
          <cell r="Y2909" t="str">
            <v>Design, Research</v>
          </cell>
        </row>
        <row r="2910">
          <cell r="A2910" t="str">
            <v>Lula Rent</v>
          </cell>
          <cell r="B2910" t="str">
            <v>Easy, smart and transparent property management for landlords, property managers &amp; tenants</v>
          </cell>
          <cell r="C2910" t="str">
            <v>Active</v>
          </cell>
          <cell r="D2910">
            <v>2017</v>
          </cell>
          <cell r="G2910" t="str">
            <v>South Africa</v>
          </cell>
          <cell r="X2910" t="str">
            <v>Real Estate</v>
          </cell>
        </row>
        <row r="2911">
          <cell r="A2911" t="str">
            <v>The Digital Alliance</v>
          </cell>
          <cell r="B2911" t="str">
            <v>The Digital Alliance is a full service digital and traditional marketing agency.</v>
          </cell>
          <cell r="C2911" t="str">
            <v>Active</v>
          </cell>
          <cell r="D2911">
            <v>2017</v>
          </cell>
          <cell r="G2911" t="str">
            <v>South Africa</v>
          </cell>
          <cell r="X2911" t="str">
            <v>Media &amp; Entertainment</v>
          </cell>
          <cell r="Y2911" t="str">
            <v>Digital Marketing, Advertising</v>
          </cell>
        </row>
        <row r="2912">
          <cell r="A2912" t="str">
            <v>Now Boarding</v>
          </cell>
          <cell r="B2912" t="str">
            <v>Now Boarding is a leading UX, Web Design, Brand &amp; Marketing Agency.</v>
          </cell>
          <cell r="C2912" t="str">
            <v>Active</v>
          </cell>
          <cell r="D2912">
            <v>2010</v>
          </cell>
          <cell r="G2912" t="str">
            <v>South Africa</v>
          </cell>
          <cell r="X2912" t="str">
            <v>Media &amp; Entertainment</v>
          </cell>
          <cell r="Y2912" t="str">
            <v>Digital Marketing, Advertising</v>
          </cell>
        </row>
        <row r="2913">
          <cell r="A2913" t="str">
            <v>CRSP dsgn</v>
          </cell>
          <cell r="B2913" t="str">
            <v>CRSP dsgn is a South African social enterprise that produces affordable Robotics &amp; 3D Printing educational tools for 21st Century Learning.</v>
          </cell>
          <cell r="C2913" t="str">
            <v>Active</v>
          </cell>
          <cell r="D2913">
            <v>2016</v>
          </cell>
          <cell r="G2913" t="str">
            <v>South Africa</v>
          </cell>
          <cell r="X2913" t="str">
            <v>Education</v>
          </cell>
          <cell r="Y2913" t="str">
            <v>Robotics, Education</v>
          </cell>
        </row>
        <row r="2914">
          <cell r="A2914" t="str">
            <v>Glovent Solutions</v>
          </cell>
          <cell r="B2914" t="str">
            <v>PGlovent Solutions is a closed community management platform.</v>
          </cell>
          <cell r="C2914" t="str">
            <v>Active</v>
          </cell>
          <cell r="D2914">
            <v>2012</v>
          </cell>
          <cell r="G2914" t="str">
            <v>South Africa</v>
          </cell>
          <cell r="X2914" t="str">
            <v>Information Technology</v>
          </cell>
        </row>
        <row r="2915">
          <cell r="A2915" t="str">
            <v>Joblife</v>
          </cell>
          <cell r="B2915" t="str">
            <v>Joblife is an online job search tool that enables job seekers get themselves infornt of potential employers.</v>
          </cell>
          <cell r="C2915" t="str">
            <v>Active</v>
          </cell>
          <cell r="D2915">
            <v>2010</v>
          </cell>
          <cell r="G2915" t="str">
            <v>South Africa</v>
          </cell>
          <cell r="X2915" t="str">
            <v>Commercial &amp; Professional Services</v>
          </cell>
          <cell r="Y2915" t="str">
            <v>Employment, Job and talents</v>
          </cell>
        </row>
        <row r="2916">
          <cell r="A2916" t="str">
            <v>Zindi</v>
          </cell>
          <cell r="B2916" t="str">
            <v>Zindi is the first data science competition platform in Africa.</v>
          </cell>
          <cell r="C2916" t="str">
            <v>Active</v>
          </cell>
          <cell r="D2916">
            <v>2018</v>
          </cell>
          <cell r="G2916" t="str">
            <v>South Africa</v>
          </cell>
          <cell r="X2916" t="str">
            <v>Education</v>
          </cell>
          <cell r="Y2916" t="str">
            <v>Data Science</v>
          </cell>
        </row>
        <row r="2917">
          <cell r="A2917" t="str">
            <v>Juicy Designs</v>
          </cell>
          <cell r="B2917" t="str">
            <v>Juicy Designs is your one-stop Social Media Marketing Agency in Pretoria that takes pride in creating juicy stories.</v>
          </cell>
          <cell r="C2917" t="str">
            <v>Active</v>
          </cell>
          <cell r="D2917">
            <v>2015</v>
          </cell>
          <cell r="G2917" t="str">
            <v>South Africa</v>
          </cell>
          <cell r="X2917" t="str">
            <v>Media &amp; Entertainment</v>
          </cell>
          <cell r="Y2917" t="str">
            <v>Marketing</v>
          </cell>
        </row>
        <row r="2918">
          <cell r="A2918" t="str">
            <v>Code 4 CT</v>
          </cell>
          <cell r="B2918" t="str">
            <v>Code4CT is a program that introduces high school girls to basic web building skills and expose them to opportunities in the IT industry.</v>
          </cell>
          <cell r="C2918" t="str">
            <v>Active</v>
          </cell>
          <cell r="D2918">
            <v>2014</v>
          </cell>
          <cell r="G2918" t="str">
            <v>South Africa</v>
          </cell>
          <cell r="X2918" t="str">
            <v>Education</v>
          </cell>
          <cell r="Y2918" t="str">
            <v>P2P Learning</v>
          </cell>
        </row>
        <row r="2919">
          <cell r="A2919" t="str">
            <v>TV Republic</v>
          </cell>
          <cell r="B2919" t="str">
            <v>TV Republic enables you to design and schedule your monitors easily from the web, using your computer, tablet or smartphone.</v>
          </cell>
          <cell r="C2919" t="str">
            <v>Active</v>
          </cell>
          <cell r="D2919">
            <v>2012</v>
          </cell>
          <cell r="G2919" t="str">
            <v>South Africa</v>
          </cell>
          <cell r="X2919" t="str">
            <v>Media &amp; Entertainment</v>
          </cell>
        </row>
        <row r="2920">
          <cell r="A2920" t="str">
            <v>Webalytics</v>
          </cell>
          <cell r="B2920" t="str">
            <v>We believe digital marketing isn't just one or the other, but instead a combination of tangible methods to ensure how your future leads are engaged and converted.</v>
          </cell>
          <cell r="C2920" t="str">
            <v>Active</v>
          </cell>
          <cell r="D2920">
            <v>2015</v>
          </cell>
          <cell r="G2920" t="str">
            <v>South Africa</v>
          </cell>
          <cell r="X2920" t="str">
            <v>Media &amp; Entertainment</v>
          </cell>
          <cell r="Y2920" t="str">
            <v>Marketing</v>
          </cell>
        </row>
        <row r="2921">
          <cell r="A2921" t="str">
            <v>Hitech Wireless</v>
          </cell>
          <cell r="B2921" t="str">
            <v>Hitech is a wireless Internet service provider.</v>
          </cell>
          <cell r="C2921" t="str">
            <v>Active</v>
          </cell>
          <cell r="D2921">
            <v>2010</v>
          </cell>
          <cell r="G2921" t="str">
            <v>South Africa</v>
          </cell>
          <cell r="X2921" t="str">
            <v>Communication Services</v>
          </cell>
          <cell r="Y2921" t="str">
            <v>Wireless, Internet</v>
          </cell>
        </row>
        <row r="2922">
          <cell r="A2922" t="str">
            <v>BuzzApex</v>
          </cell>
          <cell r="B2922" t="str">
            <v>BuzzApex is a paperless business platform that automates various functions and helps promote your Business in a cost effective manner.</v>
          </cell>
          <cell r="C2922" t="str">
            <v>Active</v>
          </cell>
          <cell r="D2922">
            <v>2018</v>
          </cell>
          <cell r="G2922" t="str">
            <v>South Africa</v>
          </cell>
          <cell r="X2922" t="str">
            <v>Information Technology</v>
          </cell>
          <cell r="Y2922" t="str">
            <v>Automation</v>
          </cell>
        </row>
        <row r="2923">
          <cell r="A2923" t="str">
            <v>Xtreme Accesories</v>
          </cell>
          <cell r="B2923" t="str">
            <v>Marketpalce for GoPro and Drones accesories</v>
          </cell>
          <cell r="C2923" t="str">
            <v>Active</v>
          </cell>
          <cell r="D2923">
            <v>2015</v>
          </cell>
          <cell r="G2923" t="str">
            <v>South Africa</v>
          </cell>
          <cell r="X2923" t="str">
            <v>E-Commerce &amp; Retail</v>
          </cell>
          <cell r="Y2923" t="str">
            <v>Robotics &amp; Drones</v>
          </cell>
        </row>
        <row r="2924">
          <cell r="A2924" t="str">
            <v>Seebox</v>
          </cell>
          <cell r="B2924" t="str">
            <v>Seebox is a unique interactive self-paced engineering training solution with video tutorials &amp; experiments to train workers on-site in Electronics and Technical fields.</v>
          </cell>
          <cell r="C2924" t="str">
            <v>Active</v>
          </cell>
          <cell r="D2924">
            <v>2014</v>
          </cell>
          <cell r="G2924" t="str">
            <v>South Africa</v>
          </cell>
          <cell r="X2924" t="str">
            <v>Education</v>
          </cell>
          <cell r="Y2924" t="str">
            <v>E-Learning, Training</v>
          </cell>
        </row>
        <row r="2925">
          <cell r="A2925" t="str">
            <v>Daily Dish</v>
          </cell>
          <cell r="B2925" t="str">
            <v>Daily Dish delivers a range of dinner boxes and wine boxes every week</v>
          </cell>
          <cell r="C2925" t="str">
            <v>Active</v>
          </cell>
          <cell r="D2925">
            <v>2012</v>
          </cell>
          <cell r="G2925" t="str">
            <v>South Africa</v>
          </cell>
          <cell r="X2925" t="str">
            <v>Transport &amp; Logistics</v>
          </cell>
          <cell r="Y2925" t="str">
            <v>Deliveries</v>
          </cell>
        </row>
        <row r="2926">
          <cell r="A2926" t="str">
            <v>Spritzed</v>
          </cell>
          <cell r="B2926" t="str">
            <v>Helps Startup Companies find affordable working space</v>
          </cell>
          <cell r="C2926" t="str">
            <v>Active</v>
          </cell>
          <cell r="D2926">
            <v>2016</v>
          </cell>
          <cell r="G2926" t="str">
            <v>South Africa</v>
          </cell>
          <cell r="X2926" t="str">
            <v>Real Estate</v>
          </cell>
        </row>
        <row r="2927">
          <cell r="A2927" t="str">
            <v>PharmaLTX</v>
          </cell>
          <cell r="B2927" t="str">
            <v>PharmaLTX (Pty) Ltd is an eClinical Solutions Company launched in 2015 to provide EMR (Electronic Medical Records) &amp; EDC (Electronic Data Capture) solutions within clinical research, eliminating the problems inherent to paper-based data collection methods.</v>
          </cell>
          <cell r="C2927" t="str">
            <v>Active</v>
          </cell>
          <cell r="D2927">
            <v>2015</v>
          </cell>
          <cell r="G2927" t="str">
            <v>South Africa</v>
          </cell>
          <cell r="X2927" t="str">
            <v>Healthcare &amp; Pharma</v>
          </cell>
          <cell r="Y2927" t="str">
            <v>Records Management</v>
          </cell>
        </row>
        <row r="2928">
          <cell r="A2928" t="str">
            <v>NU Beginnings</v>
          </cell>
          <cell r="B2928" t="str">
            <v>Recruitment specialists revolutionising the way tech companies recruit</v>
          </cell>
          <cell r="C2928" t="str">
            <v>Active</v>
          </cell>
          <cell r="D2928">
            <v>2010</v>
          </cell>
          <cell r="G2928" t="str">
            <v>South Africa</v>
          </cell>
          <cell r="X2928" t="str">
            <v>Commercial &amp; Professional Services</v>
          </cell>
          <cell r="Y2928" t="str">
            <v>Talent, Jobs, Labour</v>
          </cell>
        </row>
        <row r="2929">
          <cell r="A2929" t="str">
            <v>Centurus Group of Schools</v>
          </cell>
          <cell r="B2929" t="str">
            <v>Centurus Group of Schools provide a dynamic and progressive education for all pupils.</v>
          </cell>
          <cell r="C2929" t="str">
            <v>Active</v>
          </cell>
          <cell r="D2929">
            <v>2013</v>
          </cell>
          <cell r="G2929" t="str">
            <v>South Africa</v>
          </cell>
          <cell r="X2929" t="str">
            <v>Education</v>
          </cell>
        </row>
        <row r="2930">
          <cell r="A2930" t="str">
            <v>Cats and Shepherd</v>
          </cell>
          <cell r="B2930" t="str">
            <v>Cats &amp; Shepherd is a growth consultancy that builds digital experiences that drive growth.</v>
          </cell>
          <cell r="C2930" t="str">
            <v>Active</v>
          </cell>
          <cell r="D2930">
            <v>2015</v>
          </cell>
          <cell r="G2930" t="str">
            <v>South Africa</v>
          </cell>
          <cell r="X2930" t="str">
            <v>Commercial &amp; Professional Services</v>
          </cell>
          <cell r="Y2930" t="str">
            <v>Consultancy, Media</v>
          </cell>
        </row>
        <row r="2931">
          <cell r="A2931" t="str">
            <v>Shop Eat Sleep Worldwide</v>
          </cell>
          <cell r="B2931" t="str">
            <v>Shop eat sleep worldwide is a Premium discount App joining you into an exclusive club of high end luxury brands.</v>
          </cell>
          <cell r="C2931" t="str">
            <v>Active</v>
          </cell>
          <cell r="D2931">
            <v>2017</v>
          </cell>
          <cell r="G2931" t="str">
            <v>South Africa</v>
          </cell>
          <cell r="X2931" t="str">
            <v>E-Commerce &amp; Retail</v>
          </cell>
          <cell r="Y2931" t="str">
            <v>Discounts</v>
          </cell>
        </row>
        <row r="2932">
          <cell r="A2932" t="str">
            <v>Avatar Brands</v>
          </cell>
          <cell r="B2932" t="str">
            <v xml:space="preserve">Our digital marketing agency will help your business get online, get noticed and get results. </v>
          </cell>
          <cell r="C2932" t="str">
            <v>Active</v>
          </cell>
          <cell r="D2932">
            <v>2017</v>
          </cell>
          <cell r="G2932" t="str">
            <v>South Africa</v>
          </cell>
          <cell r="X2932" t="str">
            <v>Media &amp; Entertainment</v>
          </cell>
          <cell r="Y2932" t="str">
            <v>Marketing &amp; Advertising</v>
          </cell>
        </row>
        <row r="2933">
          <cell r="A2933" t="str">
            <v>Wolf&amp;Halo</v>
          </cell>
          <cell r="B2933" t="str">
            <v>Wolf&amp;Halo is a growth and digital marketing agency.</v>
          </cell>
          <cell r="C2933" t="str">
            <v>Active</v>
          </cell>
          <cell r="D2933">
            <v>2017</v>
          </cell>
          <cell r="G2933" t="str">
            <v>South Africa</v>
          </cell>
          <cell r="X2933" t="str">
            <v>Media &amp; Entertainment</v>
          </cell>
          <cell r="Y2933" t="str">
            <v>Marketing &amp; Advertising</v>
          </cell>
        </row>
        <row r="2934">
          <cell r="A2934" t="str">
            <v>Guns &amp; Rain Art</v>
          </cell>
          <cell r="B2934" t="str">
            <v>Guns &amp; Rain Art is a marketplace for contemporary fine art from Southern Africa</v>
          </cell>
          <cell r="C2934" t="str">
            <v>Active</v>
          </cell>
          <cell r="D2934">
            <v>2014</v>
          </cell>
          <cell r="G2934" t="str">
            <v>South Africa</v>
          </cell>
          <cell r="X2934" t="str">
            <v>E-Commerce &amp; Retail</v>
          </cell>
          <cell r="Y2934" t="str">
            <v>Retail</v>
          </cell>
        </row>
        <row r="2935">
          <cell r="A2935" t="str">
            <v>SassyChic</v>
          </cell>
          <cell r="B2935" t="str">
            <v>SassyChic is Online boutique showcasing SA designer fashion &amp; more.</v>
          </cell>
          <cell r="C2935" t="str">
            <v>Active</v>
          </cell>
          <cell r="D2935">
            <v>2011</v>
          </cell>
          <cell r="G2935" t="str">
            <v>South Africa</v>
          </cell>
          <cell r="X2935" t="str">
            <v>E-Commerce &amp; Retail</v>
          </cell>
          <cell r="Y2935" t="str">
            <v>Retail</v>
          </cell>
        </row>
        <row r="2936">
          <cell r="A2936" t="str">
            <v>Quick Connect Wireless</v>
          </cell>
          <cell r="B2936" t="str">
            <v>Quick Connect Wireless is a wireless internet provider</v>
          </cell>
          <cell r="C2936" t="str">
            <v>Active</v>
          </cell>
          <cell r="D2936">
            <v>2012</v>
          </cell>
          <cell r="G2936" t="str">
            <v>South Africa</v>
          </cell>
          <cell r="X2936" t="str">
            <v>Communication Services</v>
          </cell>
          <cell r="Y2936" t="str">
            <v>Internet</v>
          </cell>
        </row>
        <row r="2937">
          <cell r="A2937" t="str">
            <v>Legal Connection</v>
          </cell>
          <cell r="B2937" t="str">
            <v>Legal practice and case management for teams and panels.</v>
          </cell>
          <cell r="C2937" t="str">
            <v>Active</v>
          </cell>
          <cell r="D2937">
            <v>2016</v>
          </cell>
          <cell r="G2937" t="str">
            <v>South Africa</v>
          </cell>
          <cell r="X2937" t="str">
            <v>Information Technology</v>
          </cell>
          <cell r="Y2937" t="str">
            <v>LegalTech</v>
          </cell>
        </row>
        <row r="2938">
          <cell r="A2938" t="str">
            <v>Cape Town Office</v>
          </cell>
          <cell r="B2938" t="str">
            <v>Cape Town Office is a co-working space based in Cape Town</v>
          </cell>
          <cell r="C2938" t="str">
            <v>Active</v>
          </cell>
          <cell r="D2938">
            <v>2011</v>
          </cell>
          <cell r="G2938" t="str">
            <v>South Africa</v>
          </cell>
          <cell r="X2938" t="str">
            <v>Real Estate</v>
          </cell>
          <cell r="Y2938" t="str">
            <v>Co-working Space</v>
          </cell>
        </row>
        <row r="2939">
          <cell r="A2939" t="str">
            <v>Useful &amp; Beautiful</v>
          </cell>
          <cell r="B2939" t="str">
            <v>Useful And Beautiful create useful and beautiful mobile apps and mobisites that compliments your business goals and delight your customers.</v>
          </cell>
          <cell r="C2939" t="str">
            <v>Active</v>
          </cell>
          <cell r="D2939">
            <v>2014</v>
          </cell>
          <cell r="G2939" t="str">
            <v>South Africa</v>
          </cell>
          <cell r="X2939" t="str">
            <v>Information Technology</v>
          </cell>
          <cell r="Y2939" t="str">
            <v>Mobile Development</v>
          </cell>
        </row>
        <row r="2940">
          <cell r="A2940" t="str">
            <v>Greenform</v>
          </cell>
          <cell r="B2940" t="str">
            <v>GreenForm is a document management system software which is a web-based capture solutions that digitalises paper-based forms in business processes</v>
          </cell>
          <cell r="C2940" t="str">
            <v>Active</v>
          </cell>
          <cell r="D2940">
            <v>2018</v>
          </cell>
          <cell r="G2940" t="str">
            <v>South Africa</v>
          </cell>
          <cell r="X2940" t="str">
            <v>Information Technology</v>
          </cell>
          <cell r="Y2940" t="str">
            <v>Digital solutions</v>
          </cell>
        </row>
        <row r="2941">
          <cell r="A2941" t="str">
            <v>PowerOptimal</v>
          </cell>
          <cell r="B2941" t="str">
            <v>PowerOptima offers a range of energy use and billing management solutions that puts the power back in your hands.</v>
          </cell>
          <cell r="C2941" t="str">
            <v>Active</v>
          </cell>
          <cell r="D2941">
            <v>2014</v>
          </cell>
          <cell r="G2941" t="str">
            <v>South Africa</v>
          </cell>
          <cell r="X2941" t="str">
            <v>Energy &amp; Environment Resources</v>
          </cell>
          <cell r="Y2941" t="str">
            <v>Solar, Clean Energy</v>
          </cell>
        </row>
        <row r="2942">
          <cell r="A2942" t="str">
            <v>Isoflow</v>
          </cell>
          <cell r="B2942" t="str">
            <v xml:space="preserve">Isoflow is a Cape Town based User Experience, Web and Mobile Design agency. </v>
          </cell>
          <cell r="C2942" t="str">
            <v>Active</v>
          </cell>
          <cell r="D2942">
            <v>2010</v>
          </cell>
          <cell r="G2942" t="str">
            <v>South Africa</v>
          </cell>
          <cell r="X2942" t="str">
            <v>Information Technology</v>
          </cell>
          <cell r="Y2942" t="str">
            <v>Digital solutions</v>
          </cell>
        </row>
        <row r="2943">
          <cell r="A2943" t="str">
            <v>Stream Drinks</v>
          </cell>
          <cell r="B2943" t="str">
            <v>Stream Drinks is a sugar free beverage packed with vitamins and other healthy ingredients.</v>
          </cell>
          <cell r="C2943" t="str">
            <v>Active</v>
          </cell>
          <cell r="D2943">
            <v>2010</v>
          </cell>
          <cell r="G2943" t="str">
            <v>South Africa</v>
          </cell>
          <cell r="X2943" t="str">
            <v>Foods &amp; Beverages</v>
          </cell>
          <cell r="Y2943" t="str">
            <v>Beverages</v>
          </cell>
        </row>
        <row r="2944">
          <cell r="A2944" t="str">
            <v>Key Connections</v>
          </cell>
          <cell r="B2944" t="str">
            <v>Key Connections is a tech recruitment company that focuses on connecting developers and technology companies.</v>
          </cell>
          <cell r="C2944" t="str">
            <v>Active</v>
          </cell>
          <cell r="D2944">
            <v>2010</v>
          </cell>
          <cell r="G2944" t="str">
            <v>South Africa</v>
          </cell>
          <cell r="X2944" t="str">
            <v>Commercial &amp; Professional Services</v>
          </cell>
          <cell r="Y2944" t="str">
            <v>Recruitment, Jobs, Talents</v>
          </cell>
        </row>
        <row r="2945">
          <cell r="A2945" t="str">
            <v>Servio</v>
          </cell>
          <cell r="B2945" t="str">
            <v>On-Demand Home Service Platform operating in South Africa</v>
          </cell>
          <cell r="C2945" t="str">
            <v>Active</v>
          </cell>
          <cell r="D2945">
            <v>2016</v>
          </cell>
          <cell r="G2945" t="str">
            <v>South Africa</v>
          </cell>
          <cell r="X2945" t="str">
            <v>Commercial &amp; Professional Services</v>
          </cell>
        </row>
        <row r="2946">
          <cell r="A2946" t="str">
            <v>10Dot</v>
          </cell>
          <cell r="B2946" t="str">
            <v>We help you detect, prevent and combat cyber crime, protect your data assets, and secure your cloud.</v>
          </cell>
          <cell r="C2946" t="str">
            <v>Active</v>
          </cell>
          <cell r="D2946">
            <v>2015</v>
          </cell>
          <cell r="G2946" t="str">
            <v>South Africa</v>
          </cell>
          <cell r="X2946" t="str">
            <v>Information Technology</v>
          </cell>
          <cell r="Y2946" t="str">
            <v>Cyber Security</v>
          </cell>
        </row>
        <row r="2947">
          <cell r="A2947" t="str">
            <v>RentDoc</v>
          </cell>
          <cell r="B2947" t="str">
            <v>RentDoc is a Rental Property Law Firm.</v>
          </cell>
          <cell r="C2947" t="str">
            <v>Active</v>
          </cell>
          <cell r="D2947">
            <v>2015</v>
          </cell>
          <cell r="G2947" t="str">
            <v>South Africa</v>
          </cell>
          <cell r="X2947" t="str">
            <v>Commercial &amp; Professional Services</v>
          </cell>
          <cell r="Y2947" t="str">
            <v>LegalTech</v>
          </cell>
        </row>
        <row r="2948">
          <cell r="A2948" t="str">
            <v>Creatives Express</v>
          </cell>
          <cell r="B2948" t="str">
            <v>A digital marketing solution that specialises in website development and graphic design</v>
          </cell>
          <cell r="C2948" t="str">
            <v>Active</v>
          </cell>
          <cell r="D2948">
            <v>2017</v>
          </cell>
          <cell r="G2948" t="str">
            <v>South Africa</v>
          </cell>
          <cell r="X2948" t="str">
            <v>Information Technology</v>
          </cell>
          <cell r="Y2948" t="str">
            <v>Digital solutions</v>
          </cell>
        </row>
        <row r="2949">
          <cell r="A2949" t="str">
            <v>Vivi Dress South Africa</v>
          </cell>
          <cell r="B2949" t="str">
            <v>Vivi Dress is a marketplace with a collection of wedding gowns</v>
          </cell>
          <cell r="C2949" t="str">
            <v>Active</v>
          </cell>
          <cell r="D2949">
            <v>2013</v>
          </cell>
          <cell r="G2949" t="str">
            <v>South Africa</v>
          </cell>
          <cell r="X2949" t="str">
            <v>E-Commerce &amp; Retail</v>
          </cell>
          <cell r="Y2949" t="str">
            <v>Retail, Women's Clothing</v>
          </cell>
        </row>
        <row r="2950">
          <cell r="A2950" t="str">
            <v>Bandela Media</v>
          </cell>
          <cell r="B2950" t="str">
            <v>Bandela Media is a web design and development company based in East london, South Africa.</v>
          </cell>
          <cell r="C2950" t="str">
            <v>Active</v>
          </cell>
          <cell r="D2950">
            <v>2013</v>
          </cell>
          <cell r="G2950" t="str">
            <v>South Africa</v>
          </cell>
          <cell r="X2950" t="str">
            <v>Information Technology</v>
          </cell>
          <cell r="Y2950" t="str">
            <v>Software Development, Website Design</v>
          </cell>
        </row>
        <row r="2951">
          <cell r="A2951" t="str">
            <v>Rental Retainer Club</v>
          </cell>
          <cell r="B2951" t="str">
            <v>Rental Retainer Club is a Rental Property Law Firm for a nominal monthly fee.</v>
          </cell>
          <cell r="C2951" t="str">
            <v>Active</v>
          </cell>
          <cell r="D2951">
            <v>2014</v>
          </cell>
          <cell r="G2951" t="str">
            <v>South Africa</v>
          </cell>
          <cell r="X2951" t="str">
            <v>Information Technology</v>
          </cell>
          <cell r="Y2951" t="str">
            <v>LegalTech</v>
          </cell>
        </row>
        <row r="2952">
          <cell r="A2952" t="str">
            <v>Phakamo Holdings</v>
          </cell>
          <cell r="B2952" t="str">
            <v>Providing cyber security services to businesses in Africa</v>
          </cell>
          <cell r="C2952" t="str">
            <v>Active</v>
          </cell>
          <cell r="D2952">
            <v>2010</v>
          </cell>
          <cell r="G2952" t="str">
            <v>South Africa</v>
          </cell>
          <cell r="X2952" t="str">
            <v>Information Technology</v>
          </cell>
          <cell r="Y2952" t="str">
            <v>Cyber Security</v>
          </cell>
        </row>
        <row r="2953">
          <cell r="A2953" t="str">
            <v xml:space="preserve">Nona Digital </v>
          </cell>
          <cell r="B2953" t="str">
            <v>A leading Blockchain-focused software development studio</v>
          </cell>
          <cell r="C2953" t="str">
            <v>Active</v>
          </cell>
          <cell r="D2953">
            <v>2012</v>
          </cell>
          <cell r="G2953" t="str">
            <v>South Africa</v>
          </cell>
          <cell r="X2953" t="str">
            <v>Information Technology</v>
          </cell>
          <cell r="Y2953" t="str">
            <v>Software Development, Blockchain</v>
          </cell>
        </row>
        <row r="2954">
          <cell r="A2954" t="str">
            <v>Peruzal</v>
          </cell>
          <cell r="B2954" t="str">
            <v>Peruzal offers consulting, web and mobile app development, and training services for the African market.</v>
          </cell>
          <cell r="C2954" t="str">
            <v>Active</v>
          </cell>
          <cell r="D2954">
            <v>2013</v>
          </cell>
          <cell r="G2954" t="str">
            <v>South Africa</v>
          </cell>
          <cell r="X2954" t="str">
            <v>Information Technology</v>
          </cell>
          <cell r="Y2954" t="str">
            <v>Software Development, Training</v>
          </cell>
        </row>
        <row r="2955">
          <cell r="A2955" t="str">
            <v>Loeriesfontein Wind Farm</v>
          </cell>
          <cell r="B2955" t="str">
            <v>Loeriesfontein Wind Farm is committed to contributing to sustainable community growth through financial and non-financial community development</v>
          </cell>
          <cell r="C2955" t="str">
            <v>Active</v>
          </cell>
          <cell r="D2955">
            <v>2016</v>
          </cell>
          <cell r="G2955" t="str">
            <v>South Africa</v>
          </cell>
          <cell r="X2955" t="str">
            <v>Energy &amp; Environment Resources</v>
          </cell>
          <cell r="Y2955" t="str">
            <v>Clean Energy, Wind Energy</v>
          </cell>
        </row>
        <row r="2956">
          <cell r="A2956" t="str">
            <v>AI Media Group</v>
          </cell>
          <cell r="B2956" t="str">
            <v>Curators Of Africa’s Largest Business Focused AI &amp; Data Science Community</v>
          </cell>
          <cell r="C2956" t="str">
            <v>Active</v>
          </cell>
          <cell r="D2956">
            <v>2017</v>
          </cell>
          <cell r="G2956" t="str">
            <v>South Africa</v>
          </cell>
          <cell r="X2956" t="str">
            <v>Media &amp; Entertainment</v>
          </cell>
          <cell r="Y2956" t="str">
            <v>Artificial Intelligence</v>
          </cell>
        </row>
        <row r="2957">
          <cell r="A2957" t="str">
            <v>Responsive Digital</v>
          </cell>
          <cell r="B2957" t="str">
            <v>Responsive Digital Innovation is a leading website design company in New York.</v>
          </cell>
          <cell r="C2957" t="str">
            <v>Active</v>
          </cell>
          <cell r="D2957">
            <v>2010</v>
          </cell>
          <cell r="G2957" t="str">
            <v>United States</v>
          </cell>
          <cell r="X2957" t="str">
            <v>Media &amp; Entertainment</v>
          </cell>
          <cell r="Y2957" t="str">
            <v>Digital solutions</v>
          </cell>
        </row>
        <row r="2958">
          <cell r="A2958" t="str">
            <v>Koala Design</v>
          </cell>
          <cell r="B2958" t="str">
            <v xml:space="preserve">Koala Design is a Cape Town based web design company in South Africa that specialises in Search Engine Optimisation </v>
          </cell>
          <cell r="C2958" t="str">
            <v>Active</v>
          </cell>
          <cell r="D2958">
            <v>2013</v>
          </cell>
          <cell r="G2958" t="str">
            <v>South Africa</v>
          </cell>
          <cell r="X2958" t="str">
            <v>Information Technology</v>
          </cell>
          <cell r="Y2958" t="str">
            <v>SEO</v>
          </cell>
        </row>
        <row r="2959">
          <cell r="A2959" t="str">
            <v>PositiveSSL</v>
          </cell>
          <cell r="B2959" t="str">
            <v>PositiveSSL was launched to fight website security threats and vulnerabilities by offering the best SSL certificates</v>
          </cell>
          <cell r="C2959" t="str">
            <v>Active</v>
          </cell>
          <cell r="D2959">
            <v>2011</v>
          </cell>
          <cell r="G2959" t="str">
            <v>South Africa</v>
          </cell>
          <cell r="X2959" t="str">
            <v>Information Technology</v>
          </cell>
          <cell r="Y2959" t="str">
            <v>Cyber Security</v>
          </cell>
        </row>
        <row r="2960">
          <cell r="A2960" t="str">
            <v>Noupoort Wind Farm</v>
          </cell>
          <cell r="B2960" t="str">
            <v>Noupoort Wind Farm is committed to contributing to sustainable community growth through financial and non-financial community development involvement.</v>
          </cell>
          <cell r="C2960" t="str">
            <v>Active</v>
          </cell>
          <cell r="D2960">
            <v>2016</v>
          </cell>
          <cell r="G2960" t="str">
            <v>South Africa</v>
          </cell>
          <cell r="X2960" t="str">
            <v>Energy &amp; Environment Resources</v>
          </cell>
          <cell r="Y2960" t="str">
            <v>Clean Energy, Wind Energy</v>
          </cell>
        </row>
        <row r="2961">
          <cell r="A2961" t="str">
            <v>Growing Agile</v>
          </cell>
          <cell r="B2961" t="str">
            <v xml:space="preserve">Growing Agile is focused on helping companies and individuals be agile. We provide coaching, support and training to help you find the right path for your organization. </v>
          </cell>
          <cell r="C2961" t="str">
            <v>Active</v>
          </cell>
          <cell r="D2961">
            <v>2012</v>
          </cell>
          <cell r="G2961" t="str">
            <v>South Africa</v>
          </cell>
          <cell r="X2961" t="str">
            <v>Commercial &amp; Professional Services</v>
          </cell>
        </row>
        <row r="2962">
          <cell r="A2962" t="str">
            <v>Datatracker</v>
          </cell>
          <cell r="B2962" t="str">
            <v xml:space="preserve">Datatracker is a business software service provider and specializes in developing high quality business software. </v>
          </cell>
          <cell r="C2962" t="str">
            <v>Active</v>
          </cell>
          <cell r="D2962">
            <v>2013</v>
          </cell>
          <cell r="G2962" t="str">
            <v>South Africa</v>
          </cell>
          <cell r="X2962" t="str">
            <v>Information Technology</v>
          </cell>
          <cell r="Y2962" t="str">
            <v>Software Development</v>
          </cell>
        </row>
        <row r="2963">
          <cell r="A2963" t="str">
            <v>Mellow Cabs</v>
          </cell>
          <cell r="B2963" t="str">
            <v>Mellowcabs are new, electric mini-cabs that provide transport in cities.</v>
          </cell>
          <cell r="C2963" t="str">
            <v>Active</v>
          </cell>
          <cell r="G2963" t="str">
            <v>South Africa</v>
          </cell>
          <cell r="X2963" t="str">
            <v>Transport &amp; Logistics</v>
          </cell>
          <cell r="Y2963" t="str">
            <v>Ride Hailing, Clean Energy</v>
          </cell>
        </row>
        <row r="2964">
          <cell r="A2964" t="str">
            <v>Tautona</v>
          </cell>
          <cell r="B2964" t="str">
            <v>Tautona is a cloud company that leverages artificial intelligence and amchine learning to automate the insurance claims process.</v>
          </cell>
          <cell r="C2964" t="str">
            <v>Active</v>
          </cell>
          <cell r="D2964">
            <v>2017</v>
          </cell>
          <cell r="G2964" t="str">
            <v>South Africa</v>
          </cell>
          <cell r="X2964" t="str">
            <v>Emerging Technologies</v>
          </cell>
          <cell r="Y2964" t="str">
            <v>Robotics, Artificial Intelligence</v>
          </cell>
        </row>
        <row r="2965">
          <cell r="A2965" t="str">
            <v>Bright On Capital</v>
          </cell>
          <cell r="B2965" t="str">
            <v>Bright On Capital is an online peer-to-peer enterprise-lending platform, that serves as an online market place and allows SMEs to simply and quickly raise working capital funding from a wide range of traditional and non-traditional lenders.</v>
          </cell>
          <cell r="C2965" t="str">
            <v>Active</v>
          </cell>
          <cell r="D2965">
            <v>2014</v>
          </cell>
          <cell r="G2965" t="str">
            <v>South Africa</v>
          </cell>
          <cell r="X2965" t="str">
            <v>Financial Services</v>
          </cell>
          <cell r="Y2965" t="str">
            <v>Peer-to-peer lending</v>
          </cell>
        </row>
        <row r="2966">
          <cell r="A2966" t="str">
            <v>Akili Labs</v>
          </cell>
          <cell r="B2966" t="str">
            <v>We are developing next generation point of care molecular diagnostics system for infectious disease detection and monitoring. Our modular, connected smart point of care molecular diagnostics systems are aimed at medical practitioners in the field and in research laboratories.</v>
          </cell>
          <cell r="C2966" t="str">
            <v>Active</v>
          </cell>
          <cell r="G2966" t="str">
            <v>South Africa</v>
          </cell>
          <cell r="X2966" t="str">
            <v>Healthcare &amp; Pharma</v>
          </cell>
          <cell r="Y2966" t="str">
            <v>Biotechnology</v>
          </cell>
        </row>
        <row r="2967">
          <cell r="A2967" t="str">
            <v>3lyna</v>
          </cell>
          <cell r="B2967" t="str">
            <v>3lyna is an on-demand online grocery delivery.</v>
          </cell>
          <cell r="C2967" t="str">
            <v>Active</v>
          </cell>
          <cell r="G2967" t="str">
            <v>Sudan</v>
          </cell>
          <cell r="Y2967" t="str">
            <v>-</v>
          </cell>
        </row>
        <row r="2968">
          <cell r="A2968" t="str">
            <v>Rentx</v>
          </cell>
          <cell r="B2968" t="str">
            <v>Rentx is on-demand renting car services that want to improve mobility in Sudan and optimize the use of existing resources by offering a better alternative to car ownership.</v>
          </cell>
          <cell r="C2968" t="str">
            <v>Active</v>
          </cell>
          <cell r="D2968">
            <v>2017</v>
          </cell>
          <cell r="G2968" t="str">
            <v>Sudan</v>
          </cell>
        </row>
        <row r="2969">
          <cell r="A2969" t="str">
            <v>Tazkerati</v>
          </cell>
          <cell r="B2969" t="str">
            <v>Tzkarati is an integrated booking system for travel tickets.</v>
          </cell>
          <cell r="C2969" t="str">
            <v>Active</v>
          </cell>
          <cell r="G2969" t="str">
            <v>Sudan</v>
          </cell>
        </row>
        <row r="2970">
          <cell r="A2970" t="str">
            <v>Nayla Prosthetics</v>
          </cell>
          <cell r="B2970" t="str">
            <v>Nayla works on the inclusion of amputees in the societies of developing countries by producing affordable and high quality prosthetic limbs.</v>
          </cell>
          <cell r="C2970" t="str">
            <v>Active</v>
          </cell>
          <cell r="G2970" t="str">
            <v>Sudan</v>
          </cell>
        </row>
        <row r="2971">
          <cell r="A2971" t="str">
            <v>Dopa</v>
          </cell>
          <cell r="B2971" t="str">
            <v>Dopa platform is a fine-tuned communication tool that designed especially for pharmaceutical supply chain (companies, salesmen and pharmacies) that releases the communication pain for pharmacist, maximize the salesman capacity and strengthen the monitoring for the company.</v>
          </cell>
          <cell r="C2971" t="str">
            <v>Active</v>
          </cell>
          <cell r="G2971" t="str">
            <v>Sudan</v>
          </cell>
        </row>
        <row r="2972">
          <cell r="A2972" t="str">
            <v>Care</v>
          </cell>
          <cell r="B2972" t="str">
            <v>health tech marketing platform that connects patients with register ,doctors and pharmasy to follow on reservations for appointments in addition to provide doctors with tools to increase their services through reviews .</v>
          </cell>
          <cell r="C2972" t="str">
            <v>Active</v>
          </cell>
          <cell r="G2972" t="str">
            <v>Sudan</v>
          </cell>
        </row>
        <row r="2973">
          <cell r="A2973" t="str">
            <v>Sahla</v>
          </cell>
          <cell r="B2973" t="str">
            <v>Easy-to-use application for maintenance services</v>
          </cell>
          <cell r="C2973" t="str">
            <v>Active</v>
          </cell>
          <cell r="G2973" t="str">
            <v>Sudan</v>
          </cell>
        </row>
        <row r="2974">
          <cell r="A2974" t="str">
            <v>Dreen House</v>
          </cell>
          <cell r="B2974" t="str">
            <v>Agritech that helps in controling systems within the land (protected houses,lands) through a completed control systems and IoT devices , that improves the productivity</v>
          </cell>
          <cell r="C2974" t="str">
            <v>Active</v>
          </cell>
          <cell r="G2974" t="str">
            <v>Sudan</v>
          </cell>
        </row>
        <row r="2975">
          <cell r="A2975" t="str">
            <v>Zemam</v>
          </cell>
          <cell r="B2975" t="str">
            <v>platform that connects the owners of houses, factories and restaurants … It consists of four services (waste transportation service, gas delivery, cargo transportation and maintenance) &amp; further recycling services for the waste .</v>
          </cell>
          <cell r="C2975" t="str">
            <v>Active</v>
          </cell>
          <cell r="G2975" t="str">
            <v>Sudan</v>
          </cell>
        </row>
        <row r="2976">
          <cell r="A2976" t="str">
            <v>I Beakon</v>
          </cell>
          <cell r="B2976" t="str">
            <v>Marketing company that uses free promotional Bluetooth pic messages. Through various fixed and mobile iBeacon pro’s points positioned in prime locations.</v>
          </cell>
          <cell r="C2976" t="str">
            <v>Active</v>
          </cell>
          <cell r="G2976" t="str">
            <v>Sudan</v>
          </cell>
        </row>
        <row r="2977">
          <cell r="A2977" t="str">
            <v>Eventi</v>
          </cell>
          <cell r="B2977" t="str">
            <v>platform that enables customers to follow the most important events (conferences, workshops, training courses and other events) according to your field of specialization in addition to make bookings &amp; reservations.</v>
          </cell>
          <cell r="C2977" t="str">
            <v>Active</v>
          </cell>
          <cell r="G2977" t="str">
            <v>Sudan</v>
          </cell>
        </row>
        <row r="2978">
          <cell r="A2978" t="str">
            <v>Maglag.com</v>
          </cell>
          <cell r="B2978" t="str">
            <v>an online platform that specializes in purchasing building materials and construction through a website to facilitate the journey of purchase.</v>
          </cell>
          <cell r="C2978" t="str">
            <v>Active</v>
          </cell>
          <cell r="G2978" t="str">
            <v>Sudan</v>
          </cell>
        </row>
        <row r="2979">
          <cell r="A2979" t="str">
            <v>Intelligent Analytics</v>
          </cell>
          <cell r="B2979" t="str">
            <v>Intelligent Analytics is a statistical consultancy and training agency that aims to raise individuals and organizations knowledge about the power of statistics, this will lead to general improvement and strengthen of researches quality and aid design making in organizations.</v>
          </cell>
          <cell r="C2979" t="str">
            <v>Active</v>
          </cell>
          <cell r="G2979" t="str">
            <v>Sudan</v>
          </cell>
        </row>
        <row r="2980">
          <cell r="A2980" t="str">
            <v>Trabalkm</v>
          </cell>
          <cell r="B2980" t="str">
            <v>Online AgriTech platform ,a center for communications and SMS to connect the parties of agricultural and livestock production operations to utalize the resources of the agricultural sector, human and materials.</v>
          </cell>
          <cell r="C2980" t="str">
            <v>Active</v>
          </cell>
          <cell r="G2980" t="str">
            <v>Sudan</v>
          </cell>
        </row>
        <row r="2981">
          <cell r="A2981" t="str">
            <v>Epilert</v>
          </cell>
          <cell r="B2981" t="str">
            <v>Epilert is a wearable device that detect Epilepsy Seizure through AI. we notify caregivers with the seizure and we allow doctors to follow their patients 24/7</v>
          </cell>
          <cell r="C2981" t="str">
            <v>Active</v>
          </cell>
          <cell r="D2981">
            <v>2017</v>
          </cell>
          <cell r="G2981" t="str">
            <v>Tunisia</v>
          </cell>
          <cell r="X2981" t="str">
            <v>Healthcare &amp; Pharma</v>
          </cell>
          <cell r="Y2981" t="str">
            <v>Medical Devices</v>
          </cell>
        </row>
        <row r="2982">
          <cell r="A2982" t="str">
            <v>Charge Ko Technologies</v>
          </cell>
          <cell r="B2982" t="str">
            <v>ChargeKo Technologies Limited is a market leader in providing electric charging solutions. We provide a variety of mobile charging kiosks, charging lockers and other mobile charging solutions to ensure that you and you phone keep smiling.</v>
          </cell>
          <cell r="C2982" t="str">
            <v>Active</v>
          </cell>
          <cell r="D2982">
            <v>2019</v>
          </cell>
          <cell r="G2982" t="str">
            <v>Uganda</v>
          </cell>
          <cell r="X2982" t="str">
            <v>Energy &amp; Environment Resources</v>
          </cell>
          <cell r="Y2982" t="str">
            <v>Mobile charging</v>
          </cell>
        </row>
        <row r="2983">
          <cell r="A2983" t="str">
            <v>Paat Soil Clinic</v>
          </cell>
          <cell r="B2983" t="str">
            <v>Paat Soil Clinic is leveraging cloud based precision farming through Data driven agriculture to enable small holder farmers make informed farming decisions for improved soil fertility</v>
          </cell>
          <cell r="C2983" t="str">
            <v>Active</v>
          </cell>
          <cell r="D2983">
            <v>2016</v>
          </cell>
          <cell r="G2983" t="str">
            <v>Uganda</v>
          </cell>
          <cell r="X2983" t="str">
            <v>Agriculture</v>
          </cell>
          <cell r="Y2983" t="str">
            <v>AgriTech</v>
          </cell>
        </row>
        <row r="2984">
          <cell r="A2984" t="str">
            <v>Pinktie</v>
          </cell>
          <cell r="B2984" t="str">
            <v>PinkTie is a logistic company specializing in turnkey and last mile deliveries.</v>
          </cell>
          <cell r="C2984" t="str">
            <v>Active</v>
          </cell>
          <cell r="D2984">
            <v>2016</v>
          </cell>
          <cell r="G2984" t="str">
            <v>Uganda</v>
          </cell>
          <cell r="X2984" t="str">
            <v>Transport &amp; Logistics</v>
          </cell>
          <cell r="Y2984" t="str">
            <v>Logistics &amp; Distribution</v>
          </cell>
        </row>
        <row r="2985">
          <cell r="A2985" t="str">
            <v>Africa Pay</v>
          </cell>
          <cell r="B2985" t="str">
            <v>A mobile payment system that acts as virtual awallet allowing users to recieve and make payments using their mobile phones</v>
          </cell>
          <cell r="C2985" t="str">
            <v>Active</v>
          </cell>
          <cell r="G2985" t="str">
            <v>Uganda</v>
          </cell>
          <cell r="X2985" t="str">
            <v>Financial Services</v>
          </cell>
          <cell r="Y2985" t="str">
            <v>Payments, FinTech</v>
          </cell>
        </row>
        <row r="2986">
          <cell r="A2986" t="str">
            <v>Village of Lakes Safaris</v>
          </cell>
          <cell r="B2986" t="str">
            <v>Offers tailored tours and Safaris, car hire, trip planning, airport transfers, professional guides and accommodation in parks</v>
          </cell>
          <cell r="C2986" t="str">
            <v>Active</v>
          </cell>
          <cell r="D2986">
            <v>2016</v>
          </cell>
          <cell r="G2986" t="str">
            <v>Uganda</v>
          </cell>
          <cell r="X2986" t="str">
            <v>Travel &amp; Leisure</v>
          </cell>
          <cell r="Y2986" t="str">
            <v>Tours &amp; Travel</v>
          </cell>
        </row>
        <row r="2987">
          <cell r="A2987" t="str">
            <v>Minute5</v>
          </cell>
          <cell r="B2987" t="str">
            <v>Minute5 is an online and offline grocery delivery service</v>
          </cell>
          <cell r="C2987" t="str">
            <v>Active</v>
          </cell>
          <cell r="D2987">
            <v>2018</v>
          </cell>
          <cell r="G2987" t="str">
            <v>Uganda</v>
          </cell>
          <cell r="X2987" t="str">
            <v>Transport &amp; Logistics</v>
          </cell>
          <cell r="Y2987" t="str">
            <v>Logistics &amp; Delivery</v>
          </cell>
        </row>
        <row r="2988">
          <cell r="A2988" t="str">
            <v>Unified Learn</v>
          </cell>
          <cell r="B2988" t="str">
            <v>Unified learn delivers online and blended programs that span across different professional choices. We focus on quality and professionalism with certified instructors and experienced professionals as we are committed to your success</v>
          </cell>
          <cell r="C2988" t="str">
            <v>Active</v>
          </cell>
          <cell r="D2988">
            <v>2016</v>
          </cell>
          <cell r="G2988" t="str">
            <v>Zambia</v>
          </cell>
          <cell r="X2988" t="str">
            <v>Education</v>
          </cell>
          <cell r="Y2988" t="str">
            <v>E-Learning</v>
          </cell>
        </row>
        <row r="2989">
          <cell r="A2989" t="str">
            <v>Mangwee Payment Systems</v>
          </cell>
          <cell r="B2989" t="str">
            <v>We provide money transfer and mobile payment services be it P2P, B2B,B2P ,bill and subscription payments.</v>
          </cell>
          <cell r="C2989" t="str">
            <v>Active</v>
          </cell>
          <cell r="D2989">
            <v>2016</v>
          </cell>
          <cell r="G2989" t="str">
            <v>Zambia</v>
          </cell>
          <cell r="X2989" t="str">
            <v>Financial Services</v>
          </cell>
          <cell r="Y2989" t="str">
            <v>Payments</v>
          </cell>
        </row>
        <row r="2990">
          <cell r="A2990" t="str">
            <v>study.co.zw</v>
          </cell>
          <cell r="B2990" t="str">
            <v>E-leraning Platform based in Zimbabwe</v>
          </cell>
          <cell r="C2990" t="str">
            <v>Active</v>
          </cell>
          <cell r="G2990" t="str">
            <v>Zimbabwe</v>
          </cell>
          <cell r="X2990" t="str">
            <v>Education</v>
          </cell>
          <cell r="Y2990" t="str">
            <v>E-Learninig</v>
          </cell>
        </row>
        <row r="2991">
          <cell r="A2991" t="str">
            <v>Magnetic Software</v>
          </cell>
          <cell r="B2991" t="str">
            <v>Online Business Management Software</v>
          </cell>
          <cell r="C2991" t="str">
            <v>Active</v>
          </cell>
          <cell r="D2991">
            <v>2012</v>
          </cell>
          <cell r="G2991" t="str">
            <v>South Africa</v>
          </cell>
        </row>
        <row r="2992">
          <cell r="A2992" t="str">
            <v>College SA</v>
          </cell>
          <cell r="B2992" t="str">
            <v>College SA offers over 200 distance learning courses.</v>
          </cell>
          <cell r="C2992" t="str">
            <v>Active</v>
          </cell>
          <cell r="D2992">
            <v>2007</v>
          </cell>
          <cell r="G2992" t="str">
            <v>South Africa</v>
          </cell>
          <cell r="X2992" t="str">
            <v>Education</v>
          </cell>
          <cell r="Y2992" t="str">
            <v>College Learning</v>
          </cell>
        </row>
        <row r="2993">
          <cell r="A2993" t="str">
            <v>Ritual Studio</v>
          </cell>
          <cell r="B2993" t="str">
            <v>Ritual Studio is a visual production studio that uses craft excellence to forge bonds with people and propel brands through storytelling and gaming.</v>
          </cell>
          <cell r="C2993" t="str">
            <v>Active</v>
          </cell>
          <cell r="D2993">
            <v>2017</v>
          </cell>
          <cell r="G2993" t="str">
            <v>South Africa</v>
          </cell>
          <cell r="X2993" t="str">
            <v>Media &amp; Entertainment</v>
          </cell>
        </row>
        <row r="2994">
          <cell r="A2994" t="str">
            <v>Zend Mobility</v>
          </cell>
          <cell r="B2994" t="str">
            <v>Zend connects delivery requests to the closest and available driver using untapped supply.</v>
          </cell>
          <cell r="C2994" t="str">
            <v>Active</v>
          </cell>
          <cell r="D2994">
            <v>2019</v>
          </cell>
          <cell r="G2994" t="str">
            <v xml:space="preserve">Nigeria </v>
          </cell>
          <cell r="X2994" t="str">
            <v>Transport &amp; Logistics</v>
          </cell>
          <cell r="Y2994" t="str">
            <v>Delivery</v>
          </cell>
        </row>
        <row r="2995">
          <cell r="A2995" t="str">
            <v>Datarica Analytics</v>
          </cell>
          <cell r="B2995" t="str">
            <v>Datarica Analytics is a business generation, leads discovery and recommendation service for small and medium scale businesses in Africa</v>
          </cell>
          <cell r="C2995" t="str">
            <v>Active</v>
          </cell>
          <cell r="D2995">
            <v>2018</v>
          </cell>
          <cell r="G2995" t="str">
            <v>Nigeria</v>
          </cell>
          <cell r="X2995" t="str">
            <v>Information Technology</v>
          </cell>
          <cell r="Y2995" t="str">
            <v>Business Analytics</v>
          </cell>
        </row>
        <row r="2996">
          <cell r="A2996" t="str">
            <v>iLearn Africa</v>
          </cell>
          <cell r="B2996" t="str">
            <v>ILEARN AFRICA is a multi-faceted online education platform that has been carefully crafted to provide our users with a blended learning experience tailored to meet each individuals unique learning styles.</v>
          </cell>
          <cell r="C2996" t="str">
            <v>Active</v>
          </cell>
          <cell r="D2996">
            <v>2016</v>
          </cell>
          <cell r="G2996" t="str">
            <v>Uganda</v>
          </cell>
          <cell r="X2996" t="str">
            <v>Education</v>
          </cell>
          <cell r="Y2996" t="str">
            <v>EdTech, E-learning</v>
          </cell>
        </row>
        <row r="2997">
          <cell r="A2997" t="str">
            <v xml:space="preserve">Africado </v>
          </cell>
          <cell r="B2997" t="str">
            <v>Africado is an avocado plantation at the foot of the Kilimanjaro in Tanzania.</v>
          </cell>
          <cell r="C2997" t="str">
            <v>Active</v>
          </cell>
          <cell r="D2997">
            <v>2007</v>
          </cell>
          <cell r="G2997" t="str">
            <v>Tanzania</v>
          </cell>
          <cell r="X2997" t="str">
            <v>Agriculture</v>
          </cell>
          <cell r="Y2997" t="str">
            <v>Agribusiness, Exports</v>
          </cell>
        </row>
        <row r="2998">
          <cell r="A2998" t="str">
            <v>Kayfo Game Studio</v>
          </cell>
          <cell r="B2998" t="str">
            <v>Kayfo Game Studio creates mobile games tailored to the African market.</v>
          </cell>
          <cell r="C2998" t="str">
            <v>Active</v>
          </cell>
          <cell r="D2998">
            <v>2018</v>
          </cell>
          <cell r="G2998" t="str">
            <v>Senegal</v>
          </cell>
          <cell r="X2998" t="str">
            <v>Media &amp; Entertainment</v>
          </cell>
          <cell r="Y2998" t="str">
            <v>Game Studio</v>
          </cell>
        </row>
        <row r="2999">
          <cell r="A2999" t="str">
            <v>PocketDoc</v>
          </cell>
          <cell r="B2999" t="str">
            <v>PocketDoc is a medical decision support tool for medical students, physicians and health professionals.</v>
          </cell>
          <cell r="C2999" t="str">
            <v>Active</v>
          </cell>
          <cell r="D2999">
            <v>2018</v>
          </cell>
          <cell r="G2999" t="str">
            <v>Morocco</v>
          </cell>
          <cell r="X2999" t="str">
            <v>Healthcare &amp; Pharma</v>
          </cell>
          <cell r="Y2999" t="str">
            <v>ehealth Services</v>
          </cell>
        </row>
        <row r="3000">
          <cell r="A3000" t="str">
            <v>Kalido</v>
          </cell>
          <cell r="B3000" t="str">
            <v>Kalido connects professionals and clients by matching users according to their goals, as well as social and geographic proximity.</v>
          </cell>
          <cell r="C3000" t="str">
            <v>Active</v>
          </cell>
          <cell r="D3000">
            <v>2014</v>
          </cell>
          <cell r="G3000" t="str">
            <v>South Africa</v>
          </cell>
          <cell r="X3000" t="str">
            <v>Commercial &amp; Professional Services</v>
          </cell>
          <cell r="Y3000" t="str">
            <v>HR Tech</v>
          </cell>
        </row>
        <row r="3001">
          <cell r="A3001" t="str">
            <v>AzarGen Biotechnologies</v>
          </cell>
          <cell r="B3001" t="str">
            <v>AzarGen Biotechnologies is a biotechnology company focused on developing human therapeutic proteins using advanced genetic engineering and synthetic biology techniques.</v>
          </cell>
          <cell r="C3001" t="str">
            <v>Active</v>
          </cell>
          <cell r="D3001">
            <v>2009</v>
          </cell>
          <cell r="G3001" t="str">
            <v>South Africa</v>
          </cell>
          <cell r="X3001" t="str">
            <v>Healthcare &amp; Pharma</v>
          </cell>
          <cell r="Y3001" t="str">
            <v>Biotechnology, Genetics</v>
          </cell>
        </row>
        <row r="3002">
          <cell r="A3002" t="str">
            <v>CenHealth</v>
          </cell>
          <cell r="B3002" t="str">
            <v>CenHealth is a health technology solutions company that specialises in providing Health and Wellness solutions such as Personal Health Records, Mobile Health Solutions, Smart Health cards and Portable Medical devices.</v>
          </cell>
          <cell r="C3002" t="str">
            <v>Active</v>
          </cell>
          <cell r="D3002">
            <v>2014</v>
          </cell>
          <cell r="G3002" t="str">
            <v>South Africa</v>
          </cell>
          <cell r="X3002" t="str">
            <v>Healthcare &amp; Pharma</v>
          </cell>
        </row>
        <row r="3003">
          <cell r="A3003" t="str">
            <v xml:space="preserve">Chaka </v>
          </cell>
          <cell r="B3003" t="str">
            <v>Chaka enables users to trade and invest in companies in over 40 countries through their phones</v>
          </cell>
          <cell r="C3003" t="str">
            <v>Active</v>
          </cell>
          <cell r="D3003">
            <v>2018</v>
          </cell>
          <cell r="G3003" t="str">
            <v>Nigeria</v>
          </cell>
          <cell r="X3003" t="str">
            <v>Financial Services</v>
          </cell>
          <cell r="Y3003" t="str">
            <v>Stock Market Trading, brokerage and securities exchanges</v>
          </cell>
        </row>
        <row r="3004">
          <cell r="A3004" t="str">
            <v>EasyEquities</v>
          </cell>
          <cell r="B3004" t="str">
            <v>EasyEquities is a platform for stock trading without minimums and platform fees.</v>
          </cell>
          <cell r="C3004" t="str">
            <v>Active</v>
          </cell>
          <cell r="D3004">
            <v>2014</v>
          </cell>
          <cell r="G3004" t="str">
            <v>South Africa</v>
          </cell>
          <cell r="X3004" t="str">
            <v>Financial Services</v>
          </cell>
          <cell r="Y3004" t="str">
            <v>Securities Investments, Stock Brokerage</v>
          </cell>
        </row>
        <row r="3005">
          <cell r="A3005" t="str">
            <v>Global Partners</v>
          </cell>
          <cell r="B3005" t="str">
            <v>Global Partners is a Benin based start-up specialised in developing and providing drone solutions for agriculture, land use planning, surveillance, and biodiversity conservation.</v>
          </cell>
          <cell r="C3005" t="str">
            <v>Active</v>
          </cell>
          <cell r="G3005" t="str">
            <v>Benin</v>
          </cell>
          <cell r="X3005" t="str">
            <v>Information Technology</v>
          </cell>
          <cell r="Y3005" t="str">
            <v>Drones, Artificial Intelligence, AgriTech</v>
          </cell>
        </row>
        <row r="3006">
          <cell r="A3006" t="str">
            <v>Healthcent</v>
          </cell>
          <cell r="B3006" t="str">
            <v>Healthcent is the publisher of Signapps, a platform allows multi-disciplinary teams to conduct conversations, share medical files and make updates easily and confidentially, from a mobile device.</v>
          </cell>
          <cell r="C3006" t="str">
            <v>Active</v>
          </cell>
          <cell r="D3006">
            <v>2007</v>
          </cell>
          <cell r="G3006" t="str">
            <v>South Africa</v>
          </cell>
          <cell r="X3006" t="str">
            <v>Information Technology</v>
          </cell>
          <cell r="Y3006" t="str">
            <v>HealthTech</v>
          </cell>
        </row>
        <row r="3007">
          <cell r="A3007" t="str">
            <v>HS- Geo Survey Limited</v>
          </cell>
          <cell r="B3007" t="str">
            <v>HS- Geo Survey use drones to provide solutions in the agriculture sector.</v>
          </cell>
          <cell r="C3007" t="str">
            <v>Active</v>
          </cell>
          <cell r="G3007" t="str">
            <v>Angola</v>
          </cell>
          <cell r="X3007" t="str">
            <v>Emerging Technologies</v>
          </cell>
          <cell r="Y3007" t="str">
            <v>Drones</v>
          </cell>
        </row>
        <row r="3008">
          <cell r="A3008" t="str">
            <v>KeshoLabs</v>
          </cell>
          <cell r="B3008" t="str">
            <v>KeshoLabs is at the forefront of blockchain innovation across Africa.</v>
          </cell>
          <cell r="C3008" t="str">
            <v>Active</v>
          </cell>
          <cell r="D3008">
            <v>2018</v>
          </cell>
          <cell r="G3008" t="str">
            <v>Kenya</v>
          </cell>
          <cell r="X3008" t="str">
            <v>Emerging Technologies</v>
          </cell>
          <cell r="Y3008" t="str">
            <v>Blockchain, Fintech</v>
          </cell>
        </row>
        <row r="3009">
          <cell r="A3009" t="str">
            <v>Kriterion</v>
          </cell>
          <cell r="B3009" t="str">
            <v>Kriterion provides real-time actionable insights to improve asset availability and performance by leveraging an organisation’s big data via its platform.</v>
          </cell>
          <cell r="C3009" t="str">
            <v>Active</v>
          </cell>
          <cell r="D3009">
            <v>2018</v>
          </cell>
          <cell r="G3009" t="str">
            <v>South Africa</v>
          </cell>
          <cell r="X3009" t="str">
            <v>Information Technology</v>
          </cell>
          <cell r="Y3009" t="str">
            <v>Big Data, Artificial Intelligence</v>
          </cell>
        </row>
        <row r="3010">
          <cell r="A3010" t="str">
            <v>MapTech</v>
          </cell>
          <cell r="B3010" t="str">
            <v>Maptech Consultants Limited is a company offering surveying and mapping solutions.</v>
          </cell>
          <cell r="C3010" t="str">
            <v>Active</v>
          </cell>
        </row>
        <row r="3011">
          <cell r="A3011" t="str">
            <v>Marini Naturals</v>
          </cell>
          <cell r="B3011" t="str">
            <v>Marini Naturals is Africa’s first full range of organic, natural hair care line targeting the African woman.</v>
          </cell>
          <cell r="C3011" t="str">
            <v>Active</v>
          </cell>
        </row>
        <row r="3012">
          <cell r="A3012" t="str">
            <v>MicroDrone Africa</v>
          </cell>
          <cell r="B3012" t="str">
            <v>MicroDrone Africa specialize in drone technology for low cost solutions in photography+film production, geospatial imaging, industrial+scientific research &amp; public safety sectors.</v>
          </cell>
          <cell r="C3012" t="str">
            <v>Active</v>
          </cell>
          <cell r="D3012">
            <v>2013</v>
          </cell>
          <cell r="G3012" t="str">
            <v>Kenya</v>
          </cell>
          <cell r="X3012" t="str">
            <v>Emerging Technologies</v>
          </cell>
          <cell r="Y3012" t="str">
            <v>DroneTEch</v>
          </cell>
        </row>
        <row r="3013">
          <cell r="A3013" t="str">
            <v>MOBIcure</v>
          </cell>
          <cell r="B3013" t="str">
            <v>MOBicure is a digital health company that provides mobile technology solutions to some of Africa's most pressing healthcare issues particularly in Reproductive, Maternal, Newborn and Child Health</v>
          </cell>
          <cell r="C3013" t="str">
            <v>Active</v>
          </cell>
          <cell r="D3013">
            <v>2015</v>
          </cell>
          <cell r="G3013" t="str">
            <v>Nigeria</v>
          </cell>
          <cell r="X3013" t="str">
            <v>Healthcare &amp; Pharma</v>
          </cell>
          <cell r="Y3013" t="str">
            <v>HealthTech</v>
          </cell>
        </row>
        <row r="3014">
          <cell r="A3014" t="str">
            <v>Raino Tech4Impact</v>
          </cell>
          <cell r="B3014" t="str">
            <v>Raino is a social enterprise that is leveraging technology as an enabler to empower African communities.</v>
          </cell>
          <cell r="C3014" t="str">
            <v>Active</v>
          </cell>
          <cell r="D3014">
            <v>2014</v>
          </cell>
          <cell r="G3014" t="str">
            <v>Kenya</v>
          </cell>
          <cell r="X3014" t="str">
            <v>Information Technology</v>
          </cell>
          <cell r="Y3014" t="str">
            <v>Agriculture</v>
          </cell>
        </row>
        <row r="3015">
          <cell r="A3015" t="str">
            <v>SkyTech Drones</v>
          </cell>
          <cell r="B3015" t="str">
            <v>SkyTech Drones is the 1st Botswana Drone company that utilizes cutting edge drone technology to capture high quality videos and pictures.</v>
          </cell>
          <cell r="C3015" t="str">
            <v>Active</v>
          </cell>
          <cell r="G3015" t="str">
            <v>Botswana</v>
          </cell>
        </row>
        <row r="3016">
          <cell r="A3016" t="str">
            <v>Solarise Africa</v>
          </cell>
          <cell r="B3016" t="str">
            <v>Solarise Africa is a pan African energy leasing company for solar PV and other energy assets focusing on Commercial and Industrial (C&amp;I) clients.</v>
          </cell>
          <cell r="C3016" t="str">
            <v>Active</v>
          </cell>
          <cell r="D3016">
            <v>2018</v>
          </cell>
          <cell r="G3016" t="str">
            <v>Kenya</v>
          </cell>
          <cell r="X3016" t="str">
            <v>Financial Services</v>
          </cell>
          <cell r="Y3016" t="str">
            <v>Credit Solutions</v>
          </cell>
        </row>
        <row r="3017">
          <cell r="A3017" t="str">
            <v>SPARK Schools</v>
          </cell>
          <cell r="B3017" t="str">
            <v>SPARK Schools is a network of independent &amp; private schools offering affordable, globally competitive education in South Africa.</v>
          </cell>
          <cell r="C3017" t="str">
            <v>Active</v>
          </cell>
          <cell r="D3017">
            <v>2012</v>
          </cell>
          <cell r="G3017" t="str">
            <v>South Africa</v>
          </cell>
          <cell r="X3017" t="str">
            <v>Education</v>
          </cell>
          <cell r="Y3017" t="str">
            <v>International School</v>
          </cell>
        </row>
        <row r="3018">
          <cell r="A3018" t="str">
            <v>Veritec Drone Services</v>
          </cell>
          <cell r="B3018" t="str">
            <v>Veritec Angola purpose is to offer services based on Drone technology</v>
          </cell>
          <cell r="C3018" t="str">
            <v>Active</v>
          </cell>
          <cell r="G3018" t="str">
            <v>Angola</v>
          </cell>
          <cell r="X3018" t="str">
            <v>Emerging Technologies</v>
          </cell>
          <cell r="Y3018" t="str">
            <v>DroneTech</v>
          </cell>
        </row>
        <row r="3019">
          <cell r="A3019" t="str">
            <v>AC Group</v>
          </cell>
          <cell r="B3019" t="str">
            <v>AC Group is a leading provider of smart and interactive IT solutions in Rwanda and Africa.</v>
          </cell>
          <cell r="C3019" t="str">
            <v>Active</v>
          </cell>
          <cell r="D3019">
            <v>2015</v>
          </cell>
          <cell r="G3019" t="str">
            <v>Rwanda</v>
          </cell>
          <cell r="X3019" t="str">
            <v>Information Technology</v>
          </cell>
          <cell r="Y3019" t="str">
            <v>Smart technologies</v>
          </cell>
        </row>
        <row r="3020">
          <cell r="A3020" t="str">
            <v>Access Afya</v>
          </cell>
          <cell r="B3020" t="str">
            <v>Access Afya is a social enterprise that is running high-quality, affordable primary healthcare in Nairobi's informal settlements.</v>
          </cell>
          <cell r="C3020" t="str">
            <v>Active</v>
          </cell>
          <cell r="D3020">
            <v>2012</v>
          </cell>
          <cell r="G3020" t="str">
            <v>Kenya</v>
          </cell>
          <cell r="X3020" t="str">
            <v>Healthcare &amp; Pharma</v>
          </cell>
          <cell r="Y3020" t="str">
            <v>Primary Healthcare, Micro-clinics, Pharmacies, Mobile health</v>
          </cell>
        </row>
        <row r="3021">
          <cell r="A3021" t="str">
            <v>Africado</v>
          </cell>
          <cell r="B3021" t="str">
            <v>Africado is an avocado plantation at the foot of the Kilimanjaro in Tanzania.</v>
          </cell>
          <cell r="C3021" t="str">
            <v>Active</v>
          </cell>
          <cell r="D3021">
            <v>2007</v>
          </cell>
          <cell r="G3021" t="str">
            <v>Tanzania</v>
          </cell>
          <cell r="X3021" t="str">
            <v>Agriculture</v>
          </cell>
          <cell r="Y3021" t="str">
            <v>Agribusiness</v>
          </cell>
        </row>
        <row r="3022">
          <cell r="A3022" t="str">
            <v>AllLife</v>
          </cell>
          <cell r="B3022" t="str">
            <v>AllLife designs, distributes and administers affordable life insurance products for individuals living with HIV or Type 1 or Type 2 diabetes mellitus who commit to following an appropriate health monitoring and treatment program.</v>
          </cell>
          <cell r="C3022" t="str">
            <v>Active</v>
          </cell>
          <cell r="D3022">
            <v>2004</v>
          </cell>
          <cell r="G3022" t="str">
            <v>South Africa</v>
          </cell>
          <cell r="X3022" t="str">
            <v>Financial Services</v>
          </cell>
          <cell r="Y3022" t="str">
            <v>Insurance, InsurTech</v>
          </cell>
        </row>
        <row r="3023">
          <cell r="A3023" t="str">
            <v>Aviro</v>
          </cell>
          <cell r="B3023" t="str">
            <v>Aviro is a design-focused health company looking to improve the experience of healthcare.</v>
          </cell>
          <cell r="C3023" t="str">
            <v>Active</v>
          </cell>
          <cell r="D3023">
            <v>2012</v>
          </cell>
          <cell r="G3023" t="str">
            <v>South Africa</v>
          </cell>
          <cell r="X3023" t="str">
            <v>Healthcare &amp; Pharma</v>
          </cell>
        </row>
        <row r="3024">
          <cell r="A3024" t="str">
            <v>Care Champ</v>
          </cell>
          <cell r="B3024" t="str">
            <v>CareChamp is a homecared focused nursing agency.</v>
          </cell>
          <cell r="C3024" t="str">
            <v>Active</v>
          </cell>
          <cell r="D3024">
            <v>2016</v>
          </cell>
          <cell r="G3024" t="str">
            <v>South Africa</v>
          </cell>
          <cell r="X3024" t="str">
            <v>Healthcare &amp; Pharma</v>
          </cell>
        </row>
        <row r="3025">
          <cell r="A3025" t="str">
            <v>Chitosan</v>
          </cell>
          <cell r="B3025" t="str">
            <v>Chitosan Egypt is a bio-tech startup turnning shrimp shells into high quality agricultural fertiliser, and Chitosan.</v>
          </cell>
          <cell r="C3025" t="str">
            <v>Active</v>
          </cell>
          <cell r="D3025">
            <v>2015</v>
          </cell>
          <cell r="G3025" t="str">
            <v>Egypt</v>
          </cell>
          <cell r="X3025" t="str">
            <v>Agriculture</v>
          </cell>
        </row>
        <row r="3026">
          <cell r="A3026" t="str">
            <v>Crop Nutrition Laboratory Services (Cropnuts)</v>
          </cell>
          <cell r="B3026" t="str">
            <v>Cropnuts is a leading independent, fully integrated, ISO 17025 accredited agricultural laboratory and agronomy services company in East Africa.</v>
          </cell>
          <cell r="C3026" t="str">
            <v>Active</v>
          </cell>
          <cell r="D3026">
            <v>1998</v>
          </cell>
          <cell r="G3026" t="str">
            <v>Kenya</v>
          </cell>
          <cell r="X3026" t="str">
            <v>Agriculture</v>
          </cell>
          <cell r="Y3026" t="str">
            <v>Soil testing, Agronomy Services, Crop Trials, Water testing, Environmental services, Laboratory Services</v>
          </cell>
        </row>
        <row r="3027">
          <cell r="A3027" t="str">
            <v>Dubci</v>
          </cell>
          <cell r="B3027" t="str">
            <v>Dubci is a ride-hailing app in Egypt with an offering of cars, bikes, boats.</v>
          </cell>
          <cell r="C3027" t="str">
            <v>Active</v>
          </cell>
          <cell r="D3027">
            <v>2019</v>
          </cell>
          <cell r="G3027" t="str">
            <v>Egypt</v>
          </cell>
        </row>
        <row r="3028">
          <cell r="A3028" t="str">
            <v>Enko Education</v>
          </cell>
          <cell r="B3028" t="str">
            <v>Enko Education is an Africa-wide network of international secondary schools in Africa that offers launchpad to world's best universities.</v>
          </cell>
          <cell r="C3028" t="str">
            <v>Active</v>
          </cell>
          <cell r="D3028">
            <v>2013</v>
          </cell>
          <cell r="G3028" t="str">
            <v>South Africa</v>
          </cell>
          <cell r="X3028" t="str">
            <v>Education</v>
          </cell>
        </row>
        <row r="3029">
          <cell r="A3029" t="str">
            <v>Instrat Global Health Solutions</v>
          </cell>
          <cell r="B3029" t="str">
            <v>InStrat Global Health Solutions leverages appropriate technologies to facilitate improved healthcare delivery in Nigeria.</v>
          </cell>
          <cell r="C3029" t="str">
            <v>Active</v>
          </cell>
          <cell r="D3029">
            <v>2010</v>
          </cell>
          <cell r="G3029" t="str">
            <v>Nigeria</v>
          </cell>
          <cell r="X3029" t="str">
            <v>Healthcare &amp; Pharma</v>
          </cell>
          <cell r="Y3029" t="str">
            <v>mHealth Services</v>
          </cell>
        </row>
        <row r="3030">
          <cell r="A3030" t="str">
            <v>InTouch</v>
          </cell>
          <cell r="B3030" t="str">
            <v>InTouch Group aggregates all mobile payment solutions available on the market and digitalservices.</v>
          </cell>
          <cell r="C3030" t="str">
            <v>Active</v>
          </cell>
          <cell r="D3030">
            <v>2014</v>
          </cell>
          <cell r="G3030" t="str">
            <v>Senegal</v>
          </cell>
          <cell r="X3030" t="str">
            <v>Financial Services</v>
          </cell>
          <cell r="Y3030" t="str">
            <v>Fintech, Payments</v>
          </cell>
        </row>
        <row r="3031">
          <cell r="A3031" t="str">
            <v>MedX eHealth Centre</v>
          </cell>
          <cell r="B3031" t="str">
            <v>MedX Health Center provides remote access to health care for people in emerging countries.</v>
          </cell>
          <cell r="C3031" t="str">
            <v>Active</v>
          </cell>
          <cell r="D3031">
            <v>2015</v>
          </cell>
          <cell r="G3031" t="str">
            <v>Netherlands</v>
          </cell>
          <cell r="X3031" t="str">
            <v>Healthcare &amp; Pharma</v>
          </cell>
        </row>
        <row r="3032">
          <cell r="A3032" t="str">
            <v>OculusID</v>
          </cell>
          <cell r="B3032" t="str">
            <v>OculusID is a South African based company that specialises in the development of biometric solutions with impairment detection through the application of non-invasive, hygienic and cost-effective innovations by promoting a safe environment.</v>
          </cell>
          <cell r="C3032" t="str">
            <v>Active</v>
          </cell>
          <cell r="D3032">
            <v>2013</v>
          </cell>
          <cell r="G3032" t="str">
            <v>South Africa</v>
          </cell>
          <cell r="X3032" t="str">
            <v>Healthcare &amp; Pharma</v>
          </cell>
        </row>
        <row r="3033">
          <cell r="A3033" t="str">
            <v>Ride</v>
          </cell>
          <cell r="B3033" t="str">
            <v>RIDE Taxi hailing and booking platform with call center dispatch operating in Addis Ababa.</v>
          </cell>
          <cell r="C3033" t="str">
            <v>Active</v>
          </cell>
          <cell r="D3033">
            <v>2014</v>
          </cell>
          <cell r="G3033" t="str">
            <v>Ethiopia</v>
          </cell>
          <cell r="X3033" t="str">
            <v>Transport &amp; Logistics</v>
          </cell>
          <cell r="Y3033" t="str">
            <v>Ride Hailing, Taxi</v>
          </cell>
        </row>
        <row r="3034">
          <cell r="A3034" t="str">
            <v>ROK Film Studios</v>
          </cell>
          <cell r="B3034" t="str">
            <v>Film Studio arm of iRokoTV.</v>
          </cell>
          <cell r="C3034" t="str">
            <v>Acquired</v>
          </cell>
          <cell r="D3034">
            <v>2013</v>
          </cell>
          <cell r="G3034" t="str">
            <v>Nigeria</v>
          </cell>
          <cell r="X3034" t="str">
            <v>Media &amp; Entertainment</v>
          </cell>
          <cell r="Y3034" t="str">
            <v>Video Productions</v>
          </cell>
        </row>
        <row r="3035">
          <cell r="A3035" t="str">
            <v>Savannah Brands</v>
          </cell>
          <cell r="B3035" t="str">
            <v>Savannah Brands creates authentic food and beverage products that embody Africa's restlessly independent spirit.</v>
          </cell>
          <cell r="C3035" t="str">
            <v>Active</v>
          </cell>
          <cell r="D3035">
            <v>2017</v>
          </cell>
          <cell r="G3035" t="str">
            <v>Kenya</v>
          </cell>
          <cell r="X3035" t="str">
            <v>E-Commerce &amp; Retail</v>
          </cell>
          <cell r="Y3035" t="str">
            <v>Food and Beverages</v>
          </cell>
        </row>
        <row r="3036">
          <cell r="A3036" t="str">
            <v>Shuttlers</v>
          </cell>
          <cell r="B3036" t="str">
            <v>Shuttlers is a multi-staff bus company set up to assist professionals in the Lagos metropolis and it aims to resolve the daily challenges of commuting to work</v>
          </cell>
          <cell r="C3036" t="str">
            <v>Active</v>
          </cell>
          <cell r="D3036">
            <v>2017</v>
          </cell>
          <cell r="G3036" t="str">
            <v>Nigeria</v>
          </cell>
          <cell r="X3036" t="str">
            <v>Transport &amp; Logistics</v>
          </cell>
          <cell r="Y3036" t="str">
            <v>Smart Transport</v>
          </cell>
        </row>
        <row r="3037">
          <cell r="A3037" t="str">
            <v>Space In Africa</v>
          </cell>
          <cell r="B3037" t="str">
            <v>The Authority on News, Data and Market Analysis for the African Space Industry</v>
          </cell>
          <cell r="C3037" t="str">
            <v>Active</v>
          </cell>
          <cell r="D3037">
            <v>2018</v>
          </cell>
          <cell r="G3037" t="str">
            <v>Nigeria</v>
          </cell>
          <cell r="X3037" t="str">
            <v>Information Technology</v>
          </cell>
        </row>
        <row r="3038">
          <cell r="A3038" t="str">
            <v>The Rosehip Company</v>
          </cell>
          <cell r="B3038" t="str">
            <v>The Rosehip Company sources and processes Rosa Canina (Rosehip) to produce both Rosehip tea and Rosehip oil from the Rosehip shell and seed, respectively</v>
          </cell>
          <cell r="C3038" t="str">
            <v>Active</v>
          </cell>
          <cell r="D3038">
            <v>2006</v>
          </cell>
          <cell r="G3038" t="str">
            <v>Lesotho</v>
          </cell>
          <cell r="X3038" t="str">
            <v>Agriculture</v>
          </cell>
          <cell r="Y3038" t="str">
            <v>Agribusiness</v>
          </cell>
        </row>
        <row r="3039">
          <cell r="A3039" t="str">
            <v>Trendster.io</v>
          </cell>
          <cell r="B3039" t="str">
            <v>Trendster.io is an online platform in Egypt facilitating influencer marketing by bringing Influencers and business closer.</v>
          </cell>
          <cell r="C3039" t="str">
            <v>Active</v>
          </cell>
          <cell r="D3039">
            <v>2019</v>
          </cell>
          <cell r="G3039" t="str">
            <v>Egypt</v>
          </cell>
          <cell r="X3039" t="str">
            <v>Information Technology</v>
          </cell>
          <cell r="Y3039" t="str">
            <v>Influencer Marketing</v>
          </cell>
        </row>
        <row r="3040">
          <cell r="A3040" t="str">
            <v>ClevR</v>
          </cell>
          <cell r="B3040" t="str">
            <v>ClevR is an online platform that wants to steer Students clear of debt.</v>
          </cell>
          <cell r="C3040" t="str">
            <v>Active</v>
          </cell>
          <cell r="D3040">
            <v>2016</v>
          </cell>
          <cell r="G3040" t="str">
            <v>South Africa</v>
          </cell>
          <cell r="X3040" t="str">
            <v>Education</v>
          </cell>
          <cell r="Y3040" t="str">
            <v>Ed-Tech, Financial Literacy</v>
          </cell>
        </row>
        <row r="3041">
          <cell r="A3041" t="str">
            <v>Dopay</v>
          </cell>
          <cell r="B3041" t="str">
            <v>Dopay provides a cloud-based payroll service that allows employers to calculate salaries and make payments electronically.</v>
          </cell>
          <cell r="C3041" t="str">
            <v>Active</v>
          </cell>
          <cell r="D3041">
            <v>2014</v>
          </cell>
          <cell r="G3041" t="str">
            <v>England</v>
          </cell>
          <cell r="X3041" t="str">
            <v>Financial Services</v>
          </cell>
          <cell r="Y3041" t="str">
            <v>FinTech, Payments</v>
          </cell>
        </row>
        <row r="3042">
          <cell r="A3042" t="str">
            <v>PaySky</v>
          </cell>
          <cell r="B3042" t="str">
            <v>PaySky is the next-generation Payment Solutions Provider (PSP), offering a broad range of payment solutions to financial institutions, merchants, enterprises &amp; consumers world-wide.</v>
          </cell>
          <cell r="C3042" t="str">
            <v>Active</v>
          </cell>
          <cell r="D3042">
            <v>2017</v>
          </cell>
          <cell r="G3042" t="str">
            <v>United Arab Emirates</v>
          </cell>
          <cell r="X3042" t="str">
            <v>Financial Services</v>
          </cell>
          <cell r="Y3042" t="str">
            <v>FinTech, Payments</v>
          </cell>
        </row>
        <row r="3043">
          <cell r="A3043" t="str">
            <v>Mobii Systems</v>
          </cell>
          <cell r="B3043" t="str">
            <v>Mobii Syatems is developing bespoke hardware &amp; software solutions for the sports industry</v>
          </cell>
          <cell r="C3043" t="str">
            <v>Active</v>
          </cell>
          <cell r="D3043">
            <v>2008</v>
          </cell>
          <cell r="G3043" t="str">
            <v>South Africa</v>
          </cell>
          <cell r="X3043" t="str">
            <v>Information Technology</v>
          </cell>
          <cell r="Y3043" t="str">
            <v>Sports Tech</v>
          </cell>
        </row>
        <row r="3044">
          <cell r="A3044" t="str">
            <v>Wion Motors Limited</v>
          </cell>
          <cell r="B3044" t="str">
            <v>Wion Motors is an East African auto Company incorporated in Uganda dealing in auto-repairs and car sales alongside providing socio-economic transformation to the local communities (Youth nad Women)</v>
          </cell>
          <cell r="C3044" t="str">
            <v>Active</v>
          </cell>
          <cell r="D3044">
            <v>2014</v>
          </cell>
          <cell r="G3044" t="str">
            <v>Uganda</v>
          </cell>
          <cell r="X3044" t="str">
            <v>Automotive</v>
          </cell>
          <cell r="Y3044" t="str">
            <v>Specialised car repairs</v>
          </cell>
        </row>
        <row r="3045">
          <cell r="A3045" t="str">
            <v>Wena Hardware</v>
          </cell>
          <cell r="B3045" t="str">
            <v>Wena Hardware is an online marketplace for construction materials.</v>
          </cell>
          <cell r="C3045" t="str">
            <v>Active</v>
          </cell>
          <cell r="D3045">
            <v>2018</v>
          </cell>
          <cell r="G3045" t="str">
            <v>Uganda</v>
          </cell>
          <cell r="X3045" t="str">
            <v>E-Commerce &amp; Retail</v>
          </cell>
          <cell r="Y3045" t="str">
            <v>Construction materials</v>
          </cell>
        </row>
        <row r="3046">
          <cell r="A3046" t="str">
            <v>Altec MMXIV</v>
          </cell>
          <cell r="B3046" t="str">
            <v>ALTEC's services range from engineering, feasibility studies, logistics support and training of engineers, project managers and related professionals, to develop and support engineering, transportation systems and experiments</v>
          </cell>
          <cell r="C3046" t="str">
            <v>Active</v>
          </cell>
          <cell r="D3046">
            <v>2014</v>
          </cell>
          <cell r="G3046" t="str">
            <v>Uganda</v>
          </cell>
          <cell r="X3046" t="str">
            <v>Commercial &amp; Professional Services</v>
          </cell>
          <cell r="Y3046" t="str">
            <v>Engineering, Research</v>
          </cell>
        </row>
        <row r="3047">
          <cell r="A3047" t="str">
            <v>Umba</v>
          </cell>
          <cell r="B3047" t="str">
            <v>Umba creates platforms for the underserved to optimize risk exposures, improve financial performance, increase profits, and accelerate growth.</v>
          </cell>
          <cell r="C3047" t="str">
            <v>Active</v>
          </cell>
          <cell r="D3047">
            <v>2017</v>
          </cell>
          <cell r="G3047" t="str">
            <v>Kenya</v>
          </cell>
          <cell r="X3047" t="str">
            <v>Financial Services</v>
          </cell>
          <cell r="Y3047" t="str">
            <v>FinTech, Loans</v>
          </cell>
        </row>
        <row r="3048">
          <cell r="A3048" t="str">
            <v>WaziData</v>
          </cell>
          <cell r="B3048" t="str">
            <v>WaziData aims to help in Internantional development by bridging the digital divide and providing equitable access to technologies by applying design thinking concepts and methodologies.</v>
          </cell>
          <cell r="C3048" t="str">
            <v>Active</v>
          </cell>
          <cell r="D3048">
            <v>2017</v>
          </cell>
          <cell r="G3048" t="str">
            <v>Kenya</v>
          </cell>
          <cell r="X3048" t="str">
            <v>Commercial &amp; Professional Services</v>
          </cell>
          <cell r="Y3048" t="str">
            <v>Design Thinking</v>
          </cell>
        </row>
        <row r="3049">
          <cell r="A3049" t="str">
            <v>Recours Four Kenya</v>
          </cell>
          <cell r="B3049" t="str">
            <v>Recours Four Kenya is a leading recruiting, headhunting and training firms in Africa, currently ranked among the best Recruitment, Payroll &amp; Training consultancy firms in Africa that consistently uses innovative approaches to curb youth unemployment, progress careers and improve Organizational staff development.</v>
          </cell>
          <cell r="C3049" t="str">
            <v>Active</v>
          </cell>
          <cell r="D3049">
            <v>2012</v>
          </cell>
          <cell r="G3049" t="str">
            <v xml:space="preserve">Kenya </v>
          </cell>
          <cell r="X3049" t="str">
            <v>Commercial &amp; Professional Services</v>
          </cell>
          <cell r="Y3049" t="str">
            <v>HR Consultancy, Jobs</v>
          </cell>
        </row>
        <row r="3050">
          <cell r="A3050" t="str">
            <v>BrightGreen Renewable Energy</v>
          </cell>
          <cell r="B3050" t="str">
            <v>BrightGreen designs, produces and distributes carbonized and non-carbonized heating briquettes using recycled organic waste collected from different areas in Kenya.</v>
          </cell>
          <cell r="C3050" t="str">
            <v>Active</v>
          </cell>
          <cell r="D3050">
            <v>2015</v>
          </cell>
          <cell r="G3050" t="str">
            <v>Kenya</v>
          </cell>
          <cell r="X3050" t="str">
            <v>Energy &amp; Environment Resources</v>
          </cell>
          <cell r="Y3050" t="str">
            <v>Green energy</v>
          </cell>
        </row>
        <row r="3051">
          <cell r="A3051" t="str">
            <v>Koola Water</v>
          </cell>
          <cell r="B3051" t="str">
            <v>Koola Water manufactures, distributes pure drinking water in Kenya.</v>
          </cell>
          <cell r="C3051" t="str">
            <v>Active</v>
          </cell>
          <cell r="D3051">
            <v>2014</v>
          </cell>
          <cell r="G3051" t="str">
            <v>Kenya</v>
          </cell>
          <cell r="X3051" t="str">
            <v>Foods &amp; Beverages</v>
          </cell>
          <cell r="Y3051" t="str">
            <v>Pure Drinking Water</v>
          </cell>
        </row>
        <row r="3052">
          <cell r="A3052" t="str">
            <v>Beiless Group</v>
          </cell>
          <cell r="B3052" t="str">
            <v>Beiless Group is a digital storytelling and marketing company that integrates mobile advertising into your business by finding valuable customers and creating digital experiences for brands across all platforms.</v>
          </cell>
          <cell r="C3052" t="str">
            <v>Active</v>
          </cell>
          <cell r="D3052">
            <v>2015</v>
          </cell>
          <cell r="G3052" t="str">
            <v>Kenya</v>
          </cell>
          <cell r="X3052" t="str">
            <v>Media &amp; Entertainment</v>
          </cell>
          <cell r="Y3052" t="str">
            <v>Marketing &amp; Advertising</v>
          </cell>
        </row>
        <row r="3053">
          <cell r="A3053" t="str">
            <v>Glass House PR</v>
          </cell>
          <cell r="B3053" t="str">
            <v>We provide the expertise, industry experience and the network needed to effectively manage today's corporate reputations.</v>
          </cell>
          <cell r="C3053" t="str">
            <v>Active</v>
          </cell>
          <cell r="D3053">
            <v>2012</v>
          </cell>
          <cell r="G3053" t="str">
            <v xml:space="preserve">Kenya </v>
          </cell>
          <cell r="X3053" t="str">
            <v>Commercial &amp; Professional Services</v>
          </cell>
          <cell r="Y3053" t="str">
            <v>Communications, Brand Management</v>
          </cell>
        </row>
        <row r="3054">
          <cell r="A3054" t="str">
            <v>Agrix Tech</v>
          </cell>
          <cell r="B3054" t="str">
            <v>Agrix Tech is pioneering an AI-based technology that helps detects plant diseases and offers both chemical and physical treatment as well as prevention measures.</v>
          </cell>
          <cell r="C3054" t="str">
            <v>Active</v>
          </cell>
          <cell r="D3054">
            <v>2018</v>
          </cell>
          <cell r="G3054" t="str">
            <v>Cameroon</v>
          </cell>
          <cell r="X3054" t="str">
            <v>Agriculture</v>
          </cell>
          <cell r="Y3054" t="str">
            <v>AgriTech</v>
          </cell>
        </row>
        <row r="3055">
          <cell r="A3055" t="str">
            <v>UhuruLabs</v>
          </cell>
          <cell r="B3055" t="str">
            <v>Uhurulabs is future technologies company based in Dar Es Salaam</v>
          </cell>
          <cell r="C3055" t="str">
            <v>Active</v>
          </cell>
          <cell r="D3055">
            <v>2015</v>
          </cell>
          <cell r="G3055" t="str">
            <v>Tanzania</v>
          </cell>
          <cell r="X3055" t="str">
            <v>Emerging Technologies</v>
          </cell>
          <cell r="Y3055" t="str">
            <v>DroneTech, IoT</v>
          </cell>
        </row>
        <row r="3056">
          <cell r="A3056" t="str">
            <v>Agrinfo</v>
          </cell>
          <cell r="B3056" t="str">
            <v>Afrinfo is providing solutions to the Agriculture sector through the use of drone technology and IoT.</v>
          </cell>
          <cell r="C3056" t="str">
            <v>Active</v>
          </cell>
          <cell r="D3056">
            <v>2016</v>
          </cell>
          <cell r="G3056" t="str">
            <v>Tanzania</v>
          </cell>
          <cell r="X3056" t="str">
            <v>Agriculture</v>
          </cell>
          <cell r="Y3056" t="str">
            <v>AgriTech, DroneTEch, IoT</v>
          </cell>
        </row>
        <row r="3057">
          <cell r="A3057" t="str">
            <v>GEM Industrial Solutions</v>
          </cell>
          <cell r="B3057" t="str">
            <v>GEM is a commercial UAS start-up serving Ghana's Agriculture sector</v>
          </cell>
          <cell r="C3057" t="str">
            <v>Active</v>
          </cell>
          <cell r="D3057">
            <v>2017</v>
          </cell>
          <cell r="G3057" t="str">
            <v>Ghana</v>
          </cell>
          <cell r="X3057" t="str">
            <v>Emerging Technologies</v>
          </cell>
          <cell r="Y3057" t="str">
            <v>DroneTech</v>
          </cell>
        </row>
        <row r="3058">
          <cell r="A3058" t="str">
            <v>Charis Unmanned Aerial Solutions</v>
          </cell>
          <cell r="B3058" t="str">
            <v>Charis UAS is a first ever licensed UAV company in Rwanda.</v>
          </cell>
          <cell r="C3058" t="str">
            <v>Active</v>
          </cell>
          <cell r="D3058">
            <v>2014</v>
          </cell>
          <cell r="G3058" t="str">
            <v>Rwanda</v>
          </cell>
          <cell r="X3058" t="str">
            <v>Emerging Technologies</v>
          </cell>
          <cell r="Y3058" t="str">
            <v>DroneTech</v>
          </cell>
        </row>
        <row r="3059">
          <cell r="A3059" t="str">
            <v>Imagens Aereas de Angola</v>
          </cell>
          <cell r="B3059" t="str">
            <v>Imagens Aéreas Angola is an Angolan company specialized in capturing aerial images using small UAV.</v>
          </cell>
          <cell r="C3059" t="str">
            <v>Active</v>
          </cell>
          <cell r="D3059">
            <v>2014</v>
          </cell>
          <cell r="G3059" t="str">
            <v>Angola</v>
          </cell>
          <cell r="X3059" t="str">
            <v>Emerging Technologies</v>
          </cell>
          <cell r="Y3059" t="str">
            <v>Drones</v>
          </cell>
        </row>
        <row r="3060">
          <cell r="A3060" t="str">
            <v>Drone Africa Service</v>
          </cell>
          <cell r="B3060" t="str">
            <v>Drone Africa Service designs civil drones that have the capacity to operate across the Sahel region and withstand harsh weather conditions.</v>
          </cell>
          <cell r="C3060" t="str">
            <v>Active</v>
          </cell>
          <cell r="D3060">
            <v>2017</v>
          </cell>
          <cell r="G3060" t="str">
            <v>Niger</v>
          </cell>
          <cell r="X3060" t="str">
            <v>Emerging Technologies</v>
          </cell>
          <cell r="Y3060" t="str">
            <v>Drones</v>
          </cell>
        </row>
        <row r="3061">
          <cell r="A3061" t="str">
            <v>BeBlocky</v>
          </cell>
          <cell r="B3061" t="str">
            <v>BeBlocky is a gamified learning app that sets out to teach children the basics of computer science in a fun and interactive way.</v>
          </cell>
          <cell r="C3061" t="str">
            <v>Active</v>
          </cell>
          <cell r="D3061">
            <v>2017</v>
          </cell>
          <cell r="G3061" t="str">
            <v>Ethiopia</v>
          </cell>
          <cell r="X3061" t="str">
            <v>Education</v>
          </cell>
          <cell r="Y3061" t="str">
            <v>EdTech</v>
          </cell>
        </row>
        <row r="3062">
          <cell r="A3062" t="str">
            <v>Pennysmart</v>
          </cell>
          <cell r="B3062" t="str">
            <v>Pennysmart is bringing smart financial and wealth management services to Africans, regardless of their net worth.</v>
          </cell>
          <cell r="C3062" t="str">
            <v>Active</v>
          </cell>
          <cell r="D3062">
            <v>2018</v>
          </cell>
          <cell r="G3062" t="str">
            <v>Ghana</v>
          </cell>
          <cell r="X3062" t="str">
            <v>Financial Services</v>
          </cell>
          <cell r="Y3062" t="str">
            <v>Savings, FinTech</v>
          </cell>
        </row>
        <row r="3063">
          <cell r="A3063" t="str">
            <v>GladePay</v>
          </cell>
          <cell r="B3063" t="str">
            <v>GladePay provides payment and financial technology infrastructures that make it easier to build and scale internet businesses.</v>
          </cell>
          <cell r="C3063" t="str">
            <v>Active</v>
          </cell>
          <cell r="D3063">
            <v>2019</v>
          </cell>
          <cell r="G3063" t="str">
            <v>Nigeria</v>
          </cell>
          <cell r="X3063" t="str">
            <v>Financial Services</v>
          </cell>
          <cell r="Y3063" t="str">
            <v>Payments, FinTech</v>
          </cell>
        </row>
        <row r="3064">
          <cell r="A3064" t="str">
            <v>GONA</v>
          </cell>
          <cell r="B3064" t="str">
            <v>GONA is a leading provider of mobile payments, offering scalable mobile payments solutions for merchants</v>
          </cell>
          <cell r="C3064" t="str">
            <v>Active</v>
          </cell>
          <cell r="D3064">
            <v>2018</v>
          </cell>
          <cell r="G3064" t="str">
            <v>Nigeria</v>
          </cell>
          <cell r="X3064" t="str">
            <v>Financial Services</v>
          </cell>
          <cell r="Y3064" t="str">
            <v>Payments, FinTech</v>
          </cell>
        </row>
        <row r="3065">
          <cell r="A3065" t="str">
            <v>RubiHealth</v>
          </cell>
          <cell r="B3065" t="str">
            <v>RubiHealth provides integrated telepsychiatry, telemental health, &amp; psychiatry services to healthcare entities.</v>
          </cell>
          <cell r="C3065" t="str">
            <v>Active</v>
          </cell>
          <cell r="D3065">
            <v>2017</v>
          </cell>
          <cell r="G3065" t="str">
            <v>Nigeria</v>
          </cell>
          <cell r="X3065" t="str">
            <v>Healthcare &amp; Pharma</v>
          </cell>
          <cell r="Y3065" t="str">
            <v>EHealth, Tele-health</v>
          </cell>
        </row>
        <row r="3066">
          <cell r="A3066" t="str">
            <v>Developers In Vogue</v>
          </cell>
          <cell r="B3066" t="str">
            <v>Developers in Vogue aims at creating a relevant community of amazing African women who are passionate about using technology to revolutionize Africa and beyond.</v>
          </cell>
          <cell r="C3066" t="str">
            <v>Active</v>
          </cell>
          <cell r="D3066">
            <v>2017</v>
          </cell>
          <cell r="G3066" t="str">
            <v>Ghana</v>
          </cell>
          <cell r="X3066" t="str">
            <v>Education</v>
          </cell>
          <cell r="Y3066" t="str">
            <v>Peer-to-peer Learning</v>
          </cell>
        </row>
        <row r="3067">
          <cell r="A3067" t="str">
            <v>IlaraHealth</v>
          </cell>
          <cell r="B3067" t="str">
            <v>Ilara Health makes common diagnostics affordable and accessible to the 500M people in Africa who today struggle to access a simple blood test.</v>
          </cell>
          <cell r="C3067" t="str">
            <v>Active</v>
          </cell>
          <cell r="D3067">
            <v>2018</v>
          </cell>
          <cell r="G3067" t="str">
            <v>Kenya</v>
          </cell>
          <cell r="X3067" t="str">
            <v>Healthcare &amp; Pharma</v>
          </cell>
          <cell r="Y3067" t="str">
            <v>Diagnostics</v>
          </cell>
        </row>
        <row r="3068">
          <cell r="A3068" t="str">
            <v>Wealth Migrate</v>
          </cell>
          <cell r="B3068" t="str">
            <v>Wealth Migrate is a leading Fintech real estate investment platform established in 2010. It offers real estate investments on its online marketplace through crowdfunding.</v>
          </cell>
          <cell r="C3068" t="str">
            <v>Active</v>
          </cell>
          <cell r="D3068">
            <v>2010</v>
          </cell>
          <cell r="G3068" t="str">
            <v>United Kingdom</v>
          </cell>
          <cell r="X3068" t="str">
            <v>Financial Services</v>
          </cell>
          <cell r="Y3068" t="str">
            <v>Real Estate Investments</v>
          </cell>
        </row>
        <row r="3069">
          <cell r="A3069" t="str">
            <v>TechAdvance</v>
          </cell>
          <cell r="B3069" t="str">
            <v>TechAdvance is a payment application development company with a strategic focus in developing and deploying niche payment companies to serve the needs of large public and private sector organizations in Nigeria.</v>
          </cell>
          <cell r="C3069" t="str">
            <v>Active</v>
          </cell>
          <cell r="D3069">
            <v>2014</v>
          </cell>
          <cell r="G3069" t="str">
            <v>Nigeria</v>
          </cell>
          <cell r="X3069" t="str">
            <v>Financial Services</v>
          </cell>
          <cell r="Y3069" t="str">
            <v>Payments, FinTech</v>
          </cell>
        </row>
        <row r="3070">
          <cell r="A3070" t="str">
            <v>Codes Consult</v>
          </cell>
          <cell r="B3070" t="str">
            <v>Codes Consult provides tailor made digital solutions for companies across East Africa. Our mission is to help micro, small and medium enterprises successfully manage and grow their business using the latest in digital technologies.</v>
          </cell>
          <cell r="C3070" t="str">
            <v>Active</v>
          </cell>
          <cell r="D3070">
            <v>2014</v>
          </cell>
          <cell r="G3070" t="str">
            <v>Tanzania</v>
          </cell>
          <cell r="X3070" t="str">
            <v>Information Technology</v>
          </cell>
          <cell r="Y3070" t="str">
            <v>Digital Services</v>
          </cell>
        </row>
        <row r="3071">
          <cell r="A3071" t="str">
            <v>Twekobe Technologies</v>
          </cell>
          <cell r="B3071" t="str">
            <v>Twekobe Technologies, LLC operating as twekobe.com is an online real estate marketplace that links agents/agencies/developers with property seekers.</v>
          </cell>
          <cell r="C3071" t="str">
            <v>Active</v>
          </cell>
          <cell r="D3071">
            <v>2019</v>
          </cell>
          <cell r="G3071" t="str">
            <v>Uganda</v>
          </cell>
          <cell r="X3071" t="str">
            <v>Real Estate</v>
          </cell>
          <cell r="Y3071" t="str">
            <v>Marketplace</v>
          </cell>
        </row>
        <row r="3072">
          <cell r="A3072" t="str">
            <v>SiriusLabs</v>
          </cell>
          <cell r="B3072" t="str">
            <v>Siriuslabs is a digital product incubator/studio/hub that helps businesses go from zero to one. Helping them create the future.</v>
          </cell>
          <cell r="C3072" t="str">
            <v>Active</v>
          </cell>
          <cell r="D3072">
            <v>2019</v>
          </cell>
          <cell r="G3072" t="str">
            <v>United States</v>
          </cell>
          <cell r="X3072" t="str">
            <v>Information Technology</v>
          </cell>
          <cell r="Y3072" t="str">
            <v>Digital Services</v>
          </cell>
        </row>
        <row r="3073">
          <cell r="A3073" t="str">
            <v>Kudoti</v>
          </cell>
          <cell r="B3073" t="str">
            <v>Kudoti develops and implements technology solutions for the waste management and recycling industries. Our products enable our clients to improve their operational efficiency and reduce their costs.</v>
          </cell>
          <cell r="C3073" t="str">
            <v>Active</v>
          </cell>
          <cell r="D3073">
            <v>2019</v>
          </cell>
          <cell r="G3073" t="str">
            <v>South Africa</v>
          </cell>
          <cell r="X3073" t="str">
            <v>Energy &amp; Environment Resources</v>
          </cell>
          <cell r="Y3073" t="str">
            <v>Software</v>
          </cell>
        </row>
        <row r="3074">
          <cell r="A3074" t="str">
            <v>Wagon Shopping</v>
          </cell>
          <cell r="B3074" t="str">
            <v>Wagon Shopping is an on demand e-commerce website whose aim is to provide Kenyan's with a convenient shopping experience, whilst enabling wholesalers and retailers reach customers in areas they have no footprint in and improving the lives of young middle and lower class Kenyan's by providing Jobs through the Wagon Shopper program that takes in riders who help in order fulfillment.</v>
          </cell>
          <cell r="C3074" t="str">
            <v>Active</v>
          </cell>
          <cell r="D3074">
            <v>2017</v>
          </cell>
          <cell r="G3074" t="str">
            <v>Kenya</v>
          </cell>
          <cell r="X3074" t="str">
            <v>E-Commerce &amp; Retail</v>
          </cell>
          <cell r="Y3074" t="str">
            <v>Grocery Shopping</v>
          </cell>
        </row>
        <row r="3075">
          <cell r="A3075" t="str">
            <v>biNu</v>
          </cell>
          <cell r="B3075" t="str">
            <v>biNu enables publishers and advertisers in emerging markets to engage consumers at scale by addressing expensive mobile data costs.</v>
          </cell>
          <cell r="C3075" t="str">
            <v>Active</v>
          </cell>
          <cell r="D3075">
            <v>2008</v>
          </cell>
          <cell r="G3075" t="str">
            <v>Australia</v>
          </cell>
          <cell r="X3075" t="str">
            <v>Information Technology</v>
          </cell>
          <cell r="Y3075" t="str">
            <v>Mobile Internet</v>
          </cell>
        </row>
        <row r="3076">
          <cell r="A3076" t="str">
            <v>10X Investments</v>
          </cell>
          <cell r="B3076" t="str">
            <v>10X is an authorised financial services provider, a licensed retirement fund administrator and investment manager.</v>
          </cell>
          <cell r="C3076" t="str">
            <v>Active</v>
          </cell>
          <cell r="D3076">
            <v>2007</v>
          </cell>
          <cell r="G3076" t="str">
            <v>South Africa</v>
          </cell>
          <cell r="X3076" t="str">
            <v>Financial Services</v>
          </cell>
          <cell r="Y3076" t="str">
            <v>Investments</v>
          </cell>
        </row>
        <row r="3077">
          <cell r="A3077" t="str">
            <v>BeepTool</v>
          </cell>
          <cell r="B3077" t="str">
            <v>BeepTool provides a full spectrum of communication and expression with Voice calls, text and connectivity to the unconnected in Africa.</v>
          </cell>
          <cell r="C3077" t="str">
            <v>Active</v>
          </cell>
          <cell r="D3077">
            <v>2014</v>
          </cell>
          <cell r="G3077" t="str">
            <v>Nigeria</v>
          </cell>
          <cell r="X3077" t="str">
            <v>Utilities and Telcommunication Services</v>
          </cell>
          <cell r="Y3077" t="str">
            <v>VoIP Services, Fintech</v>
          </cell>
        </row>
        <row r="3078">
          <cell r="A3078" t="str">
            <v>Profish</v>
          </cell>
          <cell r="B3078" t="str">
            <v>Profish is digitizing the fisheries supply chain in Ghana through the use of USSD code technologies.</v>
          </cell>
          <cell r="C3078" t="str">
            <v>Active</v>
          </cell>
          <cell r="D3078">
            <v>2018</v>
          </cell>
          <cell r="G3078" t="str">
            <v>Ghana</v>
          </cell>
          <cell r="X3078" t="str">
            <v>Transport &amp; Logistics</v>
          </cell>
          <cell r="Y3078" t="str">
            <v>AgTech</v>
          </cell>
        </row>
        <row r="3079">
          <cell r="A3079" t="str">
            <v>Trackball Global Technologies</v>
          </cell>
          <cell r="C3079" t="str">
            <v>Active</v>
          </cell>
        </row>
        <row r="3080">
          <cell r="A3080" t="str">
            <v>TechShelta Company Ltd</v>
          </cell>
          <cell r="B3080" t="str">
            <v>TechShelta is a service-oriented company that builds suites of software's and hardware's to impact the Agricultural and Agribusiness Industry</v>
          </cell>
          <cell r="C3080" t="str">
            <v>Active</v>
          </cell>
          <cell r="D3080">
            <v>2018</v>
          </cell>
          <cell r="G3080" t="str">
            <v>Ghana</v>
          </cell>
          <cell r="X3080" t="str">
            <v>Information Technology</v>
          </cell>
          <cell r="Y3080" t="str">
            <v>AgTech</v>
          </cell>
        </row>
        <row r="3081">
          <cell r="A3081" t="str">
            <v>ArqamFC</v>
          </cell>
          <cell r="B3081" t="str">
            <v>Tailor-made content that allows your sports brand to standout in the crowd. Working with the region's most prestigious clubs and competitions.</v>
          </cell>
          <cell r="C3081" t="str">
            <v>Acquired</v>
          </cell>
          <cell r="D3081">
            <v>2017</v>
          </cell>
          <cell r="G3081" t="str">
            <v>Egypt</v>
          </cell>
          <cell r="X3081" t="str">
            <v>Media and Entertainment</v>
          </cell>
          <cell r="Y3081" t="str">
            <v>Data Analytics</v>
          </cell>
        </row>
        <row r="3082">
          <cell r="A3082" t="str">
            <v>Artcaffe</v>
          </cell>
          <cell r="B3082" t="str">
            <v>Artcaffe is a vibrant chain of Kenyan restaurants and bakeries in Nairobi</v>
          </cell>
          <cell r="C3082" t="str">
            <v>Acquired</v>
          </cell>
          <cell r="D3082">
            <v>2008</v>
          </cell>
          <cell r="G3082" t="str">
            <v>Kenya</v>
          </cell>
          <cell r="X3082" t="str">
            <v>Foods and Beverages</v>
          </cell>
          <cell r="Y3082" t="str">
            <v>E-commerce</v>
          </cell>
        </row>
        <row r="3083">
          <cell r="A3083" t="str">
            <v>Career180</v>
          </cell>
          <cell r="B3083" t="str">
            <v>Career180 is a comprehensive online career knowledge centre. They are the one-stop-shop for university students and fresh graduates to kick-off their respective careers.</v>
          </cell>
          <cell r="C3083" t="str">
            <v>Active</v>
          </cell>
          <cell r="D3083">
            <v>2016</v>
          </cell>
          <cell r="G3083" t="str">
            <v>Egypt</v>
          </cell>
          <cell r="X3083" t="str">
            <v>Commercial &amp; Professional Services</v>
          </cell>
          <cell r="Y3083" t="str">
            <v>Graduate Mentorship</v>
          </cell>
        </row>
        <row r="3084">
          <cell r="A3084" t="str">
            <v>Yebo Fresh</v>
          </cell>
          <cell r="B3084" t="str">
            <v xml:space="preserve">Yebo Fresh is a community-driven and technology-enabled shopping service that saves its customers time, money and hassle by delivering essential groceries at affordable prices.  </v>
          </cell>
          <cell r="C3084" t="str">
            <v>Active</v>
          </cell>
          <cell r="D3084">
            <v>2018</v>
          </cell>
          <cell r="G3084" t="str">
            <v>South Africa</v>
          </cell>
          <cell r="X3084" t="str">
            <v>E-Commerce &amp; Retail</v>
          </cell>
          <cell r="Y3084" t="str">
            <v>Grocery</v>
          </cell>
        </row>
        <row r="3085">
          <cell r="A3085" t="str">
            <v>Maungo Craft</v>
          </cell>
          <cell r="B3085" t="str">
            <v>Maungo Craft is a gourmet jam company from Botswana</v>
          </cell>
          <cell r="C3085" t="str">
            <v>Active</v>
          </cell>
          <cell r="D3085">
            <v>2017</v>
          </cell>
          <cell r="G3085" t="str">
            <v>Botswana</v>
          </cell>
          <cell r="X3085" t="str">
            <v>Agriculture</v>
          </cell>
          <cell r="Y3085" t="str">
            <v>Agriprocessing</v>
          </cell>
        </row>
      </sheetData>
      <sheetData sheetId="12">
        <row r="1">
          <cell r="A1" t="str">
            <v>1_post_date</v>
          </cell>
        </row>
      </sheetData>
      <sheetData sheetId="13">
        <row r="1">
          <cell r="B1" t="str">
            <v>Target</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crunchbase.com/funding_round/paga-series-a--283029d0" TargetMode="External"/><Relationship Id="rId170" Type="http://schemas.openxmlformats.org/officeDocument/2006/relationships/hyperlink" Target="https://www.crunchbase.com/funding_round/expensya-seed--e7e569ab" TargetMode="External"/><Relationship Id="rId268" Type="http://schemas.openxmlformats.org/officeDocument/2006/relationships/hyperlink" Target="https://www.iafrikan.com/2017/04/11/naspers-invests-69-million-into-south-african-e-commerce-business-takealot-takes-its-shareholding-to-over-50/" TargetMode="External"/><Relationship Id="rId475" Type="http://schemas.openxmlformats.org/officeDocument/2006/relationships/hyperlink" Target="https://www.crunchbase.com/funding_round/d-light-design-debt-financing--460c7394" TargetMode="External"/><Relationship Id="rId682" Type="http://schemas.openxmlformats.org/officeDocument/2006/relationships/hyperlink" Target="https://digestafrica.com/leapfrog-ventures-xente-swipe2pay-francom/" TargetMode="External"/><Relationship Id="rId128" Type="http://schemas.openxmlformats.org/officeDocument/2006/relationships/hyperlink" Target="https://www.crunchbase.com/funding_round/m-kopa-series-unknown--ee7d8065" TargetMode="External"/><Relationship Id="rId335" Type="http://schemas.openxmlformats.org/officeDocument/2006/relationships/hyperlink" Target="https://www.crunchbase.com/organization/watu-credit" TargetMode="External"/><Relationship Id="rId542" Type="http://schemas.openxmlformats.org/officeDocument/2006/relationships/hyperlink" Target="https://guardian.ng/news/o-mobile-secures-10m-grant-to-promote-digital-economy/" TargetMode="External"/><Relationship Id="rId987" Type="http://schemas.openxmlformats.org/officeDocument/2006/relationships/hyperlink" Target="https://www.crunchbase.com/organization/thrive-agric" TargetMode="External"/><Relationship Id="rId1172" Type="http://schemas.openxmlformats.org/officeDocument/2006/relationships/hyperlink" Target="https://www.linkedin.com/feed/update/urn:li:activity:6557274225390997504" TargetMode="External"/><Relationship Id="rId402" Type="http://schemas.openxmlformats.org/officeDocument/2006/relationships/hyperlink" Target="https://www.entrepreneur.com/article/306820" TargetMode="External"/><Relationship Id="rId847" Type="http://schemas.openxmlformats.org/officeDocument/2006/relationships/hyperlink" Target="http://ventureburn.com/2018/12/savant-startups-tia-grants/" TargetMode="External"/><Relationship Id="rId1032" Type="http://schemas.openxmlformats.org/officeDocument/2006/relationships/hyperlink" Target="http://disrupt-africa.com/2019/04/southern-nigerian-angel-network-makes-first-investments/" TargetMode="External"/><Relationship Id="rId707" Type="http://schemas.openxmlformats.org/officeDocument/2006/relationships/hyperlink" Target="https://techpoint.africa/2018/09/06/paga-series-b2-global/" TargetMode="External"/><Relationship Id="rId914" Type="http://schemas.openxmlformats.org/officeDocument/2006/relationships/hyperlink" Target="https://republic.co/neopenda" TargetMode="External"/><Relationship Id="rId43" Type="http://schemas.openxmlformats.org/officeDocument/2006/relationships/hyperlink" Target="http://disrupt-africa.com/2015/09/kenyan-startup-paykind-to-launch-e-voucher-system/" TargetMode="External"/><Relationship Id="rId192" Type="http://schemas.openxmlformats.org/officeDocument/2006/relationships/hyperlink" Target="http://disrupt-africa.com/2016/08/sa-fintech-startup-zoona-raises-15m-from-ifc-4di/" TargetMode="External"/><Relationship Id="rId497" Type="http://schemas.openxmlformats.org/officeDocument/2006/relationships/hyperlink" Target="https://is.gd/MZ8Dvp" TargetMode="External"/><Relationship Id="rId357" Type="http://schemas.openxmlformats.org/officeDocument/2006/relationships/hyperlink" Target="https://www.liquidafrica.com/digame-acquires-a-stake-in-sa-local-asset-manager-10x/" TargetMode="External"/><Relationship Id="rId1194" Type="http://schemas.openxmlformats.org/officeDocument/2006/relationships/hyperlink" Target="http://www.startup365.fr/nigerias-kobo360-closes-whopping-20m-series-a-round-led-by-goldman-sachs/" TargetMode="External"/><Relationship Id="rId217" Type="http://schemas.openxmlformats.org/officeDocument/2006/relationships/hyperlink" Target="http://disrupt-africa.com/2017/01/tanzanias-jamii-raises-750k-funding-for-expansion/" TargetMode="External"/><Relationship Id="rId564" Type="http://schemas.openxmlformats.org/officeDocument/2006/relationships/hyperlink" Target="http://disrupt-africa.com/2018/06/sas-houseme-secures-follow-on-funding-for-expansion/" TargetMode="External"/><Relationship Id="rId771" Type="http://schemas.openxmlformats.org/officeDocument/2006/relationships/hyperlink" Target="https://www.crunchbase.com/funding_round/safemotos-convertible-note--b57c0911" TargetMode="External"/><Relationship Id="rId869" Type="http://schemas.openxmlformats.org/officeDocument/2006/relationships/hyperlink" Target="http://disrupt-africa.com/2018/12/ride-hailing-startup-gozem-launches-in-togo-with-grand-plans/" TargetMode="External"/><Relationship Id="rId424" Type="http://schemas.openxmlformats.org/officeDocument/2006/relationships/hyperlink" Target="http://futuristic.vc/" TargetMode="External"/><Relationship Id="rId631" Type="http://schemas.openxmlformats.org/officeDocument/2006/relationships/hyperlink" Target="https://techpoint.africa/reports/q3/" TargetMode="External"/><Relationship Id="rId729" Type="http://schemas.openxmlformats.org/officeDocument/2006/relationships/hyperlink" Target="https://www.techstars.com/content/accelerators/introducing-2018-class-sap-io-foundry-powered-techstars-accelerator-berlin/" TargetMode="External"/><Relationship Id="rId1054" Type="http://schemas.openxmlformats.org/officeDocument/2006/relationships/hyperlink" Target="http://disrupt-africa.com/2019/05/10-african-creatives-share-29k-prize-money-in-digital-lab-africa-competition/" TargetMode="External"/><Relationship Id="rId1261" Type="http://schemas.openxmlformats.org/officeDocument/2006/relationships/hyperlink" Target="https://techmoran.com/2019/09/13/pitch-agrihack-awards-over-60k-into-african-innovators-transforming-agriculture/" TargetMode="External"/><Relationship Id="rId936" Type="http://schemas.openxmlformats.org/officeDocument/2006/relationships/hyperlink" Target="https://www.crunchbase.com/organization/naiste" TargetMode="External"/><Relationship Id="rId1121" Type="http://schemas.openxmlformats.org/officeDocument/2006/relationships/hyperlink" Target="https://techmoran.com/2019/06/18/six-east-african-startup-entrepreneurs-receive-12000-from-mit-d-lab-scale-ups-fellowships-program/" TargetMode="External"/><Relationship Id="rId1219" Type="http://schemas.openxmlformats.org/officeDocument/2006/relationships/hyperlink" Target="https://techcrunch.com/2019/08/21/african-incubator-mest-has-a-new-md-and-11-fresh-startup-investments/" TargetMode="External"/><Relationship Id="rId65" Type="http://schemas.openxmlformats.org/officeDocument/2006/relationships/hyperlink" Target="https://www.crunchbase.com/funding_round/bitpesa-seed--ec918dc0" TargetMode="External"/><Relationship Id="rId281" Type="http://schemas.openxmlformats.org/officeDocument/2006/relationships/hyperlink" Target="http://printivo.com/" TargetMode="External"/><Relationship Id="rId141" Type="http://schemas.openxmlformats.org/officeDocument/2006/relationships/hyperlink" Target="http://disrupt-africa.com/2016/01/kenyan-microgrid-provider-powerhive-raises-20m-funding-round/" TargetMode="External"/><Relationship Id="rId379" Type="http://schemas.openxmlformats.org/officeDocument/2006/relationships/hyperlink" Target="https://www.crunchbase.com/funding_round/sxuirrel-seed--b9177b29" TargetMode="External"/><Relationship Id="rId586" Type="http://schemas.openxmlformats.org/officeDocument/2006/relationships/hyperlink" Target="http://www.startupsceneme.com/BehindTheStartup/He-Set-Off-on-A-Mission-to-Hack-Digital-Injustice-And-Now-Just-Raised-100-000-in-Oma" TargetMode="External"/><Relationship Id="rId793" Type="http://schemas.openxmlformats.org/officeDocument/2006/relationships/hyperlink" Target="http://disrupt-africa.com/2018/11/sa-startup-pharmascout-raises-series-a-funding-from-knife-capital/" TargetMode="External"/><Relationship Id="rId7" Type="http://schemas.openxmlformats.org/officeDocument/2006/relationships/hyperlink" Target="https://www.crunchbase.com/funding_round/paga-angel--42b98e44" TargetMode="External"/><Relationship Id="rId239" Type="http://schemas.openxmlformats.org/officeDocument/2006/relationships/hyperlink" Target="https://www.crunchbase.com/funding_round/guanxi-investment-seed--2725f274" TargetMode="External"/><Relationship Id="rId446" Type="http://schemas.openxmlformats.org/officeDocument/2006/relationships/hyperlink" Target="https://www.crunchbase.com/funding_round/afrikrea-seed--be821a57" TargetMode="External"/><Relationship Id="rId653" Type="http://schemas.openxmlformats.org/officeDocument/2006/relationships/hyperlink" Target="https://kenyanwallstreet.com/tanzanian-based-jamii-africa-raises-1m-in-q3-as-interest-in-insurtech-firms-soars-globally/" TargetMode="External"/><Relationship Id="rId1076" Type="http://schemas.openxmlformats.org/officeDocument/2006/relationships/hyperlink" Target="https://techcrunch.com/2019/05/09/chipper-cash-convinces-joe-montana-to-invest-in-african-fintech/" TargetMode="External"/><Relationship Id="rId306" Type="http://schemas.openxmlformats.org/officeDocument/2006/relationships/hyperlink" Target="https://www.crunchbase.com/funding_round/kudi-seed--304671a5" TargetMode="External"/><Relationship Id="rId860" Type="http://schemas.openxmlformats.org/officeDocument/2006/relationships/hyperlink" Target="http://www.leseco.ma/entreprises/72458-african-entrepreneurship-award-treize-laureats-recompenses.html" TargetMode="External"/><Relationship Id="rId958" Type="http://schemas.openxmlformats.org/officeDocument/2006/relationships/hyperlink" Target="https://businesstech.co.za/news/banking/301152/sasfin-invests-in-fintech-lender-payabill/" TargetMode="External"/><Relationship Id="rId1143" Type="http://schemas.openxmlformats.org/officeDocument/2006/relationships/hyperlink" Target="https://founder360mag.com/kenyan-agritech-startups-solar-freeze-illuminum-greenhouses-bank-us100000-at-cisco-global-problem-solver-challenge-2019/" TargetMode="External"/><Relationship Id="rId87" Type="http://schemas.openxmlformats.org/officeDocument/2006/relationships/hyperlink" Target="https://www.crunchbase.com/funding_round/m-kopa-series-d--1ab7d8b9" TargetMode="External"/><Relationship Id="rId513" Type="http://schemas.openxmlformats.org/officeDocument/2006/relationships/hyperlink" Target="http://ventureburn.com/2018/05/four-startups-cchubs-2018-cohort/" TargetMode="External"/><Relationship Id="rId720" Type="http://schemas.openxmlformats.org/officeDocument/2006/relationships/hyperlink" Target="https://digestafrica.com/mest-invest-african-startups/" TargetMode="External"/><Relationship Id="rId818" Type="http://schemas.openxmlformats.org/officeDocument/2006/relationships/hyperlink" Target="http://www.africanews.com/2018/11/26/gulf-capital-and-africinvest-invest-us-51-million-into-ison-xperiences-the-largest-customer-service-and-outsourcing-provider-in-sub-saharan-africa/" TargetMode="External"/><Relationship Id="rId1003" Type="http://schemas.openxmlformats.org/officeDocument/2006/relationships/hyperlink" Target="https://www.crunchbase.com/funding_round/buycoins-seed--79463760" TargetMode="External"/><Relationship Id="rId1210" Type="http://schemas.openxmlformats.org/officeDocument/2006/relationships/hyperlink" Target="http://disrupt-africa.com/2019/08/8-sa-fintech-startups-share-1m-worth-in-funding-support-from-alphacode/" TargetMode="External"/><Relationship Id="rId14" Type="http://schemas.openxmlformats.org/officeDocument/2006/relationships/hyperlink" Target="https://www.crunchbase.com/funding_round/irokotv-series-a--f4245302" TargetMode="External"/><Relationship Id="rId163" Type="http://schemas.openxmlformats.org/officeDocument/2006/relationships/hyperlink" Target="https://www.crunchbase.com/funding_round/paygo-energy-grant--96a42ea4" TargetMode="External"/><Relationship Id="rId370" Type="http://schemas.openxmlformats.org/officeDocument/2006/relationships/hyperlink" Target="https://www.crunchbase.com/funding_round/guanxi-investment-seed--8b0b2652" TargetMode="External"/><Relationship Id="rId230" Type="http://schemas.openxmlformats.org/officeDocument/2006/relationships/hyperlink" Target="https://techcabal.com/2016/11/17/south-african-podcast-platform-iono-has-raised-175000-in-seed-funding/" TargetMode="External"/><Relationship Id="rId468" Type="http://schemas.openxmlformats.org/officeDocument/2006/relationships/hyperlink" Target="https://www.proparco.fr/en/innovation-proparco-announces-its-first-investment-fintech-develop-mobile-loans-africa" TargetMode="External"/><Relationship Id="rId675" Type="http://schemas.openxmlformats.org/officeDocument/2006/relationships/hyperlink" Target="http://digestafrica.com/takuma-leapfrog-ventures-kenya-biasharabot/" TargetMode="External"/><Relationship Id="rId882" Type="http://schemas.openxmlformats.org/officeDocument/2006/relationships/hyperlink" Target="https://www.crunchbase.com/funding_round/d-light-design-series-unknown--bf8fc10f" TargetMode="External"/><Relationship Id="rId1098" Type="http://schemas.openxmlformats.org/officeDocument/2006/relationships/hyperlink" Target="http://disrupt-africa.com/2019/05/10-startups-pitch-at-startupbootcamp-pride-fintech-cairo-demo-day/" TargetMode="External"/><Relationship Id="rId328" Type="http://schemas.openxmlformats.org/officeDocument/2006/relationships/hyperlink" Target="https://www.crunchbase.com/funding_round/eversend-grant--b01db2c6" TargetMode="External"/><Relationship Id="rId535" Type="http://schemas.openxmlformats.org/officeDocument/2006/relationships/hyperlink" Target="https://www.wamda.com/en/2018/05/egyptian-software-company-raised-300k-saudi-investors" TargetMode="External"/><Relationship Id="rId742" Type="http://schemas.openxmlformats.org/officeDocument/2006/relationships/hyperlink" Target="https://technext.ng/2018/09/24/nigerian-healthcare-startup-lifebank-emerges-winner-2018-mit-solve-finals/" TargetMode="External"/><Relationship Id="rId1165" Type="http://schemas.openxmlformats.org/officeDocument/2006/relationships/hyperlink" Target="https://techcrunch.com/2019/07/09/opera-founded-starup-opay-raises-50m-for-mobile-finance-in-nigeria/" TargetMode="External"/><Relationship Id="rId602" Type="http://schemas.openxmlformats.org/officeDocument/2006/relationships/hyperlink" Target="http://ventureburn.com/2018/07/sbc-afritech-10-startups-second-cohort/" TargetMode="External"/><Relationship Id="rId1025" Type="http://schemas.openxmlformats.org/officeDocument/2006/relationships/hyperlink" Target="https://www.crunchbase.com/funding_round/peepz-seed--12f4689d" TargetMode="External"/><Relationship Id="rId1232" Type="http://schemas.openxmlformats.org/officeDocument/2006/relationships/hyperlink" Target="http://www.finsmes.com/2015/03/bboxx-raises-us3m-in-series-b-funding.html" TargetMode="External"/><Relationship Id="rId907" Type="http://schemas.openxmlformats.org/officeDocument/2006/relationships/hyperlink" Target="https://www.crunchbase.com/organization/kamtar" TargetMode="External"/><Relationship Id="rId36" Type="http://schemas.openxmlformats.org/officeDocument/2006/relationships/hyperlink" Target="https://www.crunchbase.com/funding_round/one-africa-media-series-a--6cf4cada" TargetMode="External"/><Relationship Id="rId185" Type="http://schemas.openxmlformats.org/officeDocument/2006/relationships/hyperlink" Target="https://enterprise.press/stories/2016/07/17/angel-fund-kamelizer-invests-in-cairo-sitters-will-change-its-name/" TargetMode="External"/><Relationship Id="rId392" Type="http://schemas.openxmlformats.org/officeDocument/2006/relationships/hyperlink" Target="https://medium.com/theventurecity/theventurecity-strengthens-its-commitment-to-startups-with-more-investment-and-support-9725c03325b8" TargetMode="External"/><Relationship Id="rId697" Type="http://schemas.openxmlformats.org/officeDocument/2006/relationships/hyperlink" Target="https://japan.cnet.com/article/35124791/" TargetMode="External"/><Relationship Id="rId252" Type="http://schemas.openxmlformats.org/officeDocument/2006/relationships/hyperlink" Target="https://techmoran.com/2017/02/22/azuri-raises-5m-support-renewable-energy-sub-saharan-africa/" TargetMode="External"/><Relationship Id="rId1187" Type="http://schemas.openxmlformats.org/officeDocument/2006/relationships/hyperlink" Target="https://ventureburn.com/2019/08/diagnostics-startup-ilara-health/" TargetMode="External"/><Relationship Id="rId112" Type="http://schemas.openxmlformats.org/officeDocument/2006/relationships/hyperlink" Target="https://africacapitaldigest.com/whereismytransport-raises-900000-in-oversubscribed-seed-round/" TargetMode="External"/><Relationship Id="rId557" Type="http://schemas.openxmlformats.org/officeDocument/2006/relationships/hyperlink" Target="https://www.techstars.com/content/accelerators/announcing-2018-class-techstars-impact/" TargetMode="External"/><Relationship Id="rId764" Type="http://schemas.openxmlformats.org/officeDocument/2006/relationships/hyperlink" Target="https://digestafrica.com/flutterwave-20m-in-total-funding/" TargetMode="External"/><Relationship Id="rId971" Type="http://schemas.openxmlformats.org/officeDocument/2006/relationships/hyperlink" Target="https://www.itweb.co.za/content/8OKdWqDEPAOvbznQ" TargetMode="External"/><Relationship Id="rId417" Type="http://schemas.openxmlformats.org/officeDocument/2006/relationships/hyperlink" Target="http://disrupt-africa.com/2018/01/kenyas-tabads-raises-funding-for-in-cab-digital-advertising-model/" TargetMode="External"/><Relationship Id="rId624" Type="http://schemas.openxmlformats.org/officeDocument/2006/relationships/hyperlink" Target="https://techpoint.africa/2018/08/01/rensource-debt-financing/" TargetMode="External"/><Relationship Id="rId831" Type="http://schemas.openxmlformats.org/officeDocument/2006/relationships/hyperlink" Target="https://impactchallenge.withgoogle.com/nigeria2018/charities" TargetMode="External"/><Relationship Id="rId1047" Type="http://schemas.openxmlformats.org/officeDocument/2006/relationships/hyperlink" Target="http://disrupt-africa.com/2019/04/4-egyptian-startups-selected-for-500-startups-mena-dojo-programme/" TargetMode="External"/><Relationship Id="rId1254" Type="http://schemas.openxmlformats.org/officeDocument/2006/relationships/hyperlink" Target="https://ventureburn.com/2019/09/digemy-raises-r1m-follow-on/" TargetMode="External"/><Relationship Id="rId929" Type="http://schemas.openxmlformats.org/officeDocument/2006/relationships/hyperlink" Target="https://digestafrica.com/nigeria-mavin-records-funding-kupanda-holdings/" TargetMode="External"/><Relationship Id="rId1114" Type="http://schemas.openxmlformats.org/officeDocument/2006/relationships/hyperlink" Target="https://techmoran.com/2019/06/13/kenyas-wayawaya-ghanas-oze-snode-technologies-from-south-africa-win-mest-africa-challenge-2019/" TargetMode="External"/><Relationship Id="rId58" Type="http://schemas.openxmlformats.org/officeDocument/2006/relationships/hyperlink" Target="https://www.crunchbase.com/funding_round/off-grid-electric-series-a--c0b540e9" TargetMode="External"/><Relationship Id="rId274" Type="http://schemas.openxmlformats.org/officeDocument/2006/relationships/hyperlink" Target="https://www.crunchbase.com/funding_round/twiga-foods-grant--cb4392a0" TargetMode="External"/><Relationship Id="rId481" Type="http://schemas.openxmlformats.org/officeDocument/2006/relationships/hyperlink" Target="http://disrupt-africa.com/2018/04/sa-recruitment-startup-giraffe-raises-funding-round/" TargetMode="External"/><Relationship Id="rId134" Type="http://schemas.openxmlformats.org/officeDocument/2006/relationships/hyperlink" Target="https://www.crunchbase.com/funding_round/ousta-seed--3002243e" TargetMode="External"/><Relationship Id="rId579" Type="http://schemas.openxmlformats.org/officeDocument/2006/relationships/hyperlink" Target="https://www.crunchbase.com/funding_round/jobjack-seed--e15f294f" TargetMode="External"/><Relationship Id="rId786" Type="http://schemas.openxmlformats.org/officeDocument/2006/relationships/hyperlink" Target="https://www.crunchbase.com/organization/sol-wallet" TargetMode="External"/><Relationship Id="rId993" Type="http://schemas.openxmlformats.org/officeDocument/2006/relationships/hyperlink" Target="https://techcrunch.com/2019/03/19/south-africas-flexclub-raises-1-2m-partners-with-uber-mexico/?ct=t(EMAIL_CAMPAIGN_3_19_2019_12_47)&amp;mc_cid=6f5eec5596&amp;mc_eid=e3f02581a2" TargetMode="External"/><Relationship Id="rId341" Type="http://schemas.openxmlformats.org/officeDocument/2006/relationships/hyperlink" Target="https://www.crunchbase.com/funding_round/sokowatch-corporate-round--7a18dcd6" TargetMode="External"/><Relationship Id="rId439" Type="http://schemas.openxmlformats.org/officeDocument/2006/relationships/hyperlink" Target="http://ventureburn.com/2018/10/five-agritech-startups-aim-take-africa-greener-pastures/" TargetMode="External"/><Relationship Id="rId646" Type="http://schemas.openxmlformats.org/officeDocument/2006/relationships/hyperlink" Target="https://www.crunchbase.com/funding_round/vehseh-series-a--96e5f49b" TargetMode="External"/><Relationship Id="rId1069" Type="http://schemas.openxmlformats.org/officeDocument/2006/relationships/hyperlink" Target="https://digestafrica.com/allianz-x-safeboda-series-b-go-jek" TargetMode="External"/><Relationship Id="rId201" Type="http://schemas.openxmlformats.org/officeDocument/2006/relationships/hyperlink" Target="https://www.frenchweb.fr/afrimarket-leve-10-millions-deuros-pour-etendre-son-modele-de-marketplace-en-afrique/254366" TargetMode="External"/><Relationship Id="rId506" Type="http://schemas.openxmlformats.org/officeDocument/2006/relationships/hyperlink" Target="https://www.menabytes.com/basharsoft-series-b/" TargetMode="External"/><Relationship Id="rId853" Type="http://schemas.openxmlformats.org/officeDocument/2006/relationships/hyperlink" Target="https://digestafrica.com/tunisia-blockchain-utopixar-unicef/" TargetMode="External"/><Relationship Id="rId1136" Type="http://schemas.openxmlformats.org/officeDocument/2006/relationships/hyperlink" Target="https://ventureburn.com/2019/06/ozow-follow-on-funding-kalon-series-a/" TargetMode="External"/><Relationship Id="rId713" Type="http://schemas.openxmlformats.org/officeDocument/2006/relationships/hyperlink" Target="https://techmoran.com/2018/09/10/the-katapult-accelerator-invests-450000-into-kenyas-finaccess-egypts-praxilabs-tunisias-think-it/" TargetMode="External"/><Relationship Id="rId920" Type="http://schemas.openxmlformats.org/officeDocument/2006/relationships/hyperlink" Target="https://digestafrica.com/cdc-theboardroom-africa-funding/" TargetMode="External"/><Relationship Id="rId1203" Type="http://schemas.openxmlformats.org/officeDocument/2006/relationships/hyperlink" Target="https://www.pulse.ng/news/one-credit-net1-invests-in-nigerias-leading-consumer-finance-provider/wg59v4w" TargetMode="External"/><Relationship Id="rId296" Type="http://schemas.openxmlformats.org/officeDocument/2006/relationships/hyperlink" Target="http://disrupt-africa.com/2017/06/spring-announces-19-startups-joining-east-africa-cohort/" TargetMode="External"/><Relationship Id="rId156" Type="http://schemas.openxmlformats.org/officeDocument/2006/relationships/hyperlink" Target="https://www.crunchbase.com/funding_round/instabug-seed--b46db9ba" TargetMode="External"/><Relationship Id="rId363" Type="http://schemas.openxmlformats.org/officeDocument/2006/relationships/hyperlink" Target="https://magnitt.com/startups/eventtus" TargetMode="External"/><Relationship Id="rId570" Type="http://schemas.openxmlformats.org/officeDocument/2006/relationships/hyperlink" Target="https://impactalpha.com/villgro-kenya-seeds-ugandan-health-startups-mamaope-and-clinicpesa/" TargetMode="External"/><Relationship Id="rId223" Type="http://schemas.openxmlformats.org/officeDocument/2006/relationships/hyperlink" Target="https://businesstech.co.za/news/business/140511/private-education-group-raises-r121-million-in-funding-for-expansion/" TargetMode="External"/><Relationship Id="rId430" Type="http://schemas.openxmlformats.org/officeDocument/2006/relationships/hyperlink" Target="https://www.crunchbase.com/funding_round/werpx-angel--023fa584" TargetMode="External"/><Relationship Id="rId668" Type="http://schemas.openxmlformats.org/officeDocument/2006/relationships/hyperlink" Target="https://techcrunch.com/2018/08/20/here-are-the-63-startups-that-launched-today-at-y-combinators-s18-demo-day-1/" TargetMode="External"/><Relationship Id="rId875" Type="http://schemas.openxmlformats.org/officeDocument/2006/relationships/hyperlink" Target="https://www.crunchbase.com/funding_round/fintec-labs-non-equity-assistance--2998cc81" TargetMode="External"/><Relationship Id="rId1060" Type="http://schemas.openxmlformats.org/officeDocument/2006/relationships/hyperlink" Target="https://digestafrica.com/instadeep-series-a-africinvest" TargetMode="External"/><Relationship Id="rId528" Type="http://schemas.openxmlformats.org/officeDocument/2006/relationships/hyperlink" Target="https://www.menabytes.com/flat6labs-cairo-tenth-cycle/" TargetMode="External"/><Relationship Id="rId735" Type="http://schemas.openxmlformats.org/officeDocument/2006/relationships/hyperlink" Target="http://disrupt-africa.com/2018/09/nigerias-fashpa-chosen-for-lisbon-fashion-accelerator/" TargetMode="External"/><Relationship Id="rId942" Type="http://schemas.openxmlformats.org/officeDocument/2006/relationships/hyperlink" Target="https://www.crunchbase.com/search/funding_rounds/field/organizations/num_funding_rounds/wealth-migrate" TargetMode="External"/><Relationship Id="rId1158" Type="http://schemas.openxmlformats.org/officeDocument/2006/relationships/hyperlink" Target="https://techcabal.com/2019/07/02/54gene-raises-fund-create-african-dna-biobank/?utm_source=dlvr.it&amp;utm_medium=twitter" TargetMode="External"/><Relationship Id="rId1018" Type="http://schemas.openxmlformats.org/officeDocument/2006/relationships/hyperlink" Target="http://www.northernirelandchamber.com/member-news/devenish-invests-2-25m-kenyan-company-sidai-africa-ltd/" TargetMode="External"/><Relationship Id="rId1225" Type="http://schemas.openxmlformats.org/officeDocument/2006/relationships/hyperlink" Target="https://techcrunch.com/2019/08/21/african-incubator-mest-has-a-new-md-and-11-fresh-startup-investments/" TargetMode="External"/><Relationship Id="rId71" Type="http://schemas.openxmlformats.org/officeDocument/2006/relationships/hyperlink" Target="https://www.crunchbase.com/funding_round/andela-seed--8705b3fb/investors/investors_list" TargetMode="External"/><Relationship Id="rId802" Type="http://schemas.openxmlformats.org/officeDocument/2006/relationships/hyperlink" Target="https://www.menabytes.com/fakahany-seed/" TargetMode="External"/><Relationship Id="rId29" Type="http://schemas.openxmlformats.org/officeDocument/2006/relationships/hyperlink" Target="https://www.crunchbase.com/funding_round/m-kopa-series-b--abeb026b" TargetMode="External"/><Relationship Id="rId178" Type="http://schemas.openxmlformats.org/officeDocument/2006/relationships/hyperlink" Target="http://disrupt-africa.com/2016/06/nigerias-spacepointe-raises-1-2m-to-launch-pos-applications/" TargetMode="External"/><Relationship Id="rId385" Type="http://schemas.openxmlformats.org/officeDocument/2006/relationships/hyperlink" Target="https://www.crunchbase.com/funding_round/rology-seed--e8a44ec1" TargetMode="External"/><Relationship Id="rId592" Type="http://schemas.openxmlformats.org/officeDocument/2006/relationships/hyperlink" Target="http://disrupt-africa.com/2018/07/sa-ed-tech-incubator-injini-announces-2nd-cohort/" TargetMode="External"/><Relationship Id="rId245" Type="http://schemas.openxmlformats.org/officeDocument/2006/relationships/hyperlink" Target="https://www.crunchbase.com/funding_round/werpx-grant--9a0b5738" TargetMode="External"/><Relationship Id="rId452" Type="http://schemas.openxmlformats.org/officeDocument/2006/relationships/hyperlink" Target="https://techpoint.africa/2018/03/15/mypadi-raises-fund-from-echovc/" TargetMode="External"/><Relationship Id="rId897" Type="http://schemas.openxmlformats.org/officeDocument/2006/relationships/hyperlink" Target="https://www.crunchbase.com/funding_round/ampersand-2-grant--586b7238" TargetMode="External"/><Relationship Id="rId1082" Type="http://schemas.openxmlformats.org/officeDocument/2006/relationships/hyperlink" Target="https://digestafrica.com/south-africa-sun-exchange-seed-funding" TargetMode="External"/><Relationship Id="rId105" Type="http://schemas.openxmlformats.org/officeDocument/2006/relationships/hyperlink" Target="https://www.startupbootcamp.org/blog/2015/07/startupbootcamp-announces-2015-cohort-of-rising-stars-in-london-fintech/" TargetMode="External"/><Relationship Id="rId312" Type="http://schemas.openxmlformats.org/officeDocument/2006/relationships/hyperlink" Target="https://www.crunchbase.com/funding_round/chalkboard-education-seed--49f76230" TargetMode="External"/><Relationship Id="rId757" Type="http://schemas.openxmlformats.org/officeDocument/2006/relationships/hyperlink" Target="https://opentraction.com/manage-your-financial-books-with-accounteer-d17e6a17508a" TargetMode="External"/><Relationship Id="rId964" Type="http://schemas.openxmlformats.org/officeDocument/2006/relationships/hyperlink" Target="http://ventureburn.com/2019/02/aerobotics-secures-r29m-in-funding/" TargetMode="External"/><Relationship Id="rId93" Type="http://schemas.openxmlformats.org/officeDocument/2006/relationships/hyperlink" Target="http://techmoran.com/facebooks-mr-zuckerberg-invests-10-million-bridge-international-academies/" TargetMode="External"/><Relationship Id="rId617" Type="http://schemas.openxmlformats.org/officeDocument/2006/relationships/hyperlink" Target="https://techcrunch.com/2018/07/26/sokowatch-closes-2-million-seed-round-to-modernize-africas-b2b-retail/" TargetMode="External"/><Relationship Id="rId824" Type="http://schemas.openxmlformats.org/officeDocument/2006/relationships/hyperlink" Target="https://esportsobserver.com/smartcall-south-africa-mettlestate/" TargetMode="External"/><Relationship Id="rId1247" Type="http://schemas.openxmlformats.org/officeDocument/2006/relationships/hyperlink" Target="https://jnjinnovation.com/sites/jji/files/AIC2_0Announcement%20PR_For_Immediate%20Release_5Sept2019.pdf" TargetMode="External"/><Relationship Id="rId1107" Type="http://schemas.openxmlformats.org/officeDocument/2006/relationships/hyperlink" Target="https://techmoran.com/2019/06/11/orcas-cairos-edtech-marketplace-raises-500k-in-pre-series-a-round-led-by-algebra-ventures/" TargetMode="External"/><Relationship Id="rId20" Type="http://schemas.openxmlformats.org/officeDocument/2006/relationships/hyperlink" Target="https://www.crunchbase.com/funding_round/africas-talking-seed--895e6a8a" TargetMode="External"/><Relationship Id="rId267" Type="http://schemas.openxmlformats.org/officeDocument/2006/relationships/hyperlink" Target="https://www.menabytes.com/elmenus-1-5-million/" TargetMode="External"/><Relationship Id="rId474" Type="http://schemas.openxmlformats.org/officeDocument/2006/relationships/hyperlink" Target="https://www.softpower.ug/govt-identifies-12-tech-startups-for-seed-funding/" TargetMode="External"/><Relationship Id="rId127" Type="http://schemas.openxmlformats.org/officeDocument/2006/relationships/hyperlink" Target="https://www.crunchbase.com/funding_round/farmerline-non-equity-assistance--9ccc1505" TargetMode="External"/><Relationship Id="rId681" Type="http://schemas.openxmlformats.org/officeDocument/2006/relationships/hyperlink" Target="https://www.sec.gov/Archives/edgar/data/1672574/000167257418000001/xslFormDX01/primary_doc.xml" TargetMode="External"/><Relationship Id="rId779" Type="http://schemas.openxmlformats.org/officeDocument/2006/relationships/hyperlink" Target="http://ventureburn.com/2018/10/mfs-africa-funding-14m/" TargetMode="External"/><Relationship Id="rId986" Type="http://schemas.openxmlformats.org/officeDocument/2006/relationships/hyperlink" Target="https://africacapitaldigest.com/africa-healthcare-network-closes-its-series-a/" TargetMode="External"/><Relationship Id="rId31" Type="http://schemas.openxmlformats.org/officeDocument/2006/relationships/hyperlink" Target="https://www.crunchbase.com/funding_round/bkam-series-a--b3585f92" TargetMode="External"/><Relationship Id="rId334" Type="http://schemas.openxmlformats.org/officeDocument/2006/relationships/hyperlink" Target="https://www.crunchbase.com/funding_round/shortlist-5-seed--3837ea6c" TargetMode="External"/><Relationship Id="rId541" Type="http://schemas.openxmlformats.org/officeDocument/2006/relationships/hyperlink" Target="https://www.menabytes.com/brantu-seed/" TargetMode="External"/><Relationship Id="rId639" Type="http://schemas.openxmlformats.org/officeDocument/2006/relationships/hyperlink" Target="https://www.crunchbase.com/funding_round/courier-lite-seed--3afee502" TargetMode="External"/><Relationship Id="rId1171" Type="http://schemas.openxmlformats.org/officeDocument/2006/relationships/hyperlink" Target="https://www.menabytes.com/cryptyd-pre-series-a/?fbclid=IwAR1MpjICl-C4dPL656r5tjgQjibEBWSyZ9XRHlDFEYGzWHl2JCSASL8TgcA" TargetMode="External"/><Relationship Id="rId1269" Type="http://schemas.openxmlformats.org/officeDocument/2006/relationships/vmlDrawing" Target="../drawings/vmlDrawing1.vml"/><Relationship Id="rId180" Type="http://schemas.openxmlformats.org/officeDocument/2006/relationships/hyperlink" Target="http://disrupt-africa.com/2016/06/payg-solar-firm-peg-ghana-raises-7-5m-for-west-african-expansion/" TargetMode="External"/><Relationship Id="rId278" Type="http://schemas.openxmlformats.org/officeDocument/2006/relationships/hyperlink" Target="https://www.bizcommunity.com/Article/65/188/161200.html" TargetMode="External"/><Relationship Id="rId401" Type="http://schemas.openxmlformats.org/officeDocument/2006/relationships/hyperlink" Target="https://digestafrica.com/uganda-safeboda-raised-money-million/" TargetMode="External"/><Relationship Id="rId846" Type="http://schemas.openxmlformats.org/officeDocument/2006/relationships/hyperlink" Target="http://ventureburn.com/2018/12/savant-startups-tia-grants/" TargetMode="External"/><Relationship Id="rId1031" Type="http://schemas.openxmlformats.org/officeDocument/2006/relationships/hyperlink" Target="https://digestafrica.com/founders-factory-africa" TargetMode="External"/><Relationship Id="rId1129" Type="http://schemas.openxmlformats.org/officeDocument/2006/relationships/hyperlink" Target="https://ventureburn.com/2019/06/naspers-foundry-first-deal-r30m-sweepsouth/" TargetMode="External"/><Relationship Id="rId485" Type="http://schemas.openxmlformats.org/officeDocument/2006/relationships/hyperlink" Target="https://www.menabytes.com/shezlong-350k/" TargetMode="External"/><Relationship Id="rId692" Type="http://schemas.openxmlformats.org/officeDocument/2006/relationships/hyperlink" Target="https://www.crunchbase.com/funding_round/dara-pre-seed--c3ddee56" TargetMode="External"/><Relationship Id="rId706" Type="http://schemas.openxmlformats.org/officeDocument/2006/relationships/hyperlink" Target="https://www.thepaypers.com/payments-general/south-african-payments-startup-yoco-raises-usd-16-mln/774739-27?utm_source=feedburner&amp;utm_medium=feed&amp;utm_campaign=Feed%3A+thepaypers%2FcfKW+%28The+Paypers+Headlines%29" TargetMode="External"/><Relationship Id="rId913" Type="http://schemas.openxmlformats.org/officeDocument/2006/relationships/hyperlink" Target="https://digestafrica.com/mauritius-talent2africa-seed-funding/" TargetMode="External"/><Relationship Id="rId42" Type="http://schemas.openxmlformats.org/officeDocument/2006/relationships/hyperlink" Target="https://www.crunchbase.com/funding_round/wuzzuf-seed--e0a4f54a" TargetMode="External"/><Relationship Id="rId138" Type="http://schemas.openxmlformats.org/officeDocument/2006/relationships/hyperlink" Target="https://www.crunchbase.com/funding_round/mines-io-seed--95c5e125" TargetMode="External"/><Relationship Id="rId345" Type="http://schemas.openxmlformats.org/officeDocument/2006/relationships/hyperlink" Target="http://disrupt-africa.com/2017/10/nigerian-e-health-startup-mobicure-wins-expo-live-grant/" TargetMode="External"/><Relationship Id="rId552" Type="http://schemas.openxmlformats.org/officeDocument/2006/relationships/hyperlink" Target="https://digestafrica.com/icos-blockchain-startups-operating-in-africa/" TargetMode="External"/><Relationship Id="rId997" Type="http://schemas.openxmlformats.org/officeDocument/2006/relationships/hyperlink" Target="https://opentraction.com/discover-pay-and-deliver-with-sendbox-3012c7d3d2b2" TargetMode="External"/><Relationship Id="rId1182" Type="http://schemas.openxmlformats.org/officeDocument/2006/relationships/hyperlink" Target="http://disrupt-africa.com/2019/08/5-african-startups-secure-25k-funding-each-via-baobab-network-accelerator/" TargetMode="External"/><Relationship Id="rId191" Type="http://schemas.openxmlformats.org/officeDocument/2006/relationships/hyperlink" Target="https://www.crunchbase.com/funding_round/flutterwave-seed--5ccd5499/investors/investors_list" TargetMode="External"/><Relationship Id="rId205" Type="http://schemas.openxmlformats.org/officeDocument/2006/relationships/hyperlink" Target="http://driversng.com/" TargetMode="External"/><Relationship Id="rId412" Type="http://schemas.openxmlformats.org/officeDocument/2006/relationships/hyperlink" Target="http://disrupt-africa.com/2018/01/nigerias-sureremit-raises-7m-via-ico/" TargetMode="External"/><Relationship Id="rId857" Type="http://schemas.openxmlformats.org/officeDocument/2006/relationships/hyperlink" Target="https://ventureburn.com/2018/12/nala-seedstars-dar-es-salaam-y-combinator/" TargetMode="External"/><Relationship Id="rId1042" Type="http://schemas.openxmlformats.org/officeDocument/2006/relationships/hyperlink" Target="http://disrupt-africa.com/2019/04/nigerian-fintech-startups-awarded-efina-grant-funding/" TargetMode="External"/><Relationship Id="rId289" Type="http://schemas.openxmlformats.org/officeDocument/2006/relationships/hyperlink" Target="https://www.crunchbase.com/funding_round/twiga-foods-non-equity-assistance--de2fa80c" TargetMode="External"/><Relationship Id="rId496" Type="http://schemas.openxmlformats.org/officeDocument/2006/relationships/hyperlink" Target="https://www.pulse.ng/news/tech/piggybank-olivine-land-50k-in-funding-from-village-capital-id6613892.html" TargetMode="External"/><Relationship Id="rId717" Type="http://schemas.openxmlformats.org/officeDocument/2006/relationships/hyperlink" Target="https://is.gd/aTqHu4" TargetMode="External"/><Relationship Id="rId924" Type="http://schemas.openxmlformats.org/officeDocument/2006/relationships/hyperlink" Target="https://techpoint.africa/2019/01/26/estate-intel-wins-pitch-storm-2019/" TargetMode="External"/><Relationship Id="rId53" Type="http://schemas.openxmlformats.org/officeDocument/2006/relationships/hyperlink" Target="https://www.crunchbase.com/funding_round/m-kopa-debt-financing--2b61f86a" TargetMode="External"/><Relationship Id="rId149" Type="http://schemas.openxmlformats.org/officeDocument/2006/relationships/hyperlink" Target="https://magnitt.com/startups/eventtus" TargetMode="External"/><Relationship Id="rId356" Type="http://schemas.openxmlformats.org/officeDocument/2006/relationships/hyperlink" Target="https://www.crunchbase.com/funding_round/offgridbox-grant--cae79480" TargetMode="External"/><Relationship Id="rId563" Type="http://schemas.openxmlformats.org/officeDocument/2006/relationships/hyperlink" Target="http://disrupt-africa.com/2018/06/ugandas-matibabu-wins-africa-prize-for-engineering/" TargetMode="External"/><Relationship Id="rId770" Type="http://schemas.openxmlformats.org/officeDocument/2006/relationships/hyperlink" Target="https://is.gd/iRiNAC" TargetMode="External"/><Relationship Id="rId1193" Type="http://schemas.openxmlformats.org/officeDocument/2006/relationships/hyperlink" Target="http://disrupt-africa.com/2019/08/egyptian-e-health-startup-chefaa-closes-seed-funding-round/" TargetMode="External"/><Relationship Id="rId1207" Type="http://schemas.openxmlformats.org/officeDocument/2006/relationships/hyperlink" Target="http://disrupt-africa.com/2019/08/8-sa-fintech-startups-share-1m-worth-in-funding-support-from-alphacode/" TargetMode="External"/><Relationship Id="rId216" Type="http://schemas.openxmlformats.org/officeDocument/2006/relationships/hyperlink" Target="https://www.crunchbase.com/funding_round/m-kopa-series-unknown--391b0267" TargetMode="External"/><Relationship Id="rId423" Type="http://schemas.openxmlformats.org/officeDocument/2006/relationships/hyperlink" Target="http://www.finsmes.com/2018/02/jibu-completes-7m-series-b-financing.html" TargetMode="External"/><Relationship Id="rId868" Type="http://schemas.openxmlformats.org/officeDocument/2006/relationships/hyperlink" Target="http://www.leseco.ma/entreprises/72458-african-entrepreneurship-award-treize-laureats-recompenses.html" TargetMode="External"/><Relationship Id="rId1053" Type="http://schemas.openxmlformats.org/officeDocument/2006/relationships/hyperlink" Target="http://disrupt-africa.com/2019/05/10-african-creatives-share-29k-prize-money-in-digital-lab-africa-competition/" TargetMode="External"/><Relationship Id="rId1260" Type="http://schemas.openxmlformats.org/officeDocument/2006/relationships/hyperlink" Target="https://techmoran.com/2019/09/13/pitch-agrihack-awards-over-60k-into-african-innovators-transforming-agriculture/" TargetMode="External"/><Relationship Id="rId630" Type="http://schemas.openxmlformats.org/officeDocument/2006/relationships/hyperlink" Target="https://www.dailytrust.com.ng/clean-energy-4-firms-clinch-10-000-capital-prize-264708.html" TargetMode="External"/><Relationship Id="rId728" Type="http://schemas.openxmlformats.org/officeDocument/2006/relationships/hyperlink" Target="http://voyc.ai/" TargetMode="External"/><Relationship Id="rId935" Type="http://schemas.openxmlformats.org/officeDocument/2006/relationships/hyperlink" Target="https://www.iol.co.za/news/politics/debt-ridden-eskom-secures-r15-billion-loan-19087276" TargetMode="External"/><Relationship Id="rId64" Type="http://schemas.openxmlformats.org/officeDocument/2006/relationships/hyperlink" Target="https://techcrunch.com/2014/05/23/south-african-e-commerce-giant-takealot-raises-100m-from-tiger-global/" TargetMode="External"/><Relationship Id="rId367" Type="http://schemas.openxmlformats.org/officeDocument/2006/relationships/hyperlink" Target="https://www.crunchbase.com/funding_round/one-finance-and-investments-limited-non-equity-assistance--14aa6b36" TargetMode="External"/><Relationship Id="rId574" Type="http://schemas.openxmlformats.org/officeDocument/2006/relationships/hyperlink" Target="https://digestafrica.com/zambia-zpos-pos-machine-smes/" TargetMode="External"/><Relationship Id="rId1120" Type="http://schemas.openxmlformats.org/officeDocument/2006/relationships/hyperlink" Target="https://www.linkedin.com/posts/estherndeti_business-deals-privateequity-activity-6559397927385649152-T_0N" TargetMode="External"/><Relationship Id="rId1218" Type="http://schemas.openxmlformats.org/officeDocument/2006/relationships/hyperlink" Target="https://techcrunch.com/2019/08/21/african-incubator-mest-has-a-new-md-and-11-fresh-startup-investments/" TargetMode="External"/><Relationship Id="rId227" Type="http://schemas.openxmlformats.org/officeDocument/2006/relationships/hyperlink" Target="https://www.crunchbase.com/funding_round/zayride-equity-crowdfunding--9de87872" TargetMode="External"/><Relationship Id="rId781" Type="http://schemas.openxmlformats.org/officeDocument/2006/relationships/hyperlink" Target="https://www.crunchbase.com/organization/amplifiedpaymentsystems" TargetMode="External"/><Relationship Id="rId879" Type="http://schemas.openxmlformats.org/officeDocument/2006/relationships/hyperlink" Target="https://www.crunchbase.com/organization/newdigit" TargetMode="External"/><Relationship Id="rId434" Type="http://schemas.openxmlformats.org/officeDocument/2006/relationships/hyperlink" Target="https://techmoran.com/2018/02/06/kenyas-ecommerce-firm-sky-garden-raises-1-2-million-launch-next-generation-merchant-platform/" TargetMode="External"/><Relationship Id="rId641" Type="http://schemas.openxmlformats.org/officeDocument/2006/relationships/hyperlink" Target="https://www.crunchbase.com/funding_round/tender-ng-seed--38af43c5" TargetMode="External"/><Relationship Id="rId739" Type="http://schemas.openxmlformats.org/officeDocument/2006/relationships/hyperlink" Target="http://disrupt-africa.com/2018/09/rwandas-benefactors-raises-funds-for-scale-after-reaching-break-even/" TargetMode="External"/><Relationship Id="rId1064" Type="http://schemas.openxmlformats.org/officeDocument/2006/relationships/hyperlink" Target="https://www.businessdailyafrica.com/corporate/enterprise/Startups-win-Sh65m-in-innovation-drive/4003126-5113512-4ld50b/index.html" TargetMode="External"/><Relationship Id="rId280" Type="http://schemas.openxmlformats.org/officeDocument/2006/relationships/hyperlink" Target="http://www.finsmes.com/2017/05/insurtech-startup-alllife-closes-funding-round.html" TargetMode="External"/><Relationship Id="rId501" Type="http://schemas.openxmlformats.org/officeDocument/2006/relationships/hyperlink" Target="https://www.crunchbase.com/funding_round/nawah-debt-financing--54b89438" TargetMode="External"/><Relationship Id="rId946" Type="http://schemas.openxmlformats.org/officeDocument/2006/relationships/hyperlink" Target="https://thd.tn/intilaq-fast-track-un-million-de-dinars-pour-les-5-startups-gagnantes/" TargetMode="External"/><Relationship Id="rId1131" Type="http://schemas.openxmlformats.org/officeDocument/2006/relationships/hyperlink" Target="https://www.menabytes.com/paynas-seamless-north-africa/" TargetMode="External"/><Relationship Id="rId1229" Type="http://schemas.openxmlformats.org/officeDocument/2006/relationships/hyperlink" Target="http://thepalladiumgroup.com/news/impact-investments-shea-nut-ghana" TargetMode="External"/><Relationship Id="rId75" Type="http://schemas.openxmlformats.org/officeDocument/2006/relationships/hyperlink" Target="https://500.co/500-startups-announces-batch-11-in-mountain-view/" TargetMode="External"/><Relationship Id="rId140" Type="http://schemas.openxmlformats.org/officeDocument/2006/relationships/hyperlink" Target="http://disrupt-africa.com/2016/01/sa-on-demand-home-cleaning-startup-sweepsouth-raises-600k/" TargetMode="External"/><Relationship Id="rId378" Type="http://schemas.openxmlformats.org/officeDocument/2006/relationships/hyperlink" Target="https://www.crunchbase.com/funding_round/eversend-convertible-note--aafc9a95" TargetMode="External"/><Relationship Id="rId585" Type="http://schemas.openxmlformats.org/officeDocument/2006/relationships/hyperlink" Target="https://techmoran.com/this-cryptocurrency-wallet-has-raised-more-than-0-5m-in-seed-funding-to-help-users-transact-via-sms/" TargetMode="External"/><Relationship Id="rId792" Type="http://schemas.openxmlformats.org/officeDocument/2006/relationships/hyperlink" Target="https://weetracker.com/2018/11/05/greentec-invests-netwookie/" TargetMode="External"/><Relationship Id="rId806" Type="http://schemas.openxmlformats.org/officeDocument/2006/relationships/hyperlink" Target="https://techpoint.africa/2018/11/22/genesysignite-2018-enugu/" TargetMode="External"/><Relationship Id="rId6" Type="http://schemas.openxmlformats.org/officeDocument/2006/relationships/hyperlink" Target="https://www.crunchbase.com/organization/kopo-kopo" TargetMode="External"/><Relationship Id="rId238" Type="http://schemas.openxmlformats.org/officeDocument/2006/relationships/hyperlink" Target="https://www.crunchbase.com/funding_round/la-reina-non-equity-assistance--78b3ca36" TargetMode="External"/><Relationship Id="rId445" Type="http://schemas.openxmlformats.org/officeDocument/2006/relationships/hyperlink" Target="http://disrupt-africa.com/2018/03/sas-hicarbyecar-raises-funding-from-swiss-investor/" TargetMode="External"/><Relationship Id="rId652" Type="http://schemas.openxmlformats.org/officeDocument/2006/relationships/hyperlink" Target="http://disrupt-africa.com/2018/08/kenyan-fintech-startup-pezesha-secures-seed-investment/" TargetMode="External"/><Relationship Id="rId1075" Type="http://schemas.openxmlformats.org/officeDocument/2006/relationships/hyperlink" Target="https://techmoran.com/2019/05/08/daystar-power-to-raise-eur-500000-via-trine-for-captive-power-installations-in-togo-senegal/" TargetMode="External"/><Relationship Id="rId291" Type="http://schemas.openxmlformats.org/officeDocument/2006/relationships/hyperlink" Target="https://www.crunchbase.com/funding_round/imaginators-seed--7e9d60fc" TargetMode="External"/><Relationship Id="rId305" Type="http://schemas.openxmlformats.org/officeDocument/2006/relationships/hyperlink" Target="https://magnitt.com/startups/taskty" TargetMode="External"/><Relationship Id="rId512" Type="http://schemas.openxmlformats.org/officeDocument/2006/relationships/hyperlink" Target="https://www.crunchbase.com/funding_round/birdpreneur-seed--2d330732" TargetMode="External"/><Relationship Id="rId957" Type="http://schemas.openxmlformats.org/officeDocument/2006/relationships/hyperlink" Target="https://www.itnewsafrica.com/2019/02/international-telecoms-invest-in-african-edtech/" TargetMode="External"/><Relationship Id="rId1142" Type="http://schemas.openxmlformats.org/officeDocument/2006/relationships/hyperlink" Target="https://www.menabytes.com/sprii-series-a/" TargetMode="External"/><Relationship Id="rId86" Type="http://schemas.openxmlformats.org/officeDocument/2006/relationships/hyperlink" Target="https://www.crunchbase.com/funding_round/tugende-seed--c5893f48" TargetMode="External"/><Relationship Id="rId151" Type="http://schemas.openxmlformats.org/officeDocument/2006/relationships/hyperlink" Target="http://disrupt-africa.com/2016/03/sas-giraffe-wins-500k-investment-at-seedstars-world/" TargetMode="External"/><Relationship Id="rId389" Type="http://schemas.openxmlformats.org/officeDocument/2006/relationships/hyperlink" Target="https://www.crunchbase.com/funding_round/elmawkaa-%D8%A7%D9%84%D9%85%D9%88%D9%82%D8%B9-grant--c2d799f7" TargetMode="External"/><Relationship Id="rId596" Type="http://schemas.openxmlformats.org/officeDocument/2006/relationships/hyperlink" Target="https://digestafrica.com/ared-crowdfunding-rwanda-germany/" TargetMode="External"/><Relationship Id="rId817" Type="http://schemas.openxmlformats.org/officeDocument/2006/relationships/hyperlink" Target="https://www.crunchbase.com/funding_round/seemba-2-pre-seed--60dbe422" TargetMode="External"/><Relationship Id="rId1002" Type="http://schemas.openxmlformats.org/officeDocument/2006/relationships/hyperlink" Target="https://www.forbes.com/sites/mfonobongnsehe/2019/03/24/african-edutainment-company-ubongo-wins-next-billion-edtech-prize/" TargetMode="External"/><Relationship Id="rId249" Type="http://schemas.openxmlformats.org/officeDocument/2006/relationships/hyperlink" Target="https://www.wamda.com/2017/02/edfa3ly-finds-kuwaiti-safe-haven" TargetMode="External"/><Relationship Id="rId456" Type="http://schemas.openxmlformats.org/officeDocument/2006/relationships/hyperlink" Target="https://www.crunchbase.com/funding_round/ogwugo-grant--59dc7e58" TargetMode="External"/><Relationship Id="rId663" Type="http://schemas.openxmlformats.org/officeDocument/2006/relationships/hyperlink" Target="https://www.crunchbase.com/funding_round/enqaz-dot-net-seed--e8d2b362" TargetMode="External"/><Relationship Id="rId870" Type="http://schemas.openxmlformats.org/officeDocument/2006/relationships/hyperlink" Target="https://www.menabytes.com/expensya-4-5-million/" TargetMode="External"/><Relationship Id="rId1086" Type="http://schemas.openxmlformats.org/officeDocument/2006/relationships/hyperlink" Target="http://disrupt-africa.com/2019/05/nigerian-on-demand-motorcycle-taxi-startup-gokada-raises-5-3m-series-a-funding/" TargetMode="External"/><Relationship Id="rId13" Type="http://schemas.openxmlformats.org/officeDocument/2006/relationships/hyperlink" Target="https://www.crunchbase.com/organization/kopo-kopo" TargetMode="External"/><Relationship Id="rId109" Type="http://schemas.openxmlformats.org/officeDocument/2006/relationships/hyperlink" Target="https://www.crunchbase.com/funding_round/afrostream-seed--694f38c2" TargetMode="External"/><Relationship Id="rId316" Type="http://schemas.openxmlformats.org/officeDocument/2006/relationships/hyperlink" Target="https://www.crunchbase.com/funding_round/farmcrowdy-convertible-note--5ea11ce2" TargetMode="External"/><Relationship Id="rId523" Type="http://schemas.openxmlformats.org/officeDocument/2006/relationships/hyperlink" Target="https://www.menabytes.com/flat6labs-cairo-tenth-cycle/" TargetMode="External"/><Relationship Id="rId968" Type="http://schemas.openxmlformats.org/officeDocument/2006/relationships/hyperlink" Target="https://www.crunchbase.com/funding_round/werpx-grant--ef267a88" TargetMode="External"/><Relationship Id="rId1153" Type="http://schemas.openxmlformats.org/officeDocument/2006/relationships/hyperlink" Target="http://disrupt-africa.com/2019/06/kenyan-insurtech-startup-turaco-secures-non-equity-investment/" TargetMode="External"/><Relationship Id="rId97" Type="http://schemas.openxmlformats.org/officeDocument/2006/relationships/hyperlink" Target="https://www.crunchbase.com/funding_round/gomyway-seed--b200f947" TargetMode="External"/><Relationship Id="rId730" Type="http://schemas.openxmlformats.org/officeDocument/2006/relationships/hyperlink" Target="http://ventureburn.com/2018/09/nml-atura-investec-investment/" TargetMode="External"/><Relationship Id="rId828" Type="http://schemas.openxmlformats.org/officeDocument/2006/relationships/hyperlink" Target="https://impactchallenge.withgoogle.com/nigeria2018/charities" TargetMode="External"/><Relationship Id="rId1013" Type="http://schemas.openxmlformats.org/officeDocument/2006/relationships/hyperlink" Target="http://enterprise.press/wp-content/uploads/2019/04/Brimore-Investment-Announcement-Final-1.pdf" TargetMode="External"/><Relationship Id="rId162" Type="http://schemas.openxmlformats.org/officeDocument/2006/relationships/hyperlink" Target="https://www.crunchbase.com/funding_round/omg-digital-convertible-note--6850f102" TargetMode="External"/><Relationship Id="rId467" Type="http://schemas.openxmlformats.org/officeDocument/2006/relationships/hyperlink" Target="https://techmoran.com/2018/04/05/azuri-technologies-raises-1-7m-via-the-energise-africa-platform-for-electrifying-africa/" TargetMode="External"/><Relationship Id="rId1097" Type="http://schemas.openxmlformats.org/officeDocument/2006/relationships/hyperlink" Target="http://disrupt-africa.com/2019/05/10-startups-pitch-at-startupbootcamp-pride-fintech-cairo-demo-day/" TargetMode="External"/><Relationship Id="rId1220" Type="http://schemas.openxmlformats.org/officeDocument/2006/relationships/hyperlink" Target="https://techcrunch.com/2019/08/21/african-incubator-mest-has-a-new-md-and-11-fresh-startup-investments/" TargetMode="External"/><Relationship Id="rId674" Type="http://schemas.openxmlformats.org/officeDocument/2006/relationships/hyperlink" Target="https://www.sec.gov/Archives/edgar/data/1751253/000175125318000001/xslFormDX01/primary_doc.xml" TargetMode="External"/><Relationship Id="rId881" Type="http://schemas.openxmlformats.org/officeDocument/2006/relationships/hyperlink" Target="https://digestafrica.com/french-pernod-ricard-stake-jumia/" TargetMode="External"/><Relationship Id="rId979" Type="http://schemas.openxmlformats.org/officeDocument/2006/relationships/hyperlink" Target="https://www.fmo.nl/news-detail/59fab89c-1be4-4009-b725-b570167b68c8/fmo-supports-dopay-to-digitize-payroll-in-egypt" TargetMode="External"/><Relationship Id="rId24" Type="http://schemas.openxmlformats.org/officeDocument/2006/relationships/hyperlink" Target="https://www.crunchbase.com/funding_round/bkam-angel--1d1d59eb" TargetMode="External"/><Relationship Id="rId327" Type="http://schemas.openxmlformats.org/officeDocument/2006/relationships/hyperlink" Target="http://disrupt-africa.com/2017/08/sa-e-commerce-startup-snapnsave-raises-1m/" TargetMode="External"/><Relationship Id="rId534" Type="http://schemas.openxmlformats.org/officeDocument/2006/relationships/hyperlink" Target="https://digestafrica.com/mali-teliman-toyota-africa-subsidiary/" TargetMode="External"/><Relationship Id="rId741" Type="http://schemas.openxmlformats.org/officeDocument/2006/relationships/hyperlink" Target="https://www.sec.gov/Archives/edgar/data/1754780/000175478018000001/xslFormDX01/primary_doc.xml" TargetMode="External"/><Relationship Id="rId839" Type="http://schemas.openxmlformats.org/officeDocument/2006/relationships/hyperlink" Target="https://digestafrica.com/egypt-halan-funding-algebra-ventures/" TargetMode="External"/><Relationship Id="rId1164" Type="http://schemas.openxmlformats.org/officeDocument/2006/relationships/hyperlink" Target="https://www.prnewswire.com/news-releases/toyota-tsusho-participates-in-powerhive-series-b-round-300881734.html" TargetMode="External"/><Relationship Id="rId173" Type="http://schemas.openxmlformats.org/officeDocument/2006/relationships/hyperlink" Target="https://www.crunchbase.com/funding_round/yumamia-seed--e008ca4c" TargetMode="External"/><Relationship Id="rId380" Type="http://schemas.openxmlformats.org/officeDocument/2006/relationships/hyperlink" Target="http://justmeans.com/press-release/moneyfellows-wins-metlife-foundation-financial-innovation-competition-powered-by-verb" TargetMode="External"/><Relationship Id="rId601" Type="http://schemas.openxmlformats.org/officeDocument/2006/relationships/hyperlink" Target="http://ventureburn.com/2018/07/sbc-afritech-10-startups-second-cohort/" TargetMode="External"/><Relationship Id="rId1024" Type="http://schemas.openxmlformats.org/officeDocument/2006/relationships/hyperlink" Target="https://www.crunchbase.com/funding_round/revix-series-unknown--b42a729e" TargetMode="External"/><Relationship Id="rId1231" Type="http://schemas.openxmlformats.org/officeDocument/2006/relationships/hyperlink" Target="https://www.pehub.com/2013/11/uk-solar-power-startup-bboxx-snags-1-9-mln/" TargetMode="External"/><Relationship Id="rId240" Type="http://schemas.openxmlformats.org/officeDocument/2006/relationships/hyperlink" Target="https://www.dailynewsegypt.com/2017/01/01/vezeeta-secures-5m-regional-expansion/" TargetMode="External"/><Relationship Id="rId478" Type="http://schemas.openxmlformats.org/officeDocument/2006/relationships/hyperlink" Target="https://www.crunchbase.com/funding_round/cherehani-africa-seed--1157b90e" TargetMode="External"/><Relationship Id="rId685" Type="http://schemas.openxmlformats.org/officeDocument/2006/relationships/hyperlink" Target="https://techpoint.africa/2018/08/30/3-startups-shines-at-the-2018-zambezi-prize/" TargetMode="External"/><Relationship Id="rId892" Type="http://schemas.openxmlformats.org/officeDocument/2006/relationships/hyperlink" Target="https://magnitt.com/news/vetcode-raises-450k-seed-funding" TargetMode="External"/><Relationship Id="rId906" Type="http://schemas.openxmlformats.org/officeDocument/2006/relationships/hyperlink" Target="https://www.crunchbase.com/funding_round/afrikrea-seed--e5779341" TargetMode="External"/><Relationship Id="rId35" Type="http://schemas.openxmlformats.org/officeDocument/2006/relationships/hyperlink" Target="https://www.crunchbase.com/funding_round/eneza-education-seed--bc2b2f74" TargetMode="External"/><Relationship Id="rId100" Type="http://schemas.openxmlformats.org/officeDocument/2006/relationships/hyperlink" Target="https://www.crunchbase.com/organization/suregifts" TargetMode="External"/><Relationship Id="rId338" Type="http://schemas.openxmlformats.org/officeDocument/2006/relationships/hyperlink" Target="http://disrupt-africa.com/2017/10/kenyas-cloud9-raises-73k-on-lions-den/" TargetMode="External"/><Relationship Id="rId545" Type="http://schemas.openxmlformats.org/officeDocument/2006/relationships/hyperlink" Target="https://www.crunchbase.com/funding_round/waystocap-seed--5c654dbe" TargetMode="External"/><Relationship Id="rId752" Type="http://schemas.openxmlformats.org/officeDocument/2006/relationships/hyperlink" Target="https://www.crunchbase.com/funding_round/anamehani-seed--754ece36" TargetMode="External"/><Relationship Id="rId1175" Type="http://schemas.openxmlformats.org/officeDocument/2006/relationships/hyperlink" Target="https://nguvu.africa/index.php/2019/07/27/kijani-gets-renew-support/" TargetMode="External"/><Relationship Id="rId184" Type="http://schemas.openxmlformats.org/officeDocument/2006/relationships/hyperlink" Target="https://www.startupbootcamp.org/blog/2016/07/startupbootcamp-smart-transportation-energy-announces-11-startups/" TargetMode="External"/><Relationship Id="rId391" Type="http://schemas.openxmlformats.org/officeDocument/2006/relationships/hyperlink" Target="https://www.sec.gov/Archives/edgar/data/1723373/000172337317000001/xslFormDX01/primary_doc.xml" TargetMode="External"/><Relationship Id="rId405" Type="http://schemas.openxmlformats.org/officeDocument/2006/relationships/hyperlink" Target="https://digestafrica.com/lori-systems-raised-sec-filing/" TargetMode="External"/><Relationship Id="rId612" Type="http://schemas.openxmlformats.org/officeDocument/2006/relationships/hyperlink" Target="https://www.crunchbase.com/funding_round/julaya-pre-seed--96a1f92d" TargetMode="External"/><Relationship Id="rId1035" Type="http://schemas.openxmlformats.org/officeDocument/2006/relationships/hyperlink" Target="https://www.menabytes.com/mitef-arab-startup-competition-winners-2019/" TargetMode="External"/><Relationship Id="rId1242" Type="http://schemas.openxmlformats.org/officeDocument/2006/relationships/hyperlink" Target="http://disrupt-africa.com/2019/09/peg-africa-raises-5m-debt-funding-from-electrifi-to-continue-west-african-expansion/" TargetMode="External"/><Relationship Id="rId251" Type="http://schemas.openxmlformats.org/officeDocument/2006/relationships/hyperlink" Target="http://disrupt-africa.com/2017/02/nigerias-printivo-selected-for-500-startups-programme/" TargetMode="External"/><Relationship Id="rId489" Type="http://schemas.openxmlformats.org/officeDocument/2006/relationships/hyperlink" Target="http://disrupt-africa.com/2018/04/kenyan-ai-startup-utu-raises-funding-from-zeroth/" TargetMode="External"/><Relationship Id="rId696" Type="http://schemas.openxmlformats.org/officeDocument/2006/relationships/hyperlink" Target="https://www.crunchbase.com/funding_round/versara-finance-seed--6b860f71" TargetMode="External"/><Relationship Id="rId917" Type="http://schemas.openxmlformats.org/officeDocument/2006/relationships/hyperlink" Target="http://med.tn/" TargetMode="External"/><Relationship Id="rId1102" Type="http://schemas.openxmlformats.org/officeDocument/2006/relationships/hyperlink" Target="https://techmoran.com/2019/06/04/azuri-technologies-raises-26m-to-bolster-its-solar-energy-distribution-efforts-in-africa/" TargetMode="External"/><Relationship Id="rId46" Type="http://schemas.openxmlformats.org/officeDocument/2006/relationships/hyperlink" Target="https://www.crunchbase.com/funding_round/jobartis-seed--68608c0f" TargetMode="External"/><Relationship Id="rId349" Type="http://schemas.openxmlformats.org/officeDocument/2006/relationships/hyperlink" Target="http://disrupt-africa.com/2017/10/cape-town-drone-company-uav-industries-raises-499k/" TargetMode="External"/><Relationship Id="rId556" Type="http://schemas.openxmlformats.org/officeDocument/2006/relationships/hyperlink" Target="http://disrupt-africa.com/2018/06/pangea-invests-in-3-kenyan-startups-at-demo-day/" TargetMode="External"/><Relationship Id="rId763" Type="http://schemas.openxmlformats.org/officeDocument/2006/relationships/hyperlink" Target="http://ventureburn.com/2018/11/trace-acquires-coinafrique-stake/" TargetMode="External"/><Relationship Id="rId1186" Type="http://schemas.openxmlformats.org/officeDocument/2006/relationships/hyperlink" Target="http://disrupt-africa.com/2019/08/5-african-startups-secure-25k-funding-each-via-baobab-network-accelerator/" TargetMode="External"/><Relationship Id="rId111" Type="http://schemas.openxmlformats.org/officeDocument/2006/relationships/hyperlink" Target="https://www.crunchbase.com/funding_round/max-2-seed--054b468d" TargetMode="External"/><Relationship Id="rId195" Type="http://schemas.openxmlformats.org/officeDocument/2006/relationships/hyperlink" Target="https://www.crunchbase.com/funding_round/omg-digital-seed--4ee685f5" TargetMode="External"/><Relationship Id="rId209" Type="http://schemas.openxmlformats.org/officeDocument/2006/relationships/hyperlink" Target="https://techcabal.com/2016/09/22/kenyan-solar-company-d-light-has-raised-22-5million-in-funding/" TargetMode="External"/><Relationship Id="rId416" Type="http://schemas.openxmlformats.org/officeDocument/2006/relationships/hyperlink" Target="https://techmoran.com/2018/01/22/azuri-technologies-raises-20m-debt-financing-expand-off-grid-energy-service-east-africa/" TargetMode="External"/><Relationship Id="rId970" Type="http://schemas.openxmlformats.org/officeDocument/2006/relationships/hyperlink" Target="http://disrupt-africa.com/2019/03/sa-insurtech-startup-investsure-raises-685k-funding-round/" TargetMode="External"/><Relationship Id="rId1046" Type="http://schemas.openxmlformats.org/officeDocument/2006/relationships/hyperlink" Target="http://disrupt-africa.com/2019/04/cameroons-kiroo-games-raises-200k-in-latest-crowdfunding-campaign/" TargetMode="External"/><Relationship Id="rId1253" Type="http://schemas.openxmlformats.org/officeDocument/2006/relationships/hyperlink" Target="https://ventureburn.com/2019/09/vunani-capital-invests-in-snapnsave/" TargetMode="External"/><Relationship Id="rId623" Type="http://schemas.openxmlformats.org/officeDocument/2006/relationships/hyperlink" Target="https://digestafrica.com/andrew-mwenada-tugende-opic/" TargetMode="External"/><Relationship Id="rId830" Type="http://schemas.openxmlformats.org/officeDocument/2006/relationships/hyperlink" Target="https://impactchallenge.withgoogle.com/kenya2018/charities" TargetMode="External"/><Relationship Id="rId928" Type="http://schemas.openxmlformats.org/officeDocument/2006/relationships/hyperlink" Target="https://digestafrica.com/india-east-africa-shortlist-series-a/" TargetMode="External"/><Relationship Id="rId57" Type="http://schemas.openxmlformats.org/officeDocument/2006/relationships/hyperlink" Target="https://www.crunchbase.com/funding_round/d-light-design-series-c--8a44a7c1" TargetMode="External"/><Relationship Id="rId262" Type="http://schemas.openxmlformats.org/officeDocument/2006/relationships/hyperlink" Target="https://www.sec.gov/Archives/edgar/data/1696738/000114036118033068/xslFormDX01/primary_doc.xml" TargetMode="External"/><Relationship Id="rId567" Type="http://schemas.openxmlformats.org/officeDocument/2006/relationships/hyperlink" Target="https://techpoint.africa/reports/nigerian-startup-funding-q2-2018/" TargetMode="External"/><Relationship Id="rId1113" Type="http://schemas.openxmlformats.org/officeDocument/2006/relationships/hyperlink" Target="https://techmoran.com/2019/06/13/kenyas-wayawaya-ghanas-oze-snode-technologies-from-south-africa-win-mest-africa-challenge-2019/" TargetMode="External"/><Relationship Id="rId1197" Type="http://schemas.openxmlformats.org/officeDocument/2006/relationships/hyperlink" Target="https://ventureburn.com/2019/08/fintech-ukheshe-r7m-investment/" TargetMode="External"/><Relationship Id="rId122" Type="http://schemas.openxmlformats.org/officeDocument/2006/relationships/hyperlink" Target="https://www.crunchbase.com/organization/umati-capital" TargetMode="External"/><Relationship Id="rId774" Type="http://schemas.openxmlformats.org/officeDocument/2006/relationships/hyperlink" Target="https://www.itweb.co.za/content/j5alrvQlLxyqpYQk" TargetMode="External"/><Relationship Id="rId981" Type="http://schemas.openxmlformats.org/officeDocument/2006/relationships/hyperlink" Target="https://www.bizjournals.com/stlouis/news/2019/03/13/st-louis-sports-business-accelerator-invests-in-6.html" TargetMode="External"/><Relationship Id="rId1057" Type="http://schemas.openxmlformats.org/officeDocument/2006/relationships/hyperlink" Target="http://disrupt-africa.com/2019/05/10-african-creatives-share-29k-prize-money-in-digital-lab-africa-competition/" TargetMode="External"/><Relationship Id="rId427" Type="http://schemas.openxmlformats.org/officeDocument/2006/relationships/hyperlink" Target="http://hub2.io/" TargetMode="External"/><Relationship Id="rId634" Type="http://schemas.openxmlformats.org/officeDocument/2006/relationships/hyperlink" Target="http://disrupt-africa.com/2018/08/kenyan-solar-startup-sunculture-secures-edf-funding/" TargetMode="External"/><Relationship Id="rId841" Type="http://schemas.openxmlformats.org/officeDocument/2006/relationships/hyperlink" Target="https://techmoran.com/2018/12/05/america-firm-kuramo-cap-to-buy-12-of-micro-lendor-pezesha/" TargetMode="External"/><Relationship Id="rId1264" Type="http://schemas.openxmlformats.org/officeDocument/2006/relationships/hyperlink" Target="https://thestartupscene.me/INVESTMENTS/Egyptian-Career-Advising-Platform-Career180-Raises-100-000-Seed-Investment-from-EdVentures" TargetMode="External"/><Relationship Id="rId273" Type="http://schemas.openxmlformats.org/officeDocument/2006/relationships/hyperlink" Target="https://www.crunchbase.com/funding_round/safemotos-grant--c437e5e4" TargetMode="External"/><Relationship Id="rId480" Type="http://schemas.openxmlformats.org/officeDocument/2006/relationships/hyperlink" Target="https://www.itweb.co.za/content/wbrpO7gPXZYMDLZn" TargetMode="External"/><Relationship Id="rId701" Type="http://schemas.openxmlformats.org/officeDocument/2006/relationships/hyperlink" Target="https://www.menabytes.com/almaqarr-investment/" TargetMode="External"/><Relationship Id="rId939" Type="http://schemas.openxmlformats.org/officeDocument/2006/relationships/hyperlink" Target="https://startupheretoronto.com/type/startup-news/techstars-toronto-accelerator-welcomes-its-2019-class/" TargetMode="External"/><Relationship Id="rId1124" Type="http://schemas.openxmlformats.org/officeDocument/2006/relationships/hyperlink" Target="https://techmoran.com/2019/06/18/six-east-african-startup-entrepreneurs-receive-12000-from-mit-d-lab-scale-ups-fellowships-program/" TargetMode="External"/><Relationship Id="rId68" Type="http://schemas.openxmlformats.org/officeDocument/2006/relationships/hyperlink" Target="https://www.crunchbase.com/funding_round/yoco-seed--9fe81824" TargetMode="External"/><Relationship Id="rId133" Type="http://schemas.openxmlformats.org/officeDocument/2006/relationships/hyperlink" Target="http://disrupt-africa.com/2015/12/usaid-grants-tanzanian-solar-startup-off-grid-electric-5m/" TargetMode="External"/><Relationship Id="rId340" Type="http://schemas.openxmlformats.org/officeDocument/2006/relationships/hyperlink" Target="http://disrupt-africa.com/2017/10/senegalese-solar-startup-oolu-raises-3-2m-funding/" TargetMode="External"/><Relationship Id="rId578" Type="http://schemas.openxmlformats.org/officeDocument/2006/relationships/hyperlink" Target="https://www.crunchbase.com/funding_round/briglobe-com-seed--0b45334b" TargetMode="External"/><Relationship Id="rId785" Type="http://schemas.openxmlformats.org/officeDocument/2006/relationships/hyperlink" Target="https://www.crunchbase.com/organization/kodi-f9b8" TargetMode="External"/><Relationship Id="rId992" Type="http://schemas.openxmlformats.org/officeDocument/2006/relationships/hyperlink" Target="https://www.crunchbase.com/funding_round/transsnet-music-limited-seed--a220e922" TargetMode="External"/><Relationship Id="rId200" Type="http://schemas.openxmlformats.org/officeDocument/2006/relationships/hyperlink" Target="http://disrupt-africa.com/2016/08/sas-whereismytransport-raises-1-5m-funding/" TargetMode="External"/><Relationship Id="rId438" Type="http://schemas.openxmlformats.org/officeDocument/2006/relationships/hyperlink" Target="https://www.gsma.com/mobilefordevelopment/programme/ecosystem-accelerator/ecosystem-accelerator-innovation-fund-start-portfolio/" TargetMode="External"/><Relationship Id="rId645" Type="http://schemas.openxmlformats.org/officeDocument/2006/relationships/hyperlink" Target="https://techmoran.com/2018/08/03/taz-technologies-secures-kes-1-7m-funding-from-afritech-accelerator/" TargetMode="External"/><Relationship Id="rId852" Type="http://schemas.openxmlformats.org/officeDocument/2006/relationships/hyperlink" Target="https://www.menabytes.com/nawah-scientific-pre-series-a/?utm_source=dlvr.it&amp;utm_medium=twitter" TargetMode="External"/><Relationship Id="rId1068" Type="http://schemas.openxmlformats.org/officeDocument/2006/relationships/hyperlink" Target="https://weetracker.com/2019/05/06/irish-fintech-umba-lend-usd-1-mn-africa/" TargetMode="External"/><Relationship Id="rId284" Type="http://schemas.openxmlformats.org/officeDocument/2006/relationships/hyperlink" Target="https://www.crunchbase.com/funding_round/thrive-agric-seed--f9f544ea" TargetMode="External"/><Relationship Id="rId491" Type="http://schemas.openxmlformats.org/officeDocument/2006/relationships/hyperlink" Target="https://is.gd/p3y1OV" TargetMode="External"/><Relationship Id="rId505" Type="http://schemas.openxmlformats.org/officeDocument/2006/relationships/hyperlink" Target="https://www.crunchbase.com/funding_round/e-estates-app-seed--d9c3b5a4" TargetMode="External"/><Relationship Id="rId712" Type="http://schemas.openxmlformats.org/officeDocument/2006/relationships/hyperlink" Target="https://www.ecofinagency.com/finance/1009-38939-tunisia-swiver-raises-about-tnd500-000-for-its-development" TargetMode="External"/><Relationship Id="rId1135" Type="http://schemas.openxmlformats.org/officeDocument/2006/relationships/hyperlink" Target="https://greentec-capital.com/2019/06/21/greentec-capital-invests-into-zambias-widenergy-africa-ltd/" TargetMode="External"/><Relationship Id="rId79" Type="http://schemas.openxmlformats.org/officeDocument/2006/relationships/hyperlink" Target="https://techcabal.com/2015/12/17/kenyan-address-creation-startup-okhi-raises-750k-funding-in-seed-round/" TargetMode="External"/><Relationship Id="rId144" Type="http://schemas.openxmlformats.org/officeDocument/2006/relationships/hyperlink" Target="http://www.wamda.com/2016/01/egypt-focused-fintech-startup-dopay-raising" TargetMode="External"/><Relationship Id="rId589" Type="http://schemas.openxmlformats.org/officeDocument/2006/relationships/hyperlink" Target="http://disrupt-africa.com/2018/07/kenyas-apollo-agriculture-secures-500k-funding/" TargetMode="External"/><Relationship Id="rId796" Type="http://schemas.openxmlformats.org/officeDocument/2006/relationships/hyperlink" Target="https://greentec-capital.com/2018/11/09/greentec-expands-into-edtech-sector-with-investment-into-kenya-based-yusudi-ltd/?fbclid=IwAR3oashY4RRpkp4mfhXL5UtvC9G9mA7SDPbBRFbBJJFk5ZKIVtoUJFWd-s0" TargetMode="External"/><Relationship Id="rId1202" Type="http://schemas.openxmlformats.org/officeDocument/2006/relationships/hyperlink" Target="http://ventureburn.com/2017/08/cape-town-based-security-startup-jonga-wins-santam-safety-ideas-campaign/" TargetMode="External"/><Relationship Id="rId351" Type="http://schemas.openxmlformats.org/officeDocument/2006/relationships/hyperlink" Target="https://www.startupbootcamp.org/blog/2017/10/top-smart-city-dubai-startups-selected/" TargetMode="External"/><Relationship Id="rId449" Type="http://schemas.openxmlformats.org/officeDocument/2006/relationships/hyperlink" Target="https://www.menabytes.com/yumamia-manal-al-alem/" TargetMode="External"/><Relationship Id="rId656" Type="http://schemas.openxmlformats.org/officeDocument/2006/relationships/hyperlink" Target="https://techcrunch.com/2018/08/10/offering-a-white-labeled-lending-service-in-emerging-markets-mines-raises-13-million/" TargetMode="External"/><Relationship Id="rId863" Type="http://schemas.openxmlformats.org/officeDocument/2006/relationships/hyperlink" Target="http://www.leseco.ma/entreprises/72458-african-entrepreneurship-award-treize-laureats-recompenses.html" TargetMode="External"/><Relationship Id="rId1079" Type="http://schemas.openxmlformats.org/officeDocument/2006/relationships/hyperlink" Target="http://disrupt-africa.com/2019/05/kenyan-find-a-craftsman-startup-fundis-raises-seed-funding/" TargetMode="External"/><Relationship Id="rId211" Type="http://schemas.openxmlformats.org/officeDocument/2006/relationships/hyperlink" Target="http://disrupt-africa.com/2016/09/sas-kalido-raises-funds-to-launch-business-matchmaking-app/" TargetMode="External"/><Relationship Id="rId295" Type="http://schemas.openxmlformats.org/officeDocument/2006/relationships/hyperlink" Target="https://www.crunchbase.com/funding_round/paygo-energy-non-equity-assistance--2811c28b" TargetMode="External"/><Relationship Id="rId309" Type="http://schemas.openxmlformats.org/officeDocument/2006/relationships/hyperlink" Target="https://www.crunchbase.com/funding_round/hearx-group-grant--e88fa844" TargetMode="External"/><Relationship Id="rId516" Type="http://schemas.openxmlformats.org/officeDocument/2006/relationships/hyperlink" Target="https://techmoran.com/2018/05/14/cellulant-raises-47-5-million-series-c-from-the-rise-fund-to-expand-its-digital-payments-across-africa/" TargetMode="External"/><Relationship Id="rId1146" Type="http://schemas.openxmlformats.org/officeDocument/2006/relationships/hyperlink" Target="http://disrupt-africa.com/2019/06/6-nigerian-fintech-startups-secure-equity-free-funding-from-arm-labs/" TargetMode="External"/><Relationship Id="rId723" Type="http://schemas.openxmlformats.org/officeDocument/2006/relationships/hyperlink" Target="https://digestafrica.com/mest-invest-african-startups/" TargetMode="External"/><Relationship Id="rId930" Type="http://schemas.openxmlformats.org/officeDocument/2006/relationships/hyperlink" Target="https://www.vccircle.com/qatar-investment-authority-to-invest-200-mn-in-airtel-africa" TargetMode="External"/><Relationship Id="rId1006" Type="http://schemas.openxmlformats.org/officeDocument/2006/relationships/hyperlink" Target="https://techmoran.com/2019/03/27/nigerias-rxall-wins-e100000s-hello-tomorrow-challenge-for-its-portable-drug-authenticator/" TargetMode="External"/><Relationship Id="rId155" Type="http://schemas.openxmlformats.org/officeDocument/2006/relationships/hyperlink" Target="http://disrupt-africa.com/2016/03/malawian-music-streaming-startup-mvelani-raises-57k/" TargetMode="External"/><Relationship Id="rId362" Type="http://schemas.openxmlformats.org/officeDocument/2006/relationships/hyperlink" Target="https://www.crunchbase.com/funding_round/asoko-insight-seed--be542a91" TargetMode="External"/><Relationship Id="rId1213" Type="http://schemas.openxmlformats.org/officeDocument/2006/relationships/hyperlink" Target="http://disrupt-africa.com/2019/08/8-sa-fintech-startups-share-1m-worth-in-funding-support-from-alphacode/" TargetMode="External"/><Relationship Id="rId222" Type="http://schemas.openxmlformats.org/officeDocument/2006/relationships/hyperlink" Target="http://disrupt-africa.com/2016/10/kenyan-transport-startup-wins-1m-hult-prize/" TargetMode="External"/><Relationship Id="rId667" Type="http://schemas.openxmlformats.org/officeDocument/2006/relationships/hyperlink" Target="https://www.crunchbase.com/funding_round/cowrywise-seed--ae0320c3" TargetMode="External"/><Relationship Id="rId874" Type="http://schemas.openxmlformats.org/officeDocument/2006/relationships/hyperlink" Target="https://www.fintec.group/news/2019/1/18/fintec-labs-closes-r65mil-series-b-funding-round" TargetMode="External"/><Relationship Id="rId17" Type="http://schemas.openxmlformats.org/officeDocument/2006/relationships/hyperlink" Target="https://www.crunchbase.com/funding_round/elmenus-angel--2e1606d0" TargetMode="External"/><Relationship Id="rId527" Type="http://schemas.openxmlformats.org/officeDocument/2006/relationships/hyperlink" Target="https://www.menabytes.com/flat6labs-cairo-tenth-cycle/" TargetMode="External"/><Relationship Id="rId734" Type="http://schemas.openxmlformats.org/officeDocument/2006/relationships/hyperlink" Target="https://techcrunch.com/2018/09/19/vezeeta-the-leading-mena-healthcare-startup-secures-12m-series-c-led-by-stv/" TargetMode="External"/><Relationship Id="rId941" Type="http://schemas.openxmlformats.org/officeDocument/2006/relationships/hyperlink" Target="http://pg-impact.com/2019/02/04/pg-impact-investments-makes-a-usd-5m-debt-investment-into-tugende-expanding-employment-opportunities-and-financial-inclusion-in-uganda/" TargetMode="External"/><Relationship Id="rId1157" Type="http://schemas.openxmlformats.org/officeDocument/2006/relationships/hyperlink" Target="https://ventureburn.com/2019/07/fundrr-lands-funding-after-50-rejections/" TargetMode="External"/><Relationship Id="rId70" Type="http://schemas.openxmlformats.org/officeDocument/2006/relationships/hyperlink" Target="https://www.crunchbase.com/organization/nomanini" TargetMode="External"/><Relationship Id="rId166" Type="http://schemas.openxmlformats.org/officeDocument/2006/relationships/hyperlink" Target="https://www.crunchbase.com/funding_round/m-kopa-debt-financing--da4a8914" TargetMode="External"/><Relationship Id="rId373" Type="http://schemas.openxmlformats.org/officeDocument/2006/relationships/hyperlink" Target="https://enkoeducation.com/enko-education-raises-1-5-million-euros-with-oikocredit/" TargetMode="External"/><Relationship Id="rId580" Type="http://schemas.openxmlformats.org/officeDocument/2006/relationships/hyperlink" Target="https://www.crunchbase.com/funding_round/solatrify-seed--b51ab8aa" TargetMode="External"/><Relationship Id="rId801" Type="http://schemas.openxmlformats.org/officeDocument/2006/relationships/hyperlink" Target="https://www.wamda.com/2018/11/twiga-foods-raises-10-million" TargetMode="External"/><Relationship Id="rId1017" Type="http://schemas.openxmlformats.org/officeDocument/2006/relationships/hyperlink" Target="https://ventureburn.com/2019/04/medsaf-iyeza-health-10k-gates-foundation/" TargetMode="External"/><Relationship Id="rId1224" Type="http://schemas.openxmlformats.org/officeDocument/2006/relationships/hyperlink" Target="https://techcrunch.com/2019/08/21/african-incubator-mest-has-a-new-md-and-11-fresh-startup-investments/" TargetMode="External"/><Relationship Id="rId1" Type="http://schemas.openxmlformats.org/officeDocument/2006/relationships/hyperlink" Target="https://www.crunchbase.com/search/funding_rounds/field/organizations/num_funding_rounds/binu" TargetMode="External"/><Relationship Id="rId233" Type="http://schemas.openxmlformats.org/officeDocument/2006/relationships/hyperlink" Target="http://delvv.io/" TargetMode="External"/><Relationship Id="rId440" Type="http://schemas.openxmlformats.org/officeDocument/2006/relationships/hyperlink" Target="https://www.crunchbase.com/funding_round/matontine-grant--efdb8ee1" TargetMode="External"/><Relationship Id="rId678" Type="http://schemas.openxmlformats.org/officeDocument/2006/relationships/hyperlink" Target="http://disrupt-africa.com/2016/12/nigerias-paystack-gets-1-3m-seed-funding/" TargetMode="External"/><Relationship Id="rId885" Type="http://schemas.openxmlformats.org/officeDocument/2006/relationships/hyperlink" Target="https://digestafrica.com/mastercard-uganda-burundi-malawi/" TargetMode="External"/><Relationship Id="rId1070" Type="http://schemas.openxmlformats.org/officeDocument/2006/relationships/hyperlink" Target="https://www.menabytes.com/credit-agricole-gesr-incubator/" TargetMode="External"/><Relationship Id="rId28" Type="http://schemas.openxmlformats.org/officeDocument/2006/relationships/hyperlink" Target="http://pando.com/2012/11/21/extra-bandwidth-binu-closes-4-3-million-series-a/" TargetMode="External"/><Relationship Id="rId300" Type="http://schemas.openxmlformats.org/officeDocument/2006/relationships/hyperlink" Target="http://disrupt-africa.com/2017/07/egyptian-ridesharing-startup-swvl-raises-500k-from-careem/" TargetMode="External"/><Relationship Id="rId538" Type="http://schemas.openxmlformats.org/officeDocument/2006/relationships/hyperlink" Target="https://news.brown.edu/articles/2016/05/cusack" TargetMode="External"/><Relationship Id="rId745" Type="http://schemas.openxmlformats.org/officeDocument/2006/relationships/hyperlink" Target="https://digestafrica.com/solarworks-raised-2m-international-expansion/" TargetMode="External"/><Relationship Id="rId952" Type="http://schemas.openxmlformats.org/officeDocument/2006/relationships/hyperlink" Target="https://www.crunchbase.com/funding_round/bwala-seed--c6c7f24e" TargetMode="External"/><Relationship Id="rId1168" Type="http://schemas.openxmlformats.org/officeDocument/2006/relationships/hyperlink" Target="https://techmoran.com/2019/07/13/kenyas-uber-for-fashion-manufacturers-ethnic-brand-raises-500k-seed-investment-from-magic-malaysia/" TargetMode="External"/><Relationship Id="rId81" Type="http://schemas.openxmlformats.org/officeDocument/2006/relationships/hyperlink" Target="https://www.crunchbase.com/funding_round/fastvan-2-seed--cdc49c82" TargetMode="External"/><Relationship Id="rId177" Type="http://schemas.openxmlformats.org/officeDocument/2006/relationships/hyperlink" Target="https://www.crunchbase.com/funding_round/chalkboard-education-non-equity-assistance--5930b04e" TargetMode="External"/><Relationship Id="rId384" Type="http://schemas.openxmlformats.org/officeDocument/2006/relationships/hyperlink" Target="https://magnitt.com/news/egypt-based-bosta-receives-seed-investment-fawry" TargetMode="External"/><Relationship Id="rId591" Type="http://schemas.openxmlformats.org/officeDocument/2006/relationships/hyperlink" Target="http://disrupt-africa.com/2018/07/sa-ed-tech-incubator-injini-announces-2nd-cohort/" TargetMode="External"/><Relationship Id="rId605" Type="http://schemas.openxmlformats.org/officeDocument/2006/relationships/hyperlink" Target="http://ventureburn.com/2018/07/sbc-afritech-10-startups-second-cohort/" TargetMode="External"/><Relationship Id="rId812" Type="http://schemas.openxmlformats.org/officeDocument/2006/relationships/hyperlink" Target="http://ventureburn.com/2018/11/uber-platform-mechanics-fixxr-wins-r500k-ibm/" TargetMode="External"/><Relationship Id="rId1028" Type="http://schemas.openxmlformats.org/officeDocument/2006/relationships/hyperlink" Target="https://digestafrica.com/founders-factory-africa" TargetMode="External"/><Relationship Id="rId1235" Type="http://schemas.openxmlformats.org/officeDocument/2006/relationships/hyperlink" Target="http://disrupt-africa.com/2019/08/2-egyptian-startups-share-120k-grant-funding-at-changelabs-demo-day/" TargetMode="External"/><Relationship Id="rId244" Type="http://schemas.openxmlformats.org/officeDocument/2006/relationships/hyperlink" Target="http://techmoran.com/ethiopia-based-greenpath-food-raises-seed-funding-engineers-without-borders-canada/" TargetMode="External"/><Relationship Id="rId689" Type="http://schemas.openxmlformats.org/officeDocument/2006/relationships/hyperlink" Target="http://techativeng.com/2018/09/24/redraven-limited-raises-15000-in-pre-seed-funding-to-build-a-blockchain-payment-gateway-in-africa/" TargetMode="External"/><Relationship Id="rId896" Type="http://schemas.openxmlformats.org/officeDocument/2006/relationships/hyperlink" Target="https://www.crunchbase.com/organization/bumba" TargetMode="External"/><Relationship Id="rId1081" Type="http://schemas.openxmlformats.org/officeDocument/2006/relationships/hyperlink" Target="http://disrupt-africa.com/2019/05/sa-regtech-startup-intergreatme-crowdfunds-2m-in-6-days/" TargetMode="External"/><Relationship Id="rId39" Type="http://schemas.openxmlformats.org/officeDocument/2006/relationships/hyperlink" Target="https://www.flat6labs.com/press/flat6labs-6th-demo-day-flat6labs-expands-its-portfolio-into-thirty-six-companies/" TargetMode="External"/><Relationship Id="rId451" Type="http://schemas.openxmlformats.org/officeDocument/2006/relationships/hyperlink" Target="https://www.crunchbase.com/funding_round/m-kopa-series-unknown--8dfedb95" TargetMode="External"/><Relationship Id="rId549" Type="http://schemas.openxmlformats.org/officeDocument/2006/relationships/hyperlink" Target="https://www.crunchbase.com/funding_round/shopmeaway-pre-seed--452d966f" TargetMode="External"/><Relationship Id="rId756" Type="http://schemas.openxmlformats.org/officeDocument/2006/relationships/hyperlink" Target="https://www.businessinsider.co.za/this-1million-sa-game-lets-you-fight-in-augmented-reality-and-buy-and-sell-characters-2018-9" TargetMode="External"/><Relationship Id="rId1179" Type="http://schemas.openxmlformats.org/officeDocument/2006/relationships/hyperlink" Target="https://techmoran.com/2019/07/31/solarise-africa-announces-second-closing-of-its-series-a-round-of-funding/" TargetMode="External"/><Relationship Id="rId104" Type="http://schemas.openxmlformats.org/officeDocument/2006/relationships/hyperlink" Target="https://techcrunch.com/2015/06/25/backed-by-spark-capital-andela-will-develop-a-continent-of-tech-talent/" TargetMode="External"/><Relationship Id="rId188" Type="http://schemas.openxmlformats.org/officeDocument/2006/relationships/hyperlink" Target="https://www.crunchbase.com/funding_round/jump-in-rides-seed--ecc3b044" TargetMode="External"/><Relationship Id="rId311" Type="http://schemas.openxmlformats.org/officeDocument/2006/relationships/hyperlink" Target="http://disrupt-africa.com/2017/07/kenyas-twiga-foods-raises-10-3m-series-a-funding-round/" TargetMode="External"/><Relationship Id="rId395" Type="http://schemas.openxmlformats.org/officeDocument/2006/relationships/hyperlink" Target="http://www.startupsceneme.com/INVESTMENTS/Egypt-s-Blockchain-Startup-Elkrem-Closes-75-000-From-San-Franciscan-Accelerator-Tachyo" TargetMode="External"/><Relationship Id="rId409" Type="http://schemas.openxmlformats.org/officeDocument/2006/relationships/hyperlink" Target="https://www.crunchbase.com/funding_round/nawah-convertible-note--33bb4356" TargetMode="External"/><Relationship Id="rId963" Type="http://schemas.openxmlformats.org/officeDocument/2006/relationships/hyperlink" Target="http://ventureburn.com/2019/02/revix-to-launch-with-jse-listed-firm-r11m/" TargetMode="External"/><Relationship Id="rId1039" Type="http://schemas.openxmlformats.org/officeDocument/2006/relationships/hyperlink" Target="http://disrupt-africa.com/2019/04/nigerian-fintech-startups-awarded-efina-grant-funding/" TargetMode="External"/><Relationship Id="rId1246" Type="http://schemas.openxmlformats.org/officeDocument/2006/relationships/hyperlink" Target="https://jnjinnovation.com/sites/jji/files/AIC2_0Announcement%20PR_For_Immediate%20Release_5Sept2019.pdf" TargetMode="External"/><Relationship Id="rId92" Type="http://schemas.openxmlformats.org/officeDocument/2006/relationships/hyperlink" Target="https://www.crunchbase.com/funding_round/asoko-insight-seed--fb8a7820" TargetMode="External"/><Relationship Id="rId616" Type="http://schemas.openxmlformats.org/officeDocument/2006/relationships/hyperlink" Target="http://digestafrica.com/tulaa-seed-round-ahl-venture-partners/" TargetMode="External"/><Relationship Id="rId823" Type="http://schemas.openxmlformats.org/officeDocument/2006/relationships/hyperlink" Target="https://greentec-capital.com/2018/11/28/greentec-invests-into-cote-divoire-based-saas-and-legaltech-provider-legafrik/" TargetMode="External"/><Relationship Id="rId255" Type="http://schemas.openxmlformats.org/officeDocument/2006/relationships/hyperlink" Target="https://www.crunchbase.com/funding_round/bosta-seed--19edc810" TargetMode="External"/><Relationship Id="rId462" Type="http://schemas.openxmlformats.org/officeDocument/2006/relationships/hyperlink" Target="https://www.sec.gov/Archives/edgar/data/1735262/000173526218000001/xslFormDX01/primary_doc.xml" TargetMode="External"/><Relationship Id="rId1092" Type="http://schemas.openxmlformats.org/officeDocument/2006/relationships/hyperlink" Target="https://www.sec.gov/Archives/edgar/data/1724556/000172455619000001/xslFormDX01/primary_doc.xml" TargetMode="External"/><Relationship Id="rId1106" Type="http://schemas.openxmlformats.org/officeDocument/2006/relationships/hyperlink" Target="https://techmoran.com/2019/06/11/havaic-invests-into-kenyan-virtual-postbox-startup-mpost-and-gears-up-to-participate-in-its-us2-million-series-a-round/" TargetMode="External"/><Relationship Id="rId115" Type="http://schemas.openxmlformats.org/officeDocument/2006/relationships/hyperlink" Target="https://www.crunchbase.com/funding_round/max-2-convertible-note--ae559f82" TargetMode="External"/><Relationship Id="rId322" Type="http://schemas.openxmlformats.org/officeDocument/2006/relationships/hyperlink" Target="https://ventureburn.com/2017/08/startupbootcamp-cape-town-announces-10-finalists/" TargetMode="External"/><Relationship Id="rId767" Type="http://schemas.openxmlformats.org/officeDocument/2006/relationships/hyperlink" Target="http://ventureburn.com/2018/10/havaic-stake-instant-property/" TargetMode="External"/><Relationship Id="rId974" Type="http://schemas.openxmlformats.org/officeDocument/2006/relationships/hyperlink" Target="https://digestafrica.com/kenya-marketplace-africasokoni-angel" TargetMode="External"/><Relationship Id="rId199" Type="http://schemas.openxmlformats.org/officeDocument/2006/relationships/hyperlink" Target="http://disrupt-africa.com/2016/08/egyptian-taxi-app-ousta-raises-1-25m-to-accelerate-growth/" TargetMode="External"/><Relationship Id="rId627" Type="http://schemas.openxmlformats.org/officeDocument/2006/relationships/hyperlink" Target="https://techpoint.africa/reports/q3/" TargetMode="External"/><Relationship Id="rId834" Type="http://schemas.openxmlformats.org/officeDocument/2006/relationships/hyperlink" Target="https://techmoran.com/2018/11/30/kolopay-accounteer-tradebuza-powercube-raise-100k-from-nigerias-itanna-accelerator/" TargetMode="External"/><Relationship Id="rId1257" Type="http://schemas.openxmlformats.org/officeDocument/2006/relationships/hyperlink" Target="https://techmoran.com/2019/09/13/pitch-agrihack-awards-over-60k-into-african-innovators-transforming-agriculture/" TargetMode="External"/><Relationship Id="rId266" Type="http://schemas.openxmlformats.org/officeDocument/2006/relationships/hyperlink" Target="https://www.crunchbase.com/funding_round/edves-grant--392a7203" TargetMode="External"/><Relationship Id="rId473" Type="http://schemas.openxmlformats.org/officeDocument/2006/relationships/hyperlink" Target="http://disrupt-africa.com/2018/04/ghanas-agrocenta-crowned-seedstars-global-winner/" TargetMode="External"/><Relationship Id="rId680" Type="http://schemas.openxmlformats.org/officeDocument/2006/relationships/hyperlink" Target="https://techweez.com/2018/08/28/twiga-foods-gets-multimillion-dollar-funding-for-distribution-network/" TargetMode="External"/><Relationship Id="rId901" Type="http://schemas.openxmlformats.org/officeDocument/2006/relationships/hyperlink" Target="https://digestafrica.com/solarnow-off-grid-solar-uganda/" TargetMode="External"/><Relationship Id="rId1117" Type="http://schemas.openxmlformats.org/officeDocument/2006/relationships/hyperlink" Target="https://techcrunch.com/2019/06/20/max-ng-raises-7m-round-backed-by-yamaha-and-pilots-evs-in-nigeria/" TargetMode="External"/><Relationship Id="rId30" Type="http://schemas.openxmlformats.org/officeDocument/2006/relationships/hyperlink" Target="https://www.crunchbase.com/funding_round/copia-global-seed--fa96a36a" TargetMode="External"/><Relationship Id="rId126" Type="http://schemas.openxmlformats.org/officeDocument/2006/relationships/hyperlink" Target="https://www.crunchbase.com/funding_round/fintec-labs-seed--d17b53df" TargetMode="External"/><Relationship Id="rId333" Type="http://schemas.openxmlformats.org/officeDocument/2006/relationships/hyperlink" Target="https://magnitt.com/news/egyptian-fintech-startup-vapulus-lands-250000-investment" TargetMode="External"/><Relationship Id="rId540" Type="http://schemas.openxmlformats.org/officeDocument/2006/relationships/hyperlink" Target="http://ventureburn.com/2018/05/aura-partners-r6-million/" TargetMode="External"/><Relationship Id="rId778" Type="http://schemas.openxmlformats.org/officeDocument/2006/relationships/hyperlink" Target="http://disrupt-africa.com/2018/10/nigerian-fintech-startup-riby-raises-funding-from-microtraction/" TargetMode="External"/><Relationship Id="rId985" Type="http://schemas.openxmlformats.org/officeDocument/2006/relationships/hyperlink" Target="https://www.crunchbase.com/organization/middletrust" TargetMode="External"/><Relationship Id="rId1170" Type="http://schemas.openxmlformats.org/officeDocument/2006/relationships/hyperlink" Target="https://www.wamda.com/2019/07/colnn-raises-100000-seed-round" TargetMode="External"/><Relationship Id="rId638" Type="http://schemas.openxmlformats.org/officeDocument/2006/relationships/hyperlink" Target="https://www.crunchbase.com/organization/tripdizer" TargetMode="External"/><Relationship Id="rId845" Type="http://schemas.openxmlformats.org/officeDocument/2006/relationships/hyperlink" Target="https://www.menabytes.com/vezeeta-ifc/" TargetMode="External"/><Relationship Id="rId1030" Type="http://schemas.openxmlformats.org/officeDocument/2006/relationships/hyperlink" Target="https://digestafrica.com/founders-factory-africa" TargetMode="External"/><Relationship Id="rId1268" Type="http://schemas.openxmlformats.org/officeDocument/2006/relationships/hyperlink" Target="https://disrupt-africa.com/2019/09/botswanan-ghanaian-startups-win-50k-each-from-gogettaz-agripreneur-competition/" TargetMode="External"/><Relationship Id="rId277" Type="http://schemas.openxmlformats.org/officeDocument/2006/relationships/hyperlink" Target="https://www.prnewswire.com/news-releases/mit-enterprise-forum-arab-startup-competition-final-award-ceremony-was-held-in-bahrain-in-partnership-with-community-jameel-zain-group-and-tamkeen-621036473.html" TargetMode="External"/><Relationship Id="rId400" Type="http://schemas.openxmlformats.org/officeDocument/2006/relationships/hyperlink" Target="https://www.crunchbase.com/funding_round/zaagel-xpress-seed--970b06b9" TargetMode="External"/><Relationship Id="rId484" Type="http://schemas.openxmlformats.org/officeDocument/2006/relationships/hyperlink" Target="https://www.menabytes.com/shezlong-350k/" TargetMode="External"/><Relationship Id="rId705" Type="http://schemas.openxmlformats.org/officeDocument/2006/relationships/hyperlink" Target="https://www.menabytes.com/freshsource-seed/" TargetMode="External"/><Relationship Id="rId1128" Type="http://schemas.openxmlformats.org/officeDocument/2006/relationships/hyperlink" Target="https://magnitt.com/news/egyptian-rival-uber-raises-42-million-african-expansion?utm_source=Funding+Updates&amp;utm_campaign=7c7aa4073f-eksab_funding_COPY_01&amp;utm_medium=email&amp;utm_term=0_cca7bdcb23-7c7aa4073f-109132265" TargetMode="External"/><Relationship Id="rId137" Type="http://schemas.openxmlformats.org/officeDocument/2006/relationships/hyperlink" Target="https://www.crunchbase.com/funding_round/paygo-energy-grant--89575d5f" TargetMode="External"/><Relationship Id="rId344" Type="http://schemas.openxmlformats.org/officeDocument/2006/relationships/hyperlink" Target="https://www.crunchbase.com/funding_round/azuri-technologies-equity-crowdfunding--40d06616" TargetMode="External"/><Relationship Id="rId691" Type="http://schemas.openxmlformats.org/officeDocument/2006/relationships/hyperlink" Target="https://www.economyup.it/energia/laudato-si-challenge-cosa-fanno-le-9-startup-benedette-dal-vaticano-che-hanno-ottenuto-900mila-euro/" TargetMode="External"/><Relationship Id="rId789" Type="http://schemas.openxmlformats.org/officeDocument/2006/relationships/hyperlink" Target="https://www.crunchbase.com/organization/koann" TargetMode="External"/><Relationship Id="rId912" Type="http://schemas.openxmlformats.org/officeDocument/2006/relationships/hyperlink" Target="https://www.menabytes.com/failed-startups-bkam/?utm_source=dlvr.it&amp;utm_medium=twitter" TargetMode="External"/><Relationship Id="rId996" Type="http://schemas.openxmlformats.org/officeDocument/2006/relationships/hyperlink" Target="https://innovation-village.com/meet-the-seven-african-focused-startups-that-took-part-in-y-combinators-demo-day/" TargetMode="External"/><Relationship Id="rId41" Type="http://schemas.openxmlformats.org/officeDocument/2006/relationships/hyperlink" Target="https://www.sec.gov/Archives/edgar/data/1533431/000153343113000001/xslFormDX01/primary_doc.xml" TargetMode="External"/><Relationship Id="rId551" Type="http://schemas.openxmlformats.org/officeDocument/2006/relationships/hyperlink" Target="https://techmoran.com/kenyas-tanda-raises-undisclosed-funding-to-launch-its-platform-for-new-generation-retailers/" TargetMode="External"/><Relationship Id="rId649" Type="http://schemas.openxmlformats.org/officeDocument/2006/relationships/hyperlink" Target="https://digestafrica.com/medical-concierge-group-raised-200000/" TargetMode="External"/><Relationship Id="rId856" Type="http://schemas.openxmlformats.org/officeDocument/2006/relationships/hyperlink" Target="https://techcrunch.com/2018/12/11/ultra-affordable-ultrasound-startup-m-scan-wins-techcrunch-startup-battlefield-africa/" TargetMode="External"/><Relationship Id="rId1181" Type="http://schemas.openxmlformats.org/officeDocument/2006/relationships/hyperlink" Target="https://www.menabytes.com/moneyfellows-1-million/" TargetMode="External"/><Relationship Id="rId190" Type="http://schemas.openxmlformats.org/officeDocument/2006/relationships/hyperlink" Target="https://techmoran.com/2016/08/10/off-grid-electric-secures-18-million-helios-investment-partners-responsability-power-africa/" TargetMode="External"/><Relationship Id="rId204" Type="http://schemas.openxmlformats.org/officeDocument/2006/relationships/hyperlink" Target="https://www.crunchbase.com/funding_round/vapulus-seed--0b46e244" TargetMode="External"/><Relationship Id="rId288" Type="http://schemas.openxmlformats.org/officeDocument/2006/relationships/hyperlink" Target="https://www.crunchbase.com/funding_round/jumo-2-non-equity-assistance--50ba5d1c" TargetMode="External"/><Relationship Id="rId411" Type="http://schemas.openxmlformats.org/officeDocument/2006/relationships/hyperlink" Target="https://www.usadf.gov/blog/2018/3/9/kemos-vision" TargetMode="External"/><Relationship Id="rId509" Type="http://schemas.openxmlformats.org/officeDocument/2006/relationships/hyperlink" Target="https://nextbillion.net/news/oikocredit-invests-1-2-million-inyenyeri-company-support-clean-cooking-solutions/" TargetMode="External"/><Relationship Id="rId1041" Type="http://schemas.openxmlformats.org/officeDocument/2006/relationships/hyperlink" Target="http://disrupt-africa.com/2019/04/nigerian-fintech-startups-awarded-efina-grant-funding/" TargetMode="External"/><Relationship Id="rId1139" Type="http://schemas.openxmlformats.org/officeDocument/2006/relationships/hyperlink" Target="https://www.menabytes.com/elmenus-julian-dames-investment/" TargetMode="External"/><Relationship Id="rId495" Type="http://schemas.openxmlformats.org/officeDocument/2006/relationships/hyperlink" Target="https://startupbahrain.com/matchmaking-app-harmonica-to-receive-150000-in-funding-from-500-startups/" TargetMode="External"/><Relationship Id="rId716" Type="http://schemas.openxmlformats.org/officeDocument/2006/relationships/hyperlink" Target="https://techmoran.com/2018/09/10/the-katapult-accelerator-invests-450000-into-kenyas-finaccess-egypts-praxilabs-tunisias-think-it/" TargetMode="External"/><Relationship Id="rId923" Type="http://schemas.openxmlformats.org/officeDocument/2006/relationships/hyperlink" Target="https://weetracker.com/2019/01/24/south-african-sun-exchange-raises-usd-1-mn-from-recently-concluded-ico/" TargetMode="External"/><Relationship Id="rId52" Type="http://schemas.openxmlformats.org/officeDocument/2006/relationships/hyperlink" Target="https://www.crunchbase.com/funding_round/ampersand-2-seed--bf5353e7" TargetMode="External"/><Relationship Id="rId148" Type="http://schemas.openxmlformats.org/officeDocument/2006/relationships/hyperlink" Target="https://www.crunchbase.com/funding_round/bitpesa-series-unknown--be18f1fa" TargetMode="External"/><Relationship Id="rId355" Type="http://schemas.openxmlformats.org/officeDocument/2006/relationships/hyperlink" Target="https://www.crunchbase.com/funding_round/jobjack-seed--70107944" TargetMode="External"/><Relationship Id="rId562" Type="http://schemas.openxmlformats.org/officeDocument/2006/relationships/hyperlink" Target="https://techpoint.africa/2018/07/23/cowrywise-y-combinator/" TargetMode="External"/><Relationship Id="rId1192" Type="http://schemas.openxmlformats.org/officeDocument/2006/relationships/hyperlink" Target="https://techmoran.com/2019/08/12/raino-tech4impactreceives-100k-equity-investment-from-samurai-incubate-africa/" TargetMode="External"/><Relationship Id="rId1206" Type="http://schemas.openxmlformats.org/officeDocument/2006/relationships/hyperlink" Target="https://weetracker.com/2019/08/16/landwey-acquires-25-percent-stake-in-vistafront/" TargetMode="External"/><Relationship Id="rId215" Type="http://schemas.openxmlformats.org/officeDocument/2006/relationships/hyperlink" Target="http://disrupt-africa.com/2016/09/kenyan-solar-internet-startup-raises-4-1m-opic-loan/" TargetMode="External"/><Relationship Id="rId422" Type="http://schemas.openxmlformats.org/officeDocument/2006/relationships/hyperlink" Target="http://techweez.com/2018/01/31/mondo-ride-2-million-dollar-financing-round/" TargetMode="External"/><Relationship Id="rId867" Type="http://schemas.openxmlformats.org/officeDocument/2006/relationships/hyperlink" Target="http://www.leseco.ma/entreprises/72458-african-entrepreneurship-award-treize-laureats-recompenses.html" TargetMode="External"/><Relationship Id="rId1052" Type="http://schemas.openxmlformats.org/officeDocument/2006/relationships/hyperlink" Target="http://disrupt-africa.com/2019/05/10-african-creatives-share-29k-prize-money-in-digital-lab-africa-competition/" TargetMode="External"/><Relationship Id="rId299" Type="http://schemas.openxmlformats.org/officeDocument/2006/relationships/hyperlink" Target="https://www.crunchbase.com/funding_round/imaginators-grant--49c25fde" TargetMode="External"/><Relationship Id="rId727" Type="http://schemas.openxmlformats.org/officeDocument/2006/relationships/hyperlink" Target="https://dilivasbox.com/" TargetMode="External"/><Relationship Id="rId934" Type="http://schemas.openxmlformats.org/officeDocument/2006/relationships/hyperlink" Target="https://www.crunchbase.com/organization/innovation-management-research-institute" TargetMode="External"/><Relationship Id="rId63" Type="http://schemas.openxmlformats.org/officeDocument/2006/relationships/hyperlink" Target="https://www.edsurge.com/news/2014-05-20-pearson-invests-in-blended-learning-in-south-africa-india" TargetMode="External"/><Relationship Id="rId159" Type="http://schemas.openxmlformats.org/officeDocument/2006/relationships/hyperlink" Target="http://disrupt-africa.com/2016/04/sa-anti-piracy-startup-custos-media-technologies-raises-265k/" TargetMode="External"/><Relationship Id="rId366" Type="http://schemas.openxmlformats.org/officeDocument/2006/relationships/hyperlink" Target="https://www.crunchbase.com/funding_round/aerobotics-non-equity-assistance--22be34d6" TargetMode="External"/><Relationship Id="rId573" Type="http://schemas.openxmlformats.org/officeDocument/2006/relationships/hyperlink" Target="http://disrupt-africa.com/2018/07/nigerias-kobo360-raises-1-2m-pre-seed-funding/" TargetMode="External"/><Relationship Id="rId780" Type="http://schemas.openxmlformats.org/officeDocument/2006/relationships/hyperlink" Target="https://techcrunch.com/2018/10/31/a-look-at-all-the-companies-participating-in-500-startups-24th-accelerator-program/" TargetMode="External"/><Relationship Id="rId1217" Type="http://schemas.openxmlformats.org/officeDocument/2006/relationships/hyperlink" Target="https://techcrunch.com/2019/08/21/african-incubator-mest-has-a-new-md-and-11-fresh-startup-investments/" TargetMode="External"/><Relationship Id="rId226" Type="http://schemas.openxmlformats.org/officeDocument/2006/relationships/hyperlink" Target="https://www.crunchbase.com/organization/shield" TargetMode="External"/><Relationship Id="rId433" Type="http://schemas.openxmlformats.org/officeDocument/2006/relationships/hyperlink" Target="https://drive.google.com/file/d/1fEyn4Hnn-ARigAdN24v0iTAwBK117SeL/view" TargetMode="External"/><Relationship Id="rId878" Type="http://schemas.openxmlformats.org/officeDocument/2006/relationships/hyperlink" Target="https://digestafrica.com/funding-rounds-2018-took-place/" TargetMode="External"/><Relationship Id="rId1063" Type="http://schemas.openxmlformats.org/officeDocument/2006/relationships/hyperlink" Target="https://www.businessdailyafrica.com/corporate/enterprise/Startups-win-Sh65m-in-innovation-drive/4003126-5113512-4ld50b/index.html" TargetMode="External"/><Relationship Id="rId1270" Type="http://schemas.openxmlformats.org/officeDocument/2006/relationships/comments" Target="../comments1.xml"/><Relationship Id="rId640" Type="http://schemas.openxmlformats.org/officeDocument/2006/relationships/hyperlink" Target="https://www.crunchbase.com/funding_round/offcampus-seed--023f43b5" TargetMode="External"/><Relationship Id="rId738" Type="http://schemas.openxmlformats.org/officeDocument/2006/relationships/hyperlink" Target="https://www.crunchbase.com/funding_round/servixme-seed--1671f0c3" TargetMode="External"/><Relationship Id="rId945" Type="http://schemas.openxmlformats.org/officeDocument/2006/relationships/hyperlink" Target="https://thd.tn/intilaq-fast-track-un-million-de-dinars-pour-les-5-startups-gagnantes/" TargetMode="External"/><Relationship Id="rId74" Type="http://schemas.openxmlformats.org/officeDocument/2006/relationships/hyperlink" Target="https://500.co/500-startups-announces-batch-11-in-mountain-view/" TargetMode="External"/><Relationship Id="rId377" Type="http://schemas.openxmlformats.org/officeDocument/2006/relationships/hyperlink" Target="https://www.crunchbase.com/funding_round/eversend-debt-financing--7f22551c" TargetMode="External"/><Relationship Id="rId500" Type="http://schemas.openxmlformats.org/officeDocument/2006/relationships/hyperlink" Target="https://ventureburn.com/2018/04/egypt-la-reina-500-startups/" TargetMode="External"/><Relationship Id="rId584" Type="http://schemas.openxmlformats.org/officeDocument/2006/relationships/hyperlink" Target="https://www.crunchbase.com/funding_round/africa-delivery-technologies-ltd-pre-seed--cd999c69" TargetMode="External"/><Relationship Id="rId805" Type="http://schemas.openxmlformats.org/officeDocument/2006/relationships/hyperlink" Target="https://techpoint.africa/2018/11/22/genesysignite-2018-enugu/" TargetMode="External"/><Relationship Id="rId1130" Type="http://schemas.openxmlformats.org/officeDocument/2006/relationships/hyperlink" Target="https://ventureburn.com/2019/06/mdaas-global-seed-round/" TargetMode="External"/><Relationship Id="rId1228" Type="http://schemas.openxmlformats.org/officeDocument/2006/relationships/hyperlink" Target="https://www.wamda.com/2019/08/trolley-raises-200000-seed-fund" TargetMode="External"/><Relationship Id="rId5" Type="http://schemas.openxmlformats.org/officeDocument/2006/relationships/hyperlink" Target="https://www.crunchbase.com/search/funding_rounds/field/organizations/num_funding_rounds/binu" TargetMode="External"/><Relationship Id="rId237" Type="http://schemas.openxmlformats.org/officeDocument/2006/relationships/hyperlink" Target="https://techcabal.com/2016/12/07/african-tech-roundup-zebra-cabs-raises-21-6-million-to-take-on-uber-and-taxify-in-south-africa/" TargetMode="External"/><Relationship Id="rId791" Type="http://schemas.openxmlformats.org/officeDocument/2006/relationships/hyperlink" Target="https://techcrunch.com/2018/10/31/a-look-at-all-the-companies-participating-in-500-startups-24th-accelerator-program/" TargetMode="External"/><Relationship Id="rId889" Type="http://schemas.openxmlformats.org/officeDocument/2006/relationships/hyperlink" Target="https://digestafrica.com/health-startups-villgro-kenya/" TargetMode="External"/><Relationship Id="rId1074" Type="http://schemas.openxmlformats.org/officeDocument/2006/relationships/hyperlink" Target="https://www.crunchbase.com/funding_round/airqo-grant--ec0d9c40" TargetMode="External"/><Relationship Id="rId444" Type="http://schemas.openxmlformats.org/officeDocument/2006/relationships/hyperlink" Target="https://www.crunchbase.com/funding_round/wire-microsystems-seed--feca1269" TargetMode="External"/><Relationship Id="rId651" Type="http://schemas.openxmlformats.org/officeDocument/2006/relationships/hyperlink" Target="http://disrupt-africa.com/2018/08/3-african-internet-provision-startups-secure-microsoft-grants/" TargetMode="External"/><Relationship Id="rId749" Type="http://schemas.openxmlformats.org/officeDocument/2006/relationships/hyperlink" Target="https://www.crunchbase.com/funding_round/aklabaity-seed--e05d5c0b" TargetMode="External"/><Relationship Id="rId290" Type="http://schemas.openxmlformats.org/officeDocument/2006/relationships/hyperlink" Target="https://www.crunchbase.com/organization/tripdizer" TargetMode="External"/><Relationship Id="rId304" Type="http://schemas.openxmlformats.org/officeDocument/2006/relationships/hyperlink" Target="http://disrupt-africa.com/2017/06/ghanas-omg-digital-closes-1-1m-funding-round/" TargetMode="External"/><Relationship Id="rId388" Type="http://schemas.openxmlformats.org/officeDocument/2006/relationships/hyperlink" Target="https://www.crunchbase.com/funding_round/widebot-seed--2a8a5b46" TargetMode="External"/><Relationship Id="rId511" Type="http://schemas.openxmlformats.org/officeDocument/2006/relationships/hyperlink" Target="http://disrupt-africa.com/2018/05/sas-sensor-networks-secures-1m-funding-round/" TargetMode="External"/><Relationship Id="rId609" Type="http://schemas.openxmlformats.org/officeDocument/2006/relationships/hyperlink" Target="https://www.crunchbase.com/funding_round/l%C3%BCla-angel--d3db6353" TargetMode="External"/><Relationship Id="rId956" Type="http://schemas.openxmlformats.org/officeDocument/2006/relationships/hyperlink" Target="https://www.crunchbase.com/funding_round/eversend-pre-seed--9ec5d927" TargetMode="External"/><Relationship Id="rId1141" Type="http://schemas.openxmlformats.org/officeDocument/2006/relationships/hyperlink" Target="https://techmoran.com/2019/06/25/afriqloud-raises-undisclosed-funding-from-imprimatur-capital-to-launch-in-uganda/" TargetMode="External"/><Relationship Id="rId1239" Type="http://schemas.openxmlformats.org/officeDocument/2006/relationships/hyperlink" Target="https://weetracker.com/2019/09/02/south-african-startup-investing-in-livestock-among-three-fintech-startups-that-have-landed-an-investment-deal/" TargetMode="External"/><Relationship Id="rId85" Type="http://schemas.openxmlformats.org/officeDocument/2006/relationships/hyperlink" Target="https://www.telecompaper.com/news/orange-invests-eur-1-million-in-afrimarket--1062059" TargetMode="External"/><Relationship Id="rId150" Type="http://schemas.openxmlformats.org/officeDocument/2006/relationships/hyperlink" Target="https://techcrunch.com/2016/03/03/rocket-internets-africa-internet-group-raises-326m-from-goldman-sachs-and-others/" TargetMode="External"/><Relationship Id="rId595" Type="http://schemas.openxmlformats.org/officeDocument/2006/relationships/hyperlink" Target="http://ventureburn.com/2018/07/aerobotics-secures-undisclosed-funding-nedbank/" TargetMode="External"/><Relationship Id="rId816" Type="http://schemas.openxmlformats.org/officeDocument/2006/relationships/hyperlink" Target="https://af.reuters.com/article/investingNews/idAFKCN1NS0OL-OZABS?utm_content=buffer6abdc&amp;utm_medium=social&amp;utm_source=twitter.com&amp;utm_campaign=buffer" TargetMode="External"/><Relationship Id="rId1001" Type="http://schemas.openxmlformats.org/officeDocument/2006/relationships/hyperlink" Target="https://kenyan-digest.com/this-waste-management-startup-has-received-227000-to-scale-in-nigeria/" TargetMode="External"/><Relationship Id="rId248" Type="http://schemas.openxmlformats.org/officeDocument/2006/relationships/hyperlink" Target="https://www.crunchbase.com/funding_round/tupuca-seed--54f3940c" TargetMode="External"/><Relationship Id="rId455" Type="http://schemas.openxmlformats.org/officeDocument/2006/relationships/hyperlink" Target="https://goo.gl/zHaBXu" TargetMode="External"/><Relationship Id="rId662" Type="http://schemas.openxmlformats.org/officeDocument/2006/relationships/hyperlink" Target="https://magnitt.com/startups/scienup" TargetMode="External"/><Relationship Id="rId1085" Type="http://schemas.openxmlformats.org/officeDocument/2006/relationships/hyperlink" Target="https://www.menabytes.com/mumm-prime/" TargetMode="External"/><Relationship Id="rId12" Type="http://schemas.openxmlformats.org/officeDocument/2006/relationships/hyperlink" Target="https://www.sec.gov/Archives/edgar/data/1533431/000153343111000001/xslFormDX01/primary_doc.xml" TargetMode="External"/><Relationship Id="rId108" Type="http://schemas.openxmlformats.org/officeDocument/2006/relationships/hyperlink" Target="https://www.crunchbase.com/funding_round/oolu-seed--1c10980f" TargetMode="External"/><Relationship Id="rId315" Type="http://schemas.openxmlformats.org/officeDocument/2006/relationships/hyperlink" Target="http://disrupt-africa.com/2017/08/500-startups-invests-200k-in-egyptian-food-delivery-startup-mumm/" TargetMode="External"/><Relationship Id="rId522" Type="http://schemas.openxmlformats.org/officeDocument/2006/relationships/hyperlink" Target="https://www.menabytes.com/flat6labs-cairo-tenth-cycle/" TargetMode="External"/><Relationship Id="rId967" Type="http://schemas.openxmlformats.org/officeDocument/2006/relationships/hyperlink" Target="https://digestafrica.com/bittrex-south-africa-crypto-valr/" TargetMode="External"/><Relationship Id="rId1152" Type="http://schemas.openxmlformats.org/officeDocument/2006/relationships/hyperlink" Target="https://raintreefarms.com/2019/06/the-yield-uganda-investment-fund-invests-ugx-3-9bn-in-raintree-farms-limited/" TargetMode="External"/><Relationship Id="rId96" Type="http://schemas.openxmlformats.org/officeDocument/2006/relationships/hyperlink" Target="http://techcrunch.com/2015/04/30/dopay-seed/?ncid=rss" TargetMode="External"/><Relationship Id="rId161" Type="http://schemas.openxmlformats.org/officeDocument/2006/relationships/hyperlink" Target="https://www.sec.gov/Archives/edgar/data/1671889/000167188916000002/xslFormDX01/primary_doc.xml" TargetMode="External"/><Relationship Id="rId399" Type="http://schemas.openxmlformats.org/officeDocument/2006/relationships/hyperlink" Target="https://www.crunchbase.com/funding_round/teradix-seed--5f0b0996" TargetMode="External"/><Relationship Id="rId827" Type="http://schemas.openxmlformats.org/officeDocument/2006/relationships/hyperlink" Target="https://www.sec.gov/Archives/edgar/data/1671689/000167168918000001/xslFormDX01/primary_doc.xml" TargetMode="External"/><Relationship Id="rId1012" Type="http://schemas.openxmlformats.org/officeDocument/2006/relationships/hyperlink" Target="https://techmoran.com/2019/04/02/mpharma-receives-1-5-million-from-skoll-foundation-acquires-haltons-pharmacy/" TargetMode="External"/><Relationship Id="rId259" Type="http://schemas.openxmlformats.org/officeDocument/2006/relationships/hyperlink" Target="https://www.crunchbase.com/funding_round/kudi-seed--c4e0bc00" TargetMode="External"/><Relationship Id="rId466" Type="http://schemas.openxmlformats.org/officeDocument/2006/relationships/hyperlink" Target="https://www.crunchbase.com/funding_round/connectedmed-grant--414d81e0" TargetMode="External"/><Relationship Id="rId673" Type="http://schemas.openxmlformats.org/officeDocument/2006/relationships/hyperlink" Target="https://www.crunchbase.com/organization/the-farmer-s-son-cycles" TargetMode="External"/><Relationship Id="rId880" Type="http://schemas.openxmlformats.org/officeDocument/2006/relationships/hyperlink" Target="https://digestafrica.com/m-kopa-japan-sumitomo-corporation/" TargetMode="External"/><Relationship Id="rId1096" Type="http://schemas.openxmlformats.org/officeDocument/2006/relationships/hyperlink" Target="http://disrupt-africa.com/2019/05/10-startups-pitch-at-startupbootcamp-pride-fintech-cairo-demo-day/" TargetMode="External"/><Relationship Id="rId23" Type="http://schemas.openxmlformats.org/officeDocument/2006/relationships/hyperlink" Target="http://www.finsmes.com/2012/09/zando-receives-investment-j-p-morgan-asset-management.html" TargetMode="External"/><Relationship Id="rId119" Type="http://schemas.openxmlformats.org/officeDocument/2006/relationships/hyperlink" Target="https://www.crunchbase.com/organization/kopo-kopo" TargetMode="External"/><Relationship Id="rId326" Type="http://schemas.openxmlformats.org/officeDocument/2006/relationships/hyperlink" Target="https://www.crunchbase.com/funding_round/paygo-energy-grant--a8f0e724" TargetMode="External"/><Relationship Id="rId533" Type="http://schemas.openxmlformats.org/officeDocument/2006/relationships/hyperlink" Target="http://www.newtelegraphng.com/2018/05/african-solar-start-up-raises-543000-via-crowdfunding-campaign/" TargetMode="External"/><Relationship Id="rId978" Type="http://schemas.openxmlformats.org/officeDocument/2006/relationships/hyperlink" Target="https://www.menabytes.com/dsquares-investment/" TargetMode="External"/><Relationship Id="rId1163" Type="http://schemas.openxmlformats.org/officeDocument/2006/relationships/hyperlink" Target="https://innovation-village.com/one-thousand-one-voices-announces-investment-in-the-rosehip-company/" TargetMode="External"/><Relationship Id="rId740" Type="http://schemas.openxmlformats.org/officeDocument/2006/relationships/hyperlink" Target="https://www.crunchbase.com/funding_round/buseet-seed--490424c4" TargetMode="External"/><Relationship Id="rId838" Type="http://schemas.openxmlformats.org/officeDocument/2006/relationships/hyperlink" Target="https://www.crunchbase.com/organization/numbers-5de4" TargetMode="External"/><Relationship Id="rId1023" Type="http://schemas.openxmlformats.org/officeDocument/2006/relationships/hyperlink" Target="https://idrisbello.com/2019/04/15/why-i-am-investing-in-my-first-female-founded-african-startup-we-are-tora/" TargetMode="External"/><Relationship Id="rId172" Type="http://schemas.openxmlformats.org/officeDocument/2006/relationships/hyperlink" Target="http://disrupt-africa.com/2016/06/sa-software-startup-snapt-raises-1m-to-aid-expansion/" TargetMode="External"/><Relationship Id="rId477" Type="http://schemas.openxmlformats.org/officeDocument/2006/relationships/hyperlink" Target="https://www.crunchbase.com/funding_round/nobuntu-seed--de5df696" TargetMode="External"/><Relationship Id="rId600" Type="http://schemas.openxmlformats.org/officeDocument/2006/relationships/hyperlink" Target="http://ventureburn.com/2018/07/sbc-afritech-10-startups-second-cohort/" TargetMode="External"/><Relationship Id="rId684" Type="http://schemas.openxmlformats.org/officeDocument/2006/relationships/hyperlink" Target="https://digestafrica.com/leapfrog-ventures-xente-swipe2pay-francom/" TargetMode="External"/><Relationship Id="rId1230" Type="http://schemas.openxmlformats.org/officeDocument/2006/relationships/hyperlink" Target="https://www.cityam.com/mitsubishi-leads-50m-funding-round-for-london-solar-startup/" TargetMode="External"/><Relationship Id="rId337" Type="http://schemas.openxmlformats.org/officeDocument/2006/relationships/hyperlink" Target="https://www.responsability.com/en/private-equity-investment-leading-mobile-payments-platform" TargetMode="External"/><Relationship Id="rId891" Type="http://schemas.openxmlformats.org/officeDocument/2006/relationships/hyperlink" Target="http://disrupt-africa.com/2018/12/kenyan-ai-startup-utu-raises-further-seed-funding/" TargetMode="External"/><Relationship Id="rId905" Type="http://schemas.openxmlformats.org/officeDocument/2006/relationships/hyperlink" Target="https://digestafrica.com/aiim-invest-bboxx-stake/" TargetMode="External"/><Relationship Id="rId989" Type="http://schemas.openxmlformats.org/officeDocument/2006/relationships/hyperlink" Target="https://www.crunchbase.com/search/funding_rounds/field/organizations/funding_total/schoolable" TargetMode="External"/><Relationship Id="rId34" Type="http://schemas.openxmlformats.org/officeDocument/2006/relationships/hyperlink" Target="https://www.crunchbase.com/funding_round/tolet-seed--926e1b50" TargetMode="External"/><Relationship Id="rId544" Type="http://schemas.openxmlformats.org/officeDocument/2006/relationships/hyperlink" Target="https://techcrunch.com/2018/05/31/nigerias-piggybank-ng-raises-1-1m-announces-group-investment-product/" TargetMode="External"/><Relationship Id="rId751" Type="http://schemas.openxmlformats.org/officeDocument/2006/relationships/hyperlink" Target="https://www.menabytes.com/icommunity-600k/" TargetMode="External"/><Relationship Id="rId849" Type="http://schemas.openxmlformats.org/officeDocument/2006/relationships/hyperlink" Target="http://ventureburn.com/2018/12/savant-startups-tia-grants/" TargetMode="External"/><Relationship Id="rId1174" Type="http://schemas.openxmlformats.org/officeDocument/2006/relationships/hyperlink" Target="https://enkoeducation.com/pre-series-b-fundraising/" TargetMode="External"/><Relationship Id="rId183" Type="http://schemas.openxmlformats.org/officeDocument/2006/relationships/hyperlink" Target="http://disrupt-africa.com/2017/07/sa-cloud-storage-startup-digital-cabinet-raising-375k/" TargetMode="External"/><Relationship Id="rId390" Type="http://schemas.openxmlformats.org/officeDocument/2006/relationships/hyperlink" Target="https://medium.com/mpharma-insights/mpharma-raises-6-6-million-in-series-a-funding-463dafda6e0b" TargetMode="External"/><Relationship Id="rId404" Type="http://schemas.openxmlformats.org/officeDocument/2006/relationships/hyperlink" Target="https://www.crunchbase.com/funding_round/passerine-aircraft-corporation-seed--a112a417" TargetMode="External"/><Relationship Id="rId611" Type="http://schemas.openxmlformats.org/officeDocument/2006/relationships/hyperlink" Target="https://www.americaninno.com/chicago/inno-news-chicago/here-are-the-10-startups-in-techstars-chicagos-2018-class/" TargetMode="External"/><Relationship Id="rId1034" Type="http://schemas.openxmlformats.org/officeDocument/2006/relationships/hyperlink" Target="http://disrupt-africa.com/2019/04/southern-nigerian-angel-network-makes-first-investments/" TargetMode="External"/><Relationship Id="rId1241" Type="http://schemas.openxmlformats.org/officeDocument/2006/relationships/hyperlink" Target="https://weetracker.com/2019/09/02/south-african-startup-investing-in-livestock-among-three-fintech-startups-that-have-landed-an-investment-deal/" TargetMode="External"/><Relationship Id="rId250" Type="http://schemas.openxmlformats.org/officeDocument/2006/relationships/hyperlink" Target="http://printivo.com/" TargetMode="External"/><Relationship Id="rId488" Type="http://schemas.openxmlformats.org/officeDocument/2006/relationships/hyperlink" Target="https://www.magnitt.com/news/egypt-based-swvl-raises-8-million-series-funding?platform=hootsuite" TargetMode="External"/><Relationship Id="rId695" Type="http://schemas.openxmlformats.org/officeDocument/2006/relationships/hyperlink" Target="http://disrupt-africa.com/2019/07/egyptian-e-health-startup-7keema-to-expand-across-africa-via-quasi-franchising-model/" TargetMode="External"/><Relationship Id="rId709" Type="http://schemas.openxmlformats.org/officeDocument/2006/relationships/hyperlink" Target="http://digestafrica.com/elkrem-egypt-blockchain/" TargetMode="External"/><Relationship Id="rId916" Type="http://schemas.openxmlformats.org/officeDocument/2006/relationships/hyperlink" Target="https://digestafrica.com/goodwell-investments-kenya-copia-global/" TargetMode="External"/><Relationship Id="rId1101" Type="http://schemas.openxmlformats.org/officeDocument/2006/relationships/hyperlink" Target="https://techeconomy.ng/2019/06/03/greenage-seed-funding-increases-to-54000-appoints-prof-umezuruike-linus-opara-as-board-chair/" TargetMode="External"/><Relationship Id="rId45" Type="http://schemas.openxmlformats.org/officeDocument/2006/relationships/hyperlink" Target="https://www.crunchbase.com/funding_round/tugende-angel--00bc723c" TargetMode="External"/><Relationship Id="rId110" Type="http://schemas.openxmlformats.org/officeDocument/2006/relationships/hyperlink" Target="https://techcrunch.com/2015/08/26/wuzzuf-secures-egypts-largest-funding-round-led-by-european-vcs/" TargetMode="External"/><Relationship Id="rId348" Type="http://schemas.openxmlformats.org/officeDocument/2006/relationships/hyperlink" Target="http://disrupt-africa.com/2017/10/ugandas-solarnow-secures-6m-debt-facility/" TargetMode="External"/><Relationship Id="rId555" Type="http://schemas.openxmlformats.org/officeDocument/2006/relationships/hyperlink" Target="http://disrupt-africa.com/2018/06/pangea-invests-in-3-kenyan-startups-at-demo-day/" TargetMode="External"/><Relationship Id="rId762" Type="http://schemas.openxmlformats.org/officeDocument/2006/relationships/hyperlink" Target="https://www.crunchbase.com/funding_round/connected-analytics-series-unknown--0695a5cd" TargetMode="External"/><Relationship Id="rId1185" Type="http://schemas.openxmlformats.org/officeDocument/2006/relationships/hyperlink" Target="http://disrupt-africa.com/2019/08/5-african-startups-secure-25k-funding-each-via-baobab-network-accelerator/" TargetMode="External"/><Relationship Id="rId194" Type="http://schemas.openxmlformats.org/officeDocument/2006/relationships/hyperlink" Target="http://hotels.ng/" TargetMode="External"/><Relationship Id="rId208" Type="http://schemas.openxmlformats.org/officeDocument/2006/relationships/hyperlink" Target="https://www.prnewswire.com/news-releases/dlight-raises-over-22-million-to-expand-paygo-business-into-new-off-grid-solar-markets-300331524.html" TargetMode="External"/><Relationship Id="rId415" Type="http://schemas.openxmlformats.org/officeDocument/2006/relationships/hyperlink" Target="https://www.crunchbase.com/funding_round/awfar-market-seed--e505310b" TargetMode="External"/><Relationship Id="rId622" Type="http://schemas.openxmlformats.org/officeDocument/2006/relationships/hyperlink" Target="https://www.menabytes.com/temtem-1-7-million/" TargetMode="External"/><Relationship Id="rId1045" Type="http://schemas.openxmlformats.org/officeDocument/2006/relationships/hyperlink" Target="https://www.crunchbase.com/organization/e-health-zone" TargetMode="External"/><Relationship Id="rId1252" Type="http://schemas.openxmlformats.org/officeDocument/2006/relationships/hyperlink" Target="http://www.startup365.fr/usa-nigerian-online-only-bank-startup-kuda-raises-1-6m/" TargetMode="External"/><Relationship Id="rId261" Type="http://schemas.openxmlformats.org/officeDocument/2006/relationships/hyperlink" Target="https://techmoran.com/2017/03/28/mydawa-com-raises-5-million-bring-prescription-drugs-online-kenya/" TargetMode="External"/><Relationship Id="rId499" Type="http://schemas.openxmlformats.org/officeDocument/2006/relationships/hyperlink" Target="https://magnitt.com/news/shagga3app-secures-100000-seed-funding" TargetMode="External"/><Relationship Id="rId927" Type="http://schemas.openxmlformats.org/officeDocument/2006/relationships/hyperlink" Target="https://digestafrica.com/kalon-venture-partners-leads-1-5m-series-a-for-sa-startup-flow/" TargetMode="External"/><Relationship Id="rId1112" Type="http://schemas.openxmlformats.org/officeDocument/2006/relationships/hyperlink" Target="https://techmoran.com/2019/06/13/kenyas-wayawaya-ghanas-oze-snode-technologies-from-south-africa-win-mest-africa-challenge-2019/" TargetMode="External"/><Relationship Id="rId56" Type="http://schemas.openxmlformats.org/officeDocument/2006/relationships/hyperlink" Target="https://www.crunchbase.com/funding_round/cellulant-series-b--f09e809a" TargetMode="External"/><Relationship Id="rId359" Type="http://schemas.openxmlformats.org/officeDocument/2006/relationships/hyperlink" Target="http://disrupt-africa.com/2017/10/andela-raises-40m-in-landmark-funding-deal/" TargetMode="External"/><Relationship Id="rId566" Type="http://schemas.openxmlformats.org/officeDocument/2006/relationships/hyperlink" Target="https://www.ewb.ca/en/news-and-events/news/news-engineers-without-borders-canada-portfolio-venture-greenpath-food-raises-series-a/" TargetMode="External"/><Relationship Id="rId773" Type="http://schemas.openxmlformats.org/officeDocument/2006/relationships/hyperlink" Target="http://disrupt-africa.com/2018/10/sa-crowdfunding-platform-uprise-africa-secures-funding/" TargetMode="External"/><Relationship Id="rId1196" Type="http://schemas.openxmlformats.org/officeDocument/2006/relationships/hyperlink" Target="https://techcabal.com/2019/08/14/kobo360-raises-us-30m-sets-its-sights-on-the-1-3-trillion-intra-african-trade-opportunity/" TargetMode="External"/><Relationship Id="rId121" Type="http://schemas.openxmlformats.org/officeDocument/2006/relationships/hyperlink" Target="http://www.greentechmedia.com/articles/read/Off-Grid-Electric-Raises-25M-From-DBL-Partners-and-SolarCity-for-Micro-Sol" TargetMode="External"/><Relationship Id="rId219" Type="http://schemas.openxmlformats.org/officeDocument/2006/relationships/hyperlink" Target="https://www.crunchbase.com/funding_round/lulalend-series-unknown--fd16f54c" TargetMode="External"/><Relationship Id="rId426" Type="http://schemas.openxmlformats.org/officeDocument/2006/relationships/hyperlink" Target="https://www.crunchbase.com/organization/pura-soda" TargetMode="External"/><Relationship Id="rId633" Type="http://schemas.openxmlformats.org/officeDocument/2006/relationships/hyperlink" Target="https://www.crunchbase.com/funding_round/tupuca-series-a--9da022c3" TargetMode="External"/><Relationship Id="rId980" Type="http://schemas.openxmlformats.org/officeDocument/2006/relationships/hyperlink" Target="https://www.coindesk.com/polychain-dcg-invest-in-crypto-futures-exchange-coinflex" TargetMode="External"/><Relationship Id="rId1056" Type="http://schemas.openxmlformats.org/officeDocument/2006/relationships/hyperlink" Target="http://disrupt-africa.com/2019/05/10-african-creatives-share-29k-prize-money-in-digital-lab-africa-competition/" TargetMode="External"/><Relationship Id="rId1263" Type="http://schemas.openxmlformats.org/officeDocument/2006/relationships/hyperlink" Target="https://startupbahrain.com/news/misk-foundations-growth-accelerator-program-picks-11-mena-based-tech-startups-in-1st-cohort/" TargetMode="External"/><Relationship Id="rId840" Type="http://schemas.openxmlformats.org/officeDocument/2006/relationships/hyperlink" Target="https://digestafrica.com/south-africa-naked-insurance-funding/" TargetMode="External"/><Relationship Id="rId938" Type="http://schemas.openxmlformats.org/officeDocument/2006/relationships/hyperlink" Target="https://digestafrica.com/vestedworld-kasha-backers/" TargetMode="External"/><Relationship Id="rId67" Type="http://schemas.openxmlformats.org/officeDocument/2006/relationships/hyperlink" Target="https://www.crunchbase.com/funding_round/kiroo-games-seed--572e0a15" TargetMode="External"/><Relationship Id="rId272" Type="http://schemas.openxmlformats.org/officeDocument/2006/relationships/hyperlink" Target="https://www.crunchbase.com/funding_round/aerobotics-seed--2c8f4508" TargetMode="External"/><Relationship Id="rId577" Type="http://schemas.openxmlformats.org/officeDocument/2006/relationships/hyperlink" Target="https://www.sautitech.com/startups/how-powah-is-investing-shs95m-grant-from-tdb/" TargetMode="External"/><Relationship Id="rId700" Type="http://schemas.openxmlformats.org/officeDocument/2006/relationships/hyperlink" Target="https://digestafrica.com/ventures-platform-nigeria-mdaas-global/" TargetMode="External"/><Relationship Id="rId1123" Type="http://schemas.openxmlformats.org/officeDocument/2006/relationships/hyperlink" Target="https://techmoran.com/2019/06/18/six-east-african-startup-entrepreneurs-receive-12000-from-mit-d-lab-scale-ups-fellowships-program/" TargetMode="External"/><Relationship Id="rId132" Type="http://schemas.openxmlformats.org/officeDocument/2006/relationships/hyperlink" Target="http://disrupt-africa.com/2015/12/kenyan-addressing-startup-okhi-raises-750k-funding/" TargetMode="External"/><Relationship Id="rId784" Type="http://schemas.openxmlformats.org/officeDocument/2006/relationships/hyperlink" Target="https://www.crunchbase.com/organization/kea-medicals" TargetMode="External"/><Relationship Id="rId991" Type="http://schemas.openxmlformats.org/officeDocument/2006/relationships/hyperlink" Target="https://500.co/announcing-batch-1-of-the-misk-500-mena-accelerator-program/" TargetMode="External"/><Relationship Id="rId1067" Type="http://schemas.openxmlformats.org/officeDocument/2006/relationships/hyperlink" Target="https://www.crunchbase.com/funding_round/africa-delivery-technologies-ltd-seed--440ee112" TargetMode="External"/><Relationship Id="rId437" Type="http://schemas.openxmlformats.org/officeDocument/2006/relationships/hyperlink" Target="https://www.crunchbase.com/funding_round/lynk-3-grant--72f4f9bd" TargetMode="External"/><Relationship Id="rId644" Type="http://schemas.openxmlformats.org/officeDocument/2006/relationships/hyperlink" Target="http://innovation-village.com/enko-education-raises-2-2-million-series-funding/" TargetMode="External"/><Relationship Id="rId851" Type="http://schemas.openxmlformats.org/officeDocument/2006/relationships/hyperlink" Target="https://www.menabytes.com/riseup-seed/" TargetMode="External"/><Relationship Id="rId283" Type="http://schemas.openxmlformats.org/officeDocument/2006/relationships/hyperlink" Target="https://techmoran.com/2017/05/11/africa-logistics-properties-raises-4m-from-dob-equity-to-improve-logistics-warehousing-in-kenya/" TargetMode="External"/><Relationship Id="rId490" Type="http://schemas.openxmlformats.org/officeDocument/2006/relationships/hyperlink" Target="https://techmoran.com/cape-town-based-skillup-tutors-raises-undisclosed-series-a-round-from-knife-capital-to-scale-the-business-internationally/" TargetMode="External"/><Relationship Id="rId504" Type="http://schemas.openxmlformats.org/officeDocument/2006/relationships/hyperlink" Target="http://ventureburn.com/2018/11/zelda-learning-r500k-angel/" TargetMode="External"/><Relationship Id="rId711" Type="http://schemas.openxmlformats.org/officeDocument/2006/relationships/hyperlink" Target="https://www.crunchbase.com/funding_round/hovo-seed--e64259c9" TargetMode="External"/><Relationship Id="rId949" Type="http://schemas.openxmlformats.org/officeDocument/2006/relationships/hyperlink" Target="https://www.menabytes.com/just-launched-hive/" TargetMode="External"/><Relationship Id="rId1134" Type="http://schemas.openxmlformats.org/officeDocument/2006/relationships/hyperlink" Target="https://www.crunchbase.com/funding_round/enoch-diary-seed--81454324" TargetMode="External"/><Relationship Id="rId78" Type="http://schemas.openxmlformats.org/officeDocument/2006/relationships/hyperlink" Target="https://magnitt.com/startups/taskty" TargetMode="External"/><Relationship Id="rId143" Type="http://schemas.openxmlformats.org/officeDocument/2006/relationships/hyperlink" Target="https://www.sec.gov/Archives/edgar/data/1664913/000121390016010426/xslFormDX01/primary_doc.xml" TargetMode="External"/><Relationship Id="rId350" Type="http://schemas.openxmlformats.org/officeDocument/2006/relationships/hyperlink" Target="https://www.crunchbase.com/funding_round/safemotos-convertible-note--4254004d" TargetMode="External"/><Relationship Id="rId588" Type="http://schemas.openxmlformats.org/officeDocument/2006/relationships/hyperlink" Target="http://gaia-impactfund.com/gaia-impact-fund-announces-investment-in-leading-west-african-solar-company-oolu/" TargetMode="External"/><Relationship Id="rId795" Type="http://schemas.openxmlformats.org/officeDocument/2006/relationships/hyperlink" Target="https://digestafrica.com/kukua-seed-round-echovc-partners/" TargetMode="External"/><Relationship Id="rId809" Type="http://schemas.openxmlformats.org/officeDocument/2006/relationships/hyperlink" Target="http://disrupt-africa.com/2018/11/nairobi-based-startup-wins-usaids-fall-armyworm-tech-prize/" TargetMode="External"/><Relationship Id="rId1201" Type="http://schemas.openxmlformats.org/officeDocument/2006/relationships/hyperlink" Target="http://disrupt-africa.com/2018/08/ucts-bertha-centre-dishes-out-50k-startup-grant-funding/" TargetMode="External"/><Relationship Id="rId9" Type="http://schemas.openxmlformats.org/officeDocument/2006/relationships/hyperlink" Target="https://www.crunchbase.com/funding_round/african-leadership-academy-grant--85c17ee3" TargetMode="External"/><Relationship Id="rId210" Type="http://schemas.openxmlformats.org/officeDocument/2006/relationships/hyperlink" Target="http://disrupt-africa.com/2016/09/nigerian-real-estate-classifieds-startup-tolet-com-ng-raises-1-2m/" TargetMode="External"/><Relationship Id="rId448" Type="http://schemas.openxmlformats.org/officeDocument/2006/relationships/hyperlink" Target="http://ventureburn.com/2018/06/hi5/" TargetMode="External"/><Relationship Id="rId655" Type="http://schemas.openxmlformats.org/officeDocument/2006/relationships/hyperlink" Target="https://www.azuri-technologies.com/news/africa-renewable-energy-fund-awards-1-6m-to-azuri-distributor-in-zambia-to-deliver-solar-home-lighting-to-7000-homes" TargetMode="External"/><Relationship Id="rId862" Type="http://schemas.openxmlformats.org/officeDocument/2006/relationships/hyperlink" Target="http://www.leseco.ma/entreprises/72458-african-entrepreneurship-award-treize-laureats-recompenses.html" TargetMode="External"/><Relationship Id="rId1078" Type="http://schemas.openxmlformats.org/officeDocument/2006/relationships/hyperlink" Target="https://www.carepay.com/news" TargetMode="External"/><Relationship Id="rId294" Type="http://schemas.openxmlformats.org/officeDocument/2006/relationships/hyperlink" Target="https://www.crunchbase.com/funding_round/babymigo-non-equity-assistance--70c4c1a0" TargetMode="External"/><Relationship Id="rId308" Type="http://schemas.openxmlformats.org/officeDocument/2006/relationships/hyperlink" Target="https://www.crunchbase.com/funding_round/hearx-group-seed--2a4d5a6b" TargetMode="External"/><Relationship Id="rId515" Type="http://schemas.openxmlformats.org/officeDocument/2006/relationships/hyperlink" Target="http://techativeng.com/2018/05/12/picture-touching-app-touchabl-raises-20000-funding-from-hubly/" TargetMode="External"/><Relationship Id="rId722" Type="http://schemas.openxmlformats.org/officeDocument/2006/relationships/hyperlink" Target="https://digestafrica.com/mest-invest-african-startups/" TargetMode="External"/><Relationship Id="rId1145" Type="http://schemas.openxmlformats.org/officeDocument/2006/relationships/hyperlink" Target="http://disrupt-africa.com/2019/06/6-nigerian-fintech-startups-secure-equity-free-funding-from-arm-labs/" TargetMode="External"/><Relationship Id="rId89" Type="http://schemas.openxmlformats.org/officeDocument/2006/relationships/hyperlink" Target="https://techcabal.com/2015/02/16/african-courier-express-raises-850000-funding-interswitch/" TargetMode="External"/><Relationship Id="rId154" Type="http://schemas.openxmlformats.org/officeDocument/2006/relationships/hyperlink" Target="http://disrupt-africa.com/2016/03/nigerias-st-media-raises-1m-for-petrol-pump-digital-advertising/" TargetMode="External"/><Relationship Id="rId361" Type="http://schemas.openxmlformats.org/officeDocument/2006/relationships/hyperlink" Target="https://www.crunchbase.com/funding_round/jumo-2-grant--33cca489" TargetMode="External"/><Relationship Id="rId599" Type="http://schemas.openxmlformats.org/officeDocument/2006/relationships/hyperlink" Target="http://ventureburn.com/2018/07/sbc-afritech-10-startups-second-cohort/" TargetMode="External"/><Relationship Id="rId1005" Type="http://schemas.openxmlformats.org/officeDocument/2006/relationships/hyperlink" Target="https://www.menabytes.com/gbarena-seed/" TargetMode="External"/><Relationship Id="rId1212" Type="http://schemas.openxmlformats.org/officeDocument/2006/relationships/hyperlink" Target="http://disrupt-africa.com/2019/08/8-sa-fintech-startups-share-1m-worth-in-funding-support-from-alphacode/" TargetMode="External"/><Relationship Id="rId459" Type="http://schemas.openxmlformats.org/officeDocument/2006/relationships/hyperlink" Target="https://www.crunchbase.com/funding_round/godochurch-series-a--893fb180" TargetMode="External"/><Relationship Id="rId666" Type="http://schemas.openxmlformats.org/officeDocument/2006/relationships/hyperlink" Target="https://www.crunchbase.com/funding_round/buycoins-seed--842371c8" TargetMode="External"/><Relationship Id="rId873" Type="http://schemas.openxmlformats.org/officeDocument/2006/relationships/hyperlink" Target="http://disrupt-africa.com/2018/12/ghanaian-agri-tech-startup-agrocenta-closes-650k-seed-round-of-funding/" TargetMode="External"/><Relationship Id="rId1089" Type="http://schemas.openxmlformats.org/officeDocument/2006/relationships/hyperlink" Target="http://disrupt-africa.com/2019/05/nigerian-maritime-logistics-platform-mvxchange-closes-pre-seed-funding-round/" TargetMode="External"/><Relationship Id="rId16" Type="http://schemas.openxmlformats.org/officeDocument/2006/relationships/hyperlink" Target="https://www.crunchbase.com/organization/konga-online-shopping-limited" TargetMode="External"/><Relationship Id="rId221" Type="http://schemas.openxmlformats.org/officeDocument/2006/relationships/hyperlink" Target="https://www.crunchbase.com/funding_round/safemotos-seed--6b623a66" TargetMode="External"/><Relationship Id="rId319" Type="http://schemas.openxmlformats.org/officeDocument/2006/relationships/hyperlink" Target="https://techmoran.com/2017/08/04/sky-garden-raises-100000-funding-katapult-accelerator-fill-gap-left-kaymu/" TargetMode="External"/><Relationship Id="rId526" Type="http://schemas.openxmlformats.org/officeDocument/2006/relationships/hyperlink" Target="https://www.menabytes.com/flat6labs-cairo-tenth-cycle/" TargetMode="External"/><Relationship Id="rId1156" Type="http://schemas.openxmlformats.org/officeDocument/2006/relationships/hyperlink" Target="https://www.menabytes.com/wide-bot-pre-series-a/?utm_source=dlvr.it&amp;utm_medium=twitter" TargetMode="External"/><Relationship Id="rId733" Type="http://schemas.openxmlformats.org/officeDocument/2006/relationships/hyperlink" Target="http://digestafrica.com/cape-town-jumo-goldman-sachs/" TargetMode="External"/><Relationship Id="rId940" Type="http://schemas.openxmlformats.org/officeDocument/2006/relationships/hyperlink" Target="https://www.itnewsafrica.com/2019/02/cortex-logic-secures-investment-to-grow-business-beyond-africa/" TargetMode="External"/><Relationship Id="rId1016" Type="http://schemas.openxmlformats.org/officeDocument/2006/relationships/hyperlink" Target="https://ventureburn.com/2019/04/medsaf-iyeza-health-10k-gates-foundation/" TargetMode="External"/><Relationship Id="rId165" Type="http://schemas.openxmlformats.org/officeDocument/2006/relationships/hyperlink" Target="http://disrupt-africa.com/2016/05/sa-online-verification-startup-thisisme-raises-2-5m-funding/" TargetMode="External"/><Relationship Id="rId372" Type="http://schemas.openxmlformats.org/officeDocument/2006/relationships/hyperlink" Target="https://www.crunchbase.com/funding_round/legitcar-grant--02d9aff0" TargetMode="External"/><Relationship Id="rId677" Type="http://schemas.openxmlformats.org/officeDocument/2006/relationships/hyperlink" Target="https://www.sec.gov/Archives/edgar/data/1751829/000175182918000001/xslFormDX01/primary_doc.xml" TargetMode="External"/><Relationship Id="rId800" Type="http://schemas.openxmlformats.org/officeDocument/2006/relationships/hyperlink" Target="http://ventureburn.com/2018/11/trace-acquires-coinafrique-stake/" TargetMode="External"/><Relationship Id="rId1223" Type="http://schemas.openxmlformats.org/officeDocument/2006/relationships/hyperlink" Target="https://techcrunch.com/2019/08/21/african-incubator-mest-has-a-new-md-and-11-fresh-startup-investments/" TargetMode="External"/><Relationship Id="rId232" Type="http://schemas.openxmlformats.org/officeDocument/2006/relationships/hyperlink" Target="https://www.crunchbase.com/funding_round/aella-credit-seed--eb8484ca" TargetMode="External"/><Relationship Id="rId884" Type="http://schemas.openxmlformats.org/officeDocument/2006/relationships/hyperlink" Target="https://digestafrica.com/mastercard-uganda-burundi-malawi/" TargetMode="External"/><Relationship Id="rId27" Type="http://schemas.openxmlformats.org/officeDocument/2006/relationships/hyperlink" Target="http://www.finsmes.com/2012/11/zando-co-za-receives-e20m-equity-investment-summit-partners.html" TargetMode="External"/><Relationship Id="rId537" Type="http://schemas.openxmlformats.org/officeDocument/2006/relationships/hyperlink" Target="https://is.gd/129fZA" TargetMode="External"/><Relationship Id="rId744" Type="http://schemas.openxmlformats.org/officeDocument/2006/relationships/hyperlink" Target="https://www.crunchbase.com/funding_round/betaksys-systeme-seed--b59ccb38" TargetMode="External"/><Relationship Id="rId951" Type="http://schemas.openxmlformats.org/officeDocument/2006/relationships/hyperlink" Target="https://www.itweb.co.za/content/dgp45vaGmQAMX9l8" TargetMode="External"/><Relationship Id="rId1167" Type="http://schemas.openxmlformats.org/officeDocument/2006/relationships/hyperlink" Target="http://disrupt-africa.com/2019/07/african-tech-startups-winners-at-ocp-mining-challenge-in-morocco/" TargetMode="External"/><Relationship Id="rId80" Type="http://schemas.openxmlformats.org/officeDocument/2006/relationships/hyperlink" Target="https://www.crunchbase.com/funding_round/copia-global-undisclosed--fc2e1615" TargetMode="External"/><Relationship Id="rId176" Type="http://schemas.openxmlformats.org/officeDocument/2006/relationships/hyperlink" Target="https://www.crunchbase.com/funding_round/sokowatch-non-equity-assistance--1e4a4fed" TargetMode="External"/><Relationship Id="rId383" Type="http://schemas.openxmlformats.org/officeDocument/2006/relationships/hyperlink" Target="https://www.crunchbase.com/funding_round/farmcrowdy-seed--f23ef3e6" TargetMode="External"/><Relationship Id="rId590" Type="http://schemas.openxmlformats.org/officeDocument/2006/relationships/hyperlink" Target="http://ventureburn.com/2018/07/us-impact-investor-invests-250k-ghanaian-startup-redbird-health-tech/" TargetMode="External"/><Relationship Id="rId604" Type="http://schemas.openxmlformats.org/officeDocument/2006/relationships/hyperlink" Target="http://ventureburn.com/2018/07/sbc-afritech-10-startups-second-cohort/" TargetMode="External"/><Relationship Id="rId811" Type="http://schemas.openxmlformats.org/officeDocument/2006/relationships/hyperlink" Target="http://pctechmag.com/2018/11/akorion-secures-usd75000-as-runners-up-for-usaids-fall-armyworm-tech-prize/" TargetMode="External"/><Relationship Id="rId1027" Type="http://schemas.openxmlformats.org/officeDocument/2006/relationships/hyperlink" Target="https://digestafrica.com/founders-factory-africa" TargetMode="External"/><Relationship Id="rId1234" Type="http://schemas.openxmlformats.org/officeDocument/2006/relationships/hyperlink" Target="http://disrupt-africa.com/2019/08/2-egyptian-startups-share-120k-grant-funding-at-changelabs-demo-day/" TargetMode="External"/><Relationship Id="rId243" Type="http://schemas.openxmlformats.org/officeDocument/2006/relationships/hyperlink" Target="https://www.crunchbase.com/funding_round/d-light-design-series-unknown--bb2a23ba" TargetMode="External"/><Relationship Id="rId450" Type="http://schemas.openxmlformats.org/officeDocument/2006/relationships/hyperlink" Target="http://www.finsmes.com/2018/03/wefarm-secures-5m-new-financing-round.html" TargetMode="External"/><Relationship Id="rId688" Type="http://schemas.openxmlformats.org/officeDocument/2006/relationships/hyperlink" Target="https://digestafrica.com/mest-invest-african-startups/" TargetMode="External"/><Relationship Id="rId895" Type="http://schemas.openxmlformats.org/officeDocument/2006/relationships/hyperlink" Target="https://digestafrica.com/ethiopia-ride-hailing-zayride-zaytech/" TargetMode="External"/><Relationship Id="rId909" Type="http://schemas.openxmlformats.org/officeDocument/2006/relationships/hyperlink" Target="http://disrupt-africa.com/2019/01/ethiopian-startup-behind-zayride-taxi-app-secures-seed-funding/" TargetMode="External"/><Relationship Id="rId1080" Type="http://schemas.openxmlformats.org/officeDocument/2006/relationships/hyperlink" Target="https://www.wamda.com/en/2019/05/egypts-xpay-preseed" TargetMode="External"/><Relationship Id="rId38" Type="http://schemas.openxmlformats.org/officeDocument/2006/relationships/hyperlink" Target="https://www.wamda.com/2013/078/edfa3ly-plans-regional-expansion-following-series-a-investment-from-tamkeen-capital?ref=fb" TargetMode="External"/><Relationship Id="rId103" Type="http://schemas.openxmlformats.org/officeDocument/2006/relationships/hyperlink" Target="https://www.crunchbase.com/funding_round/one-finance-and-investments-limited-debt-financing--6e8d7678" TargetMode="External"/><Relationship Id="rId310" Type="http://schemas.openxmlformats.org/officeDocument/2006/relationships/hyperlink" Target="https://www.crunchbase.com/funding_round/twiga-foods-grant--dd73d332" TargetMode="External"/><Relationship Id="rId548" Type="http://schemas.openxmlformats.org/officeDocument/2006/relationships/hyperlink" Target="https://www.crunchbase.com/funding_round/africasokoni-seed--b88b6aab" TargetMode="External"/><Relationship Id="rId755" Type="http://schemas.openxmlformats.org/officeDocument/2006/relationships/hyperlink" Target="https://weetracker.com/2018/10/06/ugandan-startup-neopenda-wins-usd-30-k-un-women-prize/" TargetMode="External"/><Relationship Id="rId962" Type="http://schemas.openxmlformats.org/officeDocument/2006/relationships/hyperlink" Target="https://www.menabytes.com/trella-pre-seed/" TargetMode="External"/><Relationship Id="rId1178" Type="http://schemas.openxmlformats.org/officeDocument/2006/relationships/hyperlink" Target="https://ventureburn.com/2019/07/healthcent-r8m-investment-deal/" TargetMode="External"/><Relationship Id="rId91" Type="http://schemas.openxmlformats.org/officeDocument/2006/relationships/hyperlink" Target="https://www.crunchbase.com/organization/m4jam" TargetMode="External"/><Relationship Id="rId187" Type="http://schemas.openxmlformats.org/officeDocument/2006/relationships/hyperlink" Target="https://dailynewsegypt.com/2016/07/16/mumm-and-a15-join-forces-to-provide-home-made-food-online/" TargetMode="External"/><Relationship Id="rId394" Type="http://schemas.openxmlformats.org/officeDocument/2006/relationships/hyperlink" Target="https://www.crunchbase.com/funding_round/scale-ma-seed--30a5206b" TargetMode="External"/><Relationship Id="rId408" Type="http://schemas.openxmlformats.org/officeDocument/2006/relationships/hyperlink" Target="https://www.forbesmiddleeast.com/egyptian-fintech-startup-moneyfellows-secures-investment" TargetMode="External"/><Relationship Id="rId615" Type="http://schemas.openxmlformats.org/officeDocument/2006/relationships/hyperlink" Target="http://disrupt-africa.com/2018/08/kenyan-solar-startup-sunculture-secures-edf-funding/" TargetMode="External"/><Relationship Id="rId822" Type="http://schemas.openxmlformats.org/officeDocument/2006/relationships/hyperlink" Target="https://impactalpha.com/zimbabwes-zonful-raises-early-funding-for-pay-as-you-go-solar/" TargetMode="External"/><Relationship Id="rId1038" Type="http://schemas.openxmlformats.org/officeDocument/2006/relationships/hyperlink" Target="https://digestafrica.com/ghana-kudigo-cseed-round-led-by-founders-factory-africa" TargetMode="External"/><Relationship Id="rId1245" Type="http://schemas.openxmlformats.org/officeDocument/2006/relationships/hyperlink" Target="https://www.wamda.com/2019/09/doctoorum-raises-seed-funding" TargetMode="External"/><Relationship Id="rId254" Type="http://schemas.openxmlformats.org/officeDocument/2006/relationships/hyperlink" Target="http://innovation-village.com/ta-associates-acquires-minority-stake-interswitch/" TargetMode="External"/><Relationship Id="rId699" Type="http://schemas.openxmlformats.org/officeDocument/2006/relationships/hyperlink" Target="https://www.capitalfm.co.ke/business/2018/09/logistics-firm-bwala-africa-secures-sh10m-financing-to-expand-fleet/" TargetMode="External"/><Relationship Id="rId1091" Type="http://schemas.openxmlformats.org/officeDocument/2006/relationships/hyperlink" Target="https://ventureburn.com/2019/05/govchat-r20m-capital-appreciation/" TargetMode="External"/><Relationship Id="rId1105" Type="http://schemas.openxmlformats.org/officeDocument/2006/relationships/hyperlink" Target="https://businesstech.co.za/news/banking/322387/tymebank-receives-r200-million-investment/" TargetMode="External"/><Relationship Id="rId49" Type="http://schemas.openxmlformats.org/officeDocument/2006/relationships/hyperlink" Target="https://www.crunchbase.com/funding_round/ace-2-seed--e2e17f1c" TargetMode="External"/><Relationship Id="rId114" Type="http://schemas.openxmlformats.org/officeDocument/2006/relationships/hyperlink" Target="https://www.crunchbase.com/funding_round/msurvey-seed--29468c79" TargetMode="External"/><Relationship Id="rId461" Type="http://schemas.openxmlformats.org/officeDocument/2006/relationships/hyperlink" Target="https://www.crunchbase.com/funding_round/optimalogistic-sa-seed--76790d80" TargetMode="External"/><Relationship Id="rId559" Type="http://schemas.openxmlformats.org/officeDocument/2006/relationships/hyperlink" Target="https://www.crunchbase.com/funding_round/musanga-seed--8b1635c1" TargetMode="External"/><Relationship Id="rId766" Type="http://schemas.openxmlformats.org/officeDocument/2006/relationships/hyperlink" Target="http://ventureburn.com/2018/10/sab-foundation-innovation-awards/" TargetMode="External"/><Relationship Id="rId1189" Type="http://schemas.openxmlformats.org/officeDocument/2006/relationships/hyperlink" Target="https://www.businesswire.com/news/home/20190808005368/en/Lamar-Holding-Invests-USD-1M-TechAdvance-Support/?feedref=JjAwJuNHiystnCoBq_hl-Q-tiwWZwkcswR1UZtV7eGe24xL9TZOyQUMS3J72mJlQ7fxFuNFTHSunhvli30RlBNXya2izy9YOgHlBiZQk2LOzmn6JePCpHPCiYGaEx4DL1Rq8pNwkf3Aar" TargetMode="External"/><Relationship Id="rId198" Type="http://schemas.openxmlformats.org/officeDocument/2006/relationships/hyperlink" Target="https://www.crunchbase.com/funding_round/twiga-foods-private-equity--09762cd9" TargetMode="External"/><Relationship Id="rId321" Type="http://schemas.openxmlformats.org/officeDocument/2006/relationships/hyperlink" Target="https://500.co/announcing-500-startups-batch-22/" TargetMode="External"/><Relationship Id="rId419" Type="http://schemas.openxmlformats.org/officeDocument/2006/relationships/hyperlink" Target="https://techcentral.co.za/pic-buys-25-zar-x/79252/" TargetMode="External"/><Relationship Id="rId626" Type="http://schemas.openxmlformats.org/officeDocument/2006/relationships/hyperlink" Target="https://techpoint.africa/reports/q3/" TargetMode="External"/><Relationship Id="rId973" Type="http://schemas.openxmlformats.org/officeDocument/2006/relationships/hyperlink" Target="https://weetracker.com/2019/03/07/exclusive-nairobi-based-youth-focused-social-enterprise-yusudi-raises-usd-250-k-from-blue-haven-initiative/" TargetMode="External"/><Relationship Id="rId1049" Type="http://schemas.openxmlformats.org/officeDocument/2006/relationships/hyperlink" Target="http://disrupt-africa.com/2019/04/4-egyptian-startups-selected-for-500-startups-mena-dojo-programme/" TargetMode="External"/><Relationship Id="rId1256" Type="http://schemas.openxmlformats.org/officeDocument/2006/relationships/hyperlink" Target="https://techmoran.com/2019/09/13/pitch-agrihack-awards-over-60k-into-african-innovators-transforming-agriculture/" TargetMode="External"/><Relationship Id="rId833" Type="http://schemas.openxmlformats.org/officeDocument/2006/relationships/hyperlink" Target="https://techmoran.com/2018/11/30/kolopay-accounteer-tradebuza-powercube-raise-100k-from-nigerias-itanna-accelerator/" TargetMode="External"/><Relationship Id="rId1116" Type="http://schemas.openxmlformats.org/officeDocument/2006/relationships/hyperlink" Target="http://max.ng/" TargetMode="External"/><Relationship Id="rId265" Type="http://schemas.openxmlformats.org/officeDocument/2006/relationships/hyperlink" Target="https://www.crunchbase.com/funding_round/flutterwave-series-a--7571dcbe" TargetMode="External"/><Relationship Id="rId472" Type="http://schemas.openxmlformats.org/officeDocument/2006/relationships/hyperlink" Target="https://innovation-village.com/dfs-lab-to-invest-200000-in-four-african-startups/" TargetMode="External"/><Relationship Id="rId900" Type="http://schemas.openxmlformats.org/officeDocument/2006/relationships/hyperlink" Target="https://www.reuters.com/article/kenya-privateequity/private-equity-firms-africinvest-catalyst-invest-in-kenyas-prime-bank-idUSL8N1Z819E" TargetMode="External"/><Relationship Id="rId125" Type="http://schemas.openxmlformats.org/officeDocument/2006/relationships/hyperlink" Target="https://techpoint.africa/2015/11/18/travelbeta-rairian-investors/" TargetMode="External"/><Relationship Id="rId332" Type="http://schemas.openxmlformats.org/officeDocument/2006/relationships/hyperlink" Target="https://techmoran.com/2017/09/08/safaricom-spark-fund-invests-agricultural-inputs-supply-chain-platform-iprocure/" TargetMode="External"/><Relationship Id="rId777" Type="http://schemas.openxmlformats.org/officeDocument/2006/relationships/hyperlink" Target="http://disrupt-africa.com/2018/10/african-startups-secure-grant-money-from-mastercard-fund/" TargetMode="External"/><Relationship Id="rId984" Type="http://schemas.openxmlformats.org/officeDocument/2006/relationships/hyperlink" Target="https://pulse2.com/backstage-capital-accelerator-program-first-cohort/?utm_source=feedburner&amp;utm_campaign=Feed%3A+pulse2+%28Pulse+2.0+-+Technology+News+and+Reviews%29" TargetMode="External"/><Relationship Id="rId637" Type="http://schemas.openxmlformats.org/officeDocument/2006/relationships/hyperlink" Target="https://techmoran.com/2019/02/19/business-directory-findit-ke-raises-200000-to-disrupt-how-users-interact-with-businesses-in-kenya/" TargetMode="External"/><Relationship Id="rId844" Type="http://schemas.openxmlformats.org/officeDocument/2006/relationships/hyperlink" Target="https://techcrunch.com/2018/12/07/nigerian-logistics-startup-kobo360-raises-6m-expands-in-africa/" TargetMode="External"/><Relationship Id="rId1267" Type="http://schemas.openxmlformats.org/officeDocument/2006/relationships/hyperlink" Target="https://disrupt-africa.com/2019/09/botswanan-ghanaian-startups-win-50k-each-from-gogettaz-agripreneur-competition/" TargetMode="External"/><Relationship Id="rId276" Type="http://schemas.openxmlformats.org/officeDocument/2006/relationships/hyperlink" Target="https://www.crunchbase.com/organization/cars45" TargetMode="External"/><Relationship Id="rId483" Type="http://schemas.openxmlformats.org/officeDocument/2006/relationships/hyperlink" Target="http://ventureburn.com/2018/04/msurvey-tlcom-capital-series-a-round/" TargetMode="External"/><Relationship Id="rId690" Type="http://schemas.openxmlformats.org/officeDocument/2006/relationships/hyperlink" Target="https://www.crunchbase.com/funding_round/zaagel-xpress-seed--6801acd6" TargetMode="External"/><Relationship Id="rId704" Type="http://schemas.openxmlformats.org/officeDocument/2006/relationships/hyperlink" Target="http://www.startup365.fr/africa-tanzanias-nala-wins-ecobank-fintech-challenge/" TargetMode="External"/><Relationship Id="rId911" Type="http://schemas.openxmlformats.org/officeDocument/2006/relationships/hyperlink" Target="https://hapakenya.com/2019/01/23/the-french-development-agency-invests-ksh-150-million-in-m-tiba/" TargetMode="External"/><Relationship Id="rId1127" Type="http://schemas.openxmlformats.org/officeDocument/2006/relationships/hyperlink" Target="https://ventureburn.com/2019/06/eksab-investment-500-startups/" TargetMode="External"/><Relationship Id="rId40" Type="http://schemas.openxmlformats.org/officeDocument/2006/relationships/hyperlink" Target="https://magnitt.com/startups/eventtus" TargetMode="External"/><Relationship Id="rId136" Type="http://schemas.openxmlformats.org/officeDocument/2006/relationships/hyperlink" Target="http://disrupt-africa.com/2016/01/kenyas-brck-raises-3m-to-expand-operations/" TargetMode="External"/><Relationship Id="rId343" Type="http://schemas.openxmlformats.org/officeDocument/2006/relationships/hyperlink" Target="https://techcrunch.com/2017/10/11/lori-systems-wins-best-of-show-at-startup-battlefield-africa/?ncid=rss" TargetMode="External"/><Relationship Id="rId550" Type="http://schemas.openxmlformats.org/officeDocument/2006/relationships/hyperlink" Target="https://www.crunchbase.com/funding_round/lush-plans-non-equity-assistance--3590798f" TargetMode="External"/><Relationship Id="rId788" Type="http://schemas.openxmlformats.org/officeDocument/2006/relationships/hyperlink" Target="https://www.crunchbase.com/funding_round/afrikrea-seed--0acfef8a" TargetMode="External"/><Relationship Id="rId995" Type="http://schemas.openxmlformats.org/officeDocument/2006/relationships/hyperlink" Target="https://weetracker.com/2019/03/20/west-african-solar-company-pega-africa-brings-its-total-funding-to-usd-50-mn-with-recent-usd-25-mn-series-c/" TargetMode="External"/><Relationship Id="rId1180" Type="http://schemas.openxmlformats.org/officeDocument/2006/relationships/hyperlink" Target="https://techpoint.africa/2019/08/02/gona-raises-fund/?ct=t(EMAIL_CAMPAIGN_8_6_2019_17_9)&amp;mc_cid=d121d4ba4e&amp;mc_eid=a7646ea2e2" TargetMode="External"/><Relationship Id="rId203" Type="http://schemas.openxmlformats.org/officeDocument/2006/relationships/hyperlink" Target="http://disrupt-africa.com/2016/09/funding-for-kenyan-ambulance-app-flare-rises-to-150k/" TargetMode="External"/><Relationship Id="rId648" Type="http://schemas.openxmlformats.org/officeDocument/2006/relationships/hyperlink" Target="https://weetracker.com/2018/08/06/zimbabwean-startup-zonful-energy-secures-usd-300k-in-funding-from-persistent-energy-capital/" TargetMode="External"/><Relationship Id="rId855" Type="http://schemas.openxmlformats.org/officeDocument/2006/relationships/hyperlink" Target="http://ventureburn.com/2018/12/nala-seedstars-dar-es-salaam-y-combinator/" TargetMode="External"/><Relationship Id="rId1040" Type="http://schemas.openxmlformats.org/officeDocument/2006/relationships/hyperlink" Target="http://disrupt-africa.com/2019/04/nigerian-fintech-startups-awarded-efina-grant-funding/" TargetMode="External"/><Relationship Id="rId287" Type="http://schemas.openxmlformats.org/officeDocument/2006/relationships/hyperlink" Target="https://www.crunchbase.com/funding_round/flutterwave-non-equity-assistance--14c783dd" TargetMode="External"/><Relationship Id="rId410" Type="http://schemas.openxmlformats.org/officeDocument/2006/relationships/hyperlink" Target="http://www.afrikatech.com/start-business/start-week-kamtar-company-revolutionizing-logistics-ivory-coast/" TargetMode="External"/><Relationship Id="rId494" Type="http://schemas.openxmlformats.org/officeDocument/2006/relationships/hyperlink" Target="https://techmoran.com/kenyas-mobius-motors-raises-a-5-million-debt-financing-to-set-up-a-manufacturing-facility-in-nairobi/" TargetMode="External"/><Relationship Id="rId508" Type="http://schemas.openxmlformats.org/officeDocument/2006/relationships/hyperlink" Target="http://www.startupchile.org/seed-results-welcome-generation-seedg20/" TargetMode="External"/><Relationship Id="rId715" Type="http://schemas.openxmlformats.org/officeDocument/2006/relationships/hyperlink" Target="https://techmoran.com/2018/09/10/the-katapult-accelerator-invests-450000-into-kenyas-finaccess-egypts-praxilabs-tunisias-think-it/" TargetMode="External"/><Relationship Id="rId922" Type="http://schemas.openxmlformats.org/officeDocument/2006/relationships/hyperlink" Target="https://digestafrica.com/al-gore-firm-andela-series-d/" TargetMode="External"/><Relationship Id="rId1138" Type="http://schemas.openxmlformats.org/officeDocument/2006/relationships/hyperlink" Target="http://disrupt-africa.com/2019/06/nigerian-ed-tech-startup-scholarx-raises-100k-in-pre-seed-round/" TargetMode="External"/><Relationship Id="rId147" Type="http://schemas.openxmlformats.org/officeDocument/2006/relationships/hyperlink" Target="https://www.crunchbase.com/funding_round/twiga-foods-convertible-note--39ff8edf" TargetMode="External"/><Relationship Id="rId354" Type="http://schemas.openxmlformats.org/officeDocument/2006/relationships/hyperlink" Target="https://digestafrica.com/after-announcing-seed-round-uganda-based-asaak/" TargetMode="External"/><Relationship Id="rId799" Type="http://schemas.openxmlformats.org/officeDocument/2006/relationships/hyperlink" Target="https://news.bitcoin.com/sompo-holdings-acquires-10-stake-in-kenyan-cryptocurrency-exchange-bitpesa/" TargetMode="External"/><Relationship Id="rId1191" Type="http://schemas.openxmlformats.org/officeDocument/2006/relationships/hyperlink" Target="https://www.crunchbase.com/funding_round/mobu-seed--c1d0921c" TargetMode="External"/><Relationship Id="rId1205" Type="http://schemas.openxmlformats.org/officeDocument/2006/relationships/hyperlink" Target="https://www.privateequitywire.co.uk/2019/08/19/278095/dob-equity-and-global-innovation-fund-invest-african-recycling-business" TargetMode="External"/><Relationship Id="rId51" Type="http://schemas.openxmlformats.org/officeDocument/2006/relationships/hyperlink" Target="http://www.ifc.org/wps/wcm/connect/industry_ext_content/ifc_external_corporate_site/industries/health+and+education/news/bridgeschools_feature" TargetMode="External"/><Relationship Id="rId561" Type="http://schemas.openxmlformats.org/officeDocument/2006/relationships/hyperlink" Target="https://www.pv-tech.org/news/sunfunder-announces-us1.2-million-in-financing-for-questworks-pv-pipeline-i" TargetMode="External"/><Relationship Id="rId659" Type="http://schemas.openxmlformats.org/officeDocument/2006/relationships/hyperlink" Target="https://www.crunchbase.com/funding_round/l%C3%BCla-grant--a0514a4e" TargetMode="External"/><Relationship Id="rId866" Type="http://schemas.openxmlformats.org/officeDocument/2006/relationships/hyperlink" Target="http://www.leseco.ma/entreprises/72458-african-entrepreneurship-award-treize-laureats-recompenses.html" TargetMode="External"/><Relationship Id="rId214" Type="http://schemas.openxmlformats.org/officeDocument/2006/relationships/hyperlink" Target="https://www.crunchbase.com/funding_round/apollo-agriculture-seed--a78a3f28" TargetMode="External"/><Relationship Id="rId298" Type="http://schemas.openxmlformats.org/officeDocument/2006/relationships/hyperlink" Target="https://www.crunchbase.com/funding_round/pawame-seed--e9f494ab" TargetMode="External"/><Relationship Id="rId421" Type="http://schemas.openxmlformats.org/officeDocument/2006/relationships/hyperlink" Target="http://ventureburn.com/2018/01/wigroup-funding-smollan-virgin/" TargetMode="External"/><Relationship Id="rId519" Type="http://schemas.openxmlformats.org/officeDocument/2006/relationships/hyperlink" Target="http://ventureburn.com/2018/05/kenyan-agritech-startup-selina-wamucii-receives-100k-grant-expo-live/" TargetMode="External"/><Relationship Id="rId1051" Type="http://schemas.openxmlformats.org/officeDocument/2006/relationships/hyperlink" Target="https://ventureburn.com/2019/04/nobuntu-blue-garnet-ventures/" TargetMode="External"/><Relationship Id="rId1149" Type="http://schemas.openxmlformats.org/officeDocument/2006/relationships/hyperlink" Target="http://disrupt-africa.com/2019/06/6-nigerian-fintech-startups-secure-equity-free-funding-from-arm-labs/" TargetMode="External"/><Relationship Id="rId158" Type="http://schemas.openxmlformats.org/officeDocument/2006/relationships/hyperlink" Target="http://disrupt-africa.com/2016/04/ugandan-motorcycle-app-safeboda-raises-227k-from-gif/" TargetMode="External"/><Relationship Id="rId726" Type="http://schemas.openxmlformats.org/officeDocument/2006/relationships/hyperlink" Target="http://crop2cash.com.ng/" TargetMode="External"/><Relationship Id="rId933" Type="http://schemas.openxmlformats.org/officeDocument/2006/relationships/hyperlink" Target="https://digestafrica.com/kenya-farmdrive-investment-existing-backer/" TargetMode="External"/><Relationship Id="rId1009" Type="http://schemas.openxmlformats.org/officeDocument/2006/relationships/hyperlink" Target="https://techcrunch.com/2019/03/28/dakar-network-angels-begins-startup-investments-in-francophone-africa/" TargetMode="External"/><Relationship Id="rId62" Type="http://schemas.openxmlformats.org/officeDocument/2006/relationships/hyperlink" Target="https://www.crunchbase.com/funding_round/umati-capital-seed--f02aa2f1" TargetMode="External"/><Relationship Id="rId365" Type="http://schemas.openxmlformats.org/officeDocument/2006/relationships/hyperlink" Target="https://ventureburn.com/2017/11/ipay-r10m/" TargetMode="External"/><Relationship Id="rId572" Type="http://schemas.openxmlformats.org/officeDocument/2006/relationships/hyperlink" Target="https://businesspost.ng/2018/06/27/staff-bus-nigeria-picks-tinubus-n5m-startup-grant/" TargetMode="External"/><Relationship Id="rId1216" Type="http://schemas.openxmlformats.org/officeDocument/2006/relationships/hyperlink" Target="https://techcrunch.com/2019/08/21/african-incubator-mest-has-a-new-md-and-11-fresh-startup-investments/" TargetMode="External"/><Relationship Id="rId225" Type="http://schemas.openxmlformats.org/officeDocument/2006/relationships/hyperlink" Target="https://www.crunchbase.com/funding_round/d-light-design-debt-financing--3ea2ec71" TargetMode="External"/><Relationship Id="rId432" Type="http://schemas.openxmlformats.org/officeDocument/2006/relationships/hyperlink" Target="https://www.itweb.co.za/content/o1Jr5MxEkyXqKdWL" TargetMode="External"/><Relationship Id="rId877" Type="http://schemas.openxmlformats.org/officeDocument/2006/relationships/hyperlink" Target="http://disrupt-africa.com/2018/12/sa-property-startup-houseme-secures-latest-funding-round/" TargetMode="External"/><Relationship Id="rId1062" Type="http://schemas.openxmlformats.org/officeDocument/2006/relationships/hyperlink" Target="https://www.businessdailyafrica.com/corporate/enterprise/Startups-win-Sh65m-in-innovation-drive/4003126-5113512-4ld50b/index.html" TargetMode="External"/><Relationship Id="rId737" Type="http://schemas.openxmlformats.org/officeDocument/2006/relationships/hyperlink" Target="https://techpoint.africa/2018/09/21/information-technology-startup-enov8-solutions-bold-ambition-to-take-over/" TargetMode="External"/><Relationship Id="rId944" Type="http://schemas.openxmlformats.org/officeDocument/2006/relationships/hyperlink" Target="http://appro.tn/" TargetMode="External"/><Relationship Id="rId73" Type="http://schemas.openxmlformats.org/officeDocument/2006/relationships/hyperlink" Target="https://www.crunchbase.com/funding_round/yumamia-angel--3254c052" TargetMode="External"/><Relationship Id="rId169" Type="http://schemas.openxmlformats.org/officeDocument/2006/relationships/hyperlink" Target="http://disrupt-africa.com/2016/05/sa-marketing-tech-startup-delvv-io-raises-127k-funding/" TargetMode="External"/><Relationship Id="rId376" Type="http://schemas.openxmlformats.org/officeDocument/2006/relationships/hyperlink" Target="http://disrupt-africa.com/2017/12/egyptian-ai-startup-elves-raises-2m-seed-round/" TargetMode="External"/><Relationship Id="rId583" Type="http://schemas.openxmlformats.org/officeDocument/2006/relationships/hyperlink" Target="https://digestafrica.com/greentec-capital-bismart-kenya/" TargetMode="External"/><Relationship Id="rId790" Type="http://schemas.openxmlformats.org/officeDocument/2006/relationships/hyperlink" Target="http://ventureburn.com/2018/11/edtech-edves-seed-funding/" TargetMode="External"/><Relationship Id="rId804" Type="http://schemas.openxmlformats.org/officeDocument/2006/relationships/hyperlink" Target="https://techmoran.com/kenyas-farm-ink-brings-home-150000-after-winning-usaids-future-fall-armyworm-tech-grand-prize/" TargetMode="External"/><Relationship Id="rId1227" Type="http://schemas.openxmlformats.org/officeDocument/2006/relationships/hyperlink" Target="https://ventureburn.com/2019/08/fincheck-acquires-stake-in-fundinghub/" TargetMode="External"/><Relationship Id="rId4" Type="http://schemas.openxmlformats.org/officeDocument/2006/relationships/hyperlink" Target="http://foundationcenter.org/pnd/news/story.jhtml?id=277200002" TargetMode="External"/><Relationship Id="rId236" Type="http://schemas.openxmlformats.org/officeDocument/2006/relationships/hyperlink" Target="https://www.crunchbase.com/funding_round/fintec-labs-series-a--e0c48c04" TargetMode="External"/><Relationship Id="rId443" Type="http://schemas.openxmlformats.org/officeDocument/2006/relationships/hyperlink" Target="https://techmoran.com/gsma-ecosystem-accelerator-innovation-fund-injects-millions-equity-free-grants-african-startups/" TargetMode="External"/><Relationship Id="rId650" Type="http://schemas.openxmlformats.org/officeDocument/2006/relationships/hyperlink" Target="http://disrupt-africa.com/2018/08/3-african-internet-provision-startups-secure-microsoft-grants/" TargetMode="External"/><Relationship Id="rId888" Type="http://schemas.openxmlformats.org/officeDocument/2006/relationships/hyperlink" Target="https://digestafrica.com/carlyle-group-invest-nigeria-wakanow/" TargetMode="External"/><Relationship Id="rId1073" Type="http://schemas.openxmlformats.org/officeDocument/2006/relationships/hyperlink" Target="https://www.wamda.com/2019/05/cairo-based-odiggo-raises-180000-seed-funding" TargetMode="External"/><Relationship Id="rId303" Type="http://schemas.openxmlformats.org/officeDocument/2006/relationships/hyperlink" Target="http://disrupt-africa.com/2017/06/tunisian-gaming-startup-polysmart-raises-600k/" TargetMode="External"/><Relationship Id="rId748" Type="http://schemas.openxmlformats.org/officeDocument/2006/relationships/hyperlink" Target="https://www.crunchbase.com/funding_round/datavora-seed--42531c00" TargetMode="External"/><Relationship Id="rId955" Type="http://schemas.openxmlformats.org/officeDocument/2006/relationships/hyperlink" Target="https://www.crunchbase.com/funding_round/eversend-convertible-note--1b1bc09a" TargetMode="External"/><Relationship Id="rId1140" Type="http://schemas.openxmlformats.org/officeDocument/2006/relationships/hyperlink" Target="https://www.menabytes.com/breadfast-yc-series-a/" TargetMode="External"/><Relationship Id="rId84" Type="http://schemas.openxmlformats.org/officeDocument/2006/relationships/hyperlink" Target="https://www.sec.gov/Archives/edgar/data/1617301/000161730115000001/xslFormDX01/primary_doc.xml" TargetMode="External"/><Relationship Id="rId387" Type="http://schemas.openxmlformats.org/officeDocument/2006/relationships/hyperlink" Target="https://www.crunchbase.com/funding_round/iono-fm-seed--ce5d0cd2" TargetMode="External"/><Relationship Id="rId510" Type="http://schemas.openxmlformats.org/officeDocument/2006/relationships/hyperlink" Target="http://disrupt-africa.com/2017/05/sas-sweepsouth-concludes-series-a-funding-round/" TargetMode="External"/><Relationship Id="rId594" Type="http://schemas.openxmlformats.org/officeDocument/2006/relationships/hyperlink" Target="http://disrupt-africa.com/2018/07/sa-ed-tech-incubator-injini-announces-2nd-cohort/" TargetMode="External"/><Relationship Id="rId608" Type="http://schemas.openxmlformats.org/officeDocument/2006/relationships/hyperlink" Target="https://www.crunchbase.com/funding_round/tupuca-seed--dbe8eb23" TargetMode="External"/><Relationship Id="rId815" Type="http://schemas.openxmlformats.org/officeDocument/2006/relationships/hyperlink" Target="http://ventureburn.com/2018/11/zelda-learning-r500k-angel/" TargetMode="External"/><Relationship Id="rId1238" Type="http://schemas.openxmlformats.org/officeDocument/2006/relationships/hyperlink" Target="https://ventureburn.com/2019/08/mpost-leapfrog-ventures-investment/" TargetMode="External"/><Relationship Id="rId247" Type="http://schemas.openxmlformats.org/officeDocument/2006/relationships/hyperlink" Target="https://www.crunchbase.com/funding_round/offgridbox-pre-seed--301f695f" TargetMode="External"/><Relationship Id="rId899" Type="http://schemas.openxmlformats.org/officeDocument/2006/relationships/hyperlink" Target="https://www.crunchbase.com/organization/mayday-89a1" TargetMode="External"/><Relationship Id="rId1000" Type="http://schemas.openxmlformats.org/officeDocument/2006/relationships/hyperlink" Target="https://techmoran.com/2019/03/21/nigerias-farmcrowdy-closes-on-additional-seed-funding-of-1-million/" TargetMode="External"/><Relationship Id="rId1084" Type="http://schemas.openxmlformats.org/officeDocument/2006/relationships/hyperlink" Target="https://www.menabytes.com/yumamia-pre-series-a/" TargetMode="External"/><Relationship Id="rId107" Type="http://schemas.openxmlformats.org/officeDocument/2006/relationships/hyperlink" Target="https://www.crunchbase.com/search/funding_rounds/field/organizations/num_funding_rounds/wealth-migrate" TargetMode="External"/><Relationship Id="rId454" Type="http://schemas.openxmlformats.org/officeDocument/2006/relationships/hyperlink" Target="https://techpoint.africa/2018/04/03/ifixng-raises-50000/" TargetMode="External"/><Relationship Id="rId661" Type="http://schemas.openxmlformats.org/officeDocument/2006/relationships/hyperlink" Target="https://is.gd/pztLaU" TargetMode="External"/><Relationship Id="rId759" Type="http://schemas.openxmlformats.org/officeDocument/2006/relationships/hyperlink" Target="http://ventureburn.com/2018/10/sun-exchange-500k-investment-alphabit/" TargetMode="External"/><Relationship Id="rId966" Type="http://schemas.openxmlformats.org/officeDocument/2006/relationships/hyperlink" Target="https://techcrunch.com/2019/02/28/nigerian-fintech-firm-teamapt-raises-5m-eyes-global-expansion/" TargetMode="External"/><Relationship Id="rId11" Type="http://schemas.openxmlformats.org/officeDocument/2006/relationships/hyperlink" Target="https://www.businessdailyafrica.com/markets/Kenya-leads-E-Africa-in-private-equity-funding--/539552-1360596-10rcf4t/index.html" TargetMode="External"/><Relationship Id="rId314" Type="http://schemas.openxmlformats.org/officeDocument/2006/relationships/hyperlink" Target="http://disrupt-africa.com/2017/08/flutterwave-raises-10m-series-a-funding/" TargetMode="External"/><Relationship Id="rId398" Type="http://schemas.openxmlformats.org/officeDocument/2006/relationships/hyperlink" Target="https://www.crunchbase.com/funding_round/xpaytech-seed--1cd2720e" TargetMode="External"/><Relationship Id="rId521" Type="http://schemas.openxmlformats.org/officeDocument/2006/relationships/hyperlink" Target="https://www.menabytes.com/flat6labs-cairo-tenth-cycle/" TargetMode="External"/><Relationship Id="rId619" Type="http://schemas.openxmlformats.org/officeDocument/2006/relationships/hyperlink" Target="https://techpoint.africa/2018/07/25/nigerian-startups-emerge-winners-of-visa-everywhere-initiative/" TargetMode="External"/><Relationship Id="rId1151" Type="http://schemas.openxmlformats.org/officeDocument/2006/relationships/hyperlink" Target="https://techcrunch.com/2019/06/26/south-african-sme-finance-startup-lulalend-raises-6-5m-series-a/?fbclid=IwAR2Nn1CfL_AnJimHED8UmKIqPf9Fpb9IoqMwdap15PEOaycJ1_1hwK0e8TM" TargetMode="External"/><Relationship Id="rId1249" Type="http://schemas.openxmlformats.org/officeDocument/2006/relationships/hyperlink" Target="https://jnjinnovation.com/sites/jji/files/AIC2_0Announcement%20PR_For_Immediate%20Release_5Sept2019.pdf" TargetMode="External"/><Relationship Id="rId95" Type="http://schemas.openxmlformats.org/officeDocument/2006/relationships/hyperlink" Target="https://techmoran.com/2015/04/29/one-africa-media-raises-10m-from-seek-acquires-100-of-nigerias-jobberman/" TargetMode="External"/><Relationship Id="rId160" Type="http://schemas.openxmlformats.org/officeDocument/2006/relationships/hyperlink" Target="https://www.crunchbase.com/funding_round/fastvan-2-seed--74dd93e8" TargetMode="External"/><Relationship Id="rId826" Type="http://schemas.openxmlformats.org/officeDocument/2006/relationships/hyperlink" Target="https://impactchallenge.withgoogle.com/kenya2018/charities" TargetMode="External"/><Relationship Id="rId1011" Type="http://schemas.openxmlformats.org/officeDocument/2006/relationships/hyperlink" Target="http://ventureburn.com/2019/04/vinny-lingham-newtown-partners-invests-in-crypo-exchange-ovex/?fbclid=IwAR2pKbRf9wMx-kPJA_we-4lb-CwgE0F8EXZ21YDSU6yS-VgGjvxdeXnj7MQ" TargetMode="External"/><Relationship Id="rId1109" Type="http://schemas.openxmlformats.org/officeDocument/2006/relationships/hyperlink" Target="https://ventureburn.com/2019/06/ghanaian-startup-trukrtech-wins-one-million-naira-in-techcircles-pitch2win/" TargetMode="External"/><Relationship Id="rId258" Type="http://schemas.openxmlformats.org/officeDocument/2006/relationships/hyperlink" Target="https://www.crunchbase.com/funding_round/aella-credit-seed--cf3011a3" TargetMode="External"/><Relationship Id="rId465" Type="http://schemas.openxmlformats.org/officeDocument/2006/relationships/hyperlink" Target="https://www.crunchbase.com/funding_round/gicmed-seed--671b667a" TargetMode="External"/><Relationship Id="rId672" Type="http://schemas.openxmlformats.org/officeDocument/2006/relationships/hyperlink" Target="https://www.crunchbase.com/funding_round/connected-analytics-seed--8a05a338" TargetMode="External"/><Relationship Id="rId1095" Type="http://schemas.openxmlformats.org/officeDocument/2006/relationships/hyperlink" Target="http://disrupt-africa.com/2019/05/10-startups-pitch-at-startupbootcamp-pride-fintech-cairo-demo-day/" TargetMode="External"/><Relationship Id="rId22" Type="http://schemas.openxmlformats.org/officeDocument/2006/relationships/hyperlink" Target="http://pando.com/2012/08/15/binu-raises-2m-gives-3g-speeds-to-2g-feature-phones/" TargetMode="External"/><Relationship Id="rId118" Type="http://schemas.openxmlformats.org/officeDocument/2006/relationships/hyperlink" Target="https://www.crunchbase.com/funding_round/afrostream-series-unknown--2bdcb05a" TargetMode="External"/><Relationship Id="rId325" Type="http://schemas.openxmlformats.org/officeDocument/2006/relationships/hyperlink" Target="https://www.crunchbase.com/funding_round/yumamia-convertible-note--9b4d514d" TargetMode="External"/><Relationship Id="rId532" Type="http://schemas.openxmlformats.org/officeDocument/2006/relationships/hyperlink" Target="https://www.omidyar.com/news/lidya-raises-69-million-series-round-led-omidyar-network" TargetMode="External"/><Relationship Id="rId977" Type="http://schemas.openxmlformats.org/officeDocument/2006/relationships/hyperlink" Target="https://pharmaphorum.com/news/sandoz-announces-results-of-digital-innovation-hack/" TargetMode="External"/><Relationship Id="rId1162" Type="http://schemas.openxmlformats.org/officeDocument/2006/relationships/hyperlink" Target="https://www.techstars.com/content/accelerators/techstars-making-impact-meet-2019-techstars-impact-class/" TargetMode="External"/><Relationship Id="rId171" Type="http://schemas.openxmlformats.org/officeDocument/2006/relationships/hyperlink" Target="https://www.crunchbase.com/funding_round/ampersand-2-convertible-note--a696bbcd" TargetMode="External"/><Relationship Id="rId837" Type="http://schemas.openxmlformats.org/officeDocument/2006/relationships/hyperlink" Target="https://www.crunchbase.com/organization/bridgeur" TargetMode="External"/><Relationship Id="rId1022" Type="http://schemas.openxmlformats.org/officeDocument/2006/relationships/hyperlink" Target="https://www.wamda.com/2019/04/merq-closes-seed-funding-round" TargetMode="External"/><Relationship Id="rId269" Type="http://schemas.openxmlformats.org/officeDocument/2006/relationships/hyperlink" Target="https://www.crunchbase.com/funding_round/outsource-now-non-equity-assistance--35a80551" TargetMode="External"/><Relationship Id="rId476" Type="http://schemas.openxmlformats.org/officeDocument/2006/relationships/hyperlink" Target="https://techpoint.africa/reports/nigerian-startup-funding-q2-2018/" TargetMode="External"/><Relationship Id="rId683" Type="http://schemas.openxmlformats.org/officeDocument/2006/relationships/hyperlink" Target="https://is.gd/7BnBzg" TargetMode="External"/><Relationship Id="rId890" Type="http://schemas.openxmlformats.org/officeDocument/2006/relationships/hyperlink" Target="https://digestafrica.com/health-startups-villgro-kenya/" TargetMode="External"/><Relationship Id="rId904" Type="http://schemas.openxmlformats.org/officeDocument/2006/relationships/hyperlink" Target="https://www.itnewsafrica.com/2019/01/south-african-startup-secures-additional-1-85-million-funding/" TargetMode="External"/><Relationship Id="rId33" Type="http://schemas.openxmlformats.org/officeDocument/2006/relationships/hyperlink" Target="https://www.crunchbase.com/organization/konga-online-shopping-limited" TargetMode="External"/><Relationship Id="rId129" Type="http://schemas.openxmlformats.org/officeDocument/2006/relationships/hyperlink" Target="https://www.crunchbase.com/funding_round/powerhive-series-unknown--d3e80f75" TargetMode="External"/><Relationship Id="rId336" Type="http://schemas.openxmlformats.org/officeDocument/2006/relationships/hyperlink" Target="https://www.crunchbase.com/funding_round/africasokoni-seed--6980e9b3" TargetMode="External"/><Relationship Id="rId543" Type="http://schemas.openxmlformats.org/officeDocument/2006/relationships/hyperlink" Target="https://techpoint.africa/reports/nigerian-startup-funding-q2-2018/" TargetMode="External"/><Relationship Id="rId988" Type="http://schemas.openxmlformats.org/officeDocument/2006/relationships/hyperlink" Target="https://www.crunchbase.com/funding_round/credpal-seed--088033b0" TargetMode="External"/><Relationship Id="rId1173" Type="http://schemas.openxmlformats.org/officeDocument/2006/relationships/hyperlink" Target="http://www.globalaginvesting.com/agdevco-invests-avocado-production-kilimanjaro-region-tanzania/" TargetMode="External"/><Relationship Id="rId182" Type="http://schemas.openxmlformats.org/officeDocument/2006/relationships/hyperlink" Target="https://magnitt.com/startups/shezlong" TargetMode="External"/><Relationship Id="rId403" Type="http://schemas.openxmlformats.org/officeDocument/2006/relationships/hyperlink" Target="https://www.sec.gov/Archives/edgar/data/1726749/000114036118000037/xslFormDX01/primary_doc.xml" TargetMode="External"/><Relationship Id="rId750" Type="http://schemas.openxmlformats.org/officeDocument/2006/relationships/hyperlink" Target="https://www.crunchbase.com/funding_round/medsaf-seed--28270077" TargetMode="External"/><Relationship Id="rId848" Type="http://schemas.openxmlformats.org/officeDocument/2006/relationships/hyperlink" Target="http://ventureburn.com/2018/12/savant-startups-tia-grants/" TargetMode="External"/><Relationship Id="rId1033" Type="http://schemas.openxmlformats.org/officeDocument/2006/relationships/hyperlink" Target="https://www.menabytes.com/mitef-arab-startup-competition-winners-2019/" TargetMode="External"/><Relationship Id="rId487" Type="http://schemas.openxmlformats.org/officeDocument/2006/relationships/hyperlink" Target="https://www.menabytes.com/lagare-ma-200k/" TargetMode="External"/><Relationship Id="rId610" Type="http://schemas.openxmlformats.org/officeDocument/2006/relationships/hyperlink" Target="https://techpoint.africa/2018/07/16/taxitv-raises-seed-fund/" TargetMode="External"/><Relationship Id="rId694" Type="http://schemas.openxmlformats.org/officeDocument/2006/relationships/hyperlink" Target="https://www.crunchbase.com/funding_round/cycles-pre-seed--05624f8c" TargetMode="External"/><Relationship Id="rId708" Type="http://schemas.openxmlformats.org/officeDocument/2006/relationships/hyperlink" Target="https://www.crunchbase.com/funding_round/sendroid-ai-pre-seed--378468f4" TargetMode="External"/><Relationship Id="rId915" Type="http://schemas.openxmlformats.org/officeDocument/2006/relationships/hyperlink" Target="https://impactalpha.com/oui-capital-launches-to-fill-capital-and-mentorship-gaps-for-african-startups/" TargetMode="External"/><Relationship Id="rId1240" Type="http://schemas.openxmlformats.org/officeDocument/2006/relationships/hyperlink" Target="https://weetracker.com/2019/09/02/south-african-startup-investing-in-livestock-among-three-fintech-startups-that-have-landed-an-investment-deal/" TargetMode="External"/><Relationship Id="rId347" Type="http://schemas.openxmlformats.org/officeDocument/2006/relationships/hyperlink" Target="http://disrupt-africa.com/2017/10/sas-the-sun-exchange-raises-1-6m-to-accelerate-growth/" TargetMode="External"/><Relationship Id="rId999" Type="http://schemas.openxmlformats.org/officeDocument/2006/relationships/hyperlink" Target="https://weetracker.com/2019/03/21/persistent-energy-and-verod-capital-invests-usd-10-mn-in-west-african-solar-solutions-firm-daystar-power/" TargetMode="External"/><Relationship Id="rId1100" Type="http://schemas.openxmlformats.org/officeDocument/2006/relationships/hyperlink" Target="http://disrupt-africa.com/2019/05/10-startups-pitch-at-startupbootcamp-pride-fintech-cairo-demo-day/" TargetMode="External"/><Relationship Id="rId1184" Type="http://schemas.openxmlformats.org/officeDocument/2006/relationships/hyperlink" Target="http://disrupt-africa.com/2019/08/5-african-startups-secure-25k-funding-each-via-baobab-network-accelerator/" TargetMode="External"/><Relationship Id="rId44" Type="http://schemas.openxmlformats.org/officeDocument/2006/relationships/hyperlink" Target="https://www.crunchbase.com/funding_round/instabug-seed--5679c9a4" TargetMode="External"/><Relationship Id="rId554" Type="http://schemas.openxmlformats.org/officeDocument/2006/relationships/hyperlink" Target="http://disrupt-africa.com/2018/06/pangea-invests-in-3-kenyan-startups-at-demo-day/" TargetMode="External"/><Relationship Id="rId761" Type="http://schemas.openxmlformats.org/officeDocument/2006/relationships/hyperlink" Target="https://weetracker.com/2018/10/12/zoona-funding-rippleworks/" TargetMode="External"/><Relationship Id="rId859" Type="http://schemas.openxmlformats.org/officeDocument/2006/relationships/hyperlink" Target="https://digestafrica.com/egypts-wasla-pre-seed-funding/" TargetMode="External"/><Relationship Id="rId193" Type="http://schemas.openxmlformats.org/officeDocument/2006/relationships/hyperlink" Target="http://disrupt-africa.com/2016/08/nigerias-ogavenue-raises-45k-from-spark-hotels-ng/" TargetMode="External"/><Relationship Id="rId207" Type="http://schemas.openxmlformats.org/officeDocument/2006/relationships/hyperlink" Target="https://index.co/company/dlightdesign/funding/series-d" TargetMode="External"/><Relationship Id="rId414" Type="http://schemas.openxmlformats.org/officeDocument/2006/relationships/hyperlink" Target="https://catalyst-fund.org/abalobi/" TargetMode="External"/><Relationship Id="rId498" Type="http://schemas.openxmlformats.org/officeDocument/2006/relationships/hyperlink" Target="https://www.crunchbase.com/funding_round/ampersand-2-seed--85d66019" TargetMode="External"/><Relationship Id="rId621" Type="http://schemas.openxmlformats.org/officeDocument/2006/relationships/hyperlink" Target="https://www.itweb.co.za/content/mQwkoq6KdYWv3r9A" TargetMode="External"/><Relationship Id="rId1044" Type="http://schemas.openxmlformats.org/officeDocument/2006/relationships/hyperlink" Target="http://disrupt-africa.com/2019/04/nigerian-fintech-startups-awarded-efina-grant-funding/" TargetMode="External"/><Relationship Id="rId1251" Type="http://schemas.openxmlformats.org/officeDocument/2006/relationships/hyperlink" Target="https://jnjinnovation.com/sites/jji/files/AIC2_0Announcement%20PR_For_Immediate%20Release_5Sept2019.pdf" TargetMode="External"/><Relationship Id="rId260" Type="http://schemas.openxmlformats.org/officeDocument/2006/relationships/hyperlink" Target="https://www.crunchbase.com/funding_round/d-light-design-series-unknown--de1a5b23" TargetMode="External"/><Relationship Id="rId719" Type="http://schemas.openxmlformats.org/officeDocument/2006/relationships/hyperlink" Target="https://is.gd/JU0sw5" TargetMode="External"/><Relationship Id="rId926" Type="http://schemas.openxmlformats.org/officeDocument/2006/relationships/hyperlink" Target="https://opentraction.com/advanced-diagnostics-and-genetic-history-tests-with-stack-dx-32447351d4d1" TargetMode="External"/><Relationship Id="rId1111" Type="http://schemas.openxmlformats.org/officeDocument/2006/relationships/hyperlink" Target="https://techmoran.com/2019/06/13/kenyas-wayawaya-ghanas-oze-snode-technologies-from-south-africa-win-mest-africa-challenge-2019/" TargetMode="External"/><Relationship Id="rId55" Type="http://schemas.openxmlformats.org/officeDocument/2006/relationships/hyperlink" Target="https://www.cover.co.za/old-mutual-private-equity-acquires-stake-in-10x-investments/" TargetMode="External"/><Relationship Id="rId120" Type="http://schemas.openxmlformats.org/officeDocument/2006/relationships/hyperlink" Target="https://www.crunchbase.com/organization/nomanini" TargetMode="External"/><Relationship Id="rId358" Type="http://schemas.openxmlformats.org/officeDocument/2006/relationships/hyperlink" Target="http://www.itwebafrica.com/fintech/853-africa/241351-african-fintech-company-jumo-raises-us24m-for-expansion" TargetMode="External"/><Relationship Id="rId565" Type="http://schemas.openxmlformats.org/officeDocument/2006/relationships/hyperlink" Target="https://www.menabytes.com/shieldfy-pre-seed/" TargetMode="External"/><Relationship Id="rId772" Type="http://schemas.openxmlformats.org/officeDocument/2006/relationships/hyperlink" Target="https://greentec-capital.com/2018/10/23/greentec-invests-in-namibian-technology-manufacturer-pebl/" TargetMode="External"/><Relationship Id="rId1195" Type="http://schemas.openxmlformats.org/officeDocument/2006/relationships/hyperlink" Target="https://www.menabytes.com/trella-joins-yc/" TargetMode="External"/><Relationship Id="rId1209" Type="http://schemas.openxmlformats.org/officeDocument/2006/relationships/hyperlink" Target="http://disrupt-africa.com/2019/08/8-sa-fintech-startups-share-1m-worth-in-funding-support-from-alphacode/" TargetMode="External"/><Relationship Id="rId218" Type="http://schemas.openxmlformats.org/officeDocument/2006/relationships/hyperlink" Target="http://disrupt-africa.com/2016/10/ghanas-trotro-tractor-raises-50k-from-kosmos-energy/" TargetMode="External"/><Relationship Id="rId425" Type="http://schemas.openxmlformats.org/officeDocument/2006/relationships/hyperlink" Target="https://www.crunchbase.com/funding_round/sky-garden-seed--56ac5aa5" TargetMode="External"/><Relationship Id="rId632" Type="http://schemas.openxmlformats.org/officeDocument/2006/relationships/hyperlink" Target="https://techpoint.africa/reports/q3/" TargetMode="External"/><Relationship Id="rId1055" Type="http://schemas.openxmlformats.org/officeDocument/2006/relationships/hyperlink" Target="http://disrupt-africa.com/2019/05/10-african-creatives-share-29k-prize-money-in-digital-lab-africa-competition/" TargetMode="External"/><Relationship Id="rId1262" Type="http://schemas.openxmlformats.org/officeDocument/2006/relationships/hyperlink" Target="https://startupbahrain.com/news/misk-foundations-growth-accelerator-program-picks-11-mena-based-tech-startups-in-1st-cohort/" TargetMode="External"/><Relationship Id="rId271" Type="http://schemas.openxmlformats.org/officeDocument/2006/relationships/hyperlink" Target="https://www.crunchbase.com/funding_round/paygo-energy-seed--951b69f6" TargetMode="External"/><Relationship Id="rId937" Type="http://schemas.openxmlformats.org/officeDocument/2006/relationships/hyperlink" Target="https://www.crunchbase.com/funding_round/compareha-pre-seed--229c792f" TargetMode="External"/><Relationship Id="rId1122" Type="http://schemas.openxmlformats.org/officeDocument/2006/relationships/hyperlink" Target="https://techmoran.com/2019/06/18/six-east-african-startup-entrepreneurs-receive-12000-from-mit-d-lab-scale-ups-fellowships-program/" TargetMode="External"/><Relationship Id="rId66" Type="http://schemas.openxmlformats.org/officeDocument/2006/relationships/hyperlink" Target="http://www.techstars.com/content/blog/announcing-11-new-companies-for-barclays-accelerator-powered-by-techstars/" TargetMode="External"/><Relationship Id="rId131" Type="http://schemas.openxmlformats.org/officeDocument/2006/relationships/hyperlink" Target="http://disrupt-africa.com/2015/12/sas-eventerprise-raises-400k-plans-expansion-to-uae-europe/" TargetMode="External"/><Relationship Id="rId369" Type="http://schemas.openxmlformats.org/officeDocument/2006/relationships/hyperlink" Target="https://www.crunchbase.com/funding_round/daystar-power-seed--05c42fff" TargetMode="External"/><Relationship Id="rId576" Type="http://schemas.openxmlformats.org/officeDocument/2006/relationships/hyperlink" Target="https://techcrunch-com.cdn.ampproject.org/c/s/techcrunch.com/2018/06/28/nigerian-logistics-startup-kobo360-accepted-into-yc-raises-1-2-million/amp/" TargetMode="External"/><Relationship Id="rId783" Type="http://schemas.openxmlformats.org/officeDocument/2006/relationships/hyperlink" Target="https://www.crunchbase.com/organization/giftedmom" TargetMode="External"/><Relationship Id="rId990" Type="http://schemas.openxmlformats.org/officeDocument/2006/relationships/hyperlink" Target="https://www.crunchbase.com/organization/wallet-ng" TargetMode="External"/><Relationship Id="rId229" Type="http://schemas.openxmlformats.org/officeDocument/2006/relationships/hyperlink" Target="http://iono.fm/" TargetMode="External"/><Relationship Id="rId436" Type="http://schemas.openxmlformats.org/officeDocument/2006/relationships/hyperlink" Target="https://www.crunchbase.com/funding_round/iame-seed--eee90663" TargetMode="External"/><Relationship Id="rId643" Type="http://schemas.openxmlformats.org/officeDocument/2006/relationships/hyperlink" Target="https://www.crunchbase.com/funding_round/luxchizie-net-seed--8a785eca" TargetMode="External"/><Relationship Id="rId1066" Type="http://schemas.openxmlformats.org/officeDocument/2006/relationships/hyperlink" Target="http://disrupt-africa.com/2019/05/10-african-creatives-share-29k-prize-money-in-digital-lab-africa-competition/" TargetMode="External"/><Relationship Id="rId850" Type="http://schemas.openxmlformats.org/officeDocument/2006/relationships/hyperlink" Target="https://www.menabytes.com/riseup-seed/" TargetMode="External"/><Relationship Id="rId948" Type="http://schemas.openxmlformats.org/officeDocument/2006/relationships/hyperlink" Target="https://thd.tn/intilaq-fast-track-un-million-de-dinars-pour-les-5-startups-gagnantes/" TargetMode="External"/><Relationship Id="rId1133" Type="http://schemas.openxmlformats.org/officeDocument/2006/relationships/hyperlink" Target="http://www.startup365.fr/usa-african-fintech-dominates-catalyst-funds-2019-startup-cohort/" TargetMode="External"/><Relationship Id="rId77" Type="http://schemas.openxmlformats.org/officeDocument/2006/relationships/hyperlink" Target="https://techcrunch.com/2014/12/08/the-electrical-revolution/" TargetMode="External"/><Relationship Id="rId282" Type="http://schemas.openxmlformats.org/officeDocument/2006/relationships/hyperlink" Target="https://www.crunchbase.com/funding_round/printivo-seed--ac67c466" TargetMode="External"/><Relationship Id="rId503" Type="http://schemas.openxmlformats.org/officeDocument/2006/relationships/hyperlink" Target="https://www.crunchbase.com/funding_round/tareeqi-seed--275dfc38" TargetMode="External"/><Relationship Id="rId587" Type="http://schemas.openxmlformats.org/officeDocument/2006/relationships/hyperlink" Target="https://addisfortune.net/articles/bluemoon-gets-seed-for-agri-tech-lab/" TargetMode="External"/><Relationship Id="rId710" Type="http://schemas.openxmlformats.org/officeDocument/2006/relationships/hyperlink" Target="https://www.crunchbase.com/funding_round/copia-global-series-unknown--fcd2d576" TargetMode="External"/><Relationship Id="rId808" Type="http://schemas.openxmlformats.org/officeDocument/2006/relationships/hyperlink" Target="http://disrupt-africa.com/2018/11/nairobi-based-startup-wins-usaids-fall-armyworm-tech-prize/" TargetMode="External"/><Relationship Id="rId8" Type="http://schemas.openxmlformats.org/officeDocument/2006/relationships/hyperlink" Target="https://www.crunchbase.com/funding_round/wuzzuf-grant--43836ae1" TargetMode="External"/><Relationship Id="rId142" Type="http://schemas.openxmlformats.org/officeDocument/2006/relationships/hyperlink" Target="http://disrupt-africa.com/2016/01/iroko-closes-19m-content-capital-deals/" TargetMode="External"/><Relationship Id="rId447" Type="http://schemas.openxmlformats.org/officeDocument/2006/relationships/hyperlink" Target="http://disrupt-africa.com/2018/03/kenyan-solar-startup-pawame-raises-2m-funding/" TargetMode="External"/><Relationship Id="rId794" Type="http://schemas.openxmlformats.org/officeDocument/2006/relationships/hyperlink" Target="https://weetracker.com/2018/11/08/ingressive-capital-invests-in-nigerian-bicycle-sharing-startup-awabike/" TargetMode="External"/><Relationship Id="rId1077" Type="http://schemas.openxmlformats.org/officeDocument/2006/relationships/hyperlink" Target="https://www.businessdailyafrica.com/corporate/enterprise/Startups-win-Sh65m-in-innovation-drive/4003126-5113512-4ld50b/index.html" TargetMode="External"/><Relationship Id="rId1200" Type="http://schemas.openxmlformats.org/officeDocument/2006/relationships/hyperlink" Target="http://ventureburn.com/2017/08/cape-town-based-security-startup-jonga-wins-santam-safety-ideas-campaign/" TargetMode="External"/><Relationship Id="rId654" Type="http://schemas.openxmlformats.org/officeDocument/2006/relationships/hyperlink" Target="https://app.cbinsights.com/profiles/c/jYRQ5/fundings" TargetMode="External"/><Relationship Id="rId861" Type="http://schemas.openxmlformats.org/officeDocument/2006/relationships/hyperlink" Target="http://www.leseco.ma/entreprises/72458-african-entrepreneurship-award-treize-laureats-recompenses.html" TargetMode="External"/><Relationship Id="rId959" Type="http://schemas.openxmlformats.org/officeDocument/2006/relationships/hyperlink" Target="https://digestafrica.com/coindirect-seed-round-concentric/" TargetMode="External"/><Relationship Id="rId293" Type="http://schemas.openxmlformats.org/officeDocument/2006/relationships/hyperlink" Target="https://www.crunchbase.com/organization/once-sync-limited" TargetMode="External"/><Relationship Id="rId307" Type="http://schemas.openxmlformats.org/officeDocument/2006/relationships/hyperlink" Target="https://www.crunchbase.com/funding_round/bosta-seed--3a9b4a68" TargetMode="External"/><Relationship Id="rId514" Type="http://schemas.openxmlformats.org/officeDocument/2006/relationships/hyperlink" Target="http://ventureburn.com/2018/05/four-startups-cchubs-2018-cohort/" TargetMode="External"/><Relationship Id="rId721" Type="http://schemas.openxmlformats.org/officeDocument/2006/relationships/hyperlink" Target="https://digestafrica.com/mest-invest-african-startups/" TargetMode="External"/><Relationship Id="rId1144" Type="http://schemas.openxmlformats.org/officeDocument/2006/relationships/hyperlink" Target="http://disrupt-africa.com/2019/06/6-nigerian-fintech-startups-secure-equity-free-funding-from-arm-labs/" TargetMode="External"/><Relationship Id="rId88" Type="http://schemas.openxmlformats.org/officeDocument/2006/relationships/hyperlink" Target="https://www.crunchbase.com/funding_round/bitpesa-seed--23b576a1" TargetMode="External"/><Relationship Id="rId153" Type="http://schemas.openxmlformats.org/officeDocument/2006/relationships/hyperlink" Target="https://www.crunchbase.com/funding_round/paygo-energy-convertible-note--336a511d" TargetMode="External"/><Relationship Id="rId360" Type="http://schemas.openxmlformats.org/officeDocument/2006/relationships/hyperlink" Target="https://www.crunchbase.com/funding_round/instabug-series-unknown--0159c926" TargetMode="External"/><Relationship Id="rId598" Type="http://schemas.openxmlformats.org/officeDocument/2006/relationships/hyperlink" Target="http://ventureburn.com/2018/07/edtech-incubator-injini-unveils-second-cohort/" TargetMode="External"/><Relationship Id="rId819" Type="http://schemas.openxmlformats.org/officeDocument/2006/relationships/hyperlink" Target="https://www.dn.se/ekonomi/global-utveckling/investering-i-mensskydd-ska-fa-flickor-tillbaka-till-skolan/" TargetMode="External"/><Relationship Id="rId1004" Type="http://schemas.openxmlformats.org/officeDocument/2006/relationships/hyperlink" Target="https://weetracker.com/2019/03/25/%EF%BB%BFtofino-capital-invests-usd-150-k-in-nigerian-hr-company-seamlesshr/" TargetMode="External"/><Relationship Id="rId1211" Type="http://schemas.openxmlformats.org/officeDocument/2006/relationships/hyperlink" Target="http://disrupt-africa.com/2019/08/8-sa-fintech-startups-share-1m-worth-in-funding-support-from-alphacode/" TargetMode="External"/><Relationship Id="rId220" Type="http://schemas.openxmlformats.org/officeDocument/2006/relationships/hyperlink" Target="https://www.crunchbase.com/funding_round/hirehunt-angel--13888c71" TargetMode="External"/><Relationship Id="rId458" Type="http://schemas.openxmlformats.org/officeDocument/2006/relationships/hyperlink" Target="https://is.gd/FbD6rk" TargetMode="External"/><Relationship Id="rId665" Type="http://schemas.openxmlformats.org/officeDocument/2006/relationships/hyperlink" Target="https://techpoint.africa/reports/q3/" TargetMode="External"/><Relationship Id="rId872" Type="http://schemas.openxmlformats.org/officeDocument/2006/relationships/hyperlink" Target="https://weetracker.com/2018/12/14/rent-to-own-seed-round/" TargetMode="External"/><Relationship Id="rId1088" Type="http://schemas.openxmlformats.org/officeDocument/2006/relationships/hyperlink" Target="https://weetracker.com/2019/05/27/north-africa-focused-video-analytics-startup-mintrics-banks-investment-from-blue-startups-joins-accelerator-program/" TargetMode="External"/><Relationship Id="rId15" Type="http://schemas.openxmlformats.org/officeDocument/2006/relationships/hyperlink" Target="https://www.crunchbase.com/funding_round/jumia-group-series-a--34abf581" TargetMode="External"/><Relationship Id="rId318" Type="http://schemas.openxmlformats.org/officeDocument/2006/relationships/hyperlink" Target="http://disrupt-africa.com/2017/08/ghanas-chalkboard-education-secures-237k-expansion-funding/" TargetMode="External"/><Relationship Id="rId525" Type="http://schemas.openxmlformats.org/officeDocument/2006/relationships/hyperlink" Target="https://www.menabytes.com/flat6labs-cairo-tenth-cycle/" TargetMode="External"/><Relationship Id="rId732" Type="http://schemas.openxmlformats.org/officeDocument/2006/relationships/hyperlink" Target="https://www.menabytes.com/enova-robotics-1-6-million/" TargetMode="External"/><Relationship Id="rId1155" Type="http://schemas.openxmlformats.org/officeDocument/2006/relationships/hyperlink" Target="https://www.sec.gov/Archives/edgar/data/1735262/000173526219000006/xslFormDX01/primary_doc.xml" TargetMode="External"/><Relationship Id="rId99" Type="http://schemas.openxmlformats.org/officeDocument/2006/relationships/hyperlink" Target="https://www.crunchbase.com/funding_round/kiroo-games-seed--01610b8f" TargetMode="External"/><Relationship Id="rId164" Type="http://schemas.openxmlformats.org/officeDocument/2006/relationships/hyperlink" Target="https://www.crunchbase.com/funding_round/jumo-2-private-equity--3b42ad3d" TargetMode="External"/><Relationship Id="rId371" Type="http://schemas.openxmlformats.org/officeDocument/2006/relationships/hyperlink" Target="https://www.crunchbase.com/funding_round/bosta-seed--f78cef3c" TargetMode="External"/><Relationship Id="rId1015" Type="http://schemas.openxmlformats.org/officeDocument/2006/relationships/hyperlink" Target="https://techmoran.com/2019/04/05/kudi-secures-5m-series-a-raise-led-by-partech-to-accelerate-the-growth-of-its-distributed-banks-agents-in-nigeria/" TargetMode="External"/><Relationship Id="rId1222" Type="http://schemas.openxmlformats.org/officeDocument/2006/relationships/hyperlink" Target="https://techcrunch.com/2019/08/21/african-incubator-mest-has-a-new-md-and-11-fresh-startup-investments/" TargetMode="External"/><Relationship Id="rId469" Type="http://schemas.openxmlformats.org/officeDocument/2006/relationships/hyperlink" Target="https://nairametrics.com/asoko-insights-raises-3-6-million-in-series-a-funding-round/" TargetMode="External"/><Relationship Id="rId676" Type="http://schemas.openxmlformats.org/officeDocument/2006/relationships/hyperlink" Target="https://www.crunchbase.com/funding_round/connected-analytics-seed--bdf2ab5d" TargetMode="External"/><Relationship Id="rId883" Type="http://schemas.openxmlformats.org/officeDocument/2006/relationships/hyperlink" Target="https://www.inc.com/anna-meyer/top-emerging-companies-2018-global-affordability.html" TargetMode="External"/><Relationship Id="rId1099" Type="http://schemas.openxmlformats.org/officeDocument/2006/relationships/hyperlink" Target="http://disrupt-africa.com/2019/05/10-startups-pitch-at-startupbootcamp-pride-fintech-cairo-demo-day/" TargetMode="External"/><Relationship Id="rId26" Type="http://schemas.openxmlformats.org/officeDocument/2006/relationships/hyperlink" Target="https://magnitt.com/startups/taskty" TargetMode="External"/><Relationship Id="rId231" Type="http://schemas.openxmlformats.org/officeDocument/2006/relationships/hyperlink" Target="http://disrupt-africa.com/2016/11/aella-credit-talentbase-join-500-startups-cohort/" TargetMode="External"/><Relationship Id="rId329" Type="http://schemas.openxmlformats.org/officeDocument/2006/relationships/hyperlink" Target="http://disrupt-africa.com/2017/08/kenyas-bitpesa-secures-more-investment-to-hit-10m-total-funding/" TargetMode="External"/><Relationship Id="rId536" Type="http://schemas.openxmlformats.org/officeDocument/2006/relationships/hyperlink" Target="http://compareinsurance.com.ng/" TargetMode="External"/><Relationship Id="rId1166" Type="http://schemas.openxmlformats.org/officeDocument/2006/relationships/hyperlink" Target="https://techmoran.com/2019/07/11/hotelonline-raises-320000-oyo-rooms-early-investor-sharavan-shroff/" TargetMode="External"/><Relationship Id="rId175" Type="http://schemas.openxmlformats.org/officeDocument/2006/relationships/hyperlink" Target="http://disrupt-africa.com/2016/06/egyptian-bug-reporting-startup-instabug-raises-1-7m/" TargetMode="External"/><Relationship Id="rId743" Type="http://schemas.openxmlformats.org/officeDocument/2006/relationships/hyperlink" Target="https://is.gd/Wsdc15" TargetMode="External"/><Relationship Id="rId950" Type="http://schemas.openxmlformats.org/officeDocument/2006/relationships/hyperlink" Target="https://www.itweb.co.za/content/KBpdg7pPgwe7LEew" TargetMode="External"/><Relationship Id="rId1026" Type="http://schemas.openxmlformats.org/officeDocument/2006/relationships/hyperlink" Target="https://techmoran.com/2019/04/16/tunisian-activist-launches-mos-an-edtech-platform-for-students-to-apply-for-financial-aid/" TargetMode="External"/><Relationship Id="rId382" Type="http://schemas.openxmlformats.org/officeDocument/2006/relationships/hyperlink" Target="https://www.timeslive.co.za/news/south-africa/2017-12-15-sa-doctor-wins-international-prize-for-new-treatment-tool/" TargetMode="External"/><Relationship Id="rId603" Type="http://schemas.openxmlformats.org/officeDocument/2006/relationships/hyperlink" Target="http://ventureburn.com/2018/07/sbc-afritech-10-startups-second-cohort/" TargetMode="External"/><Relationship Id="rId687" Type="http://schemas.openxmlformats.org/officeDocument/2006/relationships/hyperlink" Target="https://www.sec.gov/Archives/edgar/data/1751635/000175163518000002/xslFormDX01/primary_doc.xml" TargetMode="External"/><Relationship Id="rId810" Type="http://schemas.openxmlformats.org/officeDocument/2006/relationships/hyperlink" Target="https://www.crunchbase.com/funding_round/gbarena-seed--0f97054a" TargetMode="External"/><Relationship Id="rId908" Type="http://schemas.openxmlformats.org/officeDocument/2006/relationships/hyperlink" Target="https://www.crunchbase.com/organization/vollar" TargetMode="External"/><Relationship Id="rId1233" Type="http://schemas.openxmlformats.org/officeDocument/2006/relationships/hyperlink" Target="https://ventureburn.com/2016/09/bboxx-20-million-investment/" TargetMode="External"/><Relationship Id="rId242" Type="http://schemas.openxmlformats.org/officeDocument/2006/relationships/hyperlink" Target="https://www.crunchbase.com/funding_round/d-light-design-grant--e6b2c190" TargetMode="External"/><Relationship Id="rId894" Type="http://schemas.openxmlformats.org/officeDocument/2006/relationships/hyperlink" Target="https://digestafrica.com/egypt-zooba-eats-new-york/" TargetMode="External"/><Relationship Id="rId1177" Type="http://schemas.openxmlformats.org/officeDocument/2006/relationships/hyperlink" Target="https://techfinancials.co.za/2019/07/30/blue-label-ventures-invest-in-sports-data-startup-mobii-systems/" TargetMode="External"/><Relationship Id="rId37" Type="http://schemas.openxmlformats.org/officeDocument/2006/relationships/hyperlink" Target="https://www.crunchbase.com/search/funding_rounds/field/organizations/num_funding_rounds/wealth-migrate" TargetMode="External"/><Relationship Id="rId102" Type="http://schemas.openxmlformats.org/officeDocument/2006/relationships/hyperlink" Target="https://www.crunchbase.com/funding_round/sendy-convertible-note--efa28181" TargetMode="External"/><Relationship Id="rId547" Type="http://schemas.openxmlformats.org/officeDocument/2006/relationships/hyperlink" Target="https://technext.ng/2019/03/29/rxall-is-the-ambitious-nigerian-startup-using-blockchain-to-fight-fake-drugs/" TargetMode="External"/><Relationship Id="rId754" Type="http://schemas.openxmlformats.org/officeDocument/2006/relationships/hyperlink" Target="https://digestafrica.com/south-africa-fastvan-seed-round/" TargetMode="External"/><Relationship Id="rId961" Type="http://schemas.openxmlformats.org/officeDocument/2006/relationships/hyperlink" Target="https://qz.com/africa/1671174/e-commerce-in-africa-works-better-as-b2b-finds-kenyas-sokowatch/?hootPostID=9c2fe18405cb6dead82d81e475a28250" TargetMode="External"/><Relationship Id="rId90" Type="http://schemas.openxmlformats.org/officeDocument/2006/relationships/hyperlink" Target="https://www.crunchbase.com/funding_round/dealdey-limited-series-b--102f045f" TargetMode="External"/><Relationship Id="rId186" Type="http://schemas.openxmlformats.org/officeDocument/2006/relationships/hyperlink" Target="https://www.crunchbase.com/funding_round/sky-garden-convertible-note--eab045eb" TargetMode="External"/><Relationship Id="rId393" Type="http://schemas.openxmlformats.org/officeDocument/2006/relationships/hyperlink" Target="https://archives.forbesmiddleeast.com/en/egyptian-payment-startup-accept-sets-its-sights-on-the-gcc/" TargetMode="External"/><Relationship Id="rId407" Type="http://schemas.openxmlformats.org/officeDocument/2006/relationships/hyperlink" Target="https://is.gd/5N5C7W" TargetMode="External"/><Relationship Id="rId614" Type="http://schemas.openxmlformats.org/officeDocument/2006/relationships/hyperlink" Target="https://www.crunchbase.com/funding_round/ampersand-2-grant--7965576f" TargetMode="External"/><Relationship Id="rId821" Type="http://schemas.openxmlformats.org/officeDocument/2006/relationships/hyperlink" Target="http://akirachix.com/news-release-akirachix-receives-motorola-solutions-foundation-grant/?platform=hootsuite" TargetMode="External"/><Relationship Id="rId1037" Type="http://schemas.openxmlformats.org/officeDocument/2006/relationships/hyperlink" Target="http://www.finsmes.com/2019/04/centbee-raises-1m-in-series-a-funding.html?utm_source=feedburner&amp;utm_medium=twitter&amp;utm_campaign=Feed%3A+finsmes%2FcNHu+%28FinSMEs%29" TargetMode="External"/><Relationship Id="rId1244" Type="http://schemas.openxmlformats.org/officeDocument/2006/relationships/hyperlink" Target="https://ventureburn.com/2019/09/agritech-startup-bulrush-r250k/" TargetMode="External"/><Relationship Id="rId253" Type="http://schemas.openxmlformats.org/officeDocument/2006/relationships/hyperlink" Target="https://www.crunchbase.com/funding_round/afrikrea-angel--12b10df5" TargetMode="External"/><Relationship Id="rId460" Type="http://schemas.openxmlformats.org/officeDocument/2006/relationships/hyperlink" Target="https://enterprise.press/stories/2018/03/25/halan-a-ridesharing-app-for-tuktuks-and-motorcycles-closes-in-on-usd-2-mn-fundraising-round/" TargetMode="External"/><Relationship Id="rId698" Type="http://schemas.openxmlformats.org/officeDocument/2006/relationships/hyperlink" Target="https://www.menabytes.com/aqarmap-investment/" TargetMode="External"/><Relationship Id="rId919" Type="http://schemas.openxmlformats.org/officeDocument/2006/relationships/hyperlink" Target="https://greentec-capital.com/2019/01/22/greentec-invests-into-superfluid-labs/" TargetMode="External"/><Relationship Id="rId1090" Type="http://schemas.openxmlformats.org/officeDocument/2006/relationships/hyperlink" Target="https://techmoran.com/2019/05/28/travelstart-raises-undisclosed-funding-round-from-harbourvest-for-expansion/" TargetMode="External"/><Relationship Id="rId1104" Type="http://schemas.openxmlformats.org/officeDocument/2006/relationships/hyperlink" Target="https://weetracker.com/2019/06/06/south-african-neo-hutiri-wina-africa-prize-royal-academy-engineering/" TargetMode="External"/><Relationship Id="rId48" Type="http://schemas.openxmlformats.org/officeDocument/2006/relationships/hyperlink" Target="https://www.crunchbase.com/organization/konga-online-shopping-limited" TargetMode="External"/><Relationship Id="rId113" Type="http://schemas.openxmlformats.org/officeDocument/2006/relationships/hyperlink" Target="https://static1.squarespace.com/static/5840136215d5dbe2c9527e04/t/59d60f4849fc2b1e317db16d/1507200873271/talentbase.pdf" TargetMode="External"/><Relationship Id="rId320" Type="http://schemas.openxmlformats.org/officeDocument/2006/relationships/hyperlink" Target="http://disrupt-africa.com/2017/08/nigerias-releaf-selected-for-y-combinator-secures-120k/" TargetMode="External"/><Relationship Id="rId558" Type="http://schemas.openxmlformats.org/officeDocument/2006/relationships/hyperlink" Target="https://techmoran.com/2018/06/04/little-raises-3m-war-chest-for-east-africa-holds-nigeria-launch-as-it-eyes-more-investor-cash/" TargetMode="External"/><Relationship Id="rId765" Type="http://schemas.openxmlformats.org/officeDocument/2006/relationships/hyperlink" Target="https://is.gd/vzZPHi" TargetMode="External"/><Relationship Id="rId972" Type="http://schemas.openxmlformats.org/officeDocument/2006/relationships/hyperlink" Target="https://www.crunchbase.com/organization/lima-kwanza-limited" TargetMode="External"/><Relationship Id="rId1188" Type="http://schemas.openxmlformats.org/officeDocument/2006/relationships/hyperlink" Target="https://www.vccircle.com/hcl-technologies-picks-up-minority-stake-in-london-based-startup-kalido" TargetMode="External"/><Relationship Id="rId197" Type="http://schemas.openxmlformats.org/officeDocument/2006/relationships/hyperlink" Target="http://disrupt-africa.com/2016/08/sas-anti-piracy-startup-custos-raises-420k-from-tia/" TargetMode="External"/><Relationship Id="rId418" Type="http://schemas.openxmlformats.org/officeDocument/2006/relationships/hyperlink" Target="https://www.crunchbase.com/funding_round/iame-seed--57d9cb95" TargetMode="External"/><Relationship Id="rId625" Type="http://schemas.openxmlformats.org/officeDocument/2006/relationships/hyperlink" Target="https://techpoint.africa/reports/q3/" TargetMode="External"/><Relationship Id="rId832" Type="http://schemas.openxmlformats.org/officeDocument/2006/relationships/hyperlink" Target="https://techmoran.com/2018/11/30/kolopay-accounteer-tradebuza-powercube-raise-100k-from-nigerias-itanna-accelerator/" TargetMode="External"/><Relationship Id="rId1048" Type="http://schemas.openxmlformats.org/officeDocument/2006/relationships/hyperlink" Target="http://disrupt-africa.com/2019/04/4-egyptian-startups-selected-for-500-startups-mena-dojo-programme/" TargetMode="External"/><Relationship Id="rId1255" Type="http://schemas.openxmlformats.org/officeDocument/2006/relationships/hyperlink" Target="https://techmoran.com/2019/09/13/pitch-agrihack-awards-over-60k-into-african-innovators-transforming-agriculture/" TargetMode="External"/><Relationship Id="rId264" Type="http://schemas.openxmlformats.org/officeDocument/2006/relationships/hyperlink" Target="http://bitcoinagile.com/C6647E/kenyan-fintech-startup-alternative-circle-raises-11m-funding_stream" TargetMode="External"/><Relationship Id="rId471" Type="http://schemas.openxmlformats.org/officeDocument/2006/relationships/hyperlink" Target="http://ventureburn.com/2018/04/healthtech-vula-havaic-seed-round/" TargetMode="External"/><Relationship Id="rId1115" Type="http://schemas.openxmlformats.org/officeDocument/2006/relationships/hyperlink" Target="https://techcrunch.com/2019/06/20/max-ng-raises-7m-round-backed-by-yamaha-and-pilots-evs-in-nigeria/" TargetMode="External"/><Relationship Id="rId59" Type="http://schemas.openxmlformats.org/officeDocument/2006/relationships/hyperlink" Target="https://www.crunchbase.com/funding_round/one-finance-and-investments-limited-seed--2167afc0" TargetMode="External"/><Relationship Id="rId124" Type="http://schemas.openxmlformats.org/officeDocument/2006/relationships/hyperlink" Target="https://www.crunchbase.com/funding_round/asoko-insight-seed--5608c388" TargetMode="External"/><Relationship Id="rId569" Type="http://schemas.openxmlformats.org/officeDocument/2006/relationships/hyperlink" Target="https://www.crunchbase.com/funding_round/casky-seed--2ab4c02c" TargetMode="External"/><Relationship Id="rId776" Type="http://schemas.openxmlformats.org/officeDocument/2006/relationships/hyperlink" Target="http://disrupt-africa.com/2018/10/african-startups-secure-grant-money-from-mastercard-fund/" TargetMode="External"/><Relationship Id="rId983" Type="http://schemas.openxmlformats.org/officeDocument/2006/relationships/hyperlink" Target="https://blog.ycombinator.com/meet-23-companies-from-the-yc-w19-batch-part-5/" TargetMode="External"/><Relationship Id="rId1199" Type="http://schemas.openxmlformats.org/officeDocument/2006/relationships/hyperlink" Target="http://ventureburn.com/2017/08/cape-town-based-security-startup-jonga-wins-santam-safety-ideas-campaign/" TargetMode="External"/><Relationship Id="rId331" Type="http://schemas.openxmlformats.org/officeDocument/2006/relationships/hyperlink" Target="http://disrupt-africa.com/2017/09/sa-insurtech-startup-pineapple-raises-400k-funding/" TargetMode="External"/><Relationship Id="rId429" Type="http://schemas.openxmlformats.org/officeDocument/2006/relationships/hyperlink" Target="https://digestafrica.com/south-africa-fastvan-seed-round/" TargetMode="External"/><Relationship Id="rId636" Type="http://schemas.openxmlformats.org/officeDocument/2006/relationships/hyperlink" Target="http://findit.ke/" TargetMode="External"/><Relationship Id="rId1059" Type="http://schemas.openxmlformats.org/officeDocument/2006/relationships/hyperlink" Target="https://innovation-village.com/trove-finance-secures-undisclosed-funding-ventures-platform/" TargetMode="External"/><Relationship Id="rId1266" Type="http://schemas.openxmlformats.org/officeDocument/2006/relationships/hyperlink" Target="https://www.menabytes.com/dabchy-seed/" TargetMode="External"/><Relationship Id="rId843" Type="http://schemas.openxmlformats.org/officeDocument/2006/relationships/hyperlink" Target="https://blog.snapt.net/snapt-series-a-funding/" TargetMode="External"/><Relationship Id="rId1126" Type="http://schemas.openxmlformats.org/officeDocument/2006/relationships/hyperlink" Target="https://techmoran.com/2019/06/18/six-east-african-startup-entrepreneurs-receive-12000-from-mit-d-lab-scale-ups-fellowships-program/" TargetMode="External"/><Relationship Id="rId275" Type="http://schemas.openxmlformats.org/officeDocument/2006/relationships/hyperlink" Target="https://enterprise.press/stories/2017/05/24/cairo-angels-invests-in-edtech-startup-orcas/" TargetMode="External"/><Relationship Id="rId482" Type="http://schemas.openxmlformats.org/officeDocument/2006/relationships/hyperlink" Target="https://www.crunchbase.com/funding_round/annona-series-unknown--ca00b211" TargetMode="External"/><Relationship Id="rId703" Type="http://schemas.openxmlformats.org/officeDocument/2006/relationships/hyperlink" Target="http://disrupt-africa.com/2018/09/tanzanias-nala-wins-ecobank-fintech-challenge/" TargetMode="External"/><Relationship Id="rId910" Type="http://schemas.openxmlformats.org/officeDocument/2006/relationships/hyperlink" Target="https://digestafrica.com/solarworks-debt-sunfunder-mfx-solutions/" TargetMode="External"/><Relationship Id="rId135" Type="http://schemas.openxmlformats.org/officeDocument/2006/relationships/hyperlink" Target="https://www.crunchbase.com/funding_round/werpx-seed--f0fd6a3c" TargetMode="External"/><Relationship Id="rId342" Type="http://schemas.openxmlformats.org/officeDocument/2006/relationships/hyperlink" Target="https://www.crunchbase.com/funding_round/m-kopa-debt-financing--3cce48c8" TargetMode="External"/><Relationship Id="rId787" Type="http://schemas.openxmlformats.org/officeDocument/2006/relationships/hyperlink" Target="http://www.ietp.com/en/content/peg-africa-raises-15-million-support-distribution-solar-home-systems-ghana" TargetMode="External"/><Relationship Id="rId994" Type="http://schemas.openxmlformats.org/officeDocument/2006/relationships/hyperlink" Target="https://weetracker.com/2019/03/20/west-african-solar-company-pega-africa-brings-its-total-funding-to-usd-50-mn-with-recent-usd-25-mn-series-c/" TargetMode="External"/><Relationship Id="rId202" Type="http://schemas.openxmlformats.org/officeDocument/2006/relationships/hyperlink" Target="https://www.crunchbase.com/organization/suregifts" TargetMode="External"/><Relationship Id="rId647" Type="http://schemas.openxmlformats.org/officeDocument/2006/relationships/hyperlink" Target="https://is.gd/DNtzMa" TargetMode="External"/><Relationship Id="rId854" Type="http://schemas.openxmlformats.org/officeDocument/2006/relationships/hyperlink" Target="https://digestafrica.com/zola-electric-expand-funding-tanzania/" TargetMode="External"/><Relationship Id="rId286" Type="http://schemas.openxmlformats.org/officeDocument/2006/relationships/hyperlink" Target="https://www.crunchbase.com/funding_round/tizeti-seed--27c8dc4f" TargetMode="External"/><Relationship Id="rId493" Type="http://schemas.openxmlformats.org/officeDocument/2006/relationships/hyperlink" Target="http://ventureburn.com/2018/04/tradedepot-investment-partech/" TargetMode="External"/><Relationship Id="rId507" Type="http://schemas.openxmlformats.org/officeDocument/2006/relationships/hyperlink" Target="https://www.sec.gov/Archives/edgar/data/1740707/000174070718000001/xslFormDX01/primary_doc.xml" TargetMode="External"/><Relationship Id="rId714" Type="http://schemas.openxmlformats.org/officeDocument/2006/relationships/hyperlink" Target="http://think.it/" TargetMode="External"/><Relationship Id="rId921" Type="http://schemas.openxmlformats.org/officeDocument/2006/relationships/hyperlink" Target="https://www.crunchbase.com/organization/nocofio" TargetMode="External"/><Relationship Id="rId1137" Type="http://schemas.openxmlformats.org/officeDocument/2006/relationships/hyperlink" Target="https://weetracker.com/2019/06/24/arnergy-raises-usd-9-mn-series-a/" TargetMode="External"/><Relationship Id="rId50" Type="http://schemas.openxmlformats.org/officeDocument/2006/relationships/hyperlink" Target="https://www.crunchbase.com/funding_round/jumo-2-series-unknown--d30585d6" TargetMode="External"/><Relationship Id="rId146" Type="http://schemas.openxmlformats.org/officeDocument/2006/relationships/hyperlink" Target="http://disrupt-africa.com/2016/02/cape-town-insurance-startup-hepstar-bags-2m-funding/" TargetMode="External"/><Relationship Id="rId353" Type="http://schemas.openxmlformats.org/officeDocument/2006/relationships/hyperlink" Target="http://disrupt-africa.com/2017/10/sas-insurtech-startup-naked-raises-1-4m/" TargetMode="External"/><Relationship Id="rId560" Type="http://schemas.openxmlformats.org/officeDocument/2006/relationships/hyperlink" Target="http://disrupt-africa.com/2018/06/sas-lumkani-closes-seed-funding-round-from-accion-4di/" TargetMode="External"/><Relationship Id="rId798" Type="http://schemas.openxmlformats.org/officeDocument/2006/relationships/hyperlink" Target="https://www.crunchbase.com/funding_round/nanodoors-pre-seed--6b516fbf" TargetMode="External"/><Relationship Id="rId1190" Type="http://schemas.openxmlformats.org/officeDocument/2006/relationships/hyperlink" Target="https://www.tekedia.com/ndubuisi-ekekwe-takes-equity-and-joins-beeptool-board-photos/" TargetMode="External"/><Relationship Id="rId1204" Type="http://schemas.openxmlformats.org/officeDocument/2006/relationships/hyperlink" Target="https://www.crunchbase.com/funding_round/clicks2customers-series-a--1a170ebd" TargetMode="External"/><Relationship Id="rId213" Type="http://schemas.openxmlformats.org/officeDocument/2006/relationships/hyperlink" Target="http://disrupt-africa.com/2016/09/sa-bitcoin-crowdfunding-startup-the-sun-exchange-raises-60k/" TargetMode="External"/><Relationship Id="rId420" Type="http://schemas.openxmlformats.org/officeDocument/2006/relationships/hyperlink" Target="http://www.finsmes.com/2018/01/centbee-raises-equity-funding-from-nchain.html?utm_source=feedburner&amp;utm_medium=twitter&amp;utm_campaign=Feed%3A+finsmes%2FcNHu+%28FinSMEs%29" TargetMode="External"/><Relationship Id="rId658" Type="http://schemas.openxmlformats.org/officeDocument/2006/relationships/hyperlink" Target="https://is.gd/lA4K77" TargetMode="External"/><Relationship Id="rId865" Type="http://schemas.openxmlformats.org/officeDocument/2006/relationships/hyperlink" Target="http://www.leseco.ma/entreprises/72458-african-entrepreneurship-award-treize-laureats-recompenses.html" TargetMode="External"/><Relationship Id="rId1050" Type="http://schemas.openxmlformats.org/officeDocument/2006/relationships/hyperlink" Target="http://disrupt-africa.com/2019/04/4-egyptian-startups-selected-for-500-startups-mena-dojo-programme/" TargetMode="External"/><Relationship Id="rId297" Type="http://schemas.openxmlformats.org/officeDocument/2006/relationships/hyperlink" Target="https://www.crunchbase.com/funding_round/cherehani-africa-grant--38a0404c" TargetMode="External"/><Relationship Id="rId518" Type="http://schemas.openxmlformats.org/officeDocument/2006/relationships/hyperlink" Target="https://www.sec.gov/Archives/edgar/data/1740021/000174002118000001/xslFormDX01/primary_doc.xml" TargetMode="External"/><Relationship Id="rId725" Type="http://schemas.openxmlformats.org/officeDocument/2006/relationships/hyperlink" Target="https://digestafrica.com/mest-invest-african-startups/" TargetMode="External"/><Relationship Id="rId932" Type="http://schemas.openxmlformats.org/officeDocument/2006/relationships/hyperlink" Target="https://www.crunchbase.com/organization/pinoffer" TargetMode="External"/><Relationship Id="rId1148" Type="http://schemas.openxmlformats.org/officeDocument/2006/relationships/hyperlink" Target="http://disrupt-africa.com/2019/06/6-nigerian-fintech-startups-secure-equity-free-funding-from-arm-labs/" TargetMode="External"/><Relationship Id="rId157" Type="http://schemas.openxmlformats.org/officeDocument/2006/relationships/hyperlink" Target="https://www.sec.gov/Archives/edgar/data/1670475/000167047516000001/xslFormDX01/primary_doc.xml" TargetMode="External"/><Relationship Id="rId364" Type="http://schemas.openxmlformats.org/officeDocument/2006/relationships/hyperlink" Target="http://disrupt-africa.com/2017/11/kenyas-sendy-raises-3m-funding-round/" TargetMode="External"/><Relationship Id="rId1008" Type="http://schemas.openxmlformats.org/officeDocument/2006/relationships/hyperlink" Target="https://qz.com/africa/1582487/ghanas-mpharma-buys-kenya-pharmacy-haltons/" TargetMode="External"/><Relationship Id="rId1215" Type="http://schemas.openxmlformats.org/officeDocument/2006/relationships/hyperlink" Target="https://techcrunch.com/2019/08/21/african-incubator-mest-has-a-new-md-and-11-fresh-startup-investments/" TargetMode="External"/><Relationship Id="rId61" Type="http://schemas.openxmlformats.org/officeDocument/2006/relationships/hyperlink" Target="https://www.crunchbase.com/funding_round/mines-io-seed--e2567cf0" TargetMode="External"/><Relationship Id="rId571" Type="http://schemas.openxmlformats.org/officeDocument/2006/relationships/hyperlink" Target="https://techpoint.africa/reports/nigerian-startup-funding-q2-2018/" TargetMode="External"/><Relationship Id="rId669" Type="http://schemas.openxmlformats.org/officeDocument/2006/relationships/hyperlink" Target="https://www.crunchbase.com/funding_round/awamo-seed--766d5b33" TargetMode="External"/><Relationship Id="rId876" Type="http://schemas.openxmlformats.org/officeDocument/2006/relationships/hyperlink" Target="http://disrupt-africa.com/2018/12/gsma-backs-6-african-startups-through-innovation-fund/" TargetMode="External"/><Relationship Id="rId19" Type="http://schemas.openxmlformats.org/officeDocument/2006/relationships/hyperlink" Target="http://zoonaafrica.blogspot.com/2012/03/omidyar-network-and-accion-invest-us-32.html" TargetMode="External"/><Relationship Id="rId224" Type="http://schemas.openxmlformats.org/officeDocument/2006/relationships/hyperlink" Target="http://disrupt-africa.com/2016/10/sas-the-student-hub-raises-300k-to-launch-learning-platform/" TargetMode="External"/><Relationship Id="rId431" Type="http://schemas.openxmlformats.org/officeDocument/2006/relationships/hyperlink" Target="https://www.crunchbase.com/funding_round/jobjack-seed--012029c0" TargetMode="External"/><Relationship Id="rId529" Type="http://schemas.openxmlformats.org/officeDocument/2006/relationships/hyperlink" Target="https://www.menabytes.com/flat6labs-cairo-tenth-cycle/" TargetMode="External"/><Relationship Id="rId736" Type="http://schemas.openxmlformats.org/officeDocument/2006/relationships/hyperlink" Target="https://magnitt.com/news/mayday-disrupting-roadside-assistance-egypt?platform=hootsuite" TargetMode="External"/><Relationship Id="rId1061" Type="http://schemas.openxmlformats.org/officeDocument/2006/relationships/hyperlink" Target="https://www.altafrica.com/inside-capital-partners-invests-1-5mn-in-reneworld/" TargetMode="External"/><Relationship Id="rId1159" Type="http://schemas.openxmlformats.org/officeDocument/2006/relationships/hyperlink" Target="https://weetracker.com/2019/07/08/knife-capital-invests-undisclosed-series-a-cradle-technologies/" TargetMode="External"/><Relationship Id="rId168" Type="http://schemas.openxmlformats.org/officeDocument/2006/relationships/hyperlink" Target="http://delvv.io/" TargetMode="External"/><Relationship Id="rId943" Type="http://schemas.openxmlformats.org/officeDocument/2006/relationships/hyperlink" Target="https://thd.tn/intilaq-fast-track-un-million-de-dinars-pour-les-5-startups-gagnantes/" TargetMode="External"/><Relationship Id="rId1019" Type="http://schemas.openxmlformats.org/officeDocument/2006/relationships/hyperlink" Target="https://www.americaninno.com/chicago/funding-chicago/chicago-startup-neopenda-raises-1m-to-reduce-newborn-fatalities/" TargetMode="External"/><Relationship Id="rId72" Type="http://schemas.openxmlformats.org/officeDocument/2006/relationships/hyperlink" Target="https://www.crunchbase.com/search/funding_rounds/field/organizations/num_funding_rounds/wealth-migrate" TargetMode="External"/><Relationship Id="rId375" Type="http://schemas.openxmlformats.org/officeDocument/2006/relationships/hyperlink" Target="https://www.crunchbase.com/funding_round/trukto-technologies-seed--da38de66" TargetMode="External"/><Relationship Id="rId582" Type="http://schemas.openxmlformats.org/officeDocument/2006/relationships/hyperlink" Target="https://qz.com/africa/1515015/african-leadership-university-raises-30-million-series-b/" TargetMode="External"/><Relationship Id="rId803" Type="http://schemas.openxmlformats.org/officeDocument/2006/relationships/hyperlink" Target="http://disrupt-africa.com/2018/11/sas-finchatbot-secures-investment-from-kalon-compass/" TargetMode="External"/><Relationship Id="rId1226" Type="http://schemas.openxmlformats.org/officeDocument/2006/relationships/hyperlink" Target="https://nomanini.pr.co/181760-fintech-nomanini-raises-4m-in-funding-round-led-by-standard-bank" TargetMode="External"/><Relationship Id="rId3" Type="http://schemas.openxmlformats.org/officeDocument/2006/relationships/hyperlink" Target="http://www.prnewswire.co.uk/news-releases/leapfrog-invests-us6m-in-alllife-innovative-african-hiv-and-diabetes-insurer-155632325.html" TargetMode="External"/><Relationship Id="rId235" Type="http://schemas.openxmlformats.org/officeDocument/2006/relationships/hyperlink" Target="http://disrupt-africa.com/2016/11/kenyas-bamba-group-raises-250k-on-lions-den/" TargetMode="External"/><Relationship Id="rId442" Type="http://schemas.openxmlformats.org/officeDocument/2006/relationships/hyperlink" Target="https://www.crunchbase.com/funding_round/bespoke-health-services-seed--c55bcdd7" TargetMode="External"/><Relationship Id="rId887" Type="http://schemas.openxmlformats.org/officeDocument/2006/relationships/hyperlink" Target="http://www.lse.ac.uk/News/Latest-news-from-LSE/2018/12-December-2018/LSE-entrepreneurs-win-funding-for-their-business-ideas" TargetMode="External"/><Relationship Id="rId1072" Type="http://schemas.openxmlformats.org/officeDocument/2006/relationships/hyperlink" Target="https://techmoran.com/2019/05/07/mydawa-secures-3m-funding-to-fuel-expansion/" TargetMode="External"/><Relationship Id="rId302" Type="http://schemas.openxmlformats.org/officeDocument/2006/relationships/hyperlink" Target="http://disrupt-africa.com/2017/06/sas-whereismytransport-raises-further-800k/" TargetMode="External"/><Relationship Id="rId747" Type="http://schemas.openxmlformats.org/officeDocument/2006/relationships/hyperlink" Target="https://digestafrica.com/precursor-ventures-africa-investments/" TargetMode="External"/><Relationship Id="rId954" Type="http://schemas.openxmlformats.org/officeDocument/2006/relationships/hyperlink" Target="https://www.menabytes.com/goodsmart-algebra/" TargetMode="External"/><Relationship Id="rId83" Type="http://schemas.openxmlformats.org/officeDocument/2006/relationships/hyperlink" Target="https://www.crunchbase.com/funding_round/safemotos-seed--37accbb3" TargetMode="External"/><Relationship Id="rId179" Type="http://schemas.openxmlformats.org/officeDocument/2006/relationships/hyperlink" Target="http://disrupt-africa.com/2016/06/andela-raises-24m-in-round-led-by-chan-zuckerberg-initiative/" TargetMode="External"/><Relationship Id="rId386" Type="http://schemas.openxmlformats.org/officeDocument/2006/relationships/hyperlink" Target="https://www.crunchbase.com/funding_round/nozol-business-seed--019ba7ab" TargetMode="External"/><Relationship Id="rId593" Type="http://schemas.openxmlformats.org/officeDocument/2006/relationships/hyperlink" Target="http://disrupt-africa.com/2018/07/sa-ed-tech-incubator-injini-announces-2nd-cohort/" TargetMode="External"/><Relationship Id="rId607" Type="http://schemas.openxmlformats.org/officeDocument/2006/relationships/hyperlink" Target="http://ventureburn.com/2018/07/sbc-afritech-10-startups-second-cohort/" TargetMode="External"/><Relationship Id="rId814" Type="http://schemas.openxmlformats.org/officeDocument/2006/relationships/hyperlink" Target="https://digestafrica.com/nigerias-sonocare-raises-250000-from-gray-matters-capital/" TargetMode="External"/><Relationship Id="rId1237" Type="http://schemas.openxmlformats.org/officeDocument/2006/relationships/hyperlink" Target="https://www.bloomberg.com/news/articles/2019-04-01/mastercard-to-become-investor-in-african-online-retailer-jumia" TargetMode="External"/><Relationship Id="rId246" Type="http://schemas.openxmlformats.org/officeDocument/2006/relationships/hyperlink" Target="https://www.crunchbase.com/funding_round/daystar-power-seed--74616836" TargetMode="External"/><Relationship Id="rId453" Type="http://schemas.openxmlformats.org/officeDocument/2006/relationships/hyperlink" Target="https://techpoint.africa/reports/nigerian-startup-funding/" TargetMode="External"/><Relationship Id="rId660" Type="http://schemas.openxmlformats.org/officeDocument/2006/relationships/hyperlink" Target="https://www.crunchbase.com/funding_round/hirehunt-seed--3976a311" TargetMode="External"/><Relationship Id="rId898" Type="http://schemas.openxmlformats.org/officeDocument/2006/relationships/hyperlink" Target="https://www.crunchbase.com/funding_round/idf3-pre-seed--20d4a6fd" TargetMode="External"/><Relationship Id="rId1083" Type="http://schemas.openxmlformats.org/officeDocument/2006/relationships/hyperlink" Target="https://www.pv-tech.org/news/50693" TargetMode="External"/><Relationship Id="rId106" Type="http://schemas.openxmlformats.org/officeDocument/2006/relationships/hyperlink" Target="https://www.crunchbase.com/funding_round/fintec-labs-pre-seed--616fb0cc" TargetMode="External"/><Relationship Id="rId313" Type="http://schemas.openxmlformats.org/officeDocument/2006/relationships/hyperlink" Target="https://www.crunchbase.com/funding_round/sky-garden-undisclosed--449e398a" TargetMode="External"/><Relationship Id="rId758" Type="http://schemas.openxmlformats.org/officeDocument/2006/relationships/hyperlink" Target="https://greentec-capital.com/2018/10/08/greentec-invests-into-nigerian-logistics-solution-parcel-it/" TargetMode="External"/><Relationship Id="rId965" Type="http://schemas.openxmlformats.org/officeDocument/2006/relationships/hyperlink" Target="https://www.businessinsider.com/bboxx-crowdfunded-68-million-for-africa-solar-project-2019-2?r=US&amp;IR=T" TargetMode="External"/><Relationship Id="rId1150" Type="http://schemas.openxmlformats.org/officeDocument/2006/relationships/hyperlink" Target="https://ventureburn.com/2019/06/on-demand-video-production-vidr-nets-investment/" TargetMode="External"/><Relationship Id="rId10" Type="http://schemas.openxmlformats.org/officeDocument/2006/relationships/hyperlink" Target="https://www.crunchbase.com/funding_round/m-kopa-series-a--85447685" TargetMode="External"/><Relationship Id="rId94" Type="http://schemas.openxmlformats.org/officeDocument/2006/relationships/hyperlink" Target="https://www.crunchbase.com/organization/konga-online-shopping-limited" TargetMode="External"/><Relationship Id="rId397" Type="http://schemas.openxmlformats.org/officeDocument/2006/relationships/hyperlink" Target="https://www.crunchbase.com/funding_round/you-baby-and-i-seed--0393eb29" TargetMode="External"/><Relationship Id="rId520" Type="http://schemas.openxmlformats.org/officeDocument/2006/relationships/hyperlink" Target="https://www.menabytes.com/flat6labs-cairo-tenth-cycle/" TargetMode="External"/><Relationship Id="rId618" Type="http://schemas.openxmlformats.org/officeDocument/2006/relationships/hyperlink" Target="https://techmoran.com/2018/07/26/kenyas-mookh-wins-50000-top-prize-as-nigerias-credpal-zowasel-get-second-place-in-visas-everywhere-initiative/" TargetMode="External"/><Relationship Id="rId825" Type="http://schemas.openxmlformats.org/officeDocument/2006/relationships/hyperlink" Target="https://impactchallenge.withgoogle.com/nigeria2018/charities" TargetMode="External"/><Relationship Id="rId1248" Type="http://schemas.openxmlformats.org/officeDocument/2006/relationships/hyperlink" Target="https://jnjinnovation.com/sites/jji/files/AIC2_0Announcement%20PR_For_Immediate%20Release_5Sept2019.pdf" TargetMode="External"/><Relationship Id="rId257" Type="http://schemas.openxmlformats.org/officeDocument/2006/relationships/hyperlink" Target="https://www.crunchbase.com/funding_round/waystocap-seed--1a824335" TargetMode="External"/><Relationship Id="rId464" Type="http://schemas.openxmlformats.org/officeDocument/2006/relationships/hyperlink" Target="http://ventureburn.com/2018/04/terragon-tl/" TargetMode="External"/><Relationship Id="rId1010" Type="http://schemas.openxmlformats.org/officeDocument/2006/relationships/hyperlink" Target="https://digestafrica.com/kwik-delivery-seed-round-launch-lagos" TargetMode="External"/><Relationship Id="rId1094" Type="http://schemas.openxmlformats.org/officeDocument/2006/relationships/hyperlink" Target="http://disrupt-africa.com/2019/05/10-startups-pitch-at-startupbootcamp-pride-fintech-cairo-demo-day/" TargetMode="External"/><Relationship Id="rId1108" Type="http://schemas.openxmlformats.org/officeDocument/2006/relationships/hyperlink" Target="https://www.businessdailyafrica.com/corporate/companies/French-billionaire-family-acquires-stake-in-Twiga/4003102-5155176-kn3c9tz/index.html" TargetMode="External"/><Relationship Id="rId117" Type="http://schemas.openxmlformats.org/officeDocument/2006/relationships/hyperlink" Target="https://www.forbes.com/sites/mfonobongnsehe/2015/10/07/nigerian-money-transfer-firm-paga-raises-13-million/" TargetMode="External"/><Relationship Id="rId671" Type="http://schemas.openxmlformats.org/officeDocument/2006/relationships/hyperlink" Target="http://ventureburn.com/2018/08/lendable-fmo-450k/" TargetMode="External"/><Relationship Id="rId769" Type="http://schemas.openxmlformats.org/officeDocument/2006/relationships/hyperlink" Target="https://is.gd/Q2X9hF" TargetMode="External"/><Relationship Id="rId976" Type="http://schemas.openxmlformats.org/officeDocument/2006/relationships/hyperlink" Target="https://techmoran.com/2019/03/11/greenlight-planet-raises-e1-8-million-to-bring-solar-energy-to-half-a-million-people/" TargetMode="External"/><Relationship Id="rId324" Type="http://schemas.openxmlformats.org/officeDocument/2006/relationships/hyperlink" Target="http://disrupt-africa.com/2017/08/cape-towns-getworth-takes-total-funding-to-1-38m/" TargetMode="External"/><Relationship Id="rId531" Type="http://schemas.openxmlformats.org/officeDocument/2006/relationships/hyperlink" Target="https://www.altafrica.com/janngo-raises-eur-1mn-in-seed-funding/" TargetMode="External"/><Relationship Id="rId629" Type="http://schemas.openxmlformats.org/officeDocument/2006/relationships/hyperlink" Target="https://www.dailytrust.com.ng/clean-energy-4-firms-clinch-10-000-capital-prize-264708.html" TargetMode="External"/><Relationship Id="rId1161" Type="http://schemas.openxmlformats.org/officeDocument/2006/relationships/hyperlink" Target="https://www.techstars.com/content/accelerators/techstars-making-impact-meet-2019-techstars-impact-class/" TargetMode="External"/><Relationship Id="rId1259" Type="http://schemas.openxmlformats.org/officeDocument/2006/relationships/hyperlink" Target="https://techmoran.com/2019/09/13/pitch-agrihack-awards-over-60k-into-african-innovators-transforming-agriculture/" TargetMode="External"/><Relationship Id="rId836" Type="http://schemas.openxmlformats.org/officeDocument/2006/relationships/hyperlink" Target="https://www.crunchbase.com/organization/spurbuddy" TargetMode="External"/><Relationship Id="rId1021" Type="http://schemas.openxmlformats.org/officeDocument/2006/relationships/hyperlink" Target="https://www.crunchbase.com/organization/l%C3%BCla" TargetMode="External"/><Relationship Id="rId1119" Type="http://schemas.openxmlformats.org/officeDocument/2006/relationships/hyperlink" Target="http://disrupt-africa.com/2019/06/ghanaian-agri-tech-startup-farmerline-secures-afdb-grant-funding/" TargetMode="External"/><Relationship Id="rId903" Type="http://schemas.openxmlformats.org/officeDocument/2006/relationships/hyperlink" Target="http://musonisystem.com/2019/01/alterfin-musoni/" TargetMode="External"/><Relationship Id="rId32" Type="http://schemas.openxmlformats.org/officeDocument/2006/relationships/hyperlink" Target="https://www.crunchbase.com/funding_round/jumia-group-series-b--5e1b9770" TargetMode="External"/><Relationship Id="rId181" Type="http://schemas.openxmlformats.org/officeDocument/2006/relationships/hyperlink" Target="https://www.crunchbase.com/funding_round/safemotos-non-equity-assistance--44e6c34a" TargetMode="External"/><Relationship Id="rId279" Type="http://schemas.openxmlformats.org/officeDocument/2006/relationships/hyperlink" Target="https://www.crunchbase.com/funding_round/offgridbox-angel--199d70c3" TargetMode="External"/><Relationship Id="rId486" Type="http://schemas.openxmlformats.org/officeDocument/2006/relationships/hyperlink" Target="http://lagare.ma/" TargetMode="External"/><Relationship Id="rId693" Type="http://schemas.openxmlformats.org/officeDocument/2006/relationships/hyperlink" Target="https://www.crunchbase.com/funding_round/elroshetta-seed--706d202b" TargetMode="External"/><Relationship Id="rId139" Type="http://schemas.openxmlformats.org/officeDocument/2006/relationships/hyperlink" Target="https://www.crunchbase.com/funding_round/omg-digital-convertible-note--ea0b9400" TargetMode="External"/><Relationship Id="rId346" Type="http://schemas.openxmlformats.org/officeDocument/2006/relationships/hyperlink" Target="http://disrupt-africa.com/2017/10/nigerias-aella-credit-raises-funding-from-500-startups-y-combinator/" TargetMode="External"/><Relationship Id="rId553" Type="http://schemas.openxmlformats.org/officeDocument/2006/relationships/hyperlink" Target="http://disrupt-africa.com/2018/06/pangea-invests-in-3-kenyan-startups-at-demo-day/" TargetMode="External"/><Relationship Id="rId760" Type="http://schemas.openxmlformats.org/officeDocument/2006/relationships/hyperlink" Target="https://is.gd/RMD9Ob" TargetMode="External"/><Relationship Id="rId998" Type="http://schemas.openxmlformats.org/officeDocument/2006/relationships/hyperlink" Target="https://techmoran.com/2019/03/22/daystar-power-receives-10-million-us-dollars-for-expansion-of-solar-power-operations-in-west-africa/" TargetMode="External"/><Relationship Id="rId1183" Type="http://schemas.openxmlformats.org/officeDocument/2006/relationships/hyperlink" Target="http://disrupt-africa.com/2019/08/5-african-startups-secure-25k-funding-each-via-baobab-network-accelerator/" TargetMode="External"/><Relationship Id="rId206" Type="http://schemas.openxmlformats.org/officeDocument/2006/relationships/hyperlink" Target="https://www.crunchbase.com/funding_round/driversng-seed--3d97b248" TargetMode="External"/><Relationship Id="rId413" Type="http://schemas.openxmlformats.org/officeDocument/2006/relationships/hyperlink" Target="https://www.heliosinvestment.com/uploads/files/Off-Grid-Electric-Secures-55-Million-Series-D-Funding.pdf" TargetMode="External"/><Relationship Id="rId858" Type="http://schemas.openxmlformats.org/officeDocument/2006/relationships/hyperlink" Target="https://techcrunch.com/2018/12/13/jumo-raises-12-5m/?utm_source=feedburner&amp;utm_medium=feed&amp;utm_campaign=Feed%3A+techcrunch%2Ffundings-exits+%28TechCrunch+%C2%BB+Fundings+%26+Exits%29" TargetMode="External"/><Relationship Id="rId1043" Type="http://schemas.openxmlformats.org/officeDocument/2006/relationships/hyperlink" Target="http://disrupt-africa.com/2019/04/nigerian-fintech-startups-awarded-efina-grant-funding/" TargetMode="External"/><Relationship Id="rId620" Type="http://schemas.openxmlformats.org/officeDocument/2006/relationships/hyperlink" Target="https://impactalpha.com/zola-secures-20-million-debt-funding-for-off-grid-solar-expansion/" TargetMode="External"/><Relationship Id="rId718" Type="http://schemas.openxmlformats.org/officeDocument/2006/relationships/hyperlink" Target="http://www.sec.gov/Archives/edgar/data/1745877/000174587718000001/xslFormDX01/primary_doc.xml" TargetMode="External"/><Relationship Id="rId925" Type="http://schemas.openxmlformats.org/officeDocument/2006/relationships/hyperlink" Target="https://www.crunchbase.com/organization/provider" TargetMode="External"/><Relationship Id="rId1250" Type="http://schemas.openxmlformats.org/officeDocument/2006/relationships/hyperlink" Target="https://jnjinnovation.com/sites/jji/files/AIC2_0Announcement%20PR_For_Immediate%20Release_5Sept2019.pdf" TargetMode="External"/><Relationship Id="rId1110" Type="http://schemas.openxmlformats.org/officeDocument/2006/relationships/hyperlink" Target="http://inclusivitysolutions.com/inclusivity-solutions-secures-us1-56-million-series-a-round/" TargetMode="External"/><Relationship Id="rId1208" Type="http://schemas.openxmlformats.org/officeDocument/2006/relationships/hyperlink" Target="http://disrupt-africa.com/2019/08/8-sa-fintech-startups-share-1m-worth-in-funding-support-from-alphacode/" TargetMode="External"/><Relationship Id="rId54" Type="http://schemas.openxmlformats.org/officeDocument/2006/relationships/hyperlink" Target="https://www.crunchbase.com/funding_round/m-kopa-series-c--1053a21c" TargetMode="External"/><Relationship Id="rId270" Type="http://schemas.openxmlformats.org/officeDocument/2006/relationships/hyperlink" Target="https://www.crunchbase.com/search/funding_rounds/field/organizations/num_funding_rounds/binu" TargetMode="External"/><Relationship Id="rId130" Type="http://schemas.openxmlformats.org/officeDocument/2006/relationships/hyperlink" Target="http://disrupt-africa.com/2015/12/cairos-auc-venture-lab-graduates-12-incubated-startups/" TargetMode="External"/><Relationship Id="rId368" Type="http://schemas.openxmlformats.org/officeDocument/2006/relationships/hyperlink" Target="https://www.crunchbase.com/funding_round/spicyauto-pre-seed--e38653b8" TargetMode="External"/><Relationship Id="rId575" Type="http://schemas.openxmlformats.org/officeDocument/2006/relationships/hyperlink" Target="https://www.crunchbase.com/funding_round/outsource-now-seed--549f3757" TargetMode="External"/><Relationship Id="rId782" Type="http://schemas.openxmlformats.org/officeDocument/2006/relationships/hyperlink" Target="https://www.crunchbase.com/organization/eneza-education" TargetMode="External"/><Relationship Id="rId228" Type="http://schemas.openxmlformats.org/officeDocument/2006/relationships/hyperlink" Target="https://techcabal.com/2016/11/17/kenyas-wefarm-has-raised-1-6-million-in-seed-funding/" TargetMode="External"/><Relationship Id="rId435" Type="http://schemas.openxmlformats.org/officeDocument/2006/relationships/hyperlink" Target="https://techmoran.com/nigerias-digital-blood-bank-lifebank-raised-200k-echovc-cchub-others/" TargetMode="External"/><Relationship Id="rId642" Type="http://schemas.openxmlformats.org/officeDocument/2006/relationships/hyperlink" Target="http://luxchizie.net/" TargetMode="External"/><Relationship Id="rId1065" Type="http://schemas.openxmlformats.org/officeDocument/2006/relationships/hyperlink" Target="https://www.businessdailyafrica.com/corporate/enterprise/Startups-win-Sh65m-in-innovation-drive/4003126-5113512-4ld50b/index.html" TargetMode="External"/><Relationship Id="rId502" Type="http://schemas.openxmlformats.org/officeDocument/2006/relationships/hyperlink" Target="https://www.crunchbase.com/funding_round/mumm-grant--1a844d47" TargetMode="External"/><Relationship Id="rId947" Type="http://schemas.openxmlformats.org/officeDocument/2006/relationships/hyperlink" Target="https://thd.tn/intilaq-fast-track-un-million-de-dinars-pour-les-5-startups-gagnantes/" TargetMode="External"/><Relationship Id="rId1132" Type="http://schemas.openxmlformats.org/officeDocument/2006/relationships/hyperlink" Target="https://techtrendske.co.ke/taimba-secures-100k-funding-from-gray-matters-capitals-colabs/" TargetMode="External"/><Relationship Id="rId76" Type="http://schemas.openxmlformats.org/officeDocument/2006/relationships/hyperlink" Target="https://techcrunch.com/2014/11/26/rocket-internet-backed-jumia-raises-150m-for-its-african-e-commerce-business/" TargetMode="External"/><Relationship Id="rId807" Type="http://schemas.openxmlformats.org/officeDocument/2006/relationships/hyperlink" Target="http://disrupt-africa.com/2018/11/nairobi-based-startup-wins-usaids-fall-armyworm-tech-prize/" TargetMode="External"/><Relationship Id="rId292" Type="http://schemas.openxmlformats.org/officeDocument/2006/relationships/hyperlink" Target="https://www.crunchbase.com/funding_round/waystocap-seed--d5f4a63c" TargetMode="External"/><Relationship Id="rId597" Type="http://schemas.openxmlformats.org/officeDocument/2006/relationships/hyperlink" Target="http://disrupt-africa.com/2018/07/sa-ed-tech-incubator-injini-announces-2nd-cohort/" TargetMode="External"/><Relationship Id="rId152" Type="http://schemas.openxmlformats.org/officeDocument/2006/relationships/hyperlink" Target="http://disrupt-africa.com/2016/03/kenyas-ma3route-raises-25k-pre-seed-round/" TargetMode="External"/><Relationship Id="rId457" Type="http://schemas.openxmlformats.org/officeDocument/2006/relationships/hyperlink" Target="http://www.africanreview.com/finance/banking-a-finance/standard-bank-acts-as-lead-adviser-on-m-birr-s-us-9-87mn-equity-raise" TargetMode="External"/><Relationship Id="rId1087" Type="http://schemas.openxmlformats.org/officeDocument/2006/relationships/hyperlink" Target="https://www.crunchbase.com/funding_round/rucove-pre-seed--3b5d740e" TargetMode="External"/><Relationship Id="rId664" Type="http://schemas.openxmlformats.org/officeDocument/2006/relationships/hyperlink" Target="https://techpoint.africa/reports/q3/" TargetMode="External"/><Relationship Id="rId871" Type="http://schemas.openxmlformats.org/officeDocument/2006/relationships/hyperlink" Target="https://digestafrica.com/offgridbox-rwanda-seed-funding/" TargetMode="External"/><Relationship Id="rId969" Type="http://schemas.openxmlformats.org/officeDocument/2006/relationships/hyperlink" Target="https://www.menabytes.com/avidbeam-series-a/" TargetMode="External"/><Relationship Id="rId317" Type="http://schemas.openxmlformats.org/officeDocument/2006/relationships/hyperlink" Target="http://disrupt-africa.com/2017/08/sas-aerobotics-raises-600k-funding-from-4di-savannah-fund/" TargetMode="External"/><Relationship Id="rId524" Type="http://schemas.openxmlformats.org/officeDocument/2006/relationships/hyperlink" Target="https://www.menabytes.com/flat6labs-cairo-tenth-cycle/" TargetMode="External"/><Relationship Id="rId731" Type="http://schemas.openxmlformats.org/officeDocument/2006/relationships/hyperlink" Target="https://www.menabytes.com/oto-english-seed/?fbclid=IwAR2FXBx1HAVRYRB_eUkM1sq1SptRL3qC03-gVE30JHzteAC1bYnUh3zLzT4" TargetMode="External"/><Relationship Id="rId1154" Type="http://schemas.openxmlformats.org/officeDocument/2006/relationships/hyperlink" Target="https://ventureburn.com/2019/06/growth-capital-drugstoc-investment/" TargetMode="External"/><Relationship Id="rId98" Type="http://schemas.openxmlformats.org/officeDocument/2006/relationships/hyperlink" Target="https://techcabal.com/2015/05/06/sweepsouth-has-closed-a-funding-round-to-scale-up-its-service-in-south-africa/" TargetMode="External"/><Relationship Id="rId829" Type="http://schemas.openxmlformats.org/officeDocument/2006/relationships/hyperlink" Target="https://impactchallenge.withgoogle.com/kenya2018/charities" TargetMode="External"/><Relationship Id="rId1014" Type="http://schemas.openxmlformats.org/officeDocument/2006/relationships/hyperlink" Target="https://qz.com/africa/1588155/transsions-boomplay-gets-20-million-series-a-for-african-music/" TargetMode="External"/><Relationship Id="rId1221" Type="http://schemas.openxmlformats.org/officeDocument/2006/relationships/hyperlink" Target="https://techcrunch.com/2019/08/21/african-incubator-mest-has-a-new-md-and-11-fresh-startup-investments/" TargetMode="External"/><Relationship Id="rId25" Type="http://schemas.openxmlformats.org/officeDocument/2006/relationships/hyperlink" Target="https://www.crunchbase.com/organization/nomanini" TargetMode="External"/><Relationship Id="rId174" Type="http://schemas.openxmlformats.org/officeDocument/2006/relationships/hyperlink" Target="https://www.crunchbase.com/funding_round/ampersand-2-convertible-note--a8f06af3" TargetMode="External"/><Relationship Id="rId381" Type="http://schemas.openxmlformats.org/officeDocument/2006/relationships/hyperlink" Target="http://disrupt-africa.com/2017/12/stellenbosch-startup-sxuirrel-raises-176k-funding/" TargetMode="External"/><Relationship Id="rId241" Type="http://schemas.openxmlformats.org/officeDocument/2006/relationships/hyperlink" Target="https://www.crunchbase.com/search/funding_rounds/field/organizations/num_funding_rounds/wealth-migrate" TargetMode="External"/><Relationship Id="rId479" Type="http://schemas.openxmlformats.org/officeDocument/2006/relationships/hyperlink" Target="https://www.crunchbase.com/funding_round/nala-money-pre-seed--11b428a2" TargetMode="External"/><Relationship Id="rId686" Type="http://schemas.openxmlformats.org/officeDocument/2006/relationships/hyperlink" Target="https://techpoint.africa/2018/08/30/3-startups-shines-at-the-2018-zambezi-prize/" TargetMode="External"/><Relationship Id="rId893" Type="http://schemas.openxmlformats.org/officeDocument/2006/relationships/hyperlink" Target="https://digestafrica.com/funding-rounds-2018-took-place/" TargetMode="External"/><Relationship Id="rId339" Type="http://schemas.openxmlformats.org/officeDocument/2006/relationships/hyperlink" Target="http://disrupt-africa.com/2017/10/kenyan-fashion-startup-zumi-closes-250k-round/" TargetMode="External"/><Relationship Id="rId546" Type="http://schemas.openxmlformats.org/officeDocument/2006/relationships/hyperlink" Target="https://www.crunchbase.com/funding_round/maxab-seed--b568e4c8" TargetMode="External"/><Relationship Id="rId753" Type="http://schemas.openxmlformats.org/officeDocument/2006/relationships/hyperlink" Target="https://www.crunchbase.com/funding_round/jetstream-africa-seed--61af15f6" TargetMode="External"/><Relationship Id="rId1176" Type="http://schemas.openxmlformats.org/officeDocument/2006/relationships/hyperlink" Target="http://disrupt-africa.com/2019/07/kenyan-sales-force-automation-startup-optimetriks-secures-330k-debt-financing/" TargetMode="External"/><Relationship Id="rId101" Type="http://schemas.openxmlformats.org/officeDocument/2006/relationships/hyperlink" Target="https://www.crunchbase.com/funding_round/yumamia-seed--d3609de1" TargetMode="External"/><Relationship Id="rId406" Type="http://schemas.openxmlformats.org/officeDocument/2006/relationships/hyperlink" Target="https://digestafrica.com/Consonance%20Investment%20Managers" TargetMode="External"/><Relationship Id="rId960" Type="http://schemas.openxmlformats.org/officeDocument/2006/relationships/hyperlink" Target="http://blockchain.com/" TargetMode="External"/><Relationship Id="rId1036" Type="http://schemas.openxmlformats.org/officeDocument/2006/relationships/hyperlink" Target="https://www.menabytes.com/mitef-arab-startup-competition-winners-2019/" TargetMode="External"/><Relationship Id="rId1243" Type="http://schemas.openxmlformats.org/officeDocument/2006/relationships/hyperlink" Target="https://www.360dx.com/immunoassays/de-beers-funds-startup-erada-technology-288k-develop-worlds-first-malaria-spit-test" TargetMode="External"/><Relationship Id="rId613" Type="http://schemas.openxmlformats.org/officeDocument/2006/relationships/hyperlink" Target="https://techmoran.com/2018/07/19/kenyas-utu-technologies-receives-250000-to-bring-trust-in-the-sharing-economy/" TargetMode="External"/><Relationship Id="rId820" Type="http://schemas.openxmlformats.org/officeDocument/2006/relationships/hyperlink" Target="https://www.dn.se/ekonomi/global-utveckling/svenska-tech-miljoner-till-sociala-entreprenorer-i-ostafrika/" TargetMode="External"/><Relationship Id="rId918" Type="http://schemas.openxmlformats.org/officeDocument/2006/relationships/hyperlink" Target="https://thd.tn/med-tn-premiere-levee-de-fonds-de-2-millions-de-dinars-concretisee/" TargetMode="External"/><Relationship Id="rId1103" Type="http://schemas.openxmlformats.org/officeDocument/2006/relationships/hyperlink" Target="https://ventureburn.com/2019/06/savant-venture-fund-smartblade-investment/" TargetMode="External"/><Relationship Id="rId47" Type="http://schemas.openxmlformats.org/officeDocument/2006/relationships/hyperlink" Target="https://www.crunchbase.com/funding_round/irokotv-series-d--c934fac9" TargetMode="External"/><Relationship Id="rId196" Type="http://schemas.openxmlformats.org/officeDocument/2006/relationships/hyperlink" Target="https://www.crunchbase.com/funding_round/msurvey-seed--25924833" TargetMode="External"/><Relationship Id="rId263" Type="http://schemas.openxmlformats.org/officeDocument/2006/relationships/hyperlink" Target="https://www.crunchbase.com/funding_round/mines-io-debt-financing--56dfd4ee" TargetMode="External"/><Relationship Id="rId470" Type="http://schemas.openxmlformats.org/officeDocument/2006/relationships/hyperlink" Target="https://www.crunchbase.com/funding_round/appzone-seed--ca7dc870" TargetMode="External"/><Relationship Id="rId123" Type="http://schemas.openxmlformats.org/officeDocument/2006/relationships/hyperlink" Target="https://www.balancingact-africa.com/news/telecoms_en/35104/pfizer-foundation-injects-us15-million-into-kenyas-first-mobile-health-wallet-platform" TargetMode="External"/><Relationship Id="rId330" Type="http://schemas.openxmlformats.org/officeDocument/2006/relationships/hyperlink" Target="https://technext.ng/2019/03/29/rxall-is-the-ambitious-nigerian-startup-using-blockchain-to-fight-fake-drugs/" TargetMode="External"/><Relationship Id="rId568" Type="http://schemas.openxmlformats.org/officeDocument/2006/relationships/hyperlink" Target="https://is.gd/WeObx0" TargetMode="External"/><Relationship Id="rId775" Type="http://schemas.openxmlformats.org/officeDocument/2006/relationships/hyperlink" Target="http://disrupt-africa.com/2018/10/african-startups-secure-grant-money-from-mastercard-fund/" TargetMode="External"/><Relationship Id="rId982" Type="http://schemas.openxmlformats.org/officeDocument/2006/relationships/hyperlink" Target="http://disrupt-africa.com/2019/03/sa-student-accommodation-startup-digsconnect-raises-830k/" TargetMode="External"/><Relationship Id="rId1198" Type="http://schemas.openxmlformats.org/officeDocument/2006/relationships/hyperlink" Target="https://ventureburn.com/2019/08/savant-venture-fund-jonga/" TargetMode="External"/><Relationship Id="rId428" Type="http://schemas.openxmlformats.org/officeDocument/2006/relationships/hyperlink" Target="https://www.crunchbase.com/funding_round/hub2-io-seed--2b5f7118" TargetMode="External"/><Relationship Id="rId635" Type="http://schemas.openxmlformats.org/officeDocument/2006/relationships/hyperlink" Target="https://magnitt.com/startups/taskty" TargetMode="External"/><Relationship Id="rId842" Type="http://schemas.openxmlformats.org/officeDocument/2006/relationships/hyperlink" Target="https://www.menabytes.com/vision-ventures-buseet/" TargetMode="External"/><Relationship Id="rId1058" Type="http://schemas.openxmlformats.org/officeDocument/2006/relationships/hyperlink" Target="http://disrupt-africa.com/2019/05/10-african-creatives-share-29k-prize-money-in-digital-lab-africa-competition/" TargetMode="External"/><Relationship Id="rId1265" Type="http://schemas.openxmlformats.org/officeDocument/2006/relationships/hyperlink" Target="https://ventureburn.com/2019/09/yebo-fresh-investment-e4eafrica-founders/" TargetMode="External"/><Relationship Id="rId702" Type="http://schemas.openxmlformats.org/officeDocument/2006/relationships/hyperlink" Target="https://techcrunch.com/2018/09/04/expanding-its-internet-service-to-more-countries-in-africa-tizeti-raises-3-million/" TargetMode="External"/><Relationship Id="rId1125" Type="http://schemas.openxmlformats.org/officeDocument/2006/relationships/hyperlink" Target="https://techmoran.com/2019/06/18/six-east-african-startup-entrepreneurs-receive-12000-from-mit-d-lab-scale-ups-fellowships-program/" TargetMode="External"/><Relationship Id="rId69" Type="http://schemas.openxmlformats.org/officeDocument/2006/relationships/hyperlink" Target="https://www.crunchbase.com/funding_round/brck-inc-seed--a2dbb7fe" TargetMode="External"/><Relationship Id="rId285" Type="http://schemas.openxmlformats.org/officeDocument/2006/relationships/hyperlink" Target="https://www.wamda.com/2017/05/endeavor-catalyst-fund-closes-500000-investment-egypt" TargetMode="External"/><Relationship Id="rId492" Type="http://schemas.openxmlformats.org/officeDocument/2006/relationships/hyperlink" Target="https://blog.africastalking.com/investing-in-the-future-of-developers-in-africa-11add215c42e" TargetMode="External"/><Relationship Id="rId797" Type="http://schemas.openxmlformats.org/officeDocument/2006/relationships/hyperlink" Target="https://is.gd/yuDAnY" TargetMode="External"/><Relationship Id="rId145" Type="http://schemas.openxmlformats.org/officeDocument/2006/relationships/hyperlink" Target="http://ventureburn.com/2016/02/travel-booking-site-travelstart-lands-40m-asserts-investor-confidence/" TargetMode="External"/><Relationship Id="rId352" Type="http://schemas.openxmlformats.org/officeDocument/2006/relationships/hyperlink" Target="http://disrupt-africa.com/2017/10/solar-company-peg-africa-secures-13-5m-funding/" TargetMode="External"/><Relationship Id="rId212" Type="http://schemas.openxmlformats.org/officeDocument/2006/relationships/hyperlink" Target="https://techweez.com/2018/10/22/buupass-api-partnerships/" TargetMode="External"/><Relationship Id="rId657" Type="http://schemas.openxmlformats.org/officeDocument/2006/relationships/hyperlink" Target="https://www.crunchbase.com/funding_round/shield-finders-seed--3713f7c4" TargetMode="External"/><Relationship Id="rId864" Type="http://schemas.openxmlformats.org/officeDocument/2006/relationships/hyperlink" Target="https://www.crunchbase.com/organization/africa-delivery-technologies-ltd" TargetMode="External"/><Relationship Id="rId517" Type="http://schemas.openxmlformats.org/officeDocument/2006/relationships/hyperlink" Target="https://www.crunchbase.com/funding_round/funtrench-seed--c7ff1334" TargetMode="External"/><Relationship Id="rId724" Type="http://schemas.openxmlformats.org/officeDocument/2006/relationships/hyperlink" Target="https://digestafrica.com/mest-invest-african-startups/" TargetMode="External"/><Relationship Id="rId931" Type="http://schemas.openxmlformats.org/officeDocument/2006/relationships/hyperlink" Target="https://businesstech.co.za/news/banking/296554/santam-concludes-minority-investment-in-insurtech-start-up-ctrl/" TargetMode="External"/><Relationship Id="rId1147" Type="http://schemas.openxmlformats.org/officeDocument/2006/relationships/hyperlink" Target="http://disrupt-africa.com/2019/06/6-nigerian-fintech-startups-secure-equity-free-funding-from-arm-labs/" TargetMode="External"/><Relationship Id="rId60" Type="http://schemas.openxmlformats.org/officeDocument/2006/relationships/hyperlink" Target="https://www.crunchbase.com/funding_round/nawah-seed--1e5f2ad1" TargetMode="External"/><Relationship Id="rId1007" Type="http://schemas.openxmlformats.org/officeDocument/2006/relationships/hyperlink" Target="https://qz.com/africa/1582570/warner-music-bets-on-afrobeats-nigeria-label-chocolate-city/" TargetMode="External"/><Relationship Id="rId1214" Type="http://schemas.openxmlformats.org/officeDocument/2006/relationships/hyperlink" Target="http://disrupt-africa.com/2019/08/8-sa-fintech-startups-share-1m-worth-in-funding-support-from-alphacode/" TargetMode="External"/><Relationship Id="rId18" Type="http://schemas.openxmlformats.org/officeDocument/2006/relationships/hyperlink" Target="http://zoonaafrica.blogspot.com/2012/03/omidyar-network-and-accion-invest-us-32.html" TargetMode="External"/><Relationship Id="rId167" Type="http://schemas.openxmlformats.org/officeDocument/2006/relationships/hyperlink" Target="http://disrupt-africa.com/2016/05/ugandas-solarnow-gets-2m-loan-facility/" TargetMode="External"/><Relationship Id="rId374" Type="http://schemas.openxmlformats.org/officeDocument/2006/relationships/hyperlink" Target="https://www.crunchbase.com/funding_round/imaginators-grant--09a0608c" TargetMode="External"/><Relationship Id="rId581" Type="http://schemas.openxmlformats.org/officeDocument/2006/relationships/hyperlink" Target="https://www.crunchbase.com/funding_round/twiga-foods-series-unknown--f941a372" TargetMode="External"/><Relationship Id="rId234" Type="http://schemas.openxmlformats.org/officeDocument/2006/relationships/hyperlink" Target="http://disrupt-africa.com/2016/11/sa-marketing-tech-startup-delvv-io-closes-457k-round/" TargetMode="External"/><Relationship Id="rId679" Type="http://schemas.openxmlformats.org/officeDocument/2006/relationships/hyperlink" Target="https://techcrunch.com/2016/03/22/y-combinator-demo-day-winter-2016/" TargetMode="External"/><Relationship Id="rId886" Type="http://schemas.openxmlformats.org/officeDocument/2006/relationships/hyperlink" Target="https://digestafrica.com/mastercard-uganda-burundi-malawi/" TargetMode="External"/><Relationship Id="rId2" Type="http://schemas.openxmlformats.org/officeDocument/2006/relationships/hyperlink" Target="https://www.crunchbase.com/search/funding_rounds/field/organizations/num_funding_rounds/binu" TargetMode="External"/><Relationship Id="rId441" Type="http://schemas.openxmlformats.org/officeDocument/2006/relationships/hyperlink" Target="https://www.crunchbase.com/funding_round/musanga-seed--3d536a9d" TargetMode="External"/><Relationship Id="rId539" Type="http://schemas.openxmlformats.org/officeDocument/2006/relationships/hyperlink" Target="https://www.menabytes.com/bermoda-seed/" TargetMode="External"/><Relationship Id="rId746" Type="http://schemas.openxmlformats.org/officeDocument/2006/relationships/hyperlink" Target="https://www.crunchbase.com/funding_round/offgridbox-seed--b47f6e07" TargetMode="External"/><Relationship Id="rId1071" Type="http://schemas.openxmlformats.org/officeDocument/2006/relationships/hyperlink" Target="https://www.techzim.co.zw/2019/05/zimbabwean-fintech-startup-gets-funded-by-european-institutional-fund-at-a-usd20-million-valuation/" TargetMode="External"/><Relationship Id="rId1169" Type="http://schemas.openxmlformats.org/officeDocument/2006/relationships/hyperlink" Target="https://www.prnewswire.com/news-releases/space-in-africa-closes-investment-round-expands-staff-to-eleven-people-across-five-african-nations-300884746.html" TargetMode="External"/><Relationship Id="rId301" Type="http://schemas.openxmlformats.org/officeDocument/2006/relationships/hyperlink" Target="http://disrupt-africa.com/2017/06/sa-marketing-startup-xineoh-raises-2m/" TargetMode="External"/><Relationship Id="rId953" Type="http://schemas.openxmlformats.org/officeDocument/2006/relationships/hyperlink" Target="https://techweez.com/2019/02/18/msurvey-series-a-funding-supplement/" TargetMode="External"/><Relationship Id="rId1029" Type="http://schemas.openxmlformats.org/officeDocument/2006/relationships/hyperlink" Target="https://digestafrica.com/founders-factory-africa" TargetMode="External"/><Relationship Id="rId1236" Type="http://schemas.openxmlformats.org/officeDocument/2006/relationships/hyperlink" Target="https://ventureburn.com/2019/08/egyptian-fintech-nowpay-seed/" TargetMode="External"/><Relationship Id="rId82" Type="http://schemas.openxmlformats.org/officeDocument/2006/relationships/hyperlink" Target="https://www.crunchbase.com/funding_round/shelter-afrique-debt-financing--a0eba823" TargetMode="External"/><Relationship Id="rId606" Type="http://schemas.openxmlformats.org/officeDocument/2006/relationships/hyperlink" Target="http://ventureburn.com/2018/07/sbc-afritech-10-startups-second-cohort/" TargetMode="External"/><Relationship Id="rId813" Type="http://schemas.openxmlformats.org/officeDocument/2006/relationships/hyperlink" Target="https://www.menabytes.com/biggest-tech-investments-2018/" TargetMode="External"/><Relationship Id="rId189" Type="http://schemas.openxmlformats.org/officeDocument/2006/relationships/hyperlink" Target="https://www.crunchbase.com/funding_round/eneza-education-series-unknown--619b2cb8" TargetMode="External"/><Relationship Id="rId396" Type="http://schemas.openxmlformats.org/officeDocument/2006/relationships/hyperlink" Target="http://www.gpweekly.com/business/local-app-myfoodness-secures-european-investors" TargetMode="External"/><Relationship Id="rId256" Type="http://schemas.openxmlformats.org/officeDocument/2006/relationships/hyperlink" Target="http://africacapitaldigest.com/investor-consortium-backs-africa-logistics-properties-with-48mln/" TargetMode="External"/><Relationship Id="rId463" Type="http://schemas.openxmlformats.org/officeDocument/2006/relationships/hyperlink" Target="http://disrupt-africa.com/2018/03/nigerian-drone-startup-raises-angel-funding/" TargetMode="External"/><Relationship Id="rId670" Type="http://schemas.openxmlformats.org/officeDocument/2006/relationships/hyperlink" Target="https://www.crunchbase.com/funding_round/sweetkiwi-seed--355e32cf" TargetMode="External"/><Relationship Id="rId1093" Type="http://schemas.openxmlformats.org/officeDocument/2006/relationships/hyperlink" Target="http://disrupt-africa.com/2019/05/sa-regtech-startup-intergreatme-ends-crowdfunding-campaign-after-securing-2-19m/" TargetMode="External"/><Relationship Id="rId116" Type="http://schemas.openxmlformats.org/officeDocument/2006/relationships/hyperlink" Target="https://www.crunchbase.com/funding_round/yoco-angel--97a14f3b" TargetMode="External"/><Relationship Id="rId323" Type="http://schemas.openxmlformats.org/officeDocument/2006/relationships/hyperlink" Target="https://businesstech.co.za/news/business/192502/sanlam-to-buy-r100-million-stake-in-easyequities/" TargetMode="External"/><Relationship Id="rId530" Type="http://schemas.openxmlformats.org/officeDocument/2006/relationships/hyperlink" Target="http://disrupt-africa.com/2018/05/mozambiques-izyshop-secures-funding-round/" TargetMode="External"/><Relationship Id="rId768" Type="http://schemas.openxmlformats.org/officeDocument/2006/relationships/hyperlink" Target="http://disrupt-africa.com/2018/10/sa-insurtech-startup-simply-raises-funding-for-growth/" TargetMode="External"/><Relationship Id="rId975" Type="http://schemas.openxmlformats.org/officeDocument/2006/relationships/hyperlink" Target="http://ventureburn.com/2019/03/onefi-5m-debt-facility/" TargetMode="External"/><Relationship Id="rId1160" Type="http://schemas.openxmlformats.org/officeDocument/2006/relationships/hyperlink" Target="https://rtoafrica.com/rent-to-own-secures-eur-1-0m-investment-from-dggf-managed-by-triple-jump-bv/" TargetMode="External"/><Relationship Id="rId628" Type="http://schemas.openxmlformats.org/officeDocument/2006/relationships/hyperlink" Target="https://is.gd/ihSKb9" TargetMode="External"/><Relationship Id="rId835" Type="http://schemas.openxmlformats.org/officeDocument/2006/relationships/hyperlink" Target="https://techmoran.com/2018/11/30/kolopay-accounteer-tradebuza-powercube-raise-100k-from-nigerias-itanna-accelerator/" TargetMode="External"/><Relationship Id="rId1258" Type="http://schemas.openxmlformats.org/officeDocument/2006/relationships/hyperlink" Target="https://techmoran.com/2019/09/13/pitch-agrihack-awards-over-60k-into-african-innovators-transforming-agriculture/" TargetMode="External"/><Relationship Id="rId1020" Type="http://schemas.openxmlformats.org/officeDocument/2006/relationships/hyperlink" Target="https://ventureburn.com/2019/04/recycling-startup-cash4trash-redefine/" TargetMode="External"/><Relationship Id="rId1118" Type="http://schemas.openxmlformats.org/officeDocument/2006/relationships/hyperlink" Target="https://magnitt.com/news/eksab-raises-seed-investment-500-startups-and-poised-become-leading-daily-fantasy-sports-platform" TargetMode="External"/><Relationship Id="rId902" Type="http://schemas.openxmlformats.org/officeDocument/2006/relationships/hyperlink" Target="https://www.crunchbase.com/organization/digital-bo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06522-C138-4E83-8AC9-2BD1A30DA71C}">
  <sheetPr codeName="Sheet13">
    <outlinePr summaryBelow="0" summaryRight="0"/>
  </sheetPr>
  <dimension ref="A1:BM3953"/>
  <sheetViews>
    <sheetView tabSelected="1" workbookViewId="0">
      <pane xSplit="2" ySplit="1" topLeftCell="G34" activePane="bottomRight" state="frozen"/>
      <selection pane="topRight" activeCell="C1" sqref="C1"/>
      <selection pane="bottomLeft" activeCell="A2" sqref="A2"/>
      <selection pane="bottomRight" activeCell="B1" sqref="B1"/>
    </sheetView>
  </sheetViews>
  <sheetFormatPr defaultColWidth="14.42578125" defaultRowHeight="15.75" customHeight="1"/>
  <cols>
    <col min="1" max="1" width="13.5703125" customWidth="1"/>
    <col min="2" max="2" width="34.7109375" customWidth="1"/>
    <col min="3" max="4" width="15.28515625" customWidth="1"/>
    <col min="5" max="5" width="21" customWidth="1"/>
    <col min="6" max="6" width="50.5703125" customWidth="1"/>
    <col min="7" max="7" width="50" customWidth="1"/>
    <col min="10" max="10" width="15" customWidth="1"/>
    <col min="11" max="11" width="35.140625" customWidth="1"/>
    <col min="12" max="12" width="26.7109375" customWidth="1"/>
    <col min="14" max="14" width="25.5703125" customWidth="1"/>
    <col min="20" max="20" width="20.28515625" customWidth="1"/>
    <col min="21" max="21" width="24.7109375" customWidth="1"/>
    <col min="27" max="27" width="31.28515625" customWidth="1"/>
  </cols>
  <sheetData>
    <row r="1" spans="1:65" ht="15.75" customHeight="1">
      <c r="A1" s="1" t="s">
        <v>0</v>
      </c>
      <c r="B1" s="1" t="s">
        <v>1</v>
      </c>
      <c r="C1" s="2" t="s">
        <v>2</v>
      </c>
      <c r="D1" s="1" t="s">
        <v>3</v>
      </c>
      <c r="E1" s="1" t="s">
        <v>4</v>
      </c>
      <c r="F1" s="1" t="s">
        <v>5</v>
      </c>
      <c r="G1" s="1" t="s">
        <v>6</v>
      </c>
      <c r="H1" s="3" t="s">
        <v>7</v>
      </c>
      <c r="I1" s="3" t="s">
        <v>8</v>
      </c>
      <c r="J1" s="3" t="s">
        <v>9</v>
      </c>
      <c r="K1" s="3" t="s">
        <v>10</v>
      </c>
      <c r="L1" s="3" t="s">
        <v>11</v>
      </c>
      <c r="M1" s="3" t="s">
        <v>12</v>
      </c>
      <c r="N1" s="3" t="s">
        <v>13</v>
      </c>
      <c r="O1" s="3" t="s">
        <v>14</v>
      </c>
      <c r="P1" s="3" t="s">
        <v>15</v>
      </c>
      <c r="Q1" s="3" t="s">
        <v>16</v>
      </c>
      <c r="R1" s="4" t="s">
        <v>17</v>
      </c>
      <c r="S1" s="5"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6" t="s">
        <v>41</v>
      </c>
      <c r="AQ1" s="6" t="s">
        <v>42</v>
      </c>
      <c r="AR1" s="6" t="s">
        <v>43</v>
      </c>
      <c r="AS1" s="3" t="s">
        <v>26</v>
      </c>
      <c r="AT1" s="3" t="s">
        <v>27</v>
      </c>
      <c r="AU1" s="3" t="s">
        <v>28</v>
      </c>
      <c r="AV1" s="3" t="s">
        <v>29</v>
      </c>
      <c r="AW1" s="3" t="s">
        <v>30</v>
      </c>
      <c r="AX1" s="3" t="s">
        <v>31</v>
      </c>
      <c r="AY1" s="3" t="s">
        <v>32</v>
      </c>
      <c r="AZ1" s="3" t="s">
        <v>33</v>
      </c>
      <c r="BA1" s="3" t="s">
        <v>34</v>
      </c>
      <c r="BB1" s="3" t="s">
        <v>35</v>
      </c>
      <c r="BC1" s="3" t="s">
        <v>36</v>
      </c>
      <c r="BD1" s="3" t="s">
        <v>37</v>
      </c>
      <c r="BE1" s="3" t="s">
        <v>38</v>
      </c>
      <c r="BF1" s="3" t="s">
        <v>39</v>
      </c>
      <c r="BG1" s="3" t="s">
        <v>40</v>
      </c>
      <c r="BH1" s="7"/>
      <c r="BI1" s="7"/>
      <c r="BJ1" s="7"/>
      <c r="BK1" s="7"/>
      <c r="BL1" s="8"/>
      <c r="BM1" s="7"/>
    </row>
    <row r="2" spans="1:65" ht="15.75" customHeight="1">
      <c r="A2" s="9">
        <v>39692</v>
      </c>
      <c r="B2" s="10" t="s">
        <v>44</v>
      </c>
      <c r="C2" s="11">
        <v>600000</v>
      </c>
      <c r="D2" s="12"/>
      <c r="E2" s="10" t="s">
        <v>45</v>
      </c>
      <c r="F2" s="10" t="s">
        <v>46</v>
      </c>
      <c r="G2" s="13" t="s">
        <v>47</v>
      </c>
      <c r="H2" s="14"/>
      <c r="I2" s="14"/>
      <c r="J2" s="14"/>
      <c r="K2" s="14"/>
      <c r="L2" s="14"/>
      <c r="M2" s="15">
        <f t="shared" ref="M2:M23" si="0">COUNTA(B2:K2)/(COUNTBLANK(B2:K2) + COUNTA(B2:K2))</f>
        <v>0.5</v>
      </c>
      <c r="N2" s="10"/>
      <c r="O2" s="14"/>
      <c r="P2" s="14"/>
      <c r="Q2" s="14"/>
      <c r="R2" s="14"/>
      <c r="S2" s="14"/>
      <c r="T2" s="14"/>
      <c r="U2" s="14" t="e">
        <f>VLOOKUP(K2,[1]Lookups!$B$3:$C$142,2,FALSE)</f>
        <v>#N/A</v>
      </c>
      <c r="V2" s="14">
        <f t="shared" ref="V2:V256" si="1">YEAR(A2)</f>
        <v>2008</v>
      </c>
      <c r="W2" s="14">
        <f t="shared" ref="W2:W256" si="2">MONTH(A2)</f>
        <v>9</v>
      </c>
      <c r="X2" s="14">
        <f>VLOOKUP(W2,[1]Lookups!$P$3:$S$15,2,FALSE)</f>
        <v>3</v>
      </c>
      <c r="Y2" s="16">
        <f>VLOOKUP(W2,[1]Lookups!$P$3:$U$15,3,FALSE)</f>
        <v>2</v>
      </c>
      <c r="Z2" s="16">
        <f t="shared" ref="Z2:Z256" si="3">LEN(F2)-LEN(SUBSTITUTE(F2,",",""))+1</f>
        <v>1</v>
      </c>
      <c r="AA2" s="16" t="str">
        <f t="shared" ref="AA2:AO17" ca="1" si="4">AS2</f>
        <v>#REF!</v>
      </c>
      <c r="AB2" s="16">
        <f t="shared" si="4"/>
        <v>0</v>
      </c>
      <c r="AC2" s="16">
        <f t="shared" si="4"/>
        <v>0</v>
      </c>
      <c r="AD2" s="16">
        <f t="shared" si="4"/>
        <v>0</v>
      </c>
      <c r="AE2" s="16">
        <f t="shared" si="4"/>
        <v>0</v>
      </c>
      <c r="AF2" s="16">
        <f t="shared" si="4"/>
        <v>0</v>
      </c>
      <c r="AG2" s="16">
        <f t="shared" si="4"/>
        <v>0</v>
      </c>
      <c r="AH2" s="16">
        <f t="shared" si="4"/>
        <v>0</v>
      </c>
      <c r="AI2" s="16">
        <f t="shared" si="4"/>
        <v>0</v>
      </c>
      <c r="AJ2" s="16">
        <f t="shared" si="4"/>
        <v>0</v>
      </c>
      <c r="AK2" s="16">
        <f t="shared" si="4"/>
        <v>0</v>
      </c>
      <c r="AL2" s="16">
        <f t="shared" si="4"/>
        <v>0</v>
      </c>
      <c r="AM2" s="16">
        <f t="shared" si="4"/>
        <v>0</v>
      </c>
      <c r="AN2" s="16">
        <f t="shared" si="4"/>
        <v>0</v>
      </c>
      <c r="AO2" s="16">
        <f t="shared" si="4"/>
        <v>0</v>
      </c>
      <c r="AP2" s="10"/>
      <c r="AQ2" s="10"/>
      <c r="AR2" s="10"/>
      <c r="AS2" s="10" t="str">
        <f t="shared" ref="AS2" ca="1" si="5">IFERROR(__xludf.DUMMYFUNCTION("split(#REF!,"","",true,true)"),"#REF!")</f>
        <v>#REF!</v>
      </c>
      <c r="AT2" s="10"/>
      <c r="AU2" s="10"/>
      <c r="AV2" s="10"/>
      <c r="AW2" s="10"/>
      <c r="AX2" s="10"/>
      <c r="AY2" s="10"/>
      <c r="AZ2" s="10"/>
      <c r="BA2" s="10"/>
      <c r="BB2" s="10"/>
      <c r="BC2" s="10"/>
      <c r="BD2" s="10"/>
      <c r="BE2" s="10"/>
      <c r="BF2" s="10"/>
      <c r="BG2" s="10"/>
      <c r="BH2" s="10"/>
      <c r="BI2" s="10"/>
      <c r="BJ2" s="10"/>
      <c r="BK2" s="10"/>
      <c r="BM2" s="10"/>
    </row>
    <row r="3" spans="1:65" ht="15.75" customHeight="1">
      <c r="A3" s="9">
        <v>39753</v>
      </c>
      <c r="B3" s="10" t="s">
        <v>44</v>
      </c>
      <c r="C3" s="11">
        <v>400000</v>
      </c>
      <c r="D3" s="12"/>
      <c r="E3" s="10" t="s">
        <v>48</v>
      </c>
      <c r="F3" s="10" t="s">
        <v>49</v>
      </c>
      <c r="G3" s="13" t="s">
        <v>47</v>
      </c>
      <c r="H3" s="14" t="str">
        <f t="array" ref="H3">IFERROR(INDEX([1]Companies!$G:$G,MATCH(B3,[1]Companies!$A:$A,0)),"")</f>
        <v>Australia</v>
      </c>
      <c r="I3" s="14" t="str">
        <f t="shared" ref="I3:I5" si="6">IF(LEN(TRIM(H3))-LEN(SUBSTITUTE(TRIM(H3),",","")) &gt; 0,TRIM(RIGHT(H3,LEN(H3)-FIND(",",H3))),H3)</f>
        <v>Australia</v>
      </c>
      <c r="J3" s="14" t="str">
        <f t="array" ref="J3">IFERROR(INDEX([1]Companies!$Y:$Y,MATCH(B3,[1]Companies!$A:$A,0)),"")</f>
        <v>Mobile Internet</v>
      </c>
      <c r="K3" s="14" t="str">
        <f t="array" ref="K3">IFERROR(INDEX([1]Companies!$X:$X,MATCH(B3,[1]Companies!$A:$A,0)),"")</f>
        <v>Information Technology</v>
      </c>
      <c r="L3" s="14" t="str">
        <f>VLOOKUP(B3,[1]Companies!$A$1:$C$5243,1,FALSE)</f>
        <v>biNu</v>
      </c>
      <c r="M3" s="15">
        <f t="shared" si="0"/>
        <v>0.9</v>
      </c>
      <c r="N3" s="10"/>
      <c r="O3" s="14" t="str">
        <f t="shared" ref="O3:O5" si="7">IF(A3 = "","",IF(COUNTIF(N:N,CONCATENATE(A3,B3,C3))&gt;1,"Duplicated",""))</f>
        <v/>
      </c>
      <c r="P3" s="14">
        <f t="shared" ref="P3:P5" si="8">IF(C3="Undisclosed",0,1)</f>
        <v>1</v>
      </c>
      <c r="Q3" s="14">
        <f t="array" ref="Q3">IFERROR(INDEX([1]Companies!$D:$D,MATCH(B3,[1]Companies!$A:$A,0)),"")</f>
        <v>2008</v>
      </c>
      <c r="R3" s="17">
        <f t="shared" ref="R3:R5" si="9">SUMIF(B:B,B3,C:C)</f>
        <v>14220000</v>
      </c>
      <c r="S3" s="14">
        <f>VLOOKUP(I3,[1]Lookups!$V$3:$Y$197,4,FALSE)</f>
        <v>1</v>
      </c>
      <c r="T3" s="14" t="str">
        <f>VLOOKUP(E3,[1]Lookups!$H$3:$I$71,2,FALSE)</f>
        <v>2. Seed</v>
      </c>
      <c r="U3" s="14" t="str">
        <f>VLOOKUP(K3,[1]Lookups!$B$3:$C$142,2,FALSE)</f>
        <v>Other Technologies &amp; Information Technology</v>
      </c>
      <c r="V3" s="14">
        <f t="shared" si="1"/>
        <v>2008</v>
      </c>
      <c r="W3" s="14">
        <f t="shared" si="2"/>
        <v>11</v>
      </c>
      <c r="X3" s="14">
        <f>VLOOKUP(W3,[1]Lookups!$P$3:$S$15,2,FALSE)</f>
        <v>4</v>
      </c>
      <c r="Y3" s="16">
        <f>VLOOKUP(W3,[1]Lookups!$P$3:$U$15,3,FALSE)</f>
        <v>2</v>
      </c>
      <c r="Z3" s="16">
        <f t="shared" si="3"/>
        <v>1</v>
      </c>
      <c r="AA3" s="16" t="str">
        <f t="shared" ca="1" si="4"/>
        <v>#REF!</v>
      </c>
      <c r="AB3" s="16">
        <f t="shared" si="4"/>
        <v>0</v>
      </c>
      <c r="AC3" s="16">
        <f t="shared" si="4"/>
        <v>0</v>
      </c>
      <c r="AD3" s="16">
        <f t="shared" si="4"/>
        <v>0</v>
      </c>
      <c r="AE3" s="16">
        <f t="shared" si="4"/>
        <v>0</v>
      </c>
      <c r="AF3" s="16">
        <f t="shared" si="4"/>
        <v>0</v>
      </c>
      <c r="AG3" s="16">
        <f t="shared" si="4"/>
        <v>0</v>
      </c>
      <c r="AH3" s="16">
        <f t="shared" si="4"/>
        <v>0</v>
      </c>
      <c r="AI3" s="16">
        <f t="shared" si="4"/>
        <v>0</v>
      </c>
      <c r="AJ3" s="16">
        <f t="shared" si="4"/>
        <v>0</v>
      </c>
      <c r="AK3" s="16">
        <f t="shared" si="4"/>
        <v>0</v>
      </c>
      <c r="AL3" s="16">
        <f t="shared" si="4"/>
        <v>0</v>
      </c>
      <c r="AM3" s="16">
        <f t="shared" si="4"/>
        <v>0</v>
      </c>
      <c r="AN3" s="16">
        <f t="shared" si="4"/>
        <v>0</v>
      </c>
      <c r="AO3" s="16">
        <f t="shared" si="4"/>
        <v>0</v>
      </c>
      <c r="AP3" s="10"/>
      <c r="AQ3" s="10"/>
      <c r="AR3" s="10"/>
      <c r="AS3" s="10" t="str">
        <f t="shared" ref="AS3" ca="1" si="10">IFERROR(__xludf.DUMMYFUNCTION("split(#REF!,"","",true,true)"),"#REF!")</f>
        <v>#REF!</v>
      </c>
      <c r="AT3" s="10"/>
      <c r="AU3" s="10"/>
      <c r="AV3" s="10"/>
      <c r="AW3" s="10"/>
      <c r="AX3" s="10"/>
      <c r="AY3" s="10"/>
      <c r="AZ3" s="10"/>
      <c r="BA3" s="10"/>
      <c r="BB3" s="10"/>
      <c r="BC3" s="10"/>
      <c r="BD3" s="10"/>
      <c r="BE3" s="10"/>
      <c r="BF3" s="10"/>
      <c r="BG3" s="10"/>
      <c r="BH3" s="10"/>
      <c r="BI3" s="10"/>
      <c r="BJ3" s="10"/>
      <c r="BK3" s="10"/>
      <c r="BM3" s="10"/>
    </row>
    <row r="4" spans="1:65" ht="15.75" customHeight="1">
      <c r="A4" s="9">
        <v>40150</v>
      </c>
      <c r="B4" s="10" t="s">
        <v>50</v>
      </c>
      <c r="C4" s="11">
        <v>6000000</v>
      </c>
      <c r="D4" s="12"/>
      <c r="E4" s="10" t="s">
        <v>51</v>
      </c>
      <c r="F4" s="10" t="s">
        <v>52</v>
      </c>
      <c r="G4" s="13" t="s">
        <v>53</v>
      </c>
      <c r="H4" s="14" t="str">
        <f t="array" ref="H4">IFERROR(INDEX([1]Companies!$G:$G,MATCH(B4,[1]Companies!$A:$A,0)),"")</f>
        <v>South Africa</v>
      </c>
      <c r="I4" s="14" t="str">
        <f t="shared" si="6"/>
        <v>South Africa</v>
      </c>
      <c r="J4" s="14" t="str">
        <f t="array" ref="J4">IFERROR(INDEX([1]Companies!$Y:$Y,MATCH(B4,[1]Companies!$A:$A,0)),"")</f>
        <v>Insurance, InsurTech</v>
      </c>
      <c r="K4" s="14" t="str">
        <f t="array" ref="K4">IFERROR(INDEX([1]Companies!$X:$X,MATCH(B4,[1]Companies!$A:$A,0)),"")</f>
        <v>Financial Services</v>
      </c>
      <c r="L4" s="14" t="str">
        <f>VLOOKUP(B4,[1]Companies!$A$1:$C$5243,1,FALSE)</f>
        <v>AllLife</v>
      </c>
      <c r="M4" s="15">
        <f t="shared" si="0"/>
        <v>0.9</v>
      </c>
      <c r="N4" s="10"/>
      <c r="O4" s="14" t="str">
        <f t="shared" si="7"/>
        <v/>
      </c>
      <c r="P4" s="14">
        <f t="shared" si="8"/>
        <v>1</v>
      </c>
      <c r="Q4" s="14">
        <f t="array" ref="Q4">IFERROR(INDEX([1]Companies!$D:$D,MATCH(B4,[1]Companies!$A:$A,0)),"")</f>
        <v>2004</v>
      </c>
      <c r="R4" s="17">
        <f t="shared" si="9"/>
        <v>12700000</v>
      </c>
      <c r="S4" s="14">
        <f>VLOOKUP(I4,[1]Lookups!$V$3:$Y$197,4,FALSE)</f>
        <v>0</v>
      </c>
      <c r="T4" s="14" t="str">
        <f>VLOOKUP(E4,[1]Lookups!$H$3:$I$71,2,FALSE)</f>
        <v>6. Private Equity</v>
      </c>
      <c r="U4" s="14" t="str">
        <f>VLOOKUP(K4,[1]Lookups!$B$3:$C$142,2,FALSE)</f>
        <v>Financial Services</v>
      </c>
      <c r="V4" s="14">
        <f t="shared" si="1"/>
        <v>2009</v>
      </c>
      <c r="W4" s="14">
        <f t="shared" si="2"/>
        <v>12</v>
      </c>
      <c r="X4" s="14">
        <f>VLOOKUP(W4,[1]Lookups!$P$3:$S$15,2,FALSE)</f>
        <v>4</v>
      </c>
      <c r="Y4" s="16">
        <f>VLOOKUP(W4,[1]Lookups!$P$3:$U$15,3,FALSE)</f>
        <v>2</v>
      </c>
      <c r="Z4" s="16">
        <f t="shared" si="3"/>
        <v>1</v>
      </c>
      <c r="AA4" s="16" t="str">
        <f t="shared" ca="1" si="4"/>
        <v>#REF!</v>
      </c>
      <c r="AB4" s="16">
        <f t="shared" si="4"/>
        <v>0</v>
      </c>
      <c r="AC4" s="16">
        <f t="shared" si="4"/>
        <v>0</v>
      </c>
      <c r="AD4" s="16">
        <f t="shared" si="4"/>
        <v>0</v>
      </c>
      <c r="AE4" s="16">
        <f t="shared" si="4"/>
        <v>0</v>
      </c>
      <c r="AF4" s="16">
        <f t="shared" si="4"/>
        <v>0</v>
      </c>
      <c r="AG4" s="16">
        <f t="shared" si="4"/>
        <v>0</v>
      </c>
      <c r="AH4" s="16">
        <f t="shared" si="4"/>
        <v>0</v>
      </c>
      <c r="AI4" s="16">
        <f t="shared" si="4"/>
        <v>0</v>
      </c>
      <c r="AJ4" s="16">
        <f t="shared" si="4"/>
        <v>0</v>
      </c>
      <c r="AK4" s="16">
        <f t="shared" si="4"/>
        <v>0</v>
      </c>
      <c r="AL4" s="16">
        <f t="shared" si="4"/>
        <v>0</v>
      </c>
      <c r="AM4" s="16">
        <f t="shared" si="4"/>
        <v>0</v>
      </c>
      <c r="AN4" s="16">
        <f t="shared" si="4"/>
        <v>0</v>
      </c>
      <c r="AO4" s="16">
        <f t="shared" si="4"/>
        <v>0</v>
      </c>
      <c r="AP4" s="10"/>
      <c r="AQ4" s="10"/>
      <c r="AR4" s="10"/>
      <c r="AS4" s="10" t="str">
        <f t="shared" ref="AS4" ca="1" si="11">IFERROR(__xludf.DUMMYFUNCTION("split(#REF!,"","",true,true)"),"#REF!")</f>
        <v>#REF!</v>
      </c>
      <c r="AT4" s="10"/>
      <c r="AU4" s="10"/>
      <c r="AV4" s="10"/>
      <c r="AW4" s="10"/>
      <c r="AX4" s="10"/>
      <c r="AY4" s="10"/>
      <c r="AZ4" s="10"/>
      <c r="BA4" s="10"/>
      <c r="BB4" s="10"/>
      <c r="BC4" s="10"/>
      <c r="BD4" s="10"/>
      <c r="BE4" s="10"/>
      <c r="BF4" s="10"/>
      <c r="BG4" s="10"/>
      <c r="BH4" s="10"/>
      <c r="BI4" s="10"/>
      <c r="BJ4" s="10"/>
      <c r="BK4" s="10"/>
      <c r="BM4" s="10"/>
    </row>
    <row r="5" spans="1:65" ht="15.75" customHeight="1">
      <c r="A5" s="9">
        <v>40158</v>
      </c>
      <c r="B5" s="10" t="s">
        <v>54</v>
      </c>
      <c r="C5" s="11">
        <v>1800000</v>
      </c>
      <c r="D5" s="12"/>
      <c r="E5" s="10" t="s">
        <v>55</v>
      </c>
      <c r="F5" s="10" t="s">
        <v>56</v>
      </c>
      <c r="G5" s="13" t="s">
        <v>57</v>
      </c>
      <c r="H5" s="14" t="str">
        <f t="array" ref="H5">IFERROR(INDEX([1]Companies!$G:$G,MATCH(B5,[1]Companies!$A:$A,0)),"")</f>
        <v/>
      </c>
      <c r="I5" s="14" t="str">
        <f t="shared" si="6"/>
        <v/>
      </c>
      <c r="J5" s="14" t="str">
        <f t="array" ref="J5">IFERROR(INDEX([1]Companies!$Y:$Y,MATCH(B5,[1]Companies!$A:$A,0)),"")</f>
        <v/>
      </c>
      <c r="K5" s="14" t="str">
        <f t="array" ref="K5">IFERROR(INDEX([1]Companies!$X:$X,MATCH(B5,[1]Companies!$A:$A,0)),"")</f>
        <v/>
      </c>
      <c r="L5" s="14" t="e">
        <f>VLOOKUP(B5,[1]Companies!$A$1:$C$5243,1,FALSE)</f>
        <v>#N/A</v>
      </c>
      <c r="M5" s="15">
        <f t="shared" si="0"/>
        <v>0.6428571428571429</v>
      </c>
      <c r="N5" s="10"/>
      <c r="O5" s="14" t="str">
        <f t="shared" si="7"/>
        <v/>
      </c>
      <c r="P5" s="14">
        <f t="shared" si="8"/>
        <v>1</v>
      </c>
      <c r="Q5" s="14" t="str">
        <f t="array" ref="Q5">IFERROR(INDEX([1]Companies!$D:$D,MATCH(B5,[1]Companies!$A:$A,0)),"")</f>
        <v/>
      </c>
      <c r="R5" s="17">
        <f t="shared" si="9"/>
        <v>27800000</v>
      </c>
      <c r="S5" s="14" t="e">
        <f>VLOOKUP(I5,[1]Lookups!$V$3:$Y$197,4,FALSE)</f>
        <v>#N/A</v>
      </c>
      <c r="T5" s="14" t="str">
        <f>VLOOKUP(E5,[1]Lookups!$H$3:$I$71,2,FALSE)</f>
        <v>1. Grant</v>
      </c>
      <c r="U5" s="14" t="e">
        <f>VLOOKUP(K5,[1]Lookups!$B$3:$C$142,2,FALSE)</f>
        <v>#N/A</v>
      </c>
      <c r="V5" s="14">
        <f t="shared" si="1"/>
        <v>2009</v>
      </c>
      <c r="W5" s="14">
        <f t="shared" si="2"/>
        <v>12</v>
      </c>
      <c r="X5" s="14">
        <f>VLOOKUP(W5,[1]Lookups!$P$3:$S$15,2,FALSE)</f>
        <v>4</v>
      </c>
      <c r="Y5" s="16">
        <f>VLOOKUP(W5,[1]Lookups!$P$3:$U$15,3,FALSE)</f>
        <v>2</v>
      </c>
      <c r="Z5" s="16">
        <f t="shared" si="3"/>
        <v>1</v>
      </c>
      <c r="AA5" s="16" t="str">
        <f t="shared" ca="1" si="4"/>
        <v>Omidyar Network</v>
      </c>
      <c r="AB5" s="16">
        <f t="shared" si="4"/>
        <v>0</v>
      </c>
      <c r="AC5" s="16">
        <f t="shared" si="4"/>
        <v>0</v>
      </c>
      <c r="AD5" s="16">
        <f t="shared" si="4"/>
        <v>0</v>
      </c>
      <c r="AE5" s="16">
        <f t="shared" si="4"/>
        <v>0</v>
      </c>
      <c r="AF5" s="16">
        <f t="shared" si="4"/>
        <v>0</v>
      </c>
      <c r="AG5" s="16">
        <f t="shared" si="4"/>
        <v>0</v>
      </c>
      <c r="AH5" s="16">
        <f t="shared" si="4"/>
        <v>0</v>
      </c>
      <c r="AI5" s="16">
        <f t="shared" si="4"/>
        <v>0</v>
      </c>
      <c r="AJ5" s="16">
        <f t="shared" si="4"/>
        <v>0</v>
      </c>
      <c r="AK5" s="16">
        <f t="shared" si="4"/>
        <v>0</v>
      </c>
      <c r="AL5" s="16">
        <f t="shared" si="4"/>
        <v>0</v>
      </c>
      <c r="AM5" s="16">
        <f t="shared" si="4"/>
        <v>0</v>
      </c>
      <c r="AN5" s="16">
        <f t="shared" si="4"/>
        <v>0</v>
      </c>
      <c r="AO5" s="16">
        <f t="shared" si="4"/>
        <v>0</v>
      </c>
      <c r="AP5" s="10"/>
      <c r="AQ5" s="10"/>
      <c r="AR5" s="10"/>
      <c r="AS5" s="10" t="str">
        <f ca="1">IFERROR(__xludf.DUMMYFUNCTION("split(F5,"","",true,true)"),"Omidyar Network")</f>
        <v>Omidyar Network</v>
      </c>
      <c r="AT5" s="10"/>
      <c r="AU5" s="10"/>
      <c r="AV5" s="10"/>
      <c r="AW5" s="10"/>
      <c r="AX5" s="10"/>
      <c r="AY5" s="10"/>
      <c r="AZ5" s="10"/>
      <c r="BA5" s="10"/>
      <c r="BB5" s="10"/>
      <c r="BC5" s="10"/>
      <c r="BD5" s="10"/>
      <c r="BE5" s="10"/>
      <c r="BF5" s="10"/>
      <c r="BG5" s="10"/>
      <c r="BH5" s="10"/>
      <c r="BI5" s="10"/>
      <c r="BJ5" s="10"/>
      <c r="BK5" s="10"/>
      <c r="BM5" s="10"/>
    </row>
    <row r="6" spans="1:65" ht="15.75" customHeight="1">
      <c r="A6" s="9">
        <v>40269</v>
      </c>
      <c r="B6" s="10" t="s">
        <v>44</v>
      </c>
      <c r="C6" s="11">
        <v>320000</v>
      </c>
      <c r="D6" s="12"/>
      <c r="E6" s="10" t="s">
        <v>48</v>
      </c>
      <c r="F6" s="10" t="s">
        <v>49</v>
      </c>
      <c r="G6" s="13" t="s">
        <v>47</v>
      </c>
      <c r="H6" s="14"/>
      <c r="I6" s="14"/>
      <c r="J6" s="14"/>
      <c r="K6" s="14"/>
      <c r="L6" s="14"/>
      <c r="M6" s="15">
        <f t="shared" si="0"/>
        <v>0.5</v>
      </c>
      <c r="N6" s="10"/>
      <c r="O6" s="14"/>
      <c r="P6" s="14"/>
      <c r="Q6" s="14"/>
      <c r="R6" s="14"/>
      <c r="S6" s="14"/>
      <c r="T6" s="14"/>
      <c r="U6" s="14" t="e">
        <f>VLOOKUP(K6,[1]Lookups!$B$3:$C$142,2,FALSE)</f>
        <v>#N/A</v>
      </c>
      <c r="V6" s="14">
        <f t="shared" si="1"/>
        <v>2010</v>
      </c>
      <c r="W6" s="14">
        <f t="shared" si="2"/>
        <v>4</v>
      </c>
      <c r="X6" s="14">
        <f>VLOOKUP(W6,[1]Lookups!$P$3:$S$15,2,FALSE)</f>
        <v>2</v>
      </c>
      <c r="Y6" s="16">
        <f>VLOOKUP(W6,[1]Lookups!$P$3:$U$15,3,FALSE)</f>
        <v>1</v>
      </c>
      <c r="Z6" s="16">
        <f t="shared" si="3"/>
        <v>1</v>
      </c>
      <c r="AA6" s="16" t="str">
        <f t="shared" ca="1" si="4"/>
        <v>#REF!</v>
      </c>
      <c r="AB6" s="16">
        <f t="shared" si="4"/>
        <v>0</v>
      </c>
      <c r="AC6" s="16">
        <f t="shared" si="4"/>
        <v>0</v>
      </c>
      <c r="AD6" s="16">
        <f t="shared" si="4"/>
        <v>0</v>
      </c>
      <c r="AE6" s="16">
        <f t="shared" si="4"/>
        <v>0</v>
      </c>
      <c r="AF6" s="16">
        <f t="shared" si="4"/>
        <v>0</v>
      </c>
      <c r="AG6" s="16">
        <f t="shared" si="4"/>
        <v>0</v>
      </c>
      <c r="AH6" s="16">
        <f t="shared" si="4"/>
        <v>0</v>
      </c>
      <c r="AI6" s="16">
        <f t="shared" si="4"/>
        <v>0</v>
      </c>
      <c r="AJ6" s="16">
        <f t="shared" si="4"/>
        <v>0</v>
      </c>
      <c r="AK6" s="16">
        <f t="shared" si="4"/>
        <v>0</v>
      </c>
      <c r="AL6" s="16">
        <f t="shared" si="4"/>
        <v>0</v>
      </c>
      <c r="AM6" s="16">
        <f t="shared" si="4"/>
        <v>0</v>
      </c>
      <c r="AN6" s="16">
        <f t="shared" si="4"/>
        <v>0</v>
      </c>
      <c r="AO6" s="16">
        <f t="shared" si="4"/>
        <v>0</v>
      </c>
      <c r="AP6" s="10"/>
      <c r="AQ6" s="10"/>
      <c r="AR6" s="10"/>
      <c r="AS6" s="10" t="str">
        <f ca="1">IFERROR(__xludf.DUMMYFUNCTION("split(#REF!,"","",true,true)"),"#REF!")</f>
        <v>#REF!</v>
      </c>
      <c r="AT6" s="10"/>
      <c r="AU6" s="10"/>
      <c r="AV6" s="10"/>
      <c r="AW6" s="10"/>
      <c r="AX6" s="10"/>
      <c r="AY6" s="10"/>
      <c r="AZ6" s="10"/>
      <c r="BA6" s="10"/>
      <c r="BB6" s="10"/>
      <c r="BC6" s="10"/>
      <c r="BD6" s="10"/>
      <c r="BE6" s="10"/>
      <c r="BF6" s="10"/>
      <c r="BG6" s="10"/>
      <c r="BH6" s="10"/>
      <c r="BI6" s="10"/>
      <c r="BJ6" s="10"/>
      <c r="BK6" s="10"/>
      <c r="BM6" s="10"/>
    </row>
    <row r="7" spans="1:65" ht="15.75" customHeight="1">
      <c r="A7" s="18">
        <v>40410</v>
      </c>
      <c r="B7" s="14" t="s">
        <v>58</v>
      </c>
      <c r="C7" s="19">
        <v>75000</v>
      </c>
      <c r="D7" s="19"/>
      <c r="E7" s="14" t="s">
        <v>45</v>
      </c>
      <c r="F7" s="20" t="s">
        <v>59</v>
      </c>
      <c r="G7" s="21" t="s">
        <v>60</v>
      </c>
      <c r="H7" s="14" t="str">
        <f t="array" ref="H7">IFERROR(INDEX([1]Companies!$G:$G,MATCH(B7,[1]Companies!$A:$A,0)),"")</f>
        <v>Kenya</v>
      </c>
      <c r="I7" s="14" t="str">
        <f t="shared" ref="I7:I17" si="12">IF(LEN(TRIM(H7))-LEN(SUBSTITUTE(TRIM(H7),",","")) &gt; 0,TRIM(RIGHT(H7,LEN(H7)-FIND(",",H7))),H7)</f>
        <v>Kenya</v>
      </c>
      <c r="J7" s="14" t="str">
        <f t="array" ref="J7">IFERROR(INDEX([1]Companies!$Y:$Y,MATCH(B7,[1]Companies!$A:$A,0)),"")</f>
        <v>Enterprise Software, Financial Services, Information Technology, Mobile Payments, Payments, Social Entrepreneurship, Telecommunications</v>
      </c>
      <c r="K7" s="14" t="str">
        <f t="array" ref="K7">IFERROR(INDEX([1]Companies!$X:$X,MATCH(B7,[1]Companies!$A:$A,0)),"")</f>
        <v>Financial Services</v>
      </c>
      <c r="L7" s="14" t="str">
        <f>VLOOKUP(B7,[1]Companies!$A$1:$C$5243,1,FALSE)</f>
        <v>Kopo Kopo</v>
      </c>
      <c r="M7" s="15">
        <f t="shared" si="0"/>
        <v>0.9</v>
      </c>
      <c r="N7" s="10" t="str">
        <f t="shared" ref="N7:N17" si="13">CONCATENATE(A7,B7,C7)</f>
        <v>40410Kopo Kopo75000</v>
      </c>
      <c r="O7" s="14" t="str">
        <f t="shared" ref="O7:O17" si="14">IF(A7 = "","",IF(COUNTIF(N:N,CONCATENATE(A7,B7,C7))&gt;1,"Duplicated",""))</f>
        <v/>
      </c>
      <c r="P7" s="14">
        <f t="shared" ref="P7:P17" si="15">IF(C7="Undisclosed",0,1)</f>
        <v>1</v>
      </c>
      <c r="Q7" s="14">
        <f t="array" ref="Q7">IFERROR(INDEX([1]Companies!$D:$D,MATCH(B7,[1]Companies!$A:$A,0)),"")</f>
        <v>2011</v>
      </c>
      <c r="R7" s="17">
        <f t="shared" ref="R7:R17" si="16">SUMIF(B:B,B7,C:C)</f>
        <v>6504900</v>
      </c>
      <c r="S7" s="14">
        <f>VLOOKUP(I7,[1]Lookups!$V$3:$Y$197,4,FALSE)</f>
        <v>0</v>
      </c>
      <c r="T7" s="14" t="str">
        <f>VLOOKUP(E7,[1]Lookups!$H$3:$I$71,2,FALSE)</f>
        <v>2. Seed</v>
      </c>
      <c r="U7" s="14" t="str">
        <f>VLOOKUP(K7,[1]Lookups!$B$3:$C$142,2,FALSE)</f>
        <v>Financial Services</v>
      </c>
      <c r="V7" s="14">
        <f t="shared" si="1"/>
        <v>2010</v>
      </c>
      <c r="W7" s="14">
        <f t="shared" si="2"/>
        <v>8</v>
      </c>
      <c r="X7" s="14">
        <f>VLOOKUP(W7,[1]Lookups!$P$3:$S$15,2,FALSE)</f>
        <v>3</v>
      </c>
      <c r="Y7" s="16">
        <f>VLOOKUP(W7,[1]Lookups!$P$3:$U$15,3,FALSE)</f>
        <v>2</v>
      </c>
      <c r="Z7" s="16">
        <f t="shared" si="3"/>
        <v>1</v>
      </c>
      <c r="AA7" s="16" t="str">
        <f t="shared" ca="1" si="4"/>
        <v>First Light Ventures</v>
      </c>
      <c r="AB7" s="16">
        <f t="shared" si="4"/>
        <v>0</v>
      </c>
      <c r="AC7" s="16">
        <f t="shared" si="4"/>
        <v>0</v>
      </c>
      <c r="AD7" s="16">
        <f t="shared" si="4"/>
        <v>0</v>
      </c>
      <c r="AE7" s="16">
        <f t="shared" si="4"/>
        <v>0</v>
      </c>
      <c r="AF7" s="16">
        <f t="shared" si="4"/>
        <v>0</v>
      </c>
      <c r="AG7" s="16">
        <f t="shared" si="4"/>
        <v>0</v>
      </c>
      <c r="AH7" s="16">
        <f t="shared" si="4"/>
        <v>0</v>
      </c>
      <c r="AI7" s="16">
        <f t="shared" si="4"/>
        <v>0</v>
      </c>
      <c r="AJ7" s="16">
        <f t="shared" si="4"/>
        <v>0</v>
      </c>
      <c r="AK7" s="16">
        <f t="shared" si="4"/>
        <v>0</v>
      </c>
      <c r="AL7" s="16">
        <f t="shared" si="4"/>
        <v>0</v>
      </c>
      <c r="AM7" s="16">
        <f t="shared" si="4"/>
        <v>0</v>
      </c>
      <c r="AN7" s="16">
        <f t="shared" si="4"/>
        <v>0</v>
      </c>
      <c r="AO7" s="16">
        <f t="shared" si="4"/>
        <v>0</v>
      </c>
      <c r="AP7" s="10"/>
      <c r="AQ7" s="10"/>
      <c r="AR7" s="10"/>
      <c r="AS7" s="10" t="str">
        <f t="shared" ref="AS7" ca="1" si="17">IFERROR(__xludf.DUMMYFUNCTION("split(F7,"","",true,true)"),"First Light Ventures")</f>
        <v>First Light Ventures</v>
      </c>
      <c r="AT7" s="10"/>
      <c r="AU7" s="10"/>
      <c r="AV7" s="10"/>
      <c r="AW7" s="10"/>
      <c r="AX7" s="10"/>
      <c r="AY7" s="10"/>
      <c r="AZ7" s="10"/>
      <c r="BA7" s="10"/>
      <c r="BB7" s="10"/>
      <c r="BC7" s="10"/>
      <c r="BD7" s="10"/>
      <c r="BE7" s="10"/>
      <c r="BF7" s="10"/>
      <c r="BG7" s="10"/>
      <c r="BH7" s="10"/>
      <c r="BI7" s="10"/>
      <c r="BJ7" s="10"/>
      <c r="BK7" s="10"/>
      <c r="BM7" s="10"/>
    </row>
    <row r="8" spans="1:65" ht="15.75" customHeight="1">
      <c r="A8" s="9">
        <v>40451</v>
      </c>
      <c r="B8" s="10" t="s">
        <v>61</v>
      </c>
      <c r="C8" s="11">
        <v>700000</v>
      </c>
      <c r="D8" s="12"/>
      <c r="E8" s="14" t="s">
        <v>45</v>
      </c>
      <c r="F8" s="10" t="s">
        <v>62</v>
      </c>
      <c r="G8" s="13" t="s">
        <v>63</v>
      </c>
      <c r="H8" s="14" t="str">
        <f t="array" ref="H8">IFERROR(INDEX([1]Companies!$G:$G,MATCH(B8,[1]Companies!$A:$A,0)),"")</f>
        <v>Nigeria</v>
      </c>
      <c r="I8" s="14" t="str">
        <f t="shared" si="12"/>
        <v>Nigeria</v>
      </c>
      <c r="J8" s="14" t="str">
        <f t="array" ref="J8">IFERROR(INDEX([1]Companies!$Y:$Y,MATCH(B8,[1]Companies!$A:$A,0)),"")</f>
        <v>Money Transfer, Airtime, Bill Payments, and SME Business</v>
      </c>
      <c r="K8" s="14" t="str">
        <f t="array" ref="K8">IFERROR(INDEX([1]Companies!$X:$X,MATCH(B8,[1]Companies!$A:$A,0)),"")</f>
        <v>Financial Services</v>
      </c>
      <c r="L8" s="14" t="str">
        <f>VLOOKUP(B8,[1]Companies!$A$1:$C$5243,1,FALSE)</f>
        <v>Paga</v>
      </c>
      <c r="M8" s="15">
        <f t="shared" si="0"/>
        <v>0.9</v>
      </c>
      <c r="N8" s="10" t="str">
        <f t="shared" si="13"/>
        <v>40451Paga700000</v>
      </c>
      <c r="O8" s="14" t="str">
        <f t="shared" si="14"/>
        <v/>
      </c>
      <c r="P8" s="14">
        <f t="shared" si="15"/>
        <v>1</v>
      </c>
      <c r="Q8" s="14">
        <f t="array" ref="Q8">IFERROR(INDEX([1]Companies!$D:$D,MATCH(B8,[1]Companies!$A:$A,0)),"")</f>
        <v>2009</v>
      </c>
      <c r="R8" s="17">
        <f t="shared" si="16"/>
        <v>32700000</v>
      </c>
      <c r="S8" s="14">
        <f>VLOOKUP(I8,[1]Lookups!$V$3:$Y$197,4,FALSE)</f>
        <v>0</v>
      </c>
      <c r="T8" s="14" t="str">
        <f>VLOOKUP(E8,[1]Lookups!$H$3:$I$71,2,FALSE)</f>
        <v>2. Seed</v>
      </c>
      <c r="U8" s="14" t="str">
        <f>VLOOKUP(K8,[1]Lookups!$B$3:$C$142,2,FALSE)</f>
        <v>Financial Services</v>
      </c>
      <c r="V8" s="14">
        <f t="shared" si="1"/>
        <v>2010</v>
      </c>
      <c r="W8" s="14">
        <f t="shared" si="2"/>
        <v>9</v>
      </c>
      <c r="X8" s="14">
        <f>VLOOKUP(W8,[1]Lookups!$P$3:$S$15,2,FALSE)</f>
        <v>3</v>
      </c>
      <c r="Y8" s="16">
        <f>VLOOKUP(W8,[1]Lookups!$P$3:$U$15,3,FALSE)</f>
        <v>2</v>
      </c>
      <c r="Z8" s="16">
        <f t="shared" si="3"/>
        <v>1</v>
      </c>
      <c r="AA8" s="16" t="str">
        <f t="shared" ca="1" si="4"/>
        <v>First Light Ventures</v>
      </c>
      <c r="AB8" s="16">
        <f t="shared" si="4"/>
        <v>0</v>
      </c>
      <c r="AC8" s="16">
        <f t="shared" si="4"/>
        <v>0</v>
      </c>
      <c r="AD8" s="16">
        <f t="shared" si="4"/>
        <v>0</v>
      </c>
      <c r="AE8" s="16">
        <f t="shared" si="4"/>
        <v>0</v>
      </c>
      <c r="AF8" s="16">
        <f t="shared" si="4"/>
        <v>0</v>
      </c>
      <c r="AG8" s="16">
        <f t="shared" si="4"/>
        <v>0</v>
      </c>
      <c r="AH8" s="16">
        <f t="shared" si="4"/>
        <v>0</v>
      </c>
      <c r="AI8" s="16">
        <f t="shared" si="4"/>
        <v>0</v>
      </c>
      <c r="AJ8" s="16">
        <f t="shared" si="4"/>
        <v>0</v>
      </c>
      <c r="AK8" s="16">
        <f t="shared" si="4"/>
        <v>0</v>
      </c>
      <c r="AL8" s="16">
        <f t="shared" si="4"/>
        <v>0</v>
      </c>
      <c r="AM8" s="16">
        <f t="shared" si="4"/>
        <v>0</v>
      </c>
      <c r="AN8" s="16">
        <f t="shared" si="4"/>
        <v>0</v>
      </c>
      <c r="AO8" s="16">
        <f t="shared" si="4"/>
        <v>0</v>
      </c>
      <c r="AP8" s="10"/>
      <c r="AQ8" s="10"/>
      <c r="AR8" s="10"/>
      <c r="AS8" s="10" t="str">
        <f t="shared" ref="AS8" ca="1" si="18">IFERROR(__xludf.DUMMYFUNCTION("split(F7,"","",true,true)"),"First Light Ventures")</f>
        <v>First Light Ventures</v>
      </c>
      <c r="AT8" s="10"/>
      <c r="AU8" s="10"/>
      <c r="AV8" s="10"/>
      <c r="AW8" s="10"/>
      <c r="AX8" s="10"/>
      <c r="AY8" s="10"/>
      <c r="AZ8" s="10"/>
      <c r="BA8" s="10"/>
      <c r="BB8" s="10"/>
      <c r="BC8" s="10"/>
      <c r="BD8" s="10"/>
      <c r="BE8" s="10"/>
      <c r="BF8" s="10"/>
      <c r="BG8" s="10"/>
      <c r="BH8" s="10"/>
      <c r="BI8" s="10"/>
      <c r="BJ8" s="10"/>
      <c r="BK8" s="10"/>
      <c r="BM8" s="10"/>
    </row>
    <row r="9" spans="1:65" ht="15.75" customHeight="1">
      <c r="A9" s="9">
        <v>40513</v>
      </c>
      <c r="B9" s="10" t="s">
        <v>64</v>
      </c>
      <c r="C9" s="11">
        <v>150000</v>
      </c>
      <c r="D9" s="12"/>
      <c r="E9" s="10" t="s">
        <v>55</v>
      </c>
      <c r="F9" s="10" t="s">
        <v>49</v>
      </c>
      <c r="G9" s="13" t="s">
        <v>65</v>
      </c>
      <c r="H9" s="14" t="str">
        <f t="array" ref="H9">IFERROR(INDEX([1]Companies!$G:$G,MATCH(B9,[1]Companies!$A:$A,0)),"")</f>
        <v>Egypt</v>
      </c>
      <c r="I9" s="14" t="str">
        <f t="shared" si="12"/>
        <v>Egypt</v>
      </c>
      <c r="J9" s="14" t="str">
        <f t="array" ref="J9">IFERROR(INDEX([1]Companies!$Y:$Y,MATCH(B9,[1]Companies!$A:$A,0)),"")</f>
        <v>Information Services, Information Technology, Software, Web Development</v>
      </c>
      <c r="K9" s="14" t="str">
        <f t="array" ref="K9">IFERROR(INDEX([1]Companies!$X:$X,MATCH(B9,[1]Companies!$A:$A,0)),"")</f>
        <v>Recruitment</v>
      </c>
      <c r="L9" s="14" t="str">
        <f>VLOOKUP(B9,[1]Companies!$A$1:$C$5243,1,FALSE)</f>
        <v>Wuzzuf</v>
      </c>
      <c r="M9" s="15">
        <f t="shared" si="0"/>
        <v>0.9</v>
      </c>
      <c r="N9" s="10" t="str">
        <f t="shared" si="13"/>
        <v>40513Wuzzuf150000</v>
      </c>
      <c r="O9" s="14" t="str">
        <f t="shared" si="14"/>
        <v/>
      </c>
      <c r="P9" s="14">
        <f t="shared" si="15"/>
        <v>1</v>
      </c>
      <c r="Q9" s="14">
        <f t="array" ref="Q9">IFERROR(INDEX([1]Companies!$D:$D,MATCH(B9,[1]Companies!$A:$A,0)),"")</f>
        <v>2009</v>
      </c>
      <c r="R9" s="17">
        <f t="shared" si="16"/>
        <v>7850000</v>
      </c>
      <c r="S9" s="14">
        <f>VLOOKUP(I9,[1]Lookups!$V$3:$Y$197,4,FALSE)</f>
        <v>0</v>
      </c>
      <c r="T9" s="14" t="str">
        <f>VLOOKUP(E9,[1]Lookups!$H$3:$I$71,2,FALSE)</f>
        <v>1. Grant</v>
      </c>
      <c r="U9" s="14" t="str">
        <f>VLOOKUP(K9,[1]Lookups!$B$3:$C$142,2,FALSE)</f>
        <v>Employment, Talent &amp; Labour</v>
      </c>
      <c r="V9" s="14">
        <f t="shared" si="1"/>
        <v>2010</v>
      </c>
      <c r="W9" s="14">
        <f t="shared" si="2"/>
        <v>12</v>
      </c>
      <c r="X9" s="14">
        <f>VLOOKUP(W9,[1]Lookups!$P$3:$S$15,2,FALSE)</f>
        <v>4</v>
      </c>
      <c r="Y9" s="16">
        <f>VLOOKUP(W9,[1]Lookups!$P$3:$U$15,3,FALSE)</f>
        <v>2</v>
      </c>
      <c r="Z9" s="16">
        <f t="shared" si="3"/>
        <v>1</v>
      </c>
      <c r="AA9" s="16" t="str">
        <f t="shared" ca="1" si="4"/>
        <v>First Light Ventures</v>
      </c>
      <c r="AB9" s="16">
        <f t="shared" si="4"/>
        <v>0</v>
      </c>
      <c r="AC9" s="16">
        <f t="shared" si="4"/>
        <v>0</v>
      </c>
      <c r="AD9" s="16">
        <f t="shared" si="4"/>
        <v>0</v>
      </c>
      <c r="AE9" s="16">
        <f t="shared" si="4"/>
        <v>0</v>
      </c>
      <c r="AF9" s="16">
        <f t="shared" si="4"/>
        <v>0</v>
      </c>
      <c r="AG9" s="16">
        <f t="shared" si="4"/>
        <v>0</v>
      </c>
      <c r="AH9" s="16">
        <f t="shared" si="4"/>
        <v>0</v>
      </c>
      <c r="AI9" s="16">
        <f t="shared" si="4"/>
        <v>0</v>
      </c>
      <c r="AJ9" s="16">
        <f t="shared" si="4"/>
        <v>0</v>
      </c>
      <c r="AK9" s="16">
        <f t="shared" si="4"/>
        <v>0</v>
      </c>
      <c r="AL9" s="16">
        <f t="shared" si="4"/>
        <v>0</v>
      </c>
      <c r="AM9" s="16">
        <f t="shared" si="4"/>
        <v>0</v>
      </c>
      <c r="AN9" s="16">
        <f t="shared" si="4"/>
        <v>0</v>
      </c>
      <c r="AO9" s="16">
        <f t="shared" si="4"/>
        <v>0</v>
      </c>
      <c r="AP9" s="10"/>
      <c r="AQ9" s="10"/>
      <c r="AR9" s="10"/>
      <c r="AS9" s="10" t="str">
        <f t="shared" ref="AS9" ca="1" si="19">IFERROR(__xludf.DUMMYFUNCTION("split(F7,"","",true,true)"),"First Light Ventures")</f>
        <v>First Light Ventures</v>
      </c>
      <c r="AT9" s="10"/>
      <c r="AU9" s="10"/>
      <c r="AV9" s="10"/>
      <c r="AW9" s="10"/>
      <c r="AX9" s="10"/>
      <c r="AY9" s="10"/>
      <c r="AZ9" s="10"/>
      <c r="BA9" s="10"/>
      <c r="BB9" s="10"/>
      <c r="BC9" s="10"/>
      <c r="BD9" s="10"/>
      <c r="BE9" s="10"/>
      <c r="BF9" s="10"/>
      <c r="BG9" s="10"/>
      <c r="BH9" s="10"/>
      <c r="BI9" s="10"/>
      <c r="BJ9" s="10"/>
      <c r="BK9" s="10"/>
      <c r="BM9" s="10"/>
    </row>
    <row r="10" spans="1:65" ht="15.75" customHeight="1">
      <c r="A10" s="18">
        <v>40664</v>
      </c>
      <c r="B10" s="14" t="s">
        <v>66</v>
      </c>
      <c r="C10" s="19">
        <v>1500000</v>
      </c>
      <c r="D10" s="22"/>
      <c r="E10" s="14" t="s">
        <v>55</v>
      </c>
      <c r="F10" s="14" t="s">
        <v>56</v>
      </c>
      <c r="G10" s="21" t="s">
        <v>67</v>
      </c>
      <c r="H10" s="14" t="str">
        <f t="array" ref="H10">IFERROR(INDEX([1]Companies!$G:$G,MATCH(B10,[1]Companies!$A:$A,0)),"")</f>
        <v>South Africa</v>
      </c>
      <c r="I10" s="14" t="str">
        <f t="shared" si="12"/>
        <v>South Africa</v>
      </c>
      <c r="J10" s="14" t="str">
        <f t="array" ref="J10">IFERROR(INDEX([1]Companies!$Y:$Y,MATCH(B10,[1]Companies!$A:$A,0)),"")</f>
        <v>E-Learning, Education, Tutoring</v>
      </c>
      <c r="K10" s="14" t="str">
        <f t="array" ref="K10">IFERROR(INDEX([1]Companies!$X:$X,MATCH(B10,[1]Companies!$A:$A,0)),"")</f>
        <v>Education</v>
      </c>
      <c r="L10" s="14" t="str">
        <f>VLOOKUP(B10,[1]Companies!$A$1:$C$5243,1,FALSE)</f>
        <v>African Leadership Academy</v>
      </c>
      <c r="M10" s="15">
        <f t="shared" si="0"/>
        <v>0.9</v>
      </c>
      <c r="N10" s="10" t="str">
        <f t="shared" si="13"/>
        <v>40664African Leadership Academy1500000</v>
      </c>
      <c r="O10" s="14" t="str">
        <f t="shared" si="14"/>
        <v/>
      </c>
      <c r="P10" s="14">
        <f t="shared" si="15"/>
        <v>1</v>
      </c>
      <c r="Q10" s="14">
        <f t="array" ref="Q10">IFERROR(INDEX([1]Companies!$D:$D,MATCH(B10,[1]Companies!$A:$A,0)),"")</f>
        <v>2008</v>
      </c>
      <c r="R10" s="17">
        <f t="shared" si="16"/>
        <v>55800000</v>
      </c>
      <c r="S10" s="14">
        <f>VLOOKUP(I10,[1]Lookups!$V$3:$Y$197,4,FALSE)</f>
        <v>0</v>
      </c>
      <c r="T10" s="14" t="str">
        <f>VLOOKUP(E10,[1]Lookups!$H$3:$I$71,2,FALSE)</f>
        <v>1. Grant</v>
      </c>
      <c r="U10" s="14" t="str">
        <f>VLOOKUP(K10,[1]Lookups!$B$3:$C$142,2,FALSE)</f>
        <v>Education</v>
      </c>
      <c r="V10" s="14">
        <f t="shared" si="1"/>
        <v>2011</v>
      </c>
      <c r="W10" s="14">
        <f t="shared" si="2"/>
        <v>5</v>
      </c>
      <c r="X10" s="14">
        <f>VLOOKUP(W10,[1]Lookups!$P$3:$S$15,2,FALSE)</f>
        <v>2</v>
      </c>
      <c r="Y10" s="16">
        <f>VLOOKUP(W10,[1]Lookups!$P$3:$U$15,3,FALSE)</f>
        <v>1</v>
      </c>
      <c r="Z10" s="16">
        <f t="shared" si="3"/>
        <v>1</v>
      </c>
      <c r="AA10" s="16" t="str">
        <f t="shared" ca="1" si="4"/>
        <v>First Light Ventures</v>
      </c>
      <c r="AB10" s="16">
        <f t="shared" si="4"/>
        <v>0</v>
      </c>
      <c r="AC10" s="16">
        <f t="shared" si="4"/>
        <v>0</v>
      </c>
      <c r="AD10" s="16">
        <f t="shared" si="4"/>
        <v>0</v>
      </c>
      <c r="AE10" s="16">
        <f t="shared" si="4"/>
        <v>0</v>
      </c>
      <c r="AF10" s="16">
        <f t="shared" si="4"/>
        <v>0</v>
      </c>
      <c r="AG10" s="16">
        <f t="shared" si="4"/>
        <v>0</v>
      </c>
      <c r="AH10" s="16">
        <f t="shared" si="4"/>
        <v>0</v>
      </c>
      <c r="AI10" s="16">
        <f t="shared" si="4"/>
        <v>0</v>
      </c>
      <c r="AJ10" s="16">
        <f t="shared" si="4"/>
        <v>0</v>
      </c>
      <c r="AK10" s="16">
        <f t="shared" si="4"/>
        <v>0</v>
      </c>
      <c r="AL10" s="16">
        <f t="shared" si="4"/>
        <v>0</v>
      </c>
      <c r="AM10" s="16">
        <f t="shared" si="4"/>
        <v>0</v>
      </c>
      <c r="AN10" s="16">
        <f t="shared" si="4"/>
        <v>0</v>
      </c>
      <c r="AO10" s="16">
        <f t="shared" si="4"/>
        <v>0</v>
      </c>
      <c r="AP10" s="10"/>
      <c r="AQ10" s="10"/>
      <c r="AR10" s="10"/>
      <c r="AS10" s="10" t="str">
        <f t="shared" ref="AS10" ca="1" si="20">IFERROR(__xludf.DUMMYFUNCTION("split(F7,"","",true,true)"),"First Light Ventures")</f>
        <v>First Light Ventures</v>
      </c>
      <c r="AT10" s="10"/>
      <c r="AU10" s="10"/>
      <c r="AV10" s="10"/>
      <c r="AW10" s="10"/>
      <c r="AX10" s="10"/>
      <c r="AY10" s="10"/>
      <c r="AZ10" s="10"/>
      <c r="BA10" s="10"/>
      <c r="BB10" s="10"/>
      <c r="BC10" s="10"/>
      <c r="BD10" s="10"/>
      <c r="BE10" s="10"/>
      <c r="BF10" s="10"/>
      <c r="BG10" s="10"/>
      <c r="BH10" s="10"/>
      <c r="BI10" s="10"/>
      <c r="BJ10" s="10"/>
      <c r="BK10" s="10"/>
      <c r="BM10" s="10"/>
    </row>
    <row r="11" spans="1:65" ht="15.75" customHeight="1">
      <c r="A11" s="9">
        <v>40817</v>
      </c>
      <c r="B11" s="10" t="s">
        <v>68</v>
      </c>
      <c r="C11" s="11" t="s">
        <v>49</v>
      </c>
      <c r="D11" s="12"/>
      <c r="E11" s="10" t="s">
        <v>69</v>
      </c>
      <c r="F11" s="10" t="s">
        <v>49</v>
      </c>
      <c r="G11" s="13" t="s">
        <v>70</v>
      </c>
      <c r="H11" s="14" t="str">
        <f t="array" ref="H11">IFERROR(INDEX([1]Companies!$G:$G,MATCH(B11,[1]Companies!$A:$A,0)),"")</f>
        <v>Kenya</v>
      </c>
      <c r="I11" s="14" t="str">
        <f t="shared" si="12"/>
        <v>Kenya</v>
      </c>
      <c r="J11" s="14" t="str">
        <f t="array" ref="J11">IFERROR(INDEX([1]Companies!$Y:$Y,MATCH(B11,[1]Companies!$A:$A,0)),"")</f>
        <v>Energy, Financial Services, Mobile</v>
      </c>
      <c r="K11" s="14" t="str">
        <f t="array" ref="K11">IFERROR(INDEX([1]Companies!$X:$X,MATCH(B11,[1]Companies!$A:$A,0)),"")</f>
        <v>Energy &amp; Environment Resources</v>
      </c>
      <c r="L11" s="14" t="str">
        <f>VLOOKUP(B11,[1]Companies!$A$1:$C$5243,1,FALSE)</f>
        <v>M-Kopa</v>
      </c>
      <c r="M11" s="15">
        <f t="shared" si="0"/>
        <v>0.9</v>
      </c>
      <c r="N11" s="10" t="str">
        <f t="shared" si="13"/>
        <v>40817M-KOPAUndisclosed</v>
      </c>
      <c r="O11" s="14" t="str">
        <f t="shared" si="14"/>
        <v/>
      </c>
      <c r="P11" s="14">
        <f t="shared" si="15"/>
        <v>0</v>
      </c>
      <c r="Q11" s="14">
        <f t="array" ref="Q11">IFERROR(INDEX([1]Companies!$D:$D,MATCH(B11,[1]Companies!$A:$A,0)),"")</f>
        <v>2011</v>
      </c>
      <c r="R11" s="17">
        <f t="shared" si="16"/>
        <v>161800000</v>
      </c>
      <c r="S11" s="14">
        <f>VLOOKUP(I11,[1]Lookups!$V$3:$Y$197,4,FALSE)</f>
        <v>0</v>
      </c>
      <c r="T11" s="14" t="str">
        <f>VLOOKUP(E11,[1]Lookups!$H$3:$I$71,2,FALSE)</f>
        <v>3. Early Venture</v>
      </c>
      <c r="U11" s="14" t="e">
        <f>VLOOKUP(K11,[1]Lookups!$B$3:$C$142,2,FALSE)</f>
        <v>#N/A</v>
      </c>
      <c r="V11" s="14">
        <f t="shared" si="1"/>
        <v>2011</v>
      </c>
      <c r="W11" s="14">
        <f t="shared" si="2"/>
        <v>10</v>
      </c>
      <c r="X11" s="14">
        <f>VLOOKUP(W11,[1]Lookups!$P$3:$S$15,2,FALSE)</f>
        <v>4</v>
      </c>
      <c r="Y11" s="16">
        <f>VLOOKUP(W11,[1]Lookups!$P$3:$U$15,3,FALSE)</f>
        <v>2</v>
      </c>
      <c r="Z11" s="16">
        <f t="shared" si="3"/>
        <v>1</v>
      </c>
      <c r="AA11" s="16" t="str">
        <f t="shared" ca="1" si="4"/>
        <v>First Light Ventures</v>
      </c>
      <c r="AB11" s="16">
        <f t="shared" si="4"/>
        <v>0</v>
      </c>
      <c r="AC11" s="16">
        <f t="shared" si="4"/>
        <v>0</v>
      </c>
      <c r="AD11" s="16">
        <f t="shared" si="4"/>
        <v>0</v>
      </c>
      <c r="AE11" s="16">
        <f t="shared" si="4"/>
        <v>0</v>
      </c>
      <c r="AF11" s="16">
        <f t="shared" si="4"/>
        <v>0</v>
      </c>
      <c r="AG11" s="16">
        <f t="shared" si="4"/>
        <v>0</v>
      </c>
      <c r="AH11" s="16">
        <f t="shared" si="4"/>
        <v>0</v>
      </c>
      <c r="AI11" s="16">
        <f t="shared" si="4"/>
        <v>0</v>
      </c>
      <c r="AJ11" s="16">
        <f t="shared" si="4"/>
        <v>0</v>
      </c>
      <c r="AK11" s="16">
        <f t="shared" si="4"/>
        <v>0</v>
      </c>
      <c r="AL11" s="16">
        <f t="shared" si="4"/>
        <v>0</v>
      </c>
      <c r="AM11" s="16">
        <f t="shared" si="4"/>
        <v>0</v>
      </c>
      <c r="AN11" s="16">
        <f t="shared" si="4"/>
        <v>0</v>
      </c>
      <c r="AO11" s="16">
        <f t="shared" si="4"/>
        <v>0</v>
      </c>
      <c r="AP11" s="10"/>
      <c r="AQ11" s="10"/>
      <c r="AR11" s="10"/>
      <c r="AS11" s="10" t="str">
        <f t="shared" ref="AS11" ca="1" si="21">IFERROR(__xludf.DUMMYFUNCTION("split(F7,"","",true,true)"),"First Light Ventures")</f>
        <v>First Light Ventures</v>
      </c>
      <c r="AT11" s="10"/>
      <c r="AU11" s="10"/>
      <c r="AV11" s="10"/>
      <c r="AW11" s="10"/>
      <c r="AX11" s="10"/>
      <c r="AY11" s="10"/>
      <c r="AZ11" s="10"/>
      <c r="BA11" s="10"/>
      <c r="BB11" s="10"/>
      <c r="BC11" s="10"/>
      <c r="BD11" s="10"/>
      <c r="BE11" s="10"/>
      <c r="BF11" s="10"/>
      <c r="BG11" s="10"/>
      <c r="BH11" s="10"/>
      <c r="BI11" s="10"/>
      <c r="BJ11" s="10"/>
      <c r="BK11" s="10"/>
      <c r="BM11" s="10"/>
    </row>
    <row r="12" spans="1:65" ht="15.75" customHeight="1">
      <c r="A12" s="18">
        <v>40817</v>
      </c>
      <c r="B12" s="14" t="s">
        <v>71</v>
      </c>
      <c r="C12" s="19">
        <v>1500000</v>
      </c>
      <c r="D12" s="19"/>
      <c r="E12" s="14" t="s">
        <v>69</v>
      </c>
      <c r="F12" s="14" t="s">
        <v>72</v>
      </c>
      <c r="G12" s="21" t="s">
        <v>73</v>
      </c>
      <c r="H12" s="14" t="str">
        <f t="array" ref="H12">IFERROR(INDEX([1]Companies!$G:$G,MATCH(B12,[1]Companies!$A:$A,0)),"")</f>
        <v>Kenya</v>
      </c>
      <c r="I12" s="14" t="str">
        <f t="shared" si="12"/>
        <v>Kenya</v>
      </c>
      <c r="J12" s="14" t="str">
        <f t="array" ref="J12">IFERROR(INDEX([1]Companies!$Y:$Y,MATCH(B12,[1]Companies!$A:$A,0)),"")</f>
        <v>Mobile Payments, Digital Payments, eCommerce, FinTech, mobile commerce, Fintech Africa, BlockChain, and MobileMoney</v>
      </c>
      <c r="K12" s="14" t="str">
        <f t="array" ref="K12">IFERROR(INDEX([1]Companies!$X:$X,MATCH(B12,[1]Companies!$A:$A,0)),"")</f>
        <v>Financial Services</v>
      </c>
      <c r="L12" s="14" t="str">
        <f>VLOOKUP(B12,[1]Companies!$A$1:$C$5243,1,FALSE)</f>
        <v>Cellulant</v>
      </c>
      <c r="M12" s="15">
        <f t="shared" si="0"/>
        <v>0.9</v>
      </c>
      <c r="N12" s="10" t="str">
        <f t="shared" si="13"/>
        <v>40817Cellulant1500000</v>
      </c>
      <c r="O12" s="14" t="str">
        <f t="shared" si="14"/>
        <v/>
      </c>
      <c r="P12" s="14">
        <f t="shared" si="15"/>
        <v>1</v>
      </c>
      <c r="Q12" s="14">
        <f t="array" ref="Q12">IFERROR(INDEX([1]Companies!$D:$D,MATCH(B12,[1]Companies!$A:$A,0)),"")</f>
        <v>2004</v>
      </c>
      <c r="R12" s="17">
        <f t="shared" si="16"/>
        <v>54500000</v>
      </c>
      <c r="S12" s="14">
        <f>VLOOKUP(I12,[1]Lookups!$V$3:$Y$197,4,FALSE)</f>
        <v>0</v>
      </c>
      <c r="T12" s="14" t="str">
        <f>VLOOKUP(E12,[1]Lookups!$H$3:$I$71,2,FALSE)</f>
        <v>3. Early Venture</v>
      </c>
      <c r="U12" s="14" t="str">
        <f>VLOOKUP(K12,[1]Lookups!$B$3:$C$142,2,FALSE)</f>
        <v>Financial Services</v>
      </c>
      <c r="V12" s="14">
        <f t="shared" si="1"/>
        <v>2011</v>
      </c>
      <c r="W12" s="14">
        <f t="shared" si="2"/>
        <v>10</v>
      </c>
      <c r="X12" s="14">
        <f>VLOOKUP(W12,[1]Lookups!$P$3:$S$15,2,FALSE)</f>
        <v>4</v>
      </c>
      <c r="Y12" s="16">
        <f>VLOOKUP(W12,[1]Lookups!$P$3:$U$15,3,FALSE)</f>
        <v>2</v>
      </c>
      <c r="Z12" s="16">
        <f t="shared" si="3"/>
        <v>1</v>
      </c>
      <c r="AA12" s="16" t="str">
        <f t="shared" ca="1" si="4"/>
        <v>First Light Ventures</v>
      </c>
      <c r="AB12" s="16">
        <f t="shared" si="4"/>
        <v>0</v>
      </c>
      <c r="AC12" s="16">
        <f t="shared" si="4"/>
        <v>0</v>
      </c>
      <c r="AD12" s="16">
        <f t="shared" si="4"/>
        <v>0</v>
      </c>
      <c r="AE12" s="16">
        <f t="shared" si="4"/>
        <v>0</v>
      </c>
      <c r="AF12" s="16">
        <f t="shared" si="4"/>
        <v>0</v>
      </c>
      <c r="AG12" s="16">
        <f t="shared" si="4"/>
        <v>0</v>
      </c>
      <c r="AH12" s="16">
        <f t="shared" si="4"/>
        <v>0</v>
      </c>
      <c r="AI12" s="16">
        <f t="shared" si="4"/>
        <v>0</v>
      </c>
      <c r="AJ12" s="16">
        <f t="shared" si="4"/>
        <v>0</v>
      </c>
      <c r="AK12" s="16">
        <f t="shared" si="4"/>
        <v>0</v>
      </c>
      <c r="AL12" s="16">
        <f t="shared" si="4"/>
        <v>0</v>
      </c>
      <c r="AM12" s="16">
        <f t="shared" si="4"/>
        <v>0</v>
      </c>
      <c r="AN12" s="16">
        <f t="shared" si="4"/>
        <v>0</v>
      </c>
      <c r="AO12" s="16">
        <f t="shared" si="4"/>
        <v>0</v>
      </c>
      <c r="AP12" s="10"/>
      <c r="AQ12" s="10"/>
      <c r="AR12" s="10"/>
      <c r="AS12" s="10" t="str">
        <f t="shared" ref="AS12" ca="1" si="22">IFERROR(__xludf.DUMMYFUNCTION("split(F7,"","",true,true)"),"First Light Ventures")</f>
        <v>First Light Ventures</v>
      </c>
      <c r="AT12" s="10"/>
      <c r="AU12" s="10"/>
      <c r="AV12" s="10"/>
      <c r="AW12" s="10"/>
      <c r="AX12" s="10"/>
      <c r="AY12" s="10"/>
      <c r="AZ12" s="10"/>
      <c r="BA12" s="10"/>
      <c r="BB12" s="10"/>
      <c r="BC12" s="10"/>
      <c r="BD12" s="10"/>
      <c r="BE12" s="10"/>
      <c r="BF12" s="10"/>
      <c r="BG12" s="10"/>
      <c r="BH12" s="10"/>
      <c r="BI12" s="10"/>
      <c r="BJ12" s="10"/>
      <c r="BK12" s="10"/>
      <c r="BM12" s="10"/>
    </row>
    <row r="13" spans="1:65" ht="15.75" customHeight="1">
      <c r="A13" s="18">
        <v>40864</v>
      </c>
      <c r="B13" s="14" t="s">
        <v>58</v>
      </c>
      <c r="C13" s="19">
        <v>865000</v>
      </c>
      <c r="D13" s="19"/>
      <c r="E13" s="14" t="s">
        <v>45</v>
      </c>
      <c r="F13" s="14" t="s">
        <v>49</v>
      </c>
      <c r="G13" s="13" t="s">
        <v>74</v>
      </c>
      <c r="H13" s="14" t="str">
        <f t="array" ref="H13">IFERROR(INDEX([1]Companies!$G:$G,MATCH(B13,[1]Companies!$A:$A,0)),"")</f>
        <v>Kenya</v>
      </c>
      <c r="I13" s="14" t="str">
        <f t="shared" si="12"/>
        <v>Kenya</v>
      </c>
      <c r="J13" s="14" t="str">
        <f t="array" ref="J13">IFERROR(INDEX([1]Companies!$Y:$Y,MATCH(B13,[1]Companies!$A:$A,0)),"")</f>
        <v>Enterprise Software, Financial Services, Information Technology, Mobile Payments, Payments, Social Entrepreneurship, Telecommunications</v>
      </c>
      <c r="K13" s="14" t="str">
        <f t="array" ref="K13">IFERROR(INDEX([1]Companies!$X:$X,MATCH(B13,[1]Companies!$A:$A,0)),"")</f>
        <v>Financial Services</v>
      </c>
      <c r="L13" s="14" t="str">
        <f>VLOOKUP(B13,[1]Companies!$A$1:$C$5243,1,FALSE)</f>
        <v>Kopo Kopo</v>
      </c>
      <c r="M13" s="15">
        <f t="shared" si="0"/>
        <v>0.9</v>
      </c>
      <c r="N13" s="10" t="str">
        <f t="shared" si="13"/>
        <v>40864Kopo Kopo865000</v>
      </c>
      <c r="O13" s="14" t="str">
        <f t="shared" si="14"/>
        <v/>
      </c>
      <c r="P13" s="14">
        <f t="shared" si="15"/>
        <v>1</v>
      </c>
      <c r="Q13" s="14">
        <f t="array" ref="Q13">IFERROR(INDEX([1]Companies!$D:$D,MATCH(B13,[1]Companies!$A:$A,0)),"")</f>
        <v>2011</v>
      </c>
      <c r="R13" s="17">
        <f t="shared" si="16"/>
        <v>6504900</v>
      </c>
      <c r="S13" s="14">
        <f>VLOOKUP(I13,[1]Lookups!$V$3:$Y$197,4,FALSE)</f>
        <v>0</v>
      </c>
      <c r="T13" s="14" t="str">
        <f>VLOOKUP(E13,[1]Lookups!$H$3:$I$71,2,FALSE)</f>
        <v>2. Seed</v>
      </c>
      <c r="U13" s="14" t="str">
        <f>VLOOKUP(K13,[1]Lookups!$B$3:$C$142,2,FALSE)</f>
        <v>Financial Services</v>
      </c>
      <c r="V13" s="14">
        <f t="shared" si="1"/>
        <v>2011</v>
      </c>
      <c r="W13" s="14">
        <f t="shared" si="2"/>
        <v>11</v>
      </c>
      <c r="X13" s="14">
        <f>VLOOKUP(W13,[1]Lookups!$P$3:$S$15,2,FALSE)</f>
        <v>4</v>
      </c>
      <c r="Y13" s="16">
        <f>VLOOKUP(W13,[1]Lookups!$P$3:$U$15,3,FALSE)</f>
        <v>2</v>
      </c>
      <c r="Z13" s="16">
        <f t="shared" si="3"/>
        <v>1</v>
      </c>
      <c r="AA13" s="16" t="str">
        <f t="shared" ca="1" si="4"/>
        <v>First Light Ventures</v>
      </c>
      <c r="AB13" s="16">
        <f t="shared" si="4"/>
        <v>0</v>
      </c>
      <c r="AC13" s="16">
        <f t="shared" si="4"/>
        <v>0</v>
      </c>
      <c r="AD13" s="16">
        <f t="shared" si="4"/>
        <v>0</v>
      </c>
      <c r="AE13" s="16">
        <f t="shared" si="4"/>
        <v>0</v>
      </c>
      <c r="AF13" s="16">
        <f t="shared" si="4"/>
        <v>0</v>
      </c>
      <c r="AG13" s="16">
        <f t="shared" si="4"/>
        <v>0</v>
      </c>
      <c r="AH13" s="16">
        <f t="shared" si="4"/>
        <v>0</v>
      </c>
      <c r="AI13" s="16">
        <f t="shared" si="4"/>
        <v>0</v>
      </c>
      <c r="AJ13" s="16">
        <f t="shared" si="4"/>
        <v>0</v>
      </c>
      <c r="AK13" s="16">
        <f t="shared" si="4"/>
        <v>0</v>
      </c>
      <c r="AL13" s="16">
        <f t="shared" si="4"/>
        <v>0</v>
      </c>
      <c r="AM13" s="16">
        <f t="shared" si="4"/>
        <v>0</v>
      </c>
      <c r="AN13" s="16">
        <f t="shared" si="4"/>
        <v>0</v>
      </c>
      <c r="AO13" s="16">
        <f t="shared" si="4"/>
        <v>0</v>
      </c>
      <c r="AP13" s="10"/>
      <c r="AQ13" s="10"/>
      <c r="AR13" s="10"/>
      <c r="AS13" s="10" t="str">
        <f t="shared" ref="AS13" ca="1" si="23">IFERROR(__xludf.DUMMYFUNCTION("split(F7,"","",true,true)"),"First Light Ventures")</f>
        <v>First Light Ventures</v>
      </c>
      <c r="AT13" s="23"/>
      <c r="AU13" s="23"/>
      <c r="AV13" s="23"/>
      <c r="AW13" s="23"/>
      <c r="AX13" s="23"/>
      <c r="AY13" s="23"/>
      <c r="AZ13" s="23"/>
      <c r="BA13" s="23"/>
      <c r="BB13" s="23"/>
      <c r="BC13" s="23"/>
      <c r="BD13" s="23"/>
      <c r="BE13" s="23"/>
      <c r="BF13" s="23"/>
      <c r="BG13" s="23"/>
      <c r="BH13" s="23"/>
      <c r="BI13" s="23"/>
      <c r="BJ13" s="23"/>
      <c r="BK13" s="23"/>
      <c r="BM13" s="23"/>
    </row>
    <row r="14" spans="1:65" ht="15.75" customHeight="1">
      <c r="A14" s="18">
        <v>40864</v>
      </c>
      <c r="B14" s="14" t="s">
        <v>58</v>
      </c>
      <c r="C14" s="19">
        <v>864900</v>
      </c>
      <c r="D14" s="19"/>
      <c r="E14" s="14" t="s">
        <v>45</v>
      </c>
      <c r="F14" s="14" t="s">
        <v>49</v>
      </c>
      <c r="G14" s="21" t="s">
        <v>60</v>
      </c>
      <c r="H14" s="14" t="str">
        <f t="array" ref="H14">IFERROR(INDEX([1]Companies!$G:$G,MATCH(B14,[1]Companies!$A:$A,0)),"")</f>
        <v>Kenya</v>
      </c>
      <c r="I14" s="14" t="str">
        <f t="shared" si="12"/>
        <v>Kenya</v>
      </c>
      <c r="J14" s="14" t="str">
        <f t="array" ref="J14">IFERROR(INDEX([1]Companies!$Y:$Y,MATCH(B14,[1]Companies!$A:$A,0)),"")</f>
        <v>Enterprise Software, Financial Services, Information Technology, Mobile Payments, Payments, Social Entrepreneurship, Telecommunications</v>
      </c>
      <c r="K14" s="14" t="str">
        <f t="array" ref="K14">IFERROR(INDEX([1]Companies!$X:$X,MATCH(B14,[1]Companies!$A:$A,0)),"")</f>
        <v>Financial Services</v>
      </c>
      <c r="L14" s="14" t="str">
        <f>VLOOKUP(B14,[1]Companies!$A$1:$C$5243,1,FALSE)</f>
        <v>Kopo Kopo</v>
      </c>
      <c r="M14" s="15">
        <f t="shared" si="0"/>
        <v>0.9</v>
      </c>
      <c r="N14" s="10" t="str">
        <f t="shared" si="13"/>
        <v>40864Kopo Kopo864900</v>
      </c>
      <c r="O14" s="14" t="str">
        <f t="shared" si="14"/>
        <v/>
      </c>
      <c r="P14" s="14">
        <f t="shared" si="15"/>
        <v>1</v>
      </c>
      <c r="Q14" s="14">
        <f t="array" ref="Q14">IFERROR(INDEX([1]Companies!$D:$D,MATCH(B14,[1]Companies!$A:$A,0)),"")</f>
        <v>2011</v>
      </c>
      <c r="R14" s="17">
        <f t="shared" si="16"/>
        <v>6504900</v>
      </c>
      <c r="S14" s="14">
        <f>VLOOKUP(I14,[1]Lookups!$V$3:$Y$197,4,FALSE)</f>
        <v>0</v>
      </c>
      <c r="T14" s="14" t="str">
        <f>VLOOKUP(E14,[1]Lookups!$H$3:$I$71,2,FALSE)</f>
        <v>2. Seed</v>
      </c>
      <c r="U14" s="14" t="str">
        <f>VLOOKUP(K14,[1]Lookups!$B$3:$C$142,2,FALSE)</f>
        <v>Financial Services</v>
      </c>
      <c r="V14" s="14">
        <f t="shared" si="1"/>
        <v>2011</v>
      </c>
      <c r="W14" s="14">
        <f t="shared" si="2"/>
        <v>11</v>
      </c>
      <c r="X14" s="14">
        <f>VLOOKUP(W14,[1]Lookups!$P$3:$S$15,2,FALSE)</f>
        <v>4</v>
      </c>
      <c r="Y14" s="16">
        <f>VLOOKUP(W14,[1]Lookups!$P$3:$U$15,3,FALSE)</f>
        <v>2</v>
      </c>
      <c r="Z14" s="16">
        <f t="shared" si="3"/>
        <v>1</v>
      </c>
      <c r="AA14" s="16" t="str">
        <f t="shared" ca="1" si="4"/>
        <v>First Light Ventures</v>
      </c>
      <c r="AB14" s="16">
        <f t="shared" si="4"/>
        <v>0</v>
      </c>
      <c r="AC14" s="16">
        <f t="shared" si="4"/>
        <v>0</v>
      </c>
      <c r="AD14" s="16">
        <f t="shared" si="4"/>
        <v>0</v>
      </c>
      <c r="AE14" s="16">
        <f t="shared" si="4"/>
        <v>0</v>
      </c>
      <c r="AF14" s="16">
        <f t="shared" si="4"/>
        <v>0</v>
      </c>
      <c r="AG14" s="16">
        <f t="shared" si="4"/>
        <v>0</v>
      </c>
      <c r="AH14" s="16">
        <f t="shared" si="4"/>
        <v>0</v>
      </c>
      <c r="AI14" s="16">
        <f t="shared" si="4"/>
        <v>0</v>
      </c>
      <c r="AJ14" s="16">
        <f t="shared" si="4"/>
        <v>0</v>
      </c>
      <c r="AK14" s="16">
        <f t="shared" si="4"/>
        <v>0</v>
      </c>
      <c r="AL14" s="16">
        <f t="shared" si="4"/>
        <v>0</v>
      </c>
      <c r="AM14" s="16">
        <f t="shared" si="4"/>
        <v>0</v>
      </c>
      <c r="AN14" s="16">
        <f t="shared" si="4"/>
        <v>0</v>
      </c>
      <c r="AO14" s="16">
        <f t="shared" si="4"/>
        <v>0</v>
      </c>
      <c r="AP14" s="10"/>
      <c r="AQ14" s="10"/>
      <c r="AR14" s="10"/>
      <c r="AS14" s="10" t="str">
        <f t="shared" ref="AS14" ca="1" si="24">IFERROR(__xludf.DUMMYFUNCTION("split(F7,"","",true,true)"),"First Light Ventures")</f>
        <v>First Light Ventures</v>
      </c>
      <c r="AT14" s="10"/>
      <c r="AU14" s="10"/>
      <c r="AV14" s="10"/>
      <c r="AW14" s="10"/>
      <c r="AX14" s="10"/>
      <c r="AY14" s="10"/>
      <c r="AZ14" s="10"/>
      <c r="BA14" s="10"/>
      <c r="BB14" s="10"/>
      <c r="BC14" s="10"/>
      <c r="BD14" s="10"/>
      <c r="BE14" s="10"/>
      <c r="BF14" s="10"/>
      <c r="BG14" s="10"/>
      <c r="BH14" s="10"/>
      <c r="BI14" s="10"/>
      <c r="BJ14" s="10"/>
      <c r="BK14" s="10"/>
      <c r="BM14" s="10"/>
    </row>
    <row r="15" spans="1:65" ht="15.75" customHeight="1">
      <c r="A15" s="9">
        <v>40878</v>
      </c>
      <c r="B15" s="10" t="s">
        <v>75</v>
      </c>
      <c r="C15" s="11">
        <v>3000000</v>
      </c>
      <c r="D15" s="12"/>
      <c r="E15" s="10" t="s">
        <v>69</v>
      </c>
      <c r="F15" s="10" t="s">
        <v>76</v>
      </c>
      <c r="G15" s="13" t="s">
        <v>77</v>
      </c>
      <c r="H15" s="14" t="str">
        <f t="array" ref="H15">IFERROR(INDEX([1]Companies!$G:$G,MATCH(B15,[1]Companies!$A:$A,0)),"")</f>
        <v>Nigeria</v>
      </c>
      <c r="I15" s="14" t="str">
        <f t="shared" si="12"/>
        <v>Nigeria</v>
      </c>
      <c r="J15" s="14" t="str">
        <f t="array" ref="J15">IFERROR(INDEX([1]Companies!$Y:$Y,MATCH(B15,[1]Companies!$A:$A,0)),"")</f>
        <v>Online Media, Nollywood Movies, Online Movie and Music Streaming, African Music, Content Distribution, Technology, Subscription Video on Demand</v>
      </c>
      <c r="K15" s="14" t="str">
        <f t="array" ref="K15">IFERROR(INDEX([1]Companies!$X:$X,MATCH(B15,[1]Companies!$A:$A,0)),"")</f>
        <v>Media &amp; Entertainment</v>
      </c>
      <c r="L15" s="14" t="str">
        <f>VLOOKUP(B15,[1]Companies!$A$1:$C$5243,1,FALSE)</f>
        <v>iROKOtv</v>
      </c>
      <c r="M15" s="15">
        <f t="shared" si="0"/>
        <v>0.9</v>
      </c>
      <c r="N15" s="10" t="str">
        <f t="shared" si="13"/>
        <v>40878iROKOtv3000000</v>
      </c>
      <c r="O15" s="14" t="str">
        <f t="shared" si="14"/>
        <v/>
      </c>
      <c r="P15" s="14">
        <f t="shared" si="15"/>
        <v>1</v>
      </c>
      <c r="Q15" s="14">
        <f t="array" ref="Q15">IFERROR(INDEX([1]Companies!$D:$D,MATCH(B15,[1]Companies!$A:$A,0)),"")</f>
        <v>2010</v>
      </c>
      <c r="R15" s="17">
        <f t="shared" si="16"/>
        <v>30000000</v>
      </c>
      <c r="S15" s="14">
        <f>VLOOKUP(I15,[1]Lookups!$V$3:$Y$197,4,FALSE)</f>
        <v>0</v>
      </c>
      <c r="T15" s="14" t="str">
        <f>VLOOKUP(E15,[1]Lookups!$H$3:$I$71,2,FALSE)</f>
        <v>3. Early Venture</v>
      </c>
      <c r="U15" s="14" t="str">
        <f>VLOOKUP(K15,[1]Lookups!$B$3:$C$142,2,FALSE)</f>
        <v>Media &amp; Entertainment</v>
      </c>
      <c r="V15" s="14">
        <f t="shared" si="1"/>
        <v>2011</v>
      </c>
      <c r="W15" s="14">
        <f t="shared" si="2"/>
        <v>12</v>
      </c>
      <c r="X15" s="14">
        <f>VLOOKUP(W15,[1]Lookups!$P$3:$S$15,2,FALSE)</f>
        <v>4</v>
      </c>
      <c r="Y15" s="16">
        <f>VLOOKUP(W15,[1]Lookups!$P$3:$U$15,3,FALSE)</f>
        <v>2</v>
      </c>
      <c r="Z15" s="16">
        <f t="shared" si="3"/>
        <v>1</v>
      </c>
      <c r="AA15" s="16" t="str">
        <f t="shared" ca="1" si="4"/>
        <v>First Light Ventures</v>
      </c>
      <c r="AB15" s="16">
        <f t="shared" si="4"/>
        <v>0</v>
      </c>
      <c r="AC15" s="16">
        <f t="shared" si="4"/>
        <v>0</v>
      </c>
      <c r="AD15" s="16">
        <f t="shared" si="4"/>
        <v>0</v>
      </c>
      <c r="AE15" s="16">
        <f t="shared" si="4"/>
        <v>0</v>
      </c>
      <c r="AF15" s="16">
        <f t="shared" si="4"/>
        <v>0</v>
      </c>
      <c r="AG15" s="16">
        <f t="shared" si="4"/>
        <v>0</v>
      </c>
      <c r="AH15" s="16">
        <f t="shared" si="4"/>
        <v>0</v>
      </c>
      <c r="AI15" s="16">
        <f t="shared" si="4"/>
        <v>0</v>
      </c>
      <c r="AJ15" s="16">
        <f t="shared" si="4"/>
        <v>0</v>
      </c>
      <c r="AK15" s="16">
        <f t="shared" si="4"/>
        <v>0</v>
      </c>
      <c r="AL15" s="16">
        <f t="shared" si="4"/>
        <v>0</v>
      </c>
      <c r="AM15" s="16">
        <f t="shared" si="4"/>
        <v>0</v>
      </c>
      <c r="AN15" s="16">
        <f t="shared" si="4"/>
        <v>0</v>
      </c>
      <c r="AO15" s="16">
        <f t="shared" si="4"/>
        <v>0</v>
      </c>
      <c r="AP15" s="10"/>
      <c r="AQ15" s="10"/>
      <c r="AR15" s="10"/>
      <c r="AS15" s="10" t="str">
        <f t="shared" ref="AS15" ca="1" si="25">IFERROR(__xludf.DUMMYFUNCTION("split(F7,"","",true,true)"),"First Light Ventures")</f>
        <v>First Light Ventures</v>
      </c>
      <c r="AT15" s="10"/>
      <c r="AU15" s="10"/>
      <c r="AV15" s="10"/>
      <c r="AW15" s="10"/>
      <c r="AX15" s="10"/>
      <c r="AY15" s="10"/>
      <c r="AZ15" s="10"/>
      <c r="BA15" s="10"/>
      <c r="BB15" s="10"/>
      <c r="BC15" s="10"/>
      <c r="BD15" s="10"/>
      <c r="BE15" s="10"/>
      <c r="BF15" s="10"/>
      <c r="BG15" s="10"/>
      <c r="BH15" s="10"/>
      <c r="BI15" s="10"/>
      <c r="BJ15" s="10"/>
      <c r="BK15" s="10"/>
      <c r="BM15" s="10"/>
    </row>
    <row r="16" spans="1:65" ht="15.75" customHeight="1">
      <c r="A16" s="18">
        <v>40909</v>
      </c>
      <c r="B16" s="14" t="s">
        <v>78</v>
      </c>
      <c r="C16" s="19">
        <v>45000000</v>
      </c>
      <c r="D16" s="19"/>
      <c r="E16" s="14" t="s">
        <v>69</v>
      </c>
      <c r="F16" s="14" t="s">
        <v>79</v>
      </c>
      <c r="G16" s="21" t="s">
        <v>80</v>
      </c>
      <c r="H16" s="14" t="str">
        <f t="array" ref="H16">IFERROR(INDEX([1]Companies!$G:$G,MATCH(B16,[1]Companies!$A:$A,0)),"")</f>
        <v>Nigeria</v>
      </c>
      <c r="I16" s="14" t="str">
        <f t="shared" si="12"/>
        <v>Nigeria</v>
      </c>
      <c r="J16" s="14" t="str">
        <f t="array" ref="J16">IFERROR(INDEX([1]Companies!$Y:$Y,MATCH(B16,[1]Companies!$A:$A,0)),"")</f>
        <v>E-Commerce, Internet, Shopping Online</v>
      </c>
      <c r="K16" s="14" t="str">
        <f t="array" ref="K16">IFERROR(INDEX([1]Companies!$X:$X,MATCH(B16,[1]Companies!$A:$A,0)),"")</f>
        <v>E-Commerce &amp; Retail</v>
      </c>
      <c r="L16" s="14" t="str">
        <f>VLOOKUP(B16,[1]Companies!$A$1:$C$5243,1,FALSE)</f>
        <v>Jumia Group</v>
      </c>
      <c r="M16" s="15">
        <f t="shared" si="0"/>
        <v>0.9</v>
      </c>
      <c r="N16" s="10" t="str">
        <f t="shared" si="13"/>
        <v>40909Jumia Group45000000</v>
      </c>
      <c r="O16" s="14" t="str">
        <f t="shared" si="14"/>
        <v/>
      </c>
      <c r="P16" s="14">
        <f t="shared" si="15"/>
        <v>1</v>
      </c>
      <c r="Q16" s="14">
        <f t="array" ref="Q16">IFERROR(INDEX([1]Companies!$D:$D,MATCH(B16,[1]Companies!$A:$A,0)),"")</f>
        <v>2012</v>
      </c>
      <c r="R16" s="17">
        <f t="shared" si="16"/>
        <v>885400000</v>
      </c>
      <c r="S16" s="14">
        <f>VLOOKUP(I16,[1]Lookups!$V$3:$Y$197,4,FALSE)</f>
        <v>0</v>
      </c>
      <c r="T16" s="14" t="str">
        <f>VLOOKUP(E16,[1]Lookups!$H$3:$I$71,2,FALSE)</f>
        <v>3. Early Venture</v>
      </c>
      <c r="U16" s="14" t="str">
        <f>VLOOKUP(K16,[1]Lookups!$B$3:$C$142,2,FALSE)</f>
        <v>E-commerce &amp; Retail</v>
      </c>
      <c r="V16" s="14">
        <f t="shared" si="1"/>
        <v>2012</v>
      </c>
      <c r="W16" s="14">
        <f t="shared" si="2"/>
        <v>1</v>
      </c>
      <c r="X16" s="14">
        <f>VLOOKUP(W16,[1]Lookups!$P$3:$S$15,2,FALSE)</f>
        <v>1</v>
      </c>
      <c r="Y16" s="16">
        <f>VLOOKUP(W16,[1]Lookups!$P$3:$U$15,3,FALSE)</f>
        <v>1</v>
      </c>
      <c r="Z16" s="16">
        <f t="shared" si="3"/>
        <v>3</v>
      </c>
      <c r="AA16" s="16" t="str">
        <f t="shared" ca="1" si="4"/>
        <v>First Light Ventures</v>
      </c>
      <c r="AB16" s="16" t="str">
        <f t="shared" ca="1" si="4"/>
        <v xml:space="preserve"> Rocket Internet</v>
      </c>
      <c r="AC16" s="16" t="str">
        <f t="shared" ca="1" si="4"/>
        <v xml:space="preserve"> Millicom Systems</v>
      </c>
      <c r="AD16" s="16">
        <f t="shared" si="4"/>
        <v>0</v>
      </c>
      <c r="AE16" s="16">
        <f t="shared" si="4"/>
        <v>0</v>
      </c>
      <c r="AF16" s="16">
        <f t="shared" si="4"/>
        <v>0</v>
      </c>
      <c r="AG16" s="16">
        <f t="shared" si="4"/>
        <v>0</v>
      </c>
      <c r="AH16" s="16">
        <f t="shared" si="4"/>
        <v>0</v>
      </c>
      <c r="AI16" s="16">
        <f t="shared" si="4"/>
        <v>0</v>
      </c>
      <c r="AJ16" s="16">
        <f t="shared" si="4"/>
        <v>0</v>
      </c>
      <c r="AK16" s="16">
        <f t="shared" si="4"/>
        <v>0</v>
      </c>
      <c r="AL16" s="16">
        <f t="shared" si="4"/>
        <v>0</v>
      </c>
      <c r="AM16" s="16">
        <f t="shared" si="4"/>
        <v>0</v>
      </c>
      <c r="AN16" s="16">
        <f t="shared" si="4"/>
        <v>0</v>
      </c>
      <c r="AO16" s="16">
        <f t="shared" si="4"/>
        <v>0</v>
      </c>
      <c r="AP16" s="10"/>
      <c r="AQ16" s="10"/>
      <c r="AR16" s="10"/>
      <c r="AS16" s="10" t="str">
        <f t="shared" ref="AS16" ca="1" si="26">IFERROR(__xludf.DUMMYFUNCTION("split(F7,"","",true,true)"),"First Light Ventures")</f>
        <v>First Light Ventures</v>
      </c>
      <c r="AT16" s="10" t="str">
        <f ca="1">IFERROR(__xludf.DUMMYFUNCTION("""COMPUTED_VALUE""")," Rocket Internet")</f>
        <v xml:space="preserve"> Rocket Internet</v>
      </c>
      <c r="AU16" s="10" t="str">
        <f ca="1">IFERROR(__xludf.DUMMYFUNCTION("""COMPUTED_VALUE""")," Millicom Systems")</f>
        <v xml:space="preserve"> Millicom Systems</v>
      </c>
      <c r="AV16" s="10"/>
      <c r="AW16" s="10"/>
      <c r="AX16" s="10"/>
      <c r="AY16" s="10"/>
      <c r="AZ16" s="10"/>
      <c r="BA16" s="10"/>
      <c r="BB16" s="10"/>
      <c r="BC16" s="10"/>
      <c r="BD16" s="10"/>
      <c r="BE16" s="10"/>
      <c r="BF16" s="10"/>
      <c r="BG16" s="10"/>
      <c r="BH16" s="10"/>
      <c r="BI16" s="10"/>
      <c r="BJ16" s="10"/>
      <c r="BK16" s="10"/>
      <c r="BM16" s="10"/>
    </row>
    <row r="17" spans="1:65" ht="15.75" customHeight="1">
      <c r="A17" s="18">
        <v>40909</v>
      </c>
      <c r="B17" s="14" t="s">
        <v>81</v>
      </c>
      <c r="C17" s="19">
        <v>3500000</v>
      </c>
      <c r="D17" s="19"/>
      <c r="E17" s="14" t="s">
        <v>45</v>
      </c>
      <c r="F17" s="20" t="s">
        <v>82</v>
      </c>
      <c r="G17" s="21" t="s">
        <v>83</v>
      </c>
      <c r="H17" s="14" t="str">
        <f t="array" ref="H17">IFERROR(INDEX([1]Companies!$G:$G,MATCH(B17,[1]Companies!$A:$A,0)),"")</f>
        <v>Nigeria</v>
      </c>
      <c r="I17" s="14" t="str">
        <f t="shared" si="12"/>
        <v>Nigeria</v>
      </c>
      <c r="J17" s="14" t="str">
        <f t="array" ref="J17">IFERROR(INDEX([1]Companies!$Y:$Y,MATCH(B17,[1]Companies!$A:$A,0)),"")</f>
        <v>Retail, E-Commerce, Customer Service, Delivery Service, Online Shopping</v>
      </c>
      <c r="K17" s="14" t="str">
        <f t="array" ref="K17">IFERROR(INDEX([1]Companies!$X:$X,MATCH(B17,[1]Companies!$A:$A,0)),"")</f>
        <v>E-Commerce &amp; Retail</v>
      </c>
      <c r="L17" s="14" t="str">
        <f>VLOOKUP(B17,[1]Companies!$A$1:$C$5243,1,FALSE)</f>
        <v>Konga</v>
      </c>
      <c r="M17" s="15">
        <f t="shared" si="0"/>
        <v>0.9</v>
      </c>
      <c r="N17" s="10" t="str">
        <f t="shared" si="13"/>
        <v>40909Konga3500000</v>
      </c>
      <c r="O17" s="14" t="str">
        <f t="shared" si="14"/>
        <v/>
      </c>
      <c r="P17" s="14">
        <f t="shared" si="15"/>
        <v>1</v>
      </c>
      <c r="Q17" s="14">
        <f t="array" ref="Q17">IFERROR(INDEX([1]Companies!$D:$D,MATCH(B17,[1]Companies!$A:$A,0)),"")</f>
        <v>2012</v>
      </c>
      <c r="R17" s="17">
        <f t="shared" si="16"/>
        <v>79500000</v>
      </c>
      <c r="S17" s="14">
        <f>VLOOKUP(I17,[1]Lookups!$V$3:$Y$197,4,FALSE)</f>
        <v>0</v>
      </c>
      <c r="T17" s="14" t="str">
        <f>VLOOKUP(E17,[1]Lookups!$H$3:$I$71,2,FALSE)</f>
        <v>2. Seed</v>
      </c>
      <c r="U17" s="14" t="str">
        <f>VLOOKUP(K17,[1]Lookups!$B$3:$C$142,2,FALSE)</f>
        <v>E-commerce &amp; Retail</v>
      </c>
      <c r="V17" s="14">
        <f t="shared" si="1"/>
        <v>2012</v>
      </c>
      <c r="W17" s="14">
        <f t="shared" si="2"/>
        <v>1</v>
      </c>
      <c r="X17" s="14">
        <f>VLOOKUP(W17,[1]Lookups!$P$3:$S$15,2,FALSE)</f>
        <v>1</v>
      </c>
      <c r="Y17" s="16">
        <f>VLOOKUP(W17,[1]Lookups!$P$3:$U$15,3,FALSE)</f>
        <v>1</v>
      </c>
      <c r="Z17" s="16">
        <f t="shared" si="3"/>
        <v>1</v>
      </c>
      <c r="AA17" s="16" t="str">
        <f t="shared" ca="1" si="4"/>
        <v>First Light Ventures</v>
      </c>
      <c r="AB17" s="16">
        <f t="shared" si="4"/>
        <v>0</v>
      </c>
      <c r="AC17" s="16">
        <f t="shared" si="4"/>
        <v>0</v>
      </c>
      <c r="AD17" s="16">
        <f t="shared" si="4"/>
        <v>0</v>
      </c>
      <c r="AE17" s="16">
        <f t="shared" si="4"/>
        <v>0</v>
      </c>
      <c r="AF17" s="16">
        <f t="shared" si="4"/>
        <v>0</v>
      </c>
      <c r="AG17" s="16">
        <f t="shared" si="4"/>
        <v>0</v>
      </c>
      <c r="AH17" s="16">
        <f t="shared" si="4"/>
        <v>0</v>
      </c>
      <c r="AI17" s="16">
        <f t="shared" si="4"/>
        <v>0</v>
      </c>
      <c r="AJ17" s="16">
        <f t="shared" si="4"/>
        <v>0</v>
      </c>
      <c r="AK17" s="16">
        <f t="shared" si="4"/>
        <v>0</v>
      </c>
      <c r="AL17" s="16">
        <f t="shared" si="4"/>
        <v>0</v>
      </c>
      <c r="AM17" s="16">
        <f t="shared" si="4"/>
        <v>0</v>
      </c>
      <c r="AN17" s="16">
        <f t="shared" si="4"/>
        <v>0</v>
      </c>
      <c r="AO17" s="16">
        <f t="shared" si="4"/>
        <v>0</v>
      </c>
      <c r="AP17" s="10"/>
      <c r="AQ17" s="10"/>
      <c r="AR17" s="10"/>
      <c r="AS17" s="10" t="str">
        <f t="shared" ref="AS17:AS18" ca="1" si="27">IFERROR(__xludf.DUMMYFUNCTION("split(F7,"","",true,true)"),"First Light Ventures")</f>
        <v>First Light Ventures</v>
      </c>
      <c r="AT17" s="10"/>
      <c r="AU17" s="10"/>
      <c r="AV17" s="10"/>
      <c r="AW17" s="10"/>
      <c r="AX17" s="10"/>
      <c r="AY17" s="10"/>
      <c r="AZ17" s="10"/>
      <c r="BA17" s="10"/>
      <c r="BB17" s="10"/>
      <c r="BC17" s="10"/>
      <c r="BD17" s="10"/>
      <c r="BE17" s="10"/>
      <c r="BF17" s="10"/>
      <c r="BG17" s="10"/>
      <c r="BH17" s="10"/>
      <c r="BI17" s="10"/>
      <c r="BJ17" s="10"/>
      <c r="BK17" s="10"/>
      <c r="BM17" s="10"/>
    </row>
    <row r="18" spans="1:65" ht="15.75" customHeight="1">
      <c r="A18" s="9">
        <v>40910</v>
      </c>
      <c r="B18" s="10" t="s">
        <v>54</v>
      </c>
      <c r="C18" s="11" t="s">
        <v>49</v>
      </c>
      <c r="D18" s="12"/>
      <c r="E18" s="10" t="s">
        <v>84</v>
      </c>
      <c r="F18" s="10" t="s">
        <v>85</v>
      </c>
      <c r="G18" s="10"/>
      <c r="H18" s="14"/>
      <c r="I18" s="14"/>
      <c r="J18" s="14"/>
      <c r="K18" s="14"/>
      <c r="L18" s="14" t="e">
        <f>VLOOKUP(B18,[1]Companies!$A$1:$C$5243,1,FALSE)</f>
        <v>#N/A</v>
      </c>
      <c r="M18" s="15">
        <f t="shared" si="0"/>
        <v>0.4</v>
      </c>
      <c r="N18" s="10"/>
      <c r="O18" s="14"/>
      <c r="P18" s="14"/>
      <c r="Q18" s="14"/>
      <c r="R18" s="14"/>
      <c r="S18" s="14"/>
      <c r="T18" s="14"/>
      <c r="U18" s="14"/>
      <c r="V18" s="14">
        <f t="shared" si="1"/>
        <v>2012</v>
      </c>
      <c r="W18" s="14">
        <f t="shared" si="2"/>
        <v>1</v>
      </c>
      <c r="X18" s="14">
        <f>VLOOKUP(W18,[1]Lookups!$P$3:$S$15,2,FALSE)</f>
        <v>1</v>
      </c>
      <c r="Y18" s="16">
        <f>VLOOKUP(W18,[1]Lookups!$P$3:$U$15,3,FALSE)</f>
        <v>1</v>
      </c>
      <c r="Z18" s="16">
        <f t="shared" si="3"/>
        <v>5</v>
      </c>
      <c r="AA18" s="16" t="str">
        <f t="shared" ref="AA18:AO33" ca="1" si="28">AS18</f>
        <v>First Light Ventures</v>
      </c>
      <c r="AB18" s="16" t="str">
        <f t="shared" ca="1" si="28"/>
        <v xml:space="preserve"> Khosla Ventures</v>
      </c>
      <c r="AC18" s="16" t="str">
        <f t="shared" ca="1" si="28"/>
        <v xml:space="preserve"> Learn Capital</v>
      </c>
      <c r="AD18" s="16" t="str">
        <f t="shared" ca="1" si="28"/>
        <v xml:space="preserve"> MHS Capital</v>
      </c>
      <c r="AE18" s="16" t="str">
        <f t="shared" ca="1" si="28"/>
        <v xml:space="preserve"> New Enterprise Associates</v>
      </c>
      <c r="AF18" s="16">
        <f t="shared" si="28"/>
        <v>0</v>
      </c>
      <c r="AG18" s="16">
        <f t="shared" si="28"/>
        <v>0</v>
      </c>
      <c r="AH18" s="16">
        <f t="shared" si="28"/>
        <v>0</v>
      </c>
      <c r="AI18" s="16">
        <f t="shared" si="28"/>
        <v>0</v>
      </c>
      <c r="AJ18" s="16">
        <f t="shared" si="28"/>
        <v>0</v>
      </c>
      <c r="AK18" s="16">
        <f t="shared" si="28"/>
        <v>0</v>
      </c>
      <c r="AL18" s="16">
        <f t="shared" si="28"/>
        <v>0</v>
      </c>
      <c r="AM18" s="16">
        <f t="shared" si="28"/>
        <v>0</v>
      </c>
      <c r="AN18" s="16">
        <f t="shared" si="28"/>
        <v>0</v>
      </c>
      <c r="AO18" s="16">
        <f t="shared" si="28"/>
        <v>0</v>
      </c>
      <c r="AP18" s="10"/>
      <c r="AQ18" s="10"/>
      <c r="AR18" s="10"/>
      <c r="AS18" s="10" t="str">
        <f t="shared" ca="1" si="27"/>
        <v>First Light Ventures</v>
      </c>
      <c r="AT18" s="10" t="str">
        <f ca="1">IFERROR(__xludf.DUMMYFUNCTION("""COMPUTED_VALUE""")," Khosla Ventures")</f>
        <v xml:space="preserve"> Khosla Ventures</v>
      </c>
      <c r="AU18" s="10" t="str">
        <f ca="1">IFERROR(__xludf.DUMMYFUNCTION("""COMPUTED_VALUE""")," Learn Capital")</f>
        <v xml:space="preserve"> Learn Capital</v>
      </c>
      <c r="AV18" s="10" t="str">
        <f ca="1">IFERROR(__xludf.DUMMYFUNCTION("""COMPUTED_VALUE""")," MHS Capital")</f>
        <v xml:space="preserve"> MHS Capital</v>
      </c>
      <c r="AW18" s="10" t="str">
        <f ca="1">IFERROR(__xludf.DUMMYFUNCTION("""COMPUTED_VALUE""")," New Enterprise Associates")</f>
        <v xml:space="preserve"> New Enterprise Associates</v>
      </c>
      <c r="AX18" s="10"/>
      <c r="AY18" s="10"/>
      <c r="AZ18" s="10"/>
      <c r="BA18" s="10"/>
      <c r="BB18" s="10"/>
      <c r="BC18" s="10"/>
      <c r="BD18" s="10"/>
      <c r="BE18" s="10"/>
      <c r="BF18" s="10"/>
      <c r="BG18" s="10"/>
      <c r="BH18" s="10"/>
      <c r="BI18" s="10"/>
      <c r="BJ18" s="10"/>
      <c r="BK18" s="10"/>
      <c r="BM18" s="10"/>
    </row>
    <row r="19" spans="1:65" ht="15.75" customHeight="1">
      <c r="A19" s="9">
        <v>40940</v>
      </c>
      <c r="B19" s="10" t="s">
        <v>86</v>
      </c>
      <c r="C19" s="11" t="s">
        <v>49</v>
      </c>
      <c r="D19" s="12"/>
      <c r="E19" s="10" t="s">
        <v>48</v>
      </c>
      <c r="F19" s="10" t="s">
        <v>49</v>
      </c>
      <c r="G19" s="13" t="s">
        <v>87</v>
      </c>
      <c r="H19" s="14" t="str">
        <f t="array" ref="H19">IFERROR(INDEX([1]Companies!$G:$G,MATCH(B19,[1]Companies!$A:$A,0)),"")</f>
        <v>Egypt</v>
      </c>
      <c r="I19" s="14" t="str">
        <f t="shared" ref="I19:I23" si="29">IF(LEN(TRIM(H19))-LEN(SUBSTITUTE(TRIM(H19),",","")) &gt; 0,TRIM(RIGHT(H19,LEN(H19)-FIND(",",H19))),H19)</f>
        <v>Egypt</v>
      </c>
      <c r="J19" s="14" t="str">
        <f t="array" ref="J19">IFERROR(INDEX([1]Companies!$Y:$Y,MATCH(B19,[1]Companies!$A:$A,0)),"")</f>
        <v>Ediscovery, Hospitality, Mobile, Restaurants, Food and Beverages</v>
      </c>
      <c r="K19" s="14" t="str">
        <f t="array" ref="K19">IFERROR(INDEX([1]Companies!$X:$X,MATCH(B19,[1]Companies!$A:$A,0)),"")</f>
        <v>E-Commerce &amp; Retail</v>
      </c>
      <c r="L19" s="14" t="str">
        <f>VLOOKUP(B19,[1]Companies!$A$1:$C$5243,1,FALSE)</f>
        <v>Elmenus</v>
      </c>
      <c r="M19" s="15">
        <f t="shared" si="0"/>
        <v>0.9</v>
      </c>
      <c r="N19" s="10" t="str">
        <f t="shared" ref="N19:N23" si="30">CONCATENATE(A19,B19,C19)</f>
        <v>40940elmenusUndisclosed</v>
      </c>
      <c r="O19" s="14" t="str">
        <f t="shared" ref="O19:O23" si="31">IF(A19 = "","",IF(COUNTIF(N:N,CONCATENATE(A19,B19,C19))&gt;1,"Duplicated",""))</f>
        <v/>
      </c>
      <c r="P19" s="14">
        <f t="shared" ref="P19:P23" si="32">IF(C19="Undisclosed",0,1)</f>
        <v>0</v>
      </c>
      <c r="Q19" s="14">
        <f t="array" ref="Q19">IFERROR(INDEX([1]Companies!$D:$D,MATCH(B19,[1]Companies!$A:$A,0)),"")</f>
        <v>2011</v>
      </c>
      <c r="R19" s="17">
        <f t="shared" ref="R19:R23" si="33">SUMIF(B:B,B19,C:C)</f>
        <v>1500000</v>
      </c>
      <c r="S19" s="14">
        <f>VLOOKUP(I19,[1]Lookups!$V$3:$Y$197,4,FALSE)</f>
        <v>0</v>
      </c>
      <c r="T19" s="14" t="str">
        <f>VLOOKUP(E19,[1]Lookups!$H$3:$I$71,2,FALSE)</f>
        <v>2. Seed</v>
      </c>
      <c r="U19" s="14" t="str">
        <f>VLOOKUP(K19,[1]Lookups!$B$3:$C$142,2,FALSE)</f>
        <v>E-commerce &amp; Retail</v>
      </c>
      <c r="V19" s="14">
        <f t="shared" si="1"/>
        <v>2012</v>
      </c>
      <c r="W19" s="14">
        <f t="shared" si="2"/>
        <v>2</v>
      </c>
      <c r="X19" s="14">
        <f>VLOOKUP(W19,[1]Lookups!$P$3:$S$15,2,FALSE)</f>
        <v>1</v>
      </c>
      <c r="Y19" s="16">
        <f>VLOOKUP(W19,[1]Lookups!$P$3:$U$15,3,FALSE)</f>
        <v>1</v>
      </c>
      <c r="Z19" s="16">
        <f t="shared" si="3"/>
        <v>1</v>
      </c>
      <c r="AA19" s="16" t="str">
        <f t="shared" ca="1" si="28"/>
        <v>First Light Ventures</v>
      </c>
      <c r="AB19" s="16">
        <f t="shared" si="28"/>
        <v>0</v>
      </c>
      <c r="AC19" s="16">
        <f t="shared" si="28"/>
        <v>0</v>
      </c>
      <c r="AD19" s="16">
        <f t="shared" si="28"/>
        <v>0</v>
      </c>
      <c r="AE19" s="16">
        <f t="shared" si="28"/>
        <v>0</v>
      </c>
      <c r="AF19" s="16">
        <f t="shared" si="28"/>
        <v>0</v>
      </c>
      <c r="AG19" s="16">
        <f t="shared" si="28"/>
        <v>0</v>
      </c>
      <c r="AH19" s="16">
        <f t="shared" si="28"/>
        <v>0</v>
      </c>
      <c r="AI19" s="16">
        <f t="shared" si="28"/>
        <v>0</v>
      </c>
      <c r="AJ19" s="16">
        <f t="shared" si="28"/>
        <v>0</v>
      </c>
      <c r="AK19" s="16">
        <f t="shared" si="28"/>
        <v>0</v>
      </c>
      <c r="AL19" s="16">
        <f t="shared" si="28"/>
        <v>0</v>
      </c>
      <c r="AM19" s="16">
        <f t="shared" si="28"/>
        <v>0</v>
      </c>
      <c r="AN19" s="16">
        <f t="shared" si="28"/>
        <v>0</v>
      </c>
      <c r="AO19" s="16">
        <f t="shared" si="28"/>
        <v>0</v>
      </c>
      <c r="AP19" s="10"/>
      <c r="AQ19" s="10"/>
      <c r="AR19" s="10"/>
      <c r="AS19" s="10" t="str">
        <f t="shared" ref="AS19" ca="1" si="34">IFERROR(__xludf.DUMMYFUNCTION("split(F7,"","",true,true)"),"First Light Ventures")</f>
        <v>First Light Ventures</v>
      </c>
      <c r="AT19" s="10"/>
      <c r="AU19" s="10"/>
      <c r="AV19" s="10"/>
      <c r="AW19" s="10"/>
      <c r="AX19" s="10"/>
      <c r="AY19" s="10"/>
      <c r="AZ19" s="10"/>
      <c r="BA19" s="10"/>
      <c r="BB19" s="10"/>
      <c r="BC19" s="10"/>
      <c r="BD19" s="10"/>
      <c r="BE19" s="10"/>
      <c r="BF19" s="10"/>
      <c r="BG19" s="10"/>
      <c r="BH19" s="10"/>
      <c r="BI19" s="10"/>
      <c r="BJ19" s="10"/>
      <c r="BK19" s="10"/>
      <c r="BM19" s="10"/>
    </row>
    <row r="20" spans="1:65" ht="15.75" customHeight="1">
      <c r="A20" s="18">
        <v>40968</v>
      </c>
      <c r="B20" s="14" t="s">
        <v>88</v>
      </c>
      <c r="C20" s="19">
        <v>4000000</v>
      </c>
      <c r="D20" s="19"/>
      <c r="E20" s="14" t="s">
        <v>69</v>
      </c>
      <c r="F20" s="20" t="s">
        <v>89</v>
      </c>
      <c r="G20" s="21" t="s">
        <v>90</v>
      </c>
      <c r="H20" s="14" t="str">
        <f t="array" ref="H20">IFERROR(INDEX([1]Companies!$G:$G,MATCH(B20,[1]Companies!$A:$A,0)),"")</f>
        <v>Zambia</v>
      </c>
      <c r="I20" s="14" t="str">
        <f t="shared" si="29"/>
        <v>Zambia</v>
      </c>
      <c r="J20" s="14" t="str">
        <f t="array" ref="J20">IFERROR(INDEX([1]Companies!$Y:$Y,MATCH(B20,[1]Companies!$A:$A,0)),"")</f>
        <v>Mobile Money Transfer, Fintech</v>
      </c>
      <c r="K20" s="14" t="str">
        <f t="array" ref="K20">IFERROR(INDEX([1]Companies!$X:$X,MATCH(B20,[1]Companies!$A:$A,0)),"")</f>
        <v>Financial Services</v>
      </c>
      <c r="L20" s="14" t="str">
        <f>VLOOKUP(B20,[1]Companies!$A$1:$C$5243,1,FALSE)</f>
        <v>Zoona</v>
      </c>
      <c r="M20" s="15">
        <f t="shared" si="0"/>
        <v>0.9</v>
      </c>
      <c r="N20" s="10" t="str">
        <f t="shared" si="30"/>
        <v>40968Zoona4000000</v>
      </c>
      <c r="O20" s="14" t="str">
        <f t="shared" si="31"/>
        <v/>
      </c>
      <c r="P20" s="14">
        <f t="shared" si="32"/>
        <v>1</v>
      </c>
      <c r="Q20" s="14">
        <f t="array" ref="Q20">IFERROR(INDEX([1]Companies!$D:$D,MATCH(B20,[1]Companies!$A:$A,0)),"")</f>
        <v>2009</v>
      </c>
      <c r="R20" s="17">
        <f t="shared" si="33"/>
        <v>19500000</v>
      </c>
      <c r="S20" s="14">
        <f>VLOOKUP(I20,[1]Lookups!$V$3:$Y$197,4,FALSE)</f>
        <v>0</v>
      </c>
      <c r="T20" s="14" t="str">
        <f>VLOOKUP(E20,[1]Lookups!$H$3:$I$71,2,FALSE)</f>
        <v>3. Early Venture</v>
      </c>
      <c r="U20" s="14" t="str">
        <f>VLOOKUP(K20,[1]Lookups!$B$3:$C$142,2,FALSE)</f>
        <v>Financial Services</v>
      </c>
      <c r="V20" s="14">
        <f t="shared" si="1"/>
        <v>2012</v>
      </c>
      <c r="W20" s="14">
        <f t="shared" si="2"/>
        <v>2</v>
      </c>
      <c r="X20" s="14">
        <f>VLOOKUP(W20,[1]Lookups!$P$3:$S$15,2,FALSE)</f>
        <v>1</v>
      </c>
      <c r="Y20" s="16">
        <f>VLOOKUP(W20,[1]Lookups!$P$3:$U$15,3,FALSE)</f>
        <v>1</v>
      </c>
      <c r="Z20" s="16">
        <f t="shared" si="3"/>
        <v>2</v>
      </c>
      <c r="AA20" s="16" t="str">
        <f t="shared" ca="1" si="28"/>
        <v>First Light Ventures</v>
      </c>
      <c r="AB20" s="16" t="str">
        <f t="shared" ca="1" si="28"/>
        <v xml:space="preserve"> Omidyar Network</v>
      </c>
      <c r="AC20" s="16">
        <f t="shared" si="28"/>
        <v>0</v>
      </c>
      <c r="AD20" s="16">
        <f t="shared" si="28"/>
        <v>0</v>
      </c>
      <c r="AE20" s="16">
        <f t="shared" si="28"/>
        <v>0</v>
      </c>
      <c r="AF20" s="16">
        <f t="shared" si="28"/>
        <v>0</v>
      </c>
      <c r="AG20" s="16">
        <f t="shared" si="28"/>
        <v>0</v>
      </c>
      <c r="AH20" s="16">
        <f t="shared" si="28"/>
        <v>0</v>
      </c>
      <c r="AI20" s="16">
        <f t="shared" si="28"/>
        <v>0</v>
      </c>
      <c r="AJ20" s="16">
        <f t="shared" si="28"/>
        <v>0</v>
      </c>
      <c r="AK20" s="16">
        <f t="shared" si="28"/>
        <v>0</v>
      </c>
      <c r="AL20" s="16">
        <f t="shared" si="28"/>
        <v>0</v>
      </c>
      <c r="AM20" s="16">
        <f t="shared" si="28"/>
        <v>0</v>
      </c>
      <c r="AN20" s="16">
        <f t="shared" si="28"/>
        <v>0</v>
      </c>
      <c r="AO20" s="16">
        <f t="shared" si="28"/>
        <v>0</v>
      </c>
      <c r="AP20" s="10"/>
      <c r="AQ20" s="10"/>
      <c r="AR20" s="10"/>
      <c r="AS20" s="10" t="str">
        <f t="shared" ref="AS20" ca="1" si="35">IFERROR(__xludf.DUMMYFUNCTION("split(F7,"","",true,true)"),"First Light Ventures")</f>
        <v>First Light Ventures</v>
      </c>
      <c r="AT20" s="10" t="str">
        <f ca="1">IFERROR(__xludf.DUMMYFUNCTION("""COMPUTED_VALUE""")," Omidyar Network")</f>
        <v xml:space="preserve"> Omidyar Network</v>
      </c>
      <c r="AU20" s="10"/>
      <c r="AV20" s="10"/>
      <c r="AW20" s="10"/>
      <c r="AX20" s="10"/>
      <c r="AY20" s="10"/>
      <c r="AZ20" s="10"/>
      <c r="BA20" s="10"/>
      <c r="BB20" s="10"/>
      <c r="BC20" s="10"/>
      <c r="BD20" s="10"/>
      <c r="BE20" s="10"/>
      <c r="BF20" s="10"/>
      <c r="BG20" s="10"/>
      <c r="BH20" s="10"/>
      <c r="BI20" s="10"/>
      <c r="BJ20" s="10"/>
      <c r="BK20" s="10"/>
      <c r="BM20" s="10"/>
    </row>
    <row r="21" spans="1:65" ht="15.75" customHeight="1">
      <c r="A21" s="18">
        <v>40968</v>
      </c>
      <c r="B21" s="14" t="s">
        <v>88</v>
      </c>
      <c r="C21" s="19">
        <v>500000</v>
      </c>
      <c r="D21" s="19"/>
      <c r="E21" s="14" t="s">
        <v>91</v>
      </c>
      <c r="F21" s="24" t="s">
        <v>92</v>
      </c>
      <c r="G21" s="21" t="s">
        <v>90</v>
      </c>
      <c r="H21" s="14" t="str">
        <f t="array" ref="H21">IFERROR(INDEX([1]Companies!$G:$G,MATCH(B21,[1]Companies!$A:$A,0)),"")</f>
        <v>Zambia</v>
      </c>
      <c r="I21" s="14" t="str">
        <f t="shared" si="29"/>
        <v>Zambia</v>
      </c>
      <c r="J21" s="14" t="str">
        <f t="array" ref="J21">IFERROR(INDEX([1]Companies!$Y:$Y,MATCH(B21,[1]Companies!$A:$A,0)),"")</f>
        <v>Mobile Money Transfer, Fintech</v>
      </c>
      <c r="K21" s="14" t="str">
        <f t="array" ref="K21">IFERROR(INDEX([1]Companies!$X:$X,MATCH(B21,[1]Companies!$A:$A,0)),"")</f>
        <v>Financial Services</v>
      </c>
      <c r="L21" s="14" t="str">
        <f>VLOOKUP(B21,[1]Companies!$A$1:$C$5243,1,FALSE)</f>
        <v>Zoona</v>
      </c>
      <c r="M21" s="15">
        <f t="shared" si="0"/>
        <v>0.9</v>
      </c>
      <c r="N21" s="10" t="str">
        <f t="shared" si="30"/>
        <v>40968Zoona500000</v>
      </c>
      <c r="O21" s="14" t="str">
        <f t="shared" si="31"/>
        <v/>
      </c>
      <c r="P21" s="14">
        <f t="shared" si="32"/>
        <v>1</v>
      </c>
      <c r="Q21" s="14">
        <f t="array" ref="Q21">IFERROR(INDEX([1]Companies!$D:$D,MATCH(B21,[1]Companies!$A:$A,0)),"")</f>
        <v>2009</v>
      </c>
      <c r="R21" s="17">
        <f t="shared" si="33"/>
        <v>19500000</v>
      </c>
      <c r="S21" s="14">
        <f>VLOOKUP(I21,[1]Lookups!$V$3:$Y$197,4,FALSE)</f>
        <v>0</v>
      </c>
      <c r="T21" s="14" t="str">
        <f>VLOOKUP(E21,[1]Lookups!$H$3:$I$71,2,FALSE)</f>
        <v>5. Debt Financing</v>
      </c>
      <c r="U21" s="14" t="str">
        <f>VLOOKUP(K21,[1]Lookups!$B$3:$C$142,2,FALSE)</f>
        <v>Financial Services</v>
      </c>
      <c r="V21" s="14">
        <f t="shared" si="1"/>
        <v>2012</v>
      </c>
      <c r="W21" s="14">
        <f t="shared" si="2"/>
        <v>2</v>
      </c>
      <c r="X21" s="14">
        <f>VLOOKUP(W21,[1]Lookups!$P$3:$S$15,2,FALSE)</f>
        <v>1</v>
      </c>
      <c r="Y21" s="16">
        <f>VLOOKUP(W21,[1]Lookups!$P$3:$U$15,3,FALSE)</f>
        <v>1</v>
      </c>
      <c r="Z21" s="16">
        <f t="shared" si="3"/>
        <v>1</v>
      </c>
      <c r="AA21" s="16" t="str">
        <f t="shared" ca="1" si="28"/>
        <v>First Light Ventures</v>
      </c>
      <c r="AB21" s="16">
        <f t="shared" si="28"/>
        <v>0</v>
      </c>
      <c r="AC21" s="16">
        <f t="shared" si="28"/>
        <v>0</v>
      </c>
      <c r="AD21" s="16">
        <f t="shared" si="28"/>
        <v>0</v>
      </c>
      <c r="AE21" s="16">
        <f t="shared" si="28"/>
        <v>0</v>
      </c>
      <c r="AF21" s="16">
        <f t="shared" si="28"/>
        <v>0</v>
      </c>
      <c r="AG21" s="16">
        <f t="shared" si="28"/>
        <v>0</v>
      </c>
      <c r="AH21" s="16">
        <f t="shared" si="28"/>
        <v>0</v>
      </c>
      <c r="AI21" s="16">
        <f t="shared" si="28"/>
        <v>0</v>
      </c>
      <c r="AJ21" s="16">
        <f t="shared" si="28"/>
        <v>0</v>
      </c>
      <c r="AK21" s="16">
        <f t="shared" si="28"/>
        <v>0</v>
      </c>
      <c r="AL21" s="16">
        <f t="shared" si="28"/>
        <v>0</v>
      </c>
      <c r="AM21" s="16">
        <f t="shared" si="28"/>
        <v>0</v>
      </c>
      <c r="AN21" s="16">
        <f t="shared" si="28"/>
        <v>0</v>
      </c>
      <c r="AO21" s="16">
        <f t="shared" si="28"/>
        <v>0</v>
      </c>
      <c r="AP21" s="10"/>
      <c r="AQ21" s="10"/>
      <c r="AR21" s="10"/>
      <c r="AS21" s="10" t="str">
        <f t="shared" ref="AS21" ca="1" si="36">IFERROR(__xludf.DUMMYFUNCTION("split(F7,"","",true,true)"),"First Light Ventures")</f>
        <v>First Light Ventures</v>
      </c>
      <c r="AT21" s="10"/>
      <c r="AU21" s="10"/>
      <c r="AV21" s="10"/>
      <c r="AW21" s="10"/>
      <c r="AX21" s="10"/>
      <c r="AY21" s="10"/>
      <c r="AZ21" s="10"/>
      <c r="BA21" s="10"/>
      <c r="BB21" s="10"/>
      <c r="BC21" s="10"/>
      <c r="BD21" s="10"/>
      <c r="BE21" s="10"/>
      <c r="BF21" s="10"/>
      <c r="BG21" s="10"/>
      <c r="BH21" s="10"/>
      <c r="BI21" s="10"/>
      <c r="BJ21" s="10"/>
      <c r="BK21" s="10"/>
      <c r="BM21" s="10"/>
    </row>
    <row r="22" spans="1:65" ht="15.75" customHeight="1">
      <c r="A22" s="18">
        <v>41000</v>
      </c>
      <c r="B22" s="14" t="s">
        <v>93</v>
      </c>
      <c r="C22" s="19">
        <v>20000</v>
      </c>
      <c r="D22" s="22"/>
      <c r="E22" s="14" t="s">
        <v>45</v>
      </c>
      <c r="F22" s="14" t="s">
        <v>94</v>
      </c>
      <c r="G22" s="21" t="s">
        <v>95</v>
      </c>
      <c r="H22" s="14" t="str">
        <f t="array" ref="H22">IFERROR(INDEX([1]Companies!$G:$G,MATCH(B22,[1]Companies!$A:$A,0)),"")</f>
        <v>Kenya</v>
      </c>
      <c r="I22" s="14" t="str">
        <f t="shared" si="29"/>
        <v>Kenya</v>
      </c>
      <c r="J22" s="14" t="str">
        <f t="array" ref="J22">IFERROR(INDEX([1]Companies!$Y:$Y,MATCH(B22,[1]Companies!$A:$A,0)),"")</f>
        <v>Developer APIs, Information Technology, Mobile, Telecommunications</v>
      </c>
      <c r="K22" s="14" t="str">
        <f t="array" ref="K22">IFERROR(INDEX([1]Companies!$X:$X,MATCH(B22,[1]Companies!$A:$A,0)),"")</f>
        <v>Information Technology</v>
      </c>
      <c r="L22" s="14" t="str">
        <f>VLOOKUP(B22,[1]Companies!$A$1:$C$5243,1,FALSE)</f>
        <v>Africa's Talking</v>
      </c>
      <c r="M22" s="15">
        <f t="shared" si="0"/>
        <v>0.9</v>
      </c>
      <c r="N22" s="10" t="str">
        <f t="shared" si="30"/>
        <v>41000Africa's Talking20000</v>
      </c>
      <c r="O22" s="14" t="str">
        <f t="shared" si="31"/>
        <v/>
      </c>
      <c r="P22" s="14">
        <f t="shared" si="32"/>
        <v>1</v>
      </c>
      <c r="Q22" s="14">
        <f t="array" ref="Q22">IFERROR(INDEX([1]Companies!$D:$D,MATCH(B22,[1]Companies!$A:$A,0)),"")</f>
        <v>2010</v>
      </c>
      <c r="R22" s="17">
        <f t="shared" si="33"/>
        <v>8620000</v>
      </c>
      <c r="S22" s="14">
        <f>VLOOKUP(I22,[1]Lookups!$V$3:$Y$197,4,FALSE)</f>
        <v>0</v>
      </c>
      <c r="T22" s="14" t="str">
        <f>VLOOKUP(E22,[1]Lookups!$H$3:$I$71,2,FALSE)</f>
        <v>2. Seed</v>
      </c>
      <c r="U22" s="14" t="str">
        <f>VLOOKUP(K22,[1]Lookups!$B$3:$C$142,2,FALSE)</f>
        <v>Other Technologies &amp; Information Technology</v>
      </c>
      <c r="V22" s="14">
        <f t="shared" si="1"/>
        <v>2012</v>
      </c>
      <c r="W22" s="14">
        <f t="shared" si="2"/>
        <v>4</v>
      </c>
      <c r="X22" s="14">
        <f>VLOOKUP(W22,[1]Lookups!$P$3:$S$15,2,FALSE)</f>
        <v>2</v>
      </c>
      <c r="Y22" s="16">
        <f>VLOOKUP(W22,[1]Lookups!$P$3:$U$15,3,FALSE)</f>
        <v>1</v>
      </c>
      <c r="Z22" s="16">
        <f t="shared" si="3"/>
        <v>1</v>
      </c>
      <c r="AA22" s="16" t="str">
        <f t="shared" ca="1" si="28"/>
        <v>First Light Ventures</v>
      </c>
      <c r="AB22" s="16">
        <f t="shared" si="28"/>
        <v>0</v>
      </c>
      <c r="AC22" s="16">
        <f t="shared" si="28"/>
        <v>0</v>
      </c>
      <c r="AD22" s="16">
        <f t="shared" si="28"/>
        <v>0</v>
      </c>
      <c r="AE22" s="16">
        <f t="shared" si="28"/>
        <v>0</v>
      </c>
      <c r="AF22" s="16">
        <f t="shared" si="28"/>
        <v>0</v>
      </c>
      <c r="AG22" s="16">
        <f t="shared" si="28"/>
        <v>0</v>
      </c>
      <c r="AH22" s="16">
        <f t="shared" si="28"/>
        <v>0</v>
      </c>
      <c r="AI22" s="16">
        <f t="shared" si="28"/>
        <v>0</v>
      </c>
      <c r="AJ22" s="16">
        <f t="shared" si="28"/>
        <v>0</v>
      </c>
      <c r="AK22" s="16">
        <f t="shared" si="28"/>
        <v>0</v>
      </c>
      <c r="AL22" s="16">
        <f t="shared" si="28"/>
        <v>0</v>
      </c>
      <c r="AM22" s="16">
        <f t="shared" si="28"/>
        <v>0</v>
      </c>
      <c r="AN22" s="16">
        <f t="shared" si="28"/>
        <v>0</v>
      </c>
      <c r="AO22" s="16">
        <f t="shared" si="28"/>
        <v>0</v>
      </c>
      <c r="AP22" s="10"/>
      <c r="AQ22" s="10"/>
      <c r="AR22" s="10"/>
      <c r="AS22" s="10" t="str">
        <f t="shared" ref="AS22" ca="1" si="37">IFERROR(__xludf.DUMMYFUNCTION("split(F7,"","",true,true)"),"First Light Ventures")</f>
        <v>First Light Ventures</v>
      </c>
      <c r="AT22" s="10"/>
      <c r="AU22" s="10"/>
      <c r="AV22" s="10"/>
      <c r="AW22" s="10"/>
      <c r="AX22" s="10"/>
      <c r="AY22" s="10"/>
      <c r="AZ22" s="10"/>
      <c r="BA22" s="10"/>
      <c r="BB22" s="10"/>
      <c r="BC22" s="10"/>
      <c r="BD22" s="10"/>
      <c r="BE22" s="10"/>
      <c r="BF22" s="10"/>
      <c r="BG22" s="10"/>
      <c r="BH22" s="10"/>
      <c r="BI22" s="10"/>
      <c r="BJ22" s="10"/>
      <c r="BK22" s="10"/>
      <c r="BM22" s="10"/>
    </row>
    <row r="23" spans="1:65" ht="15.75" customHeight="1">
      <c r="A23" s="9">
        <v>41081</v>
      </c>
      <c r="B23" s="10" t="s">
        <v>61</v>
      </c>
      <c r="C23" s="11">
        <v>9000000</v>
      </c>
      <c r="D23" s="12"/>
      <c r="E23" s="10" t="s">
        <v>69</v>
      </c>
      <c r="F23" s="10" t="s">
        <v>96</v>
      </c>
      <c r="G23" s="13" t="s">
        <v>97</v>
      </c>
      <c r="H23" s="14" t="str">
        <f t="array" ref="H23">IFERROR(INDEX([1]Companies!$G:$G,MATCH(B23,[1]Companies!$A:$A,0)),"")</f>
        <v>Nigeria</v>
      </c>
      <c r="I23" s="14" t="str">
        <f t="shared" si="29"/>
        <v>Nigeria</v>
      </c>
      <c r="J23" s="14" t="str">
        <f t="array" ref="J23">IFERROR(INDEX([1]Companies!$Y:$Y,MATCH(B23,[1]Companies!$A:$A,0)),"")</f>
        <v>Money Transfer, Airtime, Bill Payments, and SME Business</v>
      </c>
      <c r="K23" s="14" t="str">
        <f t="array" ref="K23">IFERROR(INDEX([1]Companies!$X:$X,MATCH(B23,[1]Companies!$A:$A,0)),"")</f>
        <v>Financial Services</v>
      </c>
      <c r="L23" s="14" t="str">
        <f>VLOOKUP(B23,[1]Companies!$A$1:$C$5243,1,FALSE)</f>
        <v>Paga</v>
      </c>
      <c r="M23" s="15">
        <f t="shared" si="0"/>
        <v>0.9</v>
      </c>
      <c r="N23" s="10" t="str">
        <f t="shared" si="30"/>
        <v>41081Paga9000000</v>
      </c>
      <c r="O23" s="14" t="str">
        <f t="shared" si="31"/>
        <v/>
      </c>
      <c r="P23" s="14">
        <f t="shared" si="32"/>
        <v>1</v>
      </c>
      <c r="Q23" s="14">
        <f t="array" ref="Q23">IFERROR(INDEX([1]Companies!$D:$D,MATCH(B23,[1]Companies!$A:$A,0)),"")</f>
        <v>2009</v>
      </c>
      <c r="R23" s="17">
        <f t="shared" si="33"/>
        <v>32700000</v>
      </c>
      <c r="S23" s="14">
        <f>VLOOKUP(I23,[1]Lookups!$V$3:$Y$197,4,FALSE)</f>
        <v>0</v>
      </c>
      <c r="T23" s="14" t="str">
        <f>VLOOKUP(E23,[1]Lookups!$H$3:$I$71,2,FALSE)</f>
        <v>3. Early Venture</v>
      </c>
      <c r="U23" s="14" t="str">
        <f>VLOOKUP(K23,[1]Lookups!$B$3:$C$142,2,FALSE)</f>
        <v>Financial Services</v>
      </c>
      <c r="V23" s="14">
        <f t="shared" si="1"/>
        <v>2012</v>
      </c>
      <c r="W23" s="14">
        <f t="shared" si="2"/>
        <v>6</v>
      </c>
      <c r="X23" s="14">
        <f>VLOOKUP(W23,[1]Lookups!$P$3:$S$15,2,FALSE)</f>
        <v>2</v>
      </c>
      <c r="Y23" s="16">
        <f>VLOOKUP(W23,[1]Lookups!$P$3:$U$15,3,FALSE)</f>
        <v>1</v>
      </c>
      <c r="Z23" s="16">
        <f t="shared" si="3"/>
        <v>5</v>
      </c>
      <c r="AA23" s="16" t="str">
        <f t="shared" ca="1" si="28"/>
        <v>First Light Ventures</v>
      </c>
      <c r="AB23" s="16" t="str">
        <f t="shared" ca="1" si="28"/>
        <v xml:space="preserve"> Goodwell Investments</v>
      </c>
      <c r="AC23" s="16" t="str">
        <f t="shared" ca="1" si="28"/>
        <v xml:space="preserve"> Capricorn Investment Group</v>
      </c>
      <c r="AD23" s="16" t="str">
        <f t="shared" ca="1" si="28"/>
        <v xml:space="preserve"> Adlevo Capital</v>
      </c>
      <c r="AE23" s="16" t="str">
        <f t="shared" ca="1" si="28"/>
        <v xml:space="preserve"> Acumen</v>
      </c>
      <c r="AF23" s="16">
        <f t="shared" si="28"/>
        <v>0</v>
      </c>
      <c r="AG23" s="16">
        <f t="shared" si="28"/>
        <v>0</v>
      </c>
      <c r="AH23" s="16">
        <f t="shared" si="28"/>
        <v>0</v>
      </c>
      <c r="AI23" s="16">
        <f t="shared" si="28"/>
        <v>0</v>
      </c>
      <c r="AJ23" s="16">
        <f t="shared" si="28"/>
        <v>0</v>
      </c>
      <c r="AK23" s="16">
        <f t="shared" si="28"/>
        <v>0</v>
      </c>
      <c r="AL23" s="16">
        <f t="shared" si="28"/>
        <v>0</v>
      </c>
      <c r="AM23" s="16">
        <f t="shared" si="28"/>
        <v>0</v>
      </c>
      <c r="AN23" s="16">
        <f t="shared" si="28"/>
        <v>0</v>
      </c>
      <c r="AO23" s="16">
        <f t="shared" si="28"/>
        <v>0</v>
      </c>
      <c r="AP23" s="10"/>
      <c r="AQ23" s="10"/>
      <c r="AR23" s="10"/>
      <c r="AS23" s="10" t="str">
        <f t="shared" ref="AS23" ca="1" si="38">IFERROR(__xludf.DUMMYFUNCTION("split(F7,"","",true,true)"),"First Light Ventures")</f>
        <v>First Light Ventures</v>
      </c>
      <c r="AT23" s="10" t="str">
        <f ca="1">IFERROR(__xludf.DUMMYFUNCTION("""COMPUTED_VALUE""")," Goodwell Investments")</f>
        <v xml:space="preserve"> Goodwell Investments</v>
      </c>
      <c r="AU23" s="10" t="str">
        <f ca="1">IFERROR(__xludf.DUMMYFUNCTION("""COMPUTED_VALUE""")," Capricorn Investment Group")</f>
        <v xml:space="preserve"> Capricorn Investment Group</v>
      </c>
      <c r="AV23" s="10" t="str">
        <f ca="1">IFERROR(__xludf.DUMMYFUNCTION("""COMPUTED_VALUE""")," Adlevo Capital")</f>
        <v xml:space="preserve"> Adlevo Capital</v>
      </c>
      <c r="AW23" s="10" t="str">
        <f ca="1">IFERROR(__xludf.DUMMYFUNCTION("""COMPUTED_VALUE""")," Acumen")</f>
        <v xml:space="preserve"> Acumen</v>
      </c>
      <c r="AX23" s="10"/>
      <c r="AY23" s="10"/>
      <c r="AZ23" s="10"/>
      <c r="BA23" s="10"/>
      <c r="BB23" s="10"/>
      <c r="BC23" s="10"/>
      <c r="BD23" s="10"/>
      <c r="BE23" s="10"/>
      <c r="BF23" s="10"/>
      <c r="BG23" s="10"/>
      <c r="BH23" s="10"/>
      <c r="BI23" s="10"/>
      <c r="BJ23" s="10"/>
      <c r="BK23" s="10"/>
      <c r="BM23" s="10"/>
    </row>
    <row r="24" spans="1:65" ht="15.75" customHeight="1">
      <c r="A24" s="9">
        <v>41136</v>
      </c>
      <c r="B24" s="10" t="s">
        <v>44</v>
      </c>
      <c r="C24" s="11">
        <v>2000000</v>
      </c>
      <c r="D24" s="12"/>
      <c r="E24" s="10" t="s">
        <v>69</v>
      </c>
      <c r="F24" s="10" t="s">
        <v>98</v>
      </c>
      <c r="G24" s="13" t="s">
        <v>99</v>
      </c>
      <c r="H24" s="14"/>
      <c r="I24" s="14"/>
      <c r="J24" s="14"/>
      <c r="K24" s="14"/>
      <c r="L24" s="14"/>
      <c r="M24" s="15"/>
      <c r="N24" s="10"/>
      <c r="O24" s="14"/>
      <c r="P24" s="14"/>
      <c r="Q24" s="14"/>
      <c r="R24" s="14"/>
      <c r="S24" s="14"/>
      <c r="T24" s="14"/>
      <c r="U24" s="14"/>
      <c r="V24" s="14">
        <f t="shared" si="1"/>
        <v>2012</v>
      </c>
      <c r="W24" s="14">
        <f t="shared" si="2"/>
        <v>8</v>
      </c>
      <c r="X24" s="14">
        <f>VLOOKUP(W24,[1]Lookups!$P$3:$S$15,2,FALSE)</f>
        <v>3</v>
      </c>
      <c r="Y24" s="16">
        <f>VLOOKUP(W24,[1]Lookups!$P$3:$U$15,3,FALSE)</f>
        <v>2</v>
      </c>
      <c r="Z24" s="16">
        <f t="shared" si="3"/>
        <v>1</v>
      </c>
      <c r="AA24" s="16" t="str">
        <f t="shared" ca="1" si="28"/>
        <v>#REF!</v>
      </c>
      <c r="AB24" s="16">
        <f t="shared" si="28"/>
        <v>0</v>
      </c>
      <c r="AC24" s="16">
        <f t="shared" si="28"/>
        <v>0</v>
      </c>
      <c r="AD24" s="16">
        <f t="shared" si="28"/>
        <v>0</v>
      </c>
      <c r="AE24" s="16">
        <f t="shared" si="28"/>
        <v>0</v>
      </c>
      <c r="AF24" s="16">
        <f t="shared" si="28"/>
        <v>0</v>
      </c>
      <c r="AG24" s="16">
        <f t="shared" si="28"/>
        <v>0</v>
      </c>
      <c r="AH24" s="16">
        <f t="shared" si="28"/>
        <v>0</v>
      </c>
      <c r="AI24" s="16">
        <f t="shared" si="28"/>
        <v>0</v>
      </c>
      <c r="AJ24" s="16">
        <f t="shared" si="28"/>
        <v>0</v>
      </c>
      <c r="AK24" s="16">
        <f t="shared" si="28"/>
        <v>0</v>
      </c>
      <c r="AL24" s="16">
        <f t="shared" si="28"/>
        <v>0</v>
      </c>
      <c r="AM24" s="16">
        <f t="shared" si="28"/>
        <v>0</v>
      </c>
      <c r="AN24" s="16">
        <f t="shared" si="28"/>
        <v>0</v>
      </c>
      <c r="AO24" s="16">
        <f t="shared" si="28"/>
        <v>0</v>
      </c>
      <c r="AP24" s="10"/>
      <c r="AQ24" s="10"/>
      <c r="AR24" s="10"/>
      <c r="AS24" s="10" t="str">
        <f ca="1">IFERROR(__xludf.DUMMYFUNCTION("split(#REF!,"","",true,true)"),"#REF!")</f>
        <v>#REF!</v>
      </c>
      <c r="AT24" s="10"/>
      <c r="AU24" s="10"/>
      <c r="AV24" s="10"/>
      <c r="AW24" s="10"/>
      <c r="AX24" s="10"/>
      <c r="AY24" s="10"/>
      <c r="AZ24" s="10"/>
      <c r="BA24" s="10"/>
      <c r="BB24" s="10"/>
      <c r="BC24" s="10"/>
      <c r="BD24" s="10"/>
      <c r="BE24" s="10"/>
      <c r="BF24" s="10"/>
      <c r="BG24" s="10"/>
      <c r="BH24" s="10"/>
      <c r="BI24" s="10"/>
      <c r="BJ24" s="10"/>
      <c r="BK24" s="10"/>
      <c r="BM24" s="10"/>
    </row>
    <row r="25" spans="1:65" ht="12.75">
      <c r="A25" s="18">
        <v>41180</v>
      </c>
      <c r="B25" s="14" t="s">
        <v>100</v>
      </c>
      <c r="C25" s="19" t="s">
        <v>49</v>
      </c>
      <c r="D25" s="22"/>
      <c r="E25" s="14" t="s">
        <v>69</v>
      </c>
      <c r="F25" s="14" t="s">
        <v>101</v>
      </c>
      <c r="G25" s="21" t="s">
        <v>102</v>
      </c>
      <c r="H25" s="14" t="str">
        <f t="array" ref="H25">IFERROR(INDEX([1]Companies!$G:$G,MATCH(B25,[1]Companies!$A:$A,0)),"")</f>
        <v>South Africa</v>
      </c>
      <c r="I25" s="14" t="str">
        <f t="shared" ref="I25:I29" si="39">IF(LEN(TRIM(H25))-LEN(SUBSTITUTE(TRIM(H25),",","")) &gt; 0,TRIM(RIGHT(H25,LEN(H25)-FIND(",",H25))),H25)</f>
        <v>South Africa</v>
      </c>
      <c r="J25" s="14" t="str">
        <f t="array" ref="J25">IFERROR(INDEX([1]Companies!$Y:$Y,MATCH(B25,[1]Companies!$A:$A,0)),"")</f>
        <v>E-Commerce, Fashion, Wearables</v>
      </c>
      <c r="K25" s="14" t="str">
        <f t="array" ref="K25">IFERROR(INDEX([1]Companies!$X:$X,MATCH(B25,[1]Companies!$A:$A,0)),"")</f>
        <v>E-Commerce &amp; Retail</v>
      </c>
      <c r="L25" s="14" t="str">
        <f>VLOOKUP(B25,[1]Companies!$A$1:$C$5243,1,FALSE)</f>
        <v>Zando</v>
      </c>
      <c r="M25" s="15">
        <f t="shared" ref="M25:M29" si="40">COUNTA(B25:K25)/(COUNTBLANK(B25:K25) + COUNTA(B25:K25))</f>
        <v>0.9</v>
      </c>
      <c r="N25" s="10" t="str">
        <f t="shared" ref="N25:N29" si="41">CONCATENATE(A25,B25,C25)</f>
        <v>41180ZandoUndisclosed</v>
      </c>
      <c r="O25" s="14" t="str">
        <f t="shared" ref="O25:O29" si="42">IF(A25 = "","",IF(COUNTIF(N:N,CONCATENATE(A25,B25,C25))&gt;1,"Duplicated",""))</f>
        <v/>
      </c>
      <c r="P25" s="14">
        <f t="shared" ref="P25:P29" si="43">IF(C25="Undisclosed",0,1)</f>
        <v>0</v>
      </c>
      <c r="Q25" s="14">
        <f t="array" ref="Q25">IFERROR(INDEX([1]Companies!$D:$D,MATCH(B25,[1]Companies!$A:$A,0)),"")</f>
        <v>2011</v>
      </c>
      <c r="R25" s="17">
        <f t="shared" ref="R25:R29" si="44">SUMIF(B:B,B25,C:C)</f>
        <v>23000000</v>
      </c>
      <c r="S25" s="14">
        <f>VLOOKUP(I25,[1]Lookups!$V$3:$Y$197,4,FALSE)</f>
        <v>0</v>
      </c>
      <c r="T25" s="14" t="str">
        <f>VLOOKUP(E25,[1]Lookups!$H$3:$I$71,2,FALSE)</f>
        <v>3. Early Venture</v>
      </c>
      <c r="U25" s="14" t="str">
        <f>VLOOKUP(K25,[1]Lookups!$B$3:$C$142,2,FALSE)</f>
        <v>E-commerce &amp; Retail</v>
      </c>
      <c r="V25" s="14">
        <f t="shared" si="1"/>
        <v>2012</v>
      </c>
      <c r="W25" s="14">
        <f t="shared" si="2"/>
        <v>9</v>
      </c>
      <c r="X25" s="14">
        <f>VLOOKUP(W25,[1]Lookups!$P$3:$S$15,2,FALSE)</f>
        <v>3</v>
      </c>
      <c r="Y25" s="16">
        <f>VLOOKUP(W25,[1]Lookups!$P$3:$U$15,3,FALSE)</f>
        <v>2</v>
      </c>
      <c r="Z25" s="16">
        <f t="shared" si="3"/>
        <v>1</v>
      </c>
      <c r="AA25" s="16" t="str">
        <f t="shared" ca="1" si="28"/>
        <v>J.P. Morgan Asset Management</v>
      </c>
      <c r="AB25" s="16">
        <f t="shared" si="28"/>
        <v>0</v>
      </c>
      <c r="AC25" s="16">
        <f t="shared" si="28"/>
        <v>0</v>
      </c>
      <c r="AD25" s="16">
        <f t="shared" si="28"/>
        <v>0</v>
      </c>
      <c r="AE25" s="16">
        <f t="shared" si="28"/>
        <v>0</v>
      </c>
      <c r="AF25" s="16">
        <f t="shared" si="28"/>
        <v>0</v>
      </c>
      <c r="AG25" s="16">
        <f t="shared" si="28"/>
        <v>0</v>
      </c>
      <c r="AH25" s="16">
        <f t="shared" si="28"/>
        <v>0</v>
      </c>
      <c r="AI25" s="16">
        <f t="shared" si="28"/>
        <v>0</v>
      </c>
      <c r="AJ25" s="16">
        <f t="shared" si="28"/>
        <v>0</v>
      </c>
      <c r="AK25" s="16">
        <f t="shared" si="28"/>
        <v>0</v>
      </c>
      <c r="AL25" s="16">
        <f t="shared" si="28"/>
        <v>0</v>
      </c>
      <c r="AM25" s="16">
        <f t="shared" si="28"/>
        <v>0</v>
      </c>
      <c r="AN25" s="16">
        <f t="shared" si="28"/>
        <v>0</v>
      </c>
      <c r="AO25" s="16">
        <f t="shared" si="28"/>
        <v>0</v>
      </c>
      <c r="AP25" s="10"/>
      <c r="AQ25" s="10"/>
      <c r="AR25" s="10"/>
      <c r="AS25" s="10" t="str">
        <f t="shared" ref="AS25" ca="1" si="45">IFERROR(__xludf.DUMMYFUNCTION("split(F25,"","",true,true)"),"J.P. Morgan Asset Management")</f>
        <v>J.P. Morgan Asset Management</v>
      </c>
      <c r="AT25" s="10"/>
      <c r="AU25" s="10"/>
      <c r="AV25" s="10"/>
      <c r="AW25" s="10"/>
      <c r="AX25" s="10"/>
      <c r="AY25" s="10"/>
      <c r="AZ25" s="10"/>
      <c r="BA25" s="10"/>
      <c r="BB25" s="10"/>
      <c r="BC25" s="10"/>
      <c r="BD25" s="10"/>
      <c r="BE25" s="10"/>
      <c r="BF25" s="10"/>
      <c r="BG25" s="10"/>
      <c r="BH25" s="10"/>
      <c r="BI25" s="10"/>
      <c r="BJ25" s="10"/>
      <c r="BK25" s="10"/>
      <c r="BM25" s="10"/>
    </row>
    <row r="26" spans="1:65" ht="12.75">
      <c r="A26" s="9">
        <v>41183</v>
      </c>
      <c r="B26" s="10" t="s">
        <v>103</v>
      </c>
      <c r="C26" s="11" t="s">
        <v>49</v>
      </c>
      <c r="D26" s="12"/>
      <c r="E26" s="10" t="s">
        <v>48</v>
      </c>
      <c r="F26" s="10" t="s">
        <v>104</v>
      </c>
      <c r="G26" s="13" t="s">
        <v>105</v>
      </c>
      <c r="H26" s="14" t="str">
        <f t="array" ref="H26">IFERROR(INDEX([1]Companies!$G:$G,MATCH(B26,[1]Companies!$A:$A,0)),"")</f>
        <v>Egypt</v>
      </c>
      <c r="I26" s="14" t="str">
        <f t="shared" si="39"/>
        <v>Egypt</v>
      </c>
      <c r="J26" s="14" t="str">
        <f t="array" ref="J26">IFERROR(INDEX([1]Companies!$Y:$Y,MATCH(B26,[1]Companies!$A:$A,0)),"")</f>
        <v>E-Commerce, Information Technology, Price Comparison</v>
      </c>
      <c r="K26" s="14" t="str">
        <f t="array" ref="K26">IFERROR(INDEX([1]Companies!$X:$X,MATCH(B26,[1]Companies!$A:$A,0)),"")</f>
        <v>Information Technology</v>
      </c>
      <c r="L26" s="14" t="str">
        <f>VLOOKUP(B26,[1]Companies!$A$1:$C$5243,1,FALSE)</f>
        <v>Bkam</v>
      </c>
      <c r="M26" s="15">
        <f t="shared" si="40"/>
        <v>0.9</v>
      </c>
      <c r="N26" s="10" t="str">
        <f t="shared" si="41"/>
        <v>41183BkamUndisclosed</v>
      </c>
      <c r="O26" s="14" t="str">
        <f t="shared" si="42"/>
        <v/>
      </c>
      <c r="P26" s="14">
        <f t="shared" si="43"/>
        <v>0</v>
      </c>
      <c r="Q26" s="14">
        <f t="array" ref="Q26">IFERROR(INDEX([1]Companies!$D:$D,MATCH(B26,[1]Companies!$A:$A,0)),"")</f>
        <v>2012</v>
      </c>
      <c r="R26" s="17">
        <f t="shared" si="44"/>
        <v>500000</v>
      </c>
      <c r="S26" s="14">
        <f>VLOOKUP(I26,[1]Lookups!$V$3:$Y$197,4,FALSE)</f>
        <v>0</v>
      </c>
      <c r="T26" s="14" t="str">
        <f>VLOOKUP(E26,[1]Lookups!$H$3:$I$71,2,FALSE)</f>
        <v>2. Seed</v>
      </c>
      <c r="U26" s="14" t="str">
        <f>VLOOKUP(K26,[1]Lookups!$B$3:$C$142,2,FALSE)</f>
        <v>Other Technologies &amp; Information Technology</v>
      </c>
      <c r="V26" s="14">
        <f t="shared" si="1"/>
        <v>2012</v>
      </c>
      <c r="W26" s="14">
        <f t="shared" si="2"/>
        <v>10</v>
      </c>
      <c r="X26" s="14">
        <f>VLOOKUP(W26,[1]Lookups!$P$3:$S$15,2,FALSE)</f>
        <v>4</v>
      </c>
      <c r="Y26" s="16">
        <f>VLOOKUP(W26,[1]Lookups!$P$3:$U$15,3,FALSE)</f>
        <v>2</v>
      </c>
      <c r="Z26" s="16">
        <f t="shared" si="3"/>
        <v>1</v>
      </c>
      <c r="AA26" s="16" t="str">
        <f t="shared" ca="1" si="28"/>
        <v>J.P. Morgan Asset Management</v>
      </c>
      <c r="AB26" s="16">
        <f t="shared" si="28"/>
        <v>0</v>
      </c>
      <c r="AC26" s="16">
        <f t="shared" si="28"/>
        <v>0</v>
      </c>
      <c r="AD26" s="16">
        <f t="shared" si="28"/>
        <v>0</v>
      </c>
      <c r="AE26" s="16">
        <f t="shared" si="28"/>
        <v>0</v>
      </c>
      <c r="AF26" s="16">
        <f t="shared" si="28"/>
        <v>0</v>
      </c>
      <c r="AG26" s="16">
        <f t="shared" si="28"/>
        <v>0</v>
      </c>
      <c r="AH26" s="16">
        <f t="shared" si="28"/>
        <v>0</v>
      </c>
      <c r="AI26" s="16">
        <f t="shared" si="28"/>
        <v>0</v>
      </c>
      <c r="AJ26" s="16">
        <f t="shared" si="28"/>
        <v>0</v>
      </c>
      <c r="AK26" s="16">
        <f t="shared" si="28"/>
        <v>0</v>
      </c>
      <c r="AL26" s="16">
        <f t="shared" si="28"/>
        <v>0</v>
      </c>
      <c r="AM26" s="16">
        <f t="shared" si="28"/>
        <v>0</v>
      </c>
      <c r="AN26" s="16">
        <f t="shared" si="28"/>
        <v>0</v>
      </c>
      <c r="AO26" s="16">
        <f t="shared" si="28"/>
        <v>0</v>
      </c>
      <c r="AP26" s="10"/>
      <c r="AQ26" s="10"/>
      <c r="AR26" s="10"/>
      <c r="AS26" s="10" t="str">
        <f t="shared" ref="AS26" ca="1" si="46">IFERROR(__xludf.DUMMYFUNCTION("split(F25,"","",true,true)"),"J.P. Morgan Asset Management")</f>
        <v>J.P. Morgan Asset Management</v>
      </c>
      <c r="AT26" s="10"/>
      <c r="AU26" s="10"/>
      <c r="AV26" s="10"/>
      <c r="AW26" s="10"/>
      <c r="AX26" s="10"/>
      <c r="AY26" s="10"/>
      <c r="AZ26" s="10"/>
      <c r="BA26" s="10"/>
      <c r="BB26" s="10"/>
      <c r="BC26" s="10"/>
      <c r="BD26" s="10"/>
      <c r="BE26" s="10"/>
      <c r="BF26" s="10"/>
      <c r="BG26" s="10"/>
      <c r="BH26" s="10"/>
      <c r="BI26" s="10"/>
      <c r="BJ26" s="10"/>
      <c r="BK26" s="10"/>
      <c r="BM26" s="10"/>
    </row>
    <row r="27" spans="1:65" ht="12.75">
      <c r="A27" s="18">
        <v>41183</v>
      </c>
      <c r="B27" s="14" t="s">
        <v>106</v>
      </c>
      <c r="C27" s="19">
        <v>600000</v>
      </c>
      <c r="D27" s="19"/>
      <c r="E27" s="14" t="s">
        <v>69</v>
      </c>
      <c r="F27" s="14" t="s">
        <v>107</v>
      </c>
      <c r="G27" s="21" t="s">
        <v>108</v>
      </c>
      <c r="H27" s="14" t="str">
        <f t="array" ref="H27">IFERROR(INDEX([1]Companies!$G:$G,MATCH(B27,[1]Companies!$A:$A,0)),"")</f>
        <v>South Africa</v>
      </c>
      <c r="I27" s="14" t="str">
        <f t="shared" si="39"/>
        <v>South Africa</v>
      </c>
      <c r="J27" s="14" t="str">
        <f t="array" ref="J27">IFERROR(INDEX([1]Companies!$Y:$Y,MATCH(B27,[1]Companies!$A:$A,0)),"")</f>
        <v>Mobile, Payments, Telecommunications</v>
      </c>
      <c r="K27" s="14" t="str">
        <f t="array" ref="K27">IFERROR(INDEX([1]Companies!$X:$X,MATCH(B27,[1]Companies!$A:$A,0)),"")</f>
        <v>Financial Services</v>
      </c>
      <c r="L27" s="14" t="str">
        <f>VLOOKUP(B27,[1]Companies!$A$1:$C$5243,1,FALSE)</f>
        <v>Nomanini</v>
      </c>
      <c r="M27" s="15">
        <f t="shared" si="40"/>
        <v>0.9</v>
      </c>
      <c r="N27" s="10" t="str">
        <f t="shared" si="41"/>
        <v>41183Nomanini600000</v>
      </c>
      <c r="O27" s="14" t="str">
        <f t="shared" si="42"/>
        <v/>
      </c>
      <c r="P27" s="14">
        <f t="shared" si="43"/>
        <v>1</v>
      </c>
      <c r="Q27" s="14">
        <f t="array" ref="Q27">IFERROR(INDEX([1]Companies!$D:$D,MATCH(B27,[1]Companies!$A:$A,0)),"")</f>
        <v>2011</v>
      </c>
      <c r="R27" s="17">
        <f t="shared" si="44"/>
        <v>5050000</v>
      </c>
      <c r="S27" s="14">
        <f>VLOOKUP(I27,[1]Lookups!$V$3:$Y$197,4,FALSE)</f>
        <v>0</v>
      </c>
      <c r="T27" s="14" t="str">
        <f>VLOOKUP(E27,[1]Lookups!$H$3:$I$71,2,FALSE)</f>
        <v>3. Early Venture</v>
      </c>
      <c r="U27" s="14" t="str">
        <f>VLOOKUP(K27,[1]Lookups!$B$3:$C$142,2,FALSE)</f>
        <v>Financial Services</v>
      </c>
      <c r="V27" s="14">
        <f t="shared" si="1"/>
        <v>2012</v>
      </c>
      <c r="W27" s="14">
        <f t="shared" si="2"/>
        <v>10</v>
      </c>
      <c r="X27" s="14">
        <f>VLOOKUP(W27,[1]Lookups!$P$3:$S$15,2,FALSE)</f>
        <v>4</v>
      </c>
      <c r="Y27" s="16">
        <f>VLOOKUP(W27,[1]Lookups!$P$3:$U$15,3,FALSE)</f>
        <v>2</v>
      </c>
      <c r="Z27" s="16">
        <f t="shared" si="3"/>
        <v>1</v>
      </c>
      <c r="AA27" s="16" t="str">
        <f t="shared" ca="1" si="28"/>
        <v>J.P. Morgan Asset Management</v>
      </c>
      <c r="AB27" s="16">
        <f t="shared" si="28"/>
        <v>0</v>
      </c>
      <c r="AC27" s="16">
        <f t="shared" si="28"/>
        <v>0</v>
      </c>
      <c r="AD27" s="16">
        <f t="shared" si="28"/>
        <v>0</v>
      </c>
      <c r="AE27" s="16">
        <f t="shared" si="28"/>
        <v>0</v>
      </c>
      <c r="AF27" s="16">
        <f t="shared" si="28"/>
        <v>0</v>
      </c>
      <c r="AG27" s="16">
        <f t="shared" si="28"/>
        <v>0</v>
      </c>
      <c r="AH27" s="16">
        <f t="shared" si="28"/>
        <v>0</v>
      </c>
      <c r="AI27" s="16">
        <f t="shared" si="28"/>
        <v>0</v>
      </c>
      <c r="AJ27" s="16">
        <f t="shared" si="28"/>
        <v>0</v>
      </c>
      <c r="AK27" s="16">
        <f t="shared" si="28"/>
        <v>0</v>
      </c>
      <c r="AL27" s="16">
        <f t="shared" si="28"/>
        <v>0</v>
      </c>
      <c r="AM27" s="16">
        <f t="shared" si="28"/>
        <v>0</v>
      </c>
      <c r="AN27" s="16">
        <f t="shared" si="28"/>
        <v>0</v>
      </c>
      <c r="AO27" s="16">
        <f t="shared" si="28"/>
        <v>0</v>
      </c>
      <c r="AP27" s="10"/>
      <c r="AQ27" s="10"/>
      <c r="AR27" s="10"/>
      <c r="AS27" s="10" t="str">
        <f t="shared" ref="AS27" ca="1" si="47">IFERROR(__xludf.DUMMYFUNCTION("split(F25,"","",true,true)"),"J.P. Morgan Asset Management")</f>
        <v>J.P. Morgan Asset Management</v>
      </c>
      <c r="AT27" s="10"/>
      <c r="AU27" s="10"/>
      <c r="AV27" s="10"/>
      <c r="AW27" s="10"/>
      <c r="AX27" s="10"/>
      <c r="AY27" s="10"/>
      <c r="AZ27" s="10"/>
      <c r="BA27" s="10"/>
      <c r="BB27" s="10"/>
      <c r="BC27" s="10"/>
      <c r="BD27" s="10"/>
      <c r="BE27" s="10"/>
      <c r="BF27" s="10"/>
      <c r="BG27" s="10"/>
      <c r="BH27" s="10"/>
      <c r="BI27" s="10"/>
      <c r="BJ27" s="10"/>
      <c r="BK27" s="10"/>
      <c r="BM27" s="10"/>
    </row>
    <row r="28" spans="1:65" ht="12.75">
      <c r="A28" s="9">
        <v>41183</v>
      </c>
      <c r="B28" s="10" t="s">
        <v>109</v>
      </c>
      <c r="C28" s="11">
        <v>10000</v>
      </c>
      <c r="D28" s="12"/>
      <c r="E28" s="10" t="s">
        <v>45</v>
      </c>
      <c r="F28" s="10" t="s">
        <v>110</v>
      </c>
      <c r="G28" s="13" t="s">
        <v>111</v>
      </c>
      <c r="H28" s="14" t="str">
        <f t="array" ref="H28">IFERROR(INDEX([1]Companies!$G:$G,MATCH(B28,[1]Companies!$A:$A,0)),"")</f>
        <v>Egypt</v>
      </c>
      <c r="I28" s="14" t="str">
        <f t="shared" si="39"/>
        <v>Egypt</v>
      </c>
      <c r="J28" s="14" t="str">
        <f t="array" ref="J28">IFERROR(INDEX([1]Companies!$Y:$Y,MATCH(B28,[1]Companies!$A:$A,0)),"")</f>
        <v>Services, Gigs</v>
      </c>
      <c r="K28" s="14" t="str">
        <f t="array" ref="K28">IFERROR(INDEX([1]Companies!$X:$X,MATCH(B28,[1]Companies!$A:$A,0)),"")</f>
        <v>E-Commerce &amp; Retail</v>
      </c>
      <c r="L28" s="14" t="str">
        <f>VLOOKUP(B28,[1]Companies!$A$1:$C$5243,1,FALSE)</f>
        <v>Taskty</v>
      </c>
      <c r="M28" s="15">
        <f t="shared" si="40"/>
        <v>0.9</v>
      </c>
      <c r="N28" s="10" t="str">
        <f t="shared" si="41"/>
        <v>41183Taskty10000</v>
      </c>
      <c r="O28" s="14" t="str">
        <f t="shared" si="42"/>
        <v/>
      </c>
      <c r="P28" s="14">
        <f t="shared" si="43"/>
        <v>1</v>
      </c>
      <c r="Q28" s="14">
        <f t="array" ref="Q28">IFERROR(INDEX([1]Companies!$D:$D,MATCH(B28,[1]Companies!$A:$A,0)),"")</f>
        <v>2012</v>
      </c>
      <c r="R28" s="17">
        <f t="shared" si="44"/>
        <v>510000</v>
      </c>
      <c r="S28" s="14">
        <f>VLOOKUP(I28,[1]Lookups!$V$3:$Y$197,4,FALSE)</f>
        <v>0</v>
      </c>
      <c r="T28" s="14" t="str">
        <f>VLOOKUP(E28,[1]Lookups!$H$3:$I$71,2,FALSE)</f>
        <v>2. Seed</v>
      </c>
      <c r="U28" s="14" t="str">
        <f>VLOOKUP(K28,[1]Lookups!$B$3:$C$142,2,FALSE)</f>
        <v>E-commerce &amp; Retail</v>
      </c>
      <c r="V28" s="14">
        <f t="shared" si="1"/>
        <v>2012</v>
      </c>
      <c r="W28" s="14">
        <f t="shared" si="2"/>
        <v>10</v>
      </c>
      <c r="X28" s="14">
        <f>VLOOKUP(W28,[1]Lookups!$P$3:$S$15,2,FALSE)</f>
        <v>4</v>
      </c>
      <c r="Y28" s="16">
        <f>VLOOKUP(W28,[1]Lookups!$P$3:$U$15,3,FALSE)</f>
        <v>2</v>
      </c>
      <c r="Z28" s="16">
        <f t="shared" si="3"/>
        <v>1</v>
      </c>
      <c r="AA28" s="16" t="str">
        <f t="shared" ca="1" si="28"/>
        <v>J.P. Morgan Asset Management</v>
      </c>
      <c r="AB28" s="16">
        <f t="shared" si="28"/>
        <v>0</v>
      </c>
      <c r="AC28" s="16">
        <f t="shared" si="28"/>
        <v>0</v>
      </c>
      <c r="AD28" s="16">
        <f t="shared" si="28"/>
        <v>0</v>
      </c>
      <c r="AE28" s="16">
        <f t="shared" si="28"/>
        <v>0</v>
      </c>
      <c r="AF28" s="16">
        <f t="shared" si="28"/>
        <v>0</v>
      </c>
      <c r="AG28" s="16">
        <f t="shared" si="28"/>
        <v>0</v>
      </c>
      <c r="AH28" s="16">
        <f t="shared" si="28"/>
        <v>0</v>
      </c>
      <c r="AI28" s="16">
        <f t="shared" si="28"/>
        <v>0</v>
      </c>
      <c r="AJ28" s="16">
        <f t="shared" si="28"/>
        <v>0</v>
      </c>
      <c r="AK28" s="16">
        <f t="shared" si="28"/>
        <v>0</v>
      </c>
      <c r="AL28" s="16">
        <f t="shared" si="28"/>
        <v>0</v>
      </c>
      <c r="AM28" s="16">
        <f t="shared" si="28"/>
        <v>0</v>
      </c>
      <c r="AN28" s="16">
        <f t="shared" si="28"/>
        <v>0</v>
      </c>
      <c r="AO28" s="16">
        <f t="shared" si="28"/>
        <v>0</v>
      </c>
      <c r="AP28" s="10"/>
      <c r="AQ28" s="10"/>
      <c r="AR28" s="10"/>
      <c r="AS28" s="10" t="str">
        <f t="shared" ref="AS28" ca="1" si="48">IFERROR(__xludf.DUMMYFUNCTION("split(F25,"","",true,true)"),"J.P. Morgan Asset Management")</f>
        <v>J.P. Morgan Asset Management</v>
      </c>
      <c r="AT28" s="25"/>
      <c r="AU28" s="25"/>
      <c r="AV28" s="25"/>
      <c r="AW28" s="25"/>
      <c r="AX28" s="25"/>
      <c r="AY28" s="25"/>
      <c r="AZ28" s="25"/>
      <c r="BA28" s="25"/>
      <c r="BB28" s="25"/>
      <c r="BC28" s="25"/>
      <c r="BD28" s="25"/>
      <c r="BE28" s="25"/>
      <c r="BF28" s="25"/>
      <c r="BG28" s="25"/>
      <c r="BH28" s="25"/>
      <c r="BI28" s="25"/>
      <c r="BJ28" s="25"/>
      <c r="BK28" s="25"/>
      <c r="BM28" s="25"/>
    </row>
    <row r="29" spans="1:65" ht="12.75">
      <c r="A29" s="18">
        <v>41215</v>
      </c>
      <c r="B29" s="14" t="s">
        <v>100</v>
      </c>
      <c r="C29" s="19">
        <v>23000000</v>
      </c>
      <c r="D29" s="19"/>
      <c r="E29" s="14" t="s">
        <v>112</v>
      </c>
      <c r="F29" s="14" t="s">
        <v>113</v>
      </c>
      <c r="G29" s="21" t="s">
        <v>114</v>
      </c>
      <c r="H29" s="14" t="str">
        <f t="array" ref="H29">IFERROR(INDEX([1]Companies!$G:$G,MATCH(B29,[1]Companies!$A:$A,0)),"")</f>
        <v>South Africa</v>
      </c>
      <c r="I29" s="14" t="str">
        <f t="shared" si="39"/>
        <v>South Africa</v>
      </c>
      <c r="J29" s="14" t="str">
        <f t="array" ref="J29">IFERROR(INDEX([1]Companies!$Y:$Y,MATCH(B29,[1]Companies!$A:$A,0)),"")</f>
        <v>E-Commerce, Fashion, Wearables</v>
      </c>
      <c r="K29" s="14" t="str">
        <f t="array" ref="K29">IFERROR(INDEX([1]Companies!$X:$X,MATCH(B29,[1]Companies!$A:$A,0)),"")</f>
        <v>E-Commerce &amp; Retail</v>
      </c>
      <c r="L29" s="14" t="str">
        <f>VLOOKUP(B29,[1]Companies!$A$1:$C$5243,1,FALSE)</f>
        <v>Zando</v>
      </c>
      <c r="M29" s="15">
        <f t="shared" si="40"/>
        <v>0.9</v>
      </c>
      <c r="N29" s="10" t="str">
        <f t="shared" si="41"/>
        <v>41215Zando23000000</v>
      </c>
      <c r="O29" s="14" t="str">
        <f t="shared" si="42"/>
        <v/>
      </c>
      <c r="P29" s="14">
        <f t="shared" si="43"/>
        <v>1</v>
      </c>
      <c r="Q29" s="14">
        <f t="array" ref="Q29">IFERROR(INDEX([1]Companies!$D:$D,MATCH(B29,[1]Companies!$A:$A,0)),"")</f>
        <v>2011</v>
      </c>
      <c r="R29" s="17">
        <f t="shared" si="44"/>
        <v>23000000</v>
      </c>
      <c r="S29" s="14">
        <f>VLOOKUP(I29,[1]Lookups!$V$3:$Y$197,4,FALSE)</f>
        <v>0</v>
      </c>
      <c r="T29" s="14" t="str">
        <f>VLOOKUP(E29,[1]Lookups!$H$3:$I$71,2,FALSE)</f>
        <v>3. Early Venture</v>
      </c>
      <c r="U29" s="14" t="str">
        <f>VLOOKUP(K29,[1]Lookups!$B$3:$C$142,2,FALSE)</f>
        <v>E-commerce &amp; Retail</v>
      </c>
      <c r="V29" s="14">
        <f t="shared" si="1"/>
        <v>2012</v>
      </c>
      <c r="W29" s="14">
        <f t="shared" si="2"/>
        <v>11</v>
      </c>
      <c r="X29" s="14">
        <f>VLOOKUP(W29,[1]Lookups!$P$3:$S$15,2,FALSE)</f>
        <v>4</v>
      </c>
      <c r="Y29" s="16">
        <f>VLOOKUP(W29,[1]Lookups!$P$3:$U$15,3,FALSE)</f>
        <v>2</v>
      </c>
      <c r="Z29" s="16">
        <f t="shared" si="3"/>
        <v>1</v>
      </c>
      <c r="AA29" s="16" t="str">
        <f t="shared" ca="1" si="28"/>
        <v>J.P. Morgan Asset Management</v>
      </c>
      <c r="AB29" s="16">
        <f t="shared" si="28"/>
        <v>0</v>
      </c>
      <c r="AC29" s="16">
        <f t="shared" si="28"/>
        <v>0</v>
      </c>
      <c r="AD29" s="16">
        <f t="shared" si="28"/>
        <v>0</v>
      </c>
      <c r="AE29" s="16">
        <f t="shared" si="28"/>
        <v>0</v>
      </c>
      <c r="AF29" s="16">
        <f t="shared" si="28"/>
        <v>0</v>
      </c>
      <c r="AG29" s="16">
        <f t="shared" si="28"/>
        <v>0</v>
      </c>
      <c r="AH29" s="16">
        <f t="shared" si="28"/>
        <v>0</v>
      </c>
      <c r="AI29" s="16">
        <f t="shared" si="28"/>
        <v>0</v>
      </c>
      <c r="AJ29" s="16">
        <f t="shared" si="28"/>
        <v>0</v>
      </c>
      <c r="AK29" s="16">
        <f t="shared" si="28"/>
        <v>0</v>
      </c>
      <c r="AL29" s="16">
        <f t="shared" si="28"/>
        <v>0</v>
      </c>
      <c r="AM29" s="16">
        <f t="shared" si="28"/>
        <v>0</v>
      </c>
      <c r="AN29" s="16">
        <f t="shared" si="28"/>
        <v>0</v>
      </c>
      <c r="AO29" s="16">
        <f t="shared" si="28"/>
        <v>0</v>
      </c>
      <c r="AP29" s="10"/>
      <c r="AQ29" s="10"/>
      <c r="AR29" s="10"/>
      <c r="AS29" s="10" t="str">
        <f t="shared" ref="AS29" ca="1" si="49">IFERROR(__xludf.DUMMYFUNCTION("split(F25,"","",true,true)"),"J.P. Morgan Asset Management")</f>
        <v>J.P. Morgan Asset Management</v>
      </c>
      <c r="AT29" s="10"/>
      <c r="AU29" s="10"/>
      <c r="AV29" s="10"/>
      <c r="AW29" s="10"/>
      <c r="AX29" s="10"/>
      <c r="AY29" s="10"/>
      <c r="AZ29" s="10"/>
      <c r="BA29" s="10"/>
      <c r="BB29" s="10"/>
      <c r="BC29" s="10"/>
      <c r="BD29" s="10"/>
      <c r="BE29" s="10"/>
      <c r="BF29" s="10"/>
      <c r="BG29" s="10"/>
      <c r="BH29" s="10"/>
      <c r="BI29" s="10"/>
      <c r="BJ29" s="10"/>
      <c r="BK29" s="10"/>
      <c r="BM29" s="10"/>
    </row>
    <row r="30" spans="1:65" ht="12.75">
      <c r="A30" s="9">
        <v>41234</v>
      </c>
      <c r="B30" s="10" t="s">
        <v>44</v>
      </c>
      <c r="C30" s="11">
        <v>4300000</v>
      </c>
      <c r="D30" s="12"/>
      <c r="E30" s="10" t="s">
        <v>115</v>
      </c>
      <c r="F30" s="10" t="s">
        <v>116</v>
      </c>
      <c r="G30" s="13" t="s">
        <v>117</v>
      </c>
      <c r="H30" s="14"/>
      <c r="I30" s="14"/>
      <c r="J30" s="14"/>
      <c r="K30" s="14"/>
      <c r="L30" s="14"/>
      <c r="M30" s="15"/>
      <c r="N30" s="10"/>
      <c r="O30" s="14"/>
      <c r="P30" s="14"/>
      <c r="Q30" s="14"/>
      <c r="R30" s="14"/>
      <c r="S30" s="14"/>
      <c r="T30" s="14"/>
      <c r="U30" s="14"/>
      <c r="V30" s="14">
        <f t="shared" si="1"/>
        <v>2012</v>
      </c>
      <c r="W30" s="14">
        <f t="shared" si="2"/>
        <v>11</v>
      </c>
      <c r="X30" s="14">
        <f>VLOOKUP(W30,[1]Lookups!$P$3:$S$15,2,FALSE)</f>
        <v>4</v>
      </c>
      <c r="Y30" s="16">
        <f>VLOOKUP(W30,[1]Lookups!$P$3:$U$15,3,FALSE)</f>
        <v>2</v>
      </c>
      <c r="Z30" s="16">
        <f t="shared" si="3"/>
        <v>4</v>
      </c>
      <c r="AA30" s="16" t="str">
        <f t="shared" ca="1" si="28"/>
        <v>#REF!</v>
      </c>
      <c r="AB30" s="16">
        <f t="shared" si="28"/>
        <v>0</v>
      </c>
      <c r="AC30" s="16">
        <f t="shared" si="28"/>
        <v>0</v>
      </c>
      <c r="AD30" s="16">
        <f t="shared" si="28"/>
        <v>0</v>
      </c>
      <c r="AE30" s="16">
        <f t="shared" si="28"/>
        <v>0</v>
      </c>
      <c r="AF30" s="16">
        <f t="shared" si="28"/>
        <v>0</v>
      </c>
      <c r="AG30" s="16">
        <f t="shared" si="28"/>
        <v>0</v>
      </c>
      <c r="AH30" s="16">
        <f t="shared" si="28"/>
        <v>0</v>
      </c>
      <c r="AI30" s="16">
        <f t="shared" si="28"/>
        <v>0</v>
      </c>
      <c r="AJ30" s="16">
        <f t="shared" si="28"/>
        <v>0</v>
      </c>
      <c r="AK30" s="16">
        <f t="shared" si="28"/>
        <v>0</v>
      </c>
      <c r="AL30" s="16">
        <f t="shared" si="28"/>
        <v>0</v>
      </c>
      <c r="AM30" s="16">
        <f t="shared" si="28"/>
        <v>0</v>
      </c>
      <c r="AN30" s="16">
        <f t="shared" si="28"/>
        <v>0</v>
      </c>
      <c r="AO30" s="16">
        <f t="shared" si="28"/>
        <v>0</v>
      </c>
      <c r="AP30" s="10"/>
      <c r="AQ30" s="10"/>
      <c r="AR30" s="10"/>
      <c r="AS30" s="10" t="str">
        <f ca="1">IFERROR(__xludf.DUMMYFUNCTION("split(#REF!,"","",true,true)"),"#REF!")</f>
        <v>#REF!</v>
      </c>
      <c r="AT30" s="10"/>
      <c r="AU30" s="10"/>
      <c r="AV30" s="10"/>
      <c r="AW30" s="10"/>
      <c r="AX30" s="10"/>
      <c r="AY30" s="10"/>
      <c r="AZ30" s="10"/>
      <c r="BA30" s="10"/>
      <c r="BB30" s="10"/>
      <c r="BC30" s="10"/>
      <c r="BD30" s="10"/>
      <c r="BE30" s="10"/>
      <c r="BF30" s="10"/>
      <c r="BG30" s="10"/>
      <c r="BH30" s="10"/>
      <c r="BI30" s="10"/>
      <c r="BJ30" s="10"/>
      <c r="BK30" s="10"/>
      <c r="BM30" s="10"/>
    </row>
    <row r="31" spans="1:65" ht="12.75">
      <c r="A31" s="9">
        <v>41244</v>
      </c>
      <c r="B31" s="10" t="s">
        <v>68</v>
      </c>
      <c r="C31" s="11" t="s">
        <v>49</v>
      </c>
      <c r="D31" s="12"/>
      <c r="E31" s="10" t="s">
        <v>112</v>
      </c>
      <c r="F31" s="10" t="s">
        <v>49</v>
      </c>
      <c r="G31" s="13" t="s">
        <v>118</v>
      </c>
      <c r="H31" s="14" t="str">
        <f t="array" ref="H31">IFERROR(INDEX([1]Companies!$G:$G,MATCH(B31,[1]Companies!$A:$A,0)),"")</f>
        <v>Kenya</v>
      </c>
      <c r="I31" s="14" t="str">
        <f t="shared" ref="I31:I38" si="50">IF(LEN(TRIM(H31))-LEN(SUBSTITUTE(TRIM(H31),",","")) &gt; 0,TRIM(RIGHT(H31,LEN(H31)-FIND(",",H31))),H31)</f>
        <v>Kenya</v>
      </c>
      <c r="J31" s="14" t="str">
        <f t="array" ref="J31">IFERROR(INDEX([1]Companies!$Y:$Y,MATCH(B31,[1]Companies!$A:$A,0)),"")</f>
        <v>Energy, Financial Services, Mobile</v>
      </c>
      <c r="K31" s="14" t="str">
        <f t="array" ref="K31">IFERROR(INDEX([1]Companies!$X:$X,MATCH(B31,[1]Companies!$A:$A,0)),"")</f>
        <v>Energy &amp; Environment Resources</v>
      </c>
      <c r="L31" s="14" t="str">
        <f>VLOOKUP(B31,[1]Companies!$A$1:$C$5243,1,FALSE)</f>
        <v>M-Kopa</v>
      </c>
      <c r="M31" s="15">
        <f t="shared" ref="M31:M38" si="51">COUNTA(B31:K31)/(COUNTBLANK(B31:K31) + COUNTA(B31:K31))</f>
        <v>0.9</v>
      </c>
      <c r="N31" s="10" t="str">
        <f t="shared" ref="N31:N38" si="52">CONCATENATE(A31,B31,C31)</f>
        <v>41244M-KOPAUndisclosed</v>
      </c>
      <c r="O31" s="14" t="str">
        <f t="shared" ref="O31:O38" si="53">IF(A31 = "","",IF(COUNTIF(N:N,CONCATENATE(A31,B31,C31))&gt;1,"Duplicated",""))</f>
        <v/>
      </c>
      <c r="P31" s="14">
        <f t="shared" ref="P31:P38" si="54">IF(C31="Undisclosed",0,1)</f>
        <v>0</v>
      </c>
      <c r="Q31" s="14">
        <f t="array" ref="Q31">IFERROR(INDEX([1]Companies!$D:$D,MATCH(B31,[1]Companies!$A:$A,0)),"")</f>
        <v>2011</v>
      </c>
      <c r="R31" s="17">
        <f t="shared" ref="R31:R38" si="55">SUMIF(B:B,B31,C:C)</f>
        <v>161800000</v>
      </c>
      <c r="S31" s="14">
        <f>VLOOKUP(I31,[1]Lookups!$V$3:$Y$197,4,FALSE)</f>
        <v>0</v>
      </c>
      <c r="T31" s="14" t="str">
        <f>VLOOKUP(E31,[1]Lookups!$H$3:$I$71,2,FALSE)</f>
        <v>3. Early Venture</v>
      </c>
      <c r="U31" s="14" t="e">
        <f>VLOOKUP(K31,[1]Lookups!$B$3:$C$142,2,FALSE)</f>
        <v>#N/A</v>
      </c>
      <c r="V31" s="14">
        <f t="shared" si="1"/>
        <v>2012</v>
      </c>
      <c r="W31" s="14">
        <f t="shared" si="2"/>
        <v>12</v>
      </c>
      <c r="X31" s="14">
        <f>VLOOKUP(W31,[1]Lookups!$P$3:$S$15,2,FALSE)</f>
        <v>4</v>
      </c>
      <c r="Y31" s="16">
        <f>VLOOKUP(W31,[1]Lookups!$P$3:$U$15,3,FALSE)</f>
        <v>2</v>
      </c>
      <c r="Z31" s="16">
        <f t="shared" si="3"/>
        <v>1</v>
      </c>
      <c r="AA31" s="16" t="str">
        <f t="shared" ca="1" si="28"/>
        <v>Undisclosed</v>
      </c>
      <c r="AB31" s="16">
        <f t="shared" si="28"/>
        <v>0</v>
      </c>
      <c r="AC31" s="16">
        <f t="shared" si="28"/>
        <v>0</v>
      </c>
      <c r="AD31" s="16">
        <f t="shared" si="28"/>
        <v>0</v>
      </c>
      <c r="AE31" s="16">
        <f t="shared" si="28"/>
        <v>0</v>
      </c>
      <c r="AF31" s="16">
        <f t="shared" si="28"/>
        <v>0</v>
      </c>
      <c r="AG31" s="16">
        <f t="shared" si="28"/>
        <v>0</v>
      </c>
      <c r="AH31" s="16">
        <f t="shared" si="28"/>
        <v>0</v>
      </c>
      <c r="AI31" s="16">
        <f t="shared" si="28"/>
        <v>0</v>
      </c>
      <c r="AJ31" s="16">
        <f t="shared" si="28"/>
        <v>0</v>
      </c>
      <c r="AK31" s="16">
        <f t="shared" si="28"/>
        <v>0</v>
      </c>
      <c r="AL31" s="16">
        <f t="shared" si="28"/>
        <v>0</v>
      </c>
      <c r="AM31" s="16">
        <f t="shared" si="28"/>
        <v>0</v>
      </c>
      <c r="AN31" s="16">
        <f t="shared" si="28"/>
        <v>0</v>
      </c>
      <c r="AO31" s="16">
        <f t="shared" si="28"/>
        <v>0</v>
      </c>
      <c r="AP31" s="10"/>
      <c r="AQ31" s="10"/>
      <c r="AR31" s="10"/>
      <c r="AS31" s="10" t="str">
        <f t="shared" ref="AS31" ca="1" si="56">IFERROR(__xludf.DUMMYFUNCTION("split(F31,"","",true,true)"),"Undisclosed")</f>
        <v>Undisclosed</v>
      </c>
      <c r="AT31" s="10"/>
      <c r="AU31" s="10"/>
      <c r="AV31" s="10"/>
      <c r="AW31" s="10"/>
      <c r="AX31" s="10"/>
      <c r="AY31" s="10"/>
      <c r="AZ31" s="10"/>
      <c r="BA31" s="10"/>
      <c r="BB31" s="10"/>
      <c r="BC31" s="10"/>
      <c r="BD31" s="10"/>
      <c r="BE31" s="10"/>
      <c r="BF31" s="10"/>
      <c r="BG31" s="10"/>
      <c r="BH31" s="10"/>
      <c r="BI31" s="10"/>
      <c r="BJ31" s="10"/>
      <c r="BK31" s="10"/>
      <c r="BM31" s="10"/>
    </row>
    <row r="32" spans="1:65" ht="12.75">
      <c r="A32" s="18">
        <v>41275</v>
      </c>
      <c r="B32" s="14" t="s">
        <v>119</v>
      </c>
      <c r="C32" s="19" t="s">
        <v>49</v>
      </c>
      <c r="D32" s="22"/>
      <c r="E32" s="14" t="s">
        <v>45</v>
      </c>
      <c r="F32" s="14" t="s">
        <v>120</v>
      </c>
      <c r="G32" s="21" t="s">
        <v>121</v>
      </c>
      <c r="H32" s="14" t="str">
        <f t="array" ref="H32">IFERROR(INDEX([1]Companies!$G:$G,MATCH(B32,[1]Companies!$A:$A,0)),"")</f>
        <v>Kenya</v>
      </c>
      <c r="I32" s="14" t="str">
        <f t="shared" si="50"/>
        <v>Kenya</v>
      </c>
      <c r="J32" s="14" t="str">
        <f t="array" ref="J32">IFERROR(INDEX([1]Companies!$Y:$Y,MATCH(B32,[1]Companies!$A:$A,0)),"")</f>
        <v>Consumer Goods, Delivery, E-Commerce</v>
      </c>
      <c r="K32" s="14" t="str">
        <f t="array" ref="K32">IFERROR(INDEX([1]Companies!$X:$X,MATCH(B32,[1]Companies!$A:$A,0)),"")</f>
        <v>E-Commerce &amp; Retail</v>
      </c>
      <c r="L32" s="14" t="str">
        <f>VLOOKUP(B32,[1]Companies!$A$1:$C$5243,1,FALSE)</f>
        <v>Copia Global</v>
      </c>
      <c r="M32" s="15">
        <f t="shared" si="51"/>
        <v>0.9</v>
      </c>
      <c r="N32" s="10" t="str">
        <f t="shared" si="52"/>
        <v>41275Copia GlobalUndisclosed</v>
      </c>
      <c r="O32" s="14" t="str">
        <f t="shared" si="53"/>
        <v/>
      </c>
      <c r="P32" s="14">
        <f t="shared" si="54"/>
        <v>0</v>
      </c>
      <c r="Q32" s="14">
        <f t="array" ref="Q32">IFERROR(INDEX([1]Companies!$D:$D,MATCH(B32,[1]Companies!$A:$A,0)),"")</f>
        <v>2012</v>
      </c>
      <c r="R32" s="17">
        <f t="shared" si="55"/>
        <v>22000000</v>
      </c>
      <c r="S32" s="14">
        <f>VLOOKUP(I32,[1]Lookups!$V$3:$Y$197,4,FALSE)</f>
        <v>0</v>
      </c>
      <c r="T32" s="14" t="str">
        <f>VLOOKUP(E32,[1]Lookups!$H$3:$I$71,2,FALSE)</f>
        <v>2. Seed</v>
      </c>
      <c r="U32" s="14" t="str">
        <f>VLOOKUP(K32,[1]Lookups!$B$3:$C$142,2,FALSE)</f>
        <v>E-commerce &amp; Retail</v>
      </c>
      <c r="V32" s="14">
        <f t="shared" si="1"/>
        <v>2013</v>
      </c>
      <c r="W32" s="14">
        <f t="shared" si="2"/>
        <v>1</v>
      </c>
      <c r="X32" s="14">
        <f>VLOOKUP(W32,[1]Lookups!$P$3:$S$15,2,FALSE)</f>
        <v>1</v>
      </c>
      <c r="Y32" s="16">
        <f>VLOOKUP(W32,[1]Lookups!$P$3:$U$15,3,FALSE)</f>
        <v>1</v>
      </c>
      <c r="Z32" s="16">
        <f t="shared" si="3"/>
        <v>3</v>
      </c>
      <c r="AA32" s="16" t="str">
        <f t="shared" ca="1" si="28"/>
        <v>Undisclosed</v>
      </c>
      <c r="AB32" s="16" t="str">
        <f t="shared" ca="1" si="28"/>
        <v xml:space="preserve"> Opes Impact Fund</v>
      </c>
      <c r="AC32" s="16" t="str">
        <f t="shared" ca="1" si="28"/>
        <v xml:space="preserve"> Data Collective DCVC</v>
      </c>
      <c r="AD32" s="16">
        <f t="shared" si="28"/>
        <v>0</v>
      </c>
      <c r="AE32" s="16">
        <f t="shared" si="28"/>
        <v>0</v>
      </c>
      <c r="AF32" s="16">
        <f t="shared" si="28"/>
        <v>0</v>
      </c>
      <c r="AG32" s="16">
        <f t="shared" si="28"/>
        <v>0</v>
      </c>
      <c r="AH32" s="16">
        <f t="shared" si="28"/>
        <v>0</v>
      </c>
      <c r="AI32" s="16">
        <f t="shared" si="28"/>
        <v>0</v>
      </c>
      <c r="AJ32" s="16">
        <f t="shared" si="28"/>
        <v>0</v>
      </c>
      <c r="AK32" s="16">
        <f t="shared" si="28"/>
        <v>0</v>
      </c>
      <c r="AL32" s="16">
        <f t="shared" si="28"/>
        <v>0</v>
      </c>
      <c r="AM32" s="16">
        <f t="shared" si="28"/>
        <v>0</v>
      </c>
      <c r="AN32" s="16">
        <f t="shared" si="28"/>
        <v>0</v>
      </c>
      <c r="AO32" s="16">
        <f t="shared" si="28"/>
        <v>0</v>
      </c>
      <c r="AP32" s="10"/>
      <c r="AQ32" s="10"/>
      <c r="AR32" s="10"/>
      <c r="AS32" s="10" t="str">
        <f t="shared" ref="AS32" ca="1" si="57">IFERROR(__xludf.DUMMYFUNCTION("split(F31,"","",true,true)"),"Undisclosed")</f>
        <v>Undisclosed</v>
      </c>
      <c r="AT32" s="10" t="str">
        <f ca="1">IFERROR(__xludf.DUMMYFUNCTION("""COMPUTED_VALUE""")," Opes Impact Fund")</f>
        <v xml:space="preserve"> Opes Impact Fund</v>
      </c>
      <c r="AU32" s="10" t="str">
        <f ca="1">IFERROR(__xludf.DUMMYFUNCTION("""COMPUTED_VALUE""")," Data Collective DCVC")</f>
        <v xml:space="preserve"> Data Collective DCVC</v>
      </c>
      <c r="AV32" s="10"/>
      <c r="AW32" s="10"/>
      <c r="AX32" s="10"/>
      <c r="AY32" s="10"/>
      <c r="AZ32" s="10"/>
      <c r="BA32" s="10"/>
      <c r="BB32" s="10"/>
      <c r="BC32" s="10"/>
      <c r="BD32" s="10"/>
      <c r="BE32" s="10"/>
      <c r="BF32" s="10"/>
      <c r="BG32" s="10"/>
      <c r="BH32" s="10"/>
      <c r="BI32" s="10"/>
      <c r="BJ32" s="10"/>
      <c r="BK32" s="10"/>
      <c r="BM32" s="10"/>
    </row>
    <row r="33" spans="1:65" ht="12.75">
      <c r="A33" s="9">
        <v>41275</v>
      </c>
      <c r="B33" s="10" t="s">
        <v>103</v>
      </c>
      <c r="C33" s="11" t="s">
        <v>49</v>
      </c>
      <c r="D33" s="12"/>
      <c r="E33" s="10" t="s">
        <v>69</v>
      </c>
      <c r="F33" s="10" t="s">
        <v>122</v>
      </c>
      <c r="G33" s="13" t="s">
        <v>123</v>
      </c>
      <c r="H33" s="14" t="str">
        <f t="array" ref="H33">IFERROR(INDEX([1]Companies!$G:$G,MATCH(B33,[1]Companies!$A:$A,0)),"")</f>
        <v>Egypt</v>
      </c>
      <c r="I33" s="14" t="str">
        <f t="shared" si="50"/>
        <v>Egypt</v>
      </c>
      <c r="J33" s="14" t="str">
        <f t="array" ref="J33">IFERROR(INDEX([1]Companies!$Y:$Y,MATCH(B33,[1]Companies!$A:$A,0)),"")</f>
        <v>E-Commerce, Information Technology, Price Comparison</v>
      </c>
      <c r="K33" s="14" t="str">
        <f t="array" ref="K33">IFERROR(INDEX([1]Companies!$X:$X,MATCH(B33,[1]Companies!$A:$A,0)),"")</f>
        <v>Information Technology</v>
      </c>
      <c r="L33" s="14" t="str">
        <f>VLOOKUP(B33,[1]Companies!$A$1:$C$5243,1,FALSE)</f>
        <v>Bkam</v>
      </c>
      <c r="M33" s="15">
        <f t="shared" si="51"/>
        <v>0.9</v>
      </c>
      <c r="N33" s="10" t="str">
        <f t="shared" si="52"/>
        <v>41275BkamUndisclosed</v>
      </c>
      <c r="O33" s="14" t="str">
        <f t="shared" si="53"/>
        <v/>
      </c>
      <c r="P33" s="14">
        <f t="shared" si="54"/>
        <v>0</v>
      </c>
      <c r="Q33" s="14">
        <f t="array" ref="Q33">IFERROR(INDEX([1]Companies!$D:$D,MATCH(B33,[1]Companies!$A:$A,0)),"")</f>
        <v>2012</v>
      </c>
      <c r="R33" s="17">
        <f t="shared" si="55"/>
        <v>500000</v>
      </c>
      <c r="S33" s="14">
        <f>VLOOKUP(I33,[1]Lookups!$V$3:$Y$197,4,FALSE)</f>
        <v>0</v>
      </c>
      <c r="T33" s="14" t="str">
        <f>VLOOKUP(E33,[1]Lookups!$H$3:$I$71,2,FALSE)</f>
        <v>3. Early Venture</v>
      </c>
      <c r="U33" s="14" t="str">
        <f>VLOOKUP(K33,[1]Lookups!$B$3:$C$142,2,FALSE)</f>
        <v>Other Technologies &amp; Information Technology</v>
      </c>
      <c r="V33" s="14">
        <f t="shared" si="1"/>
        <v>2013</v>
      </c>
      <c r="W33" s="14">
        <f t="shared" si="2"/>
        <v>1</v>
      </c>
      <c r="X33" s="14">
        <f>VLOOKUP(W33,[1]Lookups!$P$3:$S$15,2,FALSE)</f>
        <v>1</v>
      </c>
      <c r="Y33" s="16">
        <f>VLOOKUP(W33,[1]Lookups!$P$3:$U$15,3,FALSE)</f>
        <v>1</v>
      </c>
      <c r="Z33" s="16">
        <f t="shared" si="3"/>
        <v>1</v>
      </c>
      <c r="AA33" s="16" t="str">
        <f t="shared" ca="1" si="28"/>
        <v>Undisclosed</v>
      </c>
      <c r="AB33" s="16">
        <f t="shared" si="28"/>
        <v>0</v>
      </c>
      <c r="AC33" s="16">
        <f t="shared" si="28"/>
        <v>0</v>
      </c>
      <c r="AD33" s="16">
        <f t="shared" si="28"/>
        <v>0</v>
      </c>
      <c r="AE33" s="16">
        <f t="shared" si="28"/>
        <v>0</v>
      </c>
      <c r="AF33" s="16">
        <f t="shared" si="28"/>
        <v>0</v>
      </c>
      <c r="AG33" s="16">
        <f t="shared" si="28"/>
        <v>0</v>
      </c>
      <c r="AH33" s="16">
        <f t="shared" si="28"/>
        <v>0</v>
      </c>
      <c r="AI33" s="16">
        <f t="shared" si="28"/>
        <v>0</v>
      </c>
      <c r="AJ33" s="16">
        <f t="shared" si="28"/>
        <v>0</v>
      </c>
      <c r="AK33" s="16">
        <f t="shared" si="28"/>
        <v>0</v>
      </c>
      <c r="AL33" s="16">
        <f t="shared" si="28"/>
        <v>0</v>
      </c>
      <c r="AM33" s="16">
        <f t="shared" si="28"/>
        <v>0</v>
      </c>
      <c r="AN33" s="16">
        <f t="shared" si="28"/>
        <v>0</v>
      </c>
      <c r="AO33" s="16">
        <f t="shared" si="28"/>
        <v>0</v>
      </c>
      <c r="AP33" s="10"/>
      <c r="AQ33" s="10"/>
      <c r="AR33" s="10"/>
      <c r="AS33" s="10" t="str">
        <f t="shared" ref="AS33" ca="1" si="58">IFERROR(__xludf.DUMMYFUNCTION("split(F31,"","",true,true)"),"Undisclosed")</f>
        <v>Undisclosed</v>
      </c>
      <c r="AT33" s="10"/>
      <c r="AU33" s="10"/>
      <c r="AV33" s="10"/>
      <c r="AW33" s="10"/>
      <c r="AX33" s="10"/>
      <c r="AY33" s="10"/>
      <c r="AZ33" s="10"/>
      <c r="BA33" s="10"/>
      <c r="BB33" s="10"/>
      <c r="BC33" s="10"/>
      <c r="BD33" s="10"/>
      <c r="BE33" s="10"/>
      <c r="BF33" s="10"/>
      <c r="BG33" s="10"/>
      <c r="BH33" s="10"/>
      <c r="BI33" s="10"/>
      <c r="BJ33" s="10"/>
      <c r="BK33" s="10"/>
      <c r="BM33" s="10"/>
    </row>
    <row r="34" spans="1:65" ht="12.75">
      <c r="A34" s="18">
        <v>41275</v>
      </c>
      <c r="B34" s="14" t="s">
        <v>78</v>
      </c>
      <c r="C34" s="19">
        <v>150000000</v>
      </c>
      <c r="D34" s="19"/>
      <c r="E34" s="14" t="s">
        <v>112</v>
      </c>
      <c r="F34" s="14" t="s">
        <v>124</v>
      </c>
      <c r="G34" s="21" t="s">
        <v>125</v>
      </c>
      <c r="H34" s="14" t="str">
        <f t="array" ref="H34">IFERROR(INDEX([1]Companies!$G:$G,MATCH(B34,[1]Companies!$A:$A,0)),"")</f>
        <v>Nigeria</v>
      </c>
      <c r="I34" s="14" t="str">
        <f t="shared" si="50"/>
        <v>Nigeria</v>
      </c>
      <c r="J34" s="14" t="str">
        <f t="array" ref="J34">IFERROR(INDEX([1]Companies!$Y:$Y,MATCH(B34,[1]Companies!$A:$A,0)),"")</f>
        <v>E-Commerce, Internet, Shopping Online</v>
      </c>
      <c r="K34" s="14" t="str">
        <f t="array" ref="K34">IFERROR(INDEX([1]Companies!$X:$X,MATCH(B34,[1]Companies!$A:$A,0)),"")</f>
        <v>E-Commerce &amp; Retail</v>
      </c>
      <c r="L34" s="14" t="str">
        <f>VLOOKUP(B34,[1]Companies!$A$1:$C$5243,1,FALSE)</f>
        <v>Jumia Group</v>
      </c>
      <c r="M34" s="15">
        <f t="shared" si="51"/>
        <v>0.9</v>
      </c>
      <c r="N34" s="10" t="str">
        <f t="shared" si="52"/>
        <v>41275Jumia Group150000000</v>
      </c>
      <c r="O34" s="14" t="str">
        <f t="shared" si="53"/>
        <v/>
      </c>
      <c r="P34" s="14">
        <f t="shared" si="54"/>
        <v>1</v>
      </c>
      <c r="Q34" s="14">
        <f t="array" ref="Q34">IFERROR(INDEX([1]Companies!$D:$D,MATCH(B34,[1]Companies!$A:$A,0)),"")</f>
        <v>2012</v>
      </c>
      <c r="R34" s="17">
        <f t="shared" si="55"/>
        <v>885400000</v>
      </c>
      <c r="S34" s="14">
        <f>VLOOKUP(I34,[1]Lookups!$V$3:$Y$197,4,FALSE)</f>
        <v>0</v>
      </c>
      <c r="T34" s="14" t="str">
        <f>VLOOKUP(E34,[1]Lookups!$H$3:$I$71,2,FALSE)</f>
        <v>3. Early Venture</v>
      </c>
      <c r="U34" s="14" t="str">
        <f>VLOOKUP(K34,[1]Lookups!$B$3:$C$142,2,FALSE)</f>
        <v>E-commerce &amp; Retail</v>
      </c>
      <c r="V34" s="14">
        <f t="shared" si="1"/>
        <v>2013</v>
      </c>
      <c r="W34" s="14">
        <f t="shared" si="2"/>
        <v>1</v>
      </c>
      <c r="X34" s="14">
        <f>VLOOKUP(W34,[1]Lookups!$P$3:$S$15,2,FALSE)</f>
        <v>1</v>
      </c>
      <c r="Y34" s="16">
        <f>VLOOKUP(W34,[1]Lookups!$P$3:$U$15,3,FALSE)</f>
        <v>1</v>
      </c>
      <c r="Z34" s="16">
        <f t="shared" si="3"/>
        <v>3</v>
      </c>
      <c r="AA34" s="16" t="str">
        <f t="shared" ref="AA34:AO49" ca="1" si="59">AS34</f>
        <v>Undisclosed</v>
      </c>
      <c r="AB34" s="16" t="str">
        <f t="shared" ca="1" si="59"/>
        <v xml:space="preserve"> Rocket Internet</v>
      </c>
      <c r="AC34" s="16" t="str">
        <f t="shared" ca="1" si="59"/>
        <v xml:space="preserve"> MTN Group</v>
      </c>
      <c r="AD34" s="16">
        <f t="shared" si="59"/>
        <v>0</v>
      </c>
      <c r="AE34" s="16">
        <f t="shared" si="59"/>
        <v>0</v>
      </c>
      <c r="AF34" s="16">
        <f t="shared" si="59"/>
        <v>0</v>
      </c>
      <c r="AG34" s="16">
        <f t="shared" si="59"/>
        <v>0</v>
      </c>
      <c r="AH34" s="16">
        <f t="shared" si="59"/>
        <v>0</v>
      </c>
      <c r="AI34" s="16">
        <f t="shared" si="59"/>
        <v>0</v>
      </c>
      <c r="AJ34" s="16">
        <f t="shared" si="59"/>
        <v>0</v>
      </c>
      <c r="AK34" s="16">
        <f t="shared" si="59"/>
        <v>0</v>
      </c>
      <c r="AL34" s="16">
        <f t="shared" si="59"/>
        <v>0</v>
      </c>
      <c r="AM34" s="16">
        <f t="shared" si="59"/>
        <v>0</v>
      </c>
      <c r="AN34" s="16">
        <f t="shared" si="59"/>
        <v>0</v>
      </c>
      <c r="AO34" s="16">
        <f t="shared" si="59"/>
        <v>0</v>
      </c>
      <c r="AP34" s="10"/>
      <c r="AQ34" s="10"/>
      <c r="AR34" s="10"/>
      <c r="AS34" s="10" t="str">
        <f t="shared" ref="AS34" ca="1" si="60">IFERROR(__xludf.DUMMYFUNCTION("split(F31,"","",true,true)"),"Undisclosed")</f>
        <v>Undisclosed</v>
      </c>
      <c r="AT34" s="10" t="str">
        <f ca="1">IFERROR(__xludf.DUMMYFUNCTION("""COMPUTED_VALUE""")," Rocket Internet")</f>
        <v xml:space="preserve"> Rocket Internet</v>
      </c>
      <c r="AU34" s="10" t="str">
        <f ca="1">IFERROR(__xludf.DUMMYFUNCTION("""COMPUTED_VALUE""")," MTN Group")</f>
        <v xml:space="preserve"> MTN Group</v>
      </c>
      <c r="AV34" s="10"/>
      <c r="AW34" s="10"/>
      <c r="AX34" s="10"/>
      <c r="AY34" s="10"/>
      <c r="AZ34" s="10"/>
      <c r="BA34" s="10"/>
      <c r="BB34" s="10"/>
      <c r="BC34" s="10"/>
      <c r="BD34" s="10"/>
      <c r="BE34" s="10"/>
      <c r="BF34" s="10"/>
      <c r="BG34" s="10"/>
      <c r="BH34" s="10"/>
      <c r="BI34" s="10"/>
      <c r="BJ34" s="10"/>
      <c r="BK34" s="10"/>
      <c r="BM34" s="10"/>
    </row>
    <row r="35" spans="1:65" ht="12.75">
      <c r="A35" s="18">
        <v>41275</v>
      </c>
      <c r="B35" s="14" t="s">
        <v>81</v>
      </c>
      <c r="C35" s="19">
        <v>10000000</v>
      </c>
      <c r="D35" s="19"/>
      <c r="E35" s="14" t="s">
        <v>69</v>
      </c>
      <c r="F35" s="14" t="s">
        <v>126</v>
      </c>
      <c r="G35" s="21" t="s">
        <v>83</v>
      </c>
      <c r="H35" s="14" t="str">
        <f t="array" ref="H35">IFERROR(INDEX([1]Companies!$G:$G,MATCH(B35,[1]Companies!$A:$A,0)),"")</f>
        <v>Nigeria</v>
      </c>
      <c r="I35" s="14" t="str">
        <f t="shared" si="50"/>
        <v>Nigeria</v>
      </c>
      <c r="J35" s="14" t="str">
        <f t="array" ref="J35">IFERROR(INDEX([1]Companies!$Y:$Y,MATCH(B35,[1]Companies!$A:$A,0)),"")</f>
        <v>Retail, E-Commerce, Customer Service, Delivery Service, Online Shopping</v>
      </c>
      <c r="K35" s="14" t="str">
        <f t="array" ref="K35">IFERROR(INDEX([1]Companies!$X:$X,MATCH(B35,[1]Companies!$A:$A,0)),"")</f>
        <v>E-Commerce &amp; Retail</v>
      </c>
      <c r="L35" s="14" t="str">
        <f>VLOOKUP(B35,[1]Companies!$A$1:$C$5243,1,FALSE)</f>
        <v>Konga</v>
      </c>
      <c r="M35" s="15">
        <f t="shared" si="51"/>
        <v>0.9</v>
      </c>
      <c r="N35" s="10" t="str">
        <f t="shared" si="52"/>
        <v>41275Konga10000000</v>
      </c>
      <c r="O35" s="14" t="str">
        <f t="shared" si="53"/>
        <v/>
      </c>
      <c r="P35" s="14">
        <f t="shared" si="54"/>
        <v>1</v>
      </c>
      <c r="Q35" s="14">
        <f t="array" ref="Q35">IFERROR(INDEX([1]Companies!$D:$D,MATCH(B35,[1]Companies!$A:$A,0)),"")</f>
        <v>2012</v>
      </c>
      <c r="R35" s="17">
        <f t="shared" si="55"/>
        <v>79500000</v>
      </c>
      <c r="S35" s="14">
        <f>VLOOKUP(I35,[1]Lookups!$V$3:$Y$197,4,FALSE)</f>
        <v>0</v>
      </c>
      <c r="T35" s="14" t="str">
        <f>VLOOKUP(E35,[1]Lookups!$H$3:$I$71,2,FALSE)</f>
        <v>3. Early Venture</v>
      </c>
      <c r="U35" s="14" t="str">
        <f>VLOOKUP(K35,[1]Lookups!$B$3:$C$142,2,FALSE)</f>
        <v>E-commerce &amp; Retail</v>
      </c>
      <c r="V35" s="14">
        <f t="shared" si="1"/>
        <v>2013</v>
      </c>
      <c r="W35" s="14">
        <f t="shared" si="2"/>
        <v>1</v>
      </c>
      <c r="X35" s="14">
        <f>VLOOKUP(W35,[1]Lookups!$P$3:$S$15,2,FALSE)</f>
        <v>1</v>
      </c>
      <c r="Y35" s="16">
        <f>VLOOKUP(W35,[1]Lookups!$P$3:$U$15,3,FALSE)</f>
        <v>1</v>
      </c>
      <c r="Z35" s="16">
        <f t="shared" si="3"/>
        <v>2</v>
      </c>
      <c r="AA35" s="16" t="str">
        <f t="shared" ca="1" si="59"/>
        <v>Undisclosed</v>
      </c>
      <c r="AB35" s="16" t="str">
        <f t="shared" ca="1" si="59"/>
        <v xml:space="preserve"> Kinnevik AB</v>
      </c>
      <c r="AC35" s="16">
        <f t="shared" si="59"/>
        <v>0</v>
      </c>
      <c r="AD35" s="16">
        <f t="shared" si="59"/>
        <v>0</v>
      </c>
      <c r="AE35" s="16">
        <f t="shared" si="59"/>
        <v>0</v>
      </c>
      <c r="AF35" s="16">
        <f t="shared" si="59"/>
        <v>0</v>
      </c>
      <c r="AG35" s="16">
        <f t="shared" si="59"/>
        <v>0</v>
      </c>
      <c r="AH35" s="16">
        <f t="shared" si="59"/>
        <v>0</v>
      </c>
      <c r="AI35" s="16">
        <f t="shared" si="59"/>
        <v>0</v>
      </c>
      <c r="AJ35" s="16">
        <f t="shared" si="59"/>
        <v>0</v>
      </c>
      <c r="AK35" s="16">
        <f t="shared" si="59"/>
        <v>0</v>
      </c>
      <c r="AL35" s="16">
        <f t="shared" si="59"/>
        <v>0</v>
      </c>
      <c r="AM35" s="16">
        <f t="shared" si="59"/>
        <v>0</v>
      </c>
      <c r="AN35" s="16">
        <f t="shared" si="59"/>
        <v>0</v>
      </c>
      <c r="AO35" s="16">
        <f t="shared" si="59"/>
        <v>0</v>
      </c>
      <c r="AP35" s="10"/>
      <c r="AQ35" s="10"/>
      <c r="AR35" s="10"/>
      <c r="AS35" s="10" t="str">
        <f t="shared" ref="AS35" ca="1" si="61">IFERROR(__xludf.DUMMYFUNCTION("split(F31,"","",true,true)"),"Undisclosed")</f>
        <v>Undisclosed</v>
      </c>
      <c r="AT35" s="10" t="str">
        <f ca="1">IFERROR(__xludf.DUMMYFUNCTION("""COMPUTED_VALUE""")," Kinnevik AB")</f>
        <v xml:space="preserve"> Kinnevik AB</v>
      </c>
      <c r="AU35" s="10"/>
      <c r="AV35" s="10"/>
      <c r="AW35" s="10"/>
      <c r="AX35" s="10"/>
      <c r="AY35" s="10"/>
      <c r="AZ35" s="10"/>
      <c r="BA35" s="10"/>
      <c r="BB35" s="10"/>
      <c r="BC35" s="10"/>
      <c r="BD35" s="10"/>
      <c r="BE35" s="10"/>
      <c r="BF35" s="10"/>
      <c r="BG35" s="10"/>
      <c r="BH35" s="10"/>
      <c r="BI35" s="10"/>
      <c r="BJ35" s="10"/>
      <c r="BK35" s="10"/>
      <c r="BM35" s="10"/>
    </row>
    <row r="36" spans="1:65" ht="12.75">
      <c r="A36" s="9">
        <v>41307</v>
      </c>
      <c r="B36" s="10" t="s">
        <v>127</v>
      </c>
      <c r="C36" s="11">
        <v>240000</v>
      </c>
      <c r="D36" s="12"/>
      <c r="E36" s="10" t="s">
        <v>45</v>
      </c>
      <c r="F36" s="10" t="s">
        <v>128</v>
      </c>
      <c r="G36" s="13" t="s">
        <v>129</v>
      </c>
      <c r="H36" s="14" t="str">
        <f t="array" ref="H36">IFERROR(INDEX([1]Companies!$G:$G,MATCH(B36,[1]Companies!$A:$A,0)),"")</f>
        <v>Nigeria</v>
      </c>
      <c r="I36" s="14" t="str">
        <f t="shared" si="50"/>
        <v>Nigeria</v>
      </c>
      <c r="J36" s="14" t="str">
        <f t="array" ref="J36">IFERROR(INDEX([1]Companies!$Y:$Y,MATCH(B36,[1]Companies!$A:$A,0)),"")</f>
        <v>E-Commerce, Internet, Real Estate</v>
      </c>
      <c r="K36" s="14" t="str">
        <f t="array" ref="K36">IFERROR(INDEX([1]Companies!$X:$X,MATCH(B36,[1]Companies!$A:$A,0)),"")</f>
        <v>Real Estate</v>
      </c>
      <c r="L36" s="14" t="str">
        <f>VLOOKUP(B36,[1]Companies!$A$1:$C$5243,1,FALSE)</f>
        <v>PropertyPro Nigeria</v>
      </c>
      <c r="M36" s="15">
        <f t="shared" si="51"/>
        <v>0.9</v>
      </c>
      <c r="N36" s="10" t="str">
        <f t="shared" si="52"/>
        <v>41307PropertyPro Nigeria240000</v>
      </c>
      <c r="O36" s="14" t="str">
        <f t="shared" si="53"/>
        <v/>
      </c>
      <c r="P36" s="14">
        <f t="shared" si="54"/>
        <v>1</v>
      </c>
      <c r="Q36" s="14">
        <f t="array" ref="Q36">IFERROR(INDEX([1]Companies!$D:$D,MATCH(B36,[1]Companies!$A:$A,0)),"")</f>
        <v>2013</v>
      </c>
      <c r="R36" s="17">
        <f t="shared" si="55"/>
        <v>1440000</v>
      </c>
      <c r="S36" s="14">
        <f>VLOOKUP(I36,[1]Lookups!$V$3:$Y$197,4,FALSE)</f>
        <v>0</v>
      </c>
      <c r="T36" s="14" t="str">
        <f>VLOOKUP(E36,[1]Lookups!$H$3:$I$71,2,FALSE)</f>
        <v>2. Seed</v>
      </c>
      <c r="U36" s="14" t="str">
        <f>VLOOKUP(K36,[1]Lookups!$B$3:$C$142,2,FALSE)</f>
        <v>Construction &amp; Real Estate</v>
      </c>
      <c r="V36" s="14">
        <f t="shared" si="1"/>
        <v>2013</v>
      </c>
      <c r="W36" s="14">
        <f t="shared" si="2"/>
        <v>2</v>
      </c>
      <c r="X36" s="14">
        <f>VLOOKUP(W36,[1]Lookups!$P$3:$S$15,2,FALSE)</f>
        <v>1</v>
      </c>
      <c r="Y36" s="16">
        <f>VLOOKUP(W36,[1]Lookups!$P$3:$U$15,3,FALSE)</f>
        <v>1</v>
      </c>
      <c r="Z36" s="16">
        <f t="shared" si="3"/>
        <v>1</v>
      </c>
      <c r="AA36" s="16" t="str">
        <f t="shared" ca="1" si="59"/>
        <v>Undisclosed</v>
      </c>
      <c r="AB36" s="16">
        <f t="shared" si="59"/>
        <v>0</v>
      </c>
      <c r="AC36" s="16">
        <f t="shared" si="59"/>
        <v>0</v>
      </c>
      <c r="AD36" s="16">
        <f t="shared" si="59"/>
        <v>0</v>
      </c>
      <c r="AE36" s="16">
        <f t="shared" si="59"/>
        <v>0</v>
      </c>
      <c r="AF36" s="16">
        <f t="shared" si="59"/>
        <v>0</v>
      </c>
      <c r="AG36" s="16">
        <f t="shared" si="59"/>
        <v>0</v>
      </c>
      <c r="AH36" s="16">
        <f t="shared" si="59"/>
        <v>0</v>
      </c>
      <c r="AI36" s="16">
        <f t="shared" si="59"/>
        <v>0</v>
      </c>
      <c r="AJ36" s="16">
        <f t="shared" si="59"/>
        <v>0</v>
      </c>
      <c r="AK36" s="16">
        <f t="shared" si="59"/>
        <v>0</v>
      </c>
      <c r="AL36" s="16">
        <f t="shared" si="59"/>
        <v>0</v>
      </c>
      <c r="AM36" s="16">
        <f t="shared" si="59"/>
        <v>0</v>
      </c>
      <c r="AN36" s="16">
        <f t="shared" si="59"/>
        <v>0</v>
      </c>
      <c r="AO36" s="16">
        <f t="shared" si="59"/>
        <v>0</v>
      </c>
      <c r="AP36" s="10"/>
      <c r="AQ36" s="10"/>
      <c r="AR36" s="10"/>
      <c r="AS36" s="10" t="str">
        <f t="shared" ref="AS36" ca="1" si="62">IFERROR(__xludf.DUMMYFUNCTION("split(F31,"","",true,true)"),"Undisclosed")</f>
        <v>Undisclosed</v>
      </c>
      <c r="AT36" s="10"/>
      <c r="AU36" s="10"/>
      <c r="AV36" s="10"/>
      <c r="AW36" s="10"/>
      <c r="AX36" s="10"/>
      <c r="AY36" s="10"/>
      <c r="AZ36" s="10"/>
      <c r="BA36" s="10"/>
      <c r="BB36" s="10"/>
      <c r="BC36" s="10"/>
      <c r="BD36" s="10"/>
      <c r="BE36" s="10"/>
      <c r="BF36" s="10"/>
      <c r="BG36" s="10"/>
      <c r="BH36" s="10"/>
      <c r="BI36" s="10"/>
      <c r="BJ36" s="10"/>
      <c r="BK36" s="10"/>
      <c r="BM36" s="10"/>
    </row>
    <row r="37" spans="1:65" ht="12.75">
      <c r="A37" s="9">
        <v>41314</v>
      </c>
      <c r="B37" s="10" t="s">
        <v>130</v>
      </c>
      <c r="C37" s="11" t="s">
        <v>49</v>
      </c>
      <c r="D37" s="12"/>
      <c r="E37" s="10" t="s">
        <v>45</v>
      </c>
      <c r="F37" s="10" t="s">
        <v>131</v>
      </c>
      <c r="G37" s="13" t="s">
        <v>132</v>
      </c>
      <c r="H37" s="14" t="str">
        <f t="array" ref="H37">IFERROR(INDEX([1]Companies!$G:$G,MATCH(B37,[1]Companies!$A:$A,0)),"")</f>
        <v>Kenya</v>
      </c>
      <c r="I37" s="14" t="str">
        <f t="shared" si="50"/>
        <v>Kenya</v>
      </c>
      <c r="J37" s="14" t="str">
        <f t="array" ref="J37">IFERROR(INDEX([1]Companies!$Y:$Y,MATCH(B37,[1]Companies!$A:$A,0)),"")</f>
        <v>Educational Content, Mobile Learning, E-Learning, Edtech</v>
      </c>
      <c r="K37" s="14" t="str">
        <f t="array" ref="K37">IFERROR(INDEX([1]Companies!$X:$X,MATCH(B37,[1]Companies!$A:$A,0)),"")</f>
        <v>Education</v>
      </c>
      <c r="L37" s="14" t="str">
        <f>VLOOKUP(B37,[1]Companies!$A$1:$C$5243,1,FALSE)</f>
        <v>Eneza Education</v>
      </c>
      <c r="M37" s="15">
        <f t="shared" si="51"/>
        <v>0.9</v>
      </c>
      <c r="N37" s="10" t="str">
        <f t="shared" si="52"/>
        <v>41314Eneza EducationUndisclosed</v>
      </c>
      <c r="O37" s="14" t="str">
        <f t="shared" si="53"/>
        <v/>
      </c>
      <c r="P37" s="14">
        <f t="shared" si="54"/>
        <v>0</v>
      </c>
      <c r="Q37" s="14">
        <f t="array" ref="Q37">IFERROR(INDEX([1]Companies!$D:$D,MATCH(B37,[1]Companies!$A:$A,0)),"")</f>
        <v>2011</v>
      </c>
      <c r="R37" s="17">
        <f t="shared" si="55"/>
        <v>0</v>
      </c>
      <c r="S37" s="14">
        <f>VLOOKUP(I37,[1]Lookups!$V$3:$Y$197,4,FALSE)</f>
        <v>0</v>
      </c>
      <c r="T37" s="14" t="str">
        <f>VLOOKUP(E37,[1]Lookups!$H$3:$I$71,2,FALSE)</f>
        <v>2. Seed</v>
      </c>
      <c r="U37" s="14" t="str">
        <f>VLOOKUP(K37,[1]Lookups!$B$3:$C$142,2,FALSE)</f>
        <v>Education</v>
      </c>
      <c r="V37" s="14">
        <f t="shared" si="1"/>
        <v>2013</v>
      </c>
      <c r="W37" s="14">
        <f t="shared" si="2"/>
        <v>2</v>
      </c>
      <c r="X37" s="14">
        <f>VLOOKUP(W37,[1]Lookups!$P$3:$S$15,2,FALSE)</f>
        <v>1</v>
      </c>
      <c r="Y37" s="16">
        <f>VLOOKUP(W37,[1]Lookups!$P$3:$U$15,3,FALSE)</f>
        <v>1</v>
      </c>
      <c r="Z37" s="16">
        <f t="shared" si="3"/>
        <v>1</v>
      </c>
      <c r="AA37" s="16" t="str">
        <f t="shared" ca="1" si="59"/>
        <v>Undisclosed</v>
      </c>
      <c r="AB37" s="16">
        <f t="shared" si="59"/>
        <v>0</v>
      </c>
      <c r="AC37" s="16">
        <f t="shared" si="59"/>
        <v>0</v>
      </c>
      <c r="AD37" s="16">
        <f t="shared" si="59"/>
        <v>0</v>
      </c>
      <c r="AE37" s="16">
        <f t="shared" si="59"/>
        <v>0</v>
      </c>
      <c r="AF37" s="16">
        <f t="shared" si="59"/>
        <v>0</v>
      </c>
      <c r="AG37" s="16">
        <f t="shared" si="59"/>
        <v>0</v>
      </c>
      <c r="AH37" s="16">
        <f t="shared" si="59"/>
        <v>0</v>
      </c>
      <c r="AI37" s="16">
        <f t="shared" si="59"/>
        <v>0</v>
      </c>
      <c r="AJ37" s="16">
        <f t="shared" si="59"/>
        <v>0</v>
      </c>
      <c r="AK37" s="16">
        <f t="shared" si="59"/>
        <v>0</v>
      </c>
      <c r="AL37" s="16">
        <f t="shared" si="59"/>
        <v>0</v>
      </c>
      <c r="AM37" s="16">
        <f t="shared" si="59"/>
        <v>0</v>
      </c>
      <c r="AN37" s="16">
        <f t="shared" si="59"/>
        <v>0</v>
      </c>
      <c r="AO37" s="16">
        <f t="shared" si="59"/>
        <v>0</v>
      </c>
      <c r="AP37" s="10"/>
      <c r="AQ37" s="10"/>
      <c r="AR37" s="10"/>
      <c r="AS37" s="10" t="str">
        <f t="shared" ref="AS37" ca="1" si="63">IFERROR(__xludf.DUMMYFUNCTION("split(F31,"","",true,true)"),"Undisclosed")</f>
        <v>Undisclosed</v>
      </c>
      <c r="AT37" s="10"/>
      <c r="AU37" s="10"/>
      <c r="AV37" s="10"/>
      <c r="AW37" s="10"/>
      <c r="AX37" s="10"/>
      <c r="AY37" s="10"/>
      <c r="AZ37" s="10"/>
      <c r="BA37" s="10"/>
      <c r="BB37" s="10"/>
      <c r="BC37" s="10"/>
      <c r="BD37" s="10"/>
      <c r="BE37" s="10"/>
      <c r="BF37" s="10"/>
      <c r="BG37" s="10"/>
      <c r="BH37" s="10"/>
      <c r="BI37" s="10"/>
      <c r="BJ37" s="10"/>
      <c r="BK37" s="10"/>
      <c r="BM37" s="10"/>
    </row>
    <row r="38" spans="1:65" ht="12.75">
      <c r="A38" s="18">
        <v>41445</v>
      </c>
      <c r="B38" s="14" t="s">
        <v>133</v>
      </c>
      <c r="C38" s="19">
        <v>20000000</v>
      </c>
      <c r="D38" s="19"/>
      <c r="E38" s="14" t="s">
        <v>69</v>
      </c>
      <c r="F38" s="14" t="s">
        <v>134</v>
      </c>
      <c r="G38" s="21" t="s">
        <v>135</v>
      </c>
      <c r="H38" s="14" t="str">
        <f t="array" ref="H38">IFERROR(INDEX([1]Companies!$G:$G,MATCH(B38,[1]Companies!$A:$A,0)),"")</f>
        <v>South Africa</v>
      </c>
      <c r="I38" s="14" t="str">
        <f t="shared" si="50"/>
        <v>South Africa</v>
      </c>
      <c r="J38" s="14" t="str">
        <f t="array" ref="J38">IFERROR(INDEX([1]Companies!$Y:$Y,MATCH(B38,[1]Companies!$A:$A,0)),"")</f>
        <v>Advertising, Employment, Internet, Marketplace, Travel</v>
      </c>
      <c r="K38" s="14" t="str">
        <f t="array" ref="K38">IFERROR(INDEX([1]Companies!$X:$X,MATCH(B38,[1]Companies!$A:$A,0)),"")</f>
        <v>E-Commerce &amp; Retail</v>
      </c>
      <c r="L38" s="14" t="str">
        <f>VLOOKUP(B38,[1]Companies!$A$1:$C$5243,1,FALSE)</f>
        <v>One Africa Media</v>
      </c>
      <c r="M38" s="15">
        <f t="shared" si="51"/>
        <v>0.9</v>
      </c>
      <c r="N38" s="10" t="str">
        <f t="shared" si="52"/>
        <v>41445One Africa Media20000000</v>
      </c>
      <c r="O38" s="14" t="str">
        <f t="shared" si="53"/>
        <v/>
      </c>
      <c r="P38" s="14">
        <f t="shared" si="54"/>
        <v>1</v>
      </c>
      <c r="Q38" s="14">
        <f t="array" ref="Q38">IFERROR(INDEX([1]Companies!$D:$D,MATCH(B38,[1]Companies!$A:$A,0)),"")</f>
        <v>2012</v>
      </c>
      <c r="R38" s="17">
        <f t="shared" si="55"/>
        <v>30000000</v>
      </c>
      <c r="S38" s="14">
        <f>VLOOKUP(I38,[1]Lookups!$V$3:$Y$197,4,FALSE)</f>
        <v>0</v>
      </c>
      <c r="T38" s="14" t="str">
        <f>VLOOKUP(E38,[1]Lookups!$H$3:$I$71,2,FALSE)</f>
        <v>3. Early Venture</v>
      </c>
      <c r="U38" s="14" t="str">
        <f>VLOOKUP(K38,[1]Lookups!$B$3:$C$142,2,FALSE)</f>
        <v>E-commerce &amp; Retail</v>
      </c>
      <c r="V38" s="14">
        <f t="shared" si="1"/>
        <v>2013</v>
      </c>
      <c r="W38" s="14">
        <f t="shared" si="2"/>
        <v>6</v>
      </c>
      <c r="X38" s="14">
        <f>VLOOKUP(W38,[1]Lookups!$P$3:$S$15,2,FALSE)</f>
        <v>2</v>
      </c>
      <c r="Y38" s="16">
        <f>VLOOKUP(W38,[1]Lookups!$P$3:$U$15,3,FALSE)</f>
        <v>1</v>
      </c>
      <c r="Z38" s="16">
        <f t="shared" si="3"/>
        <v>1</v>
      </c>
      <c r="AA38" s="16" t="str">
        <f t="shared" ca="1" si="59"/>
        <v>Undisclosed</v>
      </c>
      <c r="AB38" s="16">
        <f t="shared" si="59"/>
        <v>0</v>
      </c>
      <c r="AC38" s="16">
        <f t="shared" si="59"/>
        <v>0</v>
      </c>
      <c r="AD38" s="16">
        <f t="shared" si="59"/>
        <v>0</v>
      </c>
      <c r="AE38" s="16">
        <f t="shared" si="59"/>
        <v>0</v>
      </c>
      <c r="AF38" s="16">
        <f t="shared" si="59"/>
        <v>0</v>
      </c>
      <c r="AG38" s="16">
        <f t="shared" si="59"/>
        <v>0</v>
      </c>
      <c r="AH38" s="16">
        <f t="shared" si="59"/>
        <v>0</v>
      </c>
      <c r="AI38" s="16">
        <f t="shared" si="59"/>
        <v>0</v>
      </c>
      <c r="AJ38" s="16">
        <f t="shared" si="59"/>
        <v>0</v>
      </c>
      <c r="AK38" s="16">
        <f t="shared" si="59"/>
        <v>0</v>
      </c>
      <c r="AL38" s="16">
        <f t="shared" si="59"/>
        <v>0</v>
      </c>
      <c r="AM38" s="16">
        <f t="shared" si="59"/>
        <v>0</v>
      </c>
      <c r="AN38" s="16">
        <f t="shared" si="59"/>
        <v>0</v>
      </c>
      <c r="AO38" s="16">
        <f t="shared" si="59"/>
        <v>0</v>
      </c>
      <c r="AP38" s="10"/>
      <c r="AQ38" s="10"/>
      <c r="AR38" s="10"/>
      <c r="AS38" s="10" t="str">
        <f t="shared" ref="AS38:AS39" ca="1" si="64">IFERROR(__xludf.DUMMYFUNCTION("split(F31,"","",true,true)"),"Undisclosed")</f>
        <v>Undisclosed</v>
      </c>
      <c r="AT38" s="10"/>
      <c r="AU38" s="10"/>
      <c r="AV38" s="10"/>
      <c r="AW38" s="10"/>
      <c r="AX38" s="10"/>
      <c r="AY38" s="10"/>
      <c r="AZ38" s="10"/>
      <c r="BA38" s="10"/>
      <c r="BB38" s="10"/>
      <c r="BC38" s="10"/>
      <c r="BD38" s="10"/>
      <c r="BE38" s="10"/>
      <c r="BF38" s="10"/>
      <c r="BG38" s="10"/>
      <c r="BH38" s="10"/>
      <c r="BI38" s="10"/>
      <c r="BJ38" s="10"/>
      <c r="BK38" s="10"/>
      <c r="BM38" s="10"/>
    </row>
    <row r="39" spans="1:65" ht="12.75">
      <c r="A39" s="9">
        <v>41456</v>
      </c>
      <c r="B39" s="10" t="s">
        <v>136</v>
      </c>
      <c r="C39" s="11">
        <v>1100000</v>
      </c>
      <c r="D39" s="12"/>
      <c r="E39" s="10" t="s">
        <v>45</v>
      </c>
      <c r="F39" s="13" t="s">
        <v>137</v>
      </c>
      <c r="G39" s="10"/>
      <c r="H39" s="14"/>
      <c r="I39" s="14"/>
      <c r="J39" s="14"/>
      <c r="K39" s="14"/>
      <c r="L39" s="14"/>
      <c r="M39" s="15"/>
      <c r="N39" s="10"/>
      <c r="O39" s="14"/>
      <c r="P39" s="14"/>
      <c r="Q39" s="14"/>
      <c r="R39" s="14"/>
      <c r="S39" s="14"/>
      <c r="T39" s="14"/>
      <c r="U39" s="14"/>
      <c r="V39" s="14">
        <f t="shared" si="1"/>
        <v>2013</v>
      </c>
      <c r="W39" s="14">
        <f t="shared" si="2"/>
        <v>7</v>
      </c>
      <c r="X39" s="14">
        <f>VLOOKUP(W39,[1]Lookups!$P$3:$S$15,2,FALSE)</f>
        <v>3</v>
      </c>
      <c r="Y39" s="16">
        <f>VLOOKUP(W39,[1]Lookups!$P$3:$U$15,3,FALSE)</f>
        <v>2</v>
      </c>
      <c r="Z39" s="16">
        <f t="shared" si="3"/>
        <v>1</v>
      </c>
      <c r="AA39" s="26" t="str">
        <f t="shared" ca="1" si="59"/>
        <v>Undisclosed</v>
      </c>
      <c r="AB39" s="16">
        <f t="shared" si="59"/>
        <v>0</v>
      </c>
      <c r="AC39" s="16">
        <f t="shared" si="59"/>
        <v>0</v>
      </c>
      <c r="AD39" s="16">
        <f t="shared" si="59"/>
        <v>0</v>
      </c>
      <c r="AE39" s="16">
        <f t="shared" si="59"/>
        <v>0</v>
      </c>
      <c r="AF39" s="16">
        <f t="shared" si="59"/>
        <v>0</v>
      </c>
      <c r="AG39" s="16">
        <f t="shared" si="59"/>
        <v>0</v>
      </c>
      <c r="AH39" s="16">
        <f t="shared" si="59"/>
        <v>0</v>
      </c>
      <c r="AI39" s="16">
        <f t="shared" si="59"/>
        <v>0</v>
      </c>
      <c r="AJ39" s="16">
        <f t="shared" si="59"/>
        <v>0</v>
      </c>
      <c r="AK39" s="16">
        <f t="shared" si="59"/>
        <v>0</v>
      </c>
      <c r="AL39" s="16">
        <f t="shared" si="59"/>
        <v>0</v>
      </c>
      <c r="AM39" s="16">
        <f t="shared" si="59"/>
        <v>0</v>
      </c>
      <c r="AN39" s="16">
        <f t="shared" si="59"/>
        <v>0</v>
      </c>
      <c r="AO39" s="16">
        <f t="shared" si="59"/>
        <v>0</v>
      </c>
      <c r="AP39" s="10"/>
      <c r="AQ39" s="10"/>
      <c r="AR39" s="10"/>
      <c r="AS39" s="13" t="str">
        <f t="shared" ca="1" si="64"/>
        <v>Undisclosed</v>
      </c>
      <c r="AT39" s="10"/>
      <c r="AU39" s="10"/>
      <c r="AV39" s="10"/>
      <c r="AW39" s="10"/>
      <c r="AX39" s="10"/>
      <c r="AY39" s="10"/>
      <c r="AZ39" s="10"/>
      <c r="BA39" s="10"/>
      <c r="BB39" s="10"/>
      <c r="BC39" s="10"/>
      <c r="BD39" s="10"/>
      <c r="BE39" s="10"/>
      <c r="BF39" s="10"/>
      <c r="BG39" s="10"/>
      <c r="BH39" s="10"/>
      <c r="BI39" s="10"/>
      <c r="BJ39" s="10"/>
      <c r="BK39" s="10"/>
      <c r="BM39" s="10"/>
    </row>
    <row r="40" spans="1:65" ht="12.75">
      <c r="A40" s="9">
        <v>41466</v>
      </c>
      <c r="B40" s="10" t="s">
        <v>138</v>
      </c>
      <c r="C40" s="11">
        <v>120000</v>
      </c>
      <c r="D40" s="12"/>
      <c r="E40" s="10" t="s">
        <v>45</v>
      </c>
      <c r="F40" s="10" t="s">
        <v>139</v>
      </c>
      <c r="G40" s="10"/>
      <c r="H40" s="14"/>
      <c r="I40" s="14"/>
      <c r="J40" s="14"/>
      <c r="K40" s="14"/>
      <c r="L40" s="14"/>
      <c r="M40" s="15"/>
      <c r="N40" s="10"/>
      <c r="O40" s="14"/>
      <c r="P40" s="14"/>
      <c r="Q40" s="14">
        <f t="array" ref="Q40">IFERROR(INDEX([1]Companies!$D:$D,MATCH(B40,[1]Companies!$A:$A,0)),"")</f>
        <v>2013</v>
      </c>
      <c r="R40" s="17"/>
      <c r="S40" s="14"/>
      <c r="T40" s="14"/>
      <c r="U40" s="14"/>
      <c r="V40" s="14">
        <f t="shared" si="1"/>
        <v>2013</v>
      </c>
      <c r="W40" s="14">
        <f t="shared" si="2"/>
        <v>7</v>
      </c>
      <c r="X40" s="14">
        <f>VLOOKUP(W40,[1]Lookups!$P$3:$S$15,2,FALSE)</f>
        <v>3</v>
      </c>
      <c r="Y40" s="16">
        <f>VLOOKUP(W40,[1]Lookups!$P$3:$U$15,3,FALSE)</f>
        <v>2</v>
      </c>
      <c r="Z40" s="16">
        <f t="shared" si="3"/>
        <v>1</v>
      </c>
      <c r="AA40" s="16" t="str">
        <f t="shared" ca="1" si="59"/>
        <v>Undisclosed</v>
      </c>
      <c r="AB40" s="16">
        <f t="shared" si="59"/>
        <v>0</v>
      </c>
      <c r="AC40" s="16">
        <f t="shared" si="59"/>
        <v>0</v>
      </c>
      <c r="AD40" s="16">
        <f t="shared" si="59"/>
        <v>0</v>
      </c>
      <c r="AE40" s="16">
        <f t="shared" si="59"/>
        <v>0</v>
      </c>
      <c r="AF40" s="16">
        <f t="shared" si="59"/>
        <v>0</v>
      </c>
      <c r="AG40" s="16">
        <f t="shared" si="59"/>
        <v>0</v>
      </c>
      <c r="AH40" s="16">
        <f t="shared" si="59"/>
        <v>0</v>
      </c>
      <c r="AI40" s="16">
        <f t="shared" si="59"/>
        <v>0</v>
      </c>
      <c r="AJ40" s="16">
        <f t="shared" si="59"/>
        <v>0</v>
      </c>
      <c r="AK40" s="16">
        <f t="shared" si="59"/>
        <v>0</v>
      </c>
      <c r="AL40" s="16">
        <f t="shared" si="59"/>
        <v>0</v>
      </c>
      <c r="AM40" s="16">
        <f t="shared" si="59"/>
        <v>0</v>
      </c>
      <c r="AN40" s="16">
        <f t="shared" si="59"/>
        <v>0</v>
      </c>
      <c r="AO40" s="16">
        <f t="shared" si="59"/>
        <v>0</v>
      </c>
      <c r="AP40" s="10"/>
      <c r="AQ40" s="10"/>
      <c r="AR40" s="10"/>
      <c r="AS40" s="10" t="str">
        <f t="shared" ref="AS40" ca="1" si="65">IFERROR(__xludf.DUMMYFUNCTION("split(F31,"","",true,true)"),"Undisclosed")</f>
        <v>Undisclosed</v>
      </c>
      <c r="AT40" s="10"/>
      <c r="AU40" s="10"/>
      <c r="AV40" s="10"/>
      <c r="AW40" s="10"/>
      <c r="AX40" s="10"/>
      <c r="AY40" s="10"/>
      <c r="AZ40" s="10"/>
      <c r="BA40" s="10"/>
      <c r="BB40" s="10"/>
      <c r="BC40" s="10"/>
      <c r="BD40" s="10"/>
      <c r="BE40" s="10"/>
      <c r="BF40" s="10"/>
      <c r="BG40" s="10"/>
      <c r="BH40" s="10"/>
      <c r="BI40" s="10"/>
      <c r="BJ40" s="10"/>
      <c r="BK40" s="10"/>
      <c r="BM40" s="10"/>
    </row>
    <row r="41" spans="1:65" ht="12.75">
      <c r="A41" s="9">
        <v>41498</v>
      </c>
      <c r="B41" s="10" t="s">
        <v>140</v>
      </c>
      <c r="C41" s="11" t="s">
        <v>49</v>
      </c>
      <c r="D41" s="12"/>
      <c r="E41" s="10" t="s">
        <v>45</v>
      </c>
      <c r="F41" s="10" t="s">
        <v>141</v>
      </c>
      <c r="G41" s="13" t="s">
        <v>142</v>
      </c>
      <c r="H41" s="14" t="str">
        <f t="array" ref="H41">IFERROR(INDEX([1]Companies!$G:$G,MATCH(B41,[1]Companies!$A:$A,0)),"")</f>
        <v>Egypt</v>
      </c>
      <c r="I41" s="14" t="str">
        <f t="shared" ref="I41:I53" si="66">IF(LEN(TRIM(H41))-LEN(SUBSTITUTE(TRIM(H41),",","")) &gt; 0,TRIM(RIGHT(H41,LEN(H41)-FIND(",",H41))),H41)</f>
        <v>Egypt</v>
      </c>
      <c r="J41" s="14" t="str">
        <f t="array" ref="J41">IFERROR(INDEX([1]Companies!$Y:$Y,MATCH(B41,[1]Companies!$A:$A,0)),"")</f>
        <v xml:space="preserve">Online trading, E-Shipping </v>
      </c>
      <c r="K41" s="14" t="str">
        <f t="array" ref="K41">IFERROR(INDEX([1]Companies!$X:$X,MATCH(B41,[1]Companies!$A:$A,0)),"")</f>
        <v>E-Commerce &amp; Retail</v>
      </c>
      <c r="L41" s="14" t="str">
        <f>VLOOKUP(B41,[1]Companies!$A$1:$C$5243,1,FALSE)</f>
        <v>Edfa3ly</v>
      </c>
      <c r="M41" s="15">
        <f t="shared" ref="M41:M53" si="67">COUNTA(B41:K41)/(COUNTBLANK(B41:K41) + COUNTA(B41:K41))</f>
        <v>0.9</v>
      </c>
      <c r="N41" s="10" t="str">
        <f t="shared" ref="N41:N53" si="68">CONCATENATE(A41,B41,C41)</f>
        <v>41498Edfa3lyUndisclosed</v>
      </c>
      <c r="O41" s="14" t="str">
        <f t="shared" ref="O41:O53" si="69">IF(A41 = "","",IF(COUNTIF(N:N,CONCATENATE(A41,B41,C41))&gt;1,"Duplicated",""))</f>
        <v/>
      </c>
      <c r="P41" s="14">
        <f t="shared" ref="P41:P53" si="70">IF(C41="Undisclosed",0,1)</f>
        <v>0</v>
      </c>
      <c r="Q41" s="14">
        <f t="array" ref="Q41">IFERROR(INDEX([1]Companies!$D:$D,MATCH(B41,[1]Companies!$A:$A,0)),"")</f>
        <v>2010</v>
      </c>
      <c r="R41" s="17">
        <f t="shared" ref="R41:R53" si="71">SUMIF(B:B,B41,C:C)</f>
        <v>1000000</v>
      </c>
      <c r="S41" s="14">
        <f>VLOOKUP(I41,[1]Lookups!$V$3:$Y$197,4,FALSE)</f>
        <v>0</v>
      </c>
      <c r="T41" s="14" t="str">
        <f>VLOOKUP(E41,[1]Lookups!$H$3:$I$71,2,FALSE)</f>
        <v>2. Seed</v>
      </c>
      <c r="U41" s="14" t="str">
        <f>VLOOKUP(K41,[1]Lookups!$B$3:$C$142,2,FALSE)</f>
        <v>E-commerce &amp; Retail</v>
      </c>
      <c r="V41" s="14">
        <f t="shared" si="1"/>
        <v>2013</v>
      </c>
      <c r="W41" s="14">
        <f t="shared" si="2"/>
        <v>8</v>
      </c>
      <c r="X41" s="14">
        <f>VLOOKUP(W41,[1]Lookups!$P$3:$S$15,2,FALSE)</f>
        <v>3</v>
      </c>
      <c r="Y41" s="16">
        <f>VLOOKUP(W41,[1]Lookups!$P$3:$U$15,3,FALSE)</f>
        <v>2</v>
      </c>
      <c r="Z41" s="16">
        <f t="shared" si="3"/>
        <v>1</v>
      </c>
      <c r="AA41" s="16" t="str">
        <f t="shared" ca="1" si="59"/>
        <v>Undisclosed</v>
      </c>
      <c r="AB41" s="16">
        <f t="shared" si="59"/>
        <v>0</v>
      </c>
      <c r="AC41" s="16">
        <f t="shared" si="59"/>
        <v>0</v>
      </c>
      <c r="AD41" s="16">
        <f t="shared" si="59"/>
        <v>0</v>
      </c>
      <c r="AE41" s="16">
        <f t="shared" si="59"/>
        <v>0</v>
      </c>
      <c r="AF41" s="16">
        <f t="shared" si="59"/>
        <v>0</v>
      </c>
      <c r="AG41" s="16">
        <f t="shared" si="59"/>
        <v>0</v>
      </c>
      <c r="AH41" s="16">
        <f t="shared" si="59"/>
        <v>0</v>
      </c>
      <c r="AI41" s="16">
        <f t="shared" si="59"/>
        <v>0</v>
      </c>
      <c r="AJ41" s="16">
        <f t="shared" si="59"/>
        <v>0</v>
      </c>
      <c r="AK41" s="16">
        <f t="shared" si="59"/>
        <v>0</v>
      </c>
      <c r="AL41" s="16">
        <f t="shared" si="59"/>
        <v>0</v>
      </c>
      <c r="AM41" s="16">
        <f t="shared" si="59"/>
        <v>0</v>
      </c>
      <c r="AN41" s="16">
        <f t="shared" si="59"/>
        <v>0</v>
      </c>
      <c r="AO41" s="16">
        <f t="shared" si="59"/>
        <v>0</v>
      </c>
      <c r="AP41" s="10"/>
      <c r="AQ41" s="10"/>
      <c r="AR41" s="10"/>
      <c r="AS41" s="10" t="str">
        <f t="shared" ref="AS41" ca="1" si="72">IFERROR(__xludf.DUMMYFUNCTION("split(F31,"","",true,true)"),"Undisclosed")</f>
        <v>Undisclosed</v>
      </c>
      <c r="AT41" s="10"/>
      <c r="AU41" s="10"/>
      <c r="AV41" s="10"/>
      <c r="AW41" s="10"/>
      <c r="AX41" s="10"/>
      <c r="AY41" s="10"/>
      <c r="AZ41" s="10"/>
      <c r="BA41" s="10"/>
      <c r="BB41" s="10"/>
      <c r="BC41" s="10"/>
      <c r="BD41" s="10"/>
      <c r="BE41" s="10"/>
      <c r="BF41" s="10"/>
      <c r="BG41" s="10"/>
      <c r="BH41" s="10"/>
      <c r="BI41" s="10"/>
      <c r="BJ41" s="10"/>
      <c r="BK41" s="10"/>
      <c r="BM41" s="10"/>
    </row>
    <row r="42" spans="1:65" ht="12.75">
      <c r="A42" s="9">
        <v>41542</v>
      </c>
      <c r="B42" s="10" t="s">
        <v>143</v>
      </c>
      <c r="C42" s="11">
        <v>20000</v>
      </c>
      <c r="D42" s="12"/>
      <c r="E42" s="10" t="s">
        <v>45</v>
      </c>
      <c r="F42" s="10" t="s">
        <v>110</v>
      </c>
      <c r="G42" s="13" t="s">
        <v>144</v>
      </c>
      <c r="H42" s="14" t="str">
        <f t="array" ref="H42">IFERROR(INDEX([1]Companies!$G:$G,MATCH(B42,[1]Companies!$A:$A,0)),"")</f>
        <v>Egypt</v>
      </c>
      <c r="I42" s="14" t="str">
        <f t="shared" si="66"/>
        <v>Egypt</v>
      </c>
      <c r="J42" s="14" t="str">
        <f t="array" ref="J42">IFERROR(INDEX([1]Companies!$Y:$Y,MATCH(B42,[1]Companies!$A:$A,0)),"")</f>
        <v>Events Management, Service Industry, Funeral Management</v>
      </c>
      <c r="K42" s="14" t="str">
        <f t="array" ref="K42">IFERROR(INDEX([1]Companies!$X:$X,MATCH(B42,[1]Companies!$A:$A,0)),"")</f>
        <v>Media &amp; Entertainment</v>
      </c>
      <c r="L42" s="14" t="str">
        <f>VLOOKUP(B42,[1]Companies!$A$1:$C$5243,1,FALSE)</f>
        <v>Elwafeyat</v>
      </c>
      <c r="M42" s="15">
        <f t="shared" si="67"/>
        <v>0.9</v>
      </c>
      <c r="N42" s="10" t="str">
        <f t="shared" si="68"/>
        <v>41542Elwafeyat20000</v>
      </c>
      <c r="O42" s="14" t="str">
        <f t="shared" si="69"/>
        <v/>
      </c>
      <c r="P42" s="14">
        <f t="shared" si="70"/>
        <v>1</v>
      </c>
      <c r="Q42" s="14">
        <f t="array" ref="Q42">IFERROR(INDEX([1]Companies!$D:$D,MATCH(B42,[1]Companies!$A:$A,0)),"")</f>
        <v>2013</v>
      </c>
      <c r="R42" s="17">
        <f t="shared" si="71"/>
        <v>100000</v>
      </c>
      <c r="S42" s="14">
        <f>VLOOKUP(I42,[1]Lookups!$V$3:$Y$197,4,FALSE)</f>
        <v>0</v>
      </c>
      <c r="T42" s="14" t="str">
        <f>VLOOKUP(E42,[1]Lookups!$H$3:$I$71,2,FALSE)</f>
        <v>2. Seed</v>
      </c>
      <c r="U42" s="14" t="str">
        <f>VLOOKUP(K42,[1]Lookups!$B$3:$C$142,2,FALSE)</f>
        <v>Media &amp; Entertainment</v>
      </c>
      <c r="V42" s="14">
        <f t="shared" si="1"/>
        <v>2013</v>
      </c>
      <c r="W42" s="14">
        <f t="shared" si="2"/>
        <v>9</v>
      </c>
      <c r="X42" s="14">
        <f>VLOOKUP(W42,[1]Lookups!$P$3:$S$15,2,FALSE)</f>
        <v>3</v>
      </c>
      <c r="Y42" s="16">
        <f>VLOOKUP(W42,[1]Lookups!$P$3:$U$15,3,FALSE)</f>
        <v>2</v>
      </c>
      <c r="Z42" s="16">
        <f t="shared" si="3"/>
        <v>1</v>
      </c>
      <c r="AA42" s="16" t="str">
        <f t="shared" ca="1" si="59"/>
        <v>Undisclosed</v>
      </c>
      <c r="AB42" s="16">
        <f t="shared" si="59"/>
        <v>0</v>
      </c>
      <c r="AC42" s="16">
        <f t="shared" si="59"/>
        <v>0</v>
      </c>
      <c r="AD42" s="16">
        <f t="shared" si="59"/>
        <v>0</v>
      </c>
      <c r="AE42" s="16">
        <f t="shared" si="59"/>
        <v>0</v>
      </c>
      <c r="AF42" s="16">
        <f t="shared" si="59"/>
        <v>0</v>
      </c>
      <c r="AG42" s="16">
        <f t="shared" si="59"/>
        <v>0</v>
      </c>
      <c r="AH42" s="16">
        <f t="shared" si="59"/>
        <v>0</v>
      </c>
      <c r="AI42" s="16">
        <f t="shared" si="59"/>
        <v>0</v>
      </c>
      <c r="AJ42" s="16">
        <f t="shared" si="59"/>
        <v>0</v>
      </c>
      <c r="AK42" s="16">
        <f t="shared" si="59"/>
        <v>0</v>
      </c>
      <c r="AL42" s="16">
        <f t="shared" si="59"/>
        <v>0</v>
      </c>
      <c r="AM42" s="16">
        <f t="shared" si="59"/>
        <v>0</v>
      </c>
      <c r="AN42" s="16">
        <f t="shared" si="59"/>
        <v>0</v>
      </c>
      <c r="AO42" s="16">
        <f t="shared" si="59"/>
        <v>0</v>
      </c>
      <c r="AP42" s="10"/>
      <c r="AQ42" s="10"/>
      <c r="AR42" s="10"/>
      <c r="AS42" s="10" t="str">
        <f t="shared" ref="AS42" ca="1" si="73">IFERROR(__xludf.DUMMYFUNCTION("split(F31,"","",true,true)"),"Undisclosed")</f>
        <v>Undisclosed</v>
      </c>
      <c r="AT42" s="10"/>
      <c r="AU42" s="10"/>
      <c r="AV42" s="10"/>
      <c r="AW42" s="10"/>
      <c r="AX42" s="10"/>
      <c r="AY42" s="10"/>
      <c r="AZ42" s="10"/>
      <c r="BA42" s="10"/>
      <c r="BB42" s="10"/>
      <c r="BC42" s="10"/>
      <c r="BD42" s="10"/>
      <c r="BE42" s="10"/>
      <c r="BF42" s="10"/>
      <c r="BG42" s="10"/>
      <c r="BH42" s="10"/>
      <c r="BI42" s="10"/>
      <c r="BJ42" s="10"/>
      <c r="BK42" s="10"/>
      <c r="BM42" s="10"/>
    </row>
    <row r="43" spans="1:65" ht="12.75">
      <c r="A43" s="9">
        <v>41544</v>
      </c>
      <c r="B43" s="10" t="s">
        <v>145</v>
      </c>
      <c r="C43" s="11">
        <v>175000</v>
      </c>
      <c r="D43" s="12"/>
      <c r="E43" s="10" t="s">
        <v>45</v>
      </c>
      <c r="F43" s="10" t="s">
        <v>146</v>
      </c>
      <c r="G43" s="13" t="s">
        <v>147</v>
      </c>
      <c r="H43" s="14" t="str">
        <f t="array" ref="H43">IFERROR(INDEX([1]Companies!$G:$G,MATCH(B43,[1]Companies!$A:$A,0)),"")</f>
        <v>Egypt</v>
      </c>
      <c r="I43" s="14" t="str">
        <f t="shared" si="66"/>
        <v>Egypt</v>
      </c>
      <c r="J43" s="14" t="str">
        <f t="array" ref="J43">IFERROR(INDEX([1]Companies!$Y:$Y,MATCH(B43,[1]Companies!$A:$A,0)),"")</f>
        <v>Event Management, Event Apps, Conferences</v>
      </c>
      <c r="K43" s="14" t="str">
        <f t="array" ref="K43">IFERROR(INDEX([1]Companies!$X:$X,MATCH(B43,[1]Companies!$A:$A,0)),"")</f>
        <v>Commercial &amp; Professional Services</v>
      </c>
      <c r="L43" s="14" t="str">
        <f>VLOOKUP(B43,[1]Companies!$A$1:$C$5243,1,FALSE)</f>
        <v>Eventtus</v>
      </c>
      <c r="M43" s="15">
        <f t="shared" si="67"/>
        <v>0.9</v>
      </c>
      <c r="N43" s="10" t="str">
        <f t="shared" si="68"/>
        <v>41544Eventtus175000</v>
      </c>
      <c r="O43" s="14" t="str">
        <f t="shared" si="69"/>
        <v/>
      </c>
      <c r="P43" s="14">
        <f t="shared" si="70"/>
        <v>1</v>
      </c>
      <c r="Q43" s="14">
        <f t="array" ref="Q43">IFERROR(INDEX([1]Companies!$D:$D,MATCH(B43,[1]Companies!$A:$A,0)),"")</f>
        <v>2012</v>
      </c>
      <c r="R43" s="17">
        <f t="shared" si="71"/>
        <v>2625000</v>
      </c>
      <c r="S43" s="14">
        <f>VLOOKUP(I43,[1]Lookups!$V$3:$Y$197,4,FALSE)</f>
        <v>0</v>
      </c>
      <c r="T43" s="14" t="str">
        <f>VLOOKUP(E43,[1]Lookups!$H$3:$I$71,2,FALSE)</f>
        <v>2. Seed</v>
      </c>
      <c r="U43" s="14" t="str">
        <f>VLOOKUP(K43,[1]Lookups!$B$3:$C$142,2,FALSE)</f>
        <v>Other Technologies &amp; Information Technology</v>
      </c>
      <c r="V43" s="14">
        <f t="shared" si="1"/>
        <v>2013</v>
      </c>
      <c r="W43" s="14">
        <f t="shared" si="2"/>
        <v>9</v>
      </c>
      <c r="X43" s="14">
        <f>VLOOKUP(W43,[1]Lookups!$P$3:$S$15,2,FALSE)</f>
        <v>3</v>
      </c>
      <c r="Y43" s="16">
        <f>VLOOKUP(W43,[1]Lookups!$P$3:$U$15,3,FALSE)</f>
        <v>2</v>
      </c>
      <c r="Z43" s="16">
        <f t="shared" si="3"/>
        <v>2</v>
      </c>
      <c r="AA43" s="16" t="str">
        <f t="shared" ca="1" si="59"/>
        <v>Undisclosed</v>
      </c>
      <c r="AB43" s="16" t="str">
        <f t="shared" ca="1" si="59"/>
        <v xml:space="preserve"> Cairo Angels</v>
      </c>
      <c r="AC43" s="16">
        <f t="shared" si="59"/>
        <v>0</v>
      </c>
      <c r="AD43" s="16">
        <f t="shared" si="59"/>
        <v>0</v>
      </c>
      <c r="AE43" s="16">
        <f t="shared" si="59"/>
        <v>0</v>
      </c>
      <c r="AF43" s="16">
        <f t="shared" si="59"/>
        <v>0</v>
      </c>
      <c r="AG43" s="16">
        <f t="shared" si="59"/>
        <v>0</v>
      </c>
      <c r="AH43" s="16">
        <f t="shared" si="59"/>
        <v>0</v>
      </c>
      <c r="AI43" s="16">
        <f t="shared" si="59"/>
        <v>0</v>
      </c>
      <c r="AJ43" s="16">
        <f t="shared" si="59"/>
        <v>0</v>
      </c>
      <c r="AK43" s="16">
        <f t="shared" si="59"/>
        <v>0</v>
      </c>
      <c r="AL43" s="16">
        <f t="shared" si="59"/>
        <v>0</v>
      </c>
      <c r="AM43" s="16">
        <f t="shared" si="59"/>
        <v>0</v>
      </c>
      <c r="AN43" s="16">
        <f t="shared" si="59"/>
        <v>0</v>
      </c>
      <c r="AO43" s="16">
        <f t="shared" si="59"/>
        <v>0</v>
      </c>
      <c r="AP43" s="10"/>
      <c r="AQ43" s="10"/>
      <c r="AR43" s="10"/>
      <c r="AS43" s="10" t="str">
        <f t="shared" ref="AS43" ca="1" si="74">IFERROR(__xludf.DUMMYFUNCTION("split(F31,"","",true,true)"),"Undisclosed")</f>
        <v>Undisclosed</v>
      </c>
      <c r="AT43" s="10" t="str">
        <f ca="1">IFERROR(__xludf.DUMMYFUNCTION("""COMPUTED_VALUE""")," Cairo Angels")</f>
        <v xml:space="preserve"> Cairo Angels</v>
      </c>
      <c r="AU43" s="10"/>
      <c r="AV43" s="10"/>
      <c r="AW43" s="10"/>
      <c r="AX43" s="10"/>
      <c r="AY43" s="10"/>
      <c r="AZ43" s="10"/>
      <c r="BA43" s="10"/>
      <c r="BB43" s="10"/>
      <c r="BC43" s="10"/>
      <c r="BD43" s="10"/>
      <c r="BE43" s="10"/>
      <c r="BF43" s="10"/>
      <c r="BG43" s="10"/>
      <c r="BH43" s="10"/>
      <c r="BI43" s="10"/>
      <c r="BJ43" s="10"/>
      <c r="BK43" s="10"/>
      <c r="BM43" s="10"/>
    </row>
    <row r="44" spans="1:65" ht="12.75">
      <c r="A44" s="18">
        <v>41590</v>
      </c>
      <c r="B44" s="14" t="s">
        <v>58</v>
      </c>
      <c r="C44" s="19">
        <v>2600000</v>
      </c>
      <c r="D44" s="19"/>
      <c r="E44" s="14" t="s">
        <v>69</v>
      </c>
      <c r="F44" s="20" t="s">
        <v>148</v>
      </c>
      <c r="G44" s="21" t="s">
        <v>149</v>
      </c>
      <c r="H44" s="14" t="str">
        <f t="array" ref="H44">IFERROR(INDEX([1]Companies!$G:$G,MATCH(B44,[1]Companies!$A:$A,0)),"")</f>
        <v>Kenya</v>
      </c>
      <c r="I44" s="14" t="str">
        <f t="shared" si="66"/>
        <v>Kenya</v>
      </c>
      <c r="J44" s="14" t="str">
        <f t="array" ref="J44">IFERROR(INDEX([1]Companies!$Y:$Y,MATCH(B44,[1]Companies!$A:$A,0)),"")</f>
        <v>Enterprise Software, Financial Services, Information Technology, Mobile Payments, Payments, Social Entrepreneurship, Telecommunications</v>
      </c>
      <c r="K44" s="14" t="str">
        <f t="array" ref="K44">IFERROR(INDEX([1]Companies!$X:$X,MATCH(B44,[1]Companies!$A:$A,0)),"")</f>
        <v>Financial Services</v>
      </c>
      <c r="L44" s="14" t="str">
        <f>VLOOKUP(B44,[1]Companies!$A$1:$C$5243,1,FALSE)</f>
        <v>Kopo Kopo</v>
      </c>
      <c r="M44" s="15">
        <f t="shared" si="67"/>
        <v>0.9</v>
      </c>
      <c r="N44" s="10" t="str">
        <f t="shared" si="68"/>
        <v>41590Kopo Kopo2600000</v>
      </c>
      <c r="O44" s="14" t="str">
        <f t="shared" si="69"/>
        <v/>
      </c>
      <c r="P44" s="14">
        <f t="shared" si="70"/>
        <v>1</v>
      </c>
      <c r="Q44" s="14">
        <f t="array" ref="Q44">IFERROR(INDEX([1]Companies!$D:$D,MATCH(B44,[1]Companies!$A:$A,0)),"")</f>
        <v>2011</v>
      </c>
      <c r="R44" s="17">
        <f t="shared" si="71"/>
        <v>6504900</v>
      </c>
      <c r="S44" s="14">
        <f>VLOOKUP(I44,[1]Lookups!$V$3:$Y$197,4,FALSE)</f>
        <v>0</v>
      </c>
      <c r="T44" s="14" t="str">
        <f>VLOOKUP(E44,[1]Lookups!$H$3:$I$71,2,FALSE)</f>
        <v>3. Early Venture</v>
      </c>
      <c r="U44" s="14" t="str">
        <f>VLOOKUP(K44,[1]Lookups!$B$3:$C$142,2,FALSE)</f>
        <v>Financial Services</v>
      </c>
      <c r="V44" s="14">
        <f t="shared" si="1"/>
        <v>2013</v>
      </c>
      <c r="W44" s="14">
        <f t="shared" si="2"/>
        <v>11</v>
      </c>
      <c r="X44" s="14">
        <f>VLOOKUP(W44,[1]Lookups!$P$3:$S$15,2,FALSE)</f>
        <v>4</v>
      </c>
      <c r="Y44" s="16">
        <f>VLOOKUP(W44,[1]Lookups!$P$3:$U$15,3,FALSE)</f>
        <v>2</v>
      </c>
      <c r="Z44" s="16">
        <f t="shared" si="3"/>
        <v>3</v>
      </c>
      <c r="AA44" s="16" t="str">
        <f t="shared" ca="1" si="59"/>
        <v>Undisclosed</v>
      </c>
      <c r="AB44" s="16" t="str">
        <f t="shared" ca="1" si="59"/>
        <v xml:space="preserve">  Accion Venture Lab</v>
      </c>
      <c r="AC44" s="16" t="str">
        <f t="shared" ca="1" si="59"/>
        <v xml:space="preserve"> Khosla Impact</v>
      </c>
      <c r="AD44" s="16">
        <f t="shared" si="59"/>
        <v>0</v>
      </c>
      <c r="AE44" s="16">
        <f t="shared" si="59"/>
        <v>0</v>
      </c>
      <c r="AF44" s="16">
        <f t="shared" si="59"/>
        <v>0</v>
      </c>
      <c r="AG44" s="16">
        <f t="shared" si="59"/>
        <v>0</v>
      </c>
      <c r="AH44" s="16">
        <f t="shared" si="59"/>
        <v>0</v>
      </c>
      <c r="AI44" s="16">
        <f t="shared" si="59"/>
        <v>0</v>
      </c>
      <c r="AJ44" s="16">
        <f t="shared" si="59"/>
        <v>0</v>
      </c>
      <c r="AK44" s="16">
        <f t="shared" si="59"/>
        <v>0</v>
      </c>
      <c r="AL44" s="16">
        <f t="shared" si="59"/>
        <v>0</v>
      </c>
      <c r="AM44" s="16">
        <f t="shared" si="59"/>
        <v>0</v>
      </c>
      <c r="AN44" s="16">
        <f t="shared" si="59"/>
        <v>0</v>
      </c>
      <c r="AO44" s="16">
        <f t="shared" si="59"/>
        <v>0</v>
      </c>
      <c r="AP44" s="10"/>
      <c r="AQ44" s="10"/>
      <c r="AR44" s="10"/>
      <c r="AS44" s="10" t="str">
        <f t="shared" ref="AS44" ca="1" si="75">IFERROR(__xludf.DUMMYFUNCTION("split(F31,"","",true,true)"),"Undisclosed")</f>
        <v>Undisclosed</v>
      </c>
      <c r="AT44" s="10" t="str">
        <f ca="1">IFERROR(__xludf.DUMMYFUNCTION("""COMPUTED_VALUE"""),"  Accion Venture Lab")</f>
        <v xml:space="preserve">  Accion Venture Lab</v>
      </c>
      <c r="AU44" s="10" t="str">
        <f ca="1">IFERROR(__xludf.DUMMYFUNCTION("""COMPUTED_VALUE""")," Khosla Impact")</f>
        <v xml:space="preserve"> Khosla Impact</v>
      </c>
      <c r="AV44" s="10"/>
      <c r="AW44" s="10"/>
      <c r="AX44" s="10"/>
      <c r="AY44" s="10"/>
      <c r="AZ44" s="10"/>
      <c r="BA44" s="10"/>
      <c r="BB44" s="10"/>
      <c r="BC44" s="10"/>
      <c r="BD44" s="10"/>
      <c r="BE44" s="10"/>
      <c r="BF44" s="10"/>
      <c r="BG44" s="10"/>
      <c r="BH44" s="10"/>
      <c r="BI44" s="10"/>
      <c r="BJ44" s="10"/>
      <c r="BK44" s="10"/>
      <c r="BM44" s="10"/>
    </row>
    <row r="45" spans="1:65" ht="12.75">
      <c r="A45" s="9">
        <v>41591</v>
      </c>
      <c r="B45" s="10" t="s">
        <v>64</v>
      </c>
      <c r="C45" s="11" t="s">
        <v>49</v>
      </c>
      <c r="D45" s="12"/>
      <c r="E45" s="14" t="s">
        <v>45</v>
      </c>
      <c r="F45" s="10" t="s">
        <v>150</v>
      </c>
      <c r="G45" s="13" t="s">
        <v>151</v>
      </c>
      <c r="H45" s="14" t="str">
        <f t="array" ref="H45">IFERROR(INDEX([1]Companies!$G:$G,MATCH(B45,[1]Companies!$A:$A,0)),"")</f>
        <v>Egypt</v>
      </c>
      <c r="I45" s="14" t="str">
        <f t="shared" si="66"/>
        <v>Egypt</v>
      </c>
      <c r="J45" s="14" t="str">
        <f t="array" ref="J45">IFERROR(INDEX([1]Companies!$Y:$Y,MATCH(B45,[1]Companies!$A:$A,0)),"")</f>
        <v>Information Services, Information Technology, Software, Web Development</v>
      </c>
      <c r="K45" s="14" t="str">
        <f t="array" ref="K45">IFERROR(INDEX([1]Companies!$X:$X,MATCH(B45,[1]Companies!$A:$A,0)),"")</f>
        <v>Recruitment</v>
      </c>
      <c r="L45" s="14" t="str">
        <f>VLOOKUP(B45,[1]Companies!$A$1:$C$5243,1,FALSE)</f>
        <v>Wuzzuf</v>
      </c>
      <c r="M45" s="15">
        <f t="shared" si="67"/>
        <v>0.9</v>
      </c>
      <c r="N45" s="10" t="str">
        <f t="shared" si="68"/>
        <v>41591WuzzufUndisclosed</v>
      </c>
      <c r="O45" s="14" t="str">
        <f t="shared" si="69"/>
        <v/>
      </c>
      <c r="P45" s="14">
        <f t="shared" si="70"/>
        <v>0</v>
      </c>
      <c r="Q45" s="14">
        <f t="array" ref="Q45">IFERROR(INDEX([1]Companies!$D:$D,MATCH(B45,[1]Companies!$A:$A,0)),"")</f>
        <v>2009</v>
      </c>
      <c r="R45" s="17">
        <f t="shared" si="71"/>
        <v>7850000</v>
      </c>
      <c r="S45" s="14">
        <f>VLOOKUP(I45,[1]Lookups!$V$3:$Y$197,4,FALSE)</f>
        <v>0</v>
      </c>
      <c r="T45" s="14" t="str">
        <f>VLOOKUP(E45,[1]Lookups!$H$3:$I$71,2,FALSE)</f>
        <v>2. Seed</v>
      </c>
      <c r="U45" s="14" t="str">
        <f>VLOOKUP(K45,[1]Lookups!$B$3:$C$142,2,FALSE)</f>
        <v>Employment, Talent &amp; Labour</v>
      </c>
      <c r="V45" s="14">
        <f t="shared" si="1"/>
        <v>2013</v>
      </c>
      <c r="W45" s="14">
        <f t="shared" si="2"/>
        <v>11</v>
      </c>
      <c r="X45" s="14">
        <f>VLOOKUP(W45,[1]Lookups!$P$3:$S$15,2,FALSE)</f>
        <v>4</v>
      </c>
      <c r="Y45" s="16">
        <f>VLOOKUP(W45,[1]Lookups!$P$3:$U$15,3,FALSE)</f>
        <v>2</v>
      </c>
      <c r="Z45" s="16">
        <f t="shared" si="3"/>
        <v>2</v>
      </c>
      <c r="AA45" s="16" t="str">
        <f t="shared" ca="1" si="59"/>
        <v>Undisclosed</v>
      </c>
      <c r="AB45" s="16" t="str">
        <f t="shared" ca="1" si="59"/>
        <v xml:space="preserve"> 500 startups</v>
      </c>
      <c r="AC45" s="16">
        <f t="shared" si="59"/>
        <v>0</v>
      </c>
      <c r="AD45" s="16">
        <f t="shared" si="59"/>
        <v>0</v>
      </c>
      <c r="AE45" s="16">
        <f t="shared" si="59"/>
        <v>0</v>
      </c>
      <c r="AF45" s="16">
        <f t="shared" si="59"/>
        <v>0</v>
      </c>
      <c r="AG45" s="16">
        <f t="shared" si="59"/>
        <v>0</v>
      </c>
      <c r="AH45" s="16">
        <f t="shared" si="59"/>
        <v>0</v>
      </c>
      <c r="AI45" s="16">
        <f t="shared" si="59"/>
        <v>0</v>
      </c>
      <c r="AJ45" s="16">
        <f t="shared" si="59"/>
        <v>0</v>
      </c>
      <c r="AK45" s="16">
        <f t="shared" si="59"/>
        <v>0</v>
      </c>
      <c r="AL45" s="16">
        <f t="shared" si="59"/>
        <v>0</v>
      </c>
      <c r="AM45" s="16">
        <f t="shared" si="59"/>
        <v>0</v>
      </c>
      <c r="AN45" s="16">
        <f t="shared" si="59"/>
        <v>0</v>
      </c>
      <c r="AO45" s="16">
        <f t="shared" si="59"/>
        <v>0</v>
      </c>
      <c r="AP45" s="10"/>
      <c r="AQ45" s="10"/>
      <c r="AR45" s="10"/>
      <c r="AS45" s="10" t="str">
        <f t="shared" ref="AS45" ca="1" si="76">IFERROR(__xludf.DUMMYFUNCTION("split(F31,"","",true,true)"),"Undisclosed")</f>
        <v>Undisclosed</v>
      </c>
      <c r="AT45" s="10" t="str">
        <f ca="1">IFERROR(__xludf.DUMMYFUNCTION("""COMPUTED_VALUE""")," 500 startups")</f>
        <v xml:space="preserve"> 500 startups</v>
      </c>
      <c r="AU45" s="10"/>
      <c r="AV45" s="10"/>
      <c r="AW45" s="10"/>
      <c r="AX45" s="10"/>
      <c r="AY45" s="10"/>
      <c r="AZ45" s="10"/>
      <c r="BA45" s="10"/>
      <c r="BB45" s="10"/>
      <c r="BC45" s="10"/>
      <c r="BD45" s="10"/>
      <c r="BE45" s="10"/>
      <c r="BF45" s="10"/>
      <c r="BG45" s="10"/>
      <c r="BH45" s="10"/>
      <c r="BI45" s="10"/>
      <c r="BJ45" s="10"/>
      <c r="BK45" s="10"/>
      <c r="BM45" s="10"/>
    </row>
    <row r="46" spans="1:65" ht="12.75">
      <c r="A46" s="9">
        <v>41599</v>
      </c>
      <c r="B46" s="10" t="s">
        <v>152</v>
      </c>
      <c r="C46" s="11">
        <v>25000</v>
      </c>
      <c r="D46" s="12"/>
      <c r="E46" s="10" t="s">
        <v>45</v>
      </c>
      <c r="F46" s="10" t="s">
        <v>131</v>
      </c>
      <c r="G46" s="13" t="s">
        <v>153</v>
      </c>
      <c r="H46" s="14" t="str">
        <f t="array" ref="H46">IFERROR(INDEX([1]Companies!$G:$G,MATCH(B46,[1]Companies!$A:$A,0)),"")</f>
        <v>Kenya</v>
      </c>
      <c r="I46" s="14" t="str">
        <f t="shared" si="66"/>
        <v>Kenya</v>
      </c>
      <c r="J46" s="14" t="str">
        <f t="array" ref="J46">IFERROR(INDEX([1]Companies!$Y:$Y,MATCH(B46,[1]Companies!$A:$A,0)),"")</f>
        <v>Fintech, Payment solutions</v>
      </c>
      <c r="K46" s="14" t="str">
        <f t="array" ref="K46">IFERROR(INDEX([1]Companies!$X:$X,MATCH(B46,[1]Companies!$A:$A,0)),"")</f>
        <v>Financial Services</v>
      </c>
      <c r="L46" s="14" t="str">
        <f>VLOOKUP(B46,[1]Companies!$A$1:$C$5243,1,FALSE)</f>
        <v>Paykind Inc</v>
      </c>
      <c r="M46" s="15">
        <f t="shared" si="67"/>
        <v>0.9</v>
      </c>
      <c r="N46" s="10" t="str">
        <f t="shared" si="68"/>
        <v>41599Paykind Inc25000</v>
      </c>
      <c r="O46" s="14" t="str">
        <f t="shared" si="69"/>
        <v/>
      </c>
      <c r="P46" s="14">
        <f t="shared" si="70"/>
        <v>1</v>
      </c>
      <c r="Q46" s="14">
        <f t="array" ref="Q46">IFERROR(INDEX([1]Companies!$D:$D,MATCH(B46,[1]Companies!$A:$A,0)),"")</f>
        <v>2011</v>
      </c>
      <c r="R46" s="17">
        <f t="shared" si="71"/>
        <v>105000</v>
      </c>
      <c r="S46" s="14">
        <f>VLOOKUP(I46,[1]Lookups!$V$3:$Y$197,4,FALSE)</f>
        <v>0</v>
      </c>
      <c r="T46" s="14" t="str">
        <f>VLOOKUP(E46,[1]Lookups!$H$3:$I$71,2,FALSE)</f>
        <v>2. Seed</v>
      </c>
      <c r="U46" s="14" t="str">
        <f>VLOOKUP(K46,[1]Lookups!$B$3:$C$142,2,FALSE)</f>
        <v>Financial Services</v>
      </c>
      <c r="V46" s="14">
        <f t="shared" si="1"/>
        <v>2013</v>
      </c>
      <c r="W46" s="14">
        <f t="shared" si="2"/>
        <v>11</v>
      </c>
      <c r="X46" s="14">
        <f>VLOOKUP(W46,[1]Lookups!$P$3:$S$15,2,FALSE)</f>
        <v>4</v>
      </c>
      <c r="Y46" s="16">
        <f>VLOOKUP(W46,[1]Lookups!$P$3:$U$15,3,FALSE)</f>
        <v>2</v>
      </c>
      <c r="Z46" s="16">
        <f t="shared" si="3"/>
        <v>1</v>
      </c>
      <c r="AA46" s="16" t="str">
        <f t="shared" ca="1" si="59"/>
        <v>Undisclosed</v>
      </c>
      <c r="AB46" s="16">
        <f t="shared" si="59"/>
        <v>0</v>
      </c>
      <c r="AC46" s="16">
        <f t="shared" si="59"/>
        <v>0</v>
      </c>
      <c r="AD46" s="16">
        <f t="shared" si="59"/>
        <v>0</v>
      </c>
      <c r="AE46" s="16">
        <f t="shared" si="59"/>
        <v>0</v>
      </c>
      <c r="AF46" s="16">
        <f t="shared" si="59"/>
        <v>0</v>
      </c>
      <c r="AG46" s="16">
        <f t="shared" si="59"/>
        <v>0</v>
      </c>
      <c r="AH46" s="16">
        <f t="shared" si="59"/>
        <v>0</v>
      </c>
      <c r="AI46" s="16">
        <f t="shared" si="59"/>
        <v>0</v>
      </c>
      <c r="AJ46" s="16">
        <f t="shared" si="59"/>
        <v>0</v>
      </c>
      <c r="AK46" s="16">
        <f t="shared" si="59"/>
        <v>0</v>
      </c>
      <c r="AL46" s="16">
        <f t="shared" si="59"/>
        <v>0</v>
      </c>
      <c r="AM46" s="16">
        <f t="shared" si="59"/>
        <v>0</v>
      </c>
      <c r="AN46" s="16">
        <f t="shared" si="59"/>
        <v>0</v>
      </c>
      <c r="AO46" s="16">
        <f t="shared" si="59"/>
        <v>0</v>
      </c>
      <c r="AP46" s="10"/>
      <c r="AQ46" s="10"/>
      <c r="AR46" s="10"/>
      <c r="AS46" s="10" t="str">
        <f t="shared" ref="AS46" ca="1" si="77">IFERROR(__xludf.DUMMYFUNCTION("split(F31,"","",true,true)"),"Undisclosed")</f>
        <v>Undisclosed</v>
      </c>
      <c r="AT46" s="10"/>
      <c r="AU46" s="10"/>
      <c r="AV46" s="10"/>
      <c r="AW46" s="10"/>
      <c r="AX46" s="10"/>
      <c r="AY46" s="10"/>
      <c r="AZ46" s="10"/>
      <c r="BA46" s="10"/>
      <c r="BB46" s="10"/>
      <c r="BC46" s="10"/>
      <c r="BD46" s="10"/>
      <c r="BE46" s="10"/>
      <c r="BF46" s="10"/>
      <c r="BG46" s="10"/>
      <c r="BH46" s="10"/>
      <c r="BI46" s="10"/>
      <c r="BJ46" s="10"/>
      <c r="BK46" s="10"/>
      <c r="BM46" s="10"/>
    </row>
    <row r="47" spans="1:65" ht="12.75">
      <c r="A47" s="9">
        <v>41609</v>
      </c>
      <c r="B47" s="10" t="s">
        <v>154</v>
      </c>
      <c r="C47" s="11">
        <v>300000</v>
      </c>
      <c r="D47" s="12"/>
      <c r="E47" s="14" t="s">
        <v>45</v>
      </c>
      <c r="F47" s="10" t="s">
        <v>155</v>
      </c>
      <c r="G47" s="13" t="s">
        <v>156</v>
      </c>
      <c r="H47" s="14" t="str">
        <f t="array" ref="H47">IFERROR(INDEX([1]Companies!$G:$G,MATCH(B47,[1]Companies!$A:$A,0)),"")</f>
        <v>Egypt</v>
      </c>
      <c r="I47" s="14" t="str">
        <f t="shared" si="66"/>
        <v>Egypt</v>
      </c>
      <c r="J47" s="14" t="str">
        <f t="array" ref="J47">IFERROR(INDEX([1]Companies!$Y:$Y,MATCH(B47,[1]Companies!$A:$A,0)),"")</f>
        <v>iOS, Mobile, Software</v>
      </c>
      <c r="K47" s="14" t="str">
        <f t="array" ref="K47">IFERROR(INDEX([1]Companies!$X:$X,MATCH(B47,[1]Companies!$A:$A,0)),"")</f>
        <v>Software</v>
      </c>
      <c r="L47" s="14" t="str">
        <f>VLOOKUP(B47,[1]Companies!$A$1:$C$5243,1,FALSE)</f>
        <v>Instabug</v>
      </c>
      <c r="M47" s="15">
        <f t="shared" si="67"/>
        <v>0.9</v>
      </c>
      <c r="N47" s="10" t="str">
        <f t="shared" si="68"/>
        <v>41609Instabug300000</v>
      </c>
      <c r="O47" s="14" t="str">
        <f t="shared" si="69"/>
        <v/>
      </c>
      <c r="P47" s="14">
        <f t="shared" si="70"/>
        <v>1</v>
      </c>
      <c r="Q47" s="14">
        <f t="array" ref="Q47">IFERROR(INDEX([1]Companies!$D:$D,MATCH(B47,[1]Companies!$A:$A,0)),"")</f>
        <v>2013</v>
      </c>
      <c r="R47" s="17">
        <f t="shared" si="71"/>
        <v>2120000</v>
      </c>
      <c r="S47" s="14">
        <f>VLOOKUP(I47,[1]Lookups!$V$3:$Y$197,4,FALSE)</f>
        <v>0</v>
      </c>
      <c r="T47" s="14" t="str">
        <f>VLOOKUP(E47,[1]Lookups!$H$3:$I$71,2,FALSE)</f>
        <v>2. Seed</v>
      </c>
      <c r="U47" s="14" t="str">
        <f>VLOOKUP(K47,[1]Lookups!$B$3:$C$142,2,FALSE)</f>
        <v>Other Technologies &amp; Information Technology</v>
      </c>
      <c r="V47" s="14">
        <f t="shared" si="1"/>
        <v>2013</v>
      </c>
      <c r="W47" s="14">
        <f t="shared" si="2"/>
        <v>12</v>
      </c>
      <c r="X47" s="14">
        <f>VLOOKUP(W47,[1]Lookups!$P$3:$S$15,2,FALSE)</f>
        <v>4</v>
      </c>
      <c r="Y47" s="16">
        <f>VLOOKUP(W47,[1]Lookups!$P$3:$U$15,3,FALSE)</f>
        <v>2</v>
      </c>
      <c r="Z47" s="16">
        <f t="shared" si="3"/>
        <v>6</v>
      </c>
      <c r="AA47" s="16" t="str">
        <f t="shared" ca="1" si="59"/>
        <v>Undisclosed</v>
      </c>
      <c r="AB47" s="16" t="str">
        <f t="shared" ca="1" si="59"/>
        <v xml:space="preserve"> Middle East Venture Partners (MEVP)</v>
      </c>
      <c r="AC47" s="16" t="str">
        <f t="shared" ca="1" si="59"/>
        <v xml:space="preserve"> Georges Harik</v>
      </c>
      <c r="AD47" s="16" t="str">
        <f t="shared" ca="1" si="59"/>
        <v xml:space="preserve"> Cairo Angels</v>
      </c>
      <c r="AE47" s="16" t="str">
        <f t="shared" ca="1" si="59"/>
        <v xml:space="preserve"> Amr Awadallah</v>
      </c>
      <c r="AF47" s="16" t="str">
        <f t="shared" ca="1" si="59"/>
        <v xml:space="preserve"> Ihab Hinnawi</v>
      </c>
      <c r="AG47" s="16">
        <f t="shared" si="59"/>
        <v>0</v>
      </c>
      <c r="AH47" s="16">
        <f t="shared" si="59"/>
        <v>0</v>
      </c>
      <c r="AI47" s="16">
        <f t="shared" si="59"/>
        <v>0</v>
      </c>
      <c r="AJ47" s="16">
        <f t="shared" si="59"/>
        <v>0</v>
      </c>
      <c r="AK47" s="16">
        <f t="shared" si="59"/>
        <v>0</v>
      </c>
      <c r="AL47" s="16">
        <f t="shared" si="59"/>
        <v>0</v>
      </c>
      <c r="AM47" s="16">
        <f t="shared" si="59"/>
        <v>0</v>
      </c>
      <c r="AN47" s="16">
        <f t="shared" si="59"/>
        <v>0</v>
      </c>
      <c r="AO47" s="16">
        <f t="shared" si="59"/>
        <v>0</v>
      </c>
      <c r="AP47" s="10"/>
      <c r="AQ47" s="10"/>
      <c r="AR47" s="10"/>
      <c r="AS47" s="10" t="str">
        <f t="shared" ref="AS47" ca="1" si="78">IFERROR(__xludf.DUMMYFUNCTION("split(F31,"","",true,true)"),"Undisclosed")</f>
        <v>Undisclosed</v>
      </c>
      <c r="AT47" s="25" t="str">
        <f ca="1">IFERROR(__xludf.DUMMYFUNCTION("""COMPUTED_VALUE""")," Middle East Venture Partners (MEVP)")</f>
        <v xml:space="preserve"> Middle East Venture Partners (MEVP)</v>
      </c>
      <c r="AU47" s="25" t="str">
        <f ca="1">IFERROR(__xludf.DUMMYFUNCTION("""COMPUTED_VALUE""")," Georges Harik")</f>
        <v xml:space="preserve"> Georges Harik</v>
      </c>
      <c r="AV47" s="25" t="str">
        <f ca="1">IFERROR(__xludf.DUMMYFUNCTION("""COMPUTED_VALUE""")," Cairo Angels")</f>
        <v xml:space="preserve"> Cairo Angels</v>
      </c>
      <c r="AW47" s="25" t="str">
        <f ca="1">IFERROR(__xludf.DUMMYFUNCTION("""COMPUTED_VALUE""")," Amr Awadallah")</f>
        <v xml:space="preserve"> Amr Awadallah</v>
      </c>
      <c r="AX47" s="25" t="str">
        <f ca="1">IFERROR(__xludf.DUMMYFUNCTION("""COMPUTED_VALUE""")," Ihab Hinnawi")</f>
        <v xml:space="preserve"> Ihab Hinnawi</v>
      </c>
      <c r="AY47" s="25"/>
      <c r="AZ47" s="25"/>
      <c r="BA47" s="25"/>
      <c r="BB47" s="25"/>
      <c r="BC47" s="25"/>
      <c r="BD47" s="25"/>
      <c r="BE47" s="25"/>
      <c r="BF47" s="25"/>
      <c r="BG47" s="25"/>
      <c r="BH47" s="25"/>
      <c r="BI47" s="25"/>
      <c r="BJ47" s="25"/>
      <c r="BK47" s="25"/>
      <c r="BM47" s="25"/>
    </row>
    <row r="48" spans="1:65" ht="12.75">
      <c r="A48" s="9">
        <v>41618</v>
      </c>
      <c r="B48" s="10" t="s">
        <v>157</v>
      </c>
      <c r="C48" s="11">
        <v>300000</v>
      </c>
      <c r="D48" s="12"/>
      <c r="E48" s="10" t="s">
        <v>48</v>
      </c>
      <c r="F48" s="10" t="s">
        <v>49</v>
      </c>
      <c r="G48" s="13" t="s">
        <v>158</v>
      </c>
      <c r="H48" s="14" t="str">
        <f t="array" ref="H48">IFERROR(INDEX([1]Companies!$G:$G,MATCH(B48,[1]Companies!$A:$A,0)),"")</f>
        <v>Uganda</v>
      </c>
      <c r="I48" s="14" t="str">
        <f t="shared" si="66"/>
        <v>Uganda</v>
      </c>
      <c r="J48" s="14" t="str">
        <f t="array" ref="J48">IFERROR(INDEX([1]Companies!$Y:$Y,MATCH(B48,[1]Companies!$A:$A,0)),"")</f>
        <v>Car Sharing, Financial Services, Web Development, Asset Financing, Boda Boda</v>
      </c>
      <c r="K48" s="14" t="str">
        <f t="array" ref="K48">IFERROR(INDEX([1]Companies!$X:$X,MATCH(B48,[1]Companies!$A:$A,0)),"")</f>
        <v>Financial Services</v>
      </c>
      <c r="L48" s="14" t="str">
        <f>VLOOKUP(B48,[1]Companies!$A$1:$C$5243,1,FALSE)</f>
        <v>Tugende</v>
      </c>
      <c r="M48" s="15">
        <f t="shared" si="67"/>
        <v>0.9</v>
      </c>
      <c r="N48" s="10" t="str">
        <f t="shared" si="68"/>
        <v>41618Tugende300000</v>
      </c>
      <c r="O48" s="14" t="str">
        <f t="shared" si="69"/>
        <v/>
      </c>
      <c r="P48" s="14">
        <f t="shared" si="70"/>
        <v>1</v>
      </c>
      <c r="Q48" s="14">
        <f t="array" ref="Q48">IFERROR(INDEX([1]Companies!$D:$D,MATCH(B48,[1]Companies!$A:$A,0)),"")</f>
        <v>2012</v>
      </c>
      <c r="R48" s="17">
        <f t="shared" si="71"/>
        <v>11080000</v>
      </c>
      <c r="S48" s="14">
        <f>VLOOKUP(I48,[1]Lookups!$V$3:$Y$197,4,FALSE)</f>
        <v>0</v>
      </c>
      <c r="T48" s="14" t="str">
        <f>VLOOKUP(E48,[1]Lookups!$H$3:$I$71,2,FALSE)</f>
        <v>2. Seed</v>
      </c>
      <c r="U48" s="14" t="str">
        <f>VLOOKUP(K48,[1]Lookups!$B$3:$C$142,2,FALSE)</f>
        <v>Financial Services</v>
      </c>
      <c r="V48" s="14">
        <f t="shared" si="1"/>
        <v>2013</v>
      </c>
      <c r="W48" s="14">
        <f t="shared" si="2"/>
        <v>12</v>
      </c>
      <c r="X48" s="14">
        <f>VLOOKUP(W48,[1]Lookups!$P$3:$S$15,2,FALSE)</f>
        <v>4</v>
      </c>
      <c r="Y48" s="16">
        <f>VLOOKUP(W48,[1]Lookups!$P$3:$U$15,3,FALSE)</f>
        <v>2</v>
      </c>
      <c r="Z48" s="16">
        <f t="shared" si="3"/>
        <v>1</v>
      </c>
      <c r="AA48" s="16" t="str">
        <f t="shared" ca="1" si="59"/>
        <v>Undisclosed</v>
      </c>
      <c r="AB48" s="16">
        <f t="shared" si="59"/>
        <v>0</v>
      </c>
      <c r="AC48" s="16">
        <f t="shared" si="59"/>
        <v>0</v>
      </c>
      <c r="AD48" s="16">
        <f t="shared" si="59"/>
        <v>0</v>
      </c>
      <c r="AE48" s="16">
        <f t="shared" si="59"/>
        <v>0</v>
      </c>
      <c r="AF48" s="16">
        <f t="shared" si="59"/>
        <v>0</v>
      </c>
      <c r="AG48" s="16">
        <f t="shared" si="59"/>
        <v>0</v>
      </c>
      <c r="AH48" s="16">
        <f t="shared" si="59"/>
        <v>0</v>
      </c>
      <c r="AI48" s="16">
        <f t="shared" si="59"/>
        <v>0</v>
      </c>
      <c r="AJ48" s="16">
        <f t="shared" si="59"/>
        <v>0</v>
      </c>
      <c r="AK48" s="16">
        <f t="shared" si="59"/>
        <v>0</v>
      </c>
      <c r="AL48" s="16">
        <f t="shared" si="59"/>
        <v>0</v>
      </c>
      <c r="AM48" s="16">
        <f t="shared" si="59"/>
        <v>0</v>
      </c>
      <c r="AN48" s="16">
        <f t="shared" si="59"/>
        <v>0</v>
      </c>
      <c r="AO48" s="16">
        <f t="shared" si="59"/>
        <v>0</v>
      </c>
      <c r="AP48" s="10"/>
      <c r="AQ48" s="10"/>
      <c r="AR48" s="10"/>
      <c r="AS48" s="10" t="str">
        <f t="shared" ref="AS48" ca="1" si="79">IFERROR(__xludf.DUMMYFUNCTION("split(F31,"","",true,true)"),"Undisclosed")</f>
        <v>Undisclosed</v>
      </c>
      <c r="AT48" s="10"/>
      <c r="AU48" s="10"/>
      <c r="AV48" s="10"/>
      <c r="AW48" s="10"/>
      <c r="AX48" s="10"/>
      <c r="AY48" s="10"/>
      <c r="AZ48" s="10"/>
      <c r="BA48" s="10"/>
      <c r="BB48" s="10"/>
      <c r="BC48" s="10"/>
      <c r="BD48" s="10"/>
      <c r="BE48" s="10"/>
      <c r="BF48" s="10"/>
      <c r="BG48" s="10"/>
      <c r="BH48" s="10"/>
      <c r="BI48" s="10"/>
      <c r="BJ48" s="10"/>
      <c r="BK48" s="10"/>
      <c r="BM48" s="10"/>
    </row>
    <row r="49" spans="1:65" ht="12.75">
      <c r="A49" s="18">
        <v>41621</v>
      </c>
      <c r="B49" s="14" t="s">
        <v>159</v>
      </c>
      <c r="C49" s="19">
        <v>169000</v>
      </c>
      <c r="D49" s="19"/>
      <c r="E49" s="14" t="s">
        <v>45</v>
      </c>
      <c r="F49" s="14" t="s">
        <v>49</v>
      </c>
      <c r="G49" s="27" t="s">
        <v>160</v>
      </c>
      <c r="H49" s="14" t="str">
        <f t="array" ref="H49">IFERROR(INDEX([1]Companies!$G:$G,MATCH(B49,[1]Companies!$A:$A,0)),"")</f>
        <v>Angola</v>
      </c>
      <c r="I49" s="14" t="str">
        <f t="shared" si="66"/>
        <v>Angola</v>
      </c>
      <c r="J49" s="14" t="str">
        <f t="array" ref="J49">IFERROR(INDEX([1]Companies!$Y:$Y,MATCH(B49,[1]Companies!$A:$A,0)),"")</f>
        <v>Human Resources, Internet, Recruiting</v>
      </c>
      <c r="K49" s="14" t="str">
        <f t="array" ref="K49">IFERROR(INDEX([1]Companies!$X:$X,MATCH(B49,[1]Companies!$A:$A,0)),"")</f>
        <v>Commercial &amp; Professional Services</v>
      </c>
      <c r="L49" s="14" t="str">
        <f>VLOOKUP(B49,[1]Companies!$A$1:$C$5243,1,FALSE)</f>
        <v>Jobartis</v>
      </c>
      <c r="M49" s="15">
        <f t="shared" si="67"/>
        <v>0.9</v>
      </c>
      <c r="N49" s="10" t="str">
        <f t="shared" si="68"/>
        <v>41621Jobartis169000</v>
      </c>
      <c r="O49" s="14" t="str">
        <f t="shared" si="69"/>
        <v/>
      </c>
      <c r="P49" s="14">
        <f t="shared" si="70"/>
        <v>1</v>
      </c>
      <c r="Q49" s="14">
        <f t="array" ref="Q49">IFERROR(INDEX([1]Companies!$D:$D,MATCH(B49,[1]Companies!$A:$A,0)),"")</f>
        <v>2013</v>
      </c>
      <c r="R49" s="17">
        <f t="shared" si="71"/>
        <v>169000</v>
      </c>
      <c r="S49" s="14">
        <f>VLOOKUP(I49,[1]Lookups!$V$3:$Y$197,4,FALSE)</f>
        <v>0</v>
      </c>
      <c r="T49" s="14" t="str">
        <f>VLOOKUP(E49,[1]Lookups!$H$3:$I$71,2,FALSE)</f>
        <v>2. Seed</v>
      </c>
      <c r="U49" s="14" t="str">
        <f>VLOOKUP(K49,[1]Lookups!$B$3:$C$142,2,FALSE)</f>
        <v>Other Technologies &amp; Information Technology</v>
      </c>
      <c r="V49" s="14">
        <f t="shared" si="1"/>
        <v>2013</v>
      </c>
      <c r="W49" s="14">
        <f t="shared" si="2"/>
        <v>12</v>
      </c>
      <c r="X49" s="14">
        <f>VLOOKUP(W49,[1]Lookups!$P$3:$S$15,2,FALSE)</f>
        <v>4</v>
      </c>
      <c r="Y49" s="16">
        <f>VLOOKUP(W49,[1]Lookups!$P$3:$U$15,3,FALSE)</f>
        <v>2</v>
      </c>
      <c r="Z49" s="16">
        <f t="shared" si="3"/>
        <v>1</v>
      </c>
      <c r="AA49" s="16" t="str">
        <f t="shared" ca="1" si="59"/>
        <v>Undisclosed</v>
      </c>
      <c r="AB49" s="16">
        <f t="shared" si="59"/>
        <v>0</v>
      </c>
      <c r="AC49" s="16">
        <f t="shared" si="59"/>
        <v>0</v>
      </c>
      <c r="AD49" s="16">
        <f t="shared" si="59"/>
        <v>0</v>
      </c>
      <c r="AE49" s="16">
        <f t="shared" si="59"/>
        <v>0</v>
      </c>
      <c r="AF49" s="16">
        <f t="shared" si="59"/>
        <v>0</v>
      </c>
      <c r="AG49" s="16">
        <f t="shared" si="59"/>
        <v>0</v>
      </c>
      <c r="AH49" s="16">
        <f t="shared" si="59"/>
        <v>0</v>
      </c>
      <c r="AI49" s="16">
        <f t="shared" si="59"/>
        <v>0</v>
      </c>
      <c r="AJ49" s="16">
        <f t="shared" si="59"/>
        <v>0</v>
      </c>
      <c r="AK49" s="16">
        <f t="shared" si="59"/>
        <v>0</v>
      </c>
      <c r="AL49" s="16">
        <f t="shared" si="59"/>
        <v>0</v>
      </c>
      <c r="AM49" s="16">
        <f t="shared" si="59"/>
        <v>0</v>
      </c>
      <c r="AN49" s="16">
        <f t="shared" si="59"/>
        <v>0</v>
      </c>
      <c r="AO49" s="16">
        <f t="shared" si="59"/>
        <v>0</v>
      </c>
      <c r="AP49" s="10"/>
      <c r="AQ49" s="10"/>
      <c r="AR49" s="10"/>
      <c r="AS49" s="10" t="str">
        <f t="shared" ref="AS49" ca="1" si="80">IFERROR(__xludf.DUMMYFUNCTION("split(F31,"","",true,true)"),"Undisclosed")</f>
        <v>Undisclosed</v>
      </c>
      <c r="AT49" s="10"/>
      <c r="AU49" s="10"/>
      <c r="AV49" s="10"/>
      <c r="AW49" s="10"/>
      <c r="AX49" s="10"/>
      <c r="AY49" s="10"/>
      <c r="AZ49" s="10"/>
      <c r="BA49" s="10"/>
      <c r="BB49" s="10"/>
      <c r="BC49" s="10"/>
      <c r="BD49" s="10"/>
      <c r="BE49" s="10"/>
      <c r="BF49" s="10"/>
      <c r="BG49" s="10"/>
      <c r="BH49" s="10"/>
      <c r="BI49" s="10"/>
      <c r="BJ49" s="10"/>
      <c r="BK49" s="10"/>
      <c r="BM49" s="10"/>
    </row>
    <row r="50" spans="1:65" ht="12.75">
      <c r="A50" s="9">
        <v>41625</v>
      </c>
      <c r="B50" s="10" t="s">
        <v>75</v>
      </c>
      <c r="C50" s="11">
        <v>8000000</v>
      </c>
      <c r="D50" s="12"/>
      <c r="E50" s="10" t="s">
        <v>161</v>
      </c>
      <c r="F50" s="10" t="s">
        <v>162</v>
      </c>
      <c r="G50" s="13" t="s">
        <v>163</v>
      </c>
      <c r="H50" s="14" t="str">
        <f t="array" ref="H50">IFERROR(INDEX([1]Companies!$G:$G,MATCH(B50,[1]Companies!$A:$A,0)),"")</f>
        <v>Nigeria</v>
      </c>
      <c r="I50" s="14" t="str">
        <f t="shared" si="66"/>
        <v>Nigeria</v>
      </c>
      <c r="J50" s="14" t="str">
        <f t="array" ref="J50">IFERROR(INDEX([1]Companies!$Y:$Y,MATCH(B50,[1]Companies!$A:$A,0)),"")</f>
        <v>Online Media, Nollywood Movies, Online Movie and Music Streaming, African Music, Content Distribution, Technology, Subscription Video on Demand</v>
      </c>
      <c r="K50" s="14" t="str">
        <f t="array" ref="K50">IFERROR(INDEX([1]Companies!$X:$X,MATCH(B50,[1]Companies!$A:$A,0)),"")</f>
        <v>Media &amp; Entertainment</v>
      </c>
      <c r="L50" s="14" t="str">
        <f>VLOOKUP(B50,[1]Companies!$A$1:$C$5243,1,FALSE)</f>
        <v>iROKOtv</v>
      </c>
      <c r="M50" s="15">
        <f t="shared" si="67"/>
        <v>0.9</v>
      </c>
      <c r="N50" s="10" t="str">
        <f t="shared" si="68"/>
        <v>41625iROKOtv8000000</v>
      </c>
      <c r="O50" s="14" t="str">
        <f t="shared" si="69"/>
        <v/>
      </c>
      <c r="P50" s="14">
        <f t="shared" si="70"/>
        <v>1</v>
      </c>
      <c r="Q50" s="14">
        <f t="array" ref="Q50">IFERROR(INDEX([1]Companies!$D:$D,MATCH(B50,[1]Companies!$A:$A,0)),"")</f>
        <v>2010</v>
      </c>
      <c r="R50" s="17">
        <f t="shared" si="71"/>
        <v>30000000</v>
      </c>
      <c r="S50" s="14">
        <f>VLOOKUP(I50,[1]Lookups!$V$3:$Y$197,4,FALSE)</f>
        <v>0</v>
      </c>
      <c r="T50" s="14" t="str">
        <f>VLOOKUP(E50,[1]Lookups!$H$3:$I$71,2,FALSE)</f>
        <v>4. Late Venture</v>
      </c>
      <c r="U50" s="14" t="str">
        <f>VLOOKUP(K50,[1]Lookups!$B$3:$C$142,2,FALSE)</f>
        <v>Media &amp; Entertainment</v>
      </c>
      <c r="V50" s="14">
        <f t="shared" si="1"/>
        <v>2013</v>
      </c>
      <c r="W50" s="14">
        <f t="shared" si="2"/>
        <v>12</v>
      </c>
      <c r="X50" s="14">
        <f>VLOOKUP(W50,[1]Lookups!$P$3:$S$15,2,FALSE)</f>
        <v>4</v>
      </c>
      <c r="Y50" s="16">
        <f>VLOOKUP(W50,[1]Lookups!$P$3:$U$15,3,FALSE)</f>
        <v>2</v>
      </c>
      <c r="Z50" s="16">
        <f t="shared" si="3"/>
        <v>3</v>
      </c>
      <c r="AA50" s="16" t="str">
        <f t="shared" ref="AA50:AO65" ca="1" si="81">AS50</f>
        <v>Undisclosed</v>
      </c>
      <c r="AB50" s="16" t="str">
        <f t="shared" ca="1" si="81"/>
        <v xml:space="preserve"> Kinnevik AB</v>
      </c>
      <c r="AC50" s="16" t="str">
        <f t="shared" ca="1" si="81"/>
        <v xml:space="preserve"> Rise Capital</v>
      </c>
      <c r="AD50" s="16">
        <f t="shared" si="81"/>
        <v>0</v>
      </c>
      <c r="AE50" s="16">
        <f t="shared" si="81"/>
        <v>0</v>
      </c>
      <c r="AF50" s="16">
        <f t="shared" si="81"/>
        <v>0</v>
      </c>
      <c r="AG50" s="16">
        <f t="shared" si="81"/>
        <v>0</v>
      </c>
      <c r="AH50" s="16">
        <f t="shared" si="81"/>
        <v>0</v>
      </c>
      <c r="AI50" s="16">
        <f t="shared" si="81"/>
        <v>0</v>
      </c>
      <c r="AJ50" s="16">
        <f t="shared" si="81"/>
        <v>0</v>
      </c>
      <c r="AK50" s="16">
        <f t="shared" si="81"/>
        <v>0</v>
      </c>
      <c r="AL50" s="16">
        <f t="shared" si="81"/>
        <v>0</v>
      </c>
      <c r="AM50" s="16">
        <f t="shared" si="81"/>
        <v>0</v>
      </c>
      <c r="AN50" s="16">
        <f t="shared" si="81"/>
        <v>0</v>
      </c>
      <c r="AO50" s="16">
        <f t="shared" si="81"/>
        <v>0</v>
      </c>
      <c r="AP50" s="10"/>
      <c r="AQ50" s="10"/>
      <c r="AR50" s="10"/>
      <c r="AS50" s="10" t="str">
        <f t="shared" ref="AS50" ca="1" si="82">IFERROR(__xludf.DUMMYFUNCTION("split(F31,"","",true,true)"),"Undisclosed")</f>
        <v>Undisclosed</v>
      </c>
      <c r="AT50" s="10" t="str">
        <f ca="1">IFERROR(__xludf.DUMMYFUNCTION("""COMPUTED_VALUE""")," Kinnevik AB")</f>
        <v xml:space="preserve"> Kinnevik AB</v>
      </c>
      <c r="AU50" s="10" t="str">
        <f ca="1">IFERROR(__xludf.DUMMYFUNCTION("""COMPUTED_VALUE""")," Rise Capital")</f>
        <v xml:space="preserve"> Rise Capital</v>
      </c>
      <c r="AV50" s="10"/>
      <c r="AW50" s="10"/>
      <c r="AX50" s="10"/>
      <c r="AY50" s="10"/>
      <c r="AZ50" s="10"/>
      <c r="BA50" s="10"/>
      <c r="BB50" s="10"/>
      <c r="BC50" s="10"/>
      <c r="BD50" s="10"/>
      <c r="BE50" s="10"/>
      <c r="BF50" s="10"/>
      <c r="BG50" s="10"/>
      <c r="BH50" s="10"/>
      <c r="BI50" s="10"/>
      <c r="BJ50" s="10"/>
      <c r="BK50" s="10"/>
      <c r="BM50" s="10"/>
    </row>
    <row r="51" spans="1:65" ht="12.75">
      <c r="A51" s="18">
        <v>41642</v>
      </c>
      <c r="B51" s="14" t="s">
        <v>81</v>
      </c>
      <c r="C51" s="19">
        <v>25000000</v>
      </c>
      <c r="D51" s="19"/>
      <c r="E51" s="14" t="s">
        <v>112</v>
      </c>
      <c r="F51" s="14" t="s">
        <v>126</v>
      </c>
      <c r="G51" s="21" t="s">
        <v>83</v>
      </c>
      <c r="H51" s="14" t="str">
        <f t="array" ref="H51">IFERROR(INDEX([1]Companies!$G:$G,MATCH(B51,[1]Companies!$A:$A,0)),"")</f>
        <v>Nigeria</v>
      </c>
      <c r="I51" s="14" t="str">
        <f t="shared" si="66"/>
        <v>Nigeria</v>
      </c>
      <c r="J51" s="14" t="str">
        <f t="array" ref="J51">IFERROR(INDEX([1]Companies!$Y:$Y,MATCH(B51,[1]Companies!$A:$A,0)),"")</f>
        <v>Retail, E-Commerce, Customer Service, Delivery Service, Online Shopping</v>
      </c>
      <c r="K51" s="14" t="str">
        <f t="array" ref="K51">IFERROR(INDEX([1]Companies!$X:$X,MATCH(B51,[1]Companies!$A:$A,0)),"")</f>
        <v>E-Commerce &amp; Retail</v>
      </c>
      <c r="L51" s="14" t="str">
        <f>VLOOKUP(B51,[1]Companies!$A$1:$C$5243,1,FALSE)</f>
        <v>Konga</v>
      </c>
      <c r="M51" s="15">
        <f t="shared" si="67"/>
        <v>0.9</v>
      </c>
      <c r="N51" s="10" t="str">
        <f t="shared" si="68"/>
        <v>41642Konga25000000</v>
      </c>
      <c r="O51" s="14" t="str">
        <f t="shared" si="69"/>
        <v/>
      </c>
      <c r="P51" s="14">
        <f t="shared" si="70"/>
        <v>1</v>
      </c>
      <c r="Q51" s="14">
        <f t="array" ref="Q51">IFERROR(INDEX([1]Companies!$D:$D,MATCH(B51,[1]Companies!$A:$A,0)),"")</f>
        <v>2012</v>
      </c>
      <c r="R51" s="17">
        <f t="shared" si="71"/>
        <v>79500000</v>
      </c>
      <c r="S51" s="14">
        <f>VLOOKUP(I51,[1]Lookups!$V$3:$Y$197,4,FALSE)</f>
        <v>0</v>
      </c>
      <c r="T51" s="14" t="str">
        <f>VLOOKUP(E51,[1]Lookups!$H$3:$I$71,2,FALSE)</f>
        <v>3. Early Venture</v>
      </c>
      <c r="U51" s="14" t="str">
        <f>VLOOKUP(K51,[1]Lookups!$B$3:$C$142,2,FALSE)</f>
        <v>E-commerce &amp; Retail</v>
      </c>
      <c r="V51" s="14">
        <f t="shared" si="1"/>
        <v>2014</v>
      </c>
      <c r="W51" s="14">
        <f t="shared" si="2"/>
        <v>1</v>
      </c>
      <c r="X51" s="14">
        <f>VLOOKUP(W51,[1]Lookups!$P$3:$S$15,2,FALSE)</f>
        <v>1</v>
      </c>
      <c r="Y51" s="16">
        <f>VLOOKUP(W51,[1]Lookups!$P$3:$U$15,3,FALSE)</f>
        <v>1</v>
      </c>
      <c r="Z51" s="16">
        <f t="shared" si="3"/>
        <v>2</v>
      </c>
      <c r="AA51" s="16" t="str">
        <f t="shared" ca="1" si="81"/>
        <v>Undisclosed</v>
      </c>
      <c r="AB51" s="16" t="str">
        <f t="shared" ca="1" si="81"/>
        <v xml:space="preserve"> Kinnevik AB</v>
      </c>
      <c r="AC51" s="16">
        <f t="shared" si="81"/>
        <v>0</v>
      </c>
      <c r="AD51" s="16">
        <f t="shared" si="81"/>
        <v>0</v>
      </c>
      <c r="AE51" s="16">
        <f t="shared" si="81"/>
        <v>0</v>
      </c>
      <c r="AF51" s="16">
        <f t="shared" si="81"/>
        <v>0</v>
      </c>
      <c r="AG51" s="16">
        <f t="shared" si="81"/>
        <v>0</v>
      </c>
      <c r="AH51" s="16">
        <f t="shared" si="81"/>
        <v>0</v>
      </c>
      <c r="AI51" s="16">
        <f t="shared" si="81"/>
        <v>0</v>
      </c>
      <c r="AJ51" s="16">
        <f t="shared" si="81"/>
        <v>0</v>
      </c>
      <c r="AK51" s="16">
        <f t="shared" si="81"/>
        <v>0</v>
      </c>
      <c r="AL51" s="16">
        <f t="shared" si="81"/>
        <v>0</v>
      </c>
      <c r="AM51" s="16">
        <f t="shared" si="81"/>
        <v>0</v>
      </c>
      <c r="AN51" s="16">
        <f t="shared" si="81"/>
        <v>0</v>
      </c>
      <c r="AO51" s="16">
        <f t="shared" si="81"/>
        <v>0</v>
      </c>
      <c r="AP51" s="10"/>
      <c r="AQ51" s="10"/>
      <c r="AR51" s="10"/>
      <c r="AS51" s="10" t="str">
        <f t="shared" ref="AS51" ca="1" si="83">IFERROR(__xludf.DUMMYFUNCTION("split(F31,"","",true,true)"),"Undisclosed")</f>
        <v>Undisclosed</v>
      </c>
      <c r="AT51" s="10" t="str">
        <f ca="1">IFERROR(__xludf.DUMMYFUNCTION("""COMPUTED_VALUE""")," Kinnevik AB")</f>
        <v xml:space="preserve"> Kinnevik AB</v>
      </c>
      <c r="AU51" s="10"/>
      <c r="AV51" s="10"/>
      <c r="AW51" s="10"/>
      <c r="AX51" s="10"/>
      <c r="AY51" s="10"/>
      <c r="AZ51" s="10"/>
      <c r="BA51" s="10"/>
      <c r="BB51" s="10"/>
      <c r="BC51" s="10"/>
      <c r="BD51" s="10"/>
      <c r="BE51" s="10"/>
      <c r="BF51" s="10"/>
      <c r="BG51" s="10"/>
      <c r="BH51" s="10"/>
      <c r="BI51" s="10"/>
      <c r="BJ51" s="10"/>
      <c r="BK51" s="10"/>
      <c r="BM51" s="10"/>
    </row>
    <row r="52" spans="1:65" ht="12.75">
      <c r="A52" s="18">
        <v>41654</v>
      </c>
      <c r="B52" s="14" t="s">
        <v>164</v>
      </c>
      <c r="C52" s="19">
        <v>715000</v>
      </c>
      <c r="D52" s="19"/>
      <c r="E52" s="14" t="s">
        <v>45</v>
      </c>
      <c r="F52" s="14" t="s">
        <v>49</v>
      </c>
      <c r="G52" s="27" t="s">
        <v>165</v>
      </c>
      <c r="H52" s="14" t="str">
        <f t="array" ref="H52">IFERROR(INDEX([1]Companies!$G:$G,MATCH(B52,[1]Companies!$A:$A,0)),"")</f>
        <v>Nigeria</v>
      </c>
      <c r="I52" s="14" t="str">
        <f t="shared" si="66"/>
        <v>Nigeria</v>
      </c>
      <c r="J52" s="14" t="str">
        <f t="array" ref="J52">IFERROR(INDEX([1]Companies!$Y:$Y,MATCH(B52,[1]Companies!$A:$A,0)),"")</f>
        <v>Freight Service, Logistics, Packaging Services</v>
      </c>
      <c r="K52" s="14" t="str">
        <f t="array" ref="K52">IFERROR(INDEX([1]Companies!$X:$X,MATCH(B52,[1]Companies!$A:$A,0)),"")</f>
        <v>Transport &amp; Logistics</v>
      </c>
      <c r="L52" s="14" t="str">
        <f>VLOOKUP(B52,[1]Companies!$A$1:$C$5243,1,FALSE)</f>
        <v>Africa Courier Express</v>
      </c>
      <c r="M52" s="15">
        <f t="shared" si="67"/>
        <v>0.9</v>
      </c>
      <c r="N52" s="10" t="str">
        <f t="shared" si="68"/>
        <v>41654Africa Courier Express715000</v>
      </c>
      <c r="O52" s="14" t="str">
        <f t="shared" si="69"/>
        <v/>
      </c>
      <c r="P52" s="14">
        <f t="shared" si="70"/>
        <v>1</v>
      </c>
      <c r="Q52" s="14">
        <f t="array" ref="Q52">IFERROR(INDEX([1]Companies!$D:$D,MATCH(B52,[1]Companies!$A:$A,0)),"")</f>
        <v>2013</v>
      </c>
      <c r="R52" s="17">
        <f t="shared" si="71"/>
        <v>3315000</v>
      </c>
      <c r="S52" s="14">
        <f>VLOOKUP(I52,[1]Lookups!$V$3:$Y$197,4,FALSE)</f>
        <v>0</v>
      </c>
      <c r="T52" s="14" t="str">
        <f>VLOOKUP(E52,[1]Lookups!$H$3:$I$71,2,FALSE)</f>
        <v>2. Seed</v>
      </c>
      <c r="U52" s="14" t="str">
        <f>VLOOKUP(K52,[1]Lookups!$B$3:$C$142,2,FALSE)</f>
        <v>Transport &amp; Logistics</v>
      </c>
      <c r="V52" s="14">
        <f t="shared" si="1"/>
        <v>2014</v>
      </c>
      <c r="W52" s="14">
        <f t="shared" si="2"/>
        <v>1</v>
      </c>
      <c r="X52" s="14">
        <f>VLOOKUP(W52,[1]Lookups!$P$3:$S$15,2,FALSE)</f>
        <v>1</v>
      </c>
      <c r="Y52" s="16">
        <f>VLOOKUP(W52,[1]Lookups!$P$3:$U$15,3,FALSE)</f>
        <v>1</v>
      </c>
      <c r="Z52" s="16">
        <f t="shared" si="3"/>
        <v>1</v>
      </c>
      <c r="AA52" s="16" t="str">
        <f t="shared" ca="1" si="81"/>
        <v>Undisclosed</v>
      </c>
      <c r="AB52" s="16">
        <f t="shared" si="81"/>
        <v>0</v>
      </c>
      <c r="AC52" s="16">
        <f t="shared" si="81"/>
        <v>0</v>
      </c>
      <c r="AD52" s="16">
        <f t="shared" si="81"/>
        <v>0</v>
      </c>
      <c r="AE52" s="16">
        <f t="shared" si="81"/>
        <v>0</v>
      </c>
      <c r="AF52" s="16">
        <f t="shared" si="81"/>
        <v>0</v>
      </c>
      <c r="AG52" s="16">
        <f t="shared" si="81"/>
        <v>0</v>
      </c>
      <c r="AH52" s="16">
        <f t="shared" si="81"/>
        <v>0</v>
      </c>
      <c r="AI52" s="16">
        <f t="shared" si="81"/>
        <v>0</v>
      </c>
      <c r="AJ52" s="16">
        <f t="shared" si="81"/>
        <v>0</v>
      </c>
      <c r="AK52" s="16">
        <f t="shared" si="81"/>
        <v>0</v>
      </c>
      <c r="AL52" s="16">
        <f t="shared" si="81"/>
        <v>0</v>
      </c>
      <c r="AM52" s="16">
        <f t="shared" si="81"/>
        <v>0</v>
      </c>
      <c r="AN52" s="16">
        <f t="shared" si="81"/>
        <v>0</v>
      </c>
      <c r="AO52" s="16">
        <f t="shared" si="81"/>
        <v>0</v>
      </c>
      <c r="AP52" s="10"/>
      <c r="AQ52" s="10"/>
      <c r="AR52" s="10"/>
      <c r="AS52" s="10" t="str">
        <f t="shared" ref="AS52" ca="1" si="84">IFERROR(__xludf.DUMMYFUNCTION("split(F31,"","",true,true)"),"Undisclosed")</f>
        <v>Undisclosed</v>
      </c>
      <c r="AT52" s="10"/>
      <c r="AU52" s="10"/>
      <c r="AV52" s="10"/>
      <c r="AW52" s="10"/>
      <c r="AX52" s="10"/>
      <c r="AY52" s="10"/>
      <c r="AZ52" s="10"/>
      <c r="BA52" s="10"/>
      <c r="BB52" s="10"/>
      <c r="BC52" s="10"/>
      <c r="BD52" s="10"/>
      <c r="BE52" s="10"/>
      <c r="BF52" s="10"/>
      <c r="BG52" s="10"/>
      <c r="BH52" s="10"/>
      <c r="BI52" s="10"/>
      <c r="BJ52" s="10"/>
      <c r="BK52" s="10"/>
      <c r="BM52" s="10"/>
    </row>
    <row r="53" spans="1:65" ht="12.75">
      <c r="A53" s="18">
        <v>41659</v>
      </c>
      <c r="B53" s="14" t="s">
        <v>166</v>
      </c>
      <c r="C53" s="19" t="s">
        <v>49</v>
      </c>
      <c r="D53" s="22"/>
      <c r="E53" s="14" t="s">
        <v>69</v>
      </c>
      <c r="F53" s="14" t="s">
        <v>167</v>
      </c>
      <c r="G53" s="21" t="s">
        <v>168</v>
      </c>
      <c r="H53" s="14" t="str">
        <f t="array" ref="H53">IFERROR(INDEX([1]Companies!$G:$G,MATCH(B53,[1]Companies!$A:$A,0)),"")</f>
        <v>South Africa</v>
      </c>
      <c r="I53" s="14" t="str">
        <f t="shared" si="66"/>
        <v>South Africa</v>
      </c>
      <c r="J53" s="14" t="str">
        <f t="array" ref="J53">IFERROR(INDEX([1]Companies!$Y:$Y,MATCH(B53,[1]Companies!$A:$A,0)),"")</f>
        <v>Technology, Mobile Money, Big Data, Digital Financial Services, Mobile Financial Services, Financial Technology</v>
      </c>
      <c r="K53" s="14" t="str">
        <f t="array" ref="K53">IFERROR(INDEX([1]Companies!$X:$X,MATCH(B53,[1]Companies!$A:$A,0)),"")</f>
        <v>Financial Services</v>
      </c>
      <c r="L53" s="14" t="str">
        <f>VLOOKUP(B53,[1]Companies!$A$1:$C$5243,1,FALSE)</f>
        <v>Jumo</v>
      </c>
      <c r="M53" s="15">
        <f t="shared" si="67"/>
        <v>0.9</v>
      </c>
      <c r="N53" s="10" t="str">
        <f t="shared" si="68"/>
        <v>41659JumoUndisclosed</v>
      </c>
      <c r="O53" s="14" t="str">
        <f t="shared" si="69"/>
        <v/>
      </c>
      <c r="P53" s="14">
        <f t="shared" si="70"/>
        <v>0</v>
      </c>
      <c r="Q53" s="14">
        <f t="array" ref="Q53">IFERROR(INDEX([1]Companies!$D:$D,MATCH(B53,[1]Companies!$A:$A,0)),"")</f>
        <v>2014</v>
      </c>
      <c r="R53" s="17">
        <f t="shared" si="71"/>
        <v>91700000</v>
      </c>
      <c r="S53" s="14">
        <f>VLOOKUP(I53,[1]Lookups!$V$3:$Y$197,4,FALSE)</f>
        <v>0</v>
      </c>
      <c r="T53" s="14" t="str">
        <f>VLOOKUP(E53,[1]Lookups!$H$3:$I$71,2,FALSE)</f>
        <v>3. Early Venture</v>
      </c>
      <c r="U53" s="14" t="str">
        <f>VLOOKUP(K53,[1]Lookups!$B$3:$C$142,2,FALSE)</f>
        <v>Financial Services</v>
      </c>
      <c r="V53" s="14">
        <f t="shared" si="1"/>
        <v>2014</v>
      </c>
      <c r="W53" s="14">
        <f t="shared" si="2"/>
        <v>1</v>
      </c>
      <c r="X53" s="14">
        <f>VLOOKUP(W53,[1]Lookups!$P$3:$S$15,2,FALSE)</f>
        <v>1</v>
      </c>
      <c r="Y53" s="16">
        <f>VLOOKUP(W53,[1]Lookups!$P$3:$U$15,3,FALSE)</f>
        <v>1</v>
      </c>
      <c r="Z53" s="16">
        <f t="shared" si="3"/>
        <v>1</v>
      </c>
      <c r="AA53" s="16" t="str">
        <f t="shared" ca="1" si="81"/>
        <v>Undisclosed</v>
      </c>
      <c r="AB53" s="16">
        <f t="shared" si="81"/>
        <v>0</v>
      </c>
      <c r="AC53" s="16">
        <f t="shared" si="81"/>
        <v>0</v>
      </c>
      <c r="AD53" s="16">
        <f t="shared" si="81"/>
        <v>0</v>
      </c>
      <c r="AE53" s="16">
        <f t="shared" si="81"/>
        <v>0</v>
      </c>
      <c r="AF53" s="16">
        <f t="shared" si="81"/>
        <v>0</v>
      </c>
      <c r="AG53" s="16">
        <f t="shared" si="81"/>
        <v>0</v>
      </c>
      <c r="AH53" s="16">
        <f t="shared" si="81"/>
        <v>0</v>
      </c>
      <c r="AI53" s="16">
        <f t="shared" si="81"/>
        <v>0</v>
      </c>
      <c r="AJ53" s="16">
        <f t="shared" si="81"/>
        <v>0</v>
      </c>
      <c r="AK53" s="16">
        <f t="shared" si="81"/>
        <v>0</v>
      </c>
      <c r="AL53" s="16">
        <f t="shared" si="81"/>
        <v>0</v>
      </c>
      <c r="AM53" s="16">
        <f t="shared" si="81"/>
        <v>0</v>
      </c>
      <c r="AN53" s="16">
        <f t="shared" si="81"/>
        <v>0</v>
      </c>
      <c r="AO53" s="16">
        <f t="shared" si="81"/>
        <v>0</v>
      </c>
      <c r="AP53" s="10"/>
      <c r="AQ53" s="10"/>
      <c r="AR53" s="10"/>
      <c r="AS53" s="10" t="str">
        <f t="shared" ref="AS53:AS54" ca="1" si="85">IFERROR(__xludf.DUMMYFUNCTION("split(F31,"","",true,true)"),"Undisclosed")</f>
        <v>Undisclosed</v>
      </c>
      <c r="AT53" s="10"/>
      <c r="AU53" s="10"/>
      <c r="AV53" s="10"/>
      <c r="AW53" s="10"/>
      <c r="AX53" s="10"/>
      <c r="AY53" s="10"/>
      <c r="AZ53" s="10"/>
      <c r="BA53" s="10"/>
      <c r="BB53" s="10"/>
      <c r="BC53" s="10"/>
      <c r="BD53" s="10"/>
      <c r="BE53" s="10"/>
      <c r="BF53" s="10"/>
      <c r="BG53" s="10"/>
      <c r="BH53" s="10"/>
      <c r="BI53" s="10"/>
      <c r="BJ53" s="10"/>
      <c r="BK53" s="10"/>
      <c r="BM53" s="10"/>
    </row>
    <row r="54" spans="1:65" ht="12.75">
      <c r="A54" s="9">
        <v>41660</v>
      </c>
      <c r="B54" s="10" t="s">
        <v>54</v>
      </c>
      <c r="C54" s="11">
        <v>16000000</v>
      </c>
      <c r="D54" s="12"/>
      <c r="E54" s="10" t="s">
        <v>169</v>
      </c>
      <c r="F54" s="10" t="s">
        <v>170</v>
      </c>
      <c r="G54" s="13" t="s">
        <v>171</v>
      </c>
      <c r="H54" s="14"/>
      <c r="I54" s="14"/>
      <c r="J54" s="14"/>
      <c r="K54" s="14"/>
      <c r="L54" s="14"/>
      <c r="M54" s="15"/>
      <c r="N54" s="10"/>
      <c r="O54" s="14"/>
      <c r="P54" s="14"/>
      <c r="Q54" s="14"/>
      <c r="R54" s="14"/>
      <c r="S54" s="14"/>
      <c r="T54" s="14"/>
      <c r="U54" s="14"/>
      <c r="V54" s="14">
        <f t="shared" si="1"/>
        <v>2014</v>
      </c>
      <c r="W54" s="14">
        <f t="shared" si="2"/>
        <v>1</v>
      </c>
      <c r="X54" s="14">
        <f>VLOOKUP(W54,[1]Lookups!$P$3:$S$15,2,FALSE)</f>
        <v>1</v>
      </c>
      <c r="Y54" s="16">
        <f>VLOOKUP(W54,[1]Lookups!$P$3:$U$15,3,FALSE)</f>
        <v>1</v>
      </c>
      <c r="Z54" s="16">
        <f t="shared" si="3"/>
        <v>3</v>
      </c>
      <c r="AA54" s="16" t="str">
        <f t="shared" ca="1" si="81"/>
        <v>Undisclosed</v>
      </c>
      <c r="AB54" s="16" t="str">
        <f t="shared" ca="1" si="81"/>
        <v xml:space="preserve"> International Finance Corporation</v>
      </c>
      <c r="AC54" s="16" t="str">
        <f t="shared" ca="1" si="81"/>
        <v xml:space="preserve"> Rethink Education</v>
      </c>
      <c r="AD54" s="16">
        <f t="shared" si="81"/>
        <v>0</v>
      </c>
      <c r="AE54" s="16">
        <f t="shared" si="81"/>
        <v>0</v>
      </c>
      <c r="AF54" s="16">
        <f t="shared" si="81"/>
        <v>0</v>
      </c>
      <c r="AG54" s="16">
        <f t="shared" si="81"/>
        <v>0</v>
      </c>
      <c r="AH54" s="16">
        <f t="shared" si="81"/>
        <v>0</v>
      </c>
      <c r="AI54" s="16">
        <f t="shared" si="81"/>
        <v>0</v>
      </c>
      <c r="AJ54" s="16">
        <f t="shared" si="81"/>
        <v>0</v>
      </c>
      <c r="AK54" s="16">
        <f t="shared" si="81"/>
        <v>0</v>
      </c>
      <c r="AL54" s="16">
        <f t="shared" si="81"/>
        <v>0</v>
      </c>
      <c r="AM54" s="16">
        <f t="shared" si="81"/>
        <v>0</v>
      </c>
      <c r="AN54" s="16">
        <f t="shared" si="81"/>
        <v>0</v>
      </c>
      <c r="AO54" s="16">
        <f t="shared" si="81"/>
        <v>0</v>
      </c>
      <c r="AP54" s="10"/>
      <c r="AQ54" s="10"/>
      <c r="AR54" s="10"/>
      <c r="AS54" s="10" t="str">
        <f t="shared" ca="1" si="85"/>
        <v>Undisclosed</v>
      </c>
      <c r="AT54" s="10" t="str">
        <f ca="1">IFERROR(__xludf.DUMMYFUNCTION("""COMPUTED_VALUE""")," International Finance Corporation")</f>
        <v xml:space="preserve"> International Finance Corporation</v>
      </c>
      <c r="AU54" s="10" t="str">
        <f ca="1">IFERROR(__xludf.DUMMYFUNCTION("""COMPUTED_VALUE""")," Rethink Education")</f>
        <v xml:space="preserve"> Rethink Education</v>
      </c>
      <c r="AV54" s="10"/>
      <c r="AW54" s="10"/>
      <c r="AX54" s="10"/>
      <c r="AY54" s="10"/>
      <c r="AZ54" s="10"/>
      <c r="BA54" s="10"/>
      <c r="BB54" s="10"/>
      <c r="BC54" s="10"/>
      <c r="BD54" s="10"/>
      <c r="BE54" s="10"/>
      <c r="BF54" s="10"/>
      <c r="BG54" s="10"/>
      <c r="BH54" s="10"/>
      <c r="BI54" s="10"/>
      <c r="BJ54" s="10"/>
      <c r="BK54" s="10"/>
      <c r="BM54" s="10"/>
    </row>
    <row r="55" spans="1:65" ht="12.75">
      <c r="A55" s="9">
        <v>41674</v>
      </c>
      <c r="B55" s="10" t="s">
        <v>172</v>
      </c>
      <c r="C55" s="11">
        <v>8400</v>
      </c>
      <c r="D55" s="12"/>
      <c r="E55" s="10" t="s">
        <v>45</v>
      </c>
      <c r="F55" s="10" t="s">
        <v>173</v>
      </c>
      <c r="G55" s="13" t="s">
        <v>174</v>
      </c>
      <c r="H55" s="14" t="str">
        <f t="array" ref="H55">IFERROR(INDEX([1]Companies!$G:$G,MATCH(B55,[1]Companies!$A:$A,0)),"")</f>
        <v>Rwanda</v>
      </c>
      <c r="I55" s="14" t="str">
        <f t="shared" ref="I55:I57" si="86">IF(LEN(TRIM(H55))-LEN(SUBSTITUTE(TRIM(H55),",","")) &gt; 0,TRIM(RIGHT(H55,LEN(H55)-FIND(",",H55))),H55)</f>
        <v>Rwanda</v>
      </c>
      <c r="J55" s="14" t="str">
        <f t="array" ref="J55">IFERROR(INDEX([1]Companies!$Y:$Y,MATCH(B55,[1]Companies!$A:$A,0)),"")</f>
        <v>Automotive, Electric Vehicle, Emerging Markets, Transportation</v>
      </c>
      <c r="K55" s="14" t="str">
        <f t="array" ref="K55">IFERROR(INDEX([1]Companies!$X:$X,MATCH(B55,[1]Companies!$A:$A,0)),"")</f>
        <v>Automotive</v>
      </c>
      <c r="L55" s="14" t="str">
        <f>VLOOKUP(B55,[1]Companies!$A$1:$C$5243,1,FALSE)</f>
        <v>Ampersand Electric Motorcycles</v>
      </c>
      <c r="M55" s="15">
        <f t="shared" ref="M55:M57" si="87">COUNTA(B55:K55)/(COUNTBLANK(B55:K55) + COUNTA(B55:K55))</f>
        <v>0.9</v>
      </c>
      <c r="N55" s="10" t="str">
        <f t="shared" ref="N55:N57" si="88">CONCATENATE(A55,B55,C55)</f>
        <v>41674Ampersand Electric Motorcycles8400</v>
      </c>
      <c r="O55" s="14" t="str">
        <f t="shared" ref="O55:O57" si="89">IF(A55 = "","",IF(COUNTIF(N:N,CONCATENATE(A55,B55,C55))&gt;1,"Duplicated",""))</f>
        <v/>
      </c>
      <c r="P55" s="14">
        <f t="shared" ref="P55:P57" si="90">IF(C55="Undisclosed",0,1)</f>
        <v>1</v>
      </c>
      <c r="Q55" s="14">
        <f t="array" ref="Q55">IFERROR(INDEX([1]Companies!$D:$D,MATCH(B55,[1]Companies!$A:$A,0)),"")</f>
        <v>2014</v>
      </c>
      <c r="R55" s="17">
        <f t="shared" ref="R55:R57" si="91">SUMIF(B:B,B55,C:C)</f>
        <v>905400</v>
      </c>
      <c r="S55" s="14">
        <f>VLOOKUP(I55,[1]Lookups!$V$3:$Y$197,4,FALSE)</f>
        <v>0</v>
      </c>
      <c r="T55" s="14" t="str">
        <f>VLOOKUP(E55,[1]Lookups!$H$3:$I$71,2,FALSE)</f>
        <v>2. Seed</v>
      </c>
      <c r="U55" s="14" t="str">
        <f>VLOOKUP(K55,[1]Lookups!$B$3:$C$142,2,FALSE)</f>
        <v>Emerging Technologies</v>
      </c>
      <c r="V55" s="14">
        <f t="shared" si="1"/>
        <v>2014</v>
      </c>
      <c r="W55" s="14">
        <f t="shared" si="2"/>
        <v>2</v>
      </c>
      <c r="X55" s="14">
        <f>VLOOKUP(W55,[1]Lookups!$P$3:$S$15,2,FALSE)</f>
        <v>1</v>
      </c>
      <c r="Y55" s="16">
        <f>VLOOKUP(W55,[1]Lookups!$P$3:$U$15,3,FALSE)</f>
        <v>1</v>
      </c>
      <c r="Z55" s="16">
        <f t="shared" si="3"/>
        <v>2</v>
      </c>
      <c r="AA55" s="16" t="str">
        <f t="shared" ca="1" si="81"/>
        <v>Undisclosed</v>
      </c>
      <c r="AB55" s="16" t="str">
        <f t="shared" ca="1" si="81"/>
        <v xml:space="preserve"> Startupbootcamp</v>
      </c>
      <c r="AC55" s="16">
        <f t="shared" si="81"/>
        <v>0</v>
      </c>
      <c r="AD55" s="16">
        <f t="shared" si="81"/>
        <v>0</v>
      </c>
      <c r="AE55" s="16">
        <f t="shared" si="81"/>
        <v>0</v>
      </c>
      <c r="AF55" s="16">
        <f t="shared" si="81"/>
        <v>0</v>
      </c>
      <c r="AG55" s="16">
        <f t="shared" si="81"/>
        <v>0</v>
      </c>
      <c r="AH55" s="16">
        <f t="shared" si="81"/>
        <v>0</v>
      </c>
      <c r="AI55" s="16">
        <f t="shared" si="81"/>
        <v>0</v>
      </c>
      <c r="AJ55" s="16">
        <f t="shared" si="81"/>
        <v>0</v>
      </c>
      <c r="AK55" s="16">
        <f t="shared" si="81"/>
        <v>0</v>
      </c>
      <c r="AL55" s="16">
        <f t="shared" si="81"/>
        <v>0</v>
      </c>
      <c r="AM55" s="16">
        <f t="shared" si="81"/>
        <v>0</v>
      </c>
      <c r="AN55" s="16">
        <f t="shared" si="81"/>
        <v>0</v>
      </c>
      <c r="AO55" s="16">
        <f t="shared" si="81"/>
        <v>0</v>
      </c>
      <c r="AP55" s="10"/>
      <c r="AQ55" s="10"/>
      <c r="AR55" s="10"/>
      <c r="AS55" s="10" t="str">
        <f t="shared" ref="AS55" ca="1" si="92">IFERROR(__xludf.DUMMYFUNCTION("split(F31,"","",true,true)"),"Undisclosed")</f>
        <v>Undisclosed</v>
      </c>
      <c r="AT55" s="10" t="str">
        <f ca="1">IFERROR(__xludf.DUMMYFUNCTION("""COMPUTED_VALUE""")," Startupbootcamp")</f>
        <v xml:space="preserve"> Startupbootcamp</v>
      </c>
      <c r="AU55" s="10"/>
      <c r="AV55" s="10"/>
      <c r="AW55" s="10"/>
      <c r="AX55" s="10"/>
      <c r="AY55" s="10"/>
      <c r="AZ55" s="10"/>
      <c r="BA55" s="10"/>
      <c r="BB55" s="10"/>
      <c r="BC55" s="10"/>
      <c r="BD55" s="10"/>
      <c r="BE55" s="10"/>
      <c r="BF55" s="10"/>
      <c r="BG55" s="10"/>
      <c r="BH55" s="10"/>
      <c r="BI55" s="10"/>
      <c r="BJ55" s="10"/>
      <c r="BK55" s="10"/>
      <c r="BM55" s="10"/>
    </row>
    <row r="56" spans="1:65" ht="12.75">
      <c r="A56" s="9">
        <v>41676</v>
      </c>
      <c r="B56" s="10" t="s">
        <v>68</v>
      </c>
      <c r="C56" s="11">
        <v>20000000</v>
      </c>
      <c r="D56" s="12"/>
      <c r="E56" s="10" t="s">
        <v>91</v>
      </c>
      <c r="F56" s="10" t="s">
        <v>175</v>
      </c>
      <c r="G56" s="13" t="s">
        <v>176</v>
      </c>
      <c r="H56" s="14" t="str">
        <f t="array" ref="H56">IFERROR(INDEX([1]Companies!$G:$G,MATCH(B56,[1]Companies!$A:$A,0)),"")</f>
        <v>Kenya</v>
      </c>
      <c r="I56" s="14" t="str">
        <f t="shared" si="86"/>
        <v>Kenya</v>
      </c>
      <c r="J56" s="14" t="str">
        <f t="array" ref="J56">IFERROR(INDEX([1]Companies!$Y:$Y,MATCH(B56,[1]Companies!$A:$A,0)),"")</f>
        <v>Energy, Financial Services, Mobile</v>
      </c>
      <c r="K56" s="14" t="str">
        <f t="array" ref="K56">IFERROR(INDEX([1]Companies!$X:$X,MATCH(B56,[1]Companies!$A:$A,0)),"")</f>
        <v>Energy &amp; Environment Resources</v>
      </c>
      <c r="L56" s="14" t="str">
        <f>VLOOKUP(B56,[1]Companies!$A$1:$C$5243,1,FALSE)</f>
        <v>M-Kopa</v>
      </c>
      <c r="M56" s="15">
        <f t="shared" si="87"/>
        <v>0.9</v>
      </c>
      <c r="N56" s="10" t="str">
        <f t="shared" si="88"/>
        <v>41676M-KOPA20000000</v>
      </c>
      <c r="O56" s="14" t="str">
        <f t="shared" si="89"/>
        <v/>
      </c>
      <c r="P56" s="14">
        <f t="shared" si="90"/>
        <v>1</v>
      </c>
      <c r="Q56" s="14">
        <f t="array" ref="Q56">IFERROR(INDEX([1]Companies!$D:$D,MATCH(B56,[1]Companies!$A:$A,0)),"")</f>
        <v>2011</v>
      </c>
      <c r="R56" s="17">
        <f t="shared" si="91"/>
        <v>161800000</v>
      </c>
      <c r="S56" s="14">
        <f>VLOOKUP(I56,[1]Lookups!$V$3:$Y$197,4,FALSE)</f>
        <v>0</v>
      </c>
      <c r="T56" s="14" t="str">
        <f>VLOOKUP(E56,[1]Lookups!$H$3:$I$71,2,FALSE)</f>
        <v>5. Debt Financing</v>
      </c>
      <c r="U56" s="14" t="e">
        <f>VLOOKUP(K56,[1]Lookups!$B$3:$C$142,2,FALSE)</f>
        <v>#N/A</v>
      </c>
      <c r="V56" s="14">
        <f t="shared" si="1"/>
        <v>2014</v>
      </c>
      <c r="W56" s="14">
        <f t="shared" si="2"/>
        <v>2</v>
      </c>
      <c r="X56" s="14">
        <f>VLOOKUP(W56,[1]Lookups!$P$3:$S$15,2,FALSE)</f>
        <v>1</v>
      </c>
      <c r="Y56" s="16">
        <f>VLOOKUP(W56,[1]Lookups!$P$3:$U$15,3,FALSE)</f>
        <v>1</v>
      </c>
      <c r="Z56" s="16">
        <f t="shared" si="3"/>
        <v>1</v>
      </c>
      <c r="AA56" s="16" t="str">
        <f t="shared" ca="1" si="81"/>
        <v>Undisclosed</v>
      </c>
      <c r="AB56" s="16">
        <f t="shared" si="81"/>
        <v>0</v>
      </c>
      <c r="AC56" s="16">
        <f t="shared" si="81"/>
        <v>0</v>
      </c>
      <c r="AD56" s="16">
        <f t="shared" si="81"/>
        <v>0</v>
      </c>
      <c r="AE56" s="16">
        <f t="shared" si="81"/>
        <v>0</v>
      </c>
      <c r="AF56" s="16">
        <f t="shared" si="81"/>
        <v>0</v>
      </c>
      <c r="AG56" s="16">
        <f t="shared" si="81"/>
        <v>0</v>
      </c>
      <c r="AH56" s="16">
        <f t="shared" si="81"/>
        <v>0</v>
      </c>
      <c r="AI56" s="16">
        <f t="shared" si="81"/>
        <v>0</v>
      </c>
      <c r="AJ56" s="16">
        <f t="shared" si="81"/>
        <v>0</v>
      </c>
      <c r="AK56" s="16">
        <f t="shared" si="81"/>
        <v>0</v>
      </c>
      <c r="AL56" s="16">
        <f t="shared" si="81"/>
        <v>0</v>
      </c>
      <c r="AM56" s="16">
        <f t="shared" si="81"/>
        <v>0</v>
      </c>
      <c r="AN56" s="16">
        <f t="shared" si="81"/>
        <v>0</v>
      </c>
      <c r="AO56" s="16">
        <f t="shared" si="81"/>
        <v>0</v>
      </c>
      <c r="AP56" s="10"/>
      <c r="AQ56" s="10"/>
      <c r="AR56" s="10"/>
      <c r="AS56" s="10" t="str">
        <f t="shared" ref="AS56" ca="1" si="93">IFERROR(__xludf.DUMMYFUNCTION("split(F31,"","",true,true)"),"Undisclosed")</f>
        <v>Undisclosed</v>
      </c>
      <c r="AT56" s="10"/>
      <c r="AU56" s="10"/>
      <c r="AV56" s="10"/>
      <c r="AW56" s="10"/>
      <c r="AX56" s="10"/>
      <c r="AY56" s="10"/>
      <c r="AZ56" s="10"/>
      <c r="BA56" s="10"/>
      <c r="BB56" s="10"/>
      <c r="BC56" s="10"/>
      <c r="BD56" s="10"/>
      <c r="BE56" s="10"/>
      <c r="BF56" s="10"/>
      <c r="BG56" s="10"/>
      <c r="BH56" s="10"/>
      <c r="BI56" s="10"/>
      <c r="BJ56" s="10"/>
      <c r="BK56" s="10"/>
      <c r="BM56" s="10"/>
    </row>
    <row r="57" spans="1:65" ht="12.75">
      <c r="A57" s="9">
        <v>41676</v>
      </c>
      <c r="B57" s="10" t="s">
        <v>68</v>
      </c>
      <c r="C57" s="11">
        <v>10000000</v>
      </c>
      <c r="D57" s="12"/>
      <c r="E57" s="10" t="s">
        <v>84</v>
      </c>
      <c r="F57" s="10" t="s">
        <v>49</v>
      </c>
      <c r="G57" s="13" t="s">
        <v>177</v>
      </c>
      <c r="H57" s="14" t="str">
        <f t="array" ref="H57">IFERROR(INDEX([1]Companies!$G:$G,MATCH(B57,[1]Companies!$A:$A,0)),"")</f>
        <v>Kenya</v>
      </c>
      <c r="I57" s="14" t="str">
        <f t="shared" si="86"/>
        <v>Kenya</v>
      </c>
      <c r="J57" s="14" t="str">
        <f t="array" ref="J57">IFERROR(INDEX([1]Companies!$Y:$Y,MATCH(B57,[1]Companies!$A:$A,0)),"")</f>
        <v>Energy, Financial Services, Mobile</v>
      </c>
      <c r="K57" s="14" t="str">
        <f t="array" ref="K57">IFERROR(INDEX([1]Companies!$X:$X,MATCH(B57,[1]Companies!$A:$A,0)),"")</f>
        <v>Energy &amp; Environment Resources</v>
      </c>
      <c r="L57" s="14" t="str">
        <f>VLOOKUP(B57,[1]Companies!$A$1:$C$5243,1,FALSE)</f>
        <v>M-Kopa</v>
      </c>
      <c r="M57" s="15">
        <f t="shared" si="87"/>
        <v>0.9</v>
      </c>
      <c r="N57" s="10" t="str">
        <f t="shared" si="88"/>
        <v>41676M-KOPA10000000</v>
      </c>
      <c r="O57" s="14" t="str">
        <f t="shared" si="89"/>
        <v/>
      </c>
      <c r="P57" s="14">
        <f t="shared" si="90"/>
        <v>1</v>
      </c>
      <c r="Q57" s="14">
        <f t="array" ref="Q57">IFERROR(INDEX([1]Companies!$D:$D,MATCH(B57,[1]Companies!$A:$A,0)),"")</f>
        <v>2011</v>
      </c>
      <c r="R57" s="17">
        <f t="shared" si="91"/>
        <v>161800000</v>
      </c>
      <c r="S57" s="14">
        <f>VLOOKUP(I57,[1]Lookups!$V$3:$Y$197,4,FALSE)</f>
        <v>0</v>
      </c>
      <c r="T57" s="14" t="str">
        <f>VLOOKUP(E57,[1]Lookups!$H$3:$I$71,2,FALSE)</f>
        <v>4. Late Venture</v>
      </c>
      <c r="U57" s="14" t="e">
        <f>VLOOKUP(K57,[1]Lookups!$B$3:$C$142,2,FALSE)</f>
        <v>#N/A</v>
      </c>
      <c r="V57" s="14">
        <f t="shared" si="1"/>
        <v>2014</v>
      </c>
      <c r="W57" s="14">
        <f t="shared" si="2"/>
        <v>2</v>
      </c>
      <c r="X57" s="14">
        <f>VLOOKUP(W57,[1]Lookups!$P$3:$S$15,2,FALSE)</f>
        <v>1</v>
      </c>
      <c r="Y57" s="16">
        <f>VLOOKUP(W57,[1]Lookups!$P$3:$U$15,3,FALSE)</f>
        <v>1</v>
      </c>
      <c r="Z57" s="16">
        <f t="shared" si="3"/>
        <v>1</v>
      </c>
      <c r="AA57" s="16" t="str">
        <f t="shared" ca="1" si="81"/>
        <v>Undisclosed</v>
      </c>
      <c r="AB57" s="16">
        <f t="shared" si="81"/>
        <v>0</v>
      </c>
      <c r="AC57" s="16">
        <f t="shared" si="81"/>
        <v>0</v>
      </c>
      <c r="AD57" s="16">
        <f t="shared" si="81"/>
        <v>0</v>
      </c>
      <c r="AE57" s="16">
        <f t="shared" si="81"/>
        <v>0</v>
      </c>
      <c r="AF57" s="16">
        <f t="shared" si="81"/>
        <v>0</v>
      </c>
      <c r="AG57" s="16">
        <f t="shared" si="81"/>
        <v>0</v>
      </c>
      <c r="AH57" s="16">
        <f t="shared" si="81"/>
        <v>0</v>
      </c>
      <c r="AI57" s="16">
        <f t="shared" si="81"/>
        <v>0</v>
      </c>
      <c r="AJ57" s="16">
        <f t="shared" si="81"/>
        <v>0</v>
      </c>
      <c r="AK57" s="16">
        <f t="shared" si="81"/>
        <v>0</v>
      </c>
      <c r="AL57" s="16">
        <f t="shared" si="81"/>
        <v>0</v>
      </c>
      <c r="AM57" s="16">
        <f t="shared" si="81"/>
        <v>0</v>
      </c>
      <c r="AN57" s="16">
        <f t="shared" si="81"/>
        <v>0</v>
      </c>
      <c r="AO57" s="16">
        <f t="shared" si="81"/>
        <v>0</v>
      </c>
      <c r="AP57" s="10"/>
      <c r="AQ57" s="10"/>
      <c r="AR57" s="10"/>
      <c r="AS57" s="10" t="str">
        <f t="shared" ref="AS57" ca="1" si="94">IFERROR(__xludf.DUMMYFUNCTION("split(F31,"","",true,true)"),"Undisclosed")</f>
        <v>Undisclosed</v>
      </c>
      <c r="AT57" s="10"/>
      <c r="AU57" s="10"/>
      <c r="AV57" s="10"/>
      <c r="AW57" s="10"/>
      <c r="AX57" s="10"/>
      <c r="AY57" s="10"/>
      <c r="AZ57" s="10"/>
      <c r="BA57" s="10"/>
      <c r="BB57" s="10"/>
      <c r="BC57" s="10"/>
      <c r="BD57" s="10"/>
      <c r="BE57" s="10"/>
      <c r="BF57" s="10"/>
      <c r="BG57" s="10"/>
      <c r="BH57" s="10"/>
      <c r="BI57" s="10"/>
      <c r="BJ57" s="10"/>
      <c r="BK57" s="10"/>
      <c r="BM57" s="10"/>
    </row>
    <row r="58" spans="1:65" ht="12.75">
      <c r="A58" s="9">
        <v>41683</v>
      </c>
      <c r="B58" s="10" t="s">
        <v>178</v>
      </c>
      <c r="C58" s="11" t="s">
        <v>49</v>
      </c>
      <c r="D58" s="12"/>
      <c r="E58" s="10" t="s">
        <v>51</v>
      </c>
      <c r="F58" s="10" t="s">
        <v>179</v>
      </c>
      <c r="G58" s="13" t="s">
        <v>180</v>
      </c>
      <c r="H58" s="14"/>
      <c r="I58" s="14"/>
      <c r="J58" s="14"/>
      <c r="K58" s="14"/>
      <c r="L58" s="14"/>
      <c r="M58" s="15"/>
      <c r="N58" s="10"/>
      <c r="O58" s="14"/>
      <c r="P58" s="14"/>
      <c r="Q58" s="14"/>
      <c r="R58" s="14"/>
      <c r="S58" s="14"/>
      <c r="T58" s="14"/>
      <c r="U58" s="14"/>
      <c r="V58" s="14">
        <f t="shared" si="1"/>
        <v>2014</v>
      </c>
      <c r="W58" s="14">
        <f t="shared" si="2"/>
        <v>2</v>
      </c>
      <c r="X58" s="14">
        <f>VLOOKUP(W58,[1]Lookups!$P$3:$S$15,2,FALSE)</f>
        <v>1</v>
      </c>
      <c r="Y58" s="16">
        <f>VLOOKUP(W58,[1]Lookups!$P$3:$U$15,3,FALSE)</f>
        <v>1</v>
      </c>
      <c r="Z58" s="16">
        <f t="shared" si="3"/>
        <v>1</v>
      </c>
      <c r="AA58" s="16" t="str">
        <f t="shared" ca="1" si="81"/>
        <v>#REF!</v>
      </c>
      <c r="AB58" s="16">
        <f t="shared" si="81"/>
        <v>0</v>
      </c>
      <c r="AC58" s="16">
        <f t="shared" si="81"/>
        <v>0</v>
      </c>
      <c r="AD58" s="16">
        <f t="shared" si="81"/>
        <v>0</v>
      </c>
      <c r="AE58" s="16">
        <f t="shared" si="81"/>
        <v>0</v>
      </c>
      <c r="AF58" s="16">
        <f t="shared" si="81"/>
        <v>0</v>
      </c>
      <c r="AG58" s="16">
        <f t="shared" si="81"/>
        <v>0</v>
      </c>
      <c r="AH58" s="16">
        <f t="shared" si="81"/>
        <v>0</v>
      </c>
      <c r="AI58" s="16">
        <f t="shared" si="81"/>
        <v>0</v>
      </c>
      <c r="AJ58" s="16">
        <f t="shared" si="81"/>
        <v>0</v>
      </c>
      <c r="AK58" s="16">
        <f t="shared" si="81"/>
        <v>0</v>
      </c>
      <c r="AL58" s="16">
        <f t="shared" si="81"/>
        <v>0</v>
      </c>
      <c r="AM58" s="16">
        <f t="shared" si="81"/>
        <v>0</v>
      </c>
      <c r="AN58" s="16">
        <f t="shared" si="81"/>
        <v>0</v>
      </c>
      <c r="AO58" s="16">
        <f t="shared" si="81"/>
        <v>0</v>
      </c>
      <c r="AP58" s="10"/>
      <c r="AQ58" s="10"/>
      <c r="AR58" s="10"/>
      <c r="AS58" s="10" t="str">
        <f ca="1">IFERROR(__xludf.DUMMYFUNCTION("split(#REF!,"","",true,true)"),"#REF!")</f>
        <v>#REF!</v>
      </c>
      <c r="AT58" s="10"/>
      <c r="AU58" s="10"/>
      <c r="AV58" s="10"/>
      <c r="AW58" s="10"/>
      <c r="AX58" s="10"/>
      <c r="AY58" s="10"/>
      <c r="AZ58" s="10"/>
      <c r="BA58" s="10"/>
      <c r="BB58" s="10"/>
      <c r="BC58" s="10"/>
      <c r="BD58" s="10"/>
      <c r="BE58" s="10"/>
      <c r="BF58" s="10"/>
      <c r="BG58" s="10"/>
      <c r="BH58" s="10"/>
      <c r="BI58" s="10"/>
      <c r="BJ58" s="10"/>
      <c r="BK58" s="10"/>
      <c r="BM58" s="10"/>
    </row>
    <row r="59" spans="1:65" ht="12.75">
      <c r="A59" s="18">
        <v>41687</v>
      </c>
      <c r="B59" s="14" t="s">
        <v>71</v>
      </c>
      <c r="C59" s="19">
        <v>5500000</v>
      </c>
      <c r="D59" s="19"/>
      <c r="E59" s="14" t="s">
        <v>112</v>
      </c>
      <c r="F59" s="14" t="s">
        <v>181</v>
      </c>
      <c r="G59" s="21" t="s">
        <v>182</v>
      </c>
      <c r="H59" s="14" t="str">
        <f t="array" ref="H59">IFERROR(INDEX([1]Companies!$G:$G,MATCH(B59,[1]Companies!$A:$A,0)),"")</f>
        <v>Kenya</v>
      </c>
      <c r="I59" s="14" t="str">
        <f t="shared" ref="I59:I68" si="95">IF(LEN(TRIM(H59))-LEN(SUBSTITUTE(TRIM(H59),",","")) &gt; 0,TRIM(RIGHT(H59,LEN(H59)-FIND(",",H59))),H59)</f>
        <v>Kenya</v>
      </c>
      <c r="J59" s="14" t="str">
        <f t="array" ref="J59">IFERROR(INDEX([1]Companies!$Y:$Y,MATCH(B59,[1]Companies!$A:$A,0)),"")</f>
        <v>Mobile Payments, Digital Payments, eCommerce, FinTech, mobile commerce, Fintech Africa, BlockChain, and MobileMoney</v>
      </c>
      <c r="K59" s="14" t="str">
        <f t="array" ref="K59">IFERROR(INDEX([1]Companies!$X:$X,MATCH(B59,[1]Companies!$A:$A,0)),"")</f>
        <v>Financial Services</v>
      </c>
      <c r="L59" s="14" t="str">
        <f>VLOOKUP(B59,[1]Companies!$A$1:$C$5243,1,FALSE)</f>
        <v>Cellulant</v>
      </c>
      <c r="M59" s="15">
        <f t="shared" ref="M59:M68" si="96">COUNTA(B59:K59)/(COUNTBLANK(B59:K59) + COUNTA(B59:K59))</f>
        <v>0.9</v>
      </c>
      <c r="N59" s="10" t="str">
        <f t="shared" ref="N59:N65" si="97">CONCATENATE(A59,B59,C59)</f>
        <v>41687Cellulant5500000</v>
      </c>
      <c r="O59" s="14" t="str">
        <f t="shared" ref="O59:O65" si="98">IF(A59 = "","",IF(COUNTIF(N:N,CONCATENATE(A59,B59,C59))&gt;1,"Duplicated",""))</f>
        <v/>
      </c>
      <c r="P59" s="14">
        <f t="shared" ref="P59:P65" si="99">IF(C59="Undisclosed",0,1)</f>
        <v>1</v>
      </c>
      <c r="Q59" s="14">
        <f t="array" ref="Q59">IFERROR(INDEX([1]Companies!$D:$D,MATCH(B59,[1]Companies!$A:$A,0)),"")</f>
        <v>2004</v>
      </c>
      <c r="R59" s="17">
        <f t="shared" ref="R59:R65" si="100">SUMIF(B:B,B59,C:C)</f>
        <v>54500000</v>
      </c>
      <c r="S59" s="14">
        <f>VLOOKUP(I59,[1]Lookups!$V$3:$Y$197,4,FALSE)</f>
        <v>0</v>
      </c>
      <c r="T59" s="14" t="str">
        <f>VLOOKUP(E59,[1]Lookups!$H$3:$I$71,2,FALSE)</f>
        <v>3. Early Venture</v>
      </c>
      <c r="U59" s="14" t="str">
        <f>VLOOKUP(K59,[1]Lookups!$B$3:$C$142,2,FALSE)</f>
        <v>Financial Services</v>
      </c>
      <c r="V59" s="14">
        <f t="shared" si="1"/>
        <v>2014</v>
      </c>
      <c r="W59" s="14">
        <f t="shared" si="2"/>
        <v>2</v>
      </c>
      <c r="X59" s="14">
        <f>VLOOKUP(W59,[1]Lookups!$P$3:$S$15,2,FALSE)</f>
        <v>1</v>
      </c>
      <c r="Y59" s="16">
        <f>VLOOKUP(W59,[1]Lookups!$P$3:$U$15,3,FALSE)</f>
        <v>1</v>
      </c>
      <c r="Z59" s="16">
        <f t="shared" si="3"/>
        <v>1</v>
      </c>
      <c r="AA59" s="16" t="str">
        <f t="shared" ca="1" si="81"/>
        <v>Velocity Capital Private Equity</v>
      </c>
      <c r="AB59" s="16">
        <f t="shared" si="81"/>
        <v>0</v>
      </c>
      <c r="AC59" s="16">
        <f t="shared" si="81"/>
        <v>0</v>
      </c>
      <c r="AD59" s="16">
        <f t="shared" si="81"/>
        <v>0</v>
      </c>
      <c r="AE59" s="16">
        <f t="shared" si="81"/>
        <v>0</v>
      </c>
      <c r="AF59" s="16">
        <f t="shared" si="81"/>
        <v>0</v>
      </c>
      <c r="AG59" s="16">
        <f t="shared" si="81"/>
        <v>0</v>
      </c>
      <c r="AH59" s="16">
        <f t="shared" si="81"/>
        <v>0</v>
      </c>
      <c r="AI59" s="16">
        <f t="shared" si="81"/>
        <v>0</v>
      </c>
      <c r="AJ59" s="16">
        <f t="shared" si="81"/>
        <v>0</v>
      </c>
      <c r="AK59" s="16">
        <f t="shared" si="81"/>
        <v>0</v>
      </c>
      <c r="AL59" s="16">
        <f t="shared" si="81"/>
        <v>0</v>
      </c>
      <c r="AM59" s="16">
        <f t="shared" si="81"/>
        <v>0</v>
      </c>
      <c r="AN59" s="16">
        <f t="shared" si="81"/>
        <v>0</v>
      </c>
      <c r="AO59" s="16">
        <f t="shared" si="81"/>
        <v>0</v>
      </c>
      <c r="AP59" s="10"/>
      <c r="AQ59" s="10"/>
      <c r="AR59" s="10"/>
      <c r="AS59" s="10" t="str">
        <f t="shared" ref="AS59" ca="1" si="101">IFERROR(__xludf.DUMMYFUNCTION("split(F59,"","",true,true)"),"Velocity Capital Private Equity")</f>
        <v>Velocity Capital Private Equity</v>
      </c>
      <c r="AT59" s="10"/>
      <c r="AU59" s="10"/>
      <c r="AV59" s="10"/>
      <c r="AW59" s="10"/>
      <c r="AX59" s="10"/>
      <c r="AY59" s="10"/>
      <c r="AZ59" s="10"/>
      <c r="BA59" s="10"/>
      <c r="BB59" s="10"/>
      <c r="BC59" s="10"/>
      <c r="BD59" s="10"/>
      <c r="BE59" s="10"/>
      <c r="BF59" s="10"/>
      <c r="BG59" s="10"/>
      <c r="BH59" s="10"/>
      <c r="BI59" s="10"/>
      <c r="BJ59" s="10"/>
      <c r="BK59" s="10"/>
      <c r="BM59" s="10"/>
    </row>
    <row r="60" spans="1:65" ht="12.75">
      <c r="A60" s="9">
        <v>41695</v>
      </c>
      <c r="B60" s="10" t="s">
        <v>183</v>
      </c>
      <c r="C60" s="11">
        <v>11000000</v>
      </c>
      <c r="D60" s="12"/>
      <c r="E60" s="10" t="s">
        <v>84</v>
      </c>
      <c r="F60" s="10" t="s">
        <v>184</v>
      </c>
      <c r="G60" s="13" t="s">
        <v>185</v>
      </c>
      <c r="H60" s="14" t="str">
        <f t="array" ref="H60">IFERROR(INDEX([1]Companies!$G:$G,MATCH(B60,[1]Companies!$A:$A,0)),"")</f>
        <v>Kenya</v>
      </c>
      <c r="I60" s="14" t="str">
        <f t="shared" si="95"/>
        <v>Kenya</v>
      </c>
      <c r="J60" s="14" t="str">
        <f t="array" ref="J60">IFERROR(INDEX([1]Companies!$Y:$Y,MATCH(B60,[1]Companies!$A:$A,0)),"")</f>
        <v>Energy, Renewable Energy, Solar</v>
      </c>
      <c r="K60" s="14" t="str">
        <f t="array" ref="K60">IFERROR(INDEX([1]Companies!$X:$X,MATCH(B60,[1]Companies!$A:$A,0)),"")</f>
        <v>Energy &amp; Environment Resources</v>
      </c>
      <c r="L60" s="14" t="str">
        <f>VLOOKUP(B60,[1]Companies!$A$1:$C$5243,1,FALSE)</f>
        <v>d.light</v>
      </c>
      <c r="M60" s="15">
        <f t="shared" si="96"/>
        <v>0.9</v>
      </c>
      <c r="N60" s="10" t="str">
        <f t="shared" si="97"/>
        <v>41695d.light11000000</v>
      </c>
      <c r="O60" s="14" t="str">
        <f t="shared" si="98"/>
        <v/>
      </c>
      <c r="P60" s="14">
        <f t="shared" si="99"/>
        <v>1</v>
      </c>
      <c r="Q60" s="14">
        <f t="array" ref="Q60">IFERROR(INDEX([1]Companies!$D:$D,MATCH(B60,[1]Companies!$A:$A,0)),"")</f>
        <v>2007</v>
      </c>
      <c r="R60" s="17">
        <f t="shared" si="100"/>
        <v>167500000</v>
      </c>
      <c r="S60" s="14">
        <f>VLOOKUP(I60,[1]Lookups!$V$3:$Y$197,4,FALSE)</f>
        <v>0</v>
      </c>
      <c r="T60" s="14" t="str">
        <f>VLOOKUP(E60,[1]Lookups!$H$3:$I$71,2,FALSE)</f>
        <v>4. Late Venture</v>
      </c>
      <c r="U60" s="14" t="e">
        <f>VLOOKUP(K60,[1]Lookups!$B$3:$C$142,2,FALSE)</f>
        <v>#N/A</v>
      </c>
      <c r="V60" s="14">
        <f t="shared" si="1"/>
        <v>2014</v>
      </c>
      <c r="W60" s="14">
        <f t="shared" si="2"/>
        <v>2</v>
      </c>
      <c r="X60" s="14">
        <f>VLOOKUP(W60,[1]Lookups!$P$3:$S$15,2,FALSE)</f>
        <v>1</v>
      </c>
      <c r="Y60" s="16">
        <f>VLOOKUP(W60,[1]Lookups!$P$3:$U$15,3,FALSE)</f>
        <v>1</v>
      </c>
      <c r="Z60" s="16">
        <f t="shared" si="3"/>
        <v>6</v>
      </c>
      <c r="AA60" s="16" t="str">
        <f t="shared" ca="1" si="81"/>
        <v>Velocity Capital Private Equity</v>
      </c>
      <c r="AB60" s="16" t="str">
        <f t="shared" ca="1" si="81"/>
        <v xml:space="preserve"> Omidyar Network</v>
      </c>
      <c r="AC60" s="16" t="str">
        <f t="shared" ca="1" si="81"/>
        <v xml:space="preserve"> Nexus Venture Partners</v>
      </c>
      <c r="AD60" s="16" t="str">
        <f t="shared" ca="1" si="81"/>
        <v xml:space="preserve"> Garage Technology Ventures</v>
      </c>
      <c r="AE60" s="16" t="str">
        <f t="shared" ca="1" si="81"/>
        <v xml:space="preserve"> Acumen</v>
      </c>
      <c r="AF60" s="16" t="str">
        <f t="shared" ca="1" si="81"/>
        <v xml:space="preserve"> Gray Ghost Ventures</v>
      </c>
      <c r="AG60" s="16">
        <f t="shared" si="81"/>
        <v>0</v>
      </c>
      <c r="AH60" s="16">
        <f t="shared" si="81"/>
        <v>0</v>
      </c>
      <c r="AI60" s="16">
        <f t="shared" si="81"/>
        <v>0</v>
      </c>
      <c r="AJ60" s="16">
        <f t="shared" si="81"/>
        <v>0</v>
      </c>
      <c r="AK60" s="16">
        <f t="shared" si="81"/>
        <v>0</v>
      </c>
      <c r="AL60" s="16">
        <f t="shared" si="81"/>
        <v>0</v>
      </c>
      <c r="AM60" s="16">
        <f t="shared" si="81"/>
        <v>0</v>
      </c>
      <c r="AN60" s="16">
        <f t="shared" si="81"/>
        <v>0</v>
      </c>
      <c r="AO60" s="16">
        <f t="shared" si="81"/>
        <v>0</v>
      </c>
      <c r="AP60" s="10"/>
      <c r="AQ60" s="10"/>
      <c r="AR60" s="10"/>
      <c r="AS60" s="10" t="str">
        <f t="shared" ref="AS60" ca="1" si="102">IFERROR(__xludf.DUMMYFUNCTION("split(F59,"","",true,true)"),"Velocity Capital Private Equity")</f>
        <v>Velocity Capital Private Equity</v>
      </c>
      <c r="AT60" s="10" t="str">
        <f ca="1">IFERROR(__xludf.DUMMYFUNCTION("""COMPUTED_VALUE""")," Omidyar Network")</f>
        <v xml:space="preserve"> Omidyar Network</v>
      </c>
      <c r="AU60" s="10" t="str">
        <f ca="1">IFERROR(__xludf.DUMMYFUNCTION("""COMPUTED_VALUE""")," Nexus Venture Partners")</f>
        <v xml:space="preserve"> Nexus Venture Partners</v>
      </c>
      <c r="AV60" s="10" t="str">
        <f ca="1">IFERROR(__xludf.DUMMYFUNCTION("""COMPUTED_VALUE""")," Garage Technology Ventures")</f>
        <v xml:space="preserve"> Garage Technology Ventures</v>
      </c>
      <c r="AW60" s="10" t="str">
        <f ca="1">IFERROR(__xludf.DUMMYFUNCTION("""COMPUTED_VALUE""")," Acumen")</f>
        <v xml:space="preserve"> Acumen</v>
      </c>
      <c r="AX60" s="10" t="str">
        <f ca="1">IFERROR(__xludf.DUMMYFUNCTION("""COMPUTED_VALUE""")," Gray Ghost Ventures")</f>
        <v xml:space="preserve"> Gray Ghost Ventures</v>
      </c>
      <c r="AY60" s="10"/>
      <c r="AZ60" s="10"/>
      <c r="BA60" s="10"/>
      <c r="BB60" s="10"/>
      <c r="BC60" s="10"/>
      <c r="BD60" s="10"/>
      <c r="BE60" s="10"/>
      <c r="BF60" s="10"/>
      <c r="BG60" s="10"/>
      <c r="BH60" s="10"/>
      <c r="BI60" s="10"/>
      <c r="BJ60" s="10"/>
      <c r="BK60" s="10"/>
      <c r="BM60" s="10"/>
    </row>
    <row r="61" spans="1:65" ht="12.75">
      <c r="A61" s="18">
        <v>41719</v>
      </c>
      <c r="B61" s="14" t="s">
        <v>186</v>
      </c>
      <c r="C61" s="19">
        <v>7000000</v>
      </c>
      <c r="D61" s="19"/>
      <c r="E61" s="14" t="s">
        <v>69</v>
      </c>
      <c r="F61" s="14" t="s">
        <v>187</v>
      </c>
      <c r="G61" s="21" t="s">
        <v>188</v>
      </c>
      <c r="H61" s="14" t="str">
        <f t="array" ref="H61">IFERROR(INDEX([1]Companies!$G:$G,MATCH(B61,[1]Companies!$A:$A,0)),"")</f>
        <v>Tanzania</v>
      </c>
      <c r="I61" s="14" t="str">
        <f t="shared" si="95"/>
        <v>Tanzania</v>
      </c>
      <c r="J61" s="14" t="str">
        <f t="array" ref="J61">IFERROR(INDEX([1]Companies!$Y:$Y,MATCH(B61,[1]Companies!$A:$A,0)),"")</f>
        <v>Electrical Distribution, Energy, Renewable Energy, Solar</v>
      </c>
      <c r="K61" s="14" t="str">
        <f t="array" ref="K61">IFERROR(INDEX([1]Companies!$X:$X,MATCH(B61,[1]Companies!$A:$A,0)),"")</f>
        <v>Energy &amp; Environment Resources</v>
      </c>
      <c r="L61" s="14" t="str">
        <f>VLOOKUP(B61,[1]Companies!$A$1:$C$5243,1,FALSE)</f>
        <v xml:space="preserve">Zola Electric </v>
      </c>
      <c r="M61" s="15">
        <f t="shared" si="96"/>
        <v>0.9</v>
      </c>
      <c r="N61" s="10" t="str">
        <f t="shared" si="97"/>
        <v>41719Zola Electric 7000000</v>
      </c>
      <c r="O61" s="14" t="str">
        <f t="shared" si="98"/>
        <v/>
      </c>
      <c r="P61" s="14">
        <f t="shared" si="99"/>
        <v>1</v>
      </c>
      <c r="Q61" s="14">
        <f t="array" ref="Q61">IFERROR(INDEX([1]Companies!$D:$D,MATCH(B61,[1]Companies!$A:$A,0)),"")</f>
        <v>2011</v>
      </c>
      <c r="R61" s="17">
        <f t="shared" si="100"/>
        <v>165500000</v>
      </c>
      <c r="S61" s="14">
        <f>VLOOKUP(I61,[1]Lookups!$V$3:$Y$197,4,FALSE)</f>
        <v>0</v>
      </c>
      <c r="T61" s="14" t="str">
        <f>VLOOKUP(E61,[1]Lookups!$H$3:$I$71,2,FALSE)</f>
        <v>3. Early Venture</v>
      </c>
      <c r="U61" s="14" t="e">
        <f>VLOOKUP(K61,[1]Lookups!$B$3:$C$142,2,FALSE)</f>
        <v>#N/A</v>
      </c>
      <c r="V61" s="14">
        <f t="shared" si="1"/>
        <v>2014</v>
      </c>
      <c r="W61" s="14">
        <f t="shared" si="2"/>
        <v>3</v>
      </c>
      <c r="X61" s="14">
        <f>VLOOKUP(W61,[1]Lookups!$P$3:$S$15,2,FALSE)</f>
        <v>1</v>
      </c>
      <c r="Y61" s="16">
        <f>VLOOKUP(W61,[1]Lookups!$P$3:$U$15,3,FALSE)</f>
        <v>1</v>
      </c>
      <c r="Z61" s="16">
        <f t="shared" si="3"/>
        <v>3</v>
      </c>
      <c r="AA61" s="16" t="str">
        <f t="shared" ca="1" si="81"/>
        <v>Velocity Capital Private Equity</v>
      </c>
      <c r="AB61" s="16" t="str">
        <f t="shared" ca="1" si="81"/>
        <v xml:space="preserve"> Omidyar Network</v>
      </c>
      <c r="AC61" s="16" t="str">
        <f t="shared" ca="1" si="81"/>
        <v xml:space="preserve"> Vulcan Capital</v>
      </c>
      <c r="AD61" s="16">
        <f t="shared" si="81"/>
        <v>0</v>
      </c>
      <c r="AE61" s="16">
        <f t="shared" si="81"/>
        <v>0</v>
      </c>
      <c r="AF61" s="16">
        <f t="shared" si="81"/>
        <v>0</v>
      </c>
      <c r="AG61" s="16">
        <f t="shared" si="81"/>
        <v>0</v>
      </c>
      <c r="AH61" s="16">
        <f t="shared" si="81"/>
        <v>0</v>
      </c>
      <c r="AI61" s="16">
        <f t="shared" si="81"/>
        <v>0</v>
      </c>
      <c r="AJ61" s="16">
        <f t="shared" si="81"/>
        <v>0</v>
      </c>
      <c r="AK61" s="16">
        <f t="shared" si="81"/>
        <v>0</v>
      </c>
      <c r="AL61" s="16">
        <f t="shared" si="81"/>
        <v>0</v>
      </c>
      <c r="AM61" s="16">
        <f t="shared" si="81"/>
        <v>0</v>
      </c>
      <c r="AN61" s="16">
        <f t="shared" si="81"/>
        <v>0</v>
      </c>
      <c r="AO61" s="16">
        <f t="shared" si="81"/>
        <v>0</v>
      </c>
      <c r="AP61" s="10"/>
      <c r="AQ61" s="10"/>
      <c r="AR61" s="10"/>
      <c r="AS61" s="10" t="str">
        <f t="shared" ref="AS61" ca="1" si="103">IFERROR(__xludf.DUMMYFUNCTION("split(F59,"","",true,true)"),"Velocity Capital Private Equity")</f>
        <v>Velocity Capital Private Equity</v>
      </c>
      <c r="AT61" s="10" t="str">
        <f ca="1">IFERROR(__xludf.DUMMYFUNCTION("""COMPUTED_VALUE""")," Omidyar Network")</f>
        <v xml:space="preserve"> Omidyar Network</v>
      </c>
      <c r="AU61" s="10" t="str">
        <f ca="1">IFERROR(__xludf.DUMMYFUNCTION("""COMPUTED_VALUE""")," Vulcan Capital")</f>
        <v xml:space="preserve"> Vulcan Capital</v>
      </c>
      <c r="AV61" s="10"/>
      <c r="AW61" s="10"/>
      <c r="AX61" s="10"/>
      <c r="AY61" s="10"/>
      <c r="AZ61" s="10"/>
      <c r="BA61" s="10"/>
      <c r="BB61" s="10"/>
      <c r="BC61" s="10"/>
      <c r="BD61" s="10"/>
      <c r="BE61" s="10"/>
      <c r="BF61" s="10"/>
      <c r="BG61" s="10"/>
      <c r="BH61" s="10"/>
      <c r="BI61" s="10"/>
      <c r="BJ61" s="10"/>
      <c r="BK61" s="10"/>
      <c r="BM61" s="10"/>
    </row>
    <row r="62" spans="1:65" ht="12.75">
      <c r="A62" s="9">
        <v>41726</v>
      </c>
      <c r="B62" s="10" t="s">
        <v>189</v>
      </c>
      <c r="C62" s="11">
        <v>750000</v>
      </c>
      <c r="D62" s="12"/>
      <c r="E62" s="14" t="s">
        <v>45</v>
      </c>
      <c r="F62" s="10" t="s">
        <v>49</v>
      </c>
      <c r="G62" s="13" t="s">
        <v>190</v>
      </c>
      <c r="H62" s="14" t="str">
        <f t="array" ref="H62">IFERROR(INDEX([1]Companies!$G:$G,MATCH(B62,[1]Companies!$A:$A,0)),"")</f>
        <v>Nigeria</v>
      </c>
      <c r="I62" s="14" t="str">
        <f t="shared" si="95"/>
        <v>Nigeria</v>
      </c>
      <c r="J62" s="14" t="str">
        <f t="array" ref="J62">IFERROR(INDEX([1]Companies!$Y:$Y,MATCH(B62,[1]Companies!$A:$A,0)),"")</f>
        <v>Consumer Lending, FinTech</v>
      </c>
      <c r="K62" s="14" t="str">
        <f t="array" ref="K62">IFERROR(INDEX([1]Companies!$X:$X,MATCH(B62,[1]Companies!$A:$A,0)),"")</f>
        <v>Financial Services</v>
      </c>
      <c r="L62" s="14" t="str">
        <f>VLOOKUP(B62,[1]Companies!$A$1:$C$5243,1,FALSE)</f>
        <v>OneFi</v>
      </c>
      <c r="M62" s="15">
        <f t="shared" si="96"/>
        <v>0.9</v>
      </c>
      <c r="N62" s="10" t="str">
        <f t="shared" si="97"/>
        <v>41726OneFi750000</v>
      </c>
      <c r="O62" s="14" t="str">
        <f t="shared" si="98"/>
        <v/>
      </c>
      <c r="P62" s="14">
        <f t="shared" si="99"/>
        <v>1</v>
      </c>
      <c r="Q62" s="14">
        <f t="array" ref="Q62">IFERROR(INDEX([1]Companies!$D:$D,MATCH(B62,[1]Companies!$A:$A,0)),"")</f>
        <v>2012</v>
      </c>
      <c r="R62" s="17">
        <f t="shared" si="100"/>
        <v>15800000</v>
      </c>
      <c r="S62" s="14">
        <f>VLOOKUP(I62,[1]Lookups!$V$3:$Y$197,4,FALSE)</f>
        <v>0</v>
      </c>
      <c r="T62" s="14" t="str">
        <f>VLOOKUP(E62,[1]Lookups!$H$3:$I$71,2,FALSE)</f>
        <v>2. Seed</v>
      </c>
      <c r="U62" s="14" t="str">
        <f>VLOOKUP(K62,[1]Lookups!$B$3:$C$142,2,FALSE)</f>
        <v>Financial Services</v>
      </c>
      <c r="V62" s="14">
        <f t="shared" si="1"/>
        <v>2014</v>
      </c>
      <c r="W62" s="14">
        <f t="shared" si="2"/>
        <v>3</v>
      </c>
      <c r="X62" s="14">
        <f>VLOOKUP(W62,[1]Lookups!$P$3:$S$15,2,FALSE)</f>
        <v>1</v>
      </c>
      <c r="Y62" s="16">
        <f>VLOOKUP(W62,[1]Lookups!$P$3:$U$15,3,FALSE)</f>
        <v>1</v>
      </c>
      <c r="Z62" s="16">
        <f t="shared" si="3"/>
        <v>1</v>
      </c>
      <c r="AA62" s="16" t="str">
        <f t="shared" ca="1" si="81"/>
        <v>Velocity Capital Private Equity</v>
      </c>
      <c r="AB62" s="16">
        <f t="shared" si="81"/>
        <v>0</v>
      </c>
      <c r="AC62" s="16">
        <f t="shared" si="81"/>
        <v>0</v>
      </c>
      <c r="AD62" s="16">
        <f t="shared" si="81"/>
        <v>0</v>
      </c>
      <c r="AE62" s="16">
        <f t="shared" si="81"/>
        <v>0</v>
      </c>
      <c r="AF62" s="16">
        <f t="shared" si="81"/>
        <v>0</v>
      </c>
      <c r="AG62" s="16">
        <f t="shared" si="81"/>
        <v>0</v>
      </c>
      <c r="AH62" s="16">
        <f t="shared" si="81"/>
        <v>0</v>
      </c>
      <c r="AI62" s="16">
        <f t="shared" si="81"/>
        <v>0</v>
      </c>
      <c r="AJ62" s="16">
        <f t="shared" si="81"/>
        <v>0</v>
      </c>
      <c r="AK62" s="16">
        <f t="shared" si="81"/>
        <v>0</v>
      </c>
      <c r="AL62" s="16">
        <f t="shared" si="81"/>
        <v>0</v>
      </c>
      <c r="AM62" s="16">
        <f t="shared" si="81"/>
        <v>0</v>
      </c>
      <c r="AN62" s="16">
        <f t="shared" si="81"/>
        <v>0</v>
      </c>
      <c r="AO62" s="16">
        <f t="shared" si="81"/>
        <v>0</v>
      </c>
      <c r="AP62" s="10"/>
      <c r="AQ62" s="10"/>
      <c r="AR62" s="10"/>
      <c r="AS62" s="10" t="str">
        <f t="shared" ref="AS62" ca="1" si="104">IFERROR(__xludf.DUMMYFUNCTION("split(F59,"","",true,true)"),"Velocity Capital Private Equity")</f>
        <v>Velocity Capital Private Equity</v>
      </c>
      <c r="AT62" s="10"/>
      <c r="AU62" s="10"/>
      <c r="AV62" s="10"/>
      <c r="AW62" s="10"/>
      <c r="AX62" s="10"/>
      <c r="AY62" s="10"/>
      <c r="AZ62" s="10"/>
      <c r="BA62" s="10"/>
      <c r="BB62" s="10"/>
      <c r="BC62" s="10"/>
      <c r="BD62" s="10"/>
      <c r="BE62" s="10"/>
      <c r="BF62" s="10"/>
      <c r="BG62" s="10"/>
      <c r="BH62" s="10"/>
      <c r="BI62" s="10"/>
      <c r="BJ62" s="10"/>
      <c r="BK62" s="10"/>
      <c r="BM62" s="10"/>
    </row>
    <row r="63" spans="1:65" ht="12.75">
      <c r="A63" s="9">
        <v>41730</v>
      </c>
      <c r="B63" s="10" t="s">
        <v>191</v>
      </c>
      <c r="C63" s="11">
        <v>250000</v>
      </c>
      <c r="D63" s="12"/>
      <c r="E63" s="10" t="s">
        <v>45</v>
      </c>
      <c r="F63" s="10" t="s">
        <v>49</v>
      </c>
      <c r="G63" s="13" t="s">
        <v>192</v>
      </c>
      <c r="H63" s="14" t="str">
        <f t="array" ref="H63">IFERROR(INDEX([1]Companies!$G:$G,MATCH(B63,[1]Companies!$A:$A,0)),"")</f>
        <v>Egypt</v>
      </c>
      <c r="I63" s="14" t="str">
        <f t="shared" si="95"/>
        <v>Egypt</v>
      </c>
      <c r="J63" s="14" t="str">
        <f t="array" ref="J63">IFERROR(INDEX([1]Companies!$Y:$Y,MATCH(B63,[1]Companies!$A:$A,0)),"")</f>
        <v>Biopharma, Biotechnology, Life Science</v>
      </c>
      <c r="K63" s="14" t="str">
        <f t="array" ref="K63">IFERROR(INDEX([1]Companies!$X:$X,MATCH(B63,[1]Companies!$A:$A,0)),"")</f>
        <v>Healthcare &amp; Pharma</v>
      </c>
      <c r="L63" s="14" t="str">
        <f>VLOOKUP(B63,[1]Companies!$A$1:$C$5243,1,FALSE)</f>
        <v>Nawah Scientific</v>
      </c>
      <c r="M63" s="15">
        <f t="shared" si="96"/>
        <v>0.9</v>
      </c>
      <c r="N63" s="10" t="str">
        <f t="shared" si="97"/>
        <v>41730Nawah Scientific250000</v>
      </c>
      <c r="O63" s="14" t="str">
        <f t="shared" si="98"/>
        <v/>
      </c>
      <c r="P63" s="14">
        <f t="shared" si="99"/>
        <v>1</v>
      </c>
      <c r="Q63" s="14">
        <f t="array" ref="Q63">IFERROR(INDEX([1]Companies!$D:$D,MATCH(B63,[1]Companies!$A:$A,0)),"")</f>
        <v>2014</v>
      </c>
      <c r="R63" s="17">
        <f t="shared" si="100"/>
        <v>2150000</v>
      </c>
      <c r="S63" s="14">
        <f>VLOOKUP(I63,[1]Lookups!$V$3:$Y$197,4,FALSE)</f>
        <v>0</v>
      </c>
      <c r="T63" s="14" t="str">
        <f>VLOOKUP(E63,[1]Lookups!$H$3:$I$71,2,FALSE)</f>
        <v>2. Seed</v>
      </c>
      <c r="U63" s="14" t="str">
        <f>VLOOKUP(K63,[1]Lookups!$B$3:$C$142,2,FALSE)</f>
        <v>Health &amp; Pharmaceuticals</v>
      </c>
      <c r="V63" s="14">
        <f t="shared" si="1"/>
        <v>2014</v>
      </c>
      <c r="W63" s="14">
        <f t="shared" si="2"/>
        <v>4</v>
      </c>
      <c r="X63" s="14">
        <f>VLOOKUP(W63,[1]Lookups!$P$3:$S$15,2,FALSE)</f>
        <v>2</v>
      </c>
      <c r="Y63" s="16">
        <f>VLOOKUP(W63,[1]Lookups!$P$3:$U$15,3,FALSE)</f>
        <v>1</v>
      </c>
      <c r="Z63" s="16">
        <f t="shared" si="3"/>
        <v>1</v>
      </c>
      <c r="AA63" s="16" t="str">
        <f t="shared" ca="1" si="81"/>
        <v>Velocity Capital Private Equity</v>
      </c>
      <c r="AB63" s="16">
        <f t="shared" si="81"/>
        <v>0</v>
      </c>
      <c r="AC63" s="16">
        <f t="shared" si="81"/>
        <v>0</v>
      </c>
      <c r="AD63" s="16">
        <f t="shared" si="81"/>
        <v>0</v>
      </c>
      <c r="AE63" s="16">
        <f t="shared" si="81"/>
        <v>0</v>
      </c>
      <c r="AF63" s="16">
        <f t="shared" si="81"/>
        <v>0</v>
      </c>
      <c r="AG63" s="16">
        <f t="shared" si="81"/>
        <v>0</v>
      </c>
      <c r="AH63" s="16">
        <f t="shared" si="81"/>
        <v>0</v>
      </c>
      <c r="AI63" s="16">
        <f t="shared" si="81"/>
        <v>0</v>
      </c>
      <c r="AJ63" s="16">
        <f t="shared" si="81"/>
        <v>0</v>
      </c>
      <c r="AK63" s="16">
        <f t="shared" si="81"/>
        <v>0</v>
      </c>
      <c r="AL63" s="16">
        <f t="shared" si="81"/>
        <v>0</v>
      </c>
      <c r="AM63" s="16">
        <f t="shared" si="81"/>
        <v>0</v>
      </c>
      <c r="AN63" s="16">
        <f t="shared" si="81"/>
        <v>0</v>
      </c>
      <c r="AO63" s="16">
        <f t="shared" si="81"/>
        <v>0</v>
      </c>
      <c r="AP63" s="10"/>
      <c r="AQ63" s="10"/>
      <c r="AR63" s="10"/>
      <c r="AS63" s="10" t="str">
        <f t="shared" ref="AS63" ca="1" si="105">IFERROR(__xludf.DUMMYFUNCTION("split(F59,"","",true,true)"),"Velocity Capital Private Equity")</f>
        <v>Velocity Capital Private Equity</v>
      </c>
      <c r="AT63" s="10"/>
      <c r="AU63" s="10"/>
      <c r="AV63" s="10"/>
      <c r="AW63" s="10"/>
      <c r="AX63" s="10"/>
      <c r="AY63" s="10"/>
      <c r="AZ63" s="10"/>
      <c r="BA63" s="10"/>
      <c r="BB63" s="10"/>
      <c r="BC63" s="10"/>
      <c r="BD63" s="10"/>
      <c r="BE63" s="10"/>
      <c r="BF63" s="10"/>
      <c r="BG63" s="10"/>
      <c r="BH63" s="10"/>
      <c r="BI63" s="10"/>
      <c r="BJ63" s="10"/>
      <c r="BK63" s="10"/>
      <c r="BM63" s="10"/>
    </row>
    <row r="64" spans="1:65" ht="12.75">
      <c r="A64" s="9">
        <v>41739</v>
      </c>
      <c r="B64" s="10" t="s">
        <v>193</v>
      </c>
      <c r="C64" s="11">
        <v>938000</v>
      </c>
      <c r="D64" s="12"/>
      <c r="E64" s="14" t="s">
        <v>45</v>
      </c>
      <c r="F64" s="10" t="s">
        <v>194</v>
      </c>
      <c r="G64" s="13" t="s">
        <v>195</v>
      </c>
      <c r="H64" s="14" t="str">
        <f t="array" ref="H64">IFERROR(INDEX([1]Companies!$G:$G,MATCH(B64,[1]Companies!$A:$A,0)),"")</f>
        <v>Nigeria</v>
      </c>
      <c r="I64" s="14" t="str">
        <f t="shared" si="95"/>
        <v>Nigeria</v>
      </c>
      <c r="J64" s="14" t="str">
        <f t="array" ref="J64">IFERROR(INDEX([1]Companies!$Y:$Y,MATCH(B64,[1]Companies!$A:$A,0)),"")</f>
        <v>Microfinance, Distributed Systems, Machine Learning, Functional Programming, Parallel Programming, Microservices, and Metaprogramming.</v>
      </c>
      <c r="K64" s="14" t="str">
        <f t="array" ref="K64">IFERROR(INDEX([1]Companies!$X:$X,MATCH(B64,[1]Companies!$A:$A,0)),"")</f>
        <v>Financial Services</v>
      </c>
      <c r="L64" s="14" t="str">
        <f>VLOOKUP(B64,[1]Companies!$A$1:$C$5243,1,FALSE)</f>
        <v>Mines</v>
      </c>
      <c r="M64" s="15">
        <f t="shared" si="96"/>
        <v>0.9</v>
      </c>
      <c r="N64" s="10" t="str">
        <f t="shared" si="97"/>
        <v>41739Mines938000</v>
      </c>
      <c r="O64" s="14" t="str">
        <f t="shared" si="98"/>
        <v/>
      </c>
      <c r="P64" s="14">
        <f t="shared" si="99"/>
        <v>1</v>
      </c>
      <c r="Q64" s="14">
        <f t="array" ref="Q64">IFERROR(INDEX([1]Companies!$D:$D,MATCH(B64,[1]Companies!$A:$A,0)),"")</f>
        <v>2014</v>
      </c>
      <c r="R64" s="17">
        <f t="shared" si="100"/>
        <v>17138000</v>
      </c>
      <c r="S64" s="14">
        <f>VLOOKUP(I64,[1]Lookups!$V$3:$Y$197,4,FALSE)</f>
        <v>0</v>
      </c>
      <c r="T64" s="14" t="str">
        <f>VLOOKUP(E64,[1]Lookups!$H$3:$I$71,2,FALSE)</f>
        <v>2. Seed</v>
      </c>
      <c r="U64" s="14" t="str">
        <f>VLOOKUP(K64,[1]Lookups!$B$3:$C$142,2,FALSE)</f>
        <v>Financial Services</v>
      </c>
      <c r="V64" s="14">
        <f t="shared" si="1"/>
        <v>2014</v>
      </c>
      <c r="W64" s="14">
        <f t="shared" si="2"/>
        <v>4</v>
      </c>
      <c r="X64" s="14">
        <f>VLOOKUP(W64,[1]Lookups!$P$3:$S$15,2,FALSE)</f>
        <v>2</v>
      </c>
      <c r="Y64" s="16">
        <f>VLOOKUP(W64,[1]Lookups!$P$3:$U$15,3,FALSE)</f>
        <v>1</v>
      </c>
      <c r="Z64" s="16">
        <f t="shared" si="3"/>
        <v>1</v>
      </c>
      <c r="AA64" s="16" t="str">
        <f t="shared" ca="1" si="81"/>
        <v>Velocity Capital Private Equity</v>
      </c>
      <c r="AB64" s="16">
        <f t="shared" si="81"/>
        <v>0</v>
      </c>
      <c r="AC64" s="16">
        <f t="shared" si="81"/>
        <v>0</v>
      </c>
      <c r="AD64" s="16">
        <f t="shared" si="81"/>
        <v>0</v>
      </c>
      <c r="AE64" s="16">
        <f t="shared" si="81"/>
        <v>0</v>
      </c>
      <c r="AF64" s="16">
        <f t="shared" si="81"/>
        <v>0</v>
      </c>
      <c r="AG64" s="16">
        <f t="shared" si="81"/>
        <v>0</v>
      </c>
      <c r="AH64" s="16">
        <f t="shared" si="81"/>
        <v>0</v>
      </c>
      <c r="AI64" s="16">
        <f t="shared" si="81"/>
        <v>0</v>
      </c>
      <c r="AJ64" s="16">
        <f t="shared" si="81"/>
        <v>0</v>
      </c>
      <c r="AK64" s="16">
        <f t="shared" si="81"/>
        <v>0</v>
      </c>
      <c r="AL64" s="16">
        <f t="shared" si="81"/>
        <v>0</v>
      </c>
      <c r="AM64" s="16">
        <f t="shared" si="81"/>
        <v>0</v>
      </c>
      <c r="AN64" s="16">
        <f t="shared" si="81"/>
        <v>0</v>
      </c>
      <c r="AO64" s="16">
        <f t="shared" si="81"/>
        <v>0</v>
      </c>
      <c r="AP64" s="10"/>
      <c r="AQ64" s="10"/>
      <c r="AR64" s="10"/>
      <c r="AS64" s="10" t="str">
        <f t="shared" ref="AS64" ca="1" si="106">IFERROR(__xludf.DUMMYFUNCTION("split(F59,"","",true,true)"),"Velocity Capital Private Equity")</f>
        <v>Velocity Capital Private Equity</v>
      </c>
      <c r="AT64" s="10"/>
      <c r="AU64" s="10"/>
      <c r="AV64" s="10"/>
      <c r="AW64" s="10"/>
      <c r="AX64" s="10"/>
      <c r="AY64" s="10"/>
      <c r="AZ64" s="10"/>
      <c r="BA64" s="10"/>
      <c r="BB64" s="10"/>
      <c r="BC64" s="10"/>
      <c r="BD64" s="10"/>
      <c r="BE64" s="10"/>
      <c r="BF64" s="10"/>
      <c r="BG64" s="10"/>
      <c r="BH64" s="10"/>
      <c r="BI64" s="10"/>
      <c r="BJ64" s="10"/>
      <c r="BK64" s="10"/>
      <c r="BM64" s="10"/>
    </row>
    <row r="65" spans="1:65" ht="12.75">
      <c r="A65" s="18">
        <v>41760</v>
      </c>
      <c r="B65" s="14" t="s">
        <v>196</v>
      </c>
      <c r="C65" s="19" t="s">
        <v>49</v>
      </c>
      <c r="D65" s="22"/>
      <c r="E65" s="14" t="s">
        <v>45</v>
      </c>
      <c r="F65" s="14" t="s">
        <v>197</v>
      </c>
      <c r="G65" s="21" t="s">
        <v>198</v>
      </c>
      <c r="H65" s="14" t="str">
        <f t="array" ref="H65">IFERROR(INDEX([1]Companies!$G:$G,MATCH(B65,[1]Companies!$A:$A,0)),"")</f>
        <v>Kenya</v>
      </c>
      <c r="I65" s="14" t="str">
        <f t="shared" si="95"/>
        <v>Kenya</v>
      </c>
      <c r="J65" s="14" t="str">
        <f t="array" ref="J65">IFERROR(INDEX([1]Companies!$Y:$Y,MATCH(B65,[1]Companies!$A:$A,0)),"")</f>
        <v>Fast-Moving Consumer Goods, Financial Services</v>
      </c>
      <c r="K65" s="14" t="str">
        <f t="array" ref="K65">IFERROR(INDEX([1]Companies!$X:$X,MATCH(B65,[1]Companies!$A:$A,0)),"")</f>
        <v>Financial Services</v>
      </c>
      <c r="L65" s="14" t="str">
        <f>VLOOKUP(B65,[1]Companies!$A$1:$C$5243,1,FALSE)</f>
        <v>Umati Capital</v>
      </c>
      <c r="M65" s="15">
        <f t="shared" si="96"/>
        <v>0.9</v>
      </c>
      <c r="N65" s="10" t="str">
        <f t="shared" si="97"/>
        <v>41760Umati CapitalUndisclosed</v>
      </c>
      <c r="O65" s="14" t="str">
        <f t="shared" si="98"/>
        <v/>
      </c>
      <c r="P65" s="14">
        <f t="shared" si="99"/>
        <v>0</v>
      </c>
      <c r="Q65" s="14">
        <f t="array" ref="Q65">IFERROR(INDEX([1]Companies!$D:$D,MATCH(B65,[1]Companies!$A:$A,0)),"")</f>
        <v>2012</v>
      </c>
      <c r="R65" s="17">
        <f t="shared" si="100"/>
        <v>0</v>
      </c>
      <c r="S65" s="14">
        <f>VLOOKUP(I65,[1]Lookups!$V$3:$Y$197,4,FALSE)</f>
        <v>0</v>
      </c>
      <c r="T65" s="14" t="str">
        <f>VLOOKUP(E65,[1]Lookups!$H$3:$I$71,2,FALSE)</f>
        <v>2. Seed</v>
      </c>
      <c r="U65" s="14" t="str">
        <f>VLOOKUP(K65,[1]Lookups!$B$3:$C$142,2,FALSE)</f>
        <v>Financial Services</v>
      </c>
      <c r="V65" s="14">
        <f t="shared" si="1"/>
        <v>2014</v>
      </c>
      <c r="W65" s="14">
        <f t="shared" si="2"/>
        <v>5</v>
      </c>
      <c r="X65" s="14">
        <f>VLOOKUP(W65,[1]Lookups!$P$3:$S$15,2,FALSE)</f>
        <v>2</v>
      </c>
      <c r="Y65" s="16">
        <f>VLOOKUP(W65,[1]Lookups!$P$3:$U$15,3,FALSE)</f>
        <v>1</v>
      </c>
      <c r="Z65" s="16">
        <f t="shared" si="3"/>
        <v>1</v>
      </c>
      <c r="AA65" s="16" t="str">
        <f t="shared" ca="1" si="81"/>
        <v>Velocity Capital Private Equity</v>
      </c>
      <c r="AB65" s="16">
        <f t="shared" si="81"/>
        <v>0</v>
      </c>
      <c r="AC65" s="16">
        <f t="shared" si="81"/>
        <v>0</v>
      </c>
      <c r="AD65" s="16">
        <f t="shared" si="81"/>
        <v>0</v>
      </c>
      <c r="AE65" s="16">
        <f t="shared" si="81"/>
        <v>0</v>
      </c>
      <c r="AF65" s="16">
        <f t="shared" si="81"/>
        <v>0</v>
      </c>
      <c r="AG65" s="16">
        <f t="shared" si="81"/>
        <v>0</v>
      </c>
      <c r="AH65" s="16">
        <f t="shared" si="81"/>
        <v>0</v>
      </c>
      <c r="AI65" s="16">
        <f t="shared" si="81"/>
        <v>0</v>
      </c>
      <c r="AJ65" s="16">
        <f t="shared" si="81"/>
        <v>0</v>
      </c>
      <c r="AK65" s="16">
        <f t="shared" si="81"/>
        <v>0</v>
      </c>
      <c r="AL65" s="16">
        <f t="shared" si="81"/>
        <v>0</v>
      </c>
      <c r="AM65" s="16">
        <f t="shared" si="81"/>
        <v>0</v>
      </c>
      <c r="AN65" s="16">
        <f t="shared" si="81"/>
        <v>0</v>
      </c>
      <c r="AO65" s="16">
        <f t="shared" si="81"/>
        <v>0</v>
      </c>
      <c r="AP65" s="10"/>
      <c r="AQ65" s="10"/>
      <c r="AR65" s="10"/>
      <c r="AS65" s="10" t="str">
        <f t="shared" ref="AS65" ca="1" si="107">IFERROR(__xludf.DUMMYFUNCTION("split(F59,"","",true,true)"),"Velocity Capital Private Equity")</f>
        <v>Velocity Capital Private Equity</v>
      </c>
      <c r="AT65" s="10"/>
      <c r="AU65" s="10"/>
      <c r="AV65" s="10"/>
      <c r="AW65" s="10"/>
      <c r="AX65" s="10"/>
      <c r="AY65" s="10"/>
      <c r="AZ65" s="10"/>
      <c r="BA65" s="10"/>
      <c r="BB65" s="10"/>
      <c r="BC65" s="10"/>
      <c r="BD65" s="10"/>
      <c r="BE65" s="10"/>
      <c r="BF65" s="10"/>
      <c r="BG65" s="10"/>
      <c r="BH65" s="10"/>
      <c r="BI65" s="10"/>
      <c r="BJ65" s="10"/>
      <c r="BK65" s="10"/>
      <c r="BM65" s="10"/>
    </row>
    <row r="66" spans="1:65" ht="12.75">
      <c r="A66" s="9">
        <v>41779</v>
      </c>
      <c r="B66" s="10" t="s">
        <v>199</v>
      </c>
      <c r="C66" s="11">
        <v>2700000</v>
      </c>
      <c r="D66" s="12"/>
      <c r="E66" s="10" t="s">
        <v>69</v>
      </c>
      <c r="F66" s="10" t="s">
        <v>200</v>
      </c>
      <c r="G66" s="13" t="s">
        <v>201</v>
      </c>
      <c r="H66" s="14" t="str">
        <f t="array" ref="H66">IFERROR(INDEX([1]Companies!$G:$G,MATCH(B66,[1]Companies!$A:$A,0)),"")</f>
        <v>South Africa</v>
      </c>
      <c r="I66" s="14" t="str">
        <f t="shared" si="95"/>
        <v>South Africa</v>
      </c>
      <c r="J66" s="14" t="str">
        <f t="array" ref="J66">IFERROR(INDEX([1]Companies!$Y:$Y,MATCH(B66,[1]Companies!$A:$A,0)),"")</f>
        <v>International School</v>
      </c>
      <c r="K66" s="14" t="str">
        <f t="array" ref="K66">IFERROR(INDEX([1]Companies!$X:$X,MATCH(B66,[1]Companies!$A:$A,0)),"")</f>
        <v>Education</v>
      </c>
      <c r="L66" s="14" t="str">
        <f>VLOOKUP(B66,[1]Companies!$A$1:$C$5243,1,FALSE)</f>
        <v>SPARK Schools</v>
      </c>
      <c r="M66" s="15">
        <f t="shared" si="96"/>
        <v>0.9</v>
      </c>
      <c r="N66" s="10"/>
      <c r="O66" s="14"/>
      <c r="P66" s="14"/>
      <c r="Q66" s="14"/>
      <c r="R66" s="14"/>
      <c r="S66" s="14"/>
      <c r="T66" s="14"/>
      <c r="U66" s="14"/>
      <c r="V66" s="14">
        <f t="shared" si="1"/>
        <v>2014</v>
      </c>
      <c r="W66" s="14">
        <f t="shared" si="2"/>
        <v>5</v>
      </c>
      <c r="X66" s="14">
        <f>VLOOKUP(W66,[1]Lookups!$P$3:$S$15,2,FALSE)</f>
        <v>2</v>
      </c>
      <c r="Y66" s="16">
        <f>VLOOKUP(W66,[1]Lookups!$P$3:$U$15,3,FALSE)</f>
        <v>1</v>
      </c>
      <c r="Z66" s="16">
        <f t="shared" si="3"/>
        <v>1</v>
      </c>
      <c r="AA66" s="16" t="str">
        <f t="shared" ref="AA66:AO81" ca="1" si="108">AS66</f>
        <v>Velocity Capital Private Equity</v>
      </c>
      <c r="AB66" s="16">
        <f t="shared" si="108"/>
        <v>0</v>
      </c>
      <c r="AC66" s="16">
        <f t="shared" si="108"/>
        <v>0</v>
      </c>
      <c r="AD66" s="16">
        <f t="shared" si="108"/>
        <v>0</v>
      </c>
      <c r="AE66" s="16">
        <f t="shared" si="108"/>
        <v>0</v>
      </c>
      <c r="AF66" s="16">
        <f t="shared" si="108"/>
        <v>0</v>
      </c>
      <c r="AG66" s="16">
        <f t="shared" si="108"/>
        <v>0</v>
      </c>
      <c r="AH66" s="16">
        <f t="shared" si="108"/>
        <v>0</v>
      </c>
      <c r="AI66" s="16">
        <f t="shared" si="108"/>
        <v>0</v>
      </c>
      <c r="AJ66" s="16">
        <f t="shared" si="108"/>
        <v>0</v>
      </c>
      <c r="AK66" s="16">
        <f t="shared" si="108"/>
        <v>0</v>
      </c>
      <c r="AL66" s="16">
        <f t="shared" si="108"/>
        <v>0</v>
      </c>
      <c r="AM66" s="16">
        <f t="shared" si="108"/>
        <v>0</v>
      </c>
      <c r="AN66" s="16">
        <f t="shared" si="108"/>
        <v>0</v>
      </c>
      <c r="AO66" s="16">
        <f t="shared" si="108"/>
        <v>0</v>
      </c>
      <c r="AP66" s="10"/>
      <c r="AQ66" s="10"/>
      <c r="AR66" s="10"/>
      <c r="AS66" s="10" t="str">
        <f t="shared" ref="AS66" ca="1" si="109">IFERROR(__xludf.DUMMYFUNCTION("split(F59,"","",true,true)"),"Velocity Capital Private Equity")</f>
        <v>Velocity Capital Private Equity</v>
      </c>
      <c r="AT66" s="10"/>
      <c r="AU66" s="10"/>
      <c r="AV66" s="10"/>
      <c r="AW66" s="10"/>
      <c r="AX66" s="10"/>
      <c r="AY66" s="10"/>
      <c r="AZ66" s="10"/>
      <c r="BA66" s="10"/>
      <c r="BB66" s="10"/>
      <c r="BC66" s="10"/>
      <c r="BD66" s="10"/>
      <c r="BE66" s="10"/>
      <c r="BF66" s="10"/>
      <c r="BG66" s="10"/>
      <c r="BH66" s="10"/>
      <c r="BI66" s="10"/>
      <c r="BJ66" s="10"/>
      <c r="BK66" s="10"/>
      <c r="BM66" s="10"/>
    </row>
    <row r="67" spans="1:65" ht="12.75">
      <c r="A67" s="18">
        <v>41782</v>
      </c>
      <c r="B67" s="14" t="s">
        <v>202</v>
      </c>
      <c r="C67" s="19">
        <v>100000000</v>
      </c>
      <c r="D67" s="19"/>
      <c r="E67" s="14" t="s">
        <v>84</v>
      </c>
      <c r="F67" s="14" t="s">
        <v>76</v>
      </c>
      <c r="G67" s="21" t="s">
        <v>203</v>
      </c>
      <c r="H67" s="14" t="str">
        <f t="array" ref="H67">IFERROR(INDEX([1]Companies!$G:$G,MATCH(B67,[1]Companies!$A:$A,0)),"")</f>
        <v>South Africa</v>
      </c>
      <c r="I67" s="14" t="str">
        <f t="shared" si="95"/>
        <v>South Africa</v>
      </c>
      <c r="J67" s="14" t="str">
        <f t="array" ref="J67">IFERROR(INDEX([1]Companies!$Y:$Y,MATCH(B67,[1]Companies!$A:$A,0)),"")</f>
        <v>E-Commerce, Logistics, Retail</v>
      </c>
      <c r="K67" s="14" t="str">
        <f t="array" ref="K67">IFERROR(INDEX([1]Companies!$X:$X,MATCH(B67,[1]Companies!$A:$A,0)),"")</f>
        <v>E-Commerce &amp; Retail</v>
      </c>
      <c r="L67" s="14" t="str">
        <f>VLOOKUP(B67,[1]Companies!$A$1:$C$5243,1,FALSE)</f>
        <v>Takealot</v>
      </c>
      <c r="M67" s="15">
        <f t="shared" si="96"/>
        <v>0.9</v>
      </c>
      <c r="N67" s="10" t="str">
        <f t="shared" ref="N67:N68" si="110">CONCATENATE(A67,B67,C67)</f>
        <v>41782Takealot100000000</v>
      </c>
      <c r="O67" s="14" t="str">
        <f t="shared" ref="O67:O68" si="111">IF(A67 = "","",IF(COUNTIF(N:N,CONCATENATE(A67,B67,C67))&gt;1,"Duplicated",""))</f>
        <v/>
      </c>
      <c r="P67" s="14">
        <f t="shared" ref="P67:P68" si="112">IF(C67="Undisclosed",0,1)</f>
        <v>1</v>
      </c>
      <c r="Q67" s="14">
        <f t="array" ref="Q67">IFERROR(INDEX([1]Companies!$D:$D,MATCH(B67,[1]Companies!$A:$A,0)),"")</f>
        <v>2011</v>
      </c>
      <c r="R67" s="17">
        <f t="shared" ref="R67:R68" si="113">SUMIF(B:B,B67,C:C)</f>
        <v>169000000</v>
      </c>
      <c r="S67" s="14">
        <f>VLOOKUP(I67,[1]Lookups!$V$3:$Y$197,4,FALSE)</f>
        <v>0</v>
      </c>
      <c r="T67" s="14" t="str">
        <f>VLOOKUP(E67,[1]Lookups!$H$3:$I$71,2,FALSE)</f>
        <v>4. Late Venture</v>
      </c>
      <c r="U67" s="14" t="str">
        <f>VLOOKUP(K67,[1]Lookups!$B$3:$C$142,2,FALSE)</f>
        <v>E-commerce &amp; Retail</v>
      </c>
      <c r="V67" s="14">
        <f t="shared" si="1"/>
        <v>2014</v>
      </c>
      <c r="W67" s="14">
        <f t="shared" si="2"/>
        <v>5</v>
      </c>
      <c r="X67" s="14">
        <f>VLOOKUP(W67,[1]Lookups!$P$3:$S$15,2,FALSE)</f>
        <v>2</v>
      </c>
      <c r="Y67" s="16">
        <f>VLOOKUP(W67,[1]Lookups!$P$3:$U$15,3,FALSE)</f>
        <v>1</v>
      </c>
      <c r="Z67" s="16">
        <f t="shared" si="3"/>
        <v>1</v>
      </c>
      <c r="AA67" s="16" t="str">
        <f t="shared" ca="1" si="108"/>
        <v>Velocity Capital Private Equity</v>
      </c>
      <c r="AB67" s="16">
        <f t="shared" si="108"/>
        <v>0</v>
      </c>
      <c r="AC67" s="16">
        <f t="shared" si="108"/>
        <v>0</v>
      </c>
      <c r="AD67" s="16">
        <f t="shared" si="108"/>
        <v>0</v>
      </c>
      <c r="AE67" s="16">
        <f t="shared" si="108"/>
        <v>0</v>
      </c>
      <c r="AF67" s="16">
        <f t="shared" si="108"/>
        <v>0</v>
      </c>
      <c r="AG67" s="16">
        <f t="shared" si="108"/>
        <v>0</v>
      </c>
      <c r="AH67" s="16">
        <f t="shared" si="108"/>
        <v>0</v>
      </c>
      <c r="AI67" s="16">
        <f t="shared" si="108"/>
        <v>0</v>
      </c>
      <c r="AJ67" s="16">
        <f t="shared" si="108"/>
        <v>0</v>
      </c>
      <c r="AK67" s="16">
        <f t="shared" si="108"/>
        <v>0</v>
      </c>
      <c r="AL67" s="16">
        <f t="shared" si="108"/>
        <v>0</v>
      </c>
      <c r="AM67" s="16">
        <f t="shared" si="108"/>
        <v>0</v>
      </c>
      <c r="AN67" s="16">
        <f t="shared" si="108"/>
        <v>0</v>
      </c>
      <c r="AO67" s="16">
        <f t="shared" si="108"/>
        <v>0</v>
      </c>
      <c r="AP67" s="10"/>
      <c r="AQ67" s="10"/>
      <c r="AR67" s="10"/>
      <c r="AS67" s="10" t="str">
        <f t="shared" ref="AS67" ca="1" si="114">IFERROR(__xludf.DUMMYFUNCTION("split(F59,"","",true,true)"),"Velocity Capital Private Equity")</f>
        <v>Velocity Capital Private Equity</v>
      </c>
      <c r="AT67" s="10"/>
      <c r="AU67" s="10"/>
      <c r="AV67" s="10"/>
      <c r="AW67" s="10"/>
      <c r="AX67" s="10"/>
      <c r="AY67" s="10"/>
      <c r="AZ67" s="10"/>
      <c r="BA67" s="10"/>
      <c r="BB67" s="10"/>
      <c r="BC67" s="10"/>
      <c r="BD67" s="10"/>
      <c r="BE67" s="10"/>
      <c r="BF67" s="10"/>
      <c r="BG67" s="10"/>
      <c r="BH67" s="10"/>
      <c r="BI67" s="10"/>
      <c r="BJ67" s="10"/>
      <c r="BK67" s="10"/>
      <c r="BM67" s="10"/>
    </row>
    <row r="68" spans="1:65" ht="12.75">
      <c r="A68" s="9">
        <v>41788</v>
      </c>
      <c r="B68" s="10" t="s">
        <v>204</v>
      </c>
      <c r="C68" s="11">
        <v>650000</v>
      </c>
      <c r="D68" s="12"/>
      <c r="E68" s="14" t="s">
        <v>45</v>
      </c>
      <c r="F68" s="10" t="s">
        <v>205</v>
      </c>
      <c r="G68" s="13" t="s">
        <v>206</v>
      </c>
      <c r="H68" s="14" t="str">
        <f t="array" ref="H68">IFERROR(INDEX([1]Companies!$G:$G,MATCH(B68,[1]Companies!$A:$A,0)),"")</f>
        <v>Kenya</v>
      </c>
      <c r="I68" s="14" t="str">
        <f t="shared" si="95"/>
        <v>Kenya</v>
      </c>
      <c r="J68" s="14" t="str">
        <f t="array" ref="J68">IFERROR(INDEX([1]Companies!$Y:$Y,MATCH(B68,[1]Companies!$A:$A,0)),"")</f>
        <v>Blockchain, Cryptocurrencies, Exchange, Fintech</v>
      </c>
      <c r="K68" s="14" t="str">
        <f t="array" ref="K68">IFERROR(INDEX([1]Companies!$X:$X,MATCH(B68,[1]Companies!$A:$A,0)),"")</f>
        <v>Financial Services</v>
      </c>
      <c r="L68" s="14" t="str">
        <f>VLOOKUP(B68,[1]Companies!$A$1:$C$5243,1,FALSE)</f>
        <v>Bitpesa</v>
      </c>
      <c r="M68" s="15">
        <f t="shared" si="96"/>
        <v>0.9</v>
      </c>
      <c r="N68" s="10" t="str">
        <f t="shared" si="110"/>
        <v>41788BitPesa650000</v>
      </c>
      <c r="O68" s="14" t="str">
        <f t="shared" si="111"/>
        <v/>
      </c>
      <c r="P68" s="14">
        <f t="shared" si="112"/>
        <v>1</v>
      </c>
      <c r="Q68" s="14">
        <f t="array" ref="Q68">IFERROR(INDEX([1]Companies!$D:$D,MATCH(B68,[1]Companies!$A:$A,0)),"")</f>
        <v>2013</v>
      </c>
      <c r="R68" s="17">
        <f t="shared" si="113"/>
        <v>14970000</v>
      </c>
      <c r="S68" s="14">
        <f>VLOOKUP(I68,[1]Lookups!$V$3:$Y$197,4,FALSE)</f>
        <v>0</v>
      </c>
      <c r="T68" s="14" t="str">
        <f>VLOOKUP(E68,[1]Lookups!$H$3:$I$71,2,FALSE)</f>
        <v>2. Seed</v>
      </c>
      <c r="U68" s="14" t="str">
        <f>VLOOKUP(K68,[1]Lookups!$B$3:$C$142,2,FALSE)</f>
        <v>Financial Services</v>
      </c>
      <c r="V68" s="14">
        <f t="shared" si="1"/>
        <v>2014</v>
      </c>
      <c r="W68" s="14">
        <f t="shared" si="2"/>
        <v>5</v>
      </c>
      <c r="X68" s="14">
        <f>VLOOKUP(W68,[1]Lookups!$P$3:$S$15,2,FALSE)</f>
        <v>2</v>
      </c>
      <c r="Y68" s="16">
        <f>VLOOKUP(W68,[1]Lookups!$P$3:$U$15,3,FALSE)</f>
        <v>1</v>
      </c>
      <c r="Z68" s="16">
        <f t="shared" si="3"/>
        <v>3</v>
      </c>
      <c r="AA68" s="16" t="str">
        <f t="shared" ca="1" si="108"/>
        <v>Velocity Capital Private Equity</v>
      </c>
      <c r="AB68" s="16" t="str">
        <f t="shared" ca="1" si="108"/>
        <v xml:space="preserve"> Firestartr</v>
      </c>
      <c r="AC68" s="16" t="str">
        <f t="shared" ca="1" si="108"/>
        <v xml:space="preserve"> Digital Currency Group</v>
      </c>
      <c r="AD68" s="16">
        <f t="shared" si="108"/>
        <v>0</v>
      </c>
      <c r="AE68" s="16">
        <f t="shared" si="108"/>
        <v>0</v>
      </c>
      <c r="AF68" s="16">
        <f t="shared" si="108"/>
        <v>0</v>
      </c>
      <c r="AG68" s="16">
        <f t="shared" si="108"/>
        <v>0</v>
      </c>
      <c r="AH68" s="16">
        <f t="shared" si="108"/>
        <v>0</v>
      </c>
      <c r="AI68" s="16">
        <f t="shared" si="108"/>
        <v>0</v>
      </c>
      <c r="AJ68" s="16">
        <f t="shared" si="108"/>
        <v>0</v>
      </c>
      <c r="AK68" s="16">
        <f t="shared" si="108"/>
        <v>0</v>
      </c>
      <c r="AL68" s="16">
        <f t="shared" si="108"/>
        <v>0</v>
      </c>
      <c r="AM68" s="16">
        <f t="shared" si="108"/>
        <v>0</v>
      </c>
      <c r="AN68" s="16">
        <f t="shared" si="108"/>
        <v>0</v>
      </c>
      <c r="AO68" s="16">
        <f t="shared" si="108"/>
        <v>0</v>
      </c>
      <c r="AP68" s="10"/>
      <c r="AQ68" s="10"/>
      <c r="AR68" s="10"/>
      <c r="AS68" s="10" t="str">
        <f t="shared" ref="AS68:AS69" ca="1" si="115">IFERROR(__xludf.DUMMYFUNCTION("split(F59,"","",true,true)"),"Velocity Capital Private Equity")</f>
        <v>Velocity Capital Private Equity</v>
      </c>
      <c r="AT68" s="10" t="str">
        <f ca="1">IFERROR(__xludf.DUMMYFUNCTION("""COMPUTED_VALUE""")," Firestartr")</f>
        <v xml:space="preserve"> Firestartr</v>
      </c>
      <c r="AU68" s="10" t="str">
        <f ca="1">IFERROR(__xludf.DUMMYFUNCTION("""COMPUTED_VALUE""")," Digital Currency Group")</f>
        <v xml:space="preserve"> Digital Currency Group</v>
      </c>
      <c r="AV68" s="10"/>
      <c r="AW68" s="10"/>
      <c r="AX68" s="10"/>
      <c r="AY68" s="10"/>
      <c r="AZ68" s="10"/>
      <c r="BA68" s="10"/>
      <c r="BB68" s="10"/>
      <c r="BC68" s="10"/>
      <c r="BD68" s="10"/>
      <c r="BE68" s="10"/>
      <c r="BF68" s="10"/>
      <c r="BG68" s="10"/>
      <c r="BH68" s="10"/>
      <c r="BI68" s="10"/>
      <c r="BJ68" s="10"/>
      <c r="BK68" s="10"/>
      <c r="BM68" s="10"/>
    </row>
    <row r="69" spans="1:65" ht="12.75">
      <c r="A69" s="9">
        <v>41801</v>
      </c>
      <c r="B69" s="10" t="s">
        <v>207</v>
      </c>
      <c r="C69" s="11">
        <v>120000</v>
      </c>
      <c r="D69" s="12"/>
      <c r="E69" s="10" t="s">
        <v>45</v>
      </c>
      <c r="F69" s="10" t="s">
        <v>208</v>
      </c>
      <c r="G69" s="13" t="s">
        <v>209</v>
      </c>
      <c r="H69" s="14"/>
      <c r="I69" s="14"/>
      <c r="J69" s="14"/>
      <c r="K69" s="14"/>
      <c r="L69" s="14"/>
      <c r="M69" s="15"/>
      <c r="N69" s="10"/>
      <c r="O69" s="14"/>
      <c r="P69" s="14"/>
      <c r="Q69" s="14"/>
      <c r="R69" s="14"/>
      <c r="S69" s="14"/>
      <c r="T69" s="14"/>
      <c r="U69" s="14"/>
      <c r="V69" s="14">
        <f t="shared" si="1"/>
        <v>2014</v>
      </c>
      <c r="W69" s="14">
        <f t="shared" si="2"/>
        <v>6</v>
      </c>
      <c r="X69" s="14">
        <f>VLOOKUP(W69,[1]Lookups!$P$3:$S$15,2,FALSE)</f>
        <v>2</v>
      </c>
      <c r="Y69" s="16">
        <f>VLOOKUP(W69,[1]Lookups!$P$3:$U$15,3,FALSE)</f>
        <v>1</v>
      </c>
      <c r="Z69" s="16">
        <f t="shared" si="3"/>
        <v>1</v>
      </c>
      <c r="AA69" s="16" t="str">
        <f t="shared" ca="1" si="108"/>
        <v>Velocity Capital Private Equity</v>
      </c>
      <c r="AB69" s="16">
        <f t="shared" si="108"/>
        <v>0</v>
      </c>
      <c r="AC69" s="16">
        <f t="shared" si="108"/>
        <v>0</v>
      </c>
      <c r="AD69" s="16">
        <f t="shared" si="108"/>
        <v>0</v>
      </c>
      <c r="AE69" s="16">
        <f t="shared" si="108"/>
        <v>0</v>
      </c>
      <c r="AF69" s="16">
        <f t="shared" si="108"/>
        <v>0</v>
      </c>
      <c r="AG69" s="16">
        <f t="shared" si="108"/>
        <v>0</v>
      </c>
      <c r="AH69" s="16">
        <f t="shared" si="108"/>
        <v>0</v>
      </c>
      <c r="AI69" s="16">
        <f t="shared" si="108"/>
        <v>0</v>
      </c>
      <c r="AJ69" s="16">
        <f t="shared" si="108"/>
        <v>0</v>
      </c>
      <c r="AK69" s="16">
        <f t="shared" si="108"/>
        <v>0</v>
      </c>
      <c r="AL69" s="16">
        <f t="shared" si="108"/>
        <v>0</v>
      </c>
      <c r="AM69" s="16">
        <f t="shared" si="108"/>
        <v>0</v>
      </c>
      <c r="AN69" s="16">
        <f t="shared" si="108"/>
        <v>0</v>
      </c>
      <c r="AO69" s="16">
        <f t="shared" si="108"/>
        <v>0</v>
      </c>
      <c r="AP69" s="10"/>
      <c r="AQ69" s="10"/>
      <c r="AR69" s="10"/>
      <c r="AS69" s="10" t="str">
        <f t="shared" ca="1" si="115"/>
        <v>Velocity Capital Private Equity</v>
      </c>
      <c r="AT69" s="10"/>
      <c r="AU69" s="10"/>
      <c r="AV69" s="10"/>
      <c r="AW69" s="10"/>
      <c r="AX69" s="10"/>
      <c r="AY69" s="10"/>
      <c r="AZ69" s="10"/>
      <c r="BA69" s="10"/>
      <c r="BB69" s="10"/>
      <c r="BC69" s="10"/>
      <c r="BD69" s="10"/>
      <c r="BE69" s="10"/>
      <c r="BF69" s="10"/>
      <c r="BG69" s="10"/>
      <c r="BH69" s="10"/>
      <c r="BI69" s="10"/>
      <c r="BJ69" s="10"/>
      <c r="BK69" s="10"/>
      <c r="BM69" s="10"/>
    </row>
    <row r="70" spans="1:65" ht="12.75">
      <c r="A70" s="9">
        <v>41806</v>
      </c>
      <c r="B70" s="10" t="s">
        <v>210</v>
      </c>
      <c r="C70" s="11">
        <v>115000</v>
      </c>
      <c r="D70" s="12"/>
      <c r="E70" s="14" t="s">
        <v>45</v>
      </c>
      <c r="F70" s="10" t="s">
        <v>49</v>
      </c>
      <c r="G70" s="13" t="s">
        <v>211</v>
      </c>
      <c r="H70" s="14" t="str">
        <f t="array" ref="H70">IFERROR(INDEX([1]Companies!$G:$G,MATCH(B70,[1]Companies!$A:$A,0)),"")</f>
        <v>Cameroon</v>
      </c>
      <c r="I70" s="14" t="str">
        <f t="shared" ref="I70:I75" si="116">IF(LEN(TRIM(H70))-LEN(SUBSTITUTE(TRIM(H70),",","")) &gt; 0,TRIM(RIGHT(H70,LEN(H70)-FIND(",",H70))),H70)</f>
        <v>Cameroon</v>
      </c>
      <c r="J70" s="14" t="str">
        <f t="array" ref="J70">IFERROR(INDEX([1]Companies!$Y:$Y,MATCH(B70,[1]Companies!$A:$A,0)),"")</f>
        <v>Gaming, Mobile, Video Games</v>
      </c>
      <c r="K70" s="14" t="str">
        <f t="array" ref="K70">IFERROR(INDEX([1]Companies!$X:$X,MATCH(B70,[1]Companies!$A:$A,0)),"")</f>
        <v>Media &amp; Entertainment</v>
      </c>
      <c r="L70" s="14" t="str">
        <f>VLOOKUP(B70,[1]Companies!$A$1:$C$5243,1,FALSE)</f>
        <v>Kiro'o Games</v>
      </c>
      <c r="M70" s="15">
        <f t="shared" ref="M70:M75" si="117">COUNTA(B70:K70)/(COUNTBLANK(B70:K70) + COUNTA(B70:K70))</f>
        <v>0.9</v>
      </c>
      <c r="N70" s="10" t="str">
        <f t="shared" ref="N70:N75" si="118">CONCATENATE(A70,B70,C70)</f>
        <v>41806Kiro'o Games115000</v>
      </c>
      <c r="O70" s="14" t="str">
        <f t="shared" ref="O70:O75" si="119">IF(A70 = "","",IF(COUNTIF(N:N,CONCATENATE(A70,B70,C70))&gt;1,"Duplicated",""))</f>
        <v/>
      </c>
      <c r="P70" s="14">
        <f t="shared" ref="P70:P75" si="120">IF(C70="Undisclosed",0,1)</f>
        <v>1</v>
      </c>
      <c r="Q70" s="14">
        <f t="array" ref="Q70">IFERROR(INDEX([1]Companies!$D:$D,MATCH(B70,[1]Companies!$A:$A,0)),"")</f>
        <v>2013</v>
      </c>
      <c r="R70" s="17">
        <f t="shared" ref="R70:R75" si="121">SUMIF(B:B,B70,C:C)</f>
        <v>555000</v>
      </c>
      <c r="S70" s="14">
        <f>VLOOKUP(I70,[1]Lookups!$V$3:$Y$197,4,FALSE)</f>
        <v>0</v>
      </c>
      <c r="T70" s="14" t="str">
        <f>VLOOKUP(E70,[1]Lookups!$H$3:$I$71,2,FALSE)</f>
        <v>2. Seed</v>
      </c>
      <c r="U70" s="14" t="str">
        <f>VLOOKUP(K70,[1]Lookups!$B$3:$C$142,2,FALSE)</f>
        <v>Media &amp; Entertainment</v>
      </c>
      <c r="V70" s="14">
        <f t="shared" si="1"/>
        <v>2014</v>
      </c>
      <c r="W70" s="14">
        <f t="shared" si="2"/>
        <v>6</v>
      </c>
      <c r="X70" s="14">
        <f>VLOOKUP(W70,[1]Lookups!$P$3:$S$15,2,FALSE)</f>
        <v>2</v>
      </c>
      <c r="Y70" s="16">
        <f>VLOOKUP(W70,[1]Lookups!$P$3:$U$15,3,FALSE)</f>
        <v>1</v>
      </c>
      <c r="Z70" s="16">
        <f t="shared" si="3"/>
        <v>1</v>
      </c>
      <c r="AA70" s="16" t="str">
        <f t="shared" ca="1" si="108"/>
        <v>Velocity Capital Private Equity</v>
      </c>
      <c r="AB70" s="16">
        <f t="shared" si="108"/>
        <v>0</v>
      </c>
      <c r="AC70" s="16">
        <f t="shared" si="108"/>
        <v>0</v>
      </c>
      <c r="AD70" s="16">
        <f t="shared" si="108"/>
        <v>0</v>
      </c>
      <c r="AE70" s="16">
        <f t="shared" si="108"/>
        <v>0</v>
      </c>
      <c r="AF70" s="16">
        <f t="shared" si="108"/>
        <v>0</v>
      </c>
      <c r="AG70" s="16">
        <f t="shared" si="108"/>
        <v>0</v>
      </c>
      <c r="AH70" s="16">
        <f t="shared" si="108"/>
        <v>0</v>
      </c>
      <c r="AI70" s="16">
        <f t="shared" si="108"/>
        <v>0</v>
      </c>
      <c r="AJ70" s="16">
        <f t="shared" si="108"/>
        <v>0</v>
      </c>
      <c r="AK70" s="16">
        <f t="shared" si="108"/>
        <v>0</v>
      </c>
      <c r="AL70" s="16">
        <f t="shared" si="108"/>
        <v>0</v>
      </c>
      <c r="AM70" s="16">
        <f t="shared" si="108"/>
        <v>0</v>
      </c>
      <c r="AN70" s="16">
        <f t="shared" si="108"/>
        <v>0</v>
      </c>
      <c r="AO70" s="16">
        <f t="shared" si="108"/>
        <v>0</v>
      </c>
      <c r="AP70" s="10"/>
      <c r="AQ70" s="10"/>
      <c r="AR70" s="10"/>
      <c r="AS70" s="10" t="str">
        <f t="shared" ref="AS70" ca="1" si="122">IFERROR(__xludf.DUMMYFUNCTION("split(F59,"","",true,true)"),"Velocity Capital Private Equity")</f>
        <v>Velocity Capital Private Equity</v>
      </c>
      <c r="AT70" s="10"/>
      <c r="AU70" s="10"/>
      <c r="AV70" s="10"/>
      <c r="AW70" s="10"/>
      <c r="AX70" s="10"/>
      <c r="AY70" s="10"/>
      <c r="AZ70" s="10"/>
      <c r="BA70" s="10"/>
      <c r="BB70" s="10"/>
      <c r="BC70" s="10"/>
      <c r="BD70" s="10"/>
      <c r="BE70" s="10"/>
      <c r="BF70" s="10"/>
      <c r="BG70" s="10"/>
      <c r="BH70" s="10"/>
      <c r="BI70" s="10"/>
      <c r="BJ70" s="10"/>
      <c r="BK70" s="10"/>
      <c r="BM70" s="10"/>
    </row>
    <row r="71" spans="1:65" ht="12.75">
      <c r="A71" s="18">
        <v>41821</v>
      </c>
      <c r="B71" s="14" t="s">
        <v>212</v>
      </c>
      <c r="C71" s="19">
        <v>1700000</v>
      </c>
      <c r="D71" s="19"/>
      <c r="E71" s="14" t="s">
        <v>45</v>
      </c>
      <c r="F71" s="14" t="s">
        <v>213</v>
      </c>
      <c r="G71" s="13" t="s">
        <v>214</v>
      </c>
      <c r="H71" s="14" t="str">
        <f t="array" ref="H71">IFERROR(INDEX([1]Companies!$G:$G,MATCH(B71,[1]Companies!$A:$A,0)),"")</f>
        <v>South Africa</v>
      </c>
      <c r="I71" s="14" t="str">
        <f t="shared" si="116"/>
        <v>South Africa</v>
      </c>
      <c r="J71" s="14" t="str">
        <f t="array" ref="J71">IFERROR(INDEX([1]Companies!$Y:$Y,MATCH(B71,[1]Companies!$A:$A,0)),"")</f>
        <v>FinTech, Mobile Payments, Payments, Point of Sale, SaaS, Small and Medium Businesses</v>
      </c>
      <c r="K71" s="14" t="str">
        <f t="array" ref="K71">IFERROR(INDEX([1]Companies!$X:$X,MATCH(B71,[1]Companies!$A:$A,0)),"")</f>
        <v>Financial Services</v>
      </c>
      <c r="L71" s="14" t="str">
        <f>VLOOKUP(B71,[1]Companies!$A$1:$C$5243,1,FALSE)</f>
        <v>Yoco</v>
      </c>
      <c r="M71" s="15">
        <f t="shared" si="117"/>
        <v>0.9</v>
      </c>
      <c r="N71" s="10" t="str">
        <f t="shared" si="118"/>
        <v>41821Yoco1700000</v>
      </c>
      <c r="O71" s="14" t="str">
        <f t="shared" si="119"/>
        <v/>
      </c>
      <c r="P71" s="14">
        <f t="shared" si="120"/>
        <v>1</v>
      </c>
      <c r="Q71" s="14">
        <f t="array" ref="Q71">IFERROR(INDEX([1]Companies!$D:$D,MATCH(B71,[1]Companies!$A:$A,0)),"")</f>
        <v>2013</v>
      </c>
      <c r="R71" s="17">
        <f t="shared" si="121"/>
        <v>20100000</v>
      </c>
      <c r="S71" s="14">
        <f>VLOOKUP(I71,[1]Lookups!$V$3:$Y$197,4,FALSE)</f>
        <v>0</v>
      </c>
      <c r="T71" s="14" t="str">
        <f>VLOOKUP(E71,[1]Lookups!$H$3:$I$71,2,FALSE)</f>
        <v>2. Seed</v>
      </c>
      <c r="U71" s="14" t="str">
        <f>VLOOKUP(K71,[1]Lookups!$B$3:$C$142,2,FALSE)</f>
        <v>Financial Services</v>
      </c>
      <c r="V71" s="14">
        <f t="shared" si="1"/>
        <v>2014</v>
      </c>
      <c r="W71" s="14">
        <f t="shared" si="2"/>
        <v>7</v>
      </c>
      <c r="X71" s="14">
        <f>VLOOKUP(W71,[1]Lookups!$P$3:$S$15,2,FALSE)</f>
        <v>3</v>
      </c>
      <c r="Y71" s="16">
        <f>VLOOKUP(W71,[1]Lookups!$P$3:$U$15,3,FALSE)</f>
        <v>2</v>
      </c>
      <c r="Z71" s="16">
        <f t="shared" si="3"/>
        <v>1</v>
      </c>
      <c r="AA71" s="16" t="str">
        <f t="shared" ca="1" si="108"/>
        <v>Velocity Capital Private Equity</v>
      </c>
      <c r="AB71" s="16">
        <f t="shared" si="108"/>
        <v>0</v>
      </c>
      <c r="AC71" s="16">
        <f t="shared" si="108"/>
        <v>0</v>
      </c>
      <c r="AD71" s="16">
        <f t="shared" si="108"/>
        <v>0</v>
      </c>
      <c r="AE71" s="16">
        <f t="shared" si="108"/>
        <v>0</v>
      </c>
      <c r="AF71" s="16">
        <f t="shared" si="108"/>
        <v>0</v>
      </c>
      <c r="AG71" s="16">
        <f t="shared" si="108"/>
        <v>0</v>
      </c>
      <c r="AH71" s="16">
        <f t="shared" si="108"/>
        <v>0</v>
      </c>
      <c r="AI71" s="16">
        <f t="shared" si="108"/>
        <v>0</v>
      </c>
      <c r="AJ71" s="16">
        <f t="shared" si="108"/>
        <v>0</v>
      </c>
      <c r="AK71" s="16">
        <f t="shared" si="108"/>
        <v>0</v>
      </c>
      <c r="AL71" s="16">
        <f t="shared" si="108"/>
        <v>0</v>
      </c>
      <c r="AM71" s="16">
        <f t="shared" si="108"/>
        <v>0</v>
      </c>
      <c r="AN71" s="16">
        <f t="shared" si="108"/>
        <v>0</v>
      </c>
      <c r="AO71" s="16">
        <f t="shared" si="108"/>
        <v>0</v>
      </c>
      <c r="AP71" s="10"/>
      <c r="AQ71" s="10"/>
      <c r="AR71" s="10"/>
      <c r="AS71" s="10" t="str">
        <f t="shared" ref="AS71" ca="1" si="123">IFERROR(__xludf.DUMMYFUNCTION("split(F59,"","",true,true)"),"Velocity Capital Private Equity")</f>
        <v>Velocity Capital Private Equity</v>
      </c>
      <c r="AT71" s="10"/>
      <c r="AU71" s="10"/>
      <c r="AV71" s="10"/>
      <c r="AW71" s="10"/>
      <c r="AX71" s="10"/>
      <c r="AY71" s="10"/>
      <c r="AZ71" s="10"/>
      <c r="BA71" s="10"/>
      <c r="BB71" s="10"/>
      <c r="BC71" s="10"/>
      <c r="BD71" s="10"/>
      <c r="BE71" s="10"/>
      <c r="BF71" s="10"/>
      <c r="BG71" s="10"/>
      <c r="BH71" s="10"/>
      <c r="BI71" s="10"/>
      <c r="BJ71" s="10"/>
      <c r="BK71" s="10"/>
      <c r="BM71" s="10"/>
    </row>
    <row r="72" spans="1:65" ht="12.75">
      <c r="A72" s="18">
        <v>41828</v>
      </c>
      <c r="B72" s="14" t="s">
        <v>215</v>
      </c>
      <c r="C72" s="19">
        <v>1200000</v>
      </c>
      <c r="D72" s="22"/>
      <c r="E72" s="14" t="s">
        <v>45</v>
      </c>
      <c r="F72" s="14" t="s">
        <v>216</v>
      </c>
      <c r="G72" s="21" t="s">
        <v>217</v>
      </c>
      <c r="H72" s="14" t="str">
        <f t="array" ref="H72">IFERROR(INDEX([1]Companies!$G:$G,MATCH(B72,[1]Companies!$A:$A,0)),"")</f>
        <v>Kenya</v>
      </c>
      <c r="I72" s="14" t="str">
        <f t="shared" si="116"/>
        <v>Kenya</v>
      </c>
      <c r="J72" s="14" t="str">
        <f t="array" ref="J72">IFERROR(INDEX([1]Companies!$Y:$Y,MATCH(B72,[1]Companies!$A:$A,0)),"")</f>
        <v>Networking and Hardware Design and Manufacuture</v>
      </c>
      <c r="K72" s="14" t="str">
        <f t="array" ref="K72">IFERROR(INDEX([1]Companies!$X:$X,MATCH(B72,[1]Companies!$A:$A,0)),"")</f>
        <v>Commercial &amp; Professional Services</v>
      </c>
      <c r="L72" s="14" t="str">
        <f>VLOOKUP(B72,[1]Companies!$A$1:$C$5243,1,FALSE)</f>
        <v>Brck</v>
      </c>
      <c r="M72" s="15">
        <f t="shared" si="117"/>
        <v>0.9</v>
      </c>
      <c r="N72" s="10" t="str">
        <f t="shared" si="118"/>
        <v>41828BRCK1200000</v>
      </c>
      <c r="O72" s="14" t="str">
        <f t="shared" si="119"/>
        <v/>
      </c>
      <c r="P72" s="14">
        <f t="shared" si="120"/>
        <v>1</v>
      </c>
      <c r="Q72" s="14">
        <f t="array" ref="Q72">IFERROR(INDEX([1]Companies!$D:$D,MATCH(B72,[1]Companies!$A:$A,0)),"")</f>
        <v>2013</v>
      </c>
      <c r="R72" s="17">
        <f t="shared" si="121"/>
        <v>4200000</v>
      </c>
      <c r="S72" s="14">
        <f>VLOOKUP(I72,[1]Lookups!$V$3:$Y$197,4,FALSE)</f>
        <v>0</v>
      </c>
      <c r="T72" s="14" t="str">
        <f>VLOOKUP(E72,[1]Lookups!$H$3:$I$71,2,FALSE)</f>
        <v>2. Seed</v>
      </c>
      <c r="U72" s="14" t="str">
        <f>VLOOKUP(K72,[1]Lookups!$B$3:$C$142,2,FALSE)</f>
        <v>Other Technologies &amp; Information Technology</v>
      </c>
      <c r="V72" s="14">
        <f t="shared" si="1"/>
        <v>2014</v>
      </c>
      <c r="W72" s="14">
        <f t="shared" si="2"/>
        <v>7</v>
      </c>
      <c r="X72" s="14">
        <f>VLOOKUP(W72,[1]Lookups!$P$3:$S$15,2,FALSE)</f>
        <v>3</v>
      </c>
      <c r="Y72" s="16">
        <f>VLOOKUP(W72,[1]Lookups!$P$3:$U$15,3,FALSE)</f>
        <v>2</v>
      </c>
      <c r="Z72" s="16">
        <f t="shared" si="3"/>
        <v>6</v>
      </c>
      <c r="AA72" s="16" t="str">
        <f t="shared" ca="1" si="108"/>
        <v>Velocity Capital Private Equity</v>
      </c>
      <c r="AB72" s="16" t="str">
        <f t="shared" ca="1" si="108"/>
        <v xml:space="preserve"> Synergy Growth</v>
      </c>
      <c r="AC72" s="16" t="str">
        <f t="shared" ca="1" si="108"/>
        <v xml:space="preserve"> Omvestments</v>
      </c>
      <c r="AD72" s="16" t="str">
        <f t="shared" ca="1" si="108"/>
        <v xml:space="preserve"> Invested Development</v>
      </c>
      <c r="AE72" s="16" t="str">
        <f t="shared" ca="1" si="108"/>
        <v xml:space="preserve"> Gary Scheft</v>
      </c>
      <c r="AF72" s="16" t="str">
        <f t="shared" ca="1" si="108"/>
        <v xml:space="preserve"> Cheryl Heller</v>
      </c>
      <c r="AG72" s="16">
        <f t="shared" si="108"/>
        <v>0</v>
      </c>
      <c r="AH72" s="16">
        <f t="shared" si="108"/>
        <v>0</v>
      </c>
      <c r="AI72" s="16">
        <f t="shared" si="108"/>
        <v>0</v>
      </c>
      <c r="AJ72" s="16">
        <f t="shared" si="108"/>
        <v>0</v>
      </c>
      <c r="AK72" s="16">
        <f t="shared" si="108"/>
        <v>0</v>
      </c>
      <c r="AL72" s="16">
        <f t="shared" si="108"/>
        <v>0</v>
      </c>
      <c r="AM72" s="16">
        <f t="shared" si="108"/>
        <v>0</v>
      </c>
      <c r="AN72" s="16">
        <f t="shared" si="108"/>
        <v>0</v>
      </c>
      <c r="AO72" s="16">
        <f t="shared" si="108"/>
        <v>0</v>
      </c>
      <c r="AP72" s="10"/>
      <c r="AQ72" s="10"/>
      <c r="AR72" s="10"/>
      <c r="AS72" s="10" t="str">
        <f t="shared" ref="AS72" ca="1" si="124">IFERROR(__xludf.DUMMYFUNCTION("split(F59,"","",true,true)"),"Velocity Capital Private Equity")</f>
        <v>Velocity Capital Private Equity</v>
      </c>
      <c r="AT72" s="10" t="str">
        <f ca="1">IFERROR(__xludf.DUMMYFUNCTION("""COMPUTED_VALUE""")," Synergy Growth")</f>
        <v xml:space="preserve"> Synergy Growth</v>
      </c>
      <c r="AU72" s="10" t="str">
        <f ca="1">IFERROR(__xludf.DUMMYFUNCTION("""COMPUTED_VALUE""")," Omvestments")</f>
        <v xml:space="preserve"> Omvestments</v>
      </c>
      <c r="AV72" s="10" t="str">
        <f ca="1">IFERROR(__xludf.DUMMYFUNCTION("""COMPUTED_VALUE""")," Invested Development")</f>
        <v xml:space="preserve"> Invested Development</v>
      </c>
      <c r="AW72" s="10" t="str">
        <f ca="1">IFERROR(__xludf.DUMMYFUNCTION("""COMPUTED_VALUE""")," Gary Scheft")</f>
        <v xml:space="preserve"> Gary Scheft</v>
      </c>
      <c r="AX72" s="10" t="str">
        <f ca="1">IFERROR(__xludf.DUMMYFUNCTION("""COMPUTED_VALUE""")," Cheryl Heller")</f>
        <v xml:space="preserve"> Cheryl Heller</v>
      </c>
      <c r="AY72" s="10"/>
      <c r="AZ72" s="10"/>
      <c r="BA72" s="10"/>
      <c r="BB72" s="10"/>
      <c r="BC72" s="10"/>
      <c r="BD72" s="10"/>
      <c r="BE72" s="10"/>
      <c r="BF72" s="10"/>
      <c r="BG72" s="10"/>
      <c r="BH72" s="10"/>
      <c r="BI72" s="10"/>
      <c r="BJ72" s="10"/>
      <c r="BK72" s="10"/>
      <c r="BM72" s="10"/>
    </row>
    <row r="73" spans="1:65" ht="12.75">
      <c r="A73" s="18">
        <v>41855</v>
      </c>
      <c r="B73" s="14" t="s">
        <v>106</v>
      </c>
      <c r="C73" s="19">
        <v>450000</v>
      </c>
      <c r="D73" s="19"/>
      <c r="E73" s="14" t="s">
        <v>112</v>
      </c>
      <c r="F73" s="14" t="s">
        <v>218</v>
      </c>
      <c r="G73" s="21" t="s">
        <v>108</v>
      </c>
      <c r="H73" s="14" t="str">
        <f t="array" ref="H73">IFERROR(INDEX([1]Companies!$G:$G,MATCH(B73,[1]Companies!$A:$A,0)),"")</f>
        <v>South Africa</v>
      </c>
      <c r="I73" s="14" t="str">
        <f t="shared" si="116"/>
        <v>South Africa</v>
      </c>
      <c r="J73" s="14" t="str">
        <f t="array" ref="J73">IFERROR(INDEX([1]Companies!$Y:$Y,MATCH(B73,[1]Companies!$A:$A,0)),"")</f>
        <v>Mobile, Payments, Telecommunications</v>
      </c>
      <c r="K73" s="14" t="str">
        <f t="array" ref="K73">IFERROR(INDEX([1]Companies!$X:$X,MATCH(B73,[1]Companies!$A:$A,0)),"")</f>
        <v>Financial Services</v>
      </c>
      <c r="L73" s="14" t="str">
        <f>VLOOKUP(B73,[1]Companies!$A$1:$C$5243,1,FALSE)</f>
        <v>Nomanini</v>
      </c>
      <c r="M73" s="15">
        <f t="shared" si="117"/>
        <v>0.9</v>
      </c>
      <c r="N73" s="10" t="str">
        <f t="shared" si="118"/>
        <v>41855Nomanini450000</v>
      </c>
      <c r="O73" s="14" t="str">
        <f t="shared" si="119"/>
        <v/>
      </c>
      <c r="P73" s="14">
        <f t="shared" si="120"/>
        <v>1</v>
      </c>
      <c r="Q73" s="14">
        <f t="array" ref="Q73">IFERROR(INDEX([1]Companies!$D:$D,MATCH(B73,[1]Companies!$A:$A,0)),"")</f>
        <v>2011</v>
      </c>
      <c r="R73" s="17">
        <f t="shared" si="121"/>
        <v>5050000</v>
      </c>
      <c r="S73" s="14">
        <f>VLOOKUP(I73,[1]Lookups!$V$3:$Y$197,4,FALSE)</f>
        <v>0</v>
      </c>
      <c r="T73" s="14" t="str">
        <f>VLOOKUP(E73,[1]Lookups!$H$3:$I$71,2,FALSE)</f>
        <v>3. Early Venture</v>
      </c>
      <c r="U73" s="14" t="str">
        <f>VLOOKUP(K73,[1]Lookups!$B$3:$C$142,2,FALSE)</f>
        <v>Financial Services</v>
      </c>
      <c r="V73" s="14">
        <f t="shared" si="1"/>
        <v>2014</v>
      </c>
      <c r="W73" s="14">
        <f t="shared" si="2"/>
        <v>8</v>
      </c>
      <c r="X73" s="14">
        <f>VLOOKUP(W73,[1]Lookups!$P$3:$S$15,2,FALSE)</f>
        <v>3</v>
      </c>
      <c r="Y73" s="16">
        <f>VLOOKUP(W73,[1]Lookups!$P$3:$U$15,3,FALSE)</f>
        <v>2</v>
      </c>
      <c r="Z73" s="16">
        <f t="shared" si="3"/>
        <v>1</v>
      </c>
      <c r="AA73" s="16" t="str">
        <f t="shared" ca="1" si="108"/>
        <v>Velocity Capital Private Equity</v>
      </c>
      <c r="AB73" s="16">
        <f t="shared" si="108"/>
        <v>0</v>
      </c>
      <c r="AC73" s="16">
        <f t="shared" si="108"/>
        <v>0</v>
      </c>
      <c r="AD73" s="16">
        <f t="shared" si="108"/>
        <v>0</v>
      </c>
      <c r="AE73" s="16">
        <f t="shared" si="108"/>
        <v>0</v>
      </c>
      <c r="AF73" s="16">
        <f t="shared" si="108"/>
        <v>0</v>
      </c>
      <c r="AG73" s="16">
        <f t="shared" si="108"/>
        <v>0</v>
      </c>
      <c r="AH73" s="16">
        <f t="shared" si="108"/>
        <v>0</v>
      </c>
      <c r="AI73" s="16">
        <f t="shared" si="108"/>
        <v>0</v>
      </c>
      <c r="AJ73" s="16">
        <f t="shared" si="108"/>
        <v>0</v>
      </c>
      <c r="AK73" s="16">
        <f t="shared" si="108"/>
        <v>0</v>
      </c>
      <c r="AL73" s="16">
        <f t="shared" si="108"/>
        <v>0</v>
      </c>
      <c r="AM73" s="16">
        <f t="shared" si="108"/>
        <v>0</v>
      </c>
      <c r="AN73" s="16">
        <f t="shared" si="108"/>
        <v>0</v>
      </c>
      <c r="AO73" s="16">
        <f t="shared" si="108"/>
        <v>0</v>
      </c>
      <c r="AP73" s="10"/>
      <c r="AQ73" s="10"/>
      <c r="AR73" s="10"/>
      <c r="AS73" s="10" t="str">
        <f t="shared" ref="AS73" ca="1" si="125">IFERROR(__xludf.DUMMYFUNCTION("split(F59,"","",true,true)"),"Velocity Capital Private Equity")</f>
        <v>Velocity Capital Private Equity</v>
      </c>
      <c r="AT73" s="10"/>
      <c r="AU73" s="10"/>
      <c r="AV73" s="10"/>
      <c r="AW73" s="10"/>
      <c r="AX73" s="10"/>
      <c r="AY73" s="10"/>
      <c r="AZ73" s="10"/>
      <c r="BA73" s="10"/>
      <c r="BB73" s="10"/>
      <c r="BC73" s="10"/>
      <c r="BD73" s="10"/>
      <c r="BE73" s="10"/>
      <c r="BF73" s="10"/>
      <c r="BG73" s="10"/>
      <c r="BH73" s="10"/>
      <c r="BI73" s="10"/>
      <c r="BJ73" s="10"/>
      <c r="BK73" s="10"/>
      <c r="BM73" s="10"/>
    </row>
    <row r="74" spans="1:65" ht="12.75">
      <c r="A74" s="9">
        <v>41905</v>
      </c>
      <c r="B74" s="10" t="s">
        <v>219</v>
      </c>
      <c r="C74" s="11">
        <v>3000000</v>
      </c>
      <c r="D74" s="12"/>
      <c r="E74" s="14" t="s">
        <v>45</v>
      </c>
      <c r="F74" s="10" t="s">
        <v>220</v>
      </c>
      <c r="G74" s="13" t="s">
        <v>221</v>
      </c>
      <c r="H74" s="14" t="str">
        <f t="array" ref="H74">IFERROR(INDEX([1]Companies!$G:$G,MATCH(B74,[1]Companies!$A:$A,0)),"")</f>
        <v>United States</v>
      </c>
      <c r="I74" s="14" t="str">
        <f t="shared" si="116"/>
        <v>United States</v>
      </c>
      <c r="J74" s="14" t="str">
        <f t="array" ref="J74">IFERROR(INDEX([1]Companies!$Y:$Y,MATCH(B74,[1]Companies!$A:$A,0)),"")</f>
        <v>Edtech, BPO, Recruitment, Software, Training</v>
      </c>
      <c r="K74" s="14" t="str">
        <f t="array" ref="K74">IFERROR(INDEX([1]Companies!$X:$X,MATCH(B74,[1]Companies!$A:$A,0)),"")</f>
        <v>Commercial &amp; Professional Services</v>
      </c>
      <c r="L74" s="14" t="str">
        <f>VLOOKUP(B74,[1]Companies!$A$1:$C$5243,1,FALSE)</f>
        <v>Andela</v>
      </c>
      <c r="M74" s="15">
        <f t="shared" si="117"/>
        <v>0.9</v>
      </c>
      <c r="N74" s="10" t="str">
        <f t="shared" si="118"/>
        <v>41905Andela3000000</v>
      </c>
      <c r="O74" s="14" t="str">
        <f t="shared" si="119"/>
        <v/>
      </c>
      <c r="P74" s="14">
        <f t="shared" si="120"/>
        <v>1</v>
      </c>
      <c r="Q74" s="14">
        <f t="array" ref="Q74">IFERROR(INDEX([1]Companies!$D:$D,MATCH(B74,[1]Companies!$A:$A,0)),"")</f>
        <v>2014</v>
      </c>
      <c r="R74" s="17">
        <f t="shared" si="121"/>
        <v>181000000</v>
      </c>
      <c r="S74" s="14" t="e">
        <f>VLOOKUP(I74,[1]Lookups!$V$3:$Y$197,4,FALSE)</f>
        <v>#N/A</v>
      </c>
      <c r="T74" s="14" t="str">
        <f>VLOOKUP(E74,[1]Lookups!$H$3:$I$71,2,FALSE)</f>
        <v>2. Seed</v>
      </c>
      <c r="U74" s="14" t="str">
        <f>VLOOKUP(K74,[1]Lookups!$B$3:$C$142,2,FALSE)</f>
        <v>Other Technologies &amp; Information Technology</v>
      </c>
      <c r="V74" s="14">
        <f t="shared" si="1"/>
        <v>2014</v>
      </c>
      <c r="W74" s="14">
        <f t="shared" si="2"/>
        <v>9</v>
      </c>
      <c r="X74" s="14">
        <f>VLOOKUP(W74,[1]Lookups!$P$3:$S$15,2,FALSE)</f>
        <v>3</v>
      </c>
      <c r="Y74" s="16">
        <f>VLOOKUP(W74,[1]Lookups!$P$3:$U$15,3,FALSE)</f>
        <v>2</v>
      </c>
      <c r="Z74" s="16">
        <f t="shared" si="3"/>
        <v>14</v>
      </c>
      <c r="AA74" s="16" t="str">
        <f t="shared" ca="1" si="108"/>
        <v>Velocity Capital Private Equity</v>
      </c>
      <c r="AB74" s="16" t="str">
        <f t="shared" ca="1" si="108"/>
        <v xml:space="preserve"> Steve Case</v>
      </c>
      <c r="AC74" s="16" t="str">
        <f t="shared" ca="1" si="108"/>
        <v xml:space="preserve"> SparkLabs Global Ventures</v>
      </c>
      <c r="AD74" s="16" t="str">
        <f t="shared" ca="1" si="108"/>
        <v xml:space="preserve"> Rothenberg Ventures</v>
      </c>
      <c r="AE74" s="16" t="str">
        <f t="shared" ca="1" si="108"/>
        <v xml:space="preserve"> Peak Ventures</v>
      </c>
      <c r="AF74" s="16" t="str">
        <f t="shared" ca="1" si="108"/>
        <v xml:space="preserve"> Omidyar Network</v>
      </c>
      <c r="AG74" s="16" t="str">
        <f t="shared" ca="1" si="108"/>
        <v xml:space="preserve"> Melo7 Tech Partners</v>
      </c>
      <c r="AH74" s="16" t="str">
        <f t="shared" ca="1" si="108"/>
        <v xml:space="preserve"> Learn Capital</v>
      </c>
      <c r="AI74" s="16" t="str">
        <f t="shared" ca="1" si="108"/>
        <v xml:space="preserve"> HIGHLINEvc</v>
      </c>
      <c r="AJ74" s="16" t="str">
        <f t="shared" ca="1" si="108"/>
        <v xml:space="preserve"> GSV AcceleraTE</v>
      </c>
      <c r="AK74" s="16" t="str">
        <f t="shared" ca="1" si="108"/>
        <v xml:space="preserve"> Founder Collective</v>
      </c>
      <c r="AL74" s="16" t="str">
        <f t="shared" ca="1" si="108"/>
        <v xml:space="preserve"> Chris Hughes</v>
      </c>
      <c r="AM74" s="16" t="str">
        <f t="shared" ca="1" si="108"/>
        <v xml:space="preserve"> CRE Venture Capital</v>
      </c>
      <c r="AN74" s="16" t="str">
        <f t="shared" ca="1" si="108"/>
        <v xml:space="preserve"> Arena Ventures</v>
      </c>
      <c r="AO74" s="16">
        <f t="shared" si="108"/>
        <v>0</v>
      </c>
      <c r="AP74" s="10"/>
      <c r="AQ74" s="10"/>
      <c r="AR74" s="10"/>
      <c r="AS74" s="10" t="str">
        <f t="shared" ref="AS74" ca="1" si="126">IFERROR(__xludf.DUMMYFUNCTION("split(F59,"","",true,true)"),"Velocity Capital Private Equity")</f>
        <v>Velocity Capital Private Equity</v>
      </c>
      <c r="AT74" s="10" t="str">
        <f ca="1">IFERROR(__xludf.DUMMYFUNCTION("""COMPUTED_VALUE""")," Steve Case")</f>
        <v xml:space="preserve"> Steve Case</v>
      </c>
      <c r="AU74" s="10" t="str">
        <f ca="1">IFERROR(__xludf.DUMMYFUNCTION("""COMPUTED_VALUE""")," SparkLabs Global Ventures")</f>
        <v xml:space="preserve"> SparkLabs Global Ventures</v>
      </c>
      <c r="AV74" s="10" t="str">
        <f ca="1">IFERROR(__xludf.DUMMYFUNCTION("""COMPUTED_VALUE""")," Rothenberg Ventures")</f>
        <v xml:space="preserve"> Rothenberg Ventures</v>
      </c>
      <c r="AW74" s="10" t="str">
        <f ca="1">IFERROR(__xludf.DUMMYFUNCTION("""COMPUTED_VALUE""")," Peak Ventures")</f>
        <v xml:space="preserve"> Peak Ventures</v>
      </c>
      <c r="AX74" s="10" t="str">
        <f ca="1">IFERROR(__xludf.DUMMYFUNCTION("""COMPUTED_VALUE""")," Omidyar Network")</f>
        <v xml:space="preserve"> Omidyar Network</v>
      </c>
      <c r="AY74" s="10" t="str">
        <f ca="1">IFERROR(__xludf.DUMMYFUNCTION("""COMPUTED_VALUE""")," Melo7 Tech Partners")</f>
        <v xml:space="preserve"> Melo7 Tech Partners</v>
      </c>
      <c r="AZ74" s="10" t="str">
        <f ca="1">IFERROR(__xludf.DUMMYFUNCTION("""COMPUTED_VALUE""")," Learn Capital")</f>
        <v xml:space="preserve"> Learn Capital</v>
      </c>
      <c r="BA74" s="10" t="str">
        <f ca="1">IFERROR(__xludf.DUMMYFUNCTION("""COMPUTED_VALUE""")," HIGHLINEvc")</f>
        <v xml:space="preserve"> HIGHLINEvc</v>
      </c>
      <c r="BB74" s="10" t="str">
        <f ca="1">IFERROR(__xludf.DUMMYFUNCTION("""COMPUTED_VALUE""")," GSV AcceleraTE")</f>
        <v xml:space="preserve"> GSV AcceleraTE</v>
      </c>
      <c r="BC74" s="10" t="str">
        <f ca="1">IFERROR(__xludf.DUMMYFUNCTION("""COMPUTED_VALUE""")," Founder Collective")</f>
        <v xml:space="preserve"> Founder Collective</v>
      </c>
      <c r="BD74" s="10" t="str">
        <f ca="1">IFERROR(__xludf.DUMMYFUNCTION("""COMPUTED_VALUE""")," Chris Hughes")</f>
        <v xml:space="preserve"> Chris Hughes</v>
      </c>
      <c r="BE74" s="10" t="str">
        <f ca="1">IFERROR(__xludf.DUMMYFUNCTION("""COMPUTED_VALUE""")," CRE Venture Capital")</f>
        <v xml:space="preserve"> CRE Venture Capital</v>
      </c>
      <c r="BF74" s="10" t="str">
        <f ca="1">IFERROR(__xludf.DUMMYFUNCTION("""COMPUTED_VALUE""")," Arena Ventures")</f>
        <v xml:space="preserve"> Arena Ventures</v>
      </c>
      <c r="BG74" s="10"/>
      <c r="BH74" s="10"/>
      <c r="BI74" s="10"/>
      <c r="BJ74" s="10"/>
      <c r="BK74" s="10"/>
      <c r="BM74" s="10"/>
    </row>
    <row r="75" spans="1:65" ht="12.75">
      <c r="A75" s="18">
        <v>41913</v>
      </c>
      <c r="B75" s="14" t="s">
        <v>222</v>
      </c>
      <c r="C75" s="19">
        <v>4000000</v>
      </c>
      <c r="D75" s="19"/>
      <c r="E75" s="14" t="s">
        <v>69</v>
      </c>
      <c r="F75" s="14" t="s">
        <v>223</v>
      </c>
      <c r="G75" s="27"/>
      <c r="H75" s="14" t="str">
        <f t="array" ref="H75">IFERROR(INDEX([1]Companies!$G:$G,MATCH(B75,[1]Companies!$A:$A,0)),"")</f>
        <v>Egypt</v>
      </c>
      <c r="I75" s="14" t="str">
        <f t="shared" si="116"/>
        <v>Egypt</v>
      </c>
      <c r="J75" s="14" t="str">
        <f t="array" ref="J75">IFERROR(INDEX([1]Companies!$Y:$Y,MATCH(B75,[1]Companies!$A:$A,0)),"")</f>
        <v>Healthcare, Internet, Marketplace, Medical, Paas, Saas</v>
      </c>
      <c r="K75" s="14" t="str">
        <f t="array" ref="K75">IFERROR(INDEX([1]Companies!$X:$X,MATCH(B75,[1]Companies!$A:$A,0)),"")</f>
        <v>Healthcare &amp; Pharma</v>
      </c>
      <c r="L75" s="14" t="str">
        <f>VLOOKUP(B75,[1]Companies!$A$1:$C$5243,1,FALSE)</f>
        <v>Vezeeta</v>
      </c>
      <c r="M75" s="15">
        <f t="shared" si="117"/>
        <v>0.8</v>
      </c>
      <c r="N75" s="10" t="str">
        <f t="shared" si="118"/>
        <v>41913Vezeeta4000000</v>
      </c>
      <c r="O75" s="14" t="str">
        <f t="shared" si="119"/>
        <v/>
      </c>
      <c r="P75" s="14">
        <f t="shared" si="120"/>
        <v>1</v>
      </c>
      <c r="Q75" s="14">
        <f t="array" ref="Q75">IFERROR(INDEX([1]Companies!$D:$D,MATCH(B75,[1]Companies!$A:$A,0)),"")</f>
        <v>2012</v>
      </c>
      <c r="R75" s="17">
        <f t="shared" si="121"/>
        <v>23500000</v>
      </c>
      <c r="S75" s="14">
        <f>VLOOKUP(I75,[1]Lookups!$V$3:$Y$197,4,FALSE)</f>
        <v>0</v>
      </c>
      <c r="T75" s="14" t="str">
        <f>VLOOKUP(E75,[1]Lookups!$H$3:$I$71,2,FALSE)</f>
        <v>3. Early Venture</v>
      </c>
      <c r="U75" s="14" t="str">
        <f>VLOOKUP(K75,[1]Lookups!$B$3:$C$142,2,FALSE)</f>
        <v>Health &amp; Pharmaceuticals</v>
      </c>
      <c r="V75" s="14">
        <f t="shared" si="1"/>
        <v>2014</v>
      </c>
      <c r="W75" s="14">
        <f t="shared" si="2"/>
        <v>10</v>
      </c>
      <c r="X75" s="14">
        <f>VLOOKUP(W75,[1]Lookups!$P$3:$S$15,2,FALSE)</f>
        <v>4</v>
      </c>
      <c r="Y75" s="16">
        <f>VLOOKUP(W75,[1]Lookups!$P$3:$U$15,3,FALSE)</f>
        <v>2</v>
      </c>
      <c r="Z75" s="16">
        <f t="shared" si="3"/>
        <v>1</v>
      </c>
      <c r="AA75" s="16" t="str">
        <f t="shared" ca="1" si="108"/>
        <v>Velocity Capital Private Equity</v>
      </c>
      <c r="AB75" s="16">
        <f t="shared" si="108"/>
        <v>0</v>
      </c>
      <c r="AC75" s="16">
        <f t="shared" si="108"/>
        <v>0</v>
      </c>
      <c r="AD75" s="16">
        <f t="shared" si="108"/>
        <v>0</v>
      </c>
      <c r="AE75" s="16">
        <f t="shared" si="108"/>
        <v>0</v>
      </c>
      <c r="AF75" s="16">
        <f t="shared" si="108"/>
        <v>0</v>
      </c>
      <c r="AG75" s="16">
        <f t="shared" si="108"/>
        <v>0</v>
      </c>
      <c r="AH75" s="16">
        <f t="shared" si="108"/>
        <v>0</v>
      </c>
      <c r="AI75" s="16">
        <f t="shared" si="108"/>
        <v>0</v>
      </c>
      <c r="AJ75" s="16">
        <f t="shared" si="108"/>
        <v>0</v>
      </c>
      <c r="AK75" s="16">
        <f t="shared" si="108"/>
        <v>0</v>
      </c>
      <c r="AL75" s="16">
        <f t="shared" si="108"/>
        <v>0</v>
      </c>
      <c r="AM75" s="16">
        <f t="shared" si="108"/>
        <v>0</v>
      </c>
      <c r="AN75" s="16">
        <f t="shared" si="108"/>
        <v>0</v>
      </c>
      <c r="AO75" s="16">
        <f t="shared" si="108"/>
        <v>0</v>
      </c>
      <c r="AP75" s="10"/>
      <c r="AQ75" s="10"/>
      <c r="AR75" s="10"/>
      <c r="AS75" s="10" t="str">
        <f t="shared" ref="AS75:AS76" ca="1" si="127">IFERROR(__xludf.DUMMYFUNCTION("split(F59,"","",true,true)"),"Velocity Capital Private Equity")</f>
        <v>Velocity Capital Private Equity</v>
      </c>
      <c r="AT75" s="10"/>
      <c r="AU75" s="10"/>
      <c r="AV75" s="10"/>
      <c r="AW75" s="10"/>
      <c r="AX75" s="10"/>
      <c r="AY75" s="10"/>
      <c r="AZ75" s="10"/>
      <c r="BA75" s="10"/>
      <c r="BB75" s="10"/>
      <c r="BC75" s="10"/>
      <c r="BD75" s="10"/>
      <c r="BE75" s="10"/>
      <c r="BF75" s="10"/>
      <c r="BG75" s="10"/>
      <c r="BH75" s="10"/>
      <c r="BI75" s="10"/>
      <c r="BJ75" s="10"/>
      <c r="BK75" s="10"/>
      <c r="BM75" s="10"/>
    </row>
    <row r="76" spans="1:65" ht="12.75">
      <c r="A76" s="9">
        <v>41913</v>
      </c>
      <c r="B76" s="10" t="s">
        <v>136</v>
      </c>
      <c r="C76" s="11">
        <v>1400000</v>
      </c>
      <c r="D76" s="12"/>
      <c r="E76" s="10" t="s">
        <v>45</v>
      </c>
      <c r="F76" s="13" t="s">
        <v>137</v>
      </c>
      <c r="G76" s="10"/>
      <c r="H76" s="14"/>
      <c r="I76" s="14"/>
      <c r="J76" s="14"/>
      <c r="K76" s="14"/>
      <c r="L76" s="14"/>
      <c r="M76" s="15"/>
      <c r="N76" s="10"/>
      <c r="O76" s="14"/>
      <c r="P76" s="14"/>
      <c r="Q76" s="14"/>
      <c r="R76" s="14"/>
      <c r="S76" s="14"/>
      <c r="T76" s="14"/>
      <c r="U76" s="14"/>
      <c r="V76" s="14">
        <f t="shared" si="1"/>
        <v>2014</v>
      </c>
      <c r="W76" s="14">
        <f t="shared" si="2"/>
        <v>10</v>
      </c>
      <c r="X76" s="14">
        <f>VLOOKUP(W76,[1]Lookups!$P$3:$S$15,2,FALSE)</f>
        <v>4</v>
      </c>
      <c r="Y76" s="16">
        <f>VLOOKUP(W76,[1]Lookups!$P$3:$U$15,3,FALSE)</f>
        <v>2</v>
      </c>
      <c r="Z76" s="16">
        <f t="shared" si="3"/>
        <v>1</v>
      </c>
      <c r="AA76" s="26" t="str">
        <f t="shared" ca="1" si="108"/>
        <v>Velocity Capital Private Equity</v>
      </c>
      <c r="AB76" s="16">
        <f t="shared" si="108"/>
        <v>0</v>
      </c>
      <c r="AC76" s="16">
        <f t="shared" si="108"/>
        <v>0</v>
      </c>
      <c r="AD76" s="16">
        <f t="shared" si="108"/>
        <v>0</v>
      </c>
      <c r="AE76" s="16">
        <f t="shared" si="108"/>
        <v>0</v>
      </c>
      <c r="AF76" s="16">
        <f t="shared" si="108"/>
        <v>0</v>
      </c>
      <c r="AG76" s="16">
        <f t="shared" si="108"/>
        <v>0</v>
      </c>
      <c r="AH76" s="16">
        <f t="shared" si="108"/>
        <v>0</v>
      </c>
      <c r="AI76" s="16">
        <f t="shared" si="108"/>
        <v>0</v>
      </c>
      <c r="AJ76" s="16">
        <f t="shared" si="108"/>
        <v>0</v>
      </c>
      <c r="AK76" s="16">
        <f t="shared" si="108"/>
        <v>0</v>
      </c>
      <c r="AL76" s="16">
        <f t="shared" si="108"/>
        <v>0</v>
      </c>
      <c r="AM76" s="16">
        <f t="shared" si="108"/>
        <v>0</v>
      </c>
      <c r="AN76" s="16">
        <f t="shared" si="108"/>
        <v>0</v>
      </c>
      <c r="AO76" s="16">
        <f t="shared" si="108"/>
        <v>0</v>
      </c>
      <c r="AP76" s="10"/>
      <c r="AQ76" s="10"/>
      <c r="AR76" s="10"/>
      <c r="AS76" s="13" t="str">
        <f t="shared" ca="1" si="127"/>
        <v>Velocity Capital Private Equity</v>
      </c>
      <c r="AT76" s="10"/>
      <c r="AU76" s="10"/>
      <c r="AV76" s="10"/>
      <c r="AW76" s="10"/>
      <c r="AX76" s="10"/>
      <c r="AY76" s="10"/>
      <c r="AZ76" s="10"/>
      <c r="BA76" s="10"/>
      <c r="BB76" s="10"/>
      <c r="BC76" s="10"/>
      <c r="BD76" s="10"/>
      <c r="BE76" s="10"/>
      <c r="BF76" s="10"/>
      <c r="BG76" s="10"/>
      <c r="BH76" s="10"/>
      <c r="BI76" s="10"/>
      <c r="BJ76" s="10"/>
      <c r="BK76" s="10"/>
      <c r="BM76" s="10"/>
    </row>
    <row r="77" spans="1:65" ht="12.75">
      <c r="A77" s="9">
        <v>41944</v>
      </c>
      <c r="B77" s="10" t="s">
        <v>224</v>
      </c>
      <c r="C77" s="11">
        <v>50000</v>
      </c>
      <c r="D77" s="12"/>
      <c r="E77" s="10" t="s">
        <v>48</v>
      </c>
      <c r="F77" s="10" t="s">
        <v>49</v>
      </c>
      <c r="G77" s="13" t="s">
        <v>225</v>
      </c>
      <c r="H77" s="14" t="str">
        <f t="array" ref="H77">IFERROR(INDEX([1]Companies!$G:$G,MATCH(B77,[1]Companies!$A:$A,0)),"")</f>
        <v>Egypt</v>
      </c>
      <c r="I77" s="14" t="str">
        <f t="shared" ref="I77:I82" si="128">IF(LEN(TRIM(H77))-LEN(SUBSTITUTE(TRIM(H77),",","")) &gt; 0,TRIM(RIGHT(H77,LEN(H77)-FIND(",",H77))),H77)</f>
        <v>Egypt</v>
      </c>
      <c r="J77" s="14" t="str">
        <f t="array" ref="J77">IFERROR(INDEX([1]Companies!$Y:$Y,MATCH(B77,[1]Companies!$A:$A,0)),"")</f>
        <v>Catering, Delivery, Food and Beverage, Food Delivery, Marketplace, Subscription Service</v>
      </c>
      <c r="K77" s="14" t="str">
        <f t="array" ref="K77">IFERROR(INDEX([1]Companies!$X:$X,MATCH(B77,[1]Companies!$A:$A,0)),"")</f>
        <v>E-Commerce &amp; Retail</v>
      </c>
      <c r="L77" s="14" t="str">
        <f>VLOOKUP(B77,[1]Companies!$A$1:$C$5243,1,FALSE)</f>
        <v>Yumamia</v>
      </c>
      <c r="M77" s="15">
        <f t="shared" ref="M77:M82" si="129">COUNTA(B77:K77)/(COUNTBLANK(B77:K77) + COUNTA(B77:K77))</f>
        <v>0.9</v>
      </c>
      <c r="N77" s="10" t="str">
        <f t="shared" ref="N77:N82" si="130">CONCATENATE(A77,B77,C77)</f>
        <v>41944Yumamia50000</v>
      </c>
      <c r="O77" s="14" t="str">
        <f t="shared" ref="O77:O82" si="131">IF(A77 = "","",IF(COUNTIF(N:N,CONCATENATE(A77,B77,C77))&gt;1,"Duplicated",""))</f>
        <v/>
      </c>
      <c r="P77" s="14">
        <f t="shared" ref="P77:P82" si="132">IF(C77="Undisclosed",0,1)</f>
        <v>1</v>
      </c>
      <c r="Q77" s="14">
        <f t="array" ref="Q77">IFERROR(INDEX([1]Companies!$D:$D,MATCH(B77,[1]Companies!$A:$A,0)),"")</f>
        <v>2014</v>
      </c>
      <c r="R77" s="17">
        <f t="shared" ref="R77:R82" si="133">SUMIF(B:B,B77,C:C)</f>
        <v>2750000</v>
      </c>
      <c r="S77" s="14">
        <f>VLOOKUP(I77,[1]Lookups!$V$3:$Y$197,4,FALSE)</f>
        <v>0</v>
      </c>
      <c r="T77" s="14" t="str">
        <f>VLOOKUP(E77,[1]Lookups!$H$3:$I$71,2,FALSE)</f>
        <v>2. Seed</v>
      </c>
      <c r="U77" s="14" t="str">
        <f>VLOOKUP(K77,[1]Lookups!$B$3:$C$142,2,FALSE)</f>
        <v>E-commerce &amp; Retail</v>
      </c>
      <c r="V77" s="14">
        <f t="shared" si="1"/>
        <v>2014</v>
      </c>
      <c r="W77" s="14">
        <f t="shared" si="2"/>
        <v>11</v>
      </c>
      <c r="X77" s="14">
        <f>VLOOKUP(W77,[1]Lookups!$P$3:$S$15,2,FALSE)</f>
        <v>4</v>
      </c>
      <c r="Y77" s="16">
        <f>VLOOKUP(W77,[1]Lookups!$P$3:$U$15,3,FALSE)</f>
        <v>2</v>
      </c>
      <c r="Z77" s="16">
        <f t="shared" si="3"/>
        <v>1</v>
      </c>
      <c r="AA77" s="16" t="str">
        <f t="shared" ca="1" si="108"/>
        <v>Velocity Capital Private Equity</v>
      </c>
      <c r="AB77" s="16">
        <f t="shared" si="108"/>
        <v>0</v>
      </c>
      <c r="AC77" s="16">
        <f t="shared" si="108"/>
        <v>0</v>
      </c>
      <c r="AD77" s="16">
        <f t="shared" si="108"/>
        <v>0</v>
      </c>
      <c r="AE77" s="16">
        <f t="shared" si="108"/>
        <v>0</v>
      </c>
      <c r="AF77" s="16">
        <f t="shared" si="108"/>
        <v>0</v>
      </c>
      <c r="AG77" s="16">
        <f t="shared" si="108"/>
        <v>0</v>
      </c>
      <c r="AH77" s="16">
        <f t="shared" si="108"/>
        <v>0</v>
      </c>
      <c r="AI77" s="16">
        <f t="shared" si="108"/>
        <v>0</v>
      </c>
      <c r="AJ77" s="16">
        <f t="shared" si="108"/>
        <v>0</v>
      </c>
      <c r="AK77" s="16">
        <f t="shared" si="108"/>
        <v>0</v>
      </c>
      <c r="AL77" s="16">
        <f t="shared" si="108"/>
        <v>0</v>
      </c>
      <c r="AM77" s="16">
        <f t="shared" si="108"/>
        <v>0</v>
      </c>
      <c r="AN77" s="16">
        <f t="shared" si="108"/>
        <v>0</v>
      </c>
      <c r="AO77" s="16">
        <f t="shared" si="108"/>
        <v>0</v>
      </c>
      <c r="AP77" s="10"/>
      <c r="AQ77" s="10"/>
      <c r="AR77" s="10"/>
      <c r="AS77" s="10" t="str">
        <f t="shared" ref="AS77" ca="1" si="134">IFERROR(__xludf.DUMMYFUNCTION("split(F59,"","",true,true)"),"Velocity Capital Private Equity")</f>
        <v>Velocity Capital Private Equity</v>
      </c>
      <c r="AT77" s="10"/>
      <c r="AU77" s="10"/>
      <c r="AV77" s="10"/>
      <c r="AW77" s="10"/>
      <c r="AX77" s="10"/>
      <c r="AY77" s="10"/>
      <c r="AZ77" s="10"/>
      <c r="BA77" s="10"/>
      <c r="BB77" s="10"/>
      <c r="BC77" s="10"/>
      <c r="BD77" s="10"/>
      <c r="BE77" s="10"/>
      <c r="BF77" s="10"/>
      <c r="BG77" s="10"/>
      <c r="BH77" s="10"/>
      <c r="BI77" s="10"/>
      <c r="BJ77" s="10"/>
      <c r="BK77" s="10"/>
      <c r="BM77" s="10"/>
    </row>
    <row r="78" spans="1:65" ht="12.75">
      <c r="A78" s="9">
        <v>41948</v>
      </c>
      <c r="B78" s="10" t="s">
        <v>152</v>
      </c>
      <c r="C78" s="11">
        <v>80000</v>
      </c>
      <c r="D78" s="12"/>
      <c r="E78" s="10" t="s">
        <v>45</v>
      </c>
      <c r="F78" s="10" t="s">
        <v>226</v>
      </c>
      <c r="G78" s="13" t="s">
        <v>227</v>
      </c>
      <c r="H78" s="14" t="str">
        <f t="array" ref="H78">IFERROR(INDEX([1]Companies!$G:$G,MATCH(B78,[1]Companies!$A:$A,0)),"")</f>
        <v>Kenya</v>
      </c>
      <c r="I78" s="14" t="str">
        <f t="shared" si="128"/>
        <v>Kenya</v>
      </c>
      <c r="J78" s="14" t="str">
        <f t="array" ref="J78">IFERROR(INDEX([1]Companies!$Y:$Y,MATCH(B78,[1]Companies!$A:$A,0)),"")</f>
        <v>Fintech, Payment solutions</v>
      </c>
      <c r="K78" s="14" t="str">
        <f t="array" ref="K78">IFERROR(INDEX([1]Companies!$X:$X,MATCH(B78,[1]Companies!$A:$A,0)),"")</f>
        <v>Financial Services</v>
      </c>
      <c r="L78" s="14" t="str">
        <f>VLOOKUP(B78,[1]Companies!$A$1:$C$5243,1,FALSE)</f>
        <v>Paykind Inc</v>
      </c>
      <c r="M78" s="15">
        <f t="shared" si="129"/>
        <v>0.9</v>
      </c>
      <c r="N78" s="10" t="str">
        <f t="shared" si="130"/>
        <v>41948Paykind Inc80000</v>
      </c>
      <c r="O78" s="14" t="str">
        <f t="shared" si="131"/>
        <v/>
      </c>
      <c r="P78" s="14">
        <f t="shared" si="132"/>
        <v>1</v>
      </c>
      <c r="Q78" s="14">
        <f t="array" ref="Q78">IFERROR(INDEX([1]Companies!$D:$D,MATCH(B78,[1]Companies!$A:$A,0)),"")</f>
        <v>2011</v>
      </c>
      <c r="R78" s="17">
        <f t="shared" si="133"/>
        <v>105000</v>
      </c>
      <c r="S78" s="14">
        <f>VLOOKUP(I78,[1]Lookups!$V$3:$Y$197,4,FALSE)</f>
        <v>0</v>
      </c>
      <c r="T78" s="14" t="str">
        <f>VLOOKUP(E78,[1]Lookups!$H$3:$I$71,2,FALSE)</f>
        <v>2. Seed</v>
      </c>
      <c r="U78" s="14" t="str">
        <f>VLOOKUP(K78,[1]Lookups!$B$3:$C$142,2,FALSE)</f>
        <v>Financial Services</v>
      </c>
      <c r="V78" s="14">
        <f t="shared" si="1"/>
        <v>2014</v>
      </c>
      <c r="W78" s="14">
        <f t="shared" si="2"/>
        <v>11</v>
      </c>
      <c r="X78" s="14">
        <f>VLOOKUP(W78,[1]Lookups!$P$3:$S$15,2,FALSE)</f>
        <v>4</v>
      </c>
      <c r="Y78" s="16">
        <f>VLOOKUP(W78,[1]Lookups!$P$3:$U$15,3,FALSE)</f>
        <v>2</v>
      </c>
      <c r="Z78" s="16">
        <f t="shared" si="3"/>
        <v>1</v>
      </c>
      <c r="AA78" s="16" t="str">
        <f t="shared" ca="1" si="108"/>
        <v>Velocity Capital Private Equity</v>
      </c>
      <c r="AB78" s="16">
        <f t="shared" si="108"/>
        <v>0</v>
      </c>
      <c r="AC78" s="16">
        <f t="shared" si="108"/>
        <v>0</v>
      </c>
      <c r="AD78" s="16">
        <f t="shared" si="108"/>
        <v>0</v>
      </c>
      <c r="AE78" s="16">
        <f t="shared" si="108"/>
        <v>0</v>
      </c>
      <c r="AF78" s="16">
        <f t="shared" si="108"/>
        <v>0</v>
      </c>
      <c r="AG78" s="16">
        <f t="shared" si="108"/>
        <v>0</v>
      </c>
      <c r="AH78" s="16">
        <f t="shared" si="108"/>
        <v>0</v>
      </c>
      <c r="AI78" s="16">
        <f t="shared" si="108"/>
        <v>0</v>
      </c>
      <c r="AJ78" s="16">
        <f t="shared" si="108"/>
        <v>0</v>
      </c>
      <c r="AK78" s="16">
        <f t="shared" si="108"/>
        <v>0</v>
      </c>
      <c r="AL78" s="16">
        <f t="shared" si="108"/>
        <v>0</v>
      </c>
      <c r="AM78" s="16">
        <f t="shared" si="108"/>
        <v>0</v>
      </c>
      <c r="AN78" s="16">
        <f t="shared" si="108"/>
        <v>0</v>
      </c>
      <c r="AO78" s="16">
        <f t="shared" si="108"/>
        <v>0</v>
      </c>
      <c r="AP78" s="10"/>
      <c r="AQ78" s="10"/>
      <c r="AR78" s="10"/>
      <c r="AS78" s="10" t="str">
        <f t="shared" ref="AS78" ca="1" si="135">IFERROR(__xludf.DUMMYFUNCTION("split(F59,"","",true,true)"),"Velocity Capital Private Equity")</f>
        <v>Velocity Capital Private Equity</v>
      </c>
      <c r="AT78" s="10"/>
      <c r="AU78" s="10"/>
      <c r="AV78" s="10"/>
      <c r="AW78" s="10"/>
      <c r="AX78" s="10"/>
      <c r="AY78" s="10"/>
      <c r="AZ78" s="10"/>
      <c r="BA78" s="10"/>
      <c r="BB78" s="10"/>
      <c r="BC78" s="10"/>
      <c r="BD78" s="10"/>
      <c r="BE78" s="10"/>
      <c r="BF78" s="10"/>
      <c r="BG78" s="10"/>
      <c r="BH78" s="10"/>
      <c r="BI78" s="10"/>
      <c r="BJ78" s="10"/>
      <c r="BK78" s="10"/>
      <c r="BM78" s="10"/>
    </row>
    <row r="79" spans="1:65" ht="12.75">
      <c r="A79" s="9">
        <v>41948</v>
      </c>
      <c r="B79" s="10" t="s">
        <v>143</v>
      </c>
      <c r="C79" s="11">
        <v>80000</v>
      </c>
      <c r="D79" s="12"/>
      <c r="E79" s="10" t="s">
        <v>45</v>
      </c>
      <c r="F79" s="10" t="s">
        <v>226</v>
      </c>
      <c r="G79" s="13" t="s">
        <v>227</v>
      </c>
      <c r="H79" s="14" t="str">
        <f t="array" ref="H79">IFERROR(INDEX([1]Companies!$G:$G,MATCH(B79,[1]Companies!$A:$A,0)),"")</f>
        <v>Egypt</v>
      </c>
      <c r="I79" s="14" t="str">
        <f t="shared" si="128"/>
        <v>Egypt</v>
      </c>
      <c r="J79" s="14" t="str">
        <f t="array" ref="J79">IFERROR(INDEX([1]Companies!$Y:$Y,MATCH(B79,[1]Companies!$A:$A,0)),"")</f>
        <v>Events Management, Service Industry, Funeral Management</v>
      </c>
      <c r="K79" s="14" t="str">
        <f t="array" ref="K79">IFERROR(INDEX([1]Companies!$X:$X,MATCH(B79,[1]Companies!$A:$A,0)),"")</f>
        <v>Media &amp; Entertainment</v>
      </c>
      <c r="L79" s="14" t="str">
        <f>VLOOKUP(B79,[1]Companies!$A$1:$C$5243,1,FALSE)</f>
        <v>Elwafeyat</v>
      </c>
      <c r="M79" s="15">
        <f t="shared" si="129"/>
        <v>0.9</v>
      </c>
      <c r="N79" s="10" t="str">
        <f t="shared" si="130"/>
        <v>41948Elwafeyat80000</v>
      </c>
      <c r="O79" s="14" t="str">
        <f t="shared" si="131"/>
        <v/>
      </c>
      <c r="P79" s="14">
        <f t="shared" si="132"/>
        <v>1</v>
      </c>
      <c r="Q79" s="14">
        <f t="array" ref="Q79">IFERROR(INDEX([1]Companies!$D:$D,MATCH(B79,[1]Companies!$A:$A,0)),"")</f>
        <v>2013</v>
      </c>
      <c r="R79" s="17">
        <f t="shared" si="133"/>
        <v>100000</v>
      </c>
      <c r="S79" s="14">
        <f>VLOOKUP(I79,[1]Lookups!$V$3:$Y$197,4,FALSE)</f>
        <v>0</v>
      </c>
      <c r="T79" s="14" t="str">
        <f>VLOOKUP(E79,[1]Lookups!$H$3:$I$71,2,FALSE)</f>
        <v>2. Seed</v>
      </c>
      <c r="U79" s="14" t="str">
        <f>VLOOKUP(K79,[1]Lookups!$B$3:$C$142,2,FALSE)</f>
        <v>Media &amp; Entertainment</v>
      </c>
      <c r="V79" s="14">
        <f t="shared" si="1"/>
        <v>2014</v>
      </c>
      <c r="W79" s="14">
        <f t="shared" si="2"/>
        <v>11</v>
      </c>
      <c r="X79" s="14">
        <f>VLOOKUP(W79,[1]Lookups!$P$3:$S$15,2,FALSE)</f>
        <v>4</v>
      </c>
      <c r="Y79" s="16">
        <f>VLOOKUP(W79,[1]Lookups!$P$3:$U$15,3,FALSE)</f>
        <v>2</v>
      </c>
      <c r="Z79" s="16">
        <f t="shared" si="3"/>
        <v>1</v>
      </c>
      <c r="AA79" s="16" t="str">
        <f t="shared" ca="1" si="108"/>
        <v>Velocity Capital Private Equity</v>
      </c>
      <c r="AB79" s="16">
        <f t="shared" si="108"/>
        <v>0</v>
      </c>
      <c r="AC79" s="16">
        <f t="shared" si="108"/>
        <v>0</v>
      </c>
      <c r="AD79" s="16">
        <f t="shared" si="108"/>
        <v>0</v>
      </c>
      <c r="AE79" s="16">
        <f t="shared" si="108"/>
        <v>0</v>
      </c>
      <c r="AF79" s="16">
        <f t="shared" si="108"/>
        <v>0</v>
      </c>
      <c r="AG79" s="16">
        <f t="shared" si="108"/>
        <v>0</v>
      </c>
      <c r="AH79" s="16">
        <f t="shared" si="108"/>
        <v>0</v>
      </c>
      <c r="AI79" s="16">
        <f t="shared" si="108"/>
        <v>0</v>
      </c>
      <c r="AJ79" s="16">
        <f t="shared" si="108"/>
        <v>0</v>
      </c>
      <c r="AK79" s="16">
        <f t="shared" si="108"/>
        <v>0</v>
      </c>
      <c r="AL79" s="16">
        <f t="shared" si="108"/>
        <v>0</v>
      </c>
      <c r="AM79" s="16">
        <f t="shared" si="108"/>
        <v>0</v>
      </c>
      <c r="AN79" s="16">
        <f t="shared" si="108"/>
        <v>0</v>
      </c>
      <c r="AO79" s="16">
        <f t="shared" si="108"/>
        <v>0</v>
      </c>
      <c r="AP79" s="10"/>
      <c r="AQ79" s="10"/>
      <c r="AR79" s="10"/>
      <c r="AS79" s="10" t="str">
        <f t="shared" ref="AS79" ca="1" si="136">IFERROR(__xludf.DUMMYFUNCTION("split(F59,"","",true,true)"),"Velocity Capital Private Equity")</f>
        <v>Velocity Capital Private Equity</v>
      </c>
      <c r="AT79" s="23"/>
      <c r="AU79" s="23"/>
      <c r="AV79" s="23"/>
      <c r="AW79" s="23"/>
      <c r="AX79" s="23"/>
      <c r="AY79" s="23"/>
      <c r="AZ79" s="23"/>
      <c r="BA79" s="23"/>
      <c r="BB79" s="23"/>
      <c r="BC79" s="23"/>
      <c r="BD79" s="23"/>
      <c r="BE79" s="23"/>
      <c r="BF79" s="23"/>
      <c r="BG79" s="23"/>
      <c r="BH79" s="23"/>
      <c r="BI79" s="23"/>
      <c r="BJ79" s="23"/>
      <c r="BK79" s="23"/>
      <c r="BM79" s="23"/>
    </row>
    <row r="80" spans="1:65" ht="12.75">
      <c r="A80" s="18">
        <v>41969</v>
      </c>
      <c r="B80" s="14" t="s">
        <v>78</v>
      </c>
      <c r="C80" s="19">
        <v>150000000</v>
      </c>
      <c r="D80" s="19"/>
      <c r="E80" s="14" t="s">
        <v>112</v>
      </c>
      <c r="F80" s="14" t="s">
        <v>228</v>
      </c>
      <c r="G80" s="21" t="s">
        <v>229</v>
      </c>
      <c r="H80" s="14" t="str">
        <f t="array" ref="H80">IFERROR(INDEX([1]Companies!$G:$G,MATCH(B80,[1]Companies!$A:$A,0)),"")</f>
        <v>Nigeria</v>
      </c>
      <c r="I80" s="14" t="str">
        <f t="shared" si="128"/>
        <v>Nigeria</v>
      </c>
      <c r="J80" s="14" t="str">
        <f t="array" ref="J80">IFERROR(INDEX([1]Companies!$Y:$Y,MATCH(B80,[1]Companies!$A:$A,0)),"")</f>
        <v>E-Commerce, Internet, Shopping Online</v>
      </c>
      <c r="K80" s="14" t="str">
        <f t="array" ref="K80">IFERROR(INDEX([1]Companies!$X:$X,MATCH(B80,[1]Companies!$A:$A,0)),"")</f>
        <v>E-Commerce &amp; Retail</v>
      </c>
      <c r="L80" s="14" t="str">
        <f>VLOOKUP(B80,[1]Companies!$A$1:$C$5243,1,FALSE)</f>
        <v>Jumia Group</v>
      </c>
      <c r="M80" s="15">
        <f t="shared" si="129"/>
        <v>0.9</v>
      </c>
      <c r="N80" s="10" t="str">
        <f t="shared" si="130"/>
        <v>41969Jumia Group150000000</v>
      </c>
      <c r="O80" s="14" t="str">
        <f t="shared" si="131"/>
        <v/>
      </c>
      <c r="P80" s="14">
        <f t="shared" si="132"/>
        <v>1</v>
      </c>
      <c r="Q80" s="14">
        <f t="array" ref="Q80">IFERROR(INDEX([1]Companies!$D:$D,MATCH(B80,[1]Companies!$A:$A,0)),"")</f>
        <v>2012</v>
      </c>
      <c r="R80" s="17">
        <f t="shared" si="133"/>
        <v>885400000</v>
      </c>
      <c r="S80" s="14">
        <f>VLOOKUP(I80,[1]Lookups!$V$3:$Y$197,4,FALSE)</f>
        <v>0</v>
      </c>
      <c r="T80" s="14" t="str">
        <f>VLOOKUP(E80,[1]Lookups!$H$3:$I$71,2,FALSE)</f>
        <v>3. Early Venture</v>
      </c>
      <c r="U80" s="14" t="str">
        <f>VLOOKUP(K80,[1]Lookups!$B$3:$C$142,2,FALSE)</f>
        <v>E-commerce &amp; Retail</v>
      </c>
      <c r="V80" s="14">
        <f t="shared" si="1"/>
        <v>2014</v>
      </c>
      <c r="W80" s="14">
        <f t="shared" si="2"/>
        <v>11</v>
      </c>
      <c r="X80" s="14">
        <f>VLOOKUP(W80,[1]Lookups!$P$3:$S$15,2,FALSE)</f>
        <v>4</v>
      </c>
      <c r="Y80" s="16">
        <f>VLOOKUP(W80,[1]Lookups!$P$3:$U$15,3,FALSE)</f>
        <v>2</v>
      </c>
      <c r="Z80" s="16">
        <f t="shared" si="3"/>
        <v>8</v>
      </c>
      <c r="AA80" s="16" t="str">
        <f t="shared" ca="1" si="108"/>
        <v>Velocity Capital Private Equity</v>
      </c>
      <c r="AB80" s="16" t="str">
        <f t="shared" ca="1" si="108"/>
        <v xml:space="preserve"> Rocket Internet</v>
      </c>
      <c r="AC80" s="16" t="str">
        <f t="shared" ca="1" si="108"/>
        <v xml:space="preserve"> Orange</v>
      </c>
      <c r="AD80" s="16" t="str">
        <f t="shared" ca="1" si="108"/>
        <v xml:space="preserve"> Millicom Systems</v>
      </c>
      <c r="AE80" s="16" t="str">
        <f t="shared" ca="1" si="108"/>
        <v xml:space="preserve"> MTN Group</v>
      </c>
      <c r="AF80" s="16" t="str">
        <f t="shared" ca="1" si="108"/>
        <v xml:space="preserve"> Goldman Sachs</v>
      </c>
      <c r="AG80" s="16" t="str">
        <f t="shared" ca="1" si="108"/>
        <v xml:space="preserve"> CDC Group</v>
      </c>
      <c r="AH80" s="16" t="str">
        <f t="shared" ca="1" si="108"/>
        <v xml:space="preserve"> AXA Group</v>
      </c>
      <c r="AI80" s="16">
        <f t="shared" si="108"/>
        <v>0</v>
      </c>
      <c r="AJ80" s="16">
        <f t="shared" si="108"/>
        <v>0</v>
      </c>
      <c r="AK80" s="16">
        <f t="shared" si="108"/>
        <v>0</v>
      </c>
      <c r="AL80" s="16">
        <f t="shared" si="108"/>
        <v>0</v>
      </c>
      <c r="AM80" s="16">
        <f t="shared" si="108"/>
        <v>0</v>
      </c>
      <c r="AN80" s="16">
        <f t="shared" si="108"/>
        <v>0</v>
      </c>
      <c r="AO80" s="16">
        <f t="shared" si="108"/>
        <v>0</v>
      </c>
      <c r="AP80" s="10"/>
      <c r="AQ80" s="10"/>
      <c r="AR80" s="10"/>
      <c r="AS80" s="10" t="str">
        <f t="shared" ref="AS80" ca="1" si="137">IFERROR(__xludf.DUMMYFUNCTION("split(F59,"","",true,true)"),"Velocity Capital Private Equity")</f>
        <v>Velocity Capital Private Equity</v>
      </c>
      <c r="AT80" s="10" t="str">
        <f ca="1">IFERROR(__xludf.DUMMYFUNCTION("""COMPUTED_VALUE""")," Rocket Internet")</f>
        <v xml:space="preserve"> Rocket Internet</v>
      </c>
      <c r="AU80" s="10" t="str">
        <f ca="1">IFERROR(__xludf.DUMMYFUNCTION("""COMPUTED_VALUE""")," Orange")</f>
        <v xml:space="preserve"> Orange</v>
      </c>
      <c r="AV80" s="10" t="str">
        <f ca="1">IFERROR(__xludf.DUMMYFUNCTION("""COMPUTED_VALUE""")," Millicom Systems")</f>
        <v xml:space="preserve"> Millicom Systems</v>
      </c>
      <c r="AW80" s="10" t="str">
        <f ca="1">IFERROR(__xludf.DUMMYFUNCTION("""COMPUTED_VALUE""")," MTN Group")</f>
        <v xml:space="preserve"> MTN Group</v>
      </c>
      <c r="AX80" s="10" t="str">
        <f ca="1">IFERROR(__xludf.DUMMYFUNCTION("""COMPUTED_VALUE""")," Goldman Sachs")</f>
        <v xml:space="preserve"> Goldman Sachs</v>
      </c>
      <c r="AY80" s="10" t="str">
        <f ca="1">IFERROR(__xludf.DUMMYFUNCTION("""COMPUTED_VALUE""")," CDC Group")</f>
        <v xml:space="preserve"> CDC Group</v>
      </c>
      <c r="AZ80" s="10" t="str">
        <f ca="1">IFERROR(__xludf.DUMMYFUNCTION("""COMPUTED_VALUE""")," AXA Group")</f>
        <v xml:space="preserve"> AXA Group</v>
      </c>
      <c r="BA80" s="10"/>
      <c r="BB80" s="10"/>
      <c r="BC80" s="10"/>
      <c r="BD80" s="10"/>
      <c r="BE80" s="10"/>
      <c r="BF80" s="10"/>
      <c r="BG80" s="10"/>
      <c r="BH80" s="10"/>
      <c r="BI80" s="10"/>
      <c r="BJ80" s="10"/>
      <c r="BK80" s="10"/>
      <c r="BM80" s="10"/>
    </row>
    <row r="81" spans="1:65" ht="12.75">
      <c r="A81" s="18">
        <v>41981</v>
      </c>
      <c r="B81" s="14" t="s">
        <v>186</v>
      </c>
      <c r="C81" s="19">
        <v>16000000</v>
      </c>
      <c r="D81" s="19"/>
      <c r="E81" s="14" t="s">
        <v>112</v>
      </c>
      <c r="F81" s="14" t="s">
        <v>230</v>
      </c>
      <c r="G81" s="21" t="s">
        <v>231</v>
      </c>
      <c r="H81" s="14" t="str">
        <f t="array" ref="H81">IFERROR(INDEX([1]Companies!$G:$G,MATCH(B81,[1]Companies!$A:$A,0)),"")</f>
        <v>Tanzania</v>
      </c>
      <c r="I81" s="14" t="str">
        <f t="shared" si="128"/>
        <v>Tanzania</v>
      </c>
      <c r="J81" s="14" t="str">
        <f t="array" ref="J81">IFERROR(INDEX([1]Companies!$Y:$Y,MATCH(B81,[1]Companies!$A:$A,0)),"")</f>
        <v>Electrical Distribution, Energy, Renewable Energy, Solar</v>
      </c>
      <c r="K81" s="14" t="str">
        <f t="array" ref="K81">IFERROR(INDEX([1]Companies!$X:$X,MATCH(B81,[1]Companies!$A:$A,0)),"")</f>
        <v>Energy &amp; Environment Resources</v>
      </c>
      <c r="L81" s="14" t="str">
        <f>VLOOKUP(B81,[1]Companies!$A$1:$C$5243,1,FALSE)</f>
        <v xml:space="preserve">Zola Electric </v>
      </c>
      <c r="M81" s="15">
        <f t="shared" si="129"/>
        <v>0.9</v>
      </c>
      <c r="N81" s="10" t="str">
        <f t="shared" si="130"/>
        <v>41981Zola Electric 16000000</v>
      </c>
      <c r="O81" s="14" t="str">
        <f t="shared" si="131"/>
        <v/>
      </c>
      <c r="P81" s="14">
        <f t="shared" si="132"/>
        <v>1</v>
      </c>
      <c r="Q81" s="14">
        <f t="array" ref="Q81">IFERROR(INDEX([1]Companies!$D:$D,MATCH(B81,[1]Companies!$A:$A,0)),"")</f>
        <v>2011</v>
      </c>
      <c r="R81" s="17">
        <f t="shared" si="133"/>
        <v>165500000</v>
      </c>
      <c r="S81" s="14">
        <f>VLOOKUP(I81,[1]Lookups!$V$3:$Y$197,4,FALSE)</f>
        <v>0</v>
      </c>
      <c r="T81" s="14" t="str">
        <f>VLOOKUP(E81,[1]Lookups!$H$3:$I$71,2,FALSE)</f>
        <v>3. Early Venture</v>
      </c>
      <c r="U81" s="14" t="e">
        <f>VLOOKUP(K81,[1]Lookups!$B$3:$C$142,2,FALSE)</f>
        <v>#N/A</v>
      </c>
      <c r="V81" s="14">
        <f t="shared" si="1"/>
        <v>2014</v>
      </c>
      <c r="W81" s="14">
        <f t="shared" si="2"/>
        <v>12</v>
      </c>
      <c r="X81" s="14">
        <f>VLOOKUP(W81,[1]Lookups!$P$3:$S$15,2,FALSE)</f>
        <v>4</v>
      </c>
      <c r="Y81" s="16">
        <f>VLOOKUP(W81,[1]Lookups!$P$3:$U$15,3,FALSE)</f>
        <v>2</v>
      </c>
      <c r="Z81" s="16">
        <f t="shared" si="3"/>
        <v>4</v>
      </c>
      <c r="AA81" s="16" t="str">
        <f t="shared" ca="1" si="108"/>
        <v>Velocity Capital Private Equity</v>
      </c>
      <c r="AB81" s="16" t="str">
        <f t="shared" ca="1" si="108"/>
        <v xml:space="preserve"> Vulcan Capital</v>
      </c>
      <c r="AC81" s="16" t="str">
        <f t="shared" ca="1" si="108"/>
        <v xml:space="preserve"> SolarCity</v>
      </c>
      <c r="AD81" s="16" t="str">
        <f t="shared" ca="1" si="108"/>
        <v xml:space="preserve"> IFC Venture Capital Group</v>
      </c>
      <c r="AE81" s="16">
        <f t="shared" si="108"/>
        <v>0</v>
      </c>
      <c r="AF81" s="16">
        <f t="shared" si="108"/>
        <v>0</v>
      </c>
      <c r="AG81" s="16">
        <f t="shared" si="108"/>
        <v>0</v>
      </c>
      <c r="AH81" s="16">
        <f t="shared" si="108"/>
        <v>0</v>
      </c>
      <c r="AI81" s="16">
        <f t="shared" si="108"/>
        <v>0</v>
      </c>
      <c r="AJ81" s="16">
        <f t="shared" si="108"/>
        <v>0</v>
      </c>
      <c r="AK81" s="16">
        <f t="shared" si="108"/>
        <v>0</v>
      </c>
      <c r="AL81" s="16">
        <f t="shared" si="108"/>
        <v>0</v>
      </c>
      <c r="AM81" s="16">
        <f t="shared" si="108"/>
        <v>0</v>
      </c>
      <c r="AN81" s="16">
        <f t="shared" si="108"/>
        <v>0</v>
      </c>
      <c r="AO81" s="16">
        <f t="shared" si="108"/>
        <v>0</v>
      </c>
      <c r="AP81" s="10"/>
      <c r="AQ81" s="10"/>
      <c r="AR81" s="10"/>
      <c r="AS81" s="10" t="str">
        <f t="shared" ref="AS81" ca="1" si="138">IFERROR(__xludf.DUMMYFUNCTION("split(F59,"","",true,true)"),"Velocity Capital Private Equity")</f>
        <v>Velocity Capital Private Equity</v>
      </c>
      <c r="AT81" s="10" t="str">
        <f ca="1">IFERROR(__xludf.DUMMYFUNCTION("""COMPUTED_VALUE""")," Vulcan Capital")</f>
        <v xml:space="preserve"> Vulcan Capital</v>
      </c>
      <c r="AU81" s="10" t="str">
        <f ca="1">IFERROR(__xludf.DUMMYFUNCTION("""COMPUTED_VALUE""")," SolarCity")</f>
        <v xml:space="preserve"> SolarCity</v>
      </c>
      <c r="AV81" s="10" t="str">
        <f ca="1">IFERROR(__xludf.DUMMYFUNCTION("""COMPUTED_VALUE""")," IFC Venture Capital Group")</f>
        <v xml:space="preserve"> IFC Venture Capital Group</v>
      </c>
      <c r="AW81" s="10"/>
      <c r="AX81" s="10"/>
      <c r="AY81" s="10"/>
      <c r="AZ81" s="10"/>
      <c r="BA81" s="10"/>
      <c r="BB81" s="10"/>
      <c r="BC81" s="10"/>
      <c r="BD81" s="10"/>
      <c r="BE81" s="10"/>
      <c r="BF81" s="10"/>
      <c r="BG81" s="10"/>
      <c r="BH81" s="10"/>
      <c r="BI81" s="10"/>
      <c r="BJ81" s="10"/>
      <c r="BK81" s="10"/>
      <c r="BM81" s="10"/>
    </row>
    <row r="82" spans="1:65" ht="12.75">
      <c r="A82" s="9">
        <v>42005</v>
      </c>
      <c r="B82" s="10" t="s">
        <v>109</v>
      </c>
      <c r="C82" s="11" t="s">
        <v>49</v>
      </c>
      <c r="D82" s="12"/>
      <c r="E82" s="10" t="s">
        <v>45</v>
      </c>
      <c r="F82" s="10" t="s">
        <v>232</v>
      </c>
      <c r="G82" s="13" t="s">
        <v>111</v>
      </c>
      <c r="H82" s="14" t="str">
        <f t="array" ref="H82">IFERROR(INDEX([1]Companies!$G:$G,MATCH(B82,[1]Companies!$A:$A,0)),"")</f>
        <v>Egypt</v>
      </c>
      <c r="I82" s="14" t="str">
        <f t="shared" si="128"/>
        <v>Egypt</v>
      </c>
      <c r="J82" s="14" t="str">
        <f t="array" ref="J82">IFERROR(INDEX([1]Companies!$Y:$Y,MATCH(B82,[1]Companies!$A:$A,0)),"")</f>
        <v>Services, Gigs</v>
      </c>
      <c r="K82" s="14" t="str">
        <f t="array" ref="K82">IFERROR(INDEX([1]Companies!$X:$X,MATCH(B82,[1]Companies!$A:$A,0)),"")</f>
        <v>E-Commerce &amp; Retail</v>
      </c>
      <c r="L82" s="14" t="str">
        <f>VLOOKUP(B82,[1]Companies!$A$1:$C$5243,1,FALSE)</f>
        <v>Taskty</v>
      </c>
      <c r="M82" s="15">
        <f t="shared" si="129"/>
        <v>0.9</v>
      </c>
      <c r="N82" s="10" t="str">
        <f t="shared" si="130"/>
        <v>42005TasktyUndisclosed</v>
      </c>
      <c r="O82" s="14" t="str">
        <f t="shared" si="131"/>
        <v/>
      </c>
      <c r="P82" s="14">
        <f t="shared" si="132"/>
        <v>0</v>
      </c>
      <c r="Q82" s="14">
        <f t="array" ref="Q82">IFERROR(INDEX([1]Companies!$D:$D,MATCH(B82,[1]Companies!$A:$A,0)),"")</f>
        <v>2012</v>
      </c>
      <c r="R82" s="17">
        <f t="shared" si="133"/>
        <v>510000</v>
      </c>
      <c r="S82" s="14">
        <f>VLOOKUP(I82,[1]Lookups!$V$3:$Y$197,4,FALSE)</f>
        <v>0</v>
      </c>
      <c r="T82" s="14" t="str">
        <f>VLOOKUP(E82,[1]Lookups!$H$3:$I$71,2,FALSE)</f>
        <v>2. Seed</v>
      </c>
      <c r="U82" s="14" t="str">
        <f>VLOOKUP(K82,[1]Lookups!$B$3:$C$142,2,FALSE)</f>
        <v>E-commerce &amp; Retail</v>
      </c>
      <c r="V82" s="14">
        <f t="shared" si="1"/>
        <v>2015</v>
      </c>
      <c r="W82" s="14">
        <f t="shared" si="2"/>
        <v>1</v>
      </c>
      <c r="X82" s="14">
        <f>VLOOKUP(W82,[1]Lookups!$P$3:$S$15,2,FALSE)</f>
        <v>1</v>
      </c>
      <c r="Y82" s="16">
        <f>VLOOKUP(W82,[1]Lookups!$P$3:$U$15,3,FALSE)</f>
        <v>1</v>
      </c>
      <c r="Z82" s="16">
        <f t="shared" si="3"/>
        <v>1</v>
      </c>
      <c r="AA82" s="16" t="str">
        <f t="shared" ref="AA82:AO82" ca="1" si="139">AS82</f>
        <v>Velocity Capital Private Equity</v>
      </c>
      <c r="AB82" s="16">
        <f t="shared" si="139"/>
        <v>0</v>
      </c>
      <c r="AC82" s="16">
        <f t="shared" si="139"/>
        <v>0</v>
      </c>
      <c r="AD82" s="16">
        <f t="shared" si="139"/>
        <v>0</v>
      </c>
      <c r="AE82" s="16">
        <f t="shared" si="139"/>
        <v>0</v>
      </c>
      <c r="AF82" s="16">
        <f t="shared" si="139"/>
        <v>0</v>
      </c>
      <c r="AG82" s="16">
        <f t="shared" si="139"/>
        <v>0</v>
      </c>
      <c r="AH82" s="16">
        <f t="shared" si="139"/>
        <v>0</v>
      </c>
      <c r="AI82" s="16">
        <f t="shared" si="139"/>
        <v>0</v>
      </c>
      <c r="AJ82" s="16">
        <f t="shared" si="139"/>
        <v>0</v>
      </c>
      <c r="AK82" s="16">
        <f t="shared" si="139"/>
        <v>0</v>
      </c>
      <c r="AL82" s="16">
        <f t="shared" si="139"/>
        <v>0</v>
      </c>
      <c r="AM82" s="16">
        <f t="shared" si="139"/>
        <v>0</v>
      </c>
      <c r="AN82" s="16">
        <f t="shared" si="139"/>
        <v>0</v>
      </c>
      <c r="AO82" s="16">
        <f t="shared" si="139"/>
        <v>0</v>
      </c>
      <c r="AP82" s="10"/>
      <c r="AQ82" s="10"/>
      <c r="AR82" s="10"/>
      <c r="AS82" s="10" t="str">
        <f t="shared" ref="AS82" ca="1" si="140">IFERROR(__xludf.DUMMYFUNCTION("split(F59,"","",true,true)"),"Velocity Capital Private Equity")</f>
        <v>Velocity Capital Private Equity</v>
      </c>
      <c r="AT82" s="10"/>
      <c r="AU82" s="10"/>
      <c r="AV82" s="10"/>
      <c r="AW82" s="10"/>
      <c r="AX82" s="10"/>
      <c r="AY82" s="10"/>
      <c r="AZ82" s="10"/>
      <c r="BA82" s="10"/>
      <c r="BB82" s="10"/>
      <c r="BC82" s="10"/>
      <c r="BD82" s="10"/>
      <c r="BE82" s="10"/>
      <c r="BF82" s="10"/>
      <c r="BG82" s="10"/>
      <c r="BH82" s="10"/>
      <c r="BI82" s="10"/>
      <c r="BJ82" s="10"/>
      <c r="BK82" s="10"/>
      <c r="BM82" s="10"/>
    </row>
    <row r="83" spans="1:65" ht="12.75">
      <c r="A83" s="9">
        <v>42005</v>
      </c>
      <c r="B83" s="10" t="s">
        <v>233</v>
      </c>
      <c r="C83" s="11">
        <v>330000</v>
      </c>
      <c r="D83" s="12"/>
      <c r="E83" s="10" t="s">
        <v>234</v>
      </c>
      <c r="F83" s="10" t="s">
        <v>49</v>
      </c>
      <c r="G83" s="13" t="s">
        <v>235</v>
      </c>
      <c r="H83" s="14"/>
      <c r="I83" s="14"/>
      <c r="J83" s="14"/>
      <c r="K83" s="14"/>
      <c r="L83" s="14"/>
      <c r="M83" s="15"/>
      <c r="N83" s="10"/>
      <c r="O83" s="14"/>
      <c r="P83" s="14"/>
      <c r="Q83" s="14"/>
      <c r="R83" s="17"/>
      <c r="S83" s="14"/>
      <c r="T83" s="14"/>
      <c r="U83" s="14"/>
      <c r="V83" s="14">
        <f t="shared" si="1"/>
        <v>2015</v>
      </c>
      <c r="W83" s="14">
        <f t="shared" si="2"/>
        <v>1</v>
      </c>
      <c r="X83" s="14">
        <f>VLOOKUP(W83,[1]Lookups!$P$3:$S$15,2,FALSE)</f>
        <v>1</v>
      </c>
      <c r="Y83" s="16">
        <f>VLOOKUP(W83,[1]Lookups!$P$3:$U$15,3,FALSE)</f>
        <v>1</v>
      </c>
      <c r="Z83" s="16">
        <f t="shared" si="3"/>
        <v>1</v>
      </c>
      <c r="AA83" s="16"/>
      <c r="AB83" s="16"/>
      <c r="AC83" s="16"/>
      <c r="AD83" s="16"/>
      <c r="AE83" s="16"/>
      <c r="AF83" s="16"/>
      <c r="AG83" s="16"/>
      <c r="AH83" s="16"/>
      <c r="AI83" s="16"/>
      <c r="AJ83" s="16"/>
      <c r="AK83" s="16"/>
      <c r="AL83" s="16"/>
      <c r="AM83" s="16"/>
      <c r="AN83" s="16"/>
      <c r="AO83" s="16"/>
      <c r="AP83" s="10"/>
      <c r="AQ83" s="10"/>
      <c r="AR83" s="10"/>
      <c r="AS83" s="10"/>
      <c r="AT83" s="10"/>
      <c r="AU83" s="10"/>
      <c r="AV83" s="10"/>
      <c r="AW83" s="10"/>
      <c r="AX83" s="10"/>
      <c r="AY83" s="10"/>
      <c r="AZ83" s="10"/>
      <c r="BA83" s="10"/>
      <c r="BB83" s="10"/>
      <c r="BC83" s="10"/>
      <c r="BD83" s="10"/>
      <c r="BE83" s="10"/>
      <c r="BF83" s="10"/>
      <c r="BG83" s="10"/>
      <c r="BH83" s="10"/>
      <c r="BI83" s="10"/>
      <c r="BJ83" s="10"/>
      <c r="BK83" s="10"/>
      <c r="BM83" s="10"/>
    </row>
    <row r="84" spans="1:65" ht="12.75">
      <c r="A84" s="18">
        <v>42005</v>
      </c>
      <c r="B84" s="14" t="s">
        <v>119</v>
      </c>
      <c r="C84" s="19">
        <v>4000000</v>
      </c>
      <c r="D84" s="22"/>
      <c r="E84" s="14" t="s">
        <v>45</v>
      </c>
      <c r="F84" s="14" t="s">
        <v>236</v>
      </c>
      <c r="G84" s="21" t="s">
        <v>237</v>
      </c>
      <c r="H84" s="14" t="str">
        <f t="array" ref="H84">IFERROR(INDEX([1]Companies!$G:$G,MATCH(B84,[1]Companies!$A:$A,0)),"")</f>
        <v>Kenya</v>
      </c>
      <c r="I84" s="14" t="str">
        <f t="shared" ref="I84:I88" si="141">IF(LEN(TRIM(H84))-LEN(SUBSTITUTE(TRIM(H84),",","")) &gt; 0,TRIM(RIGHT(H84,LEN(H84)-FIND(",",H84))),H84)</f>
        <v>Kenya</v>
      </c>
      <c r="J84" s="14" t="str">
        <f t="array" ref="J84">IFERROR(INDEX([1]Companies!$Y:$Y,MATCH(B84,[1]Companies!$A:$A,0)),"")</f>
        <v>Consumer Goods, Delivery, E-Commerce</v>
      </c>
      <c r="K84" s="14" t="str">
        <f t="array" ref="K84">IFERROR(INDEX([1]Companies!$X:$X,MATCH(B84,[1]Companies!$A:$A,0)),"")</f>
        <v>E-Commerce &amp; Retail</v>
      </c>
      <c r="L84" s="14" t="str">
        <f>VLOOKUP(B84,[1]Companies!$A$1:$C$5243,1,FALSE)</f>
        <v>Copia Global</v>
      </c>
      <c r="M84" s="15">
        <f t="shared" ref="M84:M88" si="142">COUNTA(B84:K84)/(COUNTBLANK(B84:K84) + COUNTA(B84:K84))</f>
        <v>0.9</v>
      </c>
      <c r="N84" s="10" t="str">
        <f t="shared" ref="N84:N88" si="143">CONCATENATE(A84,B84,C84)</f>
        <v>42005Copia Global4000000</v>
      </c>
      <c r="O84" s="14" t="str">
        <f t="shared" ref="O84:O88" si="144">IF(A84 = "","",IF(COUNTIF(N:N,CONCATENATE(A84,B84,C84))&gt;1,"Duplicated",""))</f>
        <v/>
      </c>
      <c r="P84" s="14">
        <f t="shared" ref="P84:P88" si="145">IF(C84="Undisclosed",0,1)</f>
        <v>1</v>
      </c>
      <c r="Q84" s="14">
        <f t="array" ref="Q84">IFERROR(INDEX([1]Companies!$D:$D,MATCH(B84,[1]Companies!$A:$A,0)),"")</f>
        <v>2012</v>
      </c>
      <c r="R84" s="17">
        <f t="shared" ref="R84:R88" si="146">SUMIF(B:B,B84,C:C)</f>
        <v>22000000</v>
      </c>
      <c r="S84" s="14">
        <f>VLOOKUP(I84,[1]Lookups!$V$3:$Y$197,4,FALSE)</f>
        <v>0</v>
      </c>
      <c r="T84" s="14" t="str">
        <f>VLOOKUP(E84,[1]Lookups!$H$3:$I$71,2,FALSE)</f>
        <v>2. Seed</v>
      </c>
      <c r="U84" s="14" t="str">
        <f>VLOOKUP(K84,[1]Lookups!$B$3:$C$142,2,FALSE)</f>
        <v>E-commerce &amp; Retail</v>
      </c>
      <c r="V84" s="14">
        <f t="shared" si="1"/>
        <v>2015</v>
      </c>
      <c r="W84" s="14">
        <f t="shared" si="2"/>
        <v>1</v>
      </c>
      <c r="X84" s="14">
        <f>VLOOKUP(W84,[1]Lookups!$P$3:$S$15,2,FALSE)</f>
        <v>1</v>
      </c>
      <c r="Y84" s="16">
        <f>VLOOKUP(W84,[1]Lookups!$P$3:$U$15,3,FALSE)</f>
        <v>1</v>
      </c>
      <c r="Z84" s="16">
        <f t="shared" si="3"/>
        <v>1</v>
      </c>
      <c r="AA84" s="16" t="str">
        <f t="shared" ref="AA84:AO99" ca="1" si="147">AS84</f>
        <v>DOB Equity</v>
      </c>
      <c r="AB84" s="16">
        <f t="shared" si="147"/>
        <v>0</v>
      </c>
      <c r="AC84" s="16">
        <f t="shared" si="147"/>
        <v>0</v>
      </c>
      <c r="AD84" s="16">
        <f t="shared" si="147"/>
        <v>0</v>
      </c>
      <c r="AE84" s="16">
        <f t="shared" si="147"/>
        <v>0</v>
      </c>
      <c r="AF84" s="16">
        <f t="shared" si="147"/>
        <v>0</v>
      </c>
      <c r="AG84" s="16">
        <f t="shared" si="147"/>
        <v>0</v>
      </c>
      <c r="AH84" s="16">
        <f t="shared" si="147"/>
        <v>0</v>
      </c>
      <c r="AI84" s="16">
        <f t="shared" si="147"/>
        <v>0</v>
      </c>
      <c r="AJ84" s="16">
        <f t="shared" si="147"/>
        <v>0</v>
      </c>
      <c r="AK84" s="16">
        <f t="shared" si="147"/>
        <v>0</v>
      </c>
      <c r="AL84" s="16">
        <f t="shared" si="147"/>
        <v>0</v>
      </c>
      <c r="AM84" s="16">
        <f t="shared" si="147"/>
        <v>0</v>
      </c>
      <c r="AN84" s="16">
        <f t="shared" si="147"/>
        <v>0</v>
      </c>
      <c r="AO84" s="16">
        <f t="shared" si="147"/>
        <v>0</v>
      </c>
      <c r="AP84" s="10"/>
      <c r="AQ84" s="10"/>
      <c r="AR84" s="10"/>
      <c r="AS84" s="10" t="str">
        <f t="shared" ref="AS84" ca="1" si="148">IFERROR(__xludf.DUMMYFUNCTION("split(F84,"","",true,true)"),"DOB Equity")</f>
        <v>DOB Equity</v>
      </c>
      <c r="AT84" s="10"/>
      <c r="AU84" s="10"/>
      <c r="AV84" s="10"/>
      <c r="AW84" s="10"/>
      <c r="AX84" s="10"/>
      <c r="AY84" s="10"/>
      <c r="AZ84" s="10"/>
      <c r="BA84" s="10"/>
      <c r="BB84" s="10"/>
      <c r="BC84" s="10"/>
      <c r="BD84" s="10"/>
      <c r="BE84" s="10"/>
      <c r="BF84" s="10"/>
      <c r="BG84" s="10"/>
      <c r="BH84" s="10"/>
      <c r="BI84" s="10"/>
      <c r="BJ84" s="10"/>
      <c r="BK84" s="10"/>
      <c r="BM84" s="10"/>
    </row>
    <row r="85" spans="1:65" ht="12.75">
      <c r="A85" s="9">
        <v>42007</v>
      </c>
      <c r="B85" s="10" t="s">
        <v>238</v>
      </c>
      <c r="C85" s="11">
        <v>200000</v>
      </c>
      <c r="D85" s="12"/>
      <c r="E85" s="10" t="s">
        <v>45</v>
      </c>
      <c r="F85" s="10" t="s">
        <v>239</v>
      </c>
      <c r="G85" s="13" t="s">
        <v>240</v>
      </c>
      <c r="H85" s="14" t="str">
        <f t="array" ref="H85">IFERROR(INDEX([1]Companies!$G:$G,MATCH(B85,[1]Companies!$A:$A,0)),"")</f>
        <v>South Africa</v>
      </c>
      <c r="I85" s="14" t="str">
        <f t="shared" si="141"/>
        <v>South Africa</v>
      </c>
      <c r="J85" s="14" t="str">
        <f t="array" ref="J85">IFERROR(INDEX([1]Companies!$Y:$Y,MATCH(B85,[1]Companies!$A:$A,0)),"")</f>
        <v>Collaborative Consumption, Logistics, Shipping</v>
      </c>
      <c r="K85" s="14" t="str">
        <f t="array" ref="K85">IFERROR(INDEX([1]Companies!$X:$X,MATCH(B85,[1]Companies!$A:$A,0)),"")</f>
        <v>Transport &amp; Logistics</v>
      </c>
      <c r="L85" s="14" t="str">
        <f>VLOOKUP(B85,[1]Companies!$A$1:$C$5243,1,FALSE)</f>
        <v>Fastvan</v>
      </c>
      <c r="M85" s="15">
        <f t="shared" si="142"/>
        <v>0.9</v>
      </c>
      <c r="N85" s="10" t="str">
        <f t="shared" si="143"/>
        <v>42007Fastvan200000</v>
      </c>
      <c r="O85" s="14" t="str">
        <f t="shared" si="144"/>
        <v/>
      </c>
      <c r="P85" s="14">
        <f t="shared" si="145"/>
        <v>1</v>
      </c>
      <c r="Q85" s="14">
        <f t="array" ref="Q85">IFERROR(INDEX([1]Companies!$D:$D,MATCH(B85,[1]Companies!$A:$A,0)),"")</f>
        <v>2015</v>
      </c>
      <c r="R85" s="17">
        <f t="shared" si="146"/>
        <v>700000</v>
      </c>
      <c r="S85" s="14">
        <f>VLOOKUP(I85,[1]Lookups!$V$3:$Y$197,4,FALSE)</f>
        <v>0</v>
      </c>
      <c r="T85" s="14" t="str">
        <f>VLOOKUP(E85,[1]Lookups!$H$3:$I$71,2,FALSE)</f>
        <v>2. Seed</v>
      </c>
      <c r="U85" s="14" t="str">
        <f>VLOOKUP(K85,[1]Lookups!$B$3:$C$142,2,FALSE)</f>
        <v>Transport &amp; Logistics</v>
      </c>
      <c r="V85" s="14">
        <f t="shared" si="1"/>
        <v>2015</v>
      </c>
      <c r="W85" s="14">
        <f t="shared" si="2"/>
        <v>1</v>
      </c>
      <c r="X85" s="14">
        <f>VLOOKUP(W85,[1]Lookups!$P$3:$S$15,2,FALSE)</f>
        <v>1</v>
      </c>
      <c r="Y85" s="16">
        <f>VLOOKUP(W85,[1]Lookups!$P$3:$U$15,3,FALSE)</f>
        <v>1</v>
      </c>
      <c r="Z85" s="16">
        <f t="shared" si="3"/>
        <v>1</v>
      </c>
      <c r="AA85" s="16" t="str">
        <f t="shared" ca="1" si="147"/>
        <v>DOB Equity</v>
      </c>
      <c r="AB85" s="16">
        <f t="shared" si="147"/>
        <v>0</v>
      </c>
      <c r="AC85" s="16">
        <f t="shared" si="147"/>
        <v>0</v>
      </c>
      <c r="AD85" s="16">
        <f t="shared" si="147"/>
        <v>0</v>
      </c>
      <c r="AE85" s="16">
        <f t="shared" si="147"/>
        <v>0</v>
      </c>
      <c r="AF85" s="16">
        <f t="shared" si="147"/>
        <v>0</v>
      </c>
      <c r="AG85" s="16">
        <f t="shared" si="147"/>
        <v>0</v>
      </c>
      <c r="AH85" s="16">
        <f t="shared" si="147"/>
        <v>0</v>
      </c>
      <c r="AI85" s="16">
        <f t="shared" si="147"/>
        <v>0</v>
      </c>
      <c r="AJ85" s="16">
        <f t="shared" si="147"/>
        <v>0</v>
      </c>
      <c r="AK85" s="16">
        <f t="shared" si="147"/>
        <v>0</v>
      </c>
      <c r="AL85" s="16">
        <f t="shared" si="147"/>
        <v>0</v>
      </c>
      <c r="AM85" s="16">
        <f t="shared" si="147"/>
        <v>0</v>
      </c>
      <c r="AN85" s="16">
        <f t="shared" si="147"/>
        <v>0</v>
      </c>
      <c r="AO85" s="16">
        <f t="shared" si="147"/>
        <v>0</v>
      </c>
      <c r="AP85" s="10"/>
      <c r="AQ85" s="10"/>
      <c r="AR85" s="10"/>
      <c r="AS85" s="10" t="str">
        <f t="shared" ref="AS85" ca="1" si="149">IFERROR(__xludf.DUMMYFUNCTION("split(F84,"","",true,true)"),"DOB Equity")</f>
        <v>DOB Equity</v>
      </c>
      <c r="AT85" s="10"/>
      <c r="AU85" s="10"/>
      <c r="AV85" s="10"/>
      <c r="AW85" s="10"/>
      <c r="AX85" s="10"/>
      <c r="AY85" s="10"/>
      <c r="AZ85" s="10"/>
      <c r="BA85" s="10"/>
      <c r="BB85" s="10"/>
      <c r="BC85" s="10"/>
      <c r="BD85" s="10"/>
      <c r="BE85" s="10"/>
      <c r="BF85" s="10"/>
      <c r="BG85" s="10"/>
      <c r="BH85" s="10"/>
      <c r="BI85" s="10"/>
      <c r="BJ85" s="10"/>
      <c r="BK85" s="10"/>
      <c r="BM85" s="10"/>
    </row>
    <row r="86" spans="1:65" ht="12.75">
      <c r="A86" s="18">
        <v>42010</v>
      </c>
      <c r="B86" s="14" t="s">
        <v>241</v>
      </c>
      <c r="C86" s="19">
        <v>50000000</v>
      </c>
      <c r="D86" s="19"/>
      <c r="E86" s="10" t="s">
        <v>91</v>
      </c>
      <c r="F86" s="14" t="s">
        <v>242</v>
      </c>
      <c r="G86" s="21" t="s">
        <v>243</v>
      </c>
      <c r="H86" s="14" t="str">
        <f t="array" ref="H86">IFERROR(INDEX([1]Companies!$G:$G,MATCH(B86,[1]Companies!$A:$A,0)),"")</f>
        <v>Kenya</v>
      </c>
      <c r="I86" s="14" t="str">
        <f t="shared" si="141"/>
        <v>Kenya</v>
      </c>
      <c r="J86" s="14" t="str">
        <f t="array" ref="J86">IFERROR(INDEX([1]Companies!$Y:$Y,MATCH(B86,[1]Companies!$A:$A,0)),"")</f>
        <v>Banking, Financial Services, Real Estate</v>
      </c>
      <c r="K86" s="14" t="str">
        <f t="array" ref="K86">IFERROR(INDEX([1]Companies!$X:$X,MATCH(B86,[1]Companies!$A:$A,0)),"")</f>
        <v>Financial Services</v>
      </c>
      <c r="L86" s="14" t="str">
        <f>VLOOKUP(B86,[1]Companies!$A$1:$C$5243,1,FALSE)</f>
        <v>Shelter Afrique</v>
      </c>
      <c r="M86" s="15">
        <f t="shared" si="142"/>
        <v>0.9</v>
      </c>
      <c r="N86" s="10" t="str">
        <f t="shared" si="143"/>
        <v>42010Shelter Afrique50000000</v>
      </c>
      <c r="O86" s="14" t="str">
        <f t="shared" si="144"/>
        <v/>
      </c>
      <c r="P86" s="14">
        <f t="shared" si="145"/>
        <v>1</v>
      </c>
      <c r="Q86" s="14">
        <f t="array" ref="Q86">IFERROR(INDEX([1]Companies!$D:$D,MATCH(B86,[1]Companies!$A:$A,0)),"")</f>
        <v>1982</v>
      </c>
      <c r="R86" s="17">
        <f t="shared" si="146"/>
        <v>50000000</v>
      </c>
      <c r="S86" s="14">
        <f>VLOOKUP(I86,[1]Lookups!$V$3:$Y$197,4,FALSE)</f>
        <v>0</v>
      </c>
      <c r="T86" s="14" t="str">
        <f>VLOOKUP(E86,[1]Lookups!$H$3:$I$71,2,FALSE)</f>
        <v>5. Debt Financing</v>
      </c>
      <c r="U86" s="14" t="str">
        <f>VLOOKUP(K86,[1]Lookups!$B$3:$C$142,2,FALSE)</f>
        <v>Financial Services</v>
      </c>
      <c r="V86" s="14">
        <f t="shared" si="1"/>
        <v>2015</v>
      </c>
      <c r="W86" s="14">
        <f t="shared" si="2"/>
        <v>1</v>
      </c>
      <c r="X86" s="14">
        <f>VLOOKUP(W86,[1]Lookups!$P$3:$S$15,2,FALSE)</f>
        <v>1</v>
      </c>
      <c r="Y86" s="16">
        <f>VLOOKUP(W86,[1]Lookups!$P$3:$U$15,3,FALSE)</f>
        <v>1</v>
      </c>
      <c r="Z86" s="16">
        <f t="shared" si="3"/>
        <v>1</v>
      </c>
      <c r="AA86" s="16" t="str">
        <f t="shared" ca="1" si="147"/>
        <v>DOB Equity</v>
      </c>
      <c r="AB86" s="16">
        <f t="shared" si="147"/>
        <v>0</v>
      </c>
      <c r="AC86" s="16">
        <f t="shared" si="147"/>
        <v>0</v>
      </c>
      <c r="AD86" s="16">
        <f t="shared" si="147"/>
        <v>0</v>
      </c>
      <c r="AE86" s="16">
        <f t="shared" si="147"/>
        <v>0</v>
      </c>
      <c r="AF86" s="16">
        <f t="shared" si="147"/>
        <v>0</v>
      </c>
      <c r="AG86" s="16">
        <f t="shared" si="147"/>
        <v>0</v>
      </c>
      <c r="AH86" s="16">
        <f t="shared" si="147"/>
        <v>0</v>
      </c>
      <c r="AI86" s="16">
        <f t="shared" si="147"/>
        <v>0</v>
      </c>
      <c r="AJ86" s="16">
        <f t="shared" si="147"/>
        <v>0</v>
      </c>
      <c r="AK86" s="16">
        <f t="shared" si="147"/>
        <v>0</v>
      </c>
      <c r="AL86" s="16">
        <f t="shared" si="147"/>
        <v>0</v>
      </c>
      <c r="AM86" s="16">
        <f t="shared" si="147"/>
        <v>0</v>
      </c>
      <c r="AN86" s="16">
        <f t="shared" si="147"/>
        <v>0</v>
      </c>
      <c r="AO86" s="16">
        <f t="shared" si="147"/>
        <v>0</v>
      </c>
      <c r="AP86" s="10"/>
      <c r="AQ86" s="10"/>
      <c r="AR86" s="10"/>
      <c r="AS86" s="10" t="str">
        <f t="shared" ref="AS86" ca="1" si="150">IFERROR(__xludf.DUMMYFUNCTION("split(F84,"","",true,true)"),"DOB Equity")</f>
        <v>DOB Equity</v>
      </c>
      <c r="AT86" s="10"/>
      <c r="AU86" s="10"/>
      <c r="AV86" s="10"/>
      <c r="AW86" s="10"/>
      <c r="AX86" s="10"/>
      <c r="AY86" s="10"/>
      <c r="AZ86" s="10"/>
      <c r="BA86" s="10"/>
      <c r="BB86" s="10"/>
      <c r="BC86" s="10"/>
      <c r="BD86" s="10"/>
      <c r="BE86" s="10"/>
      <c r="BF86" s="10"/>
      <c r="BG86" s="10"/>
      <c r="BH86" s="10"/>
      <c r="BI86" s="10"/>
      <c r="BJ86" s="10"/>
      <c r="BK86" s="10"/>
      <c r="BM86" s="10"/>
    </row>
    <row r="87" spans="1:65" ht="12.75">
      <c r="A87" s="9">
        <v>42019</v>
      </c>
      <c r="B87" s="10" t="s">
        <v>244</v>
      </c>
      <c r="C87" s="11" t="s">
        <v>49</v>
      </c>
      <c r="D87" s="12"/>
      <c r="E87" s="10" t="s">
        <v>45</v>
      </c>
      <c r="F87" s="10" t="s">
        <v>245</v>
      </c>
      <c r="G87" s="13" t="s">
        <v>246</v>
      </c>
      <c r="H87" s="14" t="str">
        <f t="array" ref="H87">IFERROR(INDEX([1]Companies!$G:$G,MATCH(B87,[1]Companies!$A:$A,0)),"")</f>
        <v>Rwanda</v>
      </c>
      <c r="I87" s="14" t="str">
        <f t="shared" si="141"/>
        <v>Rwanda</v>
      </c>
      <c r="J87" s="14" t="str">
        <f t="array" ref="J87">IFERROR(INDEX([1]Companies!$Y:$Y,MATCH(B87,[1]Companies!$A:$A,0)),"")</f>
        <v>Apps, Public Safety, Taxi Service, Transportation, Ride-hailing</v>
      </c>
      <c r="K87" s="14" t="str">
        <f t="array" ref="K87">IFERROR(INDEX([1]Companies!$X:$X,MATCH(B87,[1]Companies!$A:$A,0)),"")</f>
        <v>Transport &amp; Logistics</v>
      </c>
      <c r="L87" s="14" t="str">
        <f>VLOOKUP(B87,[1]Companies!$A$1:$C$5243,1,FALSE)</f>
        <v>CanGo</v>
      </c>
      <c r="M87" s="15">
        <f t="shared" si="142"/>
        <v>0.9</v>
      </c>
      <c r="N87" s="10" t="str">
        <f t="shared" si="143"/>
        <v>42019CanGoUndisclosed</v>
      </c>
      <c r="O87" s="14" t="str">
        <f t="shared" si="144"/>
        <v/>
      </c>
      <c r="P87" s="14">
        <f t="shared" si="145"/>
        <v>0</v>
      </c>
      <c r="Q87" s="14">
        <f t="array" ref="Q87">IFERROR(INDEX([1]Companies!$D:$D,MATCH(B87,[1]Companies!$A:$A,0)),"")</f>
        <v>2015</v>
      </c>
      <c r="R87" s="17">
        <f t="shared" si="146"/>
        <v>131000</v>
      </c>
      <c r="S87" s="14">
        <f>VLOOKUP(I87,[1]Lookups!$V$3:$Y$197,4,FALSE)</f>
        <v>0</v>
      </c>
      <c r="T87" s="14" t="str">
        <f>VLOOKUP(E87,[1]Lookups!$H$3:$I$71,2,FALSE)</f>
        <v>2. Seed</v>
      </c>
      <c r="U87" s="14" t="str">
        <f>VLOOKUP(K87,[1]Lookups!$B$3:$C$142,2,FALSE)</f>
        <v>Transport &amp; Logistics</v>
      </c>
      <c r="V87" s="14">
        <f t="shared" si="1"/>
        <v>2015</v>
      </c>
      <c r="W87" s="14">
        <f t="shared" si="2"/>
        <v>1</v>
      </c>
      <c r="X87" s="14">
        <f>VLOOKUP(W87,[1]Lookups!$P$3:$S$15,2,FALSE)</f>
        <v>1</v>
      </c>
      <c r="Y87" s="16">
        <f>VLOOKUP(W87,[1]Lookups!$P$3:$U$15,3,FALSE)</f>
        <v>1</v>
      </c>
      <c r="Z87" s="16">
        <f t="shared" si="3"/>
        <v>2</v>
      </c>
      <c r="AA87" s="16" t="str">
        <f t="shared" ca="1" si="147"/>
        <v>DOB Equity</v>
      </c>
      <c r="AB87" s="16" t="str">
        <f t="shared" ca="1" si="147"/>
        <v xml:space="preserve"> Carma Axlr8r</v>
      </c>
      <c r="AC87" s="16">
        <f t="shared" si="147"/>
        <v>0</v>
      </c>
      <c r="AD87" s="16">
        <f t="shared" si="147"/>
        <v>0</v>
      </c>
      <c r="AE87" s="16">
        <f t="shared" si="147"/>
        <v>0</v>
      </c>
      <c r="AF87" s="16">
        <f t="shared" si="147"/>
        <v>0</v>
      </c>
      <c r="AG87" s="16">
        <f t="shared" si="147"/>
        <v>0</v>
      </c>
      <c r="AH87" s="16">
        <f t="shared" si="147"/>
        <v>0</v>
      </c>
      <c r="AI87" s="16">
        <f t="shared" si="147"/>
        <v>0</v>
      </c>
      <c r="AJ87" s="16">
        <f t="shared" si="147"/>
        <v>0</v>
      </c>
      <c r="AK87" s="16">
        <f t="shared" si="147"/>
        <v>0</v>
      </c>
      <c r="AL87" s="16">
        <f t="shared" si="147"/>
        <v>0</v>
      </c>
      <c r="AM87" s="16">
        <f t="shared" si="147"/>
        <v>0</v>
      </c>
      <c r="AN87" s="16">
        <f t="shared" si="147"/>
        <v>0</v>
      </c>
      <c r="AO87" s="16">
        <f t="shared" si="147"/>
        <v>0</v>
      </c>
      <c r="AP87" s="10"/>
      <c r="AQ87" s="10"/>
      <c r="AR87" s="10"/>
      <c r="AS87" s="10" t="str">
        <f t="shared" ref="AS87" ca="1" si="151">IFERROR(__xludf.DUMMYFUNCTION("split(F84,"","",true,true)"),"DOB Equity")</f>
        <v>DOB Equity</v>
      </c>
      <c r="AT87" s="10" t="str">
        <f ca="1">IFERROR(__xludf.DUMMYFUNCTION("""COMPUTED_VALUE""")," Carma Axlr8r")</f>
        <v xml:space="preserve"> Carma Axlr8r</v>
      </c>
      <c r="AU87" s="10"/>
      <c r="AV87" s="10"/>
      <c r="AW87" s="10"/>
      <c r="AX87" s="10"/>
      <c r="AY87" s="10"/>
      <c r="AZ87" s="10"/>
      <c r="BA87" s="10"/>
      <c r="BB87" s="10"/>
      <c r="BC87" s="10"/>
      <c r="BD87" s="10"/>
      <c r="BE87" s="10"/>
      <c r="BF87" s="10"/>
      <c r="BG87" s="10"/>
      <c r="BH87" s="10"/>
      <c r="BI87" s="10"/>
      <c r="BJ87" s="10"/>
      <c r="BK87" s="10"/>
      <c r="BM87" s="10"/>
    </row>
    <row r="88" spans="1:65" ht="12.75">
      <c r="A88" s="18">
        <v>42019</v>
      </c>
      <c r="B88" s="14" t="s">
        <v>247</v>
      </c>
      <c r="C88" s="19">
        <v>1100000</v>
      </c>
      <c r="D88" s="19"/>
      <c r="E88" s="14" t="s">
        <v>69</v>
      </c>
      <c r="F88" s="14" t="s">
        <v>248</v>
      </c>
      <c r="G88" s="13" t="s">
        <v>249</v>
      </c>
      <c r="H88" s="14" t="str">
        <f t="array" ref="H88">IFERROR(INDEX([1]Companies!$G:$G,MATCH(B88,[1]Companies!$A:$A,0)),"")</f>
        <v>Rwanda</v>
      </c>
      <c r="I88" s="14" t="str">
        <f t="shared" si="141"/>
        <v>Rwanda</v>
      </c>
      <c r="J88" s="14" t="str">
        <f t="array" ref="J88">IFERROR(INDEX([1]Companies!$Y:$Y,MATCH(B88,[1]Companies!$A:$A,0)),"")</f>
        <v>Health Care, Social Entrepreneurship, Water</v>
      </c>
      <c r="K88" s="14" t="str">
        <f t="array" ref="K88">IFERROR(INDEX([1]Companies!$X:$X,MATCH(B88,[1]Companies!$A:$A,0)),"")</f>
        <v>Utilities and Telecommunication Services</v>
      </c>
      <c r="L88" s="14" t="str">
        <f>VLOOKUP(B88,[1]Companies!$A$1:$C$5243,1,FALSE)</f>
        <v>Jibu</v>
      </c>
      <c r="M88" s="15">
        <f t="shared" si="142"/>
        <v>0.9</v>
      </c>
      <c r="N88" s="10" t="str">
        <f t="shared" si="143"/>
        <v>42019Jibu1100000</v>
      </c>
      <c r="O88" s="14" t="str">
        <f t="shared" si="144"/>
        <v/>
      </c>
      <c r="P88" s="14">
        <f t="shared" si="145"/>
        <v>1</v>
      </c>
      <c r="Q88" s="14">
        <f t="array" ref="Q88">IFERROR(INDEX([1]Companies!$D:$D,MATCH(B88,[1]Companies!$A:$A,0)),"")</f>
        <v>2012</v>
      </c>
      <c r="R88" s="17">
        <f t="shared" si="146"/>
        <v>8100000</v>
      </c>
      <c r="S88" s="14">
        <f>VLOOKUP(I88,[1]Lookups!$V$3:$Y$197,4,FALSE)</f>
        <v>0</v>
      </c>
      <c r="T88" s="14" t="str">
        <f>VLOOKUP(E88,[1]Lookups!$H$3:$I$71,2,FALSE)</f>
        <v>3. Early Venture</v>
      </c>
      <c r="U88" s="14" t="str">
        <f>VLOOKUP(K88,[1]Lookups!$B$3:$C$142,2,FALSE)</f>
        <v>Other Technologies &amp; Information Technology</v>
      </c>
      <c r="V88" s="14">
        <f t="shared" si="1"/>
        <v>2015</v>
      </c>
      <c r="W88" s="14">
        <f t="shared" si="2"/>
        <v>1</v>
      </c>
      <c r="X88" s="14">
        <f>VLOOKUP(W88,[1]Lookups!$P$3:$S$15,2,FALSE)</f>
        <v>1</v>
      </c>
      <c r="Y88" s="16">
        <f>VLOOKUP(W88,[1]Lookups!$P$3:$U$15,3,FALSE)</f>
        <v>1</v>
      </c>
      <c r="Z88" s="16">
        <f t="shared" si="3"/>
        <v>1</v>
      </c>
      <c r="AA88" s="16" t="str">
        <f t="shared" ca="1" si="147"/>
        <v>DOB Equity</v>
      </c>
      <c r="AB88" s="16">
        <f t="shared" si="147"/>
        <v>0</v>
      </c>
      <c r="AC88" s="16">
        <f t="shared" si="147"/>
        <v>0</v>
      </c>
      <c r="AD88" s="16">
        <f t="shared" si="147"/>
        <v>0</v>
      </c>
      <c r="AE88" s="16">
        <f t="shared" si="147"/>
        <v>0</v>
      </c>
      <c r="AF88" s="16">
        <f t="shared" si="147"/>
        <v>0</v>
      </c>
      <c r="AG88" s="16">
        <f t="shared" si="147"/>
        <v>0</v>
      </c>
      <c r="AH88" s="16">
        <f t="shared" si="147"/>
        <v>0</v>
      </c>
      <c r="AI88" s="16">
        <f t="shared" si="147"/>
        <v>0</v>
      </c>
      <c r="AJ88" s="16">
        <f t="shared" si="147"/>
        <v>0</v>
      </c>
      <c r="AK88" s="16">
        <f t="shared" si="147"/>
        <v>0</v>
      </c>
      <c r="AL88" s="16">
        <f t="shared" si="147"/>
        <v>0</v>
      </c>
      <c r="AM88" s="16">
        <f t="shared" si="147"/>
        <v>0</v>
      </c>
      <c r="AN88" s="16">
        <f t="shared" si="147"/>
        <v>0</v>
      </c>
      <c r="AO88" s="16">
        <f t="shared" si="147"/>
        <v>0</v>
      </c>
      <c r="AP88" s="10"/>
      <c r="AQ88" s="10"/>
      <c r="AR88" s="10"/>
      <c r="AS88" s="10" t="str">
        <f t="shared" ref="AS88" ca="1" si="152">IFERROR(__xludf.DUMMYFUNCTION("split(F84,"","",true,true)"),"DOB Equity")</f>
        <v>DOB Equity</v>
      </c>
      <c r="AT88" s="10"/>
      <c r="AU88" s="10"/>
      <c r="AV88" s="10"/>
      <c r="AW88" s="10"/>
      <c r="AX88" s="10"/>
      <c r="AY88" s="10"/>
      <c r="AZ88" s="10"/>
      <c r="BA88" s="10"/>
      <c r="BB88" s="10"/>
      <c r="BC88" s="10"/>
      <c r="BD88" s="10"/>
      <c r="BE88" s="10"/>
      <c r="BF88" s="10"/>
      <c r="BG88" s="10"/>
      <c r="BH88" s="10"/>
      <c r="BI88" s="10"/>
      <c r="BJ88" s="10"/>
      <c r="BK88" s="10"/>
      <c r="BM88" s="10"/>
    </row>
    <row r="89" spans="1:65" ht="12.75">
      <c r="A89" s="9">
        <v>42033</v>
      </c>
      <c r="B89" s="10" t="s">
        <v>138</v>
      </c>
      <c r="C89" s="11">
        <v>2260000</v>
      </c>
      <c r="D89" s="12"/>
      <c r="E89" s="10" t="s">
        <v>69</v>
      </c>
      <c r="F89" s="10" t="s">
        <v>250</v>
      </c>
      <c r="G89" s="13" t="s">
        <v>251</v>
      </c>
      <c r="H89" s="14"/>
      <c r="I89" s="14"/>
      <c r="J89" s="14"/>
      <c r="K89" s="14"/>
      <c r="L89" s="14"/>
      <c r="M89" s="15"/>
      <c r="N89" s="10"/>
      <c r="O89" s="14"/>
      <c r="P89" s="14"/>
      <c r="Q89" s="14">
        <f t="array" ref="Q89">IFERROR(INDEX([1]Companies!$D:$D,MATCH(B89,[1]Companies!$A:$A,0)),"")</f>
        <v>2013</v>
      </c>
      <c r="R89" s="17"/>
      <c r="S89" s="14"/>
      <c r="T89" s="14"/>
      <c r="U89" s="14"/>
      <c r="V89" s="14">
        <f t="shared" si="1"/>
        <v>2015</v>
      </c>
      <c r="W89" s="14">
        <f t="shared" si="2"/>
        <v>1</v>
      </c>
      <c r="X89" s="14">
        <f>VLOOKUP(W89,[1]Lookups!$P$3:$S$15,2,FALSE)</f>
        <v>1</v>
      </c>
      <c r="Y89" s="16">
        <f>VLOOKUP(W89,[1]Lookups!$P$3:$U$15,3,FALSE)</f>
        <v>1</v>
      </c>
      <c r="Z89" s="16">
        <f t="shared" si="3"/>
        <v>2</v>
      </c>
      <c r="AA89" s="16" t="str">
        <f t="shared" ca="1" si="147"/>
        <v>DOB Equity</v>
      </c>
      <c r="AB89" s="16" t="str">
        <f t="shared" ca="1" si="147"/>
        <v xml:space="preserve"> Orange</v>
      </c>
      <c r="AC89" s="16">
        <f t="shared" si="147"/>
        <v>0</v>
      </c>
      <c r="AD89" s="16">
        <f t="shared" si="147"/>
        <v>0</v>
      </c>
      <c r="AE89" s="16">
        <f t="shared" si="147"/>
        <v>0</v>
      </c>
      <c r="AF89" s="16">
        <f t="shared" si="147"/>
        <v>0</v>
      </c>
      <c r="AG89" s="16">
        <f t="shared" si="147"/>
        <v>0</v>
      </c>
      <c r="AH89" s="16">
        <f t="shared" si="147"/>
        <v>0</v>
      </c>
      <c r="AI89" s="16">
        <f t="shared" si="147"/>
        <v>0</v>
      </c>
      <c r="AJ89" s="16">
        <f t="shared" si="147"/>
        <v>0</v>
      </c>
      <c r="AK89" s="16">
        <f t="shared" si="147"/>
        <v>0</v>
      </c>
      <c r="AL89" s="16">
        <f t="shared" si="147"/>
        <v>0</v>
      </c>
      <c r="AM89" s="16">
        <f t="shared" si="147"/>
        <v>0</v>
      </c>
      <c r="AN89" s="16">
        <f t="shared" si="147"/>
        <v>0</v>
      </c>
      <c r="AO89" s="16">
        <f t="shared" si="147"/>
        <v>0</v>
      </c>
      <c r="AP89" s="10"/>
      <c r="AQ89" s="10"/>
      <c r="AR89" s="10"/>
      <c r="AS89" s="10" t="str">
        <f t="shared" ref="AS89" ca="1" si="153">IFERROR(__xludf.DUMMYFUNCTION("split(F84,"","",true,true)"),"DOB Equity")</f>
        <v>DOB Equity</v>
      </c>
      <c r="AT89" s="10" t="str">
        <f ca="1">IFERROR(__xludf.DUMMYFUNCTION("""COMPUTED_VALUE""")," Orange")</f>
        <v xml:space="preserve"> Orange</v>
      </c>
      <c r="AU89" s="10"/>
      <c r="AV89" s="10"/>
      <c r="AW89" s="10"/>
      <c r="AX89" s="10"/>
      <c r="AY89" s="10"/>
      <c r="AZ89" s="10"/>
      <c r="BA89" s="10"/>
      <c r="BB89" s="10"/>
      <c r="BC89" s="10"/>
      <c r="BD89" s="10"/>
      <c r="BE89" s="10"/>
      <c r="BF89" s="10"/>
      <c r="BG89" s="10"/>
      <c r="BH89" s="10"/>
      <c r="BI89" s="10"/>
      <c r="BJ89" s="10"/>
      <c r="BK89" s="10"/>
      <c r="BM89" s="10"/>
    </row>
    <row r="90" spans="1:65" ht="12.75">
      <c r="A90" s="9">
        <v>42034</v>
      </c>
      <c r="B90" s="10" t="s">
        <v>157</v>
      </c>
      <c r="C90" s="11">
        <v>780000</v>
      </c>
      <c r="D90" s="12"/>
      <c r="E90" s="10" t="s">
        <v>45</v>
      </c>
      <c r="F90" s="10" t="s">
        <v>49</v>
      </c>
      <c r="G90" s="13" t="s">
        <v>252</v>
      </c>
      <c r="H90" s="14" t="str">
        <f t="array" ref="H90">IFERROR(INDEX([1]Companies!$G:$G,MATCH(B90,[1]Companies!$A:$A,0)),"")</f>
        <v>Uganda</v>
      </c>
      <c r="I90" s="14" t="str">
        <f t="shared" ref="I90:I96" si="154">IF(LEN(TRIM(H90))-LEN(SUBSTITUTE(TRIM(H90),",","")) &gt; 0,TRIM(RIGHT(H90,LEN(H90)-FIND(",",H90))),H90)</f>
        <v>Uganda</v>
      </c>
      <c r="J90" s="14" t="str">
        <f t="array" ref="J90">IFERROR(INDEX([1]Companies!$Y:$Y,MATCH(B90,[1]Companies!$A:$A,0)),"")</f>
        <v>Car Sharing, Financial Services, Web Development, Asset Financing, Boda Boda</v>
      </c>
      <c r="K90" s="14" t="str">
        <f t="array" ref="K90">IFERROR(INDEX([1]Companies!$X:$X,MATCH(B90,[1]Companies!$A:$A,0)),"")</f>
        <v>Financial Services</v>
      </c>
      <c r="L90" s="14" t="str">
        <f>VLOOKUP(B90,[1]Companies!$A$1:$C$5243,1,FALSE)</f>
        <v>Tugende</v>
      </c>
      <c r="M90" s="15">
        <f t="shared" ref="M90:M96" si="155">COUNTA(B90:K90)/(COUNTBLANK(B90:K90) + COUNTA(B90:K90))</f>
        <v>0.9</v>
      </c>
      <c r="N90" s="10" t="str">
        <f t="shared" ref="N90:N96" si="156">CONCATENATE(A90,B90,C90)</f>
        <v>42034Tugende780000</v>
      </c>
      <c r="O90" s="14" t="str">
        <f t="shared" ref="O90:O96" si="157">IF(A90 = "","",IF(COUNTIF(N:N,CONCATENATE(A90,B90,C90))&gt;1,"Duplicated",""))</f>
        <v/>
      </c>
      <c r="P90" s="14">
        <f t="shared" ref="P90:P96" si="158">IF(C90="Undisclosed",0,1)</f>
        <v>1</v>
      </c>
      <c r="Q90" s="14">
        <f t="array" ref="Q90">IFERROR(INDEX([1]Companies!$D:$D,MATCH(B90,[1]Companies!$A:$A,0)),"")</f>
        <v>2012</v>
      </c>
      <c r="R90" s="17">
        <f t="shared" ref="R90:R96" si="159">SUMIF(B:B,B90,C:C)</f>
        <v>11080000</v>
      </c>
      <c r="S90" s="14">
        <f>VLOOKUP(I90,[1]Lookups!$V$3:$Y$197,4,FALSE)</f>
        <v>0</v>
      </c>
      <c r="T90" s="14" t="str">
        <f>VLOOKUP(E90,[1]Lookups!$H$3:$I$71,2,FALSE)</f>
        <v>2. Seed</v>
      </c>
      <c r="U90" s="14" t="str">
        <f>VLOOKUP(K90,[1]Lookups!$B$3:$C$142,2,FALSE)</f>
        <v>Financial Services</v>
      </c>
      <c r="V90" s="14">
        <f t="shared" si="1"/>
        <v>2015</v>
      </c>
      <c r="W90" s="14">
        <f t="shared" si="2"/>
        <v>1</v>
      </c>
      <c r="X90" s="14">
        <f>VLOOKUP(W90,[1]Lookups!$P$3:$S$15,2,FALSE)</f>
        <v>1</v>
      </c>
      <c r="Y90" s="16">
        <f>VLOOKUP(W90,[1]Lookups!$P$3:$U$15,3,FALSE)</f>
        <v>1</v>
      </c>
      <c r="Z90" s="16">
        <f t="shared" si="3"/>
        <v>1</v>
      </c>
      <c r="AA90" s="16" t="str">
        <f t="shared" ca="1" si="147"/>
        <v>DOB Equity</v>
      </c>
      <c r="AB90" s="16">
        <f t="shared" si="147"/>
        <v>0</v>
      </c>
      <c r="AC90" s="16">
        <f t="shared" si="147"/>
        <v>0</v>
      </c>
      <c r="AD90" s="16">
        <f t="shared" si="147"/>
        <v>0</v>
      </c>
      <c r="AE90" s="16">
        <f t="shared" si="147"/>
        <v>0</v>
      </c>
      <c r="AF90" s="16">
        <f t="shared" si="147"/>
        <v>0</v>
      </c>
      <c r="AG90" s="16">
        <f t="shared" si="147"/>
        <v>0</v>
      </c>
      <c r="AH90" s="16">
        <f t="shared" si="147"/>
        <v>0</v>
      </c>
      <c r="AI90" s="16">
        <f t="shared" si="147"/>
        <v>0</v>
      </c>
      <c r="AJ90" s="16">
        <f t="shared" si="147"/>
        <v>0</v>
      </c>
      <c r="AK90" s="16">
        <f t="shared" si="147"/>
        <v>0</v>
      </c>
      <c r="AL90" s="16">
        <f t="shared" si="147"/>
        <v>0</v>
      </c>
      <c r="AM90" s="16">
        <f t="shared" si="147"/>
        <v>0</v>
      </c>
      <c r="AN90" s="16">
        <f t="shared" si="147"/>
        <v>0</v>
      </c>
      <c r="AO90" s="16">
        <f t="shared" si="147"/>
        <v>0</v>
      </c>
      <c r="AP90" s="10"/>
      <c r="AQ90" s="10"/>
      <c r="AR90" s="10"/>
      <c r="AS90" s="10" t="str">
        <f t="shared" ref="AS90" ca="1" si="160">IFERROR(__xludf.DUMMYFUNCTION("split(F84,"","",true,true)"),"DOB Equity")</f>
        <v>DOB Equity</v>
      </c>
      <c r="AT90" s="10"/>
      <c r="AU90" s="10"/>
      <c r="AV90" s="10"/>
      <c r="AW90" s="10"/>
      <c r="AX90" s="10"/>
      <c r="AY90" s="10"/>
      <c r="AZ90" s="10"/>
      <c r="BA90" s="10"/>
      <c r="BB90" s="10"/>
      <c r="BC90" s="10"/>
      <c r="BD90" s="10"/>
      <c r="BE90" s="10"/>
      <c r="BF90" s="10"/>
      <c r="BG90" s="10"/>
      <c r="BH90" s="10"/>
      <c r="BI90" s="10"/>
      <c r="BJ90" s="10"/>
      <c r="BK90" s="10"/>
      <c r="BM90" s="10"/>
    </row>
    <row r="91" spans="1:65" ht="12.75">
      <c r="A91" s="9">
        <v>42037</v>
      </c>
      <c r="B91" s="10" t="s">
        <v>68</v>
      </c>
      <c r="C91" s="11">
        <v>12500000</v>
      </c>
      <c r="D91" s="12"/>
      <c r="E91" s="10" t="s">
        <v>161</v>
      </c>
      <c r="F91" s="10" t="s">
        <v>253</v>
      </c>
      <c r="G91" s="13" t="s">
        <v>254</v>
      </c>
      <c r="H91" s="14" t="str">
        <f t="array" ref="H91">IFERROR(INDEX([1]Companies!$G:$G,MATCH(B91,[1]Companies!$A:$A,0)),"")</f>
        <v>Kenya</v>
      </c>
      <c r="I91" s="14" t="str">
        <f t="shared" si="154"/>
        <v>Kenya</v>
      </c>
      <c r="J91" s="14" t="str">
        <f t="array" ref="J91">IFERROR(INDEX([1]Companies!$Y:$Y,MATCH(B91,[1]Companies!$A:$A,0)),"")</f>
        <v>Energy, Financial Services, Mobile</v>
      </c>
      <c r="K91" s="14" t="str">
        <f t="array" ref="K91">IFERROR(INDEX([1]Companies!$X:$X,MATCH(B91,[1]Companies!$A:$A,0)),"")</f>
        <v>Energy &amp; Environment Resources</v>
      </c>
      <c r="L91" s="14" t="str">
        <f>VLOOKUP(B91,[1]Companies!$A$1:$C$5243,1,FALSE)</f>
        <v>M-Kopa</v>
      </c>
      <c r="M91" s="15">
        <f t="shared" si="155"/>
        <v>0.9</v>
      </c>
      <c r="N91" s="10" t="str">
        <f t="shared" si="156"/>
        <v>42037M-KOPA12500000</v>
      </c>
      <c r="O91" s="14" t="str">
        <f t="shared" si="157"/>
        <v/>
      </c>
      <c r="P91" s="14">
        <f t="shared" si="158"/>
        <v>1</v>
      </c>
      <c r="Q91" s="14">
        <f t="array" ref="Q91">IFERROR(INDEX([1]Companies!$D:$D,MATCH(B91,[1]Companies!$A:$A,0)),"")</f>
        <v>2011</v>
      </c>
      <c r="R91" s="17">
        <f t="shared" si="159"/>
        <v>161800000</v>
      </c>
      <c r="S91" s="14">
        <f>VLOOKUP(I91,[1]Lookups!$V$3:$Y$197,4,FALSE)</f>
        <v>0</v>
      </c>
      <c r="T91" s="14" t="str">
        <f>VLOOKUP(E91,[1]Lookups!$H$3:$I$71,2,FALSE)</f>
        <v>4. Late Venture</v>
      </c>
      <c r="U91" s="14" t="e">
        <f>VLOOKUP(K91,[1]Lookups!$B$3:$C$142,2,FALSE)</f>
        <v>#N/A</v>
      </c>
      <c r="V91" s="14">
        <f t="shared" si="1"/>
        <v>2015</v>
      </c>
      <c r="W91" s="14">
        <f t="shared" si="2"/>
        <v>2</v>
      </c>
      <c r="X91" s="14">
        <f>VLOOKUP(W91,[1]Lookups!$P$3:$S$15,2,FALSE)</f>
        <v>1</v>
      </c>
      <c r="Y91" s="16">
        <f>VLOOKUP(W91,[1]Lookups!$P$3:$U$15,3,FALSE)</f>
        <v>1</v>
      </c>
      <c r="Z91" s="16">
        <f t="shared" si="3"/>
        <v>4</v>
      </c>
      <c r="AA91" s="16" t="str">
        <f t="shared" ca="1" si="147"/>
        <v>DOB Equity</v>
      </c>
      <c r="AB91" s="16" t="str">
        <f t="shared" ca="1" si="147"/>
        <v xml:space="preserve"> Blue Haven Initiative</v>
      </c>
      <c r="AC91" s="16" t="str">
        <f t="shared" ca="1" si="147"/>
        <v xml:space="preserve"> LGT Venture Philanthropy</v>
      </c>
      <c r="AD91" s="16" t="str">
        <f t="shared" ca="1" si="147"/>
        <v xml:space="preserve"> Lundin Foundation</v>
      </c>
      <c r="AE91" s="16">
        <f t="shared" si="147"/>
        <v>0</v>
      </c>
      <c r="AF91" s="16">
        <f t="shared" si="147"/>
        <v>0</v>
      </c>
      <c r="AG91" s="16">
        <f t="shared" si="147"/>
        <v>0</v>
      </c>
      <c r="AH91" s="16">
        <f t="shared" si="147"/>
        <v>0</v>
      </c>
      <c r="AI91" s="16">
        <f t="shared" si="147"/>
        <v>0</v>
      </c>
      <c r="AJ91" s="16">
        <f t="shared" si="147"/>
        <v>0</v>
      </c>
      <c r="AK91" s="16">
        <f t="shared" si="147"/>
        <v>0</v>
      </c>
      <c r="AL91" s="16">
        <f t="shared" si="147"/>
        <v>0</v>
      </c>
      <c r="AM91" s="16">
        <f t="shared" si="147"/>
        <v>0</v>
      </c>
      <c r="AN91" s="16">
        <f t="shared" si="147"/>
        <v>0</v>
      </c>
      <c r="AO91" s="16">
        <f t="shared" si="147"/>
        <v>0</v>
      </c>
      <c r="AP91" s="10"/>
      <c r="AQ91" s="10"/>
      <c r="AR91" s="10"/>
      <c r="AS91" s="10" t="str">
        <f t="shared" ref="AS91" ca="1" si="161">IFERROR(__xludf.DUMMYFUNCTION("split(F84,"","",true,true)"),"DOB Equity")</f>
        <v>DOB Equity</v>
      </c>
      <c r="AT91" s="10" t="str">
        <f ca="1">IFERROR(__xludf.DUMMYFUNCTION("""COMPUTED_VALUE""")," Blue Haven Initiative")</f>
        <v xml:space="preserve"> Blue Haven Initiative</v>
      </c>
      <c r="AU91" s="10" t="str">
        <f ca="1">IFERROR(__xludf.DUMMYFUNCTION("""COMPUTED_VALUE""")," LGT Venture Philanthropy")</f>
        <v xml:space="preserve"> LGT Venture Philanthropy</v>
      </c>
      <c r="AV91" s="10" t="str">
        <f ca="1">IFERROR(__xludf.DUMMYFUNCTION("""COMPUTED_VALUE""")," Lundin Foundation")</f>
        <v xml:space="preserve"> Lundin Foundation</v>
      </c>
      <c r="AW91" s="10"/>
      <c r="AX91" s="10"/>
      <c r="AY91" s="10"/>
      <c r="AZ91" s="10"/>
      <c r="BA91" s="10"/>
      <c r="BB91" s="10"/>
      <c r="BC91" s="10"/>
      <c r="BD91" s="10"/>
      <c r="BE91" s="10"/>
      <c r="BF91" s="10"/>
      <c r="BG91" s="10"/>
      <c r="BH91" s="10"/>
      <c r="BI91" s="10"/>
      <c r="BJ91" s="10"/>
      <c r="BK91" s="10"/>
      <c r="BM91" s="10"/>
    </row>
    <row r="92" spans="1:65" ht="12.75">
      <c r="A92" s="9">
        <v>42044</v>
      </c>
      <c r="B92" s="10" t="s">
        <v>204</v>
      </c>
      <c r="C92" s="11">
        <v>1100000</v>
      </c>
      <c r="D92" s="12"/>
      <c r="E92" s="14" t="s">
        <v>45</v>
      </c>
      <c r="F92" s="10" t="s">
        <v>255</v>
      </c>
      <c r="G92" s="13" t="s">
        <v>256</v>
      </c>
      <c r="H92" s="14" t="str">
        <f t="array" ref="H92">IFERROR(INDEX([1]Companies!$G:$G,MATCH(B92,[1]Companies!$A:$A,0)),"")</f>
        <v>Kenya</v>
      </c>
      <c r="I92" s="14" t="str">
        <f t="shared" si="154"/>
        <v>Kenya</v>
      </c>
      <c r="J92" s="14" t="str">
        <f t="array" ref="J92">IFERROR(INDEX([1]Companies!$Y:$Y,MATCH(B92,[1]Companies!$A:$A,0)),"")</f>
        <v>Blockchain, Cryptocurrencies, Exchange, Fintech</v>
      </c>
      <c r="K92" s="14" t="str">
        <f t="array" ref="K92">IFERROR(INDEX([1]Companies!$X:$X,MATCH(B92,[1]Companies!$A:$A,0)),"")</f>
        <v>Financial Services</v>
      </c>
      <c r="L92" s="14" t="str">
        <f>VLOOKUP(B92,[1]Companies!$A$1:$C$5243,1,FALSE)</f>
        <v>Bitpesa</v>
      </c>
      <c r="M92" s="15">
        <f t="shared" si="155"/>
        <v>0.9</v>
      </c>
      <c r="N92" s="10" t="str">
        <f t="shared" si="156"/>
        <v>42044BitPesa1100000</v>
      </c>
      <c r="O92" s="14" t="str">
        <f t="shared" si="157"/>
        <v/>
      </c>
      <c r="P92" s="14">
        <f t="shared" si="158"/>
        <v>1</v>
      </c>
      <c r="Q92" s="14">
        <f t="array" ref="Q92">IFERROR(INDEX([1]Companies!$D:$D,MATCH(B92,[1]Companies!$A:$A,0)),"")</f>
        <v>2013</v>
      </c>
      <c r="R92" s="17">
        <f t="shared" si="159"/>
        <v>14970000</v>
      </c>
      <c r="S92" s="14">
        <f>VLOOKUP(I92,[1]Lookups!$V$3:$Y$197,4,FALSE)</f>
        <v>0</v>
      </c>
      <c r="T92" s="14" t="str">
        <f>VLOOKUP(E92,[1]Lookups!$H$3:$I$71,2,FALSE)</f>
        <v>2. Seed</v>
      </c>
      <c r="U92" s="14" t="str">
        <f>VLOOKUP(K92,[1]Lookups!$B$3:$C$142,2,FALSE)</f>
        <v>Financial Services</v>
      </c>
      <c r="V92" s="14">
        <f t="shared" si="1"/>
        <v>2015</v>
      </c>
      <c r="W92" s="14">
        <f t="shared" si="2"/>
        <v>2</v>
      </c>
      <c r="X92" s="14">
        <f>VLOOKUP(W92,[1]Lookups!$P$3:$S$15,2,FALSE)</f>
        <v>1</v>
      </c>
      <c r="Y92" s="16">
        <f>VLOOKUP(W92,[1]Lookups!$P$3:$U$15,3,FALSE)</f>
        <v>1</v>
      </c>
      <c r="Z92" s="16">
        <f t="shared" si="3"/>
        <v>6</v>
      </c>
      <c r="AA92" s="16" t="str">
        <f t="shared" ca="1" si="147"/>
        <v>DOB Equity</v>
      </c>
      <c r="AB92" s="16" t="str">
        <f t="shared" ca="1" si="147"/>
        <v xml:space="preserve"> Pantera Capital</v>
      </c>
      <c r="AC92" s="16" t="str">
        <f t="shared" ca="1" si="147"/>
        <v xml:space="preserve"> Future Perfect Ventures</v>
      </c>
      <c r="AD92" s="16" t="str">
        <f t="shared" ca="1" si="147"/>
        <v xml:space="preserve"> Digital Currency Group</v>
      </c>
      <c r="AE92" s="16" t="str">
        <f t="shared" ca="1" si="147"/>
        <v xml:space="preserve"> Colle Capital Partners</v>
      </c>
      <c r="AF92" s="16" t="str">
        <f t="shared" ca="1" si="147"/>
        <v xml:space="preserve"> Blockchain Capital</v>
      </c>
      <c r="AG92" s="16">
        <f t="shared" si="147"/>
        <v>0</v>
      </c>
      <c r="AH92" s="16">
        <f t="shared" si="147"/>
        <v>0</v>
      </c>
      <c r="AI92" s="16">
        <f t="shared" si="147"/>
        <v>0</v>
      </c>
      <c r="AJ92" s="16">
        <f t="shared" si="147"/>
        <v>0</v>
      </c>
      <c r="AK92" s="16">
        <f t="shared" si="147"/>
        <v>0</v>
      </c>
      <c r="AL92" s="16">
        <f t="shared" si="147"/>
        <v>0</v>
      </c>
      <c r="AM92" s="16">
        <f t="shared" si="147"/>
        <v>0</v>
      </c>
      <c r="AN92" s="16">
        <f t="shared" si="147"/>
        <v>0</v>
      </c>
      <c r="AO92" s="16">
        <f t="shared" si="147"/>
        <v>0</v>
      </c>
      <c r="AP92" s="10"/>
      <c r="AQ92" s="10"/>
      <c r="AR92" s="10"/>
      <c r="AS92" s="10" t="str">
        <f t="shared" ref="AS92" ca="1" si="162">IFERROR(__xludf.DUMMYFUNCTION("split(F84,"","",true,true)"),"DOB Equity")</f>
        <v>DOB Equity</v>
      </c>
      <c r="AT92" s="10" t="str">
        <f ca="1">IFERROR(__xludf.DUMMYFUNCTION("""COMPUTED_VALUE""")," Pantera Capital")</f>
        <v xml:space="preserve"> Pantera Capital</v>
      </c>
      <c r="AU92" s="10" t="str">
        <f ca="1">IFERROR(__xludf.DUMMYFUNCTION("""COMPUTED_VALUE""")," Future Perfect Ventures")</f>
        <v xml:space="preserve"> Future Perfect Ventures</v>
      </c>
      <c r="AV92" s="10" t="str">
        <f ca="1">IFERROR(__xludf.DUMMYFUNCTION("""COMPUTED_VALUE""")," Digital Currency Group")</f>
        <v xml:space="preserve"> Digital Currency Group</v>
      </c>
      <c r="AW92" s="10" t="str">
        <f ca="1">IFERROR(__xludf.DUMMYFUNCTION("""COMPUTED_VALUE""")," Colle Capital Partners")</f>
        <v xml:space="preserve"> Colle Capital Partners</v>
      </c>
      <c r="AX92" s="10" t="str">
        <f ca="1">IFERROR(__xludf.DUMMYFUNCTION("""COMPUTED_VALUE""")," Blockchain Capital")</f>
        <v xml:space="preserve"> Blockchain Capital</v>
      </c>
      <c r="AY92" s="10"/>
      <c r="AZ92" s="10"/>
      <c r="BA92" s="10"/>
      <c r="BB92" s="10"/>
      <c r="BC92" s="10"/>
      <c r="BD92" s="10"/>
      <c r="BE92" s="10"/>
      <c r="BF92" s="10"/>
      <c r="BG92" s="10"/>
      <c r="BH92" s="10"/>
      <c r="BI92" s="10"/>
      <c r="BJ92" s="10"/>
      <c r="BK92" s="10"/>
      <c r="BM92" s="10"/>
    </row>
    <row r="93" spans="1:65" ht="12.75">
      <c r="A93" s="18">
        <v>42051</v>
      </c>
      <c r="B93" s="14" t="s">
        <v>164</v>
      </c>
      <c r="C93" s="19">
        <v>2600000</v>
      </c>
      <c r="D93" s="19"/>
      <c r="E93" s="14" t="s">
        <v>45</v>
      </c>
      <c r="F93" s="14" t="s">
        <v>257</v>
      </c>
      <c r="G93" s="13" t="s">
        <v>258</v>
      </c>
      <c r="H93" s="14" t="str">
        <f t="array" ref="H93">IFERROR(INDEX([1]Companies!$G:$G,MATCH(B93,[1]Companies!$A:$A,0)),"")</f>
        <v>Nigeria</v>
      </c>
      <c r="I93" s="14" t="str">
        <f t="shared" si="154"/>
        <v>Nigeria</v>
      </c>
      <c r="J93" s="14" t="str">
        <f t="array" ref="J93">IFERROR(INDEX([1]Companies!$Y:$Y,MATCH(B93,[1]Companies!$A:$A,0)),"")</f>
        <v>Freight Service, Logistics, Packaging Services</v>
      </c>
      <c r="K93" s="14" t="str">
        <f t="array" ref="K93">IFERROR(INDEX([1]Companies!$X:$X,MATCH(B93,[1]Companies!$A:$A,0)),"")</f>
        <v>Transport &amp; Logistics</v>
      </c>
      <c r="L93" s="14" t="str">
        <f>VLOOKUP(B93,[1]Companies!$A$1:$C$5243,1,FALSE)</f>
        <v>Africa Courier Express</v>
      </c>
      <c r="M93" s="15">
        <f t="shared" si="155"/>
        <v>0.9</v>
      </c>
      <c r="N93" s="10" t="str">
        <f t="shared" si="156"/>
        <v>42051Africa Courier Express2600000</v>
      </c>
      <c r="O93" s="14" t="str">
        <f t="shared" si="157"/>
        <v/>
      </c>
      <c r="P93" s="14">
        <f t="shared" si="158"/>
        <v>1</v>
      </c>
      <c r="Q93" s="14">
        <f t="array" ref="Q93">IFERROR(INDEX([1]Companies!$D:$D,MATCH(B93,[1]Companies!$A:$A,0)),"")</f>
        <v>2013</v>
      </c>
      <c r="R93" s="17">
        <f t="shared" si="159"/>
        <v>3315000</v>
      </c>
      <c r="S93" s="14">
        <f>VLOOKUP(I93,[1]Lookups!$V$3:$Y$197,4,FALSE)</f>
        <v>0</v>
      </c>
      <c r="T93" s="14" t="str">
        <f>VLOOKUP(E93,[1]Lookups!$H$3:$I$71,2,FALSE)</f>
        <v>2. Seed</v>
      </c>
      <c r="U93" s="14" t="str">
        <f>VLOOKUP(K93,[1]Lookups!$B$3:$C$142,2,FALSE)</f>
        <v>Transport &amp; Logistics</v>
      </c>
      <c r="V93" s="14">
        <f t="shared" si="1"/>
        <v>2015</v>
      </c>
      <c r="W93" s="14">
        <f t="shared" si="2"/>
        <v>2</v>
      </c>
      <c r="X93" s="14">
        <f>VLOOKUP(W93,[1]Lookups!$P$3:$S$15,2,FALSE)</f>
        <v>1</v>
      </c>
      <c r="Y93" s="16">
        <f>VLOOKUP(W93,[1]Lookups!$P$3:$U$15,3,FALSE)</f>
        <v>1</v>
      </c>
      <c r="Z93" s="16">
        <f t="shared" si="3"/>
        <v>3</v>
      </c>
      <c r="AA93" s="16" t="str">
        <f t="shared" ca="1" si="147"/>
        <v>DOB Equity</v>
      </c>
      <c r="AB93" s="16" t="str">
        <f t="shared" ca="1" si="147"/>
        <v xml:space="preserve"> Interswitch</v>
      </c>
      <c r="AC93" s="16" t="str">
        <f t="shared" ca="1" si="147"/>
        <v xml:space="preserve"> CRE Venture Capital</v>
      </c>
      <c r="AD93" s="16">
        <f t="shared" si="147"/>
        <v>0</v>
      </c>
      <c r="AE93" s="16">
        <f t="shared" si="147"/>
        <v>0</v>
      </c>
      <c r="AF93" s="16">
        <f t="shared" si="147"/>
        <v>0</v>
      </c>
      <c r="AG93" s="16">
        <f t="shared" si="147"/>
        <v>0</v>
      </c>
      <c r="AH93" s="16">
        <f t="shared" si="147"/>
        <v>0</v>
      </c>
      <c r="AI93" s="16">
        <f t="shared" si="147"/>
        <v>0</v>
      </c>
      <c r="AJ93" s="16">
        <f t="shared" si="147"/>
        <v>0</v>
      </c>
      <c r="AK93" s="16">
        <f t="shared" si="147"/>
        <v>0</v>
      </c>
      <c r="AL93" s="16">
        <f t="shared" si="147"/>
        <v>0</v>
      </c>
      <c r="AM93" s="16">
        <f t="shared" si="147"/>
        <v>0</v>
      </c>
      <c r="AN93" s="16">
        <f t="shared" si="147"/>
        <v>0</v>
      </c>
      <c r="AO93" s="16">
        <f t="shared" si="147"/>
        <v>0</v>
      </c>
      <c r="AP93" s="10"/>
      <c r="AQ93" s="10"/>
      <c r="AR93" s="10"/>
      <c r="AS93" s="10" t="str">
        <f t="shared" ref="AS93" ca="1" si="163">IFERROR(__xludf.DUMMYFUNCTION("split(F84,"","",true,true)"),"DOB Equity")</f>
        <v>DOB Equity</v>
      </c>
      <c r="AT93" s="10" t="str">
        <f ca="1">IFERROR(__xludf.DUMMYFUNCTION("""COMPUTED_VALUE""")," Interswitch")</f>
        <v xml:space="preserve"> Interswitch</v>
      </c>
      <c r="AU93" s="10" t="str">
        <f ca="1">IFERROR(__xludf.DUMMYFUNCTION("""COMPUTED_VALUE""")," CRE Venture Capital")</f>
        <v xml:space="preserve"> CRE Venture Capital</v>
      </c>
      <c r="AV93" s="10"/>
      <c r="AW93" s="10"/>
      <c r="AX93" s="10"/>
      <c r="AY93" s="10"/>
      <c r="AZ93" s="10"/>
      <c r="BA93" s="10"/>
      <c r="BB93" s="10"/>
      <c r="BC93" s="10"/>
      <c r="BD93" s="10"/>
      <c r="BE93" s="10"/>
      <c r="BF93" s="10"/>
      <c r="BG93" s="10"/>
      <c r="BH93" s="10"/>
      <c r="BI93" s="10"/>
      <c r="BJ93" s="10"/>
      <c r="BK93" s="10"/>
      <c r="BM93" s="10"/>
    </row>
    <row r="94" spans="1:65" ht="12.75">
      <c r="A94" s="9">
        <v>42054</v>
      </c>
      <c r="B94" s="10" t="s">
        <v>259</v>
      </c>
      <c r="C94" s="11">
        <v>5000000</v>
      </c>
      <c r="D94" s="12"/>
      <c r="E94" s="10" t="s">
        <v>112</v>
      </c>
      <c r="F94" s="10" t="s">
        <v>260</v>
      </c>
      <c r="G94" s="13" t="s">
        <v>261</v>
      </c>
      <c r="H94" s="14" t="str">
        <f t="array" ref="H94">IFERROR(INDEX([1]Companies!$G:$G,MATCH(B94,[1]Companies!$A:$A,0)),"")</f>
        <v>Nigeria</v>
      </c>
      <c r="I94" s="14" t="str">
        <f t="shared" si="154"/>
        <v>Nigeria</v>
      </c>
      <c r="J94" s="14" t="str">
        <f t="array" ref="J94">IFERROR(INDEX([1]Companies!$Y:$Y,MATCH(B94,[1]Companies!$A:$A,0)),"")</f>
        <v>Internet, Local Business, Retail</v>
      </c>
      <c r="K94" s="14" t="str">
        <f t="array" ref="K94">IFERROR(INDEX([1]Companies!$X:$X,MATCH(B94,[1]Companies!$A:$A,0)),"")</f>
        <v>E-Commerce &amp; Retail</v>
      </c>
      <c r="L94" s="14" t="str">
        <f>VLOOKUP(B94,[1]Companies!$A$1:$C$5243,1,FALSE)</f>
        <v>DealDey Limited</v>
      </c>
      <c r="M94" s="15">
        <f t="shared" si="155"/>
        <v>0.9</v>
      </c>
      <c r="N94" s="10" t="str">
        <f t="shared" si="156"/>
        <v>42054DealDey Limited5000000</v>
      </c>
      <c r="O94" s="14" t="str">
        <f t="shared" si="157"/>
        <v/>
      </c>
      <c r="P94" s="14">
        <f t="shared" si="158"/>
        <v>1</v>
      </c>
      <c r="Q94" s="14">
        <f t="array" ref="Q94">IFERROR(INDEX([1]Companies!$D:$D,MATCH(B94,[1]Companies!$A:$A,0)),"")</f>
        <v>2011</v>
      </c>
      <c r="R94" s="17">
        <f t="shared" si="159"/>
        <v>5000000</v>
      </c>
      <c r="S94" s="14">
        <f>VLOOKUP(I94,[1]Lookups!$V$3:$Y$197,4,FALSE)</f>
        <v>0</v>
      </c>
      <c r="T94" s="14" t="str">
        <f>VLOOKUP(E94,[1]Lookups!$H$3:$I$71,2,FALSE)</f>
        <v>3. Early Venture</v>
      </c>
      <c r="U94" s="14" t="str">
        <f>VLOOKUP(K94,[1]Lookups!$B$3:$C$142,2,FALSE)</f>
        <v>E-commerce &amp; Retail</v>
      </c>
      <c r="V94" s="14">
        <f t="shared" si="1"/>
        <v>2015</v>
      </c>
      <c r="W94" s="14">
        <f t="shared" si="2"/>
        <v>2</v>
      </c>
      <c r="X94" s="14">
        <f>VLOOKUP(W94,[1]Lookups!$P$3:$S$15,2,FALSE)</f>
        <v>1</v>
      </c>
      <c r="Y94" s="16">
        <f>VLOOKUP(W94,[1]Lookups!$P$3:$U$15,3,FALSE)</f>
        <v>1</v>
      </c>
      <c r="Z94" s="16">
        <f t="shared" si="3"/>
        <v>2</v>
      </c>
      <c r="AA94" s="16" t="str">
        <f t="shared" ca="1" si="147"/>
        <v>DOB Equity</v>
      </c>
      <c r="AB94" s="16" t="str">
        <f t="shared" ca="1" si="147"/>
        <v xml:space="preserve"> Kinnevik AB</v>
      </c>
      <c r="AC94" s="16">
        <f t="shared" si="147"/>
        <v>0</v>
      </c>
      <c r="AD94" s="16">
        <f t="shared" si="147"/>
        <v>0</v>
      </c>
      <c r="AE94" s="16">
        <f t="shared" si="147"/>
        <v>0</v>
      </c>
      <c r="AF94" s="16">
        <f t="shared" si="147"/>
        <v>0</v>
      </c>
      <c r="AG94" s="16">
        <f t="shared" si="147"/>
        <v>0</v>
      </c>
      <c r="AH94" s="16">
        <f t="shared" si="147"/>
        <v>0</v>
      </c>
      <c r="AI94" s="16">
        <f t="shared" si="147"/>
        <v>0</v>
      </c>
      <c r="AJ94" s="16">
        <f t="shared" si="147"/>
        <v>0</v>
      </c>
      <c r="AK94" s="16">
        <f t="shared" si="147"/>
        <v>0</v>
      </c>
      <c r="AL94" s="16">
        <f t="shared" si="147"/>
        <v>0</v>
      </c>
      <c r="AM94" s="16">
        <f t="shared" si="147"/>
        <v>0</v>
      </c>
      <c r="AN94" s="16">
        <f t="shared" si="147"/>
        <v>0</v>
      </c>
      <c r="AO94" s="16">
        <f t="shared" si="147"/>
        <v>0</v>
      </c>
      <c r="AP94" s="10"/>
      <c r="AQ94" s="10"/>
      <c r="AR94" s="10"/>
      <c r="AS94" s="10" t="str">
        <f t="shared" ref="AS94" ca="1" si="164">IFERROR(__xludf.DUMMYFUNCTION("split(F84,"","",true,true)"),"DOB Equity")</f>
        <v>DOB Equity</v>
      </c>
      <c r="AT94" s="10" t="str">
        <f ca="1">IFERROR(__xludf.DUMMYFUNCTION("""COMPUTED_VALUE""")," Kinnevik AB")</f>
        <v xml:space="preserve"> Kinnevik AB</v>
      </c>
      <c r="AU94" s="10"/>
      <c r="AV94" s="10"/>
      <c r="AW94" s="10"/>
      <c r="AX94" s="10"/>
      <c r="AY94" s="10"/>
      <c r="AZ94" s="10"/>
      <c r="BA94" s="10"/>
      <c r="BB94" s="10"/>
      <c r="BC94" s="10"/>
      <c r="BD94" s="10"/>
      <c r="BE94" s="10"/>
      <c r="BF94" s="10"/>
      <c r="BG94" s="10"/>
      <c r="BH94" s="10"/>
      <c r="BI94" s="10"/>
      <c r="BJ94" s="10"/>
      <c r="BK94" s="10"/>
      <c r="BM94" s="10"/>
    </row>
    <row r="95" spans="1:65" ht="12.75">
      <c r="A95" s="9">
        <v>42055</v>
      </c>
      <c r="B95" s="10" t="s">
        <v>262</v>
      </c>
      <c r="C95" s="11" t="s">
        <v>49</v>
      </c>
      <c r="D95" s="12"/>
      <c r="E95" s="10" t="s">
        <v>51</v>
      </c>
      <c r="F95" s="10" t="s">
        <v>263</v>
      </c>
      <c r="G95" s="13" t="s">
        <v>264</v>
      </c>
      <c r="H95" s="14" t="str">
        <f t="array" ref="H95">IFERROR(INDEX([1]Companies!$G:$G,MATCH(B95,[1]Companies!$A:$A,0)),"")</f>
        <v>South Africa</v>
      </c>
      <c r="I95" s="14" t="str">
        <f t="shared" si="154"/>
        <v>South Africa</v>
      </c>
      <c r="J95" s="14" t="str">
        <f t="array" ref="J95">IFERROR(INDEX([1]Companies!$Y:$Y,MATCH(B95,[1]Companies!$A:$A,0)),"")</f>
        <v>Analytics, Big Data, Crowdsourcing, E-Commerce, Location Based Services, Mobile, Social Media</v>
      </c>
      <c r="K95" s="14" t="str">
        <f t="array" ref="K95">IFERROR(INDEX([1]Companies!$X:$X,MATCH(B95,[1]Companies!$A:$A,0)),"")</f>
        <v>Information Technology</v>
      </c>
      <c r="L95" s="14" t="str">
        <f>VLOOKUP(B95,[1]Companies!$A$1:$C$5243,1,FALSE)</f>
        <v>M4JAM</v>
      </c>
      <c r="M95" s="15">
        <f t="shared" si="155"/>
        <v>0.9</v>
      </c>
      <c r="N95" s="10" t="str">
        <f t="shared" si="156"/>
        <v>42055M4JAMUndisclosed</v>
      </c>
      <c r="O95" s="14" t="str">
        <f t="shared" si="157"/>
        <v/>
      </c>
      <c r="P95" s="14">
        <f t="shared" si="158"/>
        <v>0</v>
      </c>
      <c r="Q95" s="14">
        <f t="array" ref="Q95">IFERROR(INDEX([1]Companies!$D:$D,MATCH(B95,[1]Companies!$A:$A,0)),"")</f>
        <v>2014</v>
      </c>
      <c r="R95" s="17">
        <f t="shared" si="159"/>
        <v>0</v>
      </c>
      <c r="S95" s="14">
        <f>VLOOKUP(I95,[1]Lookups!$V$3:$Y$197,4,FALSE)</f>
        <v>0</v>
      </c>
      <c r="T95" s="14" t="str">
        <f>VLOOKUP(E95,[1]Lookups!$H$3:$I$71,2,FALSE)</f>
        <v>6. Private Equity</v>
      </c>
      <c r="U95" s="14" t="str">
        <f>VLOOKUP(K95,[1]Lookups!$B$3:$C$142,2,FALSE)</f>
        <v>Other Technologies &amp; Information Technology</v>
      </c>
      <c r="V95" s="14">
        <f t="shared" si="1"/>
        <v>2015</v>
      </c>
      <c r="W95" s="14">
        <f t="shared" si="2"/>
        <v>2</v>
      </c>
      <c r="X95" s="14">
        <f>VLOOKUP(W95,[1]Lookups!$P$3:$S$15,2,FALSE)</f>
        <v>1</v>
      </c>
      <c r="Y95" s="16">
        <f>VLOOKUP(W95,[1]Lookups!$P$3:$U$15,3,FALSE)</f>
        <v>1</v>
      </c>
      <c r="Z95" s="16">
        <f t="shared" si="3"/>
        <v>2</v>
      </c>
      <c r="AA95" s="16" t="str">
        <f t="shared" ca="1" si="147"/>
        <v>DOB Equity</v>
      </c>
      <c r="AB95" s="16" t="str">
        <f t="shared" ca="1" si="147"/>
        <v xml:space="preserve"> Naspers</v>
      </c>
      <c r="AC95" s="16">
        <f t="shared" si="147"/>
        <v>0</v>
      </c>
      <c r="AD95" s="16">
        <f t="shared" si="147"/>
        <v>0</v>
      </c>
      <c r="AE95" s="16">
        <f t="shared" si="147"/>
        <v>0</v>
      </c>
      <c r="AF95" s="16">
        <f t="shared" si="147"/>
        <v>0</v>
      </c>
      <c r="AG95" s="16">
        <f t="shared" si="147"/>
        <v>0</v>
      </c>
      <c r="AH95" s="16">
        <f t="shared" si="147"/>
        <v>0</v>
      </c>
      <c r="AI95" s="16">
        <f t="shared" si="147"/>
        <v>0</v>
      </c>
      <c r="AJ95" s="16">
        <f t="shared" si="147"/>
        <v>0</v>
      </c>
      <c r="AK95" s="16">
        <f t="shared" si="147"/>
        <v>0</v>
      </c>
      <c r="AL95" s="16">
        <f t="shared" si="147"/>
        <v>0</v>
      </c>
      <c r="AM95" s="16">
        <f t="shared" si="147"/>
        <v>0</v>
      </c>
      <c r="AN95" s="16">
        <f t="shared" si="147"/>
        <v>0</v>
      </c>
      <c r="AO95" s="16">
        <f t="shared" si="147"/>
        <v>0</v>
      </c>
      <c r="AP95" s="10"/>
      <c r="AQ95" s="10"/>
      <c r="AR95" s="10"/>
      <c r="AS95" s="10" t="str">
        <f t="shared" ref="AS95" ca="1" si="165">IFERROR(__xludf.DUMMYFUNCTION("split(F84,"","",true,true)"),"DOB Equity")</f>
        <v>DOB Equity</v>
      </c>
      <c r="AT95" s="10" t="str">
        <f ca="1">IFERROR(__xludf.DUMMYFUNCTION("""COMPUTED_VALUE""")," Naspers")</f>
        <v xml:space="preserve"> Naspers</v>
      </c>
      <c r="AU95" s="10"/>
      <c r="AV95" s="10"/>
      <c r="AW95" s="10"/>
      <c r="AX95" s="10"/>
      <c r="AY95" s="10"/>
      <c r="AZ95" s="10"/>
      <c r="BA95" s="10"/>
      <c r="BB95" s="10"/>
      <c r="BC95" s="10"/>
      <c r="BD95" s="10"/>
      <c r="BE95" s="10"/>
      <c r="BF95" s="10"/>
      <c r="BG95" s="10"/>
      <c r="BH95" s="10"/>
      <c r="BI95" s="10"/>
      <c r="BJ95" s="10"/>
      <c r="BK95" s="10"/>
      <c r="BM95" s="10"/>
    </row>
    <row r="96" spans="1:65" ht="12.75">
      <c r="A96" s="9">
        <v>42076</v>
      </c>
      <c r="B96" s="10" t="s">
        <v>265</v>
      </c>
      <c r="C96" s="11" t="s">
        <v>49</v>
      </c>
      <c r="D96" s="12"/>
      <c r="E96" s="14" t="s">
        <v>45</v>
      </c>
      <c r="F96" s="10" t="s">
        <v>266</v>
      </c>
      <c r="G96" s="13" t="s">
        <v>267</v>
      </c>
      <c r="H96" s="14" t="str">
        <f t="array" ref="H96">IFERROR(INDEX([1]Companies!$G:$G,MATCH(B96,[1]Companies!$A:$A,0)),"")</f>
        <v>Nigeria</v>
      </c>
      <c r="I96" s="14" t="str">
        <f t="shared" si="154"/>
        <v>Nigeria</v>
      </c>
      <c r="J96" s="14" t="str">
        <f t="array" ref="J96">IFERROR(INDEX([1]Companies!$Y:$Y,MATCH(B96,[1]Companies!$A:$A,0)),"")</f>
        <v>Company Information, Data Analysis, Business Development, Investment Research, Company Profiling, News &amp; Analysis, Due Diligence, Africa, Market Research, private equity, and African Data</v>
      </c>
      <c r="K96" s="14" t="str">
        <f t="array" ref="K96">IFERROR(INDEX([1]Companies!$X:$X,MATCH(B96,[1]Companies!$A:$A,0)),"")</f>
        <v>Media &amp; Entertainment</v>
      </c>
      <c r="L96" s="14" t="str">
        <f>VLOOKUP(B96,[1]Companies!$A$1:$C$5243,1,FALSE)</f>
        <v>Asoko Insight</v>
      </c>
      <c r="M96" s="15">
        <f t="shared" si="155"/>
        <v>0.9</v>
      </c>
      <c r="N96" s="10" t="str">
        <f t="shared" si="156"/>
        <v>42076Asoko InsightUndisclosed</v>
      </c>
      <c r="O96" s="14" t="str">
        <f t="shared" si="157"/>
        <v/>
      </c>
      <c r="P96" s="14">
        <f t="shared" si="158"/>
        <v>0</v>
      </c>
      <c r="Q96" s="14">
        <f t="array" ref="Q96">IFERROR(INDEX([1]Companies!$D:$D,MATCH(B96,[1]Companies!$A:$A,0)),"")</f>
        <v>2014</v>
      </c>
      <c r="R96" s="17">
        <f t="shared" si="159"/>
        <v>8000000</v>
      </c>
      <c r="S96" s="14">
        <f>VLOOKUP(I96,[1]Lookups!$V$3:$Y$197,4,FALSE)</f>
        <v>0</v>
      </c>
      <c r="T96" s="14" t="str">
        <f>VLOOKUP(E96,[1]Lookups!$H$3:$I$71,2,FALSE)</f>
        <v>2. Seed</v>
      </c>
      <c r="U96" s="14" t="str">
        <f>VLOOKUP(K96,[1]Lookups!$B$3:$C$142,2,FALSE)</f>
        <v>Media &amp; Entertainment</v>
      </c>
      <c r="V96" s="14">
        <f t="shared" si="1"/>
        <v>2015</v>
      </c>
      <c r="W96" s="14">
        <f t="shared" si="2"/>
        <v>3</v>
      </c>
      <c r="X96" s="14">
        <f>VLOOKUP(W96,[1]Lookups!$P$3:$S$15,2,FALSE)</f>
        <v>1</v>
      </c>
      <c r="Y96" s="16">
        <f>VLOOKUP(W96,[1]Lookups!$P$3:$U$15,3,FALSE)</f>
        <v>1</v>
      </c>
      <c r="Z96" s="16">
        <f t="shared" si="3"/>
        <v>1</v>
      </c>
      <c r="AA96" s="16" t="str">
        <f t="shared" ca="1" si="147"/>
        <v>DOB Equity</v>
      </c>
      <c r="AB96" s="16">
        <f t="shared" si="147"/>
        <v>0</v>
      </c>
      <c r="AC96" s="16">
        <f t="shared" si="147"/>
        <v>0</v>
      </c>
      <c r="AD96" s="16">
        <f t="shared" si="147"/>
        <v>0</v>
      </c>
      <c r="AE96" s="16">
        <f t="shared" si="147"/>
        <v>0</v>
      </c>
      <c r="AF96" s="16">
        <f t="shared" si="147"/>
        <v>0</v>
      </c>
      <c r="AG96" s="16">
        <f t="shared" si="147"/>
        <v>0</v>
      </c>
      <c r="AH96" s="16">
        <f t="shared" si="147"/>
        <v>0</v>
      </c>
      <c r="AI96" s="16">
        <f t="shared" si="147"/>
        <v>0</v>
      </c>
      <c r="AJ96" s="16">
        <f t="shared" si="147"/>
        <v>0</v>
      </c>
      <c r="AK96" s="16">
        <f t="shared" si="147"/>
        <v>0</v>
      </c>
      <c r="AL96" s="16">
        <f t="shared" si="147"/>
        <v>0</v>
      </c>
      <c r="AM96" s="16">
        <f t="shared" si="147"/>
        <v>0</v>
      </c>
      <c r="AN96" s="16">
        <f t="shared" si="147"/>
        <v>0</v>
      </c>
      <c r="AO96" s="16">
        <f t="shared" si="147"/>
        <v>0</v>
      </c>
      <c r="AP96" s="10"/>
      <c r="AQ96" s="10"/>
      <c r="AR96" s="10"/>
      <c r="AS96" s="10" t="str">
        <f t="shared" ref="AS96:AS97" ca="1" si="166">IFERROR(__xludf.DUMMYFUNCTION("split(F84,"","",true,true)"),"DOB Equity")</f>
        <v>DOB Equity</v>
      </c>
      <c r="AT96" s="10"/>
      <c r="AU96" s="10"/>
      <c r="AV96" s="10"/>
      <c r="AW96" s="10"/>
      <c r="AX96" s="10"/>
      <c r="AY96" s="10"/>
      <c r="AZ96" s="10"/>
      <c r="BA96" s="10"/>
      <c r="BB96" s="10"/>
      <c r="BC96" s="10"/>
      <c r="BD96" s="10"/>
      <c r="BE96" s="10"/>
      <c r="BF96" s="10"/>
      <c r="BG96" s="10"/>
      <c r="BH96" s="10"/>
      <c r="BI96" s="10"/>
      <c r="BJ96" s="10"/>
      <c r="BK96" s="10"/>
      <c r="BM96" s="10"/>
    </row>
    <row r="97" spans="1:65" ht="12.75">
      <c r="A97" s="9">
        <v>42081</v>
      </c>
      <c r="B97" s="10" t="s">
        <v>54</v>
      </c>
      <c r="C97" s="11">
        <v>10000000</v>
      </c>
      <c r="D97" s="12"/>
      <c r="E97" s="10" t="s">
        <v>161</v>
      </c>
      <c r="F97" s="10" t="s">
        <v>268</v>
      </c>
      <c r="G97" s="13" t="s">
        <v>269</v>
      </c>
      <c r="H97" s="14"/>
      <c r="I97" s="14"/>
      <c r="J97" s="14"/>
      <c r="K97" s="14"/>
      <c r="L97" s="14"/>
      <c r="M97" s="15"/>
      <c r="N97" s="10"/>
      <c r="O97" s="14"/>
      <c r="P97" s="14"/>
      <c r="Q97" s="14"/>
      <c r="R97" s="14"/>
      <c r="S97" s="14"/>
      <c r="T97" s="14"/>
      <c r="U97" s="14"/>
      <c r="V97" s="14">
        <f t="shared" si="1"/>
        <v>2015</v>
      </c>
      <c r="W97" s="14">
        <f t="shared" si="2"/>
        <v>3</v>
      </c>
      <c r="X97" s="14">
        <f>VLOOKUP(W97,[1]Lookups!$P$3:$S$15,2,FALSE)</f>
        <v>1</v>
      </c>
      <c r="Y97" s="16">
        <f>VLOOKUP(W97,[1]Lookups!$P$3:$U$15,3,FALSE)</f>
        <v>1</v>
      </c>
      <c r="Z97" s="16">
        <f t="shared" si="3"/>
        <v>4</v>
      </c>
      <c r="AA97" s="16" t="str">
        <f t="shared" ca="1" si="147"/>
        <v>DOB Equity</v>
      </c>
      <c r="AB97" s="16" t="str">
        <f t="shared" ca="1" si="147"/>
        <v xml:space="preserve"> Omidyar Network</v>
      </c>
      <c r="AC97" s="16" t="str">
        <f t="shared" ca="1" si="147"/>
        <v xml:space="preserve"> The Pershing Square Foundation</v>
      </c>
      <c r="AD97" s="16" t="str">
        <f t="shared" ca="1" si="147"/>
        <v xml:space="preserve"> World Bank
</v>
      </c>
      <c r="AE97" s="16">
        <f t="shared" si="147"/>
        <v>0</v>
      </c>
      <c r="AF97" s="16">
        <f t="shared" si="147"/>
        <v>0</v>
      </c>
      <c r="AG97" s="16">
        <f t="shared" si="147"/>
        <v>0</v>
      </c>
      <c r="AH97" s="16">
        <f t="shared" si="147"/>
        <v>0</v>
      </c>
      <c r="AI97" s="16">
        <f t="shared" si="147"/>
        <v>0</v>
      </c>
      <c r="AJ97" s="16">
        <f t="shared" si="147"/>
        <v>0</v>
      </c>
      <c r="AK97" s="16">
        <f t="shared" si="147"/>
        <v>0</v>
      </c>
      <c r="AL97" s="16">
        <f t="shared" si="147"/>
        <v>0</v>
      </c>
      <c r="AM97" s="16">
        <f t="shared" si="147"/>
        <v>0</v>
      </c>
      <c r="AN97" s="16">
        <f t="shared" si="147"/>
        <v>0</v>
      </c>
      <c r="AO97" s="16">
        <f t="shared" si="147"/>
        <v>0</v>
      </c>
      <c r="AP97" s="10"/>
      <c r="AQ97" s="10"/>
      <c r="AR97" s="10"/>
      <c r="AS97" s="10" t="str">
        <f t="shared" ca="1" si="166"/>
        <v>DOB Equity</v>
      </c>
      <c r="AT97" s="10" t="str">
        <f ca="1">IFERROR(__xludf.DUMMYFUNCTION("""COMPUTED_VALUE""")," Omidyar Network")</f>
        <v xml:space="preserve"> Omidyar Network</v>
      </c>
      <c r="AU97" s="10" t="str">
        <f ca="1">IFERROR(__xludf.DUMMYFUNCTION("""COMPUTED_VALUE""")," The Pershing Square Foundation")</f>
        <v xml:space="preserve"> The Pershing Square Foundation</v>
      </c>
      <c r="AV97" s="10" t="str">
        <f ca="1">IFERROR(__xludf.DUMMYFUNCTION("""COMPUTED_VALUE""")," World Bank
")</f>
        <v xml:space="preserve"> World Bank
</v>
      </c>
      <c r="AW97" s="10"/>
      <c r="AX97" s="10"/>
      <c r="AY97" s="10"/>
      <c r="AZ97" s="10"/>
      <c r="BA97" s="10"/>
      <c r="BB97" s="10"/>
      <c r="BC97" s="10"/>
      <c r="BD97" s="10"/>
      <c r="BE97" s="10"/>
      <c r="BF97" s="10"/>
      <c r="BG97" s="10"/>
      <c r="BH97" s="10"/>
      <c r="BI97" s="10"/>
      <c r="BJ97" s="10"/>
      <c r="BK97" s="10"/>
      <c r="BM97" s="10"/>
    </row>
    <row r="98" spans="1:65" ht="12.75">
      <c r="A98" s="18">
        <v>42102</v>
      </c>
      <c r="B98" s="14" t="s">
        <v>81</v>
      </c>
      <c r="C98" s="19">
        <v>41000000</v>
      </c>
      <c r="D98" s="19"/>
      <c r="E98" s="14" t="s">
        <v>84</v>
      </c>
      <c r="F98" s="14" t="s">
        <v>270</v>
      </c>
      <c r="G98" s="21" t="s">
        <v>83</v>
      </c>
      <c r="H98" s="14" t="str">
        <f t="array" ref="H98">IFERROR(INDEX([1]Companies!$G:$G,MATCH(B98,[1]Companies!$A:$A,0)),"")</f>
        <v>Nigeria</v>
      </c>
      <c r="I98" s="14" t="str">
        <f t="shared" ref="I98:I99" si="167">IF(LEN(TRIM(H98))-LEN(SUBSTITUTE(TRIM(H98),",","")) &gt; 0,TRIM(RIGHT(H98,LEN(H98)-FIND(",",H98))),H98)</f>
        <v>Nigeria</v>
      </c>
      <c r="J98" s="14" t="str">
        <f t="array" ref="J98">IFERROR(INDEX([1]Companies!$Y:$Y,MATCH(B98,[1]Companies!$A:$A,0)),"")</f>
        <v>Retail, E-Commerce, Customer Service, Delivery Service, Online Shopping</v>
      </c>
      <c r="K98" s="14" t="str">
        <f t="array" ref="K98">IFERROR(INDEX([1]Companies!$X:$X,MATCH(B98,[1]Companies!$A:$A,0)),"")</f>
        <v>E-Commerce &amp; Retail</v>
      </c>
      <c r="L98" s="14" t="str">
        <f>VLOOKUP(B98,[1]Companies!$A$1:$C$5243,1,FALSE)</f>
        <v>Konga</v>
      </c>
      <c r="M98" s="15">
        <f t="shared" ref="M98:M99" si="168">COUNTA(B98:K98)/(COUNTBLANK(B98:K98) + COUNTA(B98:K98))</f>
        <v>0.9</v>
      </c>
      <c r="N98" s="10" t="str">
        <f t="shared" ref="N98:N99" si="169">CONCATENATE(A98,B98,C98)</f>
        <v>42102Konga41000000</v>
      </c>
      <c r="O98" s="14" t="str">
        <f t="shared" ref="O98:O99" si="170">IF(A98 = "","",IF(COUNTIF(N:N,CONCATENATE(A98,B98,C98))&gt;1,"Duplicated",""))</f>
        <v/>
      </c>
      <c r="P98" s="14">
        <f t="shared" ref="P98:P99" si="171">IF(C98="Undisclosed",0,1)</f>
        <v>1</v>
      </c>
      <c r="Q98" s="14">
        <f t="array" ref="Q98">IFERROR(INDEX([1]Companies!$D:$D,MATCH(B98,[1]Companies!$A:$A,0)),"")</f>
        <v>2012</v>
      </c>
      <c r="R98" s="17">
        <f t="shared" ref="R98:R99" si="172">SUMIF(B:B,B98,C:C)</f>
        <v>79500000</v>
      </c>
      <c r="S98" s="14">
        <f>VLOOKUP(I98,[1]Lookups!$V$3:$Y$197,4,FALSE)</f>
        <v>0</v>
      </c>
      <c r="T98" s="14" t="str">
        <f>VLOOKUP(E98,[1]Lookups!$H$3:$I$71,2,FALSE)</f>
        <v>4. Late Venture</v>
      </c>
      <c r="U98" s="14" t="str">
        <f>VLOOKUP(K98,[1]Lookups!$B$3:$C$142,2,FALSE)</f>
        <v>E-commerce &amp; Retail</v>
      </c>
      <c r="V98" s="14">
        <f t="shared" si="1"/>
        <v>2015</v>
      </c>
      <c r="W98" s="14">
        <f t="shared" si="2"/>
        <v>4</v>
      </c>
      <c r="X98" s="14">
        <f>VLOOKUP(W98,[1]Lookups!$P$3:$S$15,2,FALSE)</f>
        <v>2</v>
      </c>
      <c r="Y98" s="16">
        <f>VLOOKUP(W98,[1]Lookups!$P$3:$U$15,3,FALSE)</f>
        <v>1</v>
      </c>
      <c r="Z98" s="16">
        <f t="shared" si="3"/>
        <v>1</v>
      </c>
      <c r="AA98" s="16" t="str">
        <f t="shared" ca="1" si="147"/>
        <v>DOB Equity</v>
      </c>
      <c r="AB98" s="16">
        <f t="shared" si="147"/>
        <v>0</v>
      </c>
      <c r="AC98" s="16">
        <f t="shared" si="147"/>
        <v>0</v>
      </c>
      <c r="AD98" s="16">
        <f t="shared" si="147"/>
        <v>0</v>
      </c>
      <c r="AE98" s="16">
        <f t="shared" si="147"/>
        <v>0</v>
      </c>
      <c r="AF98" s="16">
        <f t="shared" si="147"/>
        <v>0</v>
      </c>
      <c r="AG98" s="16">
        <f t="shared" si="147"/>
        <v>0</v>
      </c>
      <c r="AH98" s="16">
        <f t="shared" si="147"/>
        <v>0</v>
      </c>
      <c r="AI98" s="16">
        <f t="shared" si="147"/>
        <v>0</v>
      </c>
      <c r="AJ98" s="16">
        <f t="shared" si="147"/>
        <v>0</v>
      </c>
      <c r="AK98" s="16">
        <f t="shared" si="147"/>
        <v>0</v>
      </c>
      <c r="AL98" s="16">
        <f t="shared" si="147"/>
        <v>0</v>
      </c>
      <c r="AM98" s="16">
        <f t="shared" si="147"/>
        <v>0</v>
      </c>
      <c r="AN98" s="16">
        <f t="shared" si="147"/>
        <v>0</v>
      </c>
      <c r="AO98" s="16">
        <f t="shared" si="147"/>
        <v>0</v>
      </c>
      <c r="AP98" s="10"/>
      <c r="AQ98" s="10"/>
      <c r="AR98" s="10"/>
      <c r="AS98" s="10" t="str">
        <f t="shared" ref="AS98" ca="1" si="173">IFERROR(__xludf.DUMMYFUNCTION("split(F84,"","",true,true)"),"DOB Equity")</f>
        <v>DOB Equity</v>
      </c>
      <c r="AT98" s="10"/>
      <c r="AU98" s="10"/>
      <c r="AV98" s="10"/>
      <c r="AW98" s="10"/>
      <c r="AX98" s="10"/>
      <c r="AY98" s="10"/>
      <c r="AZ98" s="10"/>
      <c r="BA98" s="10"/>
      <c r="BB98" s="10"/>
      <c r="BC98" s="10"/>
      <c r="BD98" s="10"/>
      <c r="BE98" s="10"/>
      <c r="BF98" s="10"/>
      <c r="BG98" s="10"/>
      <c r="BH98" s="10"/>
      <c r="BI98" s="10"/>
      <c r="BJ98" s="10"/>
      <c r="BK98" s="10"/>
      <c r="BM98" s="10"/>
    </row>
    <row r="99" spans="1:65" ht="12.75">
      <c r="A99" s="18">
        <v>42104</v>
      </c>
      <c r="B99" s="14" t="s">
        <v>133</v>
      </c>
      <c r="C99" s="19">
        <v>10000000</v>
      </c>
      <c r="D99" s="19"/>
      <c r="E99" s="14" t="s">
        <v>271</v>
      </c>
      <c r="F99" s="14" t="s">
        <v>134</v>
      </c>
      <c r="G99" s="21" t="s">
        <v>272</v>
      </c>
      <c r="H99" s="14" t="str">
        <f t="array" ref="H99">IFERROR(INDEX([1]Companies!$G:$G,MATCH(B99,[1]Companies!$A:$A,0)),"")</f>
        <v>South Africa</v>
      </c>
      <c r="I99" s="14" t="str">
        <f t="shared" si="167"/>
        <v>South Africa</v>
      </c>
      <c r="J99" s="14" t="str">
        <f t="array" ref="J99">IFERROR(INDEX([1]Companies!$Y:$Y,MATCH(B99,[1]Companies!$A:$A,0)),"")</f>
        <v>Advertising, Employment, Internet, Marketplace, Travel</v>
      </c>
      <c r="K99" s="14" t="str">
        <f t="array" ref="K99">IFERROR(INDEX([1]Companies!$X:$X,MATCH(B99,[1]Companies!$A:$A,0)),"")</f>
        <v>E-Commerce &amp; Retail</v>
      </c>
      <c r="L99" s="14" t="str">
        <f>VLOOKUP(B99,[1]Companies!$A$1:$C$5243,1,FALSE)</f>
        <v>One Africa Media</v>
      </c>
      <c r="M99" s="15">
        <f t="shared" si="168"/>
        <v>0.9</v>
      </c>
      <c r="N99" s="10" t="str">
        <f t="shared" si="169"/>
        <v>42104One Africa Media10000000</v>
      </c>
      <c r="O99" s="14" t="str">
        <f t="shared" si="170"/>
        <v/>
      </c>
      <c r="P99" s="14">
        <f t="shared" si="171"/>
        <v>1</v>
      </c>
      <c r="Q99" s="14">
        <f t="array" ref="Q99">IFERROR(INDEX([1]Companies!$D:$D,MATCH(B99,[1]Companies!$A:$A,0)),"")</f>
        <v>2012</v>
      </c>
      <c r="R99" s="17">
        <f t="shared" si="172"/>
        <v>30000000</v>
      </c>
      <c r="S99" s="14">
        <f>VLOOKUP(I99,[1]Lookups!$V$3:$Y$197,4,FALSE)</f>
        <v>0</v>
      </c>
      <c r="T99" s="14" t="str">
        <f>VLOOKUP(E99,[1]Lookups!$H$3:$I$71,2,FALSE)</f>
        <v>3. Early Venture</v>
      </c>
      <c r="U99" s="14" t="str">
        <f>VLOOKUP(K99,[1]Lookups!$B$3:$C$142,2,FALSE)</f>
        <v>E-commerce &amp; Retail</v>
      </c>
      <c r="V99" s="14">
        <f t="shared" si="1"/>
        <v>2015</v>
      </c>
      <c r="W99" s="14">
        <f t="shared" si="2"/>
        <v>4</v>
      </c>
      <c r="X99" s="14">
        <f>VLOOKUP(W99,[1]Lookups!$P$3:$S$15,2,FALSE)</f>
        <v>2</v>
      </c>
      <c r="Y99" s="16">
        <f>VLOOKUP(W99,[1]Lookups!$P$3:$U$15,3,FALSE)</f>
        <v>1</v>
      </c>
      <c r="Z99" s="16">
        <f t="shared" si="3"/>
        <v>1</v>
      </c>
      <c r="AA99" s="16" t="str">
        <f t="shared" ca="1" si="147"/>
        <v>DOB Equity</v>
      </c>
      <c r="AB99" s="16">
        <f t="shared" si="147"/>
        <v>0</v>
      </c>
      <c r="AC99" s="16">
        <f t="shared" si="147"/>
        <v>0</v>
      </c>
      <c r="AD99" s="16">
        <f t="shared" si="147"/>
        <v>0</v>
      </c>
      <c r="AE99" s="16">
        <f t="shared" si="147"/>
        <v>0</v>
      </c>
      <c r="AF99" s="16">
        <f t="shared" si="147"/>
        <v>0</v>
      </c>
      <c r="AG99" s="16">
        <f t="shared" si="147"/>
        <v>0</v>
      </c>
      <c r="AH99" s="16">
        <f t="shared" si="147"/>
        <v>0</v>
      </c>
      <c r="AI99" s="16">
        <f t="shared" si="147"/>
        <v>0</v>
      </c>
      <c r="AJ99" s="16">
        <f t="shared" si="147"/>
        <v>0</v>
      </c>
      <c r="AK99" s="16">
        <f t="shared" si="147"/>
        <v>0</v>
      </c>
      <c r="AL99" s="16">
        <f t="shared" si="147"/>
        <v>0</v>
      </c>
      <c r="AM99" s="16">
        <f t="shared" si="147"/>
        <v>0</v>
      </c>
      <c r="AN99" s="16">
        <f t="shared" si="147"/>
        <v>0</v>
      </c>
      <c r="AO99" s="16">
        <f t="shared" si="147"/>
        <v>0</v>
      </c>
      <c r="AP99" s="10"/>
      <c r="AQ99" s="10"/>
      <c r="AR99" s="10"/>
      <c r="AS99" s="10" t="str">
        <f t="shared" ref="AS99:AS100" ca="1" si="174">IFERROR(__xludf.DUMMYFUNCTION("split(F84,"","",true,true)"),"DOB Equity")</f>
        <v>DOB Equity</v>
      </c>
      <c r="AT99" s="10"/>
      <c r="AU99" s="10"/>
      <c r="AV99" s="10"/>
      <c r="AW99" s="10"/>
      <c r="AX99" s="10"/>
      <c r="AY99" s="10"/>
      <c r="AZ99" s="10"/>
      <c r="BA99" s="10"/>
      <c r="BB99" s="10"/>
      <c r="BC99" s="10"/>
      <c r="BD99" s="10"/>
      <c r="BE99" s="10"/>
      <c r="BF99" s="10"/>
      <c r="BG99" s="10"/>
      <c r="BH99" s="10"/>
      <c r="BI99" s="10"/>
      <c r="BJ99" s="10"/>
      <c r="BK99" s="10"/>
      <c r="BM99" s="10"/>
    </row>
    <row r="100" spans="1:65" ht="12.75">
      <c r="A100" s="9">
        <v>42124</v>
      </c>
      <c r="B100" s="10" t="s">
        <v>207</v>
      </c>
      <c r="C100" s="11">
        <v>2000000</v>
      </c>
      <c r="D100" s="12"/>
      <c r="E100" s="10" t="s">
        <v>45</v>
      </c>
      <c r="F100" s="10" t="s">
        <v>273</v>
      </c>
      <c r="G100" s="13" t="s">
        <v>274</v>
      </c>
      <c r="H100" s="14"/>
      <c r="I100" s="14"/>
      <c r="J100" s="14"/>
      <c r="K100" s="14"/>
      <c r="L100" s="14"/>
      <c r="M100" s="15"/>
      <c r="N100" s="10"/>
      <c r="O100" s="14"/>
      <c r="P100" s="14"/>
      <c r="Q100" s="14"/>
      <c r="R100" s="14"/>
      <c r="S100" s="14"/>
      <c r="T100" s="14"/>
      <c r="U100" s="14"/>
      <c r="V100" s="14">
        <f t="shared" si="1"/>
        <v>2015</v>
      </c>
      <c r="W100" s="14">
        <f t="shared" si="2"/>
        <v>4</v>
      </c>
      <c r="X100" s="14">
        <f>VLOOKUP(W100,[1]Lookups!$P$3:$S$15,2,FALSE)</f>
        <v>2</v>
      </c>
      <c r="Y100" s="16">
        <f>VLOOKUP(W100,[1]Lookups!$P$3:$U$15,3,FALSE)</f>
        <v>1</v>
      </c>
      <c r="Z100" s="16">
        <f t="shared" si="3"/>
        <v>1</v>
      </c>
      <c r="AA100" s="16" t="str">
        <f t="shared" ref="AA100:AO107" ca="1" si="175">AS100</f>
        <v>DOB Equity</v>
      </c>
      <c r="AB100" s="16">
        <f t="shared" si="175"/>
        <v>0</v>
      </c>
      <c r="AC100" s="16">
        <f t="shared" si="175"/>
        <v>0</v>
      </c>
      <c r="AD100" s="16">
        <f t="shared" si="175"/>
        <v>0</v>
      </c>
      <c r="AE100" s="16">
        <f t="shared" si="175"/>
        <v>0</v>
      </c>
      <c r="AF100" s="16">
        <f t="shared" si="175"/>
        <v>0</v>
      </c>
      <c r="AG100" s="16">
        <f t="shared" si="175"/>
        <v>0</v>
      </c>
      <c r="AH100" s="16">
        <f t="shared" si="175"/>
        <v>0</v>
      </c>
      <c r="AI100" s="16">
        <f t="shared" si="175"/>
        <v>0</v>
      </c>
      <c r="AJ100" s="16">
        <f t="shared" si="175"/>
        <v>0</v>
      </c>
      <c r="AK100" s="16">
        <f t="shared" si="175"/>
        <v>0</v>
      </c>
      <c r="AL100" s="16">
        <f t="shared" si="175"/>
        <v>0</v>
      </c>
      <c r="AM100" s="16">
        <f t="shared" si="175"/>
        <v>0</v>
      </c>
      <c r="AN100" s="16">
        <f t="shared" si="175"/>
        <v>0</v>
      </c>
      <c r="AO100" s="16">
        <f t="shared" si="175"/>
        <v>0</v>
      </c>
      <c r="AP100" s="10"/>
      <c r="AQ100" s="10"/>
      <c r="AR100" s="10"/>
      <c r="AS100" s="10" t="str">
        <f t="shared" ca="1" si="174"/>
        <v>DOB Equity</v>
      </c>
      <c r="AT100" s="10"/>
      <c r="AU100" s="10"/>
      <c r="AV100" s="10"/>
      <c r="AW100" s="10"/>
      <c r="AX100" s="10"/>
      <c r="AY100" s="10"/>
      <c r="AZ100" s="10"/>
      <c r="BA100" s="10"/>
      <c r="BB100" s="10"/>
      <c r="BC100" s="10"/>
      <c r="BD100" s="10"/>
      <c r="BE100" s="10"/>
      <c r="BF100" s="10"/>
      <c r="BG100" s="10"/>
      <c r="BH100" s="10"/>
      <c r="BI100" s="10"/>
      <c r="BJ100" s="10"/>
      <c r="BK100" s="10"/>
      <c r="BM100" s="10"/>
    </row>
    <row r="101" spans="1:65" ht="12.75">
      <c r="A101" s="9">
        <v>42125</v>
      </c>
      <c r="B101" s="10" t="s">
        <v>275</v>
      </c>
      <c r="C101" s="11">
        <v>175000</v>
      </c>
      <c r="D101" s="12"/>
      <c r="E101" s="10" t="s">
        <v>45</v>
      </c>
      <c r="F101" s="10" t="s">
        <v>276</v>
      </c>
      <c r="G101" s="13" t="s">
        <v>277</v>
      </c>
      <c r="H101" s="14" t="str">
        <f t="array" ref="H101">IFERROR(INDEX([1]Companies!$G:$G,MATCH(B101,[1]Companies!$A:$A,0)),"")</f>
        <v>Nigeria</v>
      </c>
      <c r="I101" s="14" t="str">
        <f t="shared" ref="I101:I107" si="176">IF(LEN(TRIM(H101))-LEN(SUBSTITUTE(TRIM(H101),",","")) &gt; 0,TRIM(RIGHT(H101,LEN(H101)-FIND(",",H101))),H101)</f>
        <v>Nigeria</v>
      </c>
      <c r="J101" s="14" t="str">
        <f t="array" ref="J101">IFERROR(INDEX([1]Companies!$Y:$Y,MATCH(B101,[1]Companies!$A:$A,0)),"")</f>
        <v>Car Sharing, Public Transportation, Ride Sharing</v>
      </c>
      <c r="K101" s="14" t="str">
        <f t="array" ref="K101">IFERROR(INDEX([1]Companies!$X:$X,MATCH(B101,[1]Companies!$A:$A,0)),"")</f>
        <v>Transport &amp; Logistics</v>
      </c>
      <c r="L101" s="14" t="str">
        <f>VLOOKUP(B101,[1]Companies!$A$1:$C$5243,1,FALSE)</f>
        <v>GoMyWay</v>
      </c>
      <c r="M101" s="15">
        <f t="shared" ref="M101:M107" si="177">COUNTA(B101:K101)/(COUNTBLANK(B101:K101) + COUNTA(B101:K101))</f>
        <v>0.9</v>
      </c>
      <c r="N101" s="10" t="str">
        <f t="shared" ref="N101:N107" si="178">CONCATENATE(A101,B101,C101)</f>
        <v>42125GoMyWay175000</v>
      </c>
      <c r="O101" s="14" t="str">
        <f t="shared" ref="O101:O107" si="179">IF(A101 = "","",IF(COUNTIF(N:N,CONCATENATE(A101,B101,C101))&gt;1,"Duplicated",""))</f>
        <v/>
      </c>
      <c r="P101" s="14">
        <f t="shared" ref="P101:P107" si="180">IF(C101="Undisclosed",0,1)</f>
        <v>1</v>
      </c>
      <c r="Q101" s="14">
        <f t="array" ref="Q101">IFERROR(INDEX([1]Companies!$D:$D,MATCH(B101,[1]Companies!$A:$A,0)),"")</f>
        <v>2015</v>
      </c>
      <c r="R101" s="17">
        <f t="shared" ref="R101:R107" si="181">SUMIF(B:B,B101,C:C)</f>
        <v>175000</v>
      </c>
      <c r="S101" s="14">
        <f>VLOOKUP(I101,[1]Lookups!$V$3:$Y$197,4,FALSE)</f>
        <v>0</v>
      </c>
      <c r="T101" s="14" t="str">
        <f>VLOOKUP(E101,[1]Lookups!$H$3:$I$71,2,FALSE)</f>
        <v>2. Seed</v>
      </c>
      <c r="U101" s="14" t="str">
        <f>VLOOKUP(K101,[1]Lookups!$B$3:$C$142,2,FALSE)</f>
        <v>Transport &amp; Logistics</v>
      </c>
      <c r="V101" s="14">
        <f t="shared" si="1"/>
        <v>2015</v>
      </c>
      <c r="W101" s="14">
        <f t="shared" si="2"/>
        <v>5</v>
      </c>
      <c r="X101" s="14">
        <f>VLOOKUP(W101,[1]Lookups!$P$3:$S$15,2,FALSE)</f>
        <v>2</v>
      </c>
      <c r="Y101" s="16">
        <f>VLOOKUP(W101,[1]Lookups!$P$3:$U$15,3,FALSE)</f>
        <v>1</v>
      </c>
      <c r="Z101" s="16">
        <f t="shared" si="3"/>
        <v>1</v>
      </c>
      <c r="AA101" s="16" t="str">
        <f t="shared" ca="1" si="175"/>
        <v>DOB Equity</v>
      </c>
      <c r="AB101" s="16">
        <f t="shared" si="175"/>
        <v>0</v>
      </c>
      <c r="AC101" s="16">
        <f t="shared" si="175"/>
        <v>0</v>
      </c>
      <c r="AD101" s="16">
        <f t="shared" si="175"/>
        <v>0</v>
      </c>
      <c r="AE101" s="16">
        <f t="shared" si="175"/>
        <v>0</v>
      </c>
      <c r="AF101" s="16">
        <f t="shared" si="175"/>
        <v>0</v>
      </c>
      <c r="AG101" s="16">
        <f t="shared" si="175"/>
        <v>0</v>
      </c>
      <c r="AH101" s="16">
        <f t="shared" si="175"/>
        <v>0</v>
      </c>
      <c r="AI101" s="16">
        <f t="shared" si="175"/>
        <v>0</v>
      </c>
      <c r="AJ101" s="16">
        <f t="shared" si="175"/>
        <v>0</v>
      </c>
      <c r="AK101" s="16">
        <f t="shared" si="175"/>
        <v>0</v>
      </c>
      <c r="AL101" s="16">
        <f t="shared" si="175"/>
        <v>0</v>
      </c>
      <c r="AM101" s="16">
        <f t="shared" si="175"/>
        <v>0</v>
      </c>
      <c r="AN101" s="16">
        <f t="shared" si="175"/>
        <v>0</v>
      </c>
      <c r="AO101" s="16">
        <f t="shared" si="175"/>
        <v>0</v>
      </c>
      <c r="AP101" s="10"/>
      <c r="AQ101" s="10"/>
      <c r="AR101" s="10"/>
      <c r="AS101" s="10" t="str">
        <f t="shared" ref="AS101" ca="1" si="182">IFERROR(__xludf.DUMMYFUNCTION("split(F84,"","",true,true)"),"DOB Equity")</f>
        <v>DOB Equity</v>
      </c>
      <c r="AT101" s="10"/>
      <c r="AU101" s="10"/>
      <c r="AV101" s="10"/>
      <c r="AW101" s="10"/>
      <c r="AX101" s="10"/>
      <c r="AY101" s="10"/>
      <c r="AZ101" s="10"/>
      <c r="BA101" s="10"/>
      <c r="BB101" s="10"/>
      <c r="BC101" s="10"/>
      <c r="BD101" s="10"/>
      <c r="BE101" s="10"/>
      <c r="BF101" s="10"/>
      <c r="BG101" s="10"/>
      <c r="BH101" s="10"/>
      <c r="BI101" s="10"/>
      <c r="BJ101" s="10"/>
      <c r="BK101" s="10"/>
      <c r="BM101" s="10"/>
    </row>
    <row r="102" spans="1:65" ht="12.75">
      <c r="A102" s="9">
        <v>42130</v>
      </c>
      <c r="B102" s="10" t="s">
        <v>278</v>
      </c>
      <c r="C102" s="11" t="s">
        <v>49</v>
      </c>
      <c r="D102" s="12"/>
      <c r="E102" s="10" t="s">
        <v>45</v>
      </c>
      <c r="F102" s="10" t="s">
        <v>279</v>
      </c>
      <c r="G102" s="13" t="s">
        <v>280</v>
      </c>
      <c r="H102" s="14" t="str">
        <f t="array" ref="H102">IFERROR(INDEX([1]Companies!$G:$G,MATCH(B102,[1]Companies!$A:$A,0)),"")</f>
        <v>South Africa</v>
      </c>
      <c r="I102" s="14" t="str">
        <f t="shared" si="176"/>
        <v>South Africa</v>
      </c>
      <c r="J102" s="14" t="str">
        <f t="array" ref="J102">IFERROR(INDEX([1]Companies!$Y:$Y,MATCH(B102,[1]Companies!$A:$A,0)),"")</f>
        <v>Home Improvement, Home Services, Internet</v>
      </c>
      <c r="K102" s="14" t="str">
        <f t="array" ref="K102">IFERROR(INDEX([1]Companies!$X:$X,MATCH(B102,[1]Companies!$A:$A,0)),"")</f>
        <v>Commercial &amp; Professional Services</v>
      </c>
      <c r="L102" s="14" t="str">
        <f>VLOOKUP(B102,[1]Companies!$A$1:$C$5243,1,FALSE)</f>
        <v>Sweepsouth</v>
      </c>
      <c r="M102" s="15">
        <f t="shared" si="177"/>
        <v>0.9</v>
      </c>
      <c r="N102" s="10" t="str">
        <f t="shared" si="178"/>
        <v>42130SweepsouthUndisclosed</v>
      </c>
      <c r="O102" s="14" t="str">
        <f t="shared" si="179"/>
        <v/>
      </c>
      <c r="P102" s="14">
        <f t="shared" si="180"/>
        <v>0</v>
      </c>
      <c r="Q102" s="14">
        <f t="array" ref="Q102">IFERROR(INDEX([1]Companies!$D:$D,MATCH(B102,[1]Companies!$A:$A,0)),"")</f>
        <v>2014</v>
      </c>
      <c r="R102" s="17">
        <f t="shared" si="181"/>
        <v>2700000</v>
      </c>
      <c r="S102" s="14">
        <f>VLOOKUP(I102,[1]Lookups!$V$3:$Y$197,4,FALSE)</f>
        <v>0</v>
      </c>
      <c r="T102" s="14" t="str">
        <f>VLOOKUP(E102,[1]Lookups!$H$3:$I$71,2,FALSE)</f>
        <v>2. Seed</v>
      </c>
      <c r="U102" s="14" t="str">
        <f>VLOOKUP(K102,[1]Lookups!$B$3:$C$142,2,FALSE)</f>
        <v>Other Technologies &amp; Information Technology</v>
      </c>
      <c r="V102" s="14">
        <f t="shared" si="1"/>
        <v>2015</v>
      </c>
      <c r="W102" s="14">
        <f t="shared" si="2"/>
        <v>5</v>
      </c>
      <c r="X102" s="14">
        <f>VLOOKUP(W102,[1]Lookups!$P$3:$S$15,2,FALSE)</f>
        <v>2</v>
      </c>
      <c r="Y102" s="16">
        <f>VLOOKUP(W102,[1]Lookups!$P$3:$U$15,3,FALSE)</f>
        <v>1</v>
      </c>
      <c r="Z102" s="16">
        <f t="shared" si="3"/>
        <v>4</v>
      </c>
      <c r="AA102" s="16" t="str">
        <f t="shared" ca="1" si="175"/>
        <v>DOB Equity</v>
      </c>
      <c r="AB102" s="16" t="str">
        <f t="shared" ca="1" si="175"/>
        <v xml:space="preserve"> Newtown Partners</v>
      </c>
      <c r="AC102" s="16" t="str">
        <f t="shared" ca="1" si="175"/>
        <v xml:space="preserve"> Africa Angels Network (AAN)</v>
      </c>
      <c r="AD102" s="16" t="str">
        <f t="shared" ca="1" si="175"/>
        <v xml:space="preserve"> Identity Development Fund (IDF)</v>
      </c>
      <c r="AE102" s="16">
        <f t="shared" si="175"/>
        <v>0</v>
      </c>
      <c r="AF102" s="16">
        <f t="shared" si="175"/>
        <v>0</v>
      </c>
      <c r="AG102" s="16">
        <f t="shared" si="175"/>
        <v>0</v>
      </c>
      <c r="AH102" s="16">
        <f t="shared" si="175"/>
        <v>0</v>
      </c>
      <c r="AI102" s="16">
        <f t="shared" si="175"/>
        <v>0</v>
      </c>
      <c r="AJ102" s="16">
        <f t="shared" si="175"/>
        <v>0</v>
      </c>
      <c r="AK102" s="16">
        <f t="shared" si="175"/>
        <v>0</v>
      </c>
      <c r="AL102" s="16">
        <f t="shared" si="175"/>
        <v>0</v>
      </c>
      <c r="AM102" s="16">
        <f t="shared" si="175"/>
        <v>0</v>
      </c>
      <c r="AN102" s="16">
        <f t="shared" si="175"/>
        <v>0</v>
      </c>
      <c r="AO102" s="16">
        <f t="shared" si="175"/>
        <v>0</v>
      </c>
      <c r="AP102" s="10"/>
      <c r="AQ102" s="10"/>
      <c r="AR102" s="10"/>
      <c r="AS102" s="10" t="str">
        <f t="shared" ref="AS102" ca="1" si="183">IFERROR(__xludf.DUMMYFUNCTION("split(F84,"","",true,true)"),"DOB Equity")</f>
        <v>DOB Equity</v>
      </c>
      <c r="AT102" s="10" t="str">
        <f ca="1">IFERROR(__xludf.DUMMYFUNCTION("""COMPUTED_VALUE""")," Newtown Partners")</f>
        <v xml:space="preserve"> Newtown Partners</v>
      </c>
      <c r="AU102" s="10" t="str">
        <f ca="1">IFERROR(__xludf.DUMMYFUNCTION("""COMPUTED_VALUE""")," Africa Angels Network (AAN)")</f>
        <v xml:space="preserve"> Africa Angels Network (AAN)</v>
      </c>
      <c r="AV102" s="10" t="str">
        <f ca="1">IFERROR(__xludf.DUMMYFUNCTION("""COMPUTED_VALUE""")," Identity Development Fund (IDF)")</f>
        <v xml:space="preserve"> Identity Development Fund (IDF)</v>
      </c>
      <c r="AW102" s="10"/>
      <c r="AX102" s="10"/>
      <c r="AY102" s="10"/>
      <c r="AZ102" s="10"/>
      <c r="BA102" s="10"/>
      <c r="BB102" s="10"/>
      <c r="BC102" s="10"/>
      <c r="BD102" s="10"/>
      <c r="BE102" s="10"/>
      <c r="BF102" s="10"/>
      <c r="BG102" s="10"/>
      <c r="BH102" s="10"/>
      <c r="BI102" s="10"/>
      <c r="BJ102" s="10"/>
      <c r="BK102" s="10"/>
      <c r="BM102" s="10"/>
    </row>
    <row r="103" spans="1:65" ht="12.75">
      <c r="A103" s="9">
        <v>42136</v>
      </c>
      <c r="B103" s="10" t="s">
        <v>210</v>
      </c>
      <c r="C103" s="11">
        <v>240000</v>
      </c>
      <c r="D103" s="12"/>
      <c r="E103" s="14" t="s">
        <v>45</v>
      </c>
      <c r="F103" s="10" t="s">
        <v>49</v>
      </c>
      <c r="G103" s="13" t="s">
        <v>281</v>
      </c>
      <c r="H103" s="14" t="str">
        <f t="array" ref="H103">IFERROR(INDEX([1]Companies!$G:$G,MATCH(B103,[1]Companies!$A:$A,0)),"")</f>
        <v>Cameroon</v>
      </c>
      <c r="I103" s="14" t="str">
        <f t="shared" si="176"/>
        <v>Cameroon</v>
      </c>
      <c r="J103" s="14" t="str">
        <f t="array" ref="J103">IFERROR(INDEX([1]Companies!$Y:$Y,MATCH(B103,[1]Companies!$A:$A,0)),"")</f>
        <v>Gaming, Mobile, Video Games</v>
      </c>
      <c r="K103" s="14" t="str">
        <f t="array" ref="K103">IFERROR(INDEX([1]Companies!$X:$X,MATCH(B103,[1]Companies!$A:$A,0)),"")</f>
        <v>Media &amp; Entertainment</v>
      </c>
      <c r="L103" s="14" t="str">
        <f>VLOOKUP(B103,[1]Companies!$A$1:$C$5243,1,FALSE)</f>
        <v>Kiro'o Games</v>
      </c>
      <c r="M103" s="15">
        <f t="shared" si="177"/>
        <v>0.9</v>
      </c>
      <c r="N103" s="10" t="str">
        <f t="shared" si="178"/>
        <v>42136Kiro'o Games240000</v>
      </c>
      <c r="O103" s="14" t="str">
        <f t="shared" si="179"/>
        <v/>
      </c>
      <c r="P103" s="14">
        <f t="shared" si="180"/>
        <v>1</v>
      </c>
      <c r="Q103" s="14">
        <f t="array" ref="Q103">IFERROR(INDEX([1]Companies!$D:$D,MATCH(B103,[1]Companies!$A:$A,0)),"")</f>
        <v>2013</v>
      </c>
      <c r="R103" s="17">
        <f t="shared" si="181"/>
        <v>555000</v>
      </c>
      <c r="S103" s="14">
        <f>VLOOKUP(I103,[1]Lookups!$V$3:$Y$197,4,FALSE)</f>
        <v>0</v>
      </c>
      <c r="T103" s="14" t="str">
        <f>VLOOKUP(E103,[1]Lookups!$H$3:$I$71,2,FALSE)</f>
        <v>2. Seed</v>
      </c>
      <c r="U103" s="14" t="str">
        <f>VLOOKUP(K103,[1]Lookups!$B$3:$C$142,2,FALSE)</f>
        <v>Media &amp; Entertainment</v>
      </c>
      <c r="V103" s="14">
        <f t="shared" si="1"/>
        <v>2015</v>
      </c>
      <c r="W103" s="14">
        <f t="shared" si="2"/>
        <v>5</v>
      </c>
      <c r="X103" s="14">
        <f>VLOOKUP(W103,[1]Lookups!$P$3:$S$15,2,FALSE)</f>
        <v>2</v>
      </c>
      <c r="Y103" s="16">
        <f>VLOOKUP(W103,[1]Lookups!$P$3:$U$15,3,FALSE)</f>
        <v>1</v>
      </c>
      <c r="Z103" s="16">
        <f t="shared" si="3"/>
        <v>1</v>
      </c>
      <c r="AA103" s="16" t="str">
        <f t="shared" ca="1" si="175"/>
        <v>DOB Equity</v>
      </c>
      <c r="AB103" s="16">
        <f t="shared" si="175"/>
        <v>0</v>
      </c>
      <c r="AC103" s="16">
        <f t="shared" si="175"/>
        <v>0</v>
      </c>
      <c r="AD103" s="16">
        <f t="shared" si="175"/>
        <v>0</v>
      </c>
      <c r="AE103" s="16">
        <f t="shared" si="175"/>
        <v>0</v>
      </c>
      <c r="AF103" s="16">
        <f t="shared" si="175"/>
        <v>0</v>
      </c>
      <c r="AG103" s="16">
        <f t="shared" si="175"/>
        <v>0</v>
      </c>
      <c r="AH103" s="16">
        <f t="shared" si="175"/>
        <v>0</v>
      </c>
      <c r="AI103" s="16">
        <f t="shared" si="175"/>
        <v>0</v>
      </c>
      <c r="AJ103" s="16">
        <f t="shared" si="175"/>
        <v>0</v>
      </c>
      <c r="AK103" s="16">
        <f t="shared" si="175"/>
        <v>0</v>
      </c>
      <c r="AL103" s="16">
        <f t="shared" si="175"/>
        <v>0</v>
      </c>
      <c r="AM103" s="16">
        <f t="shared" si="175"/>
        <v>0</v>
      </c>
      <c r="AN103" s="16">
        <f t="shared" si="175"/>
        <v>0</v>
      </c>
      <c r="AO103" s="16">
        <f t="shared" si="175"/>
        <v>0</v>
      </c>
      <c r="AP103" s="10"/>
      <c r="AQ103" s="10"/>
      <c r="AR103" s="10"/>
      <c r="AS103" s="10" t="str">
        <f t="shared" ref="AS103" ca="1" si="184">IFERROR(__xludf.DUMMYFUNCTION("split(F84,"","",true,true)"),"DOB Equity")</f>
        <v>DOB Equity</v>
      </c>
      <c r="AT103" s="10"/>
      <c r="AU103" s="10"/>
      <c r="AV103" s="10"/>
      <c r="AW103" s="10"/>
      <c r="AX103" s="10"/>
      <c r="AY103" s="10"/>
      <c r="AZ103" s="10"/>
      <c r="BA103" s="10"/>
      <c r="BB103" s="10"/>
      <c r="BC103" s="10"/>
      <c r="BD103" s="10"/>
      <c r="BE103" s="10"/>
      <c r="BF103" s="10"/>
      <c r="BG103" s="10"/>
      <c r="BH103" s="10"/>
      <c r="BI103" s="10"/>
      <c r="BJ103" s="10"/>
      <c r="BK103" s="10"/>
      <c r="BM103" s="10"/>
    </row>
    <row r="104" spans="1:65" ht="12.75">
      <c r="A104" s="9">
        <v>42142</v>
      </c>
      <c r="B104" s="10" t="s">
        <v>282</v>
      </c>
      <c r="C104" s="11">
        <v>300000</v>
      </c>
      <c r="D104" s="12"/>
      <c r="E104" s="10" t="s">
        <v>45</v>
      </c>
      <c r="F104" s="10" t="s">
        <v>283</v>
      </c>
      <c r="G104" s="13" t="s">
        <v>284</v>
      </c>
      <c r="H104" s="14" t="str">
        <f t="array" ref="H104">IFERROR(INDEX([1]Companies!$G:$G,MATCH(B104,[1]Companies!$A:$A,0)),"")</f>
        <v>Nigeria</v>
      </c>
      <c r="I104" s="14" t="str">
        <f t="shared" si="176"/>
        <v>Nigeria</v>
      </c>
      <c r="J104" s="14" t="str">
        <f t="array" ref="J104">IFERROR(INDEX([1]Companies!$Y:$Y,MATCH(B104,[1]Companies!$A:$A,0)),"")</f>
        <v>Rewards, Retail</v>
      </c>
      <c r="K104" s="14" t="str">
        <f t="array" ref="K104">IFERROR(INDEX([1]Companies!$X:$X,MATCH(B104,[1]Companies!$A:$A,0)),"")</f>
        <v>E-Commerce &amp; Retail</v>
      </c>
      <c r="L104" s="14" t="str">
        <f>VLOOKUP(B104,[1]Companies!$A$1:$C$5243,1,FALSE)</f>
        <v>SureGroup</v>
      </c>
      <c r="M104" s="15">
        <f t="shared" si="177"/>
        <v>0.9</v>
      </c>
      <c r="N104" s="10" t="str">
        <f t="shared" si="178"/>
        <v>42142SureGroup300000</v>
      </c>
      <c r="O104" s="14" t="str">
        <f t="shared" si="179"/>
        <v/>
      </c>
      <c r="P104" s="14">
        <f t="shared" si="180"/>
        <v>1</v>
      </c>
      <c r="Q104" s="14">
        <f t="array" ref="Q104">IFERROR(INDEX([1]Companies!$D:$D,MATCH(B104,[1]Companies!$A:$A,0)),"")</f>
        <v>2014</v>
      </c>
      <c r="R104" s="17">
        <f t="shared" si="181"/>
        <v>425000</v>
      </c>
      <c r="S104" s="14">
        <f>VLOOKUP(I104,[1]Lookups!$V$3:$Y$197,4,FALSE)</f>
        <v>0</v>
      </c>
      <c r="T104" s="14" t="str">
        <f>VLOOKUP(E104,[1]Lookups!$H$3:$I$71,2,FALSE)</f>
        <v>2. Seed</v>
      </c>
      <c r="U104" s="14" t="str">
        <f>VLOOKUP(K104,[1]Lookups!$B$3:$C$142,2,FALSE)</f>
        <v>E-commerce &amp; Retail</v>
      </c>
      <c r="V104" s="14">
        <f t="shared" si="1"/>
        <v>2015</v>
      </c>
      <c r="W104" s="14">
        <f t="shared" si="2"/>
        <v>5</v>
      </c>
      <c r="X104" s="14">
        <f>VLOOKUP(W104,[1]Lookups!$P$3:$S$15,2,FALSE)</f>
        <v>2</v>
      </c>
      <c r="Y104" s="16">
        <f>VLOOKUP(W104,[1]Lookups!$P$3:$U$15,3,FALSE)</f>
        <v>1</v>
      </c>
      <c r="Z104" s="16">
        <f t="shared" si="3"/>
        <v>2</v>
      </c>
      <c r="AA104" s="16" t="str">
        <f t="shared" ca="1" si="175"/>
        <v>DOB Equity</v>
      </c>
      <c r="AB104" s="16" t="str">
        <f t="shared" ca="1" si="175"/>
        <v xml:space="preserve"> CRE Venture Capital</v>
      </c>
      <c r="AC104" s="16">
        <f t="shared" si="175"/>
        <v>0</v>
      </c>
      <c r="AD104" s="16">
        <f t="shared" si="175"/>
        <v>0</v>
      </c>
      <c r="AE104" s="16">
        <f t="shared" si="175"/>
        <v>0</v>
      </c>
      <c r="AF104" s="16">
        <f t="shared" si="175"/>
        <v>0</v>
      </c>
      <c r="AG104" s="16">
        <f t="shared" si="175"/>
        <v>0</v>
      </c>
      <c r="AH104" s="16">
        <f t="shared" si="175"/>
        <v>0</v>
      </c>
      <c r="AI104" s="16">
        <f t="shared" si="175"/>
        <v>0</v>
      </c>
      <c r="AJ104" s="16">
        <f t="shared" si="175"/>
        <v>0</v>
      </c>
      <c r="AK104" s="16">
        <f t="shared" si="175"/>
        <v>0</v>
      </c>
      <c r="AL104" s="16">
        <f t="shared" si="175"/>
        <v>0</v>
      </c>
      <c r="AM104" s="16">
        <f t="shared" si="175"/>
        <v>0</v>
      </c>
      <c r="AN104" s="16">
        <f t="shared" si="175"/>
        <v>0</v>
      </c>
      <c r="AO104" s="16">
        <f t="shared" si="175"/>
        <v>0</v>
      </c>
      <c r="AP104" s="10"/>
      <c r="AQ104" s="10"/>
      <c r="AR104" s="10"/>
      <c r="AS104" s="10" t="str">
        <f t="shared" ref="AS104" ca="1" si="185">IFERROR(__xludf.DUMMYFUNCTION("split(F84,"","",true,true)"),"DOB Equity")</f>
        <v>DOB Equity</v>
      </c>
      <c r="AT104" s="10" t="str">
        <f ca="1">IFERROR(__xludf.DUMMYFUNCTION("""COMPUTED_VALUE""")," CRE Venture Capital")</f>
        <v xml:space="preserve"> CRE Venture Capital</v>
      </c>
      <c r="AU104" s="10"/>
      <c r="AV104" s="10"/>
      <c r="AW104" s="10"/>
      <c r="AX104" s="10"/>
      <c r="AY104" s="10"/>
      <c r="AZ104" s="10"/>
      <c r="BA104" s="10"/>
      <c r="BB104" s="10"/>
      <c r="BC104" s="10"/>
      <c r="BD104" s="10"/>
      <c r="BE104" s="10"/>
      <c r="BF104" s="10"/>
      <c r="BG104" s="10"/>
      <c r="BH104" s="10"/>
      <c r="BI104" s="10"/>
      <c r="BJ104" s="10"/>
      <c r="BK104" s="10"/>
      <c r="BM104" s="10"/>
    </row>
    <row r="105" spans="1:65" ht="12.75">
      <c r="A105" s="9">
        <v>42156</v>
      </c>
      <c r="B105" s="10" t="s">
        <v>224</v>
      </c>
      <c r="C105" s="11">
        <v>400000</v>
      </c>
      <c r="D105" s="12"/>
      <c r="E105" s="14" t="s">
        <v>45</v>
      </c>
      <c r="F105" s="10" t="s">
        <v>49</v>
      </c>
      <c r="G105" s="13" t="s">
        <v>285</v>
      </c>
      <c r="H105" s="14" t="str">
        <f t="array" ref="H105">IFERROR(INDEX([1]Companies!$G:$G,MATCH(B105,[1]Companies!$A:$A,0)),"")</f>
        <v>Egypt</v>
      </c>
      <c r="I105" s="14" t="str">
        <f t="shared" si="176"/>
        <v>Egypt</v>
      </c>
      <c r="J105" s="14" t="str">
        <f t="array" ref="J105">IFERROR(INDEX([1]Companies!$Y:$Y,MATCH(B105,[1]Companies!$A:$A,0)),"")</f>
        <v>Catering, Delivery, Food and Beverage, Food Delivery, Marketplace, Subscription Service</v>
      </c>
      <c r="K105" s="14" t="str">
        <f t="array" ref="K105">IFERROR(INDEX([1]Companies!$X:$X,MATCH(B105,[1]Companies!$A:$A,0)),"")</f>
        <v>E-Commerce &amp; Retail</v>
      </c>
      <c r="L105" s="14" t="str">
        <f>VLOOKUP(B105,[1]Companies!$A$1:$C$5243,1,FALSE)</f>
        <v>Yumamia</v>
      </c>
      <c r="M105" s="15">
        <f t="shared" si="177"/>
        <v>0.9</v>
      </c>
      <c r="N105" s="10" t="str">
        <f t="shared" si="178"/>
        <v>42156Yumamia400000</v>
      </c>
      <c r="O105" s="14" t="str">
        <f t="shared" si="179"/>
        <v/>
      </c>
      <c r="P105" s="14">
        <f t="shared" si="180"/>
        <v>1</v>
      </c>
      <c r="Q105" s="14">
        <f t="array" ref="Q105">IFERROR(INDEX([1]Companies!$D:$D,MATCH(B105,[1]Companies!$A:$A,0)),"")</f>
        <v>2014</v>
      </c>
      <c r="R105" s="17">
        <f t="shared" si="181"/>
        <v>2750000</v>
      </c>
      <c r="S105" s="14">
        <f>VLOOKUP(I105,[1]Lookups!$V$3:$Y$197,4,FALSE)</f>
        <v>0</v>
      </c>
      <c r="T105" s="14" t="str">
        <f>VLOOKUP(E105,[1]Lookups!$H$3:$I$71,2,FALSE)</f>
        <v>2. Seed</v>
      </c>
      <c r="U105" s="14" t="str">
        <f>VLOOKUP(K105,[1]Lookups!$B$3:$C$142,2,FALSE)</f>
        <v>E-commerce &amp; Retail</v>
      </c>
      <c r="V105" s="14">
        <f t="shared" si="1"/>
        <v>2015</v>
      </c>
      <c r="W105" s="14">
        <f t="shared" si="2"/>
        <v>6</v>
      </c>
      <c r="X105" s="14">
        <f>VLOOKUP(W105,[1]Lookups!$P$3:$S$15,2,FALSE)</f>
        <v>2</v>
      </c>
      <c r="Y105" s="16">
        <f>VLOOKUP(W105,[1]Lookups!$P$3:$U$15,3,FALSE)</f>
        <v>1</v>
      </c>
      <c r="Z105" s="16">
        <f t="shared" si="3"/>
        <v>1</v>
      </c>
      <c r="AA105" s="16" t="str">
        <f t="shared" ca="1" si="175"/>
        <v>DOB Equity</v>
      </c>
      <c r="AB105" s="16">
        <f t="shared" si="175"/>
        <v>0</v>
      </c>
      <c r="AC105" s="16">
        <f t="shared" si="175"/>
        <v>0</v>
      </c>
      <c r="AD105" s="16">
        <f t="shared" si="175"/>
        <v>0</v>
      </c>
      <c r="AE105" s="16">
        <f t="shared" si="175"/>
        <v>0</v>
      </c>
      <c r="AF105" s="16">
        <f t="shared" si="175"/>
        <v>0</v>
      </c>
      <c r="AG105" s="16">
        <f t="shared" si="175"/>
        <v>0</v>
      </c>
      <c r="AH105" s="16">
        <f t="shared" si="175"/>
        <v>0</v>
      </c>
      <c r="AI105" s="16">
        <f t="shared" si="175"/>
        <v>0</v>
      </c>
      <c r="AJ105" s="16">
        <f t="shared" si="175"/>
        <v>0</v>
      </c>
      <c r="AK105" s="16">
        <f t="shared" si="175"/>
        <v>0</v>
      </c>
      <c r="AL105" s="16">
        <f t="shared" si="175"/>
        <v>0</v>
      </c>
      <c r="AM105" s="16">
        <f t="shared" si="175"/>
        <v>0</v>
      </c>
      <c r="AN105" s="16">
        <f t="shared" si="175"/>
        <v>0</v>
      </c>
      <c r="AO105" s="16">
        <f t="shared" si="175"/>
        <v>0</v>
      </c>
      <c r="AP105" s="10"/>
      <c r="AQ105" s="10"/>
      <c r="AR105" s="10"/>
      <c r="AS105" s="10" t="str">
        <f t="shared" ref="AS105" ca="1" si="186">IFERROR(__xludf.DUMMYFUNCTION("split(F84,"","",true,true)"),"DOB Equity")</f>
        <v>DOB Equity</v>
      </c>
      <c r="AT105" s="10"/>
      <c r="AU105" s="10"/>
      <c r="AV105" s="10"/>
      <c r="AW105" s="10"/>
      <c r="AX105" s="10"/>
      <c r="AY105" s="10"/>
      <c r="AZ105" s="10"/>
      <c r="BA105" s="10"/>
      <c r="BB105" s="10"/>
      <c r="BC105" s="10"/>
      <c r="BD105" s="10"/>
      <c r="BE105" s="10"/>
      <c r="BF105" s="10"/>
      <c r="BG105" s="10"/>
      <c r="BH105" s="10"/>
      <c r="BI105" s="10"/>
      <c r="BJ105" s="10"/>
      <c r="BK105" s="10"/>
      <c r="BM105" s="10"/>
    </row>
    <row r="106" spans="1:65" ht="12.75">
      <c r="A106" s="9">
        <v>42164</v>
      </c>
      <c r="B106" s="10" t="s">
        <v>286</v>
      </c>
      <c r="C106" s="11">
        <v>500000</v>
      </c>
      <c r="D106" s="12"/>
      <c r="E106" s="10" t="s">
        <v>287</v>
      </c>
      <c r="F106" s="10" t="s">
        <v>288</v>
      </c>
      <c r="G106" s="13" t="s">
        <v>289</v>
      </c>
      <c r="H106" s="14" t="str">
        <f t="array" ref="H106">IFERROR(INDEX([1]Companies!$G:$G,MATCH(B106,[1]Companies!$A:$A,0)),"")</f>
        <v>Kenya</v>
      </c>
      <c r="I106" s="14" t="str">
        <f t="shared" si="176"/>
        <v>Kenya</v>
      </c>
      <c r="J106" s="14" t="str">
        <f t="array" ref="J106">IFERROR(INDEX([1]Companies!$Y:$Y,MATCH(B106,[1]Companies!$A:$A,0)),"")</f>
        <v>Logistics, Deliveries, Courier, Packages, Food Delivery, E-Commerce, Mobile Apps, and On demand courier solutions</v>
      </c>
      <c r="K106" s="14" t="str">
        <f t="array" ref="K106">IFERROR(INDEX([1]Companies!$X:$X,MATCH(B106,[1]Companies!$A:$A,0)),"")</f>
        <v>Transport &amp; Logistics</v>
      </c>
      <c r="L106" s="14" t="str">
        <f>VLOOKUP(B106,[1]Companies!$A$1:$C$5243,1,FALSE)</f>
        <v>Sendy</v>
      </c>
      <c r="M106" s="15">
        <f t="shared" si="177"/>
        <v>0.9</v>
      </c>
      <c r="N106" s="10" t="str">
        <f t="shared" si="178"/>
        <v>42164Sendy500000</v>
      </c>
      <c r="O106" s="14" t="str">
        <f t="shared" si="179"/>
        <v/>
      </c>
      <c r="P106" s="14">
        <f t="shared" si="180"/>
        <v>1</v>
      </c>
      <c r="Q106" s="14">
        <f t="array" ref="Q106">IFERROR(INDEX([1]Companies!$D:$D,MATCH(B106,[1]Companies!$A:$A,0)),"")</f>
        <v>2014</v>
      </c>
      <c r="R106" s="17">
        <f t="shared" si="181"/>
        <v>10500000</v>
      </c>
      <c r="S106" s="14">
        <f>VLOOKUP(I106,[1]Lookups!$V$3:$Y$197,4,FALSE)</f>
        <v>0</v>
      </c>
      <c r="T106" s="14" t="str">
        <f>VLOOKUP(E106,[1]Lookups!$H$3:$I$71,2,FALSE)</f>
        <v>5. Debt Financing</v>
      </c>
      <c r="U106" s="14" t="str">
        <f>VLOOKUP(K106,[1]Lookups!$B$3:$C$142,2,FALSE)</f>
        <v>Transport &amp; Logistics</v>
      </c>
      <c r="V106" s="14">
        <f t="shared" si="1"/>
        <v>2015</v>
      </c>
      <c r="W106" s="14">
        <f t="shared" si="2"/>
        <v>6</v>
      </c>
      <c r="X106" s="14">
        <f>VLOOKUP(W106,[1]Lookups!$P$3:$S$15,2,FALSE)</f>
        <v>2</v>
      </c>
      <c r="Y106" s="16">
        <f>VLOOKUP(W106,[1]Lookups!$P$3:$U$15,3,FALSE)</f>
        <v>1</v>
      </c>
      <c r="Z106" s="16">
        <f t="shared" si="3"/>
        <v>1</v>
      </c>
      <c r="AA106" s="16" t="str">
        <f t="shared" ca="1" si="175"/>
        <v>DOB Equity</v>
      </c>
      <c r="AB106" s="16">
        <f t="shared" si="175"/>
        <v>0</v>
      </c>
      <c r="AC106" s="16">
        <f t="shared" si="175"/>
        <v>0</v>
      </c>
      <c r="AD106" s="16">
        <f t="shared" si="175"/>
        <v>0</v>
      </c>
      <c r="AE106" s="16">
        <f t="shared" si="175"/>
        <v>0</v>
      </c>
      <c r="AF106" s="16">
        <f t="shared" si="175"/>
        <v>0</v>
      </c>
      <c r="AG106" s="16">
        <f t="shared" si="175"/>
        <v>0</v>
      </c>
      <c r="AH106" s="16">
        <f t="shared" si="175"/>
        <v>0</v>
      </c>
      <c r="AI106" s="16">
        <f t="shared" si="175"/>
        <v>0</v>
      </c>
      <c r="AJ106" s="16">
        <f t="shared" si="175"/>
        <v>0</v>
      </c>
      <c r="AK106" s="16">
        <f t="shared" si="175"/>
        <v>0</v>
      </c>
      <c r="AL106" s="16">
        <f t="shared" si="175"/>
        <v>0</v>
      </c>
      <c r="AM106" s="16">
        <f t="shared" si="175"/>
        <v>0</v>
      </c>
      <c r="AN106" s="16">
        <f t="shared" si="175"/>
        <v>0</v>
      </c>
      <c r="AO106" s="16">
        <f t="shared" si="175"/>
        <v>0</v>
      </c>
      <c r="AP106" s="10"/>
      <c r="AQ106" s="10"/>
      <c r="AR106" s="10"/>
      <c r="AS106" s="10" t="str">
        <f t="shared" ref="AS106" ca="1" si="187">IFERROR(__xludf.DUMMYFUNCTION("split(F84,"","",true,true)"),"DOB Equity")</f>
        <v>DOB Equity</v>
      </c>
      <c r="AT106" s="10"/>
      <c r="AU106" s="10"/>
      <c r="AV106" s="10"/>
      <c r="AW106" s="10"/>
      <c r="AX106" s="10"/>
      <c r="AY106" s="10"/>
      <c r="AZ106" s="10"/>
      <c r="BA106" s="10"/>
      <c r="BB106" s="10"/>
      <c r="BC106" s="10"/>
      <c r="BD106" s="10"/>
      <c r="BE106" s="10"/>
      <c r="BF106" s="10"/>
      <c r="BG106" s="10"/>
      <c r="BH106" s="10"/>
      <c r="BI106" s="10"/>
      <c r="BJ106" s="10"/>
      <c r="BK106" s="10"/>
      <c r="BM106" s="10"/>
    </row>
    <row r="107" spans="1:65" ht="12.75">
      <c r="A107" s="9">
        <v>42166</v>
      </c>
      <c r="B107" s="10" t="s">
        <v>189</v>
      </c>
      <c r="C107" s="11">
        <v>10000000</v>
      </c>
      <c r="D107" s="12"/>
      <c r="E107" s="10" t="s">
        <v>91</v>
      </c>
      <c r="F107" s="10" t="s">
        <v>290</v>
      </c>
      <c r="G107" s="13" t="s">
        <v>291</v>
      </c>
      <c r="H107" s="14" t="str">
        <f t="array" ref="H107">IFERROR(INDEX([1]Companies!$G:$G,MATCH(B107,[1]Companies!$A:$A,0)),"")</f>
        <v>Nigeria</v>
      </c>
      <c r="I107" s="14" t="str">
        <f t="shared" si="176"/>
        <v>Nigeria</v>
      </c>
      <c r="J107" s="14" t="str">
        <f t="array" ref="J107">IFERROR(INDEX([1]Companies!$Y:$Y,MATCH(B107,[1]Companies!$A:$A,0)),"")</f>
        <v>Consumer Lending, FinTech</v>
      </c>
      <c r="K107" s="14" t="str">
        <f t="array" ref="K107">IFERROR(INDEX([1]Companies!$X:$X,MATCH(B107,[1]Companies!$A:$A,0)),"")</f>
        <v>Financial Services</v>
      </c>
      <c r="L107" s="14" t="str">
        <f>VLOOKUP(B107,[1]Companies!$A$1:$C$5243,1,FALSE)</f>
        <v>OneFi</v>
      </c>
      <c r="M107" s="15">
        <f t="shared" si="177"/>
        <v>0.9</v>
      </c>
      <c r="N107" s="10" t="str">
        <f t="shared" si="178"/>
        <v>42166OneFi10000000</v>
      </c>
      <c r="O107" s="14" t="str">
        <f t="shared" si="179"/>
        <v/>
      </c>
      <c r="P107" s="14">
        <f t="shared" si="180"/>
        <v>1</v>
      </c>
      <c r="Q107" s="14">
        <f t="array" ref="Q107">IFERROR(INDEX([1]Companies!$D:$D,MATCH(B107,[1]Companies!$A:$A,0)),"")</f>
        <v>2012</v>
      </c>
      <c r="R107" s="17">
        <f t="shared" si="181"/>
        <v>15800000</v>
      </c>
      <c r="S107" s="14">
        <f>VLOOKUP(I107,[1]Lookups!$V$3:$Y$197,4,FALSE)</f>
        <v>0</v>
      </c>
      <c r="T107" s="14" t="str">
        <f>VLOOKUP(E107,[1]Lookups!$H$3:$I$71,2,FALSE)</f>
        <v>5. Debt Financing</v>
      </c>
      <c r="U107" s="14" t="str">
        <f>VLOOKUP(K107,[1]Lookups!$B$3:$C$142,2,FALSE)</f>
        <v>Financial Services</v>
      </c>
      <c r="V107" s="14">
        <f t="shared" si="1"/>
        <v>2015</v>
      </c>
      <c r="W107" s="14">
        <f t="shared" si="2"/>
        <v>6</v>
      </c>
      <c r="X107" s="14">
        <f>VLOOKUP(W107,[1]Lookups!$P$3:$S$15,2,FALSE)</f>
        <v>2</v>
      </c>
      <c r="Y107" s="16">
        <f>VLOOKUP(W107,[1]Lookups!$P$3:$U$15,3,FALSE)</f>
        <v>1</v>
      </c>
      <c r="Z107" s="16">
        <f t="shared" si="3"/>
        <v>1</v>
      </c>
      <c r="AA107" s="16" t="str">
        <f t="shared" ca="1" si="175"/>
        <v>DOB Equity</v>
      </c>
      <c r="AB107" s="16">
        <f t="shared" si="175"/>
        <v>0</v>
      </c>
      <c r="AC107" s="16">
        <f t="shared" si="175"/>
        <v>0</v>
      </c>
      <c r="AD107" s="16">
        <f t="shared" si="175"/>
        <v>0</v>
      </c>
      <c r="AE107" s="16">
        <f t="shared" si="175"/>
        <v>0</v>
      </c>
      <c r="AF107" s="16">
        <f t="shared" si="175"/>
        <v>0</v>
      </c>
      <c r="AG107" s="16">
        <f t="shared" si="175"/>
        <v>0</v>
      </c>
      <c r="AH107" s="16">
        <f t="shared" si="175"/>
        <v>0</v>
      </c>
      <c r="AI107" s="16">
        <f t="shared" si="175"/>
        <v>0</v>
      </c>
      <c r="AJ107" s="16">
        <f t="shared" si="175"/>
        <v>0</v>
      </c>
      <c r="AK107" s="16">
        <f t="shared" si="175"/>
        <v>0</v>
      </c>
      <c r="AL107" s="16">
        <f t="shared" si="175"/>
        <v>0</v>
      </c>
      <c r="AM107" s="16">
        <f t="shared" si="175"/>
        <v>0</v>
      </c>
      <c r="AN107" s="16">
        <f t="shared" si="175"/>
        <v>0</v>
      </c>
      <c r="AO107" s="16">
        <f t="shared" si="175"/>
        <v>0</v>
      </c>
      <c r="AP107" s="10"/>
      <c r="AQ107" s="10"/>
      <c r="AR107" s="10"/>
      <c r="AS107" s="10" t="str">
        <f t="shared" ref="AS107" ca="1" si="188">IFERROR(__xludf.DUMMYFUNCTION("split(F84,"","",true,true)"),"DOB Equity")</f>
        <v>DOB Equity</v>
      </c>
      <c r="AT107" s="10"/>
      <c r="AU107" s="10"/>
      <c r="AV107" s="10"/>
      <c r="AW107" s="10"/>
      <c r="AX107" s="10"/>
      <c r="AY107" s="10"/>
      <c r="AZ107" s="10"/>
      <c r="BA107" s="10"/>
      <c r="BB107" s="10"/>
      <c r="BC107" s="10"/>
      <c r="BD107" s="10"/>
      <c r="BE107" s="10"/>
      <c r="BF107" s="10"/>
      <c r="BG107" s="10"/>
      <c r="BH107" s="10"/>
      <c r="BI107" s="10"/>
      <c r="BJ107" s="10"/>
      <c r="BK107" s="10"/>
      <c r="BM107" s="10"/>
    </row>
    <row r="108" spans="1:65" ht="12.75">
      <c r="A108" s="9">
        <v>42170</v>
      </c>
      <c r="B108" s="10" t="s">
        <v>292</v>
      </c>
      <c r="C108" s="11">
        <v>680000</v>
      </c>
      <c r="D108" s="12"/>
      <c r="E108" s="10" t="s">
        <v>45</v>
      </c>
      <c r="F108" s="10" t="s">
        <v>49</v>
      </c>
      <c r="G108" s="10" t="s">
        <v>292</v>
      </c>
      <c r="H108" s="14"/>
      <c r="I108" s="14"/>
      <c r="J108" s="14"/>
      <c r="K108" s="14"/>
      <c r="L108" s="14"/>
      <c r="M108" s="15"/>
      <c r="N108" s="10"/>
      <c r="O108" s="14"/>
      <c r="P108" s="14"/>
      <c r="Q108" s="14"/>
      <c r="R108" s="14"/>
      <c r="S108" s="14"/>
      <c r="T108" s="14"/>
      <c r="U108" s="14"/>
      <c r="V108" s="14">
        <f t="shared" si="1"/>
        <v>2015</v>
      </c>
      <c r="W108" s="14">
        <f t="shared" si="2"/>
        <v>6</v>
      </c>
      <c r="X108" s="14">
        <f>VLOOKUP(W108,[1]Lookups!$P$3:$S$15,2,FALSE)</f>
        <v>2</v>
      </c>
      <c r="Y108" s="16">
        <f>VLOOKUP(W108,[1]Lookups!$P$3:$U$15,3,FALSE)</f>
        <v>1</v>
      </c>
      <c r="Z108" s="16">
        <f t="shared" si="3"/>
        <v>1</v>
      </c>
      <c r="AA108" s="16"/>
      <c r="AB108" s="16"/>
      <c r="AC108" s="16"/>
      <c r="AD108" s="16"/>
      <c r="AE108" s="16"/>
      <c r="AF108" s="16"/>
      <c r="AG108" s="16"/>
      <c r="AH108" s="16"/>
      <c r="AI108" s="16"/>
      <c r="AJ108" s="16"/>
      <c r="AK108" s="16"/>
      <c r="AL108" s="16"/>
      <c r="AM108" s="16"/>
      <c r="AN108" s="16"/>
      <c r="AO108" s="16"/>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M108" s="10"/>
    </row>
    <row r="109" spans="1:65" ht="12.75">
      <c r="A109" s="18">
        <v>42180</v>
      </c>
      <c r="B109" s="14" t="s">
        <v>219</v>
      </c>
      <c r="C109" s="19">
        <v>14000000</v>
      </c>
      <c r="D109" s="19"/>
      <c r="E109" s="14" t="s">
        <v>69</v>
      </c>
      <c r="F109" s="14" t="s">
        <v>293</v>
      </c>
      <c r="G109" s="21" t="s">
        <v>294</v>
      </c>
      <c r="H109" s="14" t="str">
        <f t="array" ref="H109">IFERROR(INDEX([1]Companies!$G:$G,MATCH(B109,[1]Companies!$A:$A,0)),"")</f>
        <v>United States</v>
      </c>
      <c r="I109" s="14" t="str">
        <f t="shared" ref="I109:I111" si="189">IF(LEN(TRIM(H109))-LEN(SUBSTITUTE(TRIM(H109),",","")) &gt; 0,TRIM(RIGHT(H109,LEN(H109)-FIND(",",H109))),H109)</f>
        <v>United States</v>
      </c>
      <c r="J109" s="14" t="str">
        <f t="array" ref="J109">IFERROR(INDEX([1]Companies!$Y:$Y,MATCH(B109,[1]Companies!$A:$A,0)),"")</f>
        <v>Edtech, BPO, Recruitment, Software, Training</v>
      </c>
      <c r="K109" s="14" t="str">
        <f t="array" ref="K109">IFERROR(INDEX([1]Companies!$X:$X,MATCH(B109,[1]Companies!$A:$A,0)),"")</f>
        <v>Commercial &amp; Professional Services</v>
      </c>
      <c r="L109" s="14" t="str">
        <f>VLOOKUP(B109,[1]Companies!$A$1:$C$5243,1,FALSE)</f>
        <v>Andela</v>
      </c>
      <c r="M109" s="15">
        <f t="shared" ref="M109:M111" si="190">COUNTA(B109:K109)/(COUNTBLANK(B109:K109) + COUNTA(B109:K109))</f>
        <v>0.9</v>
      </c>
      <c r="N109" s="10" t="str">
        <f>CONCATENATE(A109,B109,C109)</f>
        <v>42180Andela14000000</v>
      </c>
      <c r="O109" s="14" t="str">
        <f>IF(A109 = "","",IF(COUNTIF(N:N,CONCATENATE(A109,B109,C109))&gt;1,"Duplicated",""))</f>
        <v/>
      </c>
      <c r="P109" s="14">
        <f>IF(C109="Undisclosed",0,1)</f>
        <v>1</v>
      </c>
      <c r="Q109" s="14">
        <f t="array" ref="Q109">IFERROR(INDEX([1]Companies!$D:$D,MATCH(B109,[1]Companies!$A:$A,0)),"")</f>
        <v>2014</v>
      </c>
      <c r="R109" s="17">
        <f>SUMIF(B:B,B109,C:C)</f>
        <v>181000000</v>
      </c>
      <c r="S109" s="14" t="e">
        <f>VLOOKUP(I109,[1]Lookups!$V$3:$Y$197,4,FALSE)</f>
        <v>#N/A</v>
      </c>
      <c r="T109" s="14" t="str">
        <f>VLOOKUP(E109,[1]Lookups!$H$3:$I$71,2,FALSE)</f>
        <v>3. Early Venture</v>
      </c>
      <c r="U109" s="14" t="str">
        <f>VLOOKUP(K109,[1]Lookups!$B$3:$C$142,2,FALSE)</f>
        <v>Other Technologies &amp; Information Technology</v>
      </c>
      <c r="V109" s="14">
        <f t="shared" si="1"/>
        <v>2015</v>
      </c>
      <c r="W109" s="14">
        <f t="shared" si="2"/>
        <v>6</v>
      </c>
      <c r="X109" s="14">
        <f>VLOOKUP(W109,[1]Lookups!$P$3:$S$15,2,FALSE)</f>
        <v>2</v>
      </c>
      <c r="Y109" s="16">
        <f>VLOOKUP(W109,[1]Lookups!$P$3:$U$15,3,FALSE)</f>
        <v>1</v>
      </c>
      <c r="Z109" s="16">
        <f t="shared" si="3"/>
        <v>10</v>
      </c>
      <c r="AA109" s="16" t="str">
        <f t="shared" ref="AA109:AO124" ca="1" si="191">AS109</f>
        <v>Spark Capital</v>
      </c>
      <c r="AB109" s="16" t="str">
        <f t="shared" ca="1" si="191"/>
        <v xml:space="preserve"> GV</v>
      </c>
      <c r="AC109" s="16" t="str">
        <f t="shared" ca="1" si="191"/>
        <v xml:space="preserve"> International Finance Corporation</v>
      </c>
      <c r="AD109" s="16" t="str">
        <f t="shared" ca="1" si="191"/>
        <v xml:space="preserve"> Susa Ventures</v>
      </c>
      <c r="AE109" s="16" t="str">
        <f t="shared" ca="1" si="191"/>
        <v xml:space="preserve"> PlayFair Capital</v>
      </c>
      <c r="AF109" s="16" t="str">
        <f t="shared" ca="1" si="191"/>
        <v xml:space="preserve"> GSV Acceleration</v>
      </c>
      <c r="AG109" s="16" t="str">
        <f t="shared" ca="1" si="191"/>
        <v xml:space="preserve"> Arena Ventures</v>
      </c>
      <c r="AH109" s="16" t="str">
        <f t="shared" ca="1" si="191"/>
        <v xml:space="preserve"> CRE Venture Capital</v>
      </c>
      <c r="AI109" s="16" t="str">
        <f t="shared" ca="1" si="191"/>
        <v xml:space="preserve"> Golden Palm Investments</v>
      </c>
      <c r="AJ109" s="16" t="str">
        <f t="shared" ca="1" si="191"/>
        <v xml:space="preserve"> Future Perfect Ventures</v>
      </c>
      <c r="AK109" s="16">
        <f t="shared" si="191"/>
        <v>0</v>
      </c>
      <c r="AL109" s="16">
        <f t="shared" si="191"/>
        <v>0</v>
      </c>
      <c r="AM109" s="16">
        <f t="shared" si="191"/>
        <v>0</v>
      </c>
      <c r="AN109" s="16">
        <f t="shared" si="191"/>
        <v>0</v>
      </c>
      <c r="AO109" s="16">
        <f t="shared" si="191"/>
        <v>0</v>
      </c>
      <c r="AP109" s="10"/>
      <c r="AQ109" s="10"/>
      <c r="AR109" s="10"/>
      <c r="AS109" s="10" t="str">
        <f t="shared" ref="AS109" ca="1" si="192">IFERROR(__xludf.DUMMYFUNCTION("split(F109,"","",true,true)"),"Spark Capital")</f>
        <v>Spark Capital</v>
      </c>
      <c r="AT109" s="10" t="str">
        <f ca="1">IFERROR(__xludf.DUMMYFUNCTION("""COMPUTED_VALUE""")," GV")</f>
        <v xml:space="preserve"> GV</v>
      </c>
      <c r="AU109" s="10" t="str">
        <f ca="1">IFERROR(__xludf.DUMMYFUNCTION("""COMPUTED_VALUE""")," International Finance Corporation")</f>
        <v xml:space="preserve"> International Finance Corporation</v>
      </c>
      <c r="AV109" s="10" t="str">
        <f ca="1">IFERROR(__xludf.DUMMYFUNCTION("""COMPUTED_VALUE""")," Susa Ventures")</f>
        <v xml:space="preserve"> Susa Ventures</v>
      </c>
      <c r="AW109" s="10" t="str">
        <f ca="1">IFERROR(__xludf.DUMMYFUNCTION("""COMPUTED_VALUE""")," PlayFair Capital")</f>
        <v xml:space="preserve"> PlayFair Capital</v>
      </c>
      <c r="AX109" s="10" t="str">
        <f ca="1">IFERROR(__xludf.DUMMYFUNCTION("""COMPUTED_VALUE""")," GSV Acceleration")</f>
        <v xml:space="preserve"> GSV Acceleration</v>
      </c>
      <c r="AY109" s="10" t="str">
        <f ca="1">IFERROR(__xludf.DUMMYFUNCTION("""COMPUTED_VALUE""")," Arena Ventures")</f>
        <v xml:space="preserve"> Arena Ventures</v>
      </c>
      <c r="AZ109" s="10" t="str">
        <f ca="1">IFERROR(__xludf.DUMMYFUNCTION("""COMPUTED_VALUE""")," CRE Venture Capital")</f>
        <v xml:space="preserve"> CRE Venture Capital</v>
      </c>
      <c r="BA109" s="10" t="str">
        <f ca="1">IFERROR(__xludf.DUMMYFUNCTION("""COMPUTED_VALUE""")," Golden Palm Investments")</f>
        <v xml:space="preserve"> Golden Palm Investments</v>
      </c>
      <c r="BB109" s="10" t="str">
        <f ca="1">IFERROR(__xludf.DUMMYFUNCTION("""COMPUTED_VALUE""")," Future Perfect Ventures")</f>
        <v xml:space="preserve"> Future Perfect Ventures</v>
      </c>
      <c r="BC109" s="10"/>
      <c r="BD109" s="10"/>
      <c r="BE109" s="10"/>
      <c r="BF109" s="10"/>
      <c r="BG109" s="10"/>
      <c r="BH109" s="10"/>
      <c r="BI109" s="10"/>
      <c r="BJ109" s="10"/>
      <c r="BK109" s="10"/>
      <c r="BM109" s="10"/>
    </row>
    <row r="110" spans="1:65" ht="12.75">
      <c r="A110" s="9">
        <v>42204</v>
      </c>
      <c r="B110" s="10" t="s">
        <v>295</v>
      </c>
      <c r="C110" s="11">
        <v>20000</v>
      </c>
      <c r="D110" s="12"/>
      <c r="E110" s="10" t="s">
        <v>45</v>
      </c>
      <c r="F110" s="10" t="s">
        <v>296</v>
      </c>
      <c r="G110" s="13" t="s">
        <v>297</v>
      </c>
      <c r="H110" s="14" t="str">
        <f t="array" ref="H110">IFERROR(INDEX([1]Companies!$G:$G,MATCH(B110,[1]Companies!$A:$A,0)),"")</f>
        <v>Egypt</v>
      </c>
      <c r="I110" s="14" t="str">
        <f t="shared" si="189"/>
        <v>Egypt</v>
      </c>
      <c r="J110" s="14" t="str">
        <f t="array" ref="J110">IFERROR(INDEX([1]Companies!$Y:$Y,MATCH(B110,[1]Companies!$A:$A,0)),"")</f>
        <v>Credit, Financial Services, Software</v>
      </c>
      <c r="K110" s="14" t="str">
        <f t="array" ref="K110">IFERROR(INDEX([1]Companies!$X:$X,MATCH(B110,[1]Companies!$A:$A,0)),"")</f>
        <v>Financial Services</v>
      </c>
      <c r="L110" s="14" t="str">
        <f>VLOOKUP(B110,[1]Companies!$A$1:$C$5243,1,FALSE)</f>
        <v>Moneyfellows</v>
      </c>
      <c r="M110" s="15">
        <f t="shared" si="190"/>
        <v>0.9</v>
      </c>
      <c r="N110" s="10"/>
      <c r="O110" s="14"/>
      <c r="P110" s="14"/>
      <c r="Q110" s="14"/>
      <c r="R110" s="14"/>
      <c r="S110" s="14"/>
      <c r="T110" s="14"/>
      <c r="U110" s="14"/>
      <c r="V110" s="14">
        <f t="shared" si="1"/>
        <v>2015</v>
      </c>
      <c r="W110" s="14">
        <f t="shared" si="2"/>
        <v>7</v>
      </c>
      <c r="X110" s="14">
        <f>VLOOKUP(W110,[1]Lookups!$P$3:$S$15,2,FALSE)</f>
        <v>3</v>
      </c>
      <c r="Y110" s="16">
        <f>VLOOKUP(W110,[1]Lookups!$P$3:$U$15,3,FALSE)</f>
        <v>2</v>
      </c>
      <c r="Z110" s="16">
        <f t="shared" si="3"/>
        <v>1</v>
      </c>
      <c r="AA110" s="16" t="str">
        <f t="shared" ca="1" si="191"/>
        <v>Spark Capital</v>
      </c>
      <c r="AB110" s="16">
        <f t="shared" si="191"/>
        <v>0</v>
      </c>
      <c r="AC110" s="16">
        <f t="shared" si="191"/>
        <v>0</v>
      </c>
      <c r="AD110" s="16">
        <f t="shared" si="191"/>
        <v>0</v>
      </c>
      <c r="AE110" s="16">
        <f t="shared" si="191"/>
        <v>0</v>
      </c>
      <c r="AF110" s="16">
        <f t="shared" si="191"/>
        <v>0</v>
      </c>
      <c r="AG110" s="16">
        <f t="shared" si="191"/>
        <v>0</v>
      </c>
      <c r="AH110" s="16">
        <f t="shared" si="191"/>
        <v>0</v>
      </c>
      <c r="AI110" s="16">
        <f t="shared" si="191"/>
        <v>0</v>
      </c>
      <c r="AJ110" s="16">
        <f t="shared" si="191"/>
        <v>0</v>
      </c>
      <c r="AK110" s="16">
        <f t="shared" si="191"/>
        <v>0</v>
      </c>
      <c r="AL110" s="16">
        <f t="shared" si="191"/>
        <v>0</v>
      </c>
      <c r="AM110" s="16">
        <f t="shared" si="191"/>
        <v>0</v>
      </c>
      <c r="AN110" s="16">
        <f t="shared" si="191"/>
        <v>0</v>
      </c>
      <c r="AO110" s="16">
        <f t="shared" si="191"/>
        <v>0</v>
      </c>
      <c r="AP110" s="10"/>
      <c r="AQ110" s="10"/>
      <c r="AR110" s="10"/>
      <c r="AS110" s="10" t="str">
        <f t="shared" ref="AS110" ca="1" si="193">IFERROR(__xludf.DUMMYFUNCTION("split(F109,"","",true,true)"),"Spark Capital")</f>
        <v>Spark Capital</v>
      </c>
      <c r="AT110" s="10"/>
      <c r="AU110" s="10"/>
      <c r="AV110" s="10"/>
      <c r="AW110" s="10"/>
      <c r="AX110" s="10"/>
      <c r="AY110" s="10"/>
      <c r="AZ110" s="10"/>
      <c r="BA110" s="10"/>
      <c r="BB110" s="10"/>
      <c r="BC110" s="10"/>
      <c r="BD110" s="10"/>
      <c r="BE110" s="10"/>
      <c r="BF110" s="10"/>
      <c r="BG110" s="10"/>
      <c r="BH110" s="10"/>
      <c r="BI110" s="10"/>
      <c r="BJ110" s="10"/>
      <c r="BK110" s="10"/>
      <c r="BM110" s="10"/>
    </row>
    <row r="111" spans="1:65" ht="12.75">
      <c r="A111" s="18">
        <v>42217</v>
      </c>
      <c r="B111" s="14" t="s">
        <v>298</v>
      </c>
      <c r="C111" s="19">
        <v>142000</v>
      </c>
      <c r="D111" s="22"/>
      <c r="E111" s="14" t="s">
        <v>234</v>
      </c>
      <c r="F111" s="14" t="s">
        <v>299</v>
      </c>
      <c r="G111" s="21" t="s">
        <v>300</v>
      </c>
      <c r="H111" s="14" t="str">
        <f t="array" ref="H111">IFERROR(INDEX([1]Companies!$G:$G,MATCH(B111,[1]Companies!$A:$A,0)),"")</f>
        <v>South Africa</v>
      </c>
      <c r="I111" s="14" t="str">
        <f t="shared" si="189"/>
        <v>South Africa</v>
      </c>
      <c r="J111" s="14" t="str">
        <f t="array" ref="J111">IFERROR(INDEX([1]Companies!$Y:$Y,MATCH(B111,[1]Companies!$A:$A,0)),"")</f>
        <v>Banking, FinTech, Incubators</v>
      </c>
      <c r="K111" s="14" t="str">
        <f t="array" ref="K111">IFERROR(INDEX([1]Companies!$X:$X,MATCH(B111,[1]Companies!$A:$A,0)),"")</f>
        <v>Financial Services</v>
      </c>
      <c r="L111" s="14" t="str">
        <f>VLOOKUP(B111,[1]Companies!$A$1:$C$5243,1,FALSE)</f>
        <v>Fintec Labs</v>
      </c>
      <c r="M111" s="15">
        <f t="shared" si="190"/>
        <v>0.9</v>
      </c>
      <c r="N111" s="10" t="str">
        <f>CONCATENATE(A111,B111,C111)</f>
        <v>42217Fintec Labs142000</v>
      </c>
      <c r="O111" s="14" t="str">
        <f>IF(A111 = "","",IF(COUNTIF(N:N,CONCATENATE(A111,B111,C111))&gt;1,"Duplicated",""))</f>
        <v/>
      </c>
      <c r="P111" s="14">
        <f>IF(C111="Undisclosed",0,1)</f>
        <v>1</v>
      </c>
      <c r="Q111" s="14">
        <f t="array" ref="Q111">IFERROR(INDEX([1]Companies!$D:$D,MATCH(B111,[1]Companies!$A:$A,0)),"")</f>
        <v>2015</v>
      </c>
      <c r="R111" s="17">
        <f>SUMIF(B:B,B111,C:C)</f>
        <v>6397000</v>
      </c>
      <c r="S111" s="14">
        <f>VLOOKUP(I111,[1]Lookups!$V$3:$Y$197,4,FALSE)</f>
        <v>0</v>
      </c>
      <c r="T111" s="14" t="str">
        <f>VLOOKUP(E111,[1]Lookups!$H$3:$I$71,2,FALSE)</f>
        <v>2. Seed</v>
      </c>
      <c r="U111" s="14" t="str">
        <f>VLOOKUP(K111,[1]Lookups!$B$3:$C$142,2,FALSE)</f>
        <v>Financial Services</v>
      </c>
      <c r="V111" s="14">
        <f t="shared" si="1"/>
        <v>2015</v>
      </c>
      <c r="W111" s="14">
        <f t="shared" si="2"/>
        <v>8</v>
      </c>
      <c r="X111" s="14">
        <f>VLOOKUP(W111,[1]Lookups!$P$3:$S$15,2,FALSE)</f>
        <v>3</v>
      </c>
      <c r="Y111" s="16">
        <f>VLOOKUP(W111,[1]Lookups!$P$3:$U$15,3,FALSE)</f>
        <v>2</v>
      </c>
      <c r="Z111" s="16">
        <f t="shared" si="3"/>
        <v>2</v>
      </c>
      <c r="AA111" s="16" t="str">
        <f t="shared" ca="1" si="191"/>
        <v>Spark Capital</v>
      </c>
      <c r="AB111" s="16" t="str">
        <f t="shared" ca="1" si="191"/>
        <v xml:space="preserve"> Willem van Zyl</v>
      </c>
      <c r="AC111" s="16">
        <f t="shared" si="191"/>
        <v>0</v>
      </c>
      <c r="AD111" s="16">
        <f t="shared" si="191"/>
        <v>0</v>
      </c>
      <c r="AE111" s="16">
        <f t="shared" si="191"/>
        <v>0</v>
      </c>
      <c r="AF111" s="16">
        <f t="shared" si="191"/>
        <v>0</v>
      </c>
      <c r="AG111" s="16">
        <f t="shared" si="191"/>
        <v>0</v>
      </c>
      <c r="AH111" s="16">
        <f t="shared" si="191"/>
        <v>0</v>
      </c>
      <c r="AI111" s="16">
        <f t="shared" si="191"/>
        <v>0</v>
      </c>
      <c r="AJ111" s="16">
        <f t="shared" si="191"/>
        <v>0</v>
      </c>
      <c r="AK111" s="16">
        <f t="shared" si="191"/>
        <v>0</v>
      </c>
      <c r="AL111" s="16">
        <f t="shared" si="191"/>
        <v>0</v>
      </c>
      <c r="AM111" s="16">
        <f t="shared" si="191"/>
        <v>0</v>
      </c>
      <c r="AN111" s="16">
        <f t="shared" si="191"/>
        <v>0</v>
      </c>
      <c r="AO111" s="16">
        <f t="shared" si="191"/>
        <v>0</v>
      </c>
      <c r="AP111" s="10"/>
      <c r="AQ111" s="10"/>
      <c r="AR111" s="10"/>
      <c r="AS111" s="10" t="str">
        <f t="shared" ref="AS111:AS112" ca="1" si="194">IFERROR(__xludf.DUMMYFUNCTION("split(F109,"","",true,true)"),"Spark Capital")</f>
        <v>Spark Capital</v>
      </c>
      <c r="AT111" s="25" t="str">
        <f ca="1">IFERROR(__xludf.DUMMYFUNCTION("""COMPUTED_VALUE""")," Willem van Zyl")</f>
        <v xml:space="preserve"> Willem van Zyl</v>
      </c>
      <c r="AU111" s="25"/>
      <c r="AV111" s="25"/>
      <c r="AW111" s="25"/>
      <c r="AX111" s="25"/>
      <c r="AY111" s="25"/>
      <c r="AZ111" s="25"/>
      <c r="BA111" s="25"/>
      <c r="BB111" s="25"/>
      <c r="BC111" s="25"/>
      <c r="BD111" s="25"/>
      <c r="BE111" s="25"/>
      <c r="BF111" s="25"/>
      <c r="BG111" s="25"/>
      <c r="BH111" s="25"/>
      <c r="BI111" s="25"/>
      <c r="BJ111" s="25"/>
      <c r="BK111" s="25"/>
      <c r="BM111" s="25"/>
    </row>
    <row r="112" spans="1:65" ht="12.75">
      <c r="A112" s="9">
        <v>42217</v>
      </c>
      <c r="B112" s="10" t="s">
        <v>136</v>
      </c>
      <c r="C112" s="11">
        <v>1700000</v>
      </c>
      <c r="D112" s="12"/>
      <c r="E112" s="10" t="s">
        <v>45</v>
      </c>
      <c r="F112" s="13" t="s">
        <v>137</v>
      </c>
      <c r="G112" s="10"/>
      <c r="H112" s="14"/>
      <c r="I112" s="14"/>
      <c r="J112" s="14"/>
      <c r="K112" s="14"/>
      <c r="L112" s="14"/>
      <c r="M112" s="15"/>
      <c r="N112" s="10"/>
      <c r="O112" s="14"/>
      <c r="P112" s="14"/>
      <c r="Q112" s="14"/>
      <c r="R112" s="14"/>
      <c r="S112" s="14"/>
      <c r="T112" s="14"/>
      <c r="U112" s="14"/>
      <c r="V112" s="14">
        <f t="shared" si="1"/>
        <v>2015</v>
      </c>
      <c r="W112" s="14">
        <f t="shared" si="2"/>
        <v>8</v>
      </c>
      <c r="X112" s="14">
        <f>VLOOKUP(W112,[1]Lookups!$P$3:$S$15,2,FALSE)</f>
        <v>3</v>
      </c>
      <c r="Y112" s="16">
        <f>VLOOKUP(W112,[1]Lookups!$P$3:$U$15,3,FALSE)</f>
        <v>2</v>
      </c>
      <c r="Z112" s="16">
        <f t="shared" si="3"/>
        <v>1</v>
      </c>
      <c r="AA112" s="26" t="str">
        <f t="shared" ca="1" si="191"/>
        <v>Spark Capital</v>
      </c>
      <c r="AB112" s="16">
        <f t="shared" si="191"/>
        <v>0</v>
      </c>
      <c r="AC112" s="16">
        <f t="shared" si="191"/>
        <v>0</v>
      </c>
      <c r="AD112" s="16">
        <f t="shared" si="191"/>
        <v>0</v>
      </c>
      <c r="AE112" s="16">
        <f t="shared" si="191"/>
        <v>0</v>
      </c>
      <c r="AF112" s="16">
        <f t="shared" si="191"/>
        <v>0</v>
      </c>
      <c r="AG112" s="16">
        <f t="shared" si="191"/>
        <v>0</v>
      </c>
      <c r="AH112" s="16">
        <f t="shared" si="191"/>
        <v>0</v>
      </c>
      <c r="AI112" s="16">
        <f t="shared" si="191"/>
        <v>0</v>
      </c>
      <c r="AJ112" s="16">
        <f t="shared" si="191"/>
        <v>0</v>
      </c>
      <c r="AK112" s="16">
        <f t="shared" si="191"/>
        <v>0</v>
      </c>
      <c r="AL112" s="16">
        <f t="shared" si="191"/>
        <v>0</v>
      </c>
      <c r="AM112" s="16">
        <f t="shared" si="191"/>
        <v>0</v>
      </c>
      <c r="AN112" s="16">
        <f t="shared" si="191"/>
        <v>0</v>
      </c>
      <c r="AO112" s="16">
        <f t="shared" si="191"/>
        <v>0</v>
      </c>
      <c r="AP112" s="10"/>
      <c r="AQ112" s="10"/>
      <c r="AR112" s="10"/>
      <c r="AS112" s="13" t="str">
        <f t="shared" ca="1" si="194"/>
        <v>Spark Capital</v>
      </c>
      <c r="AT112" s="10"/>
      <c r="AU112" s="10"/>
      <c r="AV112" s="10"/>
      <c r="AW112" s="10"/>
      <c r="AX112" s="10"/>
      <c r="AY112" s="10"/>
      <c r="AZ112" s="10"/>
      <c r="BA112" s="10"/>
      <c r="BB112" s="10"/>
      <c r="BC112" s="10"/>
      <c r="BD112" s="10"/>
      <c r="BE112" s="10"/>
      <c r="BF112" s="10"/>
      <c r="BG112" s="10"/>
      <c r="BH112" s="10"/>
      <c r="BI112" s="10"/>
      <c r="BJ112" s="10"/>
      <c r="BK112" s="10"/>
      <c r="BM112" s="10"/>
    </row>
    <row r="113" spans="1:65" ht="12.75">
      <c r="A113" s="9">
        <v>42234</v>
      </c>
      <c r="B113" s="10" t="s">
        <v>301</v>
      </c>
      <c r="C113" s="11">
        <v>1000000</v>
      </c>
      <c r="D113" s="12"/>
      <c r="E113" s="10" t="s">
        <v>45</v>
      </c>
      <c r="F113" s="10" t="s">
        <v>302</v>
      </c>
      <c r="G113" s="13" t="s">
        <v>303</v>
      </c>
      <c r="H113" s="14" t="str">
        <f t="array" ref="H113">IFERROR(INDEX([1]Companies!$G:$G,MATCH(B113,[1]Companies!$A:$A,0)),"")</f>
        <v>Senegal</v>
      </c>
      <c r="I113" s="14" t="str">
        <f t="shared" ref="I113:I135" si="195">IF(LEN(TRIM(H113))-LEN(SUBSTITUTE(TRIM(H113),",","")) &gt; 0,TRIM(RIGHT(H113,LEN(H113)-FIND(",",H113))),H113)</f>
        <v>Senegal</v>
      </c>
      <c r="J113" s="14" t="str">
        <f t="array" ref="J113">IFERROR(INDEX([1]Companies!$Y:$Y,MATCH(B113,[1]Companies!$A:$A,0)),"")</f>
        <v>Environmental Consulting, Financial Services, Renewable Energy, Solar</v>
      </c>
      <c r="K113" s="14" t="str">
        <f t="array" ref="K113">IFERROR(INDEX([1]Companies!$X:$X,MATCH(B113,[1]Companies!$A:$A,0)),"")</f>
        <v>Energy &amp; Environment Resources</v>
      </c>
      <c r="L113" s="14" t="str">
        <f>VLOOKUP(B113,[1]Companies!$A$1:$C$5243,1,FALSE)</f>
        <v>Oolu</v>
      </c>
      <c r="M113" s="15">
        <f t="shared" ref="M113:M135" si="196">COUNTA(B113:K113)/(COUNTBLANK(B113:K113) + COUNTA(B113:K113))</f>
        <v>0.9</v>
      </c>
      <c r="N113" s="10" t="str">
        <f t="shared" ref="N113:N135" si="197">CONCATENATE(A113,B113,C113)</f>
        <v>42234Oolu1000000</v>
      </c>
      <c r="O113" s="14" t="str">
        <f t="shared" ref="O113:O135" si="198">IF(A113 = "","",IF(COUNTIF(N:N,CONCATENATE(A113,B113,C113))&gt;1,"Duplicated",""))</f>
        <v/>
      </c>
      <c r="P113" s="14">
        <f t="shared" ref="P113:P135" si="199">IF(C113="Undisclosed",0,1)</f>
        <v>1</v>
      </c>
      <c r="Q113" s="14">
        <f t="array" ref="Q113">IFERROR(INDEX([1]Companies!$D:$D,MATCH(B113,[1]Companies!$A:$A,0)),"")</f>
        <v>2015</v>
      </c>
      <c r="R113" s="17">
        <f t="shared" ref="R113:R135" si="200">SUMIF(B:B,B113,C:C)</f>
        <v>4200000</v>
      </c>
      <c r="S113" s="14">
        <f>VLOOKUP(I113,[1]Lookups!$V$3:$Y$197,4,FALSE)</f>
        <v>0</v>
      </c>
      <c r="T113" s="14" t="str">
        <f>VLOOKUP(E113,[1]Lookups!$H$3:$I$71,2,FALSE)</f>
        <v>2. Seed</v>
      </c>
      <c r="U113" s="14" t="e">
        <f>VLOOKUP(K113,[1]Lookups!$B$3:$C$142,2,FALSE)</f>
        <v>#N/A</v>
      </c>
      <c r="V113" s="14">
        <f t="shared" si="1"/>
        <v>2015</v>
      </c>
      <c r="W113" s="14">
        <f t="shared" si="2"/>
        <v>8</v>
      </c>
      <c r="X113" s="14">
        <f>VLOOKUP(W113,[1]Lookups!$P$3:$S$15,2,FALSE)</f>
        <v>3</v>
      </c>
      <c r="Y113" s="16">
        <f>VLOOKUP(W113,[1]Lookups!$P$3:$U$15,3,FALSE)</f>
        <v>2</v>
      </c>
      <c r="Z113" s="16">
        <f t="shared" si="3"/>
        <v>2</v>
      </c>
      <c r="AA113" s="16" t="str">
        <f t="shared" ca="1" si="191"/>
        <v>Spark Capital</v>
      </c>
      <c r="AB113" s="16" t="str">
        <f t="shared" ca="1" si="191"/>
        <v xml:space="preserve"> Investo</v>
      </c>
      <c r="AC113" s="16">
        <f t="shared" si="191"/>
        <v>0</v>
      </c>
      <c r="AD113" s="16">
        <f t="shared" si="191"/>
        <v>0</v>
      </c>
      <c r="AE113" s="16">
        <f t="shared" si="191"/>
        <v>0</v>
      </c>
      <c r="AF113" s="16">
        <f t="shared" si="191"/>
        <v>0</v>
      </c>
      <c r="AG113" s="16">
        <f t="shared" si="191"/>
        <v>0</v>
      </c>
      <c r="AH113" s="16">
        <f t="shared" si="191"/>
        <v>0</v>
      </c>
      <c r="AI113" s="16">
        <f t="shared" si="191"/>
        <v>0</v>
      </c>
      <c r="AJ113" s="16">
        <f t="shared" si="191"/>
        <v>0</v>
      </c>
      <c r="AK113" s="16">
        <f t="shared" si="191"/>
        <v>0</v>
      </c>
      <c r="AL113" s="16">
        <f t="shared" si="191"/>
        <v>0</v>
      </c>
      <c r="AM113" s="16">
        <f t="shared" si="191"/>
        <v>0</v>
      </c>
      <c r="AN113" s="16">
        <f t="shared" si="191"/>
        <v>0</v>
      </c>
      <c r="AO113" s="16">
        <f t="shared" si="191"/>
        <v>0</v>
      </c>
      <c r="AP113" s="10"/>
      <c r="AQ113" s="10"/>
      <c r="AR113" s="10"/>
      <c r="AS113" s="10" t="str">
        <f t="shared" ref="AS113" ca="1" si="201">IFERROR(__xludf.DUMMYFUNCTION("split(F109,"","",true,true)"),"Spark Capital")</f>
        <v>Spark Capital</v>
      </c>
      <c r="AT113" s="10" t="str">
        <f ca="1">IFERROR(__xludf.DUMMYFUNCTION("""COMPUTED_VALUE""")," Investo")</f>
        <v xml:space="preserve"> Investo</v>
      </c>
      <c r="AU113" s="10"/>
      <c r="AV113" s="10"/>
      <c r="AW113" s="10"/>
      <c r="AX113" s="10"/>
      <c r="AY113" s="10"/>
      <c r="AZ113" s="10"/>
      <c r="BA113" s="10"/>
      <c r="BB113" s="10"/>
      <c r="BC113" s="10"/>
      <c r="BD113" s="10"/>
      <c r="BE113" s="10"/>
      <c r="BF113" s="10"/>
      <c r="BG113" s="10"/>
      <c r="BH113" s="10"/>
      <c r="BI113" s="10"/>
      <c r="BJ113" s="10"/>
      <c r="BK113" s="10"/>
      <c r="BM113" s="10"/>
    </row>
    <row r="114" spans="1:65" ht="12.75">
      <c r="A114" s="9">
        <v>42234</v>
      </c>
      <c r="B114" s="10" t="s">
        <v>304</v>
      </c>
      <c r="C114" s="11">
        <v>120000</v>
      </c>
      <c r="D114" s="12"/>
      <c r="E114" s="14" t="s">
        <v>45</v>
      </c>
      <c r="F114" s="10" t="s">
        <v>305</v>
      </c>
      <c r="G114" s="13" t="s">
        <v>306</v>
      </c>
      <c r="H114" s="14" t="str">
        <f t="array" ref="H114">IFERROR(INDEX([1]Companies!$G:$G,MATCH(B114,[1]Companies!$A:$A,0)),"")</f>
        <v>France</v>
      </c>
      <c r="I114" s="14" t="str">
        <f t="shared" si="195"/>
        <v>France</v>
      </c>
      <c r="J114" s="14" t="str">
        <f t="array" ref="J114">IFERROR(INDEX([1]Companies!$Y:$Y,MATCH(B114,[1]Companies!$A:$A,0)),"")</f>
        <v>Film, Media and Entertainment, Subscription Service</v>
      </c>
      <c r="K114" s="14" t="str">
        <f t="array" ref="K114">IFERROR(INDEX([1]Companies!$X:$X,MATCH(B114,[1]Companies!$A:$A,0)),"")</f>
        <v>Media &amp; Entertainment</v>
      </c>
      <c r="L114" s="14" t="str">
        <f>VLOOKUP(B114,[1]Companies!$A$1:$C$5243,1,FALSE)</f>
        <v>Afrostream</v>
      </c>
      <c r="M114" s="15">
        <f t="shared" si="196"/>
        <v>0.9</v>
      </c>
      <c r="N114" s="10" t="str">
        <f t="shared" si="197"/>
        <v>42234Afrostream120000</v>
      </c>
      <c r="O114" s="14" t="str">
        <f t="shared" si="198"/>
        <v/>
      </c>
      <c r="P114" s="14">
        <f t="shared" si="199"/>
        <v>1</v>
      </c>
      <c r="Q114" s="14">
        <f t="array" ref="Q114">IFERROR(INDEX([1]Companies!$D:$D,MATCH(B114,[1]Companies!$A:$A,0)),"")</f>
        <v>2014</v>
      </c>
      <c r="R114" s="17">
        <f t="shared" si="200"/>
        <v>120000</v>
      </c>
      <c r="S114" s="14">
        <f>VLOOKUP(I114,[1]Lookups!$V$3:$Y$197,4,FALSE)</f>
        <v>1</v>
      </c>
      <c r="T114" s="14" t="str">
        <f>VLOOKUP(E114,[1]Lookups!$H$3:$I$71,2,FALSE)</f>
        <v>2. Seed</v>
      </c>
      <c r="U114" s="14" t="str">
        <f>VLOOKUP(K114,[1]Lookups!$B$3:$C$142,2,FALSE)</f>
        <v>Media &amp; Entertainment</v>
      </c>
      <c r="V114" s="14">
        <f t="shared" si="1"/>
        <v>2015</v>
      </c>
      <c r="W114" s="14">
        <f t="shared" si="2"/>
        <v>8</v>
      </c>
      <c r="X114" s="14">
        <f>VLOOKUP(W114,[1]Lookups!$P$3:$S$15,2,FALSE)</f>
        <v>3</v>
      </c>
      <c r="Y114" s="16">
        <f>VLOOKUP(W114,[1]Lookups!$P$3:$U$15,3,FALSE)</f>
        <v>2</v>
      </c>
      <c r="Z114" s="16">
        <f t="shared" si="3"/>
        <v>1</v>
      </c>
      <c r="AA114" s="16" t="str">
        <f t="shared" ca="1" si="191"/>
        <v>Spark Capital</v>
      </c>
      <c r="AB114" s="16">
        <f t="shared" si="191"/>
        <v>0</v>
      </c>
      <c r="AC114" s="16">
        <f t="shared" si="191"/>
        <v>0</v>
      </c>
      <c r="AD114" s="16">
        <f t="shared" si="191"/>
        <v>0</v>
      </c>
      <c r="AE114" s="16">
        <f t="shared" si="191"/>
        <v>0</v>
      </c>
      <c r="AF114" s="16">
        <f t="shared" si="191"/>
        <v>0</v>
      </c>
      <c r="AG114" s="16">
        <f t="shared" si="191"/>
        <v>0</v>
      </c>
      <c r="AH114" s="16">
        <f t="shared" si="191"/>
        <v>0</v>
      </c>
      <c r="AI114" s="16">
        <f t="shared" si="191"/>
        <v>0</v>
      </c>
      <c r="AJ114" s="16">
        <f t="shared" si="191"/>
        <v>0</v>
      </c>
      <c r="AK114" s="16">
        <f t="shared" si="191"/>
        <v>0</v>
      </c>
      <c r="AL114" s="16">
        <f t="shared" si="191"/>
        <v>0</v>
      </c>
      <c r="AM114" s="16">
        <f t="shared" si="191"/>
        <v>0</v>
      </c>
      <c r="AN114" s="16">
        <f t="shared" si="191"/>
        <v>0</v>
      </c>
      <c r="AO114" s="16">
        <f t="shared" si="191"/>
        <v>0</v>
      </c>
      <c r="AP114" s="10"/>
      <c r="AQ114" s="10"/>
      <c r="AR114" s="10"/>
      <c r="AS114" s="10" t="str">
        <f t="shared" ref="AS114" ca="1" si="202">IFERROR(__xludf.DUMMYFUNCTION("split(F109,"","",true,true)"),"Spark Capital")</f>
        <v>Spark Capital</v>
      </c>
      <c r="AT114" s="10"/>
      <c r="AU114" s="10"/>
      <c r="AV114" s="10"/>
      <c r="AW114" s="10"/>
      <c r="AX114" s="10"/>
      <c r="AY114" s="10"/>
      <c r="AZ114" s="10"/>
      <c r="BA114" s="10"/>
      <c r="BB114" s="10"/>
      <c r="BC114" s="10"/>
      <c r="BD114" s="10"/>
      <c r="BE114" s="10"/>
      <c r="BF114" s="10"/>
      <c r="BG114" s="10"/>
      <c r="BH114" s="10"/>
      <c r="BI114" s="10"/>
      <c r="BJ114" s="10"/>
      <c r="BK114" s="10"/>
      <c r="BM114" s="10"/>
    </row>
    <row r="115" spans="1:65" ht="12.75">
      <c r="A115" s="9">
        <v>42242</v>
      </c>
      <c r="B115" s="10" t="s">
        <v>64</v>
      </c>
      <c r="C115" s="11">
        <v>1700000</v>
      </c>
      <c r="D115" s="12"/>
      <c r="E115" s="10" t="s">
        <v>69</v>
      </c>
      <c r="F115" s="10" t="s">
        <v>307</v>
      </c>
      <c r="G115" s="13" t="s">
        <v>308</v>
      </c>
      <c r="H115" s="14" t="str">
        <f t="array" ref="H115">IFERROR(INDEX([1]Companies!$G:$G,MATCH(B115,[1]Companies!$A:$A,0)),"")</f>
        <v>Egypt</v>
      </c>
      <c r="I115" s="14" t="str">
        <f t="shared" si="195"/>
        <v>Egypt</v>
      </c>
      <c r="J115" s="14" t="str">
        <f t="array" ref="J115">IFERROR(INDEX([1]Companies!$Y:$Y,MATCH(B115,[1]Companies!$A:$A,0)),"")</f>
        <v>Information Services, Information Technology, Software, Web Development</v>
      </c>
      <c r="K115" s="14" t="str">
        <f t="array" ref="K115">IFERROR(INDEX([1]Companies!$X:$X,MATCH(B115,[1]Companies!$A:$A,0)),"")</f>
        <v>Recruitment</v>
      </c>
      <c r="L115" s="14" t="str">
        <f>VLOOKUP(B115,[1]Companies!$A$1:$C$5243,1,FALSE)</f>
        <v>Wuzzuf</v>
      </c>
      <c r="M115" s="15">
        <f t="shared" si="196"/>
        <v>0.9</v>
      </c>
      <c r="N115" s="10" t="str">
        <f t="shared" si="197"/>
        <v>42242Wuzzuf1700000</v>
      </c>
      <c r="O115" s="14" t="str">
        <f t="shared" si="198"/>
        <v/>
      </c>
      <c r="P115" s="14">
        <f t="shared" si="199"/>
        <v>1</v>
      </c>
      <c r="Q115" s="14">
        <f t="array" ref="Q115">IFERROR(INDEX([1]Companies!$D:$D,MATCH(B115,[1]Companies!$A:$A,0)),"")</f>
        <v>2009</v>
      </c>
      <c r="R115" s="17">
        <f t="shared" si="200"/>
        <v>7850000</v>
      </c>
      <c r="S115" s="14">
        <f>VLOOKUP(I115,[1]Lookups!$V$3:$Y$197,4,FALSE)</f>
        <v>0</v>
      </c>
      <c r="T115" s="14" t="str">
        <f>VLOOKUP(E115,[1]Lookups!$H$3:$I$71,2,FALSE)</f>
        <v>3. Early Venture</v>
      </c>
      <c r="U115" s="14" t="str">
        <f>VLOOKUP(K115,[1]Lookups!$B$3:$C$142,2,FALSE)</f>
        <v>Employment, Talent &amp; Labour</v>
      </c>
      <c r="V115" s="14">
        <f t="shared" si="1"/>
        <v>2015</v>
      </c>
      <c r="W115" s="14">
        <f t="shared" si="2"/>
        <v>8</v>
      </c>
      <c r="X115" s="14">
        <f>VLOOKUP(W115,[1]Lookups!$P$3:$S$15,2,FALSE)</f>
        <v>3</v>
      </c>
      <c r="Y115" s="16">
        <f>VLOOKUP(W115,[1]Lookups!$P$3:$U$15,3,FALSE)</f>
        <v>2</v>
      </c>
      <c r="Z115" s="16">
        <f t="shared" si="3"/>
        <v>4</v>
      </c>
      <c r="AA115" s="16" t="str">
        <f t="shared" ca="1" si="191"/>
        <v>Spark Capital</v>
      </c>
      <c r="AB115" s="16" t="str">
        <f t="shared" ca="1" si="191"/>
        <v xml:space="preserve"> Piton Capital</v>
      </c>
      <c r="AC115" s="16" t="str">
        <f t="shared" ca="1" si="191"/>
        <v xml:space="preserve"> Endure Capital</v>
      </c>
      <c r="AD115" s="16" t="str">
        <f t="shared" ca="1" si="191"/>
        <v xml:space="preserve"> 500 Startups</v>
      </c>
      <c r="AE115" s="16">
        <f t="shared" si="191"/>
        <v>0</v>
      </c>
      <c r="AF115" s="16">
        <f t="shared" si="191"/>
        <v>0</v>
      </c>
      <c r="AG115" s="16">
        <f t="shared" si="191"/>
        <v>0</v>
      </c>
      <c r="AH115" s="16">
        <f t="shared" si="191"/>
        <v>0</v>
      </c>
      <c r="AI115" s="16">
        <f t="shared" si="191"/>
        <v>0</v>
      </c>
      <c r="AJ115" s="16">
        <f t="shared" si="191"/>
        <v>0</v>
      </c>
      <c r="AK115" s="16">
        <f t="shared" si="191"/>
        <v>0</v>
      </c>
      <c r="AL115" s="16">
        <f t="shared" si="191"/>
        <v>0</v>
      </c>
      <c r="AM115" s="16">
        <f t="shared" si="191"/>
        <v>0</v>
      </c>
      <c r="AN115" s="16">
        <f t="shared" si="191"/>
        <v>0</v>
      </c>
      <c r="AO115" s="16">
        <f t="shared" si="191"/>
        <v>0</v>
      </c>
      <c r="AP115" s="10"/>
      <c r="AQ115" s="10"/>
      <c r="AR115" s="10"/>
      <c r="AS115" s="10" t="str">
        <f t="shared" ref="AS115" ca="1" si="203">IFERROR(__xludf.DUMMYFUNCTION("split(F109,"","",true,true)"),"Spark Capital")</f>
        <v>Spark Capital</v>
      </c>
      <c r="AT115" s="10" t="str">
        <f ca="1">IFERROR(__xludf.DUMMYFUNCTION("""COMPUTED_VALUE""")," Piton Capital")</f>
        <v xml:space="preserve"> Piton Capital</v>
      </c>
      <c r="AU115" s="10" t="str">
        <f ca="1">IFERROR(__xludf.DUMMYFUNCTION("""COMPUTED_VALUE""")," Endure Capital")</f>
        <v xml:space="preserve"> Endure Capital</v>
      </c>
      <c r="AV115" s="10" t="str">
        <f ca="1">IFERROR(__xludf.DUMMYFUNCTION("""COMPUTED_VALUE""")," 500 Startups")</f>
        <v xml:space="preserve"> 500 Startups</v>
      </c>
      <c r="AW115" s="10"/>
      <c r="AX115" s="10"/>
      <c r="AY115" s="10"/>
      <c r="AZ115" s="10"/>
      <c r="BA115" s="10"/>
      <c r="BB115" s="10"/>
      <c r="BC115" s="10"/>
      <c r="BD115" s="10"/>
      <c r="BE115" s="10"/>
      <c r="BF115" s="10"/>
      <c r="BG115" s="10"/>
      <c r="BH115" s="10"/>
      <c r="BI115" s="10"/>
      <c r="BJ115" s="10"/>
      <c r="BK115" s="10"/>
      <c r="BM115" s="10"/>
    </row>
    <row r="116" spans="1:65" ht="12.75">
      <c r="A116" s="9">
        <v>42248</v>
      </c>
      <c r="B116" s="10" t="s">
        <v>309</v>
      </c>
      <c r="C116" s="11" t="s">
        <v>49</v>
      </c>
      <c r="D116" s="12"/>
      <c r="E116" s="10" t="s">
        <v>45</v>
      </c>
      <c r="F116" s="10" t="s">
        <v>310</v>
      </c>
      <c r="G116" s="13" t="s">
        <v>311</v>
      </c>
      <c r="H116" s="14" t="str">
        <f t="array" ref="H116">IFERROR(INDEX([1]Companies!$G:$G,MATCH(B116,[1]Companies!$A:$A,0)),"")</f>
        <v>Nigeria</v>
      </c>
      <c r="I116" s="14" t="str">
        <f t="shared" si="195"/>
        <v>Nigeria</v>
      </c>
      <c r="J116" s="14" t="str">
        <f t="array" ref="J116">IFERROR(INDEX([1]Companies!$Y:$Y,MATCH(B116,[1]Companies!$A:$A,0)),"")</f>
        <v>Hyperlocal logistics, On-demand Delivery, Transportation, Delivery Services, E-Commerce Logsitics, Okada, and Moto-Taxi, Ride-Hailing</v>
      </c>
      <c r="K116" s="14" t="str">
        <f t="array" ref="K116">IFERROR(INDEX([1]Companies!$X:$X,MATCH(B116,[1]Companies!$A:$A,0)),"")</f>
        <v>Transport &amp; Logistics</v>
      </c>
      <c r="L116" s="21" t="str">
        <f>VLOOKUP(B116,[1]Companies!$A$1:$C$5243,1,FALSE)</f>
        <v>Max.ng</v>
      </c>
      <c r="M116" s="15">
        <f t="shared" si="196"/>
        <v>0.9</v>
      </c>
      <c r="N116" s="10" t="str">
        <f t="shared" si="197"/>
        <v>42248Max.ngUndisclosed</v>
      </c>
      <c r="O116" s="14" t="str">
        <f t="shared" si="198"/>
        <v/>
      </c>
      <c r="P116" s="14">
        <f t="shared" si="199"/>
        <v>0</v>
      </c>
      <c r="Q116" s="14">
        <f t="array" ref="Q116">IFERROR(INDEX([1]Companies!$D:$D,MATCH(B116,[1]Companies!$A:$A,0)),"")</f>
        <v>2015</v>
      </c>
      <c r="R116" s="17">
        <f t="shared" si="200"/>
        <v>8100000</v>
      </c>
      <c r="S116" s="14">
        <f>VLOOKUP(I116,[1]Lookups!$V$3:$Y$197,4,FALSE)</f>
        <v>0</v>
      </c>
      <c r="T116" s="14" t="str">
        <f>VLOOKUP(E116,[1]Lookups!$H$3:$I$71,2,FALSE)</f>
        <v>2. Seed</v>
      </c>
      <c r="U116" s="14" t="str">
        <f>VLOOKUP(K116,[1]Lookups!$B$3:$C$142,2,FALSE)</f>
        <v>Transport &amp; Logistics</v>
      </c>
      <c r="V116" s="14">
        <f t="shared" si="1"/>
        <v>2015</v>
      </c>
      <c r="W116" s="14">
        <f t="shared" si="2"/>
        <v>9</v>
      </c>
      <c r="X116" s="14">
        <f>VLOOKUP(W116,[1]Lookups!$P$3:$S$15,2,FALSE)</f>
        <v>3</v>
      </c>
      <c r="Y116" s="16">
        <f>VLOOKUP(W116,[1]Lookups!$P$3:$U$15,3,FALSE)</f>
        <v>2</v>
      </c>
      <c r="Z116" s="16">
        <f t="shared" si="3"/>
        <v>2</v>
      </c>
      <c r="AA116" s="16" t="str">
        <f t="shared" ca="1" si="191"/>
        <v>Spark Capital</v>
      </c>
      <c r="AB116" s="16" t="str">
        <f t="shared" ca="1" si="191"/>
        <v xml:space="preserve"> Techstars</v>
      </c>
      <c r="AC116" s="16">
        <f t="shared" si="191"/>
        <v>0</v>
      </c>
      <c r="AD116" s="16">
        <f t="shared" si="191"/>
        <v>0</v>
      </c>
      <c r="AE116" s="16">
        <f t="shared" si="191"/>
        <v>0</v>
      </c>
      <c r="AF116" s="16">
        <f t="shared" si="191"/>
        <v>0</v>
      </c>
      <c r="AG116" s="16">
        <f t="shared" si="191"/>
        <v>0</v>
      </c>
      <c r="AH116" s="16">
        <f t="shared" si="191"/>
        <v>0</v>
      </c>
      <c r="AI116" s="16">
        <f t="shared" si="191"/>
        <v>0</v>
      </c>
      <c r="AJ116" s="16">
        <f t="shared" si="191"/>
        <v>0</v>
      </c>
      <c r="AK116" s="16">
        <f t="shared" si="191"/>
        <v>0</v>
      </c>
      <c r="AL116" s="16">
        <f t="shared" si="191"/>
        <v>0</v>
      </c>
      <c r="AM116" s="16">
        <f t="shared" si="191"/>
        <v>0</v>
      </c>
      <c r="AN116" s="16">
        <f t="shared" si="191"/>
        <v>0</v>
      </c>
      <c r="AO116" s="16">
        <f t="shared" si="191"/>
        <v>0</v>
      </c>
      <c r="AP116" s="10"/>
      <c r="AQ116" s="10"/>
      <c r="AR116" s="10"/>
      <c r="AS116" s="10" t="str">
        <f t="shared" ref="AS116" ca="1" si="204">IFERROR(__xludf.DUMMYFUNCTION("split(F109,"","",true,true)"),"Spark Capital")</f>
        <v>Spark Capital</v>
      </c>
      <c r="AT116" s="10" t="str">
        <f ca="1">IFERROR(__xludf.DUMMYFUNCTION("""COMPUTED_VALUE""")," Techstars")</f>
        <v xml:space="preserve"> Techstars</v>
      </c>
      <c r="AU116" s="10"/>
      <c r="AV116" s="10"/>
      <c r="AW116" s="10"/>
      <c r="AX116" s="10"/>
      <c r="AY116" s="10"/>
      <c r="AZ116" s="10"/>
      <c r="BA116" s="10"/>
      <c r="BB116" s="10"/>
      <c r="BC116" s="10"/>
      <c r="BD116" s="10"/>
      <c r="BE116" s="10"/>
      <c r="BF116" s="10"/>
      <c r="BG116" s="10"/>
      <c r="BH116" s="10"/>
      <c r="BI116" s="10"/>
      <c r="BJ116" s="10"/>
      <c r="BK116" s="10"/>
      <c r="BM116" s="10"/>
    </row>
    <row r="117" spans="1:65" ht="12.75">
      <c r="A117" s="9">
        <v>42248</v>
      </c>
      <c r="B117" s="10" t="s">
        <v>312</v>
      </c>
      <c r="C117" s="11">
        <v>900000</v>
      </c>
      <c r="D117" s="12"/>
      <c r="E117" s="10" t="s">
        <v>45</v>
      </c>
      <c r="F117" s="10" t="s">
        <v>313</v>
      </c>
      <c r="G117" s="13" t="s">
        <v>314</v>
      </c>
      <c r="H117" s="14" t="str">
        <f t="array" ref="H117">IFERROR(INDEX([1]Companies!$G:$G,MATCH(B117,[1]Companies!$A:$A,0)),"")</f>
        <v>South Africa</v>
      </c>
      <c r="I117" s="14" t="str">
        <f t="shared" si="195"/>
        <v>South Africa</v>
      </c>
      <c r="J117" s="14" t="str">
        <f t="array" ref="J117">IFERROR(INDEX([1]Companies!$Y:$Y,MATCH(B117,[1]Companies!$A:$A,0)),"")</f>
        <v>Public Transport Data, Professional Services</v>
      </c>
      <c r="K117" s="14" t="str">
        <f t="array" ref="K117">IFERROR(INDEX([1]Companies!$X:$X,MATCH(B117,[1]Companies!$A:$A,0)),"")</f>
        <v>Transport &amp; Logistics</v>
      </c>
      <c r="L117" s="14" t="str">
        <f>VLOOKUP(B117,[1]Companies!$A$1:$C$5243,1,FALSE)</f>
        <v>WhereIsMyTransport</v>
      </c>
      <c r="M117" s="15">
        <f t="shared" si="196"/>
        <v>0.9</v>
      </c>
      <c r="N117" s="10" t="str">
        <f t="shared" si="197"/>
        <v>42248WhereIsMyTransport900000</v>
      </c>
      <c r="O117" s="14" t="str">
        <f t="shared" si="198"/>
        <v/>
      </c>
      <c r="P117" s="14">
        <f t="shared" si="199"/>
        <v>1</v>
      </c>
      <c r="Q117" s="14">
        <f t="array" ref="Q117">IFERROR(INDEX([1]Companies!$D:$D,MATCH(B117,[1]Companies!$A:$A,0)),"")</f>
        <v>2015</v>
      </c>
      <c r="R117" s="17">
        <f t="shared" si="200"/>
        <v>5770000</v>
      </c>
      <c r="S117" s="14">
        <f>VLOOKUP(I117,[1]Lookups!$V$3:$Y$197,4,FALSE)</f>
        <v>0</v>
      </c>
      <c r="T117" s="14" t="str">
        <f>VLOOKUP(E117,[1]Lookups!$H$3:$I$71,2,FALSE)</f>
        <v>2. Seed</v>
      </c>
      <c r="U117" s="14" t="str">
        <f>VLOOKUP(K117,[1]Lookups!$B$3:$C$142,2,FALSE)</f>
        <v>Transport &amp; Logistics</v>
      </c>
      <c r="V117" s="14">
        <f t="shared" si="1"/>
        <v>2015</v>
      </c>
      <c r="W117" s="14">
        <f t="shared" si="2"/>
        <v>9</v>
      </c>
      <c r="X117" s="14">
        <f>VLOOKUP(W117,[1]Lookups!$P$3:$S$15,2,FALSE)</f>
        <v>3</v>
      </c>
      <c r="Y117" s="16">
        <f>VLOOKUP(W117,[1]Lookups!$P$3:$U$15,3,FALSE)</f>
        <v>2</v>
      </c>
      <c r="Z117" s="16">
        <f t="shared" si="3"/>
        <v>1</v>
      </c>
      <c r="AA117" s="16" t="str">
        <f t="shared" ca="1" si="191"/>
        <v>Spark Capital</v>
      </c>
      <c r="AB117" s="16">
        <f t="shared" si="191"/>
        <v>0</v>
      </c>
      <c r="AC117" s="16">
        <f t="shared" si="191"/>
        <v>0</v>
      </c>
      <c r="AD117" s="16">
        <f t="shared" si="191"/>
        <v>0</v>
      </c>
      <c r="AE117" s="16">
        <f t="shared" si="191"/>
        <v>0</v>
      </c>
      <c r="AF117" s="16">
        <f t="shared" si="191"/>
        <v>0</v>
      </c>
      <c r="AG117" s="16">
        <f t="shared" si="191"/>
        <v>0</v>
      </c>
      <c r="AH117" s="16">
        <f t="shared" si="191"/>
        <v>0</v>
      </c>
      <c r="AI117" s="16">
        <f t="shared" si="191"/>
        <v>0</v>
      </c>
      <c r="AJ117" s="16">
        <f t="shared" si="191"/>
        <v>0</v>
      </c>
      <c r="AK117" s="16">
        <f t="shared" si="191"/>
        <v>0</v>
      </c>
      <c r="AL117" s="16">
        <f t="shared" si="191"/>
        <v>0</v>
      </c>
      <c r="AM117" s="16">
        <f t="shared" si="191"/>
        <v>0</v>
      </c>
      <c r="AN117" s="16">
        <f t="shared" si="191"/>
        <v>0</v>
      </c>
      <c r="AO117" s="16">
        <f t="shared" si="191"/>
        <v>0</v>
      </c>
      <c r="AP117" s="10"/>
      <c r="AQ117" s="10"/>
      <c r="AR117" s="10"/>
      <c r="AS117" s="10" t="str">
        <f t="shared" ref="AS117" ca="1" si="205">IFERROR(__xludf.DUMMYFUNCTION("split(F109,"","",true,true)"),"Spark Capital")</f>
        <v>Spark Capital</v>
      </c>
      <c r="AT117" s="10"/>
      <c r="AU117" s="10"/>
      <c r="AV117" s="10"/>
      <c r="AW117" s="10"/>
      <c r="AX117" s="10"/>
      <c r="AY117" s="10"/>
      <c r="AZ117" s="10"/>
      <c r="BA117" s="10"/>
      <c r="BB117" s="10"/>
      <c r="BC117" s="10"/>
      <c r="BD117" s="10"/>
      <c r="BE117" s="10"/>
      <c r="BF117" s="10"/>
      <c r="BG117" s="10"/>
      <c r="BH117" s="10"/>
      <c r="BI117" s="10"/>
      <c r="BJ117" s="10"/>
      <c r="BK117" s="10"/>
      <c r="BM117" s="10"/>
    </row>
    <row r="118" spans="1:65" ht="12.75">
      <c r="A118" s="9">
        <v>42248</v>
      </c>
      <c r="B118" s="10" t="s">
        <v>315</v>
      </c>
      <c r="C118" s="11">
        <v>180000</v>
      </c>
      <c r="D118" s="12"/>
      <c r="E118" s="10" t="s">
        <v>45</v>
      </c>
      <c r="F118" s="10" t="s">
        <v>316</v>
      </c>
      <c r="G118" s="13" t="s">
        <v>317</v>
      </c>
      <c r="H118" s="14" t="str">
        <f t="array" ref="H118">IFERROR(INDEX([1]Companies!$G:$G,MATCH(B118,[1]Companies!$A:$A,0)),"")</f>
        <v>Nigeria</v>
      </c>
      <c r="I118" s="14" t="str">
        <f t="shared" si="195"/>
        <v>Nigeria</v>
      </c>
      <c r="J118" s="14" t="str">
        <f t="array" ref="J118">IFERROR(INDEX([1]Companies!$Y:$Y,MATCH(B118,[1]Companies!$A:$A,0)),"")</f>
        <v>Human Resources Technology, Human Resources Management Software, and Human Resources Consultation</v>
      </c>
      <c r="K118" s="14" t="str">
        <f t="array" ref="K118">IFERROR(INDEX([1]Companies!$X:$X,MATCH(B118,[1]Companies!$A:$A,0)),"")</f>
        <v>Recruitment</v>
      </c>
      <c r="L118" s="14" t="str">
        <f>VLOOKUP(B118,[1]Companies!$A$1:$C$5243,1,FALSE)</f>
        <v>TalentBase</v>
      </c>
      <c r="M118" s="15">
        <f t="shared" si="196"/>
        <v>0.9</v>
      </c>
      <c r="N118" s="10" t="str">
        <f t="shared" si="197"/>
        <v>42248TalentBase180000</v>
      </c>
      <c r="O118" s="14" t="str">
        <f t="shared" si="198"/>
        <v/>
      </c>
      <c r="P118" s="14">
        <f t="shared" si="199"/>
        <v>1</v>
      </c>
      <c r="Q118" s="14">
        <f t="array" ref="Q118">IFERROR(INDEX([1]Companies!$D:$D,MATCH(B118,[1]Companies!$A:$A,0)),"")</f>
        <v>2016</v>
      </c>
      <c r="R118" s="17">
        <f t="shared" si="200"/>
        <v>330000</v>
      </c>
      <c r="S118" s="14">
        <f>VLOOKUP(I118,[1]Lookups!$V$3:$Y$197,4,FALSE)</f>
        <v>0</v>
      </c>
      <c r="T118" s="14" t="str">
        <f>VLOOKUP(E118,[1]Lookups!$H$3:$I$71,2,FALSE)</f>
        <v>2. Seed</v>
      </c>
      <c r="U118" s="14" t="str">
        <f>VLOOKUP(K118,[1]Lookups!$B$3:$C$142,2,FALSE)</f>
        <v>Employment, Talent &amp; Labour</v>
      </c>
      <c r="V118" s="14">
        <f t="shared" si="1"/>
        <v>2015</v>
      </c>
      <c r="W118" s="14">
        <f t="shared" si="2"/>
        <v>9</v>
      </c>
      <c r="X118" s="14">
        <f>VLOOKUP(W118,[1]Lookups!$P$3:$S$15,2,FALSE)</f>
        <v>3</v>
      </c>
      <c r="Y118" s="16">
        <f>VLOOKUP(W118,[1]Lookups!$P$3:$U$15,3,FALSE)</f>
        <v>2</v>
      </c>
      <c r="Z118" s="16">
        <f t="shared" si="3"/>
        <v>1</v>
      </c>
      <c r="AA118" s="16" t="str">
        <f t="shared" ca="1" si="191"/>
        <v>Spark Capital</v>
      </c>
      <c r="AB118" s="16">
        <f t="shared" si="191"/>
        <v>0</v>
      </c>
      <c r="AC118" s="16">
        <f t="shared" si="191"/>
        <v>0</v>
      </c>
      <c r="AD118" s="16">
        <f t="shared" si="191"/>
        <v>0</v>
      </c>
      <c r="AE118" s="16">
        <f t="shared" si="191"/>
        <v>0</v>
      </c>
      <c r="AF118" s="16">
        <f t="shared" si="191"/>
        <v>0</v>
      </c>
      <c r="AG118" s="16">
        <f t="shared" si="191"/>
        <v>0</v>
      </c>
      <c r="AH118" s="16">
        <f t="shared" si="191"/>
        <v>0</v>
      </c>
      <c r="AI118" s="16">
        <f t="shared" si="191"/>
        <v>0</v>
      </c>
      <c r="AJ118" s="16">
        <f t="shared" si="191"/>
        <v>0</v>
      </c>
      <c r="AK118" s="16">
        <f t="shared" si="191"/>
        <v>0</v>
      </c>
      <c r="AL118" s="16">
        <f t="shared" si="191"/>
        <v>0</v>
      </c>
      <c r="AM118" s="16">
        <f t="shared" si="191"/>
        <v>0</v>
      </c>
      <c r="AN118" s="16">
        <f t="shared" si="191"/>
        <v>0</v>
      </c>
      <c r="AO118" s="16">
        <f t="shared" si="191"/>
        <v>0</v>
      </c>
      <c r="AP118" s="10"/>
      <c r="AQ118" s="10"/>
      <c r="AR118" s="10"/>
      <c r="AS118" s="10" t="str">
        <f t="shared" ref="AS118" ca="1" si="206">IFERROR(__xludf.DUMMYFUNCTION("split(F109,"","",true,true)"),"Spark Capital")</f>
        <v>Spark Capital</v>
      </c>
      <c r="AT118" s="10"/>
      <c r="AU118" s="10"/>
      <c r="AV118" s="10"/>
      <c r="AW118" s="10"/>
      <c r="AX118" s="10"/>
      <c r="AY118" s="10"/>
      <c r="AZ118" s="10"/>
      <c r="BA118" s="10"/>
      <c r="BB118" s="10"/>
      <c r="BC118" s="10"/>
      <c r="BD118" s="10"/>
      <c r="BE118" s="10"/>
      <c r="BF118" s="10"/>
      <c r="BG118" s="10"/>
      <c r="BH118" s="10"/>
      <c r="BI118" s="10"/>
      <c r="BJ118" s="10"/>
      <c r="BK118" s="10"/>
      <c r="BM118" s="10"/>
    </row>
    <row r="119" spans="1:65" ht="12.75">
      <c r="A119" s="9">
        <v>42266</v>
      </c>
      <c r="B119" s="10" t="s">
        <v>318</v>
      </c>
      <c r="C119" s="11" t="s">
        <v>49</v>
      </c>
      <c r="D119" s="12"/>
      <c r="E119" s="14" t="s">
        <v>45</v>
      </c>
      <c r="F119" s="10" t="s">
        <v>319</v>
      </c>
      <c r="G119" s="13" t="s">
        <v>320</v>
      </c>
      <c r="H119" s="14" t="str">
        <f t="array" ref="H119">IFERROR(INDEX([1]Companies!$G:$G,MATCH(B119,[1]Companies!$A:$A,0)),"")</f>
        <v>Kenya</v>
      </c>
      <c r="I119" s="14" t="str">
        <f t="shared" si="195"/>
        <v>Kenya</v>
      </c>
      <c r="J119" s="14" t="str">
        <f t="array" ref="J119">IFERROR(INDEX([1]Companies!$Y:$Y,MATCH(B119,[1]Companies!$A:$A,0)),"")</f>
        <v>Data, Insights, Mobile surveys, Mobile rewards, Voice of the Customer, NPS, Feedback Loop, Surveys, Health and Academic Research, Customer Feedback, Customer Loyalty, Net Promoter Score, NPS, Customer Acquisition, Customer Retention</v>
      </c>
      <c r="K119" s="14" t="str">
        <f t="array" ref="K119">IFERROR(INDEX([1]Companies!$X:$X,MATCH(B119,[1]Companies!$A:$A,0)),"")</f>
        <v>Information Technology</v>
      </c>
      <c r="L119" s="14" t="str">
        <f>VLOOKUP(B119,[1]Companies!$A$1:$C$5243,1,FALSE)</f>
        <v>AJUA</v>
      </c>
      <c r="M119" s="15">
        <f t="shared" si="196"/>
        <v>0.9</v>
      </c>
      <c r="N119" s="10" t="str">
        <f t="shared" si="197"/>
        <v>42266AJUAUndisclosed</v>
      </c>
      <c r="O119" s="14" t="str">
        <f t="shared" si="198"/>
        <v/>
      </c>
      <c r="P119" s="14">
        <f t="shared" si="199"/>
        <v>0</v>
      </c>
      <c r="Q119" s="14">
        <f t="array" ref="Q119">IFERROR(INDEX([1]Companies!$D:$D,MATCH(B119,[1]Companies!$A:$A,0)),"")</f>
        <v>2012</v>
      </c>
      <c r="R119" s="17">
        <f t="shared" si="200"/>
        <v>3500000</v>
      </c>
      <c r="S119" s="14">
        <f>VLOOKUP(I119,[1]Lookups!$V$3:$Y$197,4,FALSE)</f>
        <v>0</v>
      </c>
      <c r="T119" s="14" t="str">
        <f>VLOOKUP(E119,[1]Lookups!$H$3:$I$71,2,FALSE)</f>
        <v>2. Seed</v>
      </c>
      <c r="U119" s="14" t="str">
        <f>VLOOKUP(K119,[1]Lookups!$B$3:$C$142,2,FALSE)</f>
        <v>Other Technologies &amp; Information Technology</v>
      </c>
      <c r="V119" s="14">
        <f t="shared" si="1"/>
        <v>2015</v>
      </c>
      <c r="W119" s="14">
        <f t="shared" si="2"/>
        <v>9</v>
      </c>
      <c r="X119" s="14">
        <f>VLOOKUP(W119,[1]Lookups!$P$3:$S$15,2,FALSE)</f>
        <v>3</v>
      </c>
      <c r="Y119" s="16">
        <f>VLOOKUP(W119,[1]Lookups!$P$3:$U$15,3,FALSE)</f>
        <v>2</v>
      </c>
      <c r="Z119" s="16">
        <f t="shared" si="3"/>
        <v>1</v>
      </c>
      <c r="AA119" s="16" t="str">
        <f t="shared" ca="1" si="191"/>
        <v>Spark Capital</v>
      </c>
      <c r="AB119" s="16">
        <f t="shared" si="191"/>
        <v>0</v>
      </c>
      <c r="AC119" s="16">
        <f t="shared" si="191"/>
        <v>0</v>
      </c>
      <c r="AD119" s="16">
        <f t="shared" si="191"/>
        <v>0</v>
      </c>
      <c r="AE119" s="16">
        <f t="shared" si="191"/>
        <v>0</v>
      </c>
      <c r="AF119" s="16">
        <f t="shared" si="191"/>
        <v>0</v>
      </c>
      <c r="AG119" s="16">
        <f t="shared" si="191"/>
        <v>0</v>
      </c>
      <c r="AH119" s="16">
        <f t="shared" si="191"/>
        <v>0</v>
      </c>
      <c r="AI119" s="16">
        <f t="shared" si="191"/>
        <v>0</v>
      </c>
      <c r="AJ119" s="16">
        <f t="shared" si="191"/>
        <v>0</v>
      </c>
      <c r="AK119" s="16">
        <f t="shared" si="191"/>
        <v>0</v>
      </c>
      <c r="AL119" s="16">
        <f t="shared" si="191"/>
        <v>0</v>
      </c>
      <c r="AM119" s="16">
        <f t="shared" si="191"/>
        <v>0</v>
      </c>
      <c r="AN119" s="16">
        <f t="shared" si="191"/>
        <v>0</v>
      </c>
      <c r="AO119" s="16">
        <f t="shared" si="191"/>
        <v>0</v>
      </c>
      <c r="AP119" s="10"/>
      <c r="AQ119" s="10"/>
      <c r="AR119" s="10"/>
      <c r="AS119" s="10" t="str">
        <f t="shared" ref="AS119" ca="1" si="207">IFERROR(__xludf.DUMMYFUNCTION("split(F109,"","",true,true)"),"Spark Capital")</f>
        <v>Spark Capital</v>
      </c>
      <c r="AT119" s="10"/>
      <c r="AU119" s="10"/>
      <c r="AV119" s="10"/>
      <c r="AW119" s="10"/>
      <c r="AX119" s="10"/>
      <c r="AY119" s="10"/>
      <c r="AZ119" s="10"/>
      <c r="BA119" s="10"/>
      <c r="BB119" s="10"/>
      <c r="BC119" s="10"/>
      <c r="BD119" s="10"/>
      <c r="BE119" s="10"/>
      <c r="BF119" s="10"/>
      <c r="BG119" s="10"/>
      <c r="BH119" s="10"/>
      <c r="BI119" s="10"/>
      <c r="BJ119" s="10"/>
      <c r="BK119" s="10"/>
      <c r="BM119" s="10"/>
    </row>
    <row r="120" spans="1:65" ht="12.75">
      <c r="A120" s="9">
        <v>42276</v>
      </c>
      <c r="B120" s="10" t="s">
        <v>309</v>
      </c>
      <c r="C120" s="11">
        <v>100000</v>
      </c>
      <c r="D120" s="12"/>
      <c r="E120" s="10" t="s">
        <v>234</v>
      </c>
      <c r="F120" s="10" t="s">
        <v>321</v>
      </c>
      <c r="G120" s="13" t="s">
        <v>322</v>
      </c>
      <c r="H120" s="14" t="str">
        <f t="array" ref="H120">IFERROR(INDEX([1]Companies!$G:$G,MATCH(B120,[1]Companies!$A:$A,0)),"")</f>
        <v>Nigeria</v>
      </c>
      <c r="I120" s="14" t="str">
        <f t="shared" si="195"/>
        <v>Nigeria</v>
      </c>
      <c r="J120" s="14" t="str">
        <f t="array" ref="J120">IFERROR(INDEX([1]Companies!$Y:$Y,MATCH(B120,[1]Companies!$A:$A,0)),"")</f>
        <v>Hyperlocal logistics, On-demand Delivery, Transportation, Delivery Services, E-Commerce Logsitics, Okada, and Moto-Taxi, Ride-Hailing</v>
      </c>
      <c r="K120" s="14" t="str">
        <f t="array" ref="K120">IFERROR(INDEX([1]Companies!$X:$X,MATCH(B120,[1]Companies!$A:$A,0)),"")</f>
        <v>Transport &amp; Logistics</v>
      </c>
      <c r="L120" s="21" t="str">
        <f>VLOOKUP(B120,[1]Companies!$A$1:$C$5243,1,FALSE)</f>
        <v>Max.ng</v>
      </c>
      <c r="M120" s="15">
        <f t="shared" si="196"/>
        <v>0.9</v>
      </c>
      <c r="N120" s="10" t="str">
        <f t="shared" si="197"/>
        <v>42276Max.ng100000</v>
      </c>
      <c r="O120" s="14" t="str">
        <f t="shared" si="198"/>
        <v/>
      </c>
      <c r="P120" s="14">
        <f t="shared" si="199"/>
        <v>1</v>
      </c>
      <c r="Q120" s="14">
        <f t="array" ref="Q120">IFERROR(INDEX([1]Companies!$D:$D,MATCH(B120,[1]Companies!$A:$A,0)),"")</f>
        <v>2015</v>
      </c>
      <c r="R120" s="17">
        <f t="shared" si="200"/>
        <v>8100000</v>
      </c>
      <c r="S120" s="14">
        <f>VLOOKUP(I120,[1]Lookups!$V$3:$Y$197,4,FALSE)</f>
        <v>0</v>
      </c>
      <c r="T120" s="14" t="str">
        <f>VLOOKUP(E120,[1]Lookups!$H$3:$I$71,2,FALSE)</f>
        <v>2. Seed</v>
      </c>
      <c r="U120" s="14" t="str">
        <f>VLOOKUP(K120,[1]Lookups!$B$3:$C$142,2,FALSE)</f>
        <v>Transport &amp; Logistics</v>
      </c>
      <c r="V120" s="14">
        <f t="shared" si="1"/>
        <v>2015</v>
      </c>
      <c r="W120" s="14">
        <f t="shared" si="2"/>
        <v>9</v>
      </c>
      <c r="X120" s="14">
        <f>VLOOKUP(W120,[1]Lookups!$P$3:$S$15,2,FALSE)</f>
        <v>3</v>
      </c>
      <c r="Y120" s="16">
        <f>VLOOKUP(W120,[1]Lookups!$P$3:$U$15,3,FALSE)</f>
        <v>2</v>
      </c>
      <c r="Z120" s="16">
        <f t="shared" si="3"/>
        <v>2</v>
      </c>
      <c r="AA120" s="16" t="str">
        <f t="shared" ca="1" si="191"/>
        <v>Spark Capital</v>
      </c>
      <c r="AB120" s="16" t="str">
        <f t="shared" ca="1" si="191"/>
        <v xml:space="preserve"> Amadeo Brenninkmeijer</v>
      </c>
      <c r="AC120" s="16">
        <f t="shared" si="191"/>
        <v>0</v>
      </c>
      <c r="AD120" s="16">
        <f t="shared" si="191"/>
        <v>0</v>
      </c>
      <c r="AE120" s="16">
        <f t="shared" si="191"/>
        <v>0</v>
      </c>
      <c r="AF120" s="16">
        <f t="shared" si="191"/>
        <v>0</v>
      </c>
      <c r="AG120" s="16">
        <f t="shared" si="191"/>
        <v>0</v>
      </c>
      <c r="AH120" s="16">
        <f t="shared" si="191"/>
        <v>0</v>
      </c>
      <c r="AI120" s="16">
        <f t="shared" si="191"/>
        <v>0</v>
      </c>
      <c r="AJ120" s="16">
        <f t="shared" si="191"/>
        <v>0</v>
      </c>
      <c r="AK120" s="16">
        <f t="shared" si="191"/>
        <v>0</v>
      </c>
      <c r="AL120" s="16">
        <f t="shared" si="191"/>
        <v>0</v>
      </c>
      <c r="AM120" s="16">
        <f t="shared" si="191"/>
        <v>0</v>
      </c>
      <c r="AN120" s="16">
        <f t="shared" si="191"/>
        <v>0</v>
      </c>
      <c r="AO120" s="16">
        <f t="shared" si="191"/>
        <v>0</v>
      </c>
      <c r="AP120" s="10"/>
      <c r="AQ120" s="10"/>
      <c r="AR120" s="10"/>
      <c r="AS120" s="10" t="str">
        <f t="shared" ref="AS120" ca="1" si="208">IFERROR(__xludf.DUMMYFUNCTION("split(F109,"","",true,true)"),"Spark Capital")</f>
        <v>Spark Capital</v>
      </c>
      <c r="AT120" s="10" t="str">
        <f ca="1">IFERROR(__xludf.DUMMYFUNCTION("""COMPUTED_VALUE""")," Amadeo Brenninkmeijer")</f>
        <v xml:space="preserve"> Amadeo Brenninkmeijer</v>
      </c>
      <c r="AU120" s="10"/>
      <c r="AV120" s="10"/>
      <c r="AW120" s="10"/>
      <c r="AX120" s="10"/>
      <c r="AY120" s="10"/>
      <c r="AZ120" s="10"/>
      <c r="BA120" s="10"/>
      <c r="BB120" s="10"/>
      <c r="BC120" s="10"/>
      <c r="BD120" s="10"/>
      <c r="BE120" s="10"/>
      <c r="BF120" s="10"/>
      <c r="BG120" s="10"/>
      <c r="BH120" s="10"/>
      <c r="BI120" s="10"/>
      <c r="BJ120" s="10"/>
      <c r="BK120" s="10"/>
      <c r="BM120" s="10"/>
    </row>
    <row r="121" spans="1:65" ht="12.75">
      <c r="A121" s="18">
        <v>42277</v>
      </c>
      <c r="B121" s="14" t="s">
        <v>212</v>
      </c>
      <c r="C121" s="19">
        <v>2400000</v>
      </c>
      <c r="D121" s="19"/>
      <c r="E121" s="14" t="s">
        <v>323</v>
      </c>
      <c r="F121" s="14" t="s">
        <v>324</v>
      </c>
      <c r="G121" s="13" t="s">
        <v>325</v>
      </c>
      <c r="H121" s="14" t="str">
        <f t="array" ref="H121">IFERROR(INDEX([1]Companies!$G:$G,MATCH(B121,[1]Companies!$A:$A,0)),"")</f>
        <v>South Africa</v>
      </c>
      <c r="I121" s="14" t="str">
        <f t="shared" si="195"/>
        <v>South Africa</v>
      </c>
      <c r="J121" s="14" t="str">
        <f t="array" ref="J121">IFERROR(INDEX([1]Companies!$Y:$Y,MATCH(B121,[1]Companies!$A:$A,0)),"")</f>
        <v>FinTech, Mobile Payments, Payments, Point of Sale, SaaS, Small and Medium Businesses</v>
      </c>
      <c r="K121" s="14" t="str">
        <f t="array" ref="K121">IFERROR(INDEX([1]Companies!$X:$X,MATCH(B121,[1]Companies!$A:$A,0)),"")</f>
        <v>Financial Services</v>
      </c>
      <c r="L121" s="14" t="str">
        <f>VLOOKUP(B121,[1]Companies!$A$1:$C$5243,1,FALSE)</f>
        <v>Yoco</v>
      </c>
      <c r="M121" s="15">
        <f t="shared" si="196"/>
        <v>0.9</v>
      </c>
      <c r="N121" s="10" t="str">
        <f t="shared" si="197"/>
        <v>42277Yoco2400000</v>
      </c>
      <c r="O121" s="14" t="str">
        <f t="shared" si="198"/>
        <v/>
      </c>
      <c r="P121" s="14">
        <f t="shared" si="199"/>
        <v>1</v>
      </c>
      <c r="Q121" s="14">
        <f t="array" ref="Q121">IFERROR(INDEX([1]Companies!$D:$D,MATCH(B121,[1]Companies!$A:$A,0)),"")</f>
        <v>2013</v>
      </c>
      <c r="R121" s="17">
        <f t="shared" si="200"/>
        <v>20100000</v>
      </c>
      <c r="S121" s="14">
        <f>VLOOKUP(I121,[1]Lookups!$V$3:$Y$197,4,FALSE)</f>
        <v>0</v>
      </c>
      <c r="T121" s="14" t="e">
        <f>VLOOKUP(E121,[1]Lookups!$H$3:$I$71,2,FALSE)</f>
        <v>#N/A</v>
      </c>
      <c r="U121" s="14" t="str">
        <f>VLOOKUP(K121,[1]Lookups!$B$3:$C$142,2,FALSE)</f>
        <v>Financial Services</v>
      </c>
      <c r="V121" s="14">
        <f t="shared" si="1"/>
        <v>2015</v>
      </c>
      <c r="W121" s="14">
        <f t="shared" si="2"/>
        <v>9</v>
      </c>
      <c r="X121" s="14">
        <f>VLOOKUP(W121,[1]Lookups!$P$3:$S$15,2,FALSE)</f>
        <v>3</v>
      </c>
      <c r="Y121" s="16">
        <f>VLOOKUP(W121,[1]Lookups!$P$3:$U$15,3,FALSE)</f>
        <v>2</v>
      </c>
      <c r="Z121" s="16">
        <f t="shared" si="3"/>
        <v>3</v>
      </c>
      <c r="AA121" s="16" t="str">
        <f t="shared" ca="1" si="191"/>
        <v>Spark Capital</v>
      </c>
      <c r="AB121" s="16" t="str">
        <f t="shared" ca="1" si="191"/>
        <v xml:space="preserve"> Greg Kidd</v>
      </c>
      <c r="AC121" s="16" t="str">
        <f t="shared" ca="1" si="191"/>
        <v xml:space="preserve"> Robby Hilkowitz</v>
      </c>
      <c r="AD121" s="16">
        <f t="shared" si="191"/>
        <v>0</v>
      </c>
      <c r="AE121" s="16">
        <f t="shared" si="191"/>
        <v>0</v>
      </c>
      <c r="AF121" s="16">
        <f t="shared" si="191"/>
        <v>0</v>
      </c>
      <c r="AG121" s="16">
        <f t="shared" si="191"/>
        <v>0</v>
      </c>
      <c r="AH121" s="16">
        <f t="shared" si="191"/>
        <v>0</v>
      </c>
      <c r="AI121" s="16">
        <f t="shared" si="191"/>
        <v>0</v>
      </c>
      <c r="AJ121" s="16">
        <f t="shared" si="191"/>
        <v>0</v>
      </c>
      <c r="AK121" s="16">
        <f t="shared" si="191"/>
        <v>0</v>
      </c>
      <c r="AL121" s="16">
        <f t="shared" si="191"/>
        <v>0</v>
      </c>
      <c r="AM121" s="16">
        <f t="shared" si="191"/>
        <v>0</v>
      </c>
      <c r="AN121" s="16">
        <f t="shared" si="191"/>
        <v>0</v>
      </c>
      <c r="AO121" s="16">
        <f t="shared" si="191"/>
        <v>0</v>
      </c>
      <c r="AP121" s="10"/>
      <c r="AQ121" s="10"/>
      <c r="AR121" s="10"/>
      <c r="AS121" s="10" t="str">
        <f t="shared" ref="AS121" ca="1" si="209">IFERROR(__xludf.DUMMYFUNCTION("split(F109,"","",true,true)"),"Spark Capital")</f>
        <v>Spark Capital</v>
      </c>
      <c r="AT121" s="10" t="str">
        <f ca="1">IFERROR(__xludf.DUMMYFUNCTION("""COMPUTED_VALUE""")," Greg Kidd")</f>
        <v xml:space="preserve"> Greg Kidd</v>
      </c>
      <c r="AU121" s="10" t="str">
        <f ca="1">IFERROR(__xludf.DUMMYFUNCTION("""COMPUTED_VALUE""")," Robby Hilkowitz")</f>
        <v xml:space="preserve"> Robby Hilkowitz</v>
      </c>
      <c r="AV121" s="10"/>
      <c r="AW121" s="10"/>
      <c r="AX121" s="10"/>
      <c r="AY121" s="10"/>
      <c r="AZ121" s="10"/>
      <c r="BA121" s="10"/>
      <c r="BB121" s="10"/>
      <c r="BC121" s="10"/>
      <c r="BD121" s="10"/>
      <c r="BE121" s="10"/>
      <c r="BF121" s="10"/>
      <c r="BG121" s="10"/>
      <c r="BH121" s="10"/>
      <c r="BI121" s="10"/>
      <c r="BJ121" s="10"/>
      <c r="BK121" s="10"/>
      <c r="BM121" s="10"/>
    </row>
    <row r="122" spans="1:65" ht="12.75">
      <c r="A122" s="9">
        <v>42283</v>
      </c>
      <c r="B122" s="10" t="s">
        <v>61</v>
      </c>
      <c r="C122" s="11">
        <v>13000000</v>
      </c>
      <c r="D122" s="12"/>
      <c r="E122" s="10" t="s">
        <v>112</v>
      </c>
      <c r="F122" s="10" t="s">
        <v>326</v>
      </c>
      <c r="G122" s="13" t="s">
        <v>327</v>
      </c>
      <c r="H122" s="14" t="str">
        <f t="array" ref="H122">IFERROR(INDEX([1]Companies!$G:$G,MATCH(B122,[1]Companies!$A:$A,0)),"")</f>
        <v>Nigeria</v>
      </c>
      <c r="I122" s="14" t="str">
        <f t="shared" si="195"/>
        <v>Nigeria</v>
      </c>
      <c r="J122" s="14" t="str">
        <f t="array" ref="J122">IFERROR(INDEX([1]Companies!$Y:$Y,MATCH(B122,[1]Companies!$A:$A,0)),"")</f>
        <v>Money Transfer, Airtime, Bill Payments, and SME Business</v>
      </c>
      <c r="K122" s="14" t="str">
        <f t="array" ref="K122">IFERROR(INDEX([1]Companies!$X:$X,MATCH(B122,[1]Companies!$A:$A,0)),"")</f>
        <v>Financial Services</v>
      </c>
      <c r="L122" s="14" t="str">
        <f>VLOOKUP(B122,[1]Companies!$A$1:$C$5243,1,FALSE)</f>
        <v>Paga</v>
      </c>
      <c r="M122" s="15">
        <f t="shared" si="196"/>
        <v>0.9</v>
      </c>
      <c r="N122" s="10" t="str">
        <f t="shared" si="197"/>
        <v>42283Paga13000000</v>
      </c>
      <c r="O122" s="14" t="str">
        <f t="shared" si="198"/>
        <v/>
      </c>
      <c r="P122" s="14">
        <f t="shared" si="199"/>
        <v>1</v>
      </c>
      <c r="Q122" s="14">
        <f t="array" ref="Q122">IFERROR(INDEX([1]Companies!$D:$D,MATCH(B122,[1]Companies!$A:$A,0)),"")</f>
        <v>2009</v>
      </c>
      <c r="R122" s="17">
        <f t="shared" si="200"/>
        <v>32700000</v>
      </c>
      <c r="S122" s="14">
        <f>VLOOKUP(I122,[1]Lookups!$V$3:$Y$197,4,FALSE)</f>
        <v>0</v>
      </c>
      <c r="T122" s="14" t="str">
        <f>VLOOKUP(E122,[1]Lookups!$H$3:$I$71,2,FALSE)</f>
        <v>3. Early Venture</v>
      </c>
      <c r="U122" s="14" t="str">
        <f>VLOOKUP(K122,[1]Lookups!$B$3:$C$142,2,FALSE)</f>
        <v>Financial Services</v>
      </c>
      <c r="V122" s="14">
        <f t="shared" si="1"/>
        <v>2015</v>
      </c>
      <c r="W122" s="14">
        <f t="shared" si="2"/>
        <v>10</v>
      </c>
      <c r="X122" s="14">
        <f>VLOOKUP(W122,[1]Lookups!$P$3:$S$15,2,FALSE)</f>
        <v>4</v>
      </c>
      <c r="Y122" s="16">
        <f>VLOOKUP(W122,[1]Lookups!$P$3:$U$15,3,FALSE)</f>
        <v>2</v>
      </c>
      <c r="Z122" s="16">
        <f t="shared" si="3"/>
        <v>4</v>
      </c>
      <c r="AA122" s="16" t="str">
        <f t="shared" ca="1" si="191"/>
        <v>Spark Capital</v>
      </c>
      <c r="AB122" s="16" t="str">
        <f t="shared" ca="1" si="191"/>
        <v xml:space="preserve"> Goodwell Investments</v>
      </c>
      <c r="AC122" s="16" t="str">
        <f t="shared" ca="1" si="191"/>
        <v xml:space="preserve"> Capricorn Investment Group</v>
      </c>
      <c r="AD122" s="16" t="str">
        <f t="shared" ca="1" si="191"/>
        <v xml:space="preserve"> Adlevo Capital</v>
      </c>
      <c r="AE122" s="16">
        <f t="shared" si="191"/>
        <v>0</v>
      </c>
      <c r="AF122" s="16">
        <f t="shared" si="191"/>
        <v>0</v>
      </c>
      <c r="AG122" s="16">
        <f t="shared" si="191"/>
        <v>0</v>
      </c>
      <c r="AH122" s="16">
        <f t="shared" si="191"/>
        <v>0</v>
      </c>
      <c r="AI122" s="16">
        <f t="shared" si="191"/>
        <v>0</v>
      </c>
      <c r="AJ122" s="16">
        <f t="shared" si="191"/>
        <v>0</v>
      </c>
      <c r="AK122" s="16">
        <f t="shared" si="191"/>
        <v>0</v>
      </c>
      <c r="AL122" s="16">
        <f t="shared" si="191"/>
        <v>0</v>
      </c>
      <c r="AM122" s="16">
        <f t="shared" si="191"/>
        <v>0</v>
      </c>
      <c r="AN122" s="16">
        <f t="shared" si="191"/>
        <v>0</v>
      </c>
      <c r="AO122" s="16">
        <f t="shared" si="191"/>
        <v>0</v>
      </c>
      <c r="AP122" s="10"/>
      <c r="AQ122" s="10"/>
      <c r="AR122" s="10"/>
      <c r="AS122" s="10" t="str">
        <f t="shared" ref="AS122" ca="1" si="210">IFERROR(__xludf.DUMMYFUNCTION("split(F109,"","",true,true)"),"Spark Capital")</f>
        <v>Spark Capital</v>
      </c>
      <c r="AT122" s="10" t="str">
        <f ca="1">IFERROR(__xludf.DUMMYFUNCTION("""COMPUTED_VALUE""")," Goodwell Investments")</f>
        <v xml:space="preserve"> Goodwell Investments</v>
      </c>
      <c r="AU122" s="10" t="str">
        <f ca="1">IFERROR(__xludf.DUMMYFUNCTION("""COMPUTED_VALUE""")," Capricorn Investment Group")</f>
        <v xml:space="preserve"> Capricorn Investment Group</v>
      </c>
      <c r="AV122" s="10" t="str">
        <f ca="1">IFERROR(__xludf.DUMMYFUNCTION("""COMPUTED_VALUE""")," Adlevo Capital")</f>
        <v xml:space="preserve"> Adlevo Capital</v>
      </c>
      <c r="AW122" s="10"/>
      <c r="AX122" s="10"/>
      <c r="AY122" s="10"/>
      <c r="AZ122" s="10"/>
      <c r="BA122" s="10"/>
      <c r="BB122" s="10"/>
      <c r="BC122" s="10"/>
      <c r="BD122" s="10"/>
      <c r="BE122" s="10"/>
      <c r="BF122" s="10"/>
      <c r="BG122" s="10"/>
      <c r="BH122" s="10"/>
      <c r="BI122" s="10"/>
      <c r="BJ122" s="10"/>
      <c r="BK122" s="10"/>
      <c r="BM122" s="10"/>
    </row>
    <row r="123" spans="1:65" ht="12.75">
      <c r="A123" s="9">
        <v>42284</v>
      </c>
      <c r="B123" s="10" t="s">
        <v>304</v>
      </c>
      <c r="C123" s="11" t="s">
        <v>49</v>
      </c>
      <c r="D123" s="12"/>
      <c r="E123" s="10" t="s">
        <v>328</v>
      </c>
      <c r="F123" s="10" t="s">
        <v>329</v>
      </c>
      <c r="G123" s="13" t="s">
        <v>330</v>
      </c>
      <c r="H123" s="14" t="str">
        <f t="array" ref="H123">IFERROR(INDEX([1]Companies!$G:$G,MATCH(B123,[1]Companies!$A:$A,0)),"")</f>
        <v>France</v>
      </c>
      <c r="I123" s="14" t="str">
        <f t="shared" si="195"/>
        <v>France</v>
      </c>
      <c r="J123" s="14" t="str">
        <f t="array" ref="J123">IFERROR(INDEX([1]Companies!$Y:$Y,MATCH(B123,[1]Companies!$A:$A,0)),"")</f>
        <v>Film, Media and Entertainment, Subscription Service</v>
      </c>
      <c r="K123" s="14" t="str">
        <f t="array" ref="K123">IFERROR(INDEX([1]Companies!$X:$X,MATCH(B123,[1]Companies!$A:$A,0)),"")</f>
        <v>Media &amp; Entertainment</v>
      </c>
      <c r="L123" s="14" t="str">
        <f>VLOOKUP(B123,[1]Companies!$A$1:$C$5243,1,FALSE)</f>
        <v>Afrostream</v>
      </c>
      <c r="M123" s="15">
        <f t="shared" si="196"/>
        <v>0.9</v>
      </c>
      <c r="N123" s="10" t="str">
        <f t="shared" si="197"/>
        <v>42284AfrostreamUndisclosed</v>
      </c>
      <c r="O123" s="14" t="str">
        <f t="shared" si="198"/>
        <v/>
      </c>
      <c r="P123" s="14">
        <f t="shared" si="199"/>
        <v>0</v>
      </c>
      <c r="Q123" s="14">
        <f t="array" ref="Q123">IFERROR(INDEX([1]Companies!$D:$D,MATCH(B123,[1]Companies!$A:$A,0)),"")</f>
        <v>2014</v>
      </c>
      <c r="R123" s="17">
        <f t="shared" si="200"/>
        <v>120000</v>
      </c>
      <c r="S123" s="14">
        <f>VLOOKUP(I123,[1]Lookups!$V$3:$Y$197,4,FALSE)</f>
        <v>1</v>
      </c>
      <c r="T123" s="14" t="str">
        <f>VLOOKUP(E123,[1]Lookups!$H$3:$I$71,2,FALSE)</f>
        <v>4. Late Venture</v>
      </c>
      <c r="U123" s="14" t="str">
        <f>VLOOKUP(K123,[1]Lookups!$B$3:$C$142,2,FALSE)</f>
        <v>Media &amp; Entertainment</v>
      </c>
      <c r="V123" s="14">
        <f t="shared" si="1"/>
        <v>2015</v>
      </c>
      <c r="W123" s="14">
        <f t="shared" si="2"/>
        <v>10</v>
      </c>
      <c r="X123" s="14">
        <f>VLOOKUP(W123,[1]Lookups!$P$3:$S$15,2,FALSE)</f>
        <v>4</v>
      </c>
      <c r="Y123" s="16">
        <f>VLOOKUP(W123,[1]Lookups!$P$3:$U$15,3,FALSE)</f>
        <v>2</v>
      </c>
      <c r="Z123" s="16">
        <f t="shared" si="3"/>
        <v>4</v>
      </c>
      <c r="AA123" s="16" t="str">
        <f t="shared" ca="1" si="191"/>
        <v>Spark Capital</v>
      </c>
      <c r="AB123" s="16" t="str">
        <f t="shared" ca="1" si="191"/>
        <v xml:space="preserve"> The Family</v>
      </c>
      <c r="AC123" s="16" t="str">
        <f t="shared" ca="1" si="191"/>
        <v xml:space="preserve"> Cross Culture Ventures</v>
      </c>
      <c r="AD123" s="16" t="str">
        <f t="shared" ca="1" si="191"/>
        <v xml:space="preserve"> Orange Digital Ventures</v>
      </c>
      <c r="AE123" s="16">
        <f t="shared" si="191"/>
        <v>0</v>
      </c>
      <c r="AF123" s="16">
        <f t="shared" si="191"/>
        <v>0</v>
      </c>
      <c r="AG123" s="16">
        <f t="shared" si="191"/>
        <v>0</v>
      </c>
      <c r="AH123" s="16">
        <f t="shared" si="191"/>
        <v>0</v>
      </c>
      <c r="AI123" s="16">
        <f t="shared" si="191"/>
        <v>0</v>
      </c>
      <c r="AJ123" s="16">
        <f t="shared" si="191"/>
        <v>0</v>
      </c>
      <c r="AK123" s="16">
        <f t="shared" si="191"/>
        <v>0</v>
      </c>
      <c r="AL123" s="16">
        <f t="shared" si="191"/>
        <v>0</v>
      </c>
      <c r="AM123" s="16">
        <f t="shared" si="191"/>
        <v>0</v>
      </c>
      <c r="AN123" s="16">
        <f t="shared" si="191"/>
        <v>0</v>
      </c>
      <c r="AO123" s="16">
        <f t="shared" si="191"/>
        <v>0</v>
      </c>
      <c r="AP123" s="10"/>
      <c r="AQ123" s="10"/>
      <c r="AR123" s="10"/>
      <c r="AS123" s="10" t="str">
        <f t="shared" ref="AS123" ca="1" si="211">IFERROR(__xludf.DUMMYFUNCTION("split(F109,"","",true,true)"),"Spark Capital")</f>
        <v>Spark Capital</v>
      </c>
      <c r="AT123" s="23" t="str">
        <f ca="1">IFERROR(__xludf.DUMMYFUNCTION("""COMPUTED_VALUE""")," The Family")</f>
        <v xml:space="preserve"> The Family</v>
      </c>
      <c r="AU123" s="23" t="str">
        <f ca="1">IFERROR(__xludf.DUMMYFUNCTION("""COMPUTED_VALUE""")," Cross Culture Ventures")</f>
        <v xml:space="preserve"> Cross Culture Ventures</v>
      </c>
      <c r="AV123" s="23" t="str">
        <f ca="1">IFERROR(__xludf.DUMMYFUNCTION("""COMPUTED_VALUE""")," Orange Digital Ventures")</f>
        <v xml:space="preserve"> Orange Digital Ventures</v>
      </c>
      <c r="AW123" s="23"/>
      <c r="AX123" s="23"/>
      <c r="AY123" s="23"/>
      <c r="AZ123" s="23"/>
      <c r="BA123" s="23"/>
      <c r="BB123" s="23"/>
      <c r="BC123" s="23"/>
      <c r="BD123" s="23"/>
      <c r="BE123" s="23"/>
      <c r="BF123" s="23"/>
      <c r="BG123" s="23"/>
      <c r="BH123" s="23"/>
      <c r="BI123" s="23"/>
      <c r="BJ123" s="23"/>
      <c r="BK123" s="23"/>
      <c r="BM123" s="23"/>
    </row>
    <row r="124" spans="1:65" ht="12.75">
      <c r="A124" s="18">
        <v>42291</v>
      </c>
      <c r="B124" s="14" t="s">
        <v>58</v>
      </c>
      <c r="C124" s="19">
        <v>2100000</v>
      </c>
      <c r="D124" s="19"/>
      <c r="E124" s="14" t="s">
        <v>112</v>
      </c>
      <c r="F124" s="14" t="s">
        <v>331</v>
      </c>
      <c r="G124" s="21" t="s">
        <v>60</v>
      </c>
      <c r="H124" s="14" t="str">
        <f t="array" ref="H124">IFERROR(INDEX([1]Companies!$G:$G,MATCH(B124,[1]Companies!$A:$A,0)),"")</f>
        <v>Kenya</v>
      </c>
      <c r="I124" s="14" t="str">
        <f t="shared" si="195"/>
        <v>Kenya</v>
      </c>
      <c r="J124" s="14" t="str">
        <f t="array" ref="J124">IFERROR(INDEX([1]Companies!$Y:$Y,MATCH(B124,[1]Companies!$A:$A,0)),"")</f>
        <v>Enterprise Software, Financial Services, Information Technology, Mobile Payments, Payments, Social Entrepreneurship, Telecommunications</v>
      </c>
      <c r="K124" s="14" t="str">
        <f t="array" ref="K124">IFERROR(INDEX([1]Companies!$X:$X,MATCH(B124,[1]Companies!$A:$A,0)),"")</f>
        <v>Financial Services</v>
      </c>
      <c r="L124" s="14" t="str">
        <f>VLOOKUP(B124,[1]Companies!$A$1:$C$5243,1,FALSE)</f>
        <v>Kopo Kopo</v>
      </c>
      <c r="M124" s="15">
        <f t="shared" si="196"/>
        <v>0.9</v>
      </c>
      <c r="N124" s="10" t="str">
        <f t="shared" si="197"/>
        <v>42291Kopo Kopo2100000</v>
      </c>
      <c r="O124" s="14" t="str">
        <f t="shared" si="198"/>
        <v/>
      </c>
      <c r="P124" s="14">
        <f t="shared" si="199"/>
        <v>1</v>
      </c>
      <c r="Q124" s="14">
        <f t="array" ref="Q124">IFERROR(INDEX([1]Companies!$D:$D,MATCH(B124,[1]Companies!$A:$A,0)),"")</f>
        <v>2011</v>
      </c>
      <c r="R124" s="17">
        <f t="shared" si="200"/>
        <v>6504900</v>
      </c>
      <c r="S124" s="14">
        <f>VLOOKUP(I124,[1]Lookups!$V$3:$Y$197,4,FALSE)</f>
        <v>0</v>
      </c>
      <c r="T124" s="14" t="str">
        <f>VLOOKUP(E124,[1]Lookups!$H$3:$I$71,2,FALSE)</f>
        <v>3. Early Venture</v>
      </c>
      <c r="U124" s="14" t="str">
        <f>VLOOKUP(K124,[1]Lookups!$B$3:$C$142,2,FALSE)</f>
        <v>Financial Services</v>
      </c>
      <c r="V124" s="14">
        <f t="shared" si="1"/>
        <v>2015</v>
      </c>
      <c r="W124" s="14">
        <f t="shared" si="2"/>
        <v>10</v>
      </c>
      <c r="X124" s="14">
        <f>VLOOKUP(W124,[1]Lookups!$P$3:$S$15,2,FALSE)</f>
        <v>4</v>
      </c>
      <c r="Y124" s="16">
        <f>VLOOKUP(W124,[1]Lookups!$P$3:$U$15,3,FALSE)</f>
        <v>2</v>
      </c>
      <c r="Z124" s="16">
        <f t="shared" si="3"/>
        <v>3</v>
      </c>
      <c r="AA124" s="16" t="str">
        <f t="shared" ca="1" si="191"/>
        <v>Spark Capital</v>
      </c>
      <c r="AB124" s="16" t="str">
        <f t="shared" ca="1" si="191"/>
        <v xml:space="preserve"> Bamboo Finance</v>
      </c>
      <c r="AC124" s="16" t="str">
        <f t="shared" ca="1" si="191"/>
        <v xml:space="preserve"> Javelin Venture Partners</v>
      </c>
      <c r="AD124" s="16">
        <f t="shared" si="191"/>
        <v>0</v>
      </c>
      <c r="AE124" s="16">
        <f t="shared" si="191"/>
        <v>0</v>
      </c>
      <c r="AF124" s="16">
        <f t="shared" si="191"/>
        <v>0</v>
      </c>
      <c r="AG124" s="16">
        <f t="shared" si="191"/>
        <v>0</v>
      </c>
      <c r="AH124" s="16">
        <f t="shared" si="191"/>
        <v>0</v>
      </c>
      <c r="AI124" s="16">
        <f t="shared" si="191"/>
        <v>0</v>
      </c>
      <c r="AJ124" s="16">
        <f t="shared" si="191"/>
        <v>0</v>
      </c>
      <c r="AK124" s="16">
        <f t="shared" si="191"/>
        <v>0</v>
      </c>
      <c r="AL124" s="16">
        <f t="shared" si="191"/>
        <v>0</v>
      </c>
      <c r="AM124" s="16">
        <f t="shared" si="191"/>
        <v>0</v>
      </c>
      <c r="AN124" s="16">
        <f t="shared" si="191"/>
        <v>0</v>
      </c>
      <c r="AO124" s="16">
        <f t="shared" si="191"/>
        <v>0</v>
      </c>
      <c r="AP124" s="10"/>
      <c r="AQ124" s="10"/>
      <c r="AR124" s="10"/>
      <c r="AS124" s="10" t="str">
        <f t="shared" ref="AS124" ca="1" si="212">IFERROR(__xludf.DUMMYFUNCTION("split(F109,"","",true,true)"),"Spark Capital")</f>
        <v>Spark Capital</v>
      </c>
      <c r="AT124" s="10" t="str">
        <f ca="1">IFERROR(__xludf.DUMMYFUNCTION("""COMPUTED_VALUE""")," Bamboo Finance")</f>
        <v xml:space="preserve"> Bamboo Finance</v>
      </c>
      <c r="AU124" s="10" t="str">
        <f ca="1">IFERROR(__xludf.DUMMYFUNCTION("""COMPUTED_VALUE""")," Javelin Venture Partners")</f>
        <v xml:space="preserve"> Javelin Venture Partners</v>
      </c>
      <c r="AV124" s="10"/>
      <c r="AW124" s="10"/>
      <c r="AX124" s="10"/>
      <c r="AY124" s="10"/>
      <c r="AZ124" s="10"/>
      <c r="BA124" s="10"/>
      <c r="BB124" s="10"/>
      <c r="BC124" s="10"/>
      <c r="BD124" s="10"/>
      <c r="BE124" s="10"/>
      <c r="BF124" s="10"/>
      <c r="BG124" s="10"/>
      <c r="BH124" s="10"/>
      <c r="BI124" s="10"/>
      <c r="BJ124" s="10"/>
      <c r="BK124" s="10"/>
      <c r="BM124" s="10"/>
    </row>
    <row r="125" spans="1:65" ht="12.75">
      <c r="A125" s="18">
        <v>42298</v>
      </c>
      <c r="B125" s="14" t="s">
        <v>106</v>
      </c>
      <c r="C125" s="19" t="s">
        <v>49</v>
      </c>
      <c r="D125" s="22"/>
      <c r="E125" s="14" t="s">
        <v>84</v>
      </c>
      <c r="F125" s="14" t="s">
        <v>49</v>
      </c>
      <c r="G125" s="21" t="s">
        <v>108</v>
      </c>
      <c r="H125" s="14" t="str">
        <f t="array" ref="H125">IFERROR(INDEX([1]Companies!$G:$G,MATCH(B125,[1]Companies!$A:$A,0)),"")</f>
        <v>South Africa</v>
      </c>
      <c r="I125" s="14" t="str">
        <f t="shared" si="195"/>
        <v>South Africa</v>
      </c>
      <c r="J125" s="14" t="str">
        <f t="array" ref="J125">IFERROR(INDEX([1]Companies!$Y:$Y,MATCH(B125,[1]Companies!$A:$A,0)),"")</f>
        <v>Mobile, Payments, Telecommunications</v>
      </c>
      <c r="K125" s="14" t="str">
        <f t="array" ref="K125">IFERROR(INDEX([1]Companies!$X:$X,MATCH(B125,[1]Companies!$A:$A,0)),"")</f>
        <v>Financial Services</v>
      </c>
      <c r="L125" s="14" t="str">
        <f>VLOOKUP(B125,[1]Companies!$A$1:$C$5243,1,FALSE)</f>
        <v>Nomanini</v>
      </c>
      <c r="M125" s="15">
        <f t="shared" si="196"/>
        <v>0.9</v>
      </c>
      <c r="N125" s="10" t="str">
        <f t="shared" si="197"/>
        <v>42298NomaniniUndisclosed</v>
      </c>
      <c r="O125" s="14" t="str">
        <f t="shared" si="198"/>
        <v/>
      </c>
      <c r="P125" s="14">
        <f t="shared" si="199"/>
        <v>0</v>
      </c>
      <c r="Q125" s="14">
        <f t="array" ref="Q125">IFERROR(INDEX([1]Companies!$D:$D,MATCH(B125,[1]Companies!$A:$A,0)),"")</f>
        <v>2011</v>
      </c>
      <c r="R125" s="17">
        <f t="shared" si="200"/>
        <v>5050000</v>
      </c>
      <c r="S125" s="14">
        <f>VLOOKUP(I125,[1]Lookups!$V$3:$Y$197,4,FALSE)</f>
        <v>0</v>
      </c>
      <c r="T125" s="14" t="str">
        <f>VLOOKUP(E125,[1]Lookups!$H$3:$I$71,2,FALSE)</f>
        <v>4. Late Venture</v>
      </c>
      <c r="U125" s="14" t="str">
        <f>VLOOKUP(K125,[1]Lookups!$B$3:$C$142,2,FALSE)</f>
        <v>Financial Services</v>
      </c>
      <c r="V125" s="14">
        <f t="shared" si="1"/>
        <v>2015</v>
      </c>
      <c r="W125" s="14">
        <f t="shared" si="2"/>
        <v>10</v>
      </c>
      <c r="X125" s="14">
        <f>VLOOKUP(W125,[1]Lookups!$P$3:$S$15,2,FALSE)</f>
        <v>4</v>
      </c>
      <c r="Y125" s="16">
        <f>VLOOKUP(W125,[1]Lookups!$P$3:$U$15,3,FALSE)</f>
        <v>2</v>
      </c>
      <c r="Z125" s="16">
        <f t="shared" si="3"/>
        <v>1</v>
      </c>
      <c r="AA125" s="16" t="str">
        <f t="shared" ref="AA125:AO140" ca="1" si="213">AS125</f>
        <v>Spark Capital</v>
      </c>
      <c r="AB125" s="16">
        <f t="shared" si="213"/>
        <v>0</v>
      </c>
      <c r="AC125" s="16">
        <f t="shared" si="213"/>
        <v>0</v>
      </c>
      <c r="AD125" s="16">
        <f t="shared" si="213"/>
        <v>0</v>
      </c>
      <c r="AE125" s="16">
        <f t="shared" si="213"/>
        <v>0</v>
      </c>
      <c r="AF125" s="16">
        <f t="shared" si="213"/>
        <v>0</v>
      </c>
      <c r="AG125" s="16">
        <f t="shared" si="213"/>
        <v>0</v>
      </c>
      <c r="AH125" s="16">
        <f t="shared" si="213"/>
        <v>0</v>
      </c>
      <c r="AI125" s="16">
        <f t="shared" si="213"/>
        <v>0</v>
      </c>
      <c r="AJ125" s="16">
        <f t="shared" si="213"/>
        <v>0</v>
      </c>
      <c r="AK125" s="16">
        <f t="shared" si="213"/>
        <v>0</v>
      </c>
      <c r="AL125" s="16">
        <f t="shared" si="213"/>
        <v>0</v>
      </c>
      <c r="AM125" s="16">
        <f t="shared" si="213"/>
        <v>0</v>
      </c>
      <c r="AN125" s="16">
        <f t="shared" si="213"/>
        <v>0</v>
      </c>
      <c r="AO125" s="16">
        <f t="shared" si="213"/>
        <v>0</v>
      </c>
      <c r="AP125" s="10"/>
      <c r="AQ125" s="10"/>
      <c r="AR125" s="10"/>
      <c r="AS125" s="10" t="str">
        <f t="shared" ref="AS125" ca="1" si="214">IFERROR(__xludf.DUMMYFUNCTION("split(F109,"","",true,true)"),"Spark Capital")</f>
        <v>Spark Capital</v>
      </c>
      <c r="AT125" s="10"/>
      <c r="AU125" s="10"/>
      <c r="AV125" s="10"/>
      <c r="AW125" s="10"/>
      <c r="AX125" s="10"/>
      <c r="AY125" s="10"/>
      <c r="AZ125" s="10"/>
      <c r="BA125" s="10"/>
      <c r="BB125" s="10"/>
      <c r="BC125" s="10"/>
      <c r="BD125" s="10"/>
      <c r="BE125" s="10"/>
      <c r="BF125" s="10"/>
      <c r="BG125" s="10"/>
      <c r="BH125" s="10"/>
      <c r="BI125" s="10"/>
      <c r="BJ125" s="10"/>
      <c r="BK125" s="10"/>
      <c r="BM125" s="10"/>
    </row>
    <row r="126" spans="1:65" ht="12.75">
      <c r="A126" s="18">
        <v>42299</v>
      </c>
      <c r="B126" s="14" t="s">
        <v>186</v>
      </c>
      <c r="C126" s="19">
        <v>25000000</v>
      </c>
      <c r="D126" s="19"/>
      <c r="E126" s="14" t="s">
        <v>84</v>
      </c>
      <c r="F126" s="14" t="s">
        <v>332</v>
      </c>
      <c r="G126" s="21" t="s">
        <v>333</v>
      </c>
      <c r="H126" s="14" t="str">
        <f t="array" ref="H126">IFERROR(INDEX([1]Companies!$G:$G,MATCH(B126,[1]Companies!$A:$A,0)),"")</f>
        <v>Tanzania</v>
      </c>
      <c r="I126" s="14" t="str">
        <f t="shared" si="195"/>
        <v>Tanzania</v>
      </c>
      <c r="J126" s="14" t="str">
        <f t="array" ref="J126">IFERROR(INDEX([1]Companies!$Y:$Y,MATCH(B126,[1]Companies!$A:$A,0)),"")</f>
        <v>Electrical Distribution, Energy, Renewable Energy, Solar</v>
      </c>
      <c r="K126" s="14" t="str">
        <f t="array" ref="K126">IFERROR(INDEX([1]Companies!$X:$X,MATCH(B126,[1]Companies!$A:$A,0)),"")</f>
        <v>Energy &amp; Environment Resources</v>
      </c>
      <c r="L126" s="14" t="str">
        <f>VLOOKUP(B126,[1]Companies!$A$1:$C$5243,1,FALSE)</f>
        <v xml:space="preserve">Zola Electric </v>
      </c>
      <c r="M126" s="15">
        <f t="shared" si="196"/>
        <v>0.9</v>
      </c>
      <c r="N126" s="10" t="str">
        <f t="shared" si="197"/>
        <v>42299Zola Electric 25000000</v>
      </c>
      <c r="O126" s="14" t="str">
        <f t="shared" si="198"/>
        <v/>
      </c>
      <c r="P126" s="14">
        <f t="shared" si="199"/>
        <v>1</v>
      </c>
      <c r="Q126" s="14">
        <f t="array" ref="Q126">IFERROR(INDEX([1]Companies!$D:$D,MATCH(B126,[1]Companies!$A:$A,0)),"")</f>
        <v>2011</v>
      </c>
      <c r="R126" s="17">
        <f t="shared" si="200"/>
        <v>165500000</v>
      </c>
      <c r="S126" s="14">
        <f>VLOOKUP(I126,[1]Lookups!$V$3:$Y$197,4,FALSE)</f>
        <v>0</v>
      </c>
      <c r="T126" s="14" t="str">
        <f>VLOOKUP(E126,[1]Lookups!$H$3:$I$71,2,FALSE)</f>
        <v>4. Late Venture</v>
      </c>
      <c r="U126" s="14" t="e">
        <f>VLOOKUP(K126,[1]Lookups!$B$3:$C$142,2,FALSE)</f>
        <v>#N/A</v>
      </c>
      <c r="V126" s="14">
        <f t="shared" si="1"/>
        <v>2015</v>
      </c>
      <c r="W126" s="14">
        <f t="shared" si="2"/>
        <v>10</v>
      </c>
      <c r="X126" s="14">
        <f>VLOOKUP(W126,[1]Lookups!$P$3:$S$15,2,FALSE)</f>
        <v>4</v>
      </c>
      <c r="Y126" s="16">
        <f>VLOOKUP(W126,[1]Lookups!$P$3:$U$15,3,FALSE)</f>
        <v>2</v>
      </c>
      <c r="Z126" s="16">
        <f t="shared" si="3"/>
        <v>7</v>
      </c>
      <c r="AA126" s="16" t="str">
        <f t="shared" ca="1" si="213"/>
        <v>Spark Capital</v>
      </c>
      <c r="AB126" s="16" t="str">
        <f t="shared" ca="1" si="213"/>
        <v xml:space="preserve"> Western Technology Investment</v>
      </c>
      <c r="AC126" s="16" t="str">
        <f t="shared" ca="1" si="213"/>
        <v xml:space="preserve"> Vulcan Capital</v>
      </c>
      <c r="AD126" s="16" t="str">
        <f t="shared" ca="1" si="213"/>
        <v xml:space="preserve"> Serious Change</v>
      </c>
      <c r="AE126" s="16" t="str">
        <f t="shared" ca="1" si="213"/>
        <v xml:space="preserve"> Omidyar Network</v>
      </c>
      <c r="AF126" s="16" t="str">
        <f t="shared" ca="1" si="213"/>
        <v xml:space="preserve"> Energy Access Ventures</v>
      </c>
      <c r="AG126" s="16" t="str">
        <f t="shared" ca="1" si="213"/>
        <v xml:space="preserve"> Aster</v>
      </c>
      <c r="AH126" s="16">
        <f t="shared" si="213"/>
        <v>0</v>
      </c>
      <c r="AI126" s="16">
        <f t="shared" si="213"/>
        <v>0</v>
      </c>
      <c r="AJ126" s="16">
        <f t="shared" si="213"/>
        <v>0</v>
      </c>
      <c r="AK126" s="16">
        <f t="shared" si="213"/>
        <v>0</v>
      </c>
      <c r="AL126" s="16">
        <f t="shared" si="213"/>
        <v>0</v>
      </c>
      <c r="AM126" s="16">
        <f t="shared" si="213"/>
        <v>0</v>
      </c>
      <c r="AN126" s="16">
        <f t="shared" si="213"/>
        <v>0</v>
      </c>
      <c r="AO126" s="16">
        <f t="shared" si="213"/>
        <v>0</v>
      </c>
      <c r="AP126" s="10"/>
      <c r="AQ126" s="10"/>
      <c r="AR126" s="10"/>
      <c r="AS126" s="10" t="str">
        <f t="shared" ref="AS126" ca="1" si="215">IFERROR(__xludf.DUMMYFUNCTION("split(F109,"","",true,true)"),"Spark Capital")</f>
        <v>Spark Capital</v>
      </c>
      <c r="AT126" s="10" t="str">
        <f ca="1">IFERROR(__xludf.DUMMYFUNCTION("""COMPUTED_VALUE""")," Western Technology Investment")</f>
        <v xml:space="preserve"> Western Technology Investment</v>
      </c>
      <c r="AU126" s="10" t="str">
        <f ca="1">IFERROR(__xludf.DUMMYFUNCTION("""COMPUTED_VALUE""")," Vulcan Capital")</f>
        <v xml:space="preserve"> Vulcan Capital</v>
      </c>
      <c r="AV126" s="10" t="str">
        <f ca="1">IFERROR(__xludf.DUMMYFUNCTION("""COMPUTED_VALUE""")," Serious Change")</f>
        <v xml:space="preserve"> Serious Change</v>
      </c>
      <c r="AW126" s="10" t="str">
        <f ca="1">IFERROR(__xludf.DUMMYFUNCTION("""COMPUTED_VALUE""")," Omidyar Network")</f>
        <v xml:space="preserve"> Omidyar Network</v>
      </c>
      <c r="AX126" s="10" t="str">
        <f ca="1">IFERROR(__xludf.DUMMYFUNCTION("""COMPUTED_VALUE""")," Energy Access Ventures")</f>
        <v xml:space="preserve"> Energy Access Ventures</v>
      </c>
      <c r="AY126" s="10" t="str">
        <f ca="1">IFERROR(__xludf.DUMMYFUNCTION("""COMPUTED_VALUE""")," Aster")</f>
        <v xml:space="preserve"> Aster</v>
      </c>
      <c r="AZ126" s="10"/>
      <c r="BA126" s="10"/>
      <c r="BB126" s="10"/>
      <c r="BC126" s="10"/>
      <c r="BD126" s="10"/>
      <c r="BE126" s="10"/>
      <c r="BF126" s="10"/>
      <c r="BG126" s="10"/>
      <c r="BH126" s="10"/>
      <c r="BI126" s="10"/>
      <c r="BJ126" s="10"/>
      <c r="BK126" s="10"/>
      <c r="BM126" s="10"/>
    </row>
    <row r="127" spans="1:65" ht="12.75">
      <c r="A127" s="18">
        <v>42307</v>
      </c>
      <c r="B127" s="14" t="s">
        <v>196</v>
      </c>
      <c r="C127" s="19" t="s">
        <v>49</v>
      </c>
      <c r="D127" s="22"/>
      <c r="E127" s="14" t="s">
        <v>69</v>
      </c>
      <c r="F127" s="14" t="s">
        <v>334</v>
      </c>
      <c r="G127" s="21" t="s">
        <v>335</v>
      </c>
      <c r="H127" s="14" t="str">
        <f t="array" ref="H127">IFERROR(INDEX([1]Companies!$G:$G,MATCH(B127,[1]Companies!$A:$A,0)),"")</f>
        <v>Kenya</v>
      </c>
      <c r="I127" s="14" t="str">
        <f t="shared" si="195"/>
        <v>Kenya</v>
      </c>
      <c r="J127" s="14" t="str">
        <f t="array" ref="J127">IFERROR(INDEX([1]Companies!$Y:$Y,MATCH(B127,[1]Companies!$A:$A,0)),"")</f>
        <v>Fast-Moving Consumer Goods, Financial Services</v>
      </c>
      <c r="K127" s="14" t="str">
        <f t="array" ref="K127">IFERROR(INDEX([1]Companies!$X:$X,MATCH(B127,[1]Companies!$A:$A,0)),"")</f>
        <v>Financial Services</v>
      </c>
      <c r="L127" s="14" t="str">
        <f>VLOOKUP(B127,[1]Companies!$A$1:$C$5243,1,FALSE)</f>
        <v>Umati Capital</v>
      </c>
      <c r="M127" s="15">
        <f t="shared" si="196"/>
        <v>0.9</v>
      </c>
      <c r="N127" s="10" t="str">
        <f t="shared" si="197"/>
        <v>42307Umati CapitalUndisclosed</v>
      </c>
      <c r="O127" s="14" t="str">
        <f t="shared" si="198"/>
        <v/>
      </c>
      <c r="P127" s="14">
        <f t="shared" si="199"/>
        <v>0</v>
      </c>
      <c r="Q127" s="14">
        <f t="array" ref="Q127">IFERROR(INDEX([1]Companies!$D:$D,MATCH(B127,[1]Companies!$A:$A,0)),"")</f>
        <v>2012</v>
      </c>
      <c r="R127" s="17">
        <f t="shared" si="200"/>
        <v>0</v>
      </c>
      <c r="S127" s="14">
        <f>VLOOKUP(I127,[1]Lookups!$V$3:$Y$197,4,FALSE)</f>
        <v>0</v>
      </c>
      <c r="T127" s="14" t="str">
        <f>VLOOKUP(E127,[1]Lookups!$H$3:$I$71,2,FALSE)</f>
        <v>3. Early Venture</v>
      </c>
      <c r="U127" s="14" t="str">
        <f>VLOOKUP(K127,[1]Lookups!$B$3:$C$142,2,FALSE)</f>
        <v>Financial Services</v>
      </c>
      <c r="V127" s="14">
        <f t="shared" si="1"/>
        <v>2015</v>
      </c>
      <c r="W127" s="14">
        <f t="shared" si="2"/>
        <v>10</v>
      </c>
      <c r="X127" s="14">
        <f>VLOOKUP(W127,[1]Lookups!$P$3:$S$15,2,FALSE)</f>
        <v>4</v>
      </c>
      <c r="Y127" s="16">
        <f>VLOOKUP(W127,[1]Lookups!$P$3:$U$15,3,FALSE)</f>
        <v>2</v>
      </c>
      <c r="Z127" s="16">
        <f t="shared" si="3"/>
        <v>2</v>
      </c>
      <c r="AA127" s="16" t="str">
        <f t="shared" ca="1" si="213"/>
        <v>Spark Capital</v>
      </c>
      <c r="AB127" s="16" t="str">
        <f t="shared" ca="1" si="213"/>
        <v xml:space="preserve"> Lundin Foundation</v>
      </c>
      <c r="AC127" s="16">
        <f t="shared" si="213"/>
        <v>0</v>
      </c>
      <c r="AD127" s="16">
        <f t="shared" si="213"/>
        <v>0</v>
      </c>
      <c r="AE127" s="16">
        <f t="shared" si="213"/>
        <v>0</v>
      </c>
      <c r="AF127" s="16">
        <f t="shared" si="213"/>
        <v>0</v>
      </c>
      <c r="AG127" s="16">
        <f t="shared" si="213"/>
        <v>0</v>
      </c>
      <c r="AH127" s="16">
        <f t="shared" si="213"/>
        <v>0</v>
      </c>
      <c r="AI127" s="16">
        <f t="shared" si="213"/>
        <v>0</v>
      </c>
      <c r="AJ127" s="16">
        <f t="shared" si="213"/>
        <v>0</v>
      </c>
      <c r="AK127" s="16">
        <f t="shared" si="213"/>
        <v>0</v>
      </c>
      <c r="AL127" s="16">
        <f t="shared" si="213"/>
        <v>0</v>
      </c>
      <c r="AM127" s="16">
        <f t="shared" si="213"/>
        <v>0</v>
      </c>
      <c r="AN127" s="16">
        <f t="shared" si="213"/>
        <v>0</v>
      </c>
      <c r="AO127" s="16">
        <f t="shared" si="213"/>
        <v>0</v>
      </c>
      <c r="AP127" s="10"/>
      <c r="AQ127" s="10"/>
      <c r="AR127" s="10"/>
      <c r="AS127" s="10" t="str">
        <f t="shared" ref="AS127" ca="1" si="216">IFERROR(__xludf.DUMMYFUNCTION("split(F109,"","",true,true)"),"Spark Capital")</f>
        <v>Spark Capital</v>
      </c>
      <c r="AT127" s="10" t="str">
        <f ca="1">IFERROR(__xludf.DUMMYFUNCTION("""COMPUTED_VALUE""")," Lundin Foundation")</f>
        <v xml:space="preserve"> Lundin Foundation</v>
      </c>
      <c r="AU127" s="10"/>
      <c r="AV127" s="10"/>
      <c r="AW127" s="10"/>
      <c r="AX127" s="10"/>
      <c r="AY127" s="10"/>
      <c r="AZ127" s="10"/>
      <c r="BA127" s="10"/>
      <c r="BB127" s="10"/>
      <c r="BC127" s="10"/>
      <c r="BD127" s="10"/>
      <c r="BE127" s="10"/>
      <c r="BF127" s="10"/>
      <c r="BG127" s="10"/>
      <c r="BH127" s="10"/>
      <c r="BI127" s="10"/>
      <c r="BJ127" s="10"/>
      <c r="BK127" s="10"/>
      <c r="BM127" s="10"/>
    </row>
    <row r="128" spans="1:65" ht="12.75">
      <c r="A128" s="18">
        <v>42310</v>
      </c>
      <c r="B128" s="14" t="s">
        <v>336</v>
      </c>
      <c r="C128" s="19">
        <v>1500000</v>
      </c>
      <c r="D128" s="19"/>
      <c r="E128" s="10" t="s">
        <v>55</v>
      </c>
      <c r="F128" s="14" t="s">
        <v>337</v>
      </c>
      <c r="G128" s="13" t="s">
        <v>338</v>
      </c>
      <c r="H128" s="14" t="str">
        <f t="array" ref="H128">IFERROR(INDEX([1]Companies!$G:$G,MATCH(B128,[1]Companies!$A:$A,0)),"")</f>
        <v>Kenya</v>
      </c>
      <c r="I128" s="14" t="str">
        <f t="shared" si="195"/>
        <v>Kenya</v>
      </c>
      <c r="J128" s="14" t="str">
        <f t="array" ref="J128">IFERROR(INDEX([1]Companies!$Y:$Y,MATCH(B128,[1]Companies!$A:$A,0)),"")</f>
        <v>Health Care, mHealth, Wellness</v>
      </c>
      <c r="K128" s="14" t="str">
        <f t="array" ref="K128">IFERROR(INDEX([1]Companies!$X:$X,MATCH(B128,[1]Companies!$A:$A,0)),"")</f>
        <v>Financial Services</v>
      </c>
      <c r="L128" s="14" t="str">
        <f>VLOOKUP(B128,[1]Companies!$A$1:$C$5243,1,FALSE)</f>
        <v>M-Tiba</v>
      </c>
      <c r="M128" s="15">
        <f t="shared" si="196"/>
        <v>0.9</v>
      </c>
      <c r="N128" s="10" t="str">
        <f t="shared" si="197"/>
        <v>42310M-Tiba1500000</v>
      </c>
      <c r="O128" s="14" t="str">
        <f t="shared" si="198"/>
        <v/>
      </c>
      <c r="P128" s="14">
        <f t="shared" si="199"/>
        <v>1</v>
      </c>
      <c r="Q128" s="14">
        <f t="array" ref="Q128">IFERROR(INDEX([1]Companies!$D:$D,MATCH(B128,[1]Companies!$A:$A,0)),"")</f>
        <v>2016</v>
      </c>
      <c r="R128" s="17">
        <f t="shared" si="200"/>
        <v>2975000</v>
      </c>
      <c r="S128" s="14">
        <f>VLOOKUP(I128,[1]Lookups!$V$3:$Y$197,4,FALSE)</f>
        <v>0</v>
      </c>
      <c r="T128" s="14" t="str">
        <f>VLOOKUP(E128,[1]Lookups!$H$3:$I$71,2,FALSE)</f>
        <v>1. Grant</v>
      </c>
      <c r="U128" s="14" t="str">
        <f>VLOOKUP(K128,[1]Lookups!$B$3:$C$142,2,FALSE)</f>
        <v>Financial Services</v>
      </c>
      <c r="V128" s="14">
        <f t="shared" si="1"/>
        <v>2015</v>
      </c>
      <c r="W128" s="14">
        <f t="shared" si="2"/>
        <v>11</v>
      </c>
      <c r="X128" s="14">
        <f>VLOOKUP(W128,[1]Lookups!$P$3:$S$15,2,FALSE)</f>
        <v>4</v>
      </c>
      <c r="Y128" s="16">
        <f>VLOOKUP(W128,[1]Lookups!$P$3:$U$15,3,FALSE)</f>
        <v>2</v>
      </c>
      <c r="Z128" s="16">
        <f t="shared" si="3"/>
        <v>1</v>
      </c>
      <c r="AA128" s="16" t="str">
        <f t="shared" ca="1" si="213"/>
        <v>Spark Capital</v>
      </c>
      <c r="AB128" s="16">
        <f t="shared" si="213"/>
        <v>0</v>
      </c>
      <c r="AC128" s="16">
        <f t="shared" si="213"/>
        <v>0</v>
      </c>
      <c r="AD128" s="16">
        <f t="shared" si="213"/>
        <v>0</v>
      </c>
      <c r="AE128" s="16">
        <f t="shared" si="213"/>
        <v>0</v>
      </c>
      <c r="AF128" s="16">
        <f t="shared" si="213"/>
        <v>0</v>
      </c>
      <c r="AG128" s="16">
        <f t="shared" si="213"/>
        <v>0</v>
      </c>
      <c r="AH128" s="16">
        <f t="shared" si="213"/>
        <v>0</v>
      </c>
      <c r="AI128" s="16">
        <f t="shared" si="213"/>
        <v>0</v>
      </c>
      <c r="AJ128" s="16">
        <f t="shared" si="213"/>
        <v>0</v>
      </c>
      <c r="AK128" s="16">
        <f t="shared" si="213"/>
        <v>0</v>
      </c>
      <c r="AL128" s="16">
        <f t="shared" si="213"/>
        <v>0</v>
      </c>
      <c r="AM128" s="16">
        <f t="shared" si="213"/>
        <v>0</v>
      </c>
      <c r="AN128" s="16">
        <f t="shared" si="213"/>
        <v>0</v>
      </c>
      <c r="AO128" s="16">
        <f t="shared" si="213"/>
        <v>0</v>
      </c>
      <c r="AP128" s="10"/>
      <c r="AQ128" s="10"/>
      <c r="AR128" s="10"/>
      <c r="AS128" s="10" t="str">
        <f t="shared" ref="AS128" ca="1" si="217">IFERROR(__xludf.DUMMYFUNCTION("split(F109,"","",true,true)"),"Spark Capital")</f>
        <v>Spark Capital</v>
      </c>
      <c r="AT128" s="10"/>
      <c r="AU128" s="10"/>
      <c r="AV128" s="10"/>
      <c r="AW128" s="10"/>
      <c r="AX128" s="10"/>
      <c r="AY128" s="10"/>
      <c r="AZ128" s="10"/>
      <c r="BA128" s="10"/>
      <c r="BB128" s="10"/>
      <c r="BC128" s="10"/>
      <c r="BD128" s="10"/>
      <c r="BE128" s="10"/>
      <c r="BF128" s="10"/>
      <c r="BG128" s="10"/>
      <c r="BH128" s="10"/>
      <c r="BI128" s="10"/>
      <c r="BJ128" s="10"/>
      <c r="BK128" s="10"/>
      <c r="BM128" s="10"/>
    </row>
    <row r="129" spans="1:65" ht="12.75">
      <c r="A129" s="9">
        <v>42312</v>
      </c>
      <c r="B129" s="10" t="s">
        <v>286</v>
      </c>
      <c r="C129" s="11">
        <v>1000000</v>
      </c>
      <c r="D129" s="12"/>
      <c r="E129" s="14" t="s">
        <v>45</v>
      </c>
      <c r="F129" s="10" t="s">
        <v>131</v>
      </c>
      <c r="G129" s="10" t="s">
        <v>339</v>
      </c>
      <c r="H129" s="14" t="str">
        <f t="array" ref="H129">IFERROR(INDEX([1]Companies!$G:$G,MATCH(B129,[1]Companies!$A:$A,0)),"")</f>
        <v>Kenya</v>
      </c>
      <c r="I129" s="14" t="str">
        <f t="shared" si="195"/>
        <v>Kenya</v>
      </c>
      <c r="J129" s="14" t="str">
        <f t="array" ref="J129">IFERROR(INDEX([1]Companies!$Y:$Y,MATCH(B129,[1]Companies!$A:$A,0)),"")</f>
        <v>Logistics, Deliveries, Courier, Packages, Food Delivery, E-Commerce, Mobile Apps, and On demand courier solutions</v>
      </c>
      <c r="K129" s="14" t="str">
        <f t="array" ref="K129">IFERROR(INDEX([1]Companies!$X:$X,MATCH(B129,[1]Companies!$A:$A,0)),"")</f>
        <v>Transport &amp; Logistics</v>
      </c>
      <c r="L129" s="14" t="str">
        <f>VLOOKUP(B129,[1]Companies!$A$1:$C$5243,1,FALSE)</f>
        <v>Sendy</v>
      </c>
      <c r="M129" s="15">
        <f t="shared" si="196"/>
        <v>0.9</v>
      </c>
      <c r="N129" s="10" t="str">
        <f t="shared" si="197"/>
        <v>42312Sendy1000000</v>
      </c>
      <c r="O129" s="14" t="str">
        <f t="shared" si="198"/>
        <v/>
      </c>
      <c r="P129" s="14">
        <f t="shared" si="199"/>
        <v>1</v>
      </c>
      <c r="Q129" s="14">
        <f t="array" ref="Q129">IFERROR(INDEX([1]Companies!$D:$D,MATCH(B129,[1]Companies!$A:$A,0)),"")</f>
        <v>2014</v>
      </c>
      <c r="R129" s="17">
        <f t="shared" si="200"/>
        <v>10500000</v>
      </c>
      <c r="S129" s="14">
        <f>VLOOKUP(I129,[1]Lookups!$V$3:$Y$197,4,FALSE)</f>
        <v>0</v>
      </c>
      <c r="T129" s="14" t="str">
        <f>VLOOKUP(E129,[1]Lookups!$H$3:$I$71,2,FALSE)</f>
        <v>2. Seed</v>
      </c>
      <c r="U129" s="14" t="str">
        <f>VLOOKUP(K129,[1]Lookups!$B$3:$C$142,2,FALSE)</f>
        <v>Transport &amp; Logistics</v>
      </c>
      <c r="V129" s="14">
        <f t="shared" si="1"/>
        <v>2015</v>
      </c>
      <c r="W129" s="14">
        <f t="shared" si="2"/>
        <v>11</v>
      </c>
      <c r="X129" s="14">
        <f>VLOOKUP(W129,[1]Lookups!$P$3:$S$15,2,FALSE)</f>
        <v>4</v>
      </c>
      <c r="Y129" s="16">
        <f>VLOOKUP(W129,[1]Lookups!$P$3:$U$15,3,FALSE)</f>
        <v>2</v>
      </c>
      <c r="Z129" s="16">
        <f t="shared" si="3"/>
        <v>1</v>
      </c>
      <c r="AA129" s="16" t="str">
        <f t="shared" ca="1" si="213"/>
        <v>Spark Capital</v>
      </c>
      <c r="AB129" s="16">
        <f t="shared" si="213"/>
        <v>0</v>
      </c>
      <c r="AC129" s="16">
        <f t="shared" si="213"/>
        <v>0</v>
      </c>
      <c r="AD129" s="16">
        <f t="shared" si="213"/>
        <v>0</v>
      </c>
      <c r="AE129" s="16">
        <f t="shared" si="213"/>
        <v>0</v>
      </c>
      <c r="AF129" s="16">
        <f t="shared" si="213"/>
        <v>0</v>
      </c>
      <c r="AG129" s="16">
        <f t="shared" si="213"/>
        <v>0</v>
      </c>
      <c r="AH129" s="16">
        <f t="shared" si="213"/>
        <v>0</v>
      </c>
      <c r="AI129" s="16">
        <f t="shared" si="213"/>
        <v>0</v>
      </c>
      <c r="AJ129" s="16">
        <f t="shared" si="213"/>
        <v>0</v>
      </c>
      <c r="AK129" s="16">
        <f t="shared" si="213"/>
        <v>0</v>
      </c>
      <c r="AL129" s="16">
        <f t="shared" si="213"/>
        <v>0</v>
      </c>
      <c r="AM129" s="16">
        <f t="shared" si="213"/>
        <v>0</v>
      </c>
      <c r="AN129" s="16">
        <f t="shared" si="213"/>
        <v>0</v>
      </c>
      <c r="AO129" s="16">
        <f t="shared" si="213"/>
        <v>0</v>
      </c>
      <c r="AP129" s="10"/>
      <c r="AQ129" s="10"/>
      <c r="AR129" s="10"/>
      <c r="AS129" s="10" t="str">
        <f t="shared" ref="AS129" ca="1" si="218">IFERROR(__xludf.DUMMYFUNCTION("split(F109,"","",true,true)"),"Spark Capital")</f>
        <v>Spark Capital</v>
      </c>
      <c r="AT129" s="10"/>
      <c r="AU129" s="10"/>
      <c r="AV129" s="10"/>
      <c r="AW129" s="10"/>
      <c r="AX129" s="10"/>
      <c r="AY129" s="10"/>
      <c r="AZ129" s="10"/>
      <c r="BA129" s="10"/>
      <c r="BB129" s="10"/>
      <c r="BC129" s="10"/>
      <c r="BD129" s="10"/>
      <c r="BE129" s="10"/>
      <c r="BF129" s="10"/>
      <c r="BG129" s="10"/>
      <c r="BH129" s="10"/>
      <c r="BI129" s="10"/>
      <c r="BJ129" s="10"/>
      <c r="BK129" s="10"/>
      <c r="BM129" s="10"/>
    </row>
    <row r="130" spans="1:65" ht="12.75">
      <c r="A130" s="18">
        <v>42325</v>
      </c>
      <c r="B130" s="14" t="s">
        <v>265</v>
      </c>
      <c r="C130" s="19">
        <v>1400000</v>
      </c>
      <c r="D130" s="22"/>
      <c r="E130" s="14" t="s">
        <v>45</v>
      </c>
      <c r="F130" s="14" t="s">
        <v>340</v>
      </c>
      <c r="G130" s="21" t="s">
        <v>341</v>
      </c>
      <c r="H130" s="14" t="str">
        <f t="array" ref="H130">IFERROR(INDEX([1]Companies!$G:$G,MATCH(B130,[1]Companies!$A:$A,0)),"")</f>
        <v>Nigeria</v>
      </c>
      <c r="I130" s="14" t="str">
        <f t="shared" si="195"/>
        <v>Nigeria</v>
      </c>
      <c r="J130" s="14" t="str">
        <f t="array" ref="J130">IFERROR(INDEX([1]Companies!$Y:$Y,MATCH(B130,[1]Companies!$A:$A,0)),"")</f>
        <v>Company Information, Data Analysis, Business Development, Investment Research, Company Profiling, News &amp; Analysis, Due Diligence, Africa, Market Research, private equity, and African Data</v>
      </c>
      <c r="K130" s="14" t="str">
        <f t="array" ref="K130">IFERROR(INDEX([1]Companies!$X:$X,MATCH(B130,[1]Companies!$A:$A,0)),"")</f>
        <v>Media &amp; Entertainment</v>
      </c>
      <c r="L130" s="14" t="str">
        <f>VLOOKUP(B130,[1]Companies!$A$1:$C$5243,1,FALSE)</f>
        <v>Asoko Insight</v>
      </c>
      <c r="M130" s="15">
        <f t="shared" si="196"/>
        <v>0.9</v>
      </c>
      <c r="N130" s="10" t="str">
        <f t="shared" si="197"/>
        <v>42325Asoko Insight1400000</v>
      </c>
      <c r="O130" s="14" t="str">
        <f t="shared" si="198"/>
        <v/>
      </c>
      <c r="P130" s="14">
        <f t="shared" si="199"/>
        <v>1</v>
      </c>
      <c r="Q130" s="14">
        <f t="array" ref="Q130">IFERROR(INDEX([1]Companies!$D:$D,MATCH(B130,[1]Companies!$A:$A,0)),"")</f>
        <v>2014</v>
      </c>
      <c r="R130" s="17">
        <f t="shared" si="200"/>
        <v>8000000</v>
      </c>
      <c r="S130" s="14">
        <f>VLOOKUP(I130,[1]Lookups!$V$3:$Y$197,4,FALSE)</f>
        <v>0</v>
      </c>
      <c r="T130" s="14" t="str">
        <f>VLOOKUP(E130,[1]Lookups!$H$3:$I$71,2,FALSE)</f>
        <v>2. Seed</v>
      </c>
      <c r="U130" s="14" t="str">
        <f>VLOOKUP(K130,[1]Lookups!$B$3:$C$142,2,FALSE)</f>
        <v>Media &amp; Entertainment</v>
      </c>
      <c r="V130" s="14">
        <f t="shared" si="1"/>
        <v>2015</v>
      </c>
      <c r="W130" s="14">
        <f t="shared" si="2"/>
        <v>11</v>
      </c>
      <c r="X130" s="14">
        <f>VLOOKUP(W130,[1]Lookups!$P$3:$S$15,2,FALSE)</f>
        <v>4</v>
      </c>
      <c r="Y130" s="16">
        <f>VLOOKUP(W130,[1]Lookups!$P$3:$U$15,3,FALSE)</f>
        <v>2</v>
      </c>
      <c r="Z130" s="16">
        <f t="shared" si="3"/>
        <v>4</v>
      </c>
      <c r="AA130" s="16" t="str">
        <f t="shared" ca="1" si="213"/>
        <v>Spark Capital</v>
      </c>
      <c r="AB130" s="16" t="str">
        <f t="shared" ca="1" si="213"/>
        <v xml:space="preserve"> Lateral Capital</v>
      </c>
      <c r="AC130" s="16" t="str">
        <f t="shared" ca="1" si="213"/>
        <v xml:space="preserve"> J.E. Berman Associates</v>
      </c>
      <c r="AD130" s="16" t="str">
        <f t="shared" ca="1" si="213"/>
        <v xml:space="preserve"> CRE Venture Capital</v>
      </c>
      <c r="AE130" s="16">
        <f t="shared" si="213"/>
        <v>0</v>
      </c>
      <c r="AF130" s="16">
        <f t="shared" si="213"/>
        <v>0</v>
      </c>
      <c r="AG130" s="16">
        <f t="shared" si="213"/>
        <v>0</v>
      </c>
      <c r="AH130" s="16">
        <f t="shared" si="213"/>
        <v>0</v>
      </c>
      <c r="AI130" s="16">
        <f t="shared" si="213"/>
        <v>0</v>
      </c>
      <c r="AJ130" s="16">
        <f t="shared" si="213"/>
        <v>0</v>
      </c>
      <c r="AK130" s="16">
        <f t="shared" si="213"/>
        <v>0</v>
      </c>
      <c r="AL130" s="16">
        <f t="shared" si="213"/>
        <v>0</v>
      </c>
      <c r="AM130" s="16">
        <f t="shared" si="213"/>
        <v>0</v>
      </c>
      <c r="AN130" s="16">
        <f t="shared" si="213"/>
        <v>0</v>
      </c>
      <c r="AO130" s="16">
        <f t="shared" si="213"/>
        <v>0</v>
      </c>
      <c r="AP130" s="10"/>
      <c r="AQ130" s="10"/>
      <c r="AR130" s="10"/>
      <c r="AS130" s="10" t="str">
        <f t="shared" ref="AS130" ca="1" si="219">IFERROR(__xludf.DUMMYFUNCTION("split(F109,"","",true,true)"),"Spark Capital")</f>
        <v>Spark Capital</v>
      </c>
      <c r="AT130" s="10" t="str">
        <f ca="1">IFERROR(__xludf.DUMMYFUNCTION("""COMPUTED_VALUE""")," Lateral Capital")</f>
        <v xml:space="preserve"> Lateral Capital</v>
      </c>
      <c r="AU130" s="10" t="str">
        <f ca="1">IFERROR(__xludf.DUMMYFUNCTION("""COMPUTED_VALUE""")," J.E. Berman Associates")</f>
        <v xml:space="preserve"> J.E. Berman Associates</v>
      </c>
      <c r="AV130" s="10" t="str">
        <f ca="1">IFERROR(__xludf.DUMMYFUNCTION("""COMPUTED_VALUE""")," CRE Venture Capital")</f>
        <v xml:space="preserve"> CRE Venture Capital</v>
      </c>
      <c r="AW130" s="10"/>
      <c r="AX130" s="10"/>
      <c r="AY130" s="10"/>
      <c r="AZ130" s="10"/>
      <c r="BA130" s="10"/>
      <c r="BB130" s="10"/>
      <c r="BC130" s="10"/>
      <c r="BD130" s="10"/>
      <c r="BE130" s="10"/>
      <c r="BF130" s="10"/>
      <c r="BG130" s="10"/>
      <c r="BH130" s="10"/>
      <c r="BI130" s="10"/>
      <c r="BJ130" s="10"/>
      <c r="BK130" s="10"/>
      <c r="BM130" s="10"/>
    </row>
    <row r="131" spans="1:65" ht="12.75">
      <c r="A131" s="9">
        <v>42326</v>
      </c>
      <c r="B131" s="10" t="s">
        <v>342</v>
      </c>
      <c r="C131" s="11">
        <v>2000000</v>
      </c>
      <c r="D131" s="12"/>
      <c r="E131" s="10" t="s">
        <v>45</v>
      </c>
      <c r="F131" s="10" t="s">
        <v>49</v>
      </c>
      <c r="G131" s="13" t="s">
        <v>343</v>
      </c>
      <c r="H131" s="14" t="str">
        <f t="array" ref="H131">IFERROR(INDEX([1]Companies!$G:$G,MATCH(B131,[1]Companies!$A:$A,0)),"")</f>
        <v>Nigeria</v>
      </c>
      <c r="I131" s="14" t="str">
        <f t="shared" si="195"/>
        <v>Nigeria</v>
      </c>
      <c r="J131" s="14" t="str">
        <f t="array" ref="J131">IFERROR(INDEX([1]Companies!$Y:$Y,MATCH(B131,[1]Companies!$A:$A,0)),"")</f>
        <v>E-Commerce, Tourism, Travel</v>
      </c>
      <c r="K131" s="14" t="str">
        <f t="array" ref="K131">IFERROR(INDEX([1]Companies!$X:$X,MATCH(B131,[1]Companies!$A:$A,0)),"")</f>
        <v>E-Commerce &amp; Retail</v>
      </c>
      <c r="L131" s="14" t="str">
        <f>VLOOKUP(B131,[1]Companies!$A$1:$C$5243,1,FALSE)</f>
        <v>Travelbeta</v>
      </c>
      <c r="M131" s="15">
        <f t="shared" si="196"/>
        <v>0.9</v>
      </c>
      <c r="N131" s="10" t="str">
        <f t="shared" si="197"/>
        <v>42326Travelbeta2000000</v>
      </c>
      <c r="O131" s="14" t="str">
        <f t="shared" si="198"/>
        <v/>
      </c>
      <c r="P131" s="14">
        <f t="shared" si="199"/>
        <v>1</v>
      </c>
      <c r="Q131" s="14">
        <f t="array" ref="Q131">IFERROR(INDEX([1]Companies!$D:$D,MATCH(B131,[1]Companies!$A:$A,0)),"")</f>
        <v>2014</v>
      </c>
      <c r="R131" s="17">
        <f t="shared" si="200"/>
        <v>2000000</v>
      </c>
      <c r="S131" s="14">
        <f>VLOOKUP(I131,[1]Lookups!$V$3:$Y$197,4,FALSE)</f>
        <v>0</v>
      </c>
      <c r="T131" s="14" t="str">
        <f>VLOOKUP(E131,[1]Lookups!$H$3:$I$71,2,FALSE)</f>
        <v>2. Seed</v>
      </c>
      <c r="U131" s="14" t="str">
        <f>VLOOKUP(K131,[1]Lookups!$B$3:$C$142,2,FALSE)</f>
        <v>E-commerce &amp; Retail</v>
      </c>
      <c r="V131" s="14">
        <f t="shared" si="1"/>
        <v>2015</v>
      </c>
      <c r="W131" s="14">
        <f t="shared" si="2"/>
        <v>11</v>
      </c>
      <c r="X131" s="14">
        <f>VLOOKUP(W131,[1]Lookups!$P$3:$S$15,2,FALSE)</f>
        <v>4</v>
      </c>
      <c r="Y131" s="16">
        <f>VLOOKUP(W131,[1]Lookups!$P$3:$U$15,3,FALSE)</f>
        <v>2</v>
      </c>
      <c r="Z131" s="16">
        <f t="shared" si="3"/>
        <v>1</v>
      </c>
      <c r="AA131" s="16" t="str">
        <f t="shared" ca="1" si="213"/>
        <v>Spark Capital</v>
      </c>
      <c r="AB131" s="16">
        <f t="shared" si="213"/>
        <v>0</v>
      </c>
      <c r="AC131" s="16">
        <f t="shared" si="213"/>
        <v>0</v>
      </c>
      <c r="AD131" s="16">
        <f t="shared" si="213"/>
        <v>0</v>
      </c>
      <c r="AE131" s="16">
        <f t="shared" si="213"/>
        <v>0</v>
      </c>
      <c r="AF131" s="16">
        <f t="shared" si="213"/>
        <v>0</v>
      </c>
      <c r="AG131" s="16">
        <f t="shared" si="213"/>
        <v>0</v>
      </c>
      <c r="AH131" s="16">
        <f t="shared" si="213"/>
        <v>0</v>
      </c>
      <c r="AI131" s="16">
        <f t="shared" si="213"/>
        <v>0</v>
      </c>
      <c r="AJ131" s="16">
        <f t="shared" si="213"/>
        <v>0</v>
      </c>
      <c r="AK131" s="16">
        <f t="shared" si="213"/>
        <v>0</v>
      </c>
      <c r="AL131" s="16">
        <f t="shared" si="213"/>
        <v>0</v>
      </c>
      <c r="AM131" s="16">
        <f t="shared" si="213"/>
        <v>0</v>
      </c>
      <c r="AN131" s="16">
        <f t="shared" si="213"/>
        <v>0</v>
      </c>
      <c r="AO131" s="16">
        <f t="shared" si="213"/>
        <v>0</v>
      </c>
      <c r="AP131" s="10"/>
      <c r="AQ131" s="10"/>
      <c r="AR131" s="10"/>
      <c r="AS131" s="10" t="str">
        <f t="shared" ref="AS131" ca="1" si="220">IFERROR(__xludf.DUMMYFUNCTION("split(F109,"","",true,true)"),"Spark Capital")</f>
        <v>Spark Capital</v>
      </c>
      <c r="AT131" s="10"/>
      <c r="AU131" s="10"/>
      <c r="AV131" s="10"/>
      <c r="AW131" s="10"/>
      <c r="AX131" s="10"/>
      <c r="AY131" s="10"/>
      <c r="AZ131" s="10"/>
      <c r="BA131" s="10"/>
      <c r="BB131" s="10"/>
      <c r="BC131" s="10"/>
      <c r="BD131" s="10"/>
      <c r="BE131" s="10"/>
      <c r="BF131" s="10"/>
      <c r="BG131" s="10"/>
      <c r="BH131" s="10"/>
      <c r="BI131" s="10"/>
      <c r="BJ131" s="10"/>
      <c r="BK131" s="10"/>
      <c r="BM131" s="10"/>
    </row>
    <row r="132" spans="1:65" ht="12.75">
      <c r="A132" s="18">
        <v>42326</v>
      </c>
      <c r="B132" s="14" t="s">
        <v>298</v>
      </c>
      <c r="C132" s="19">
        <v>355000</v>
      </c>
      <c r="D132" s="22"/>
      <c r="E132" s="14" t="s">
        <v>45</v>
      </c>
      <c r="F132" s="14" t="s">
        <v>344</v>
      </c>
      <c r="G132" s="21" t="s">
        <v>345</v>
      </c>
      <c r="H132" s="14" t="str">
        <f t="array" ref="H132">IFERROR(INDEX([1]Companies!$G:$G,MATCH(B132,[1]Companies!$A:$A,0)),"")</f>
        <v>South Africa</v>
      </c>
      <c r="I132" s="14" t="str">
        <f t="shared" si="195"/>
        <v>South Africa</v>
      </c>
      <c r="J132" s="14" t="str">
        <f t="array" ref="J132">IFERROR(INDEX([1]Companies!$Y:$Y,MATCH(B132,[1]Companies!$A:$A,0)),"")</f>
        <v>Banking, FinTech, Incubators</v>
      </c>
      <c r="K132" s="14" t="str">
        <f t="array" ref="K132">IFERROR(INDEX([1]Companies!$X:$X,MATCH(B132,[1]Companies!$A:$A,0)),"")</f>
        <v>Financial Services</v>
      </c>
      <c r="L132" s="14" t="str">
        <f>VLOOKUP(B132,[1]Companies!$A$1:$C$5243,1,FALSE)</f>
        <v>Fintec Labs</v>
      </c>
      <c r="M132" s="15">
        <f t="shared" si="196"/>
        <v>0.9</v>
      </c>
      <c r="N132" s="10" t="str">
        <f t="shared" si="197"/>
        <v>42326Fintec Labs355000</v>
      </c>
      <c r="O132" s="14" t="str">
        <f t="shared" si="198"/>
        <v/>
      </c>
      <c r="P132" s="14">
        <f t="shared" si="199"/>
        <v>1</v>
      </c>
      <c r="Q132" s="14">
        <f t="array" ref="Q132">IFERROR(INDEX([1]Companies!$D:$D,MATCH(B132,[1]Companies!$A:$A,0)),"")</f>
        <v>2015</v>
      </c>
      <c r="R132" s="17">
        <f t="shared" si="200"/>
        <v>6397000</v>
      </c>
      <c r="S132" s="14">
        <f>VLOOKUP(I132,[1]Lookups!$V$3:$Y$197,4,FALSE)</f>
        <v>0</v>
      </c>
      <c r="T132" s="14" t="str">
        <f>VLOOKUP(E132,[1]Lookups!$H$3:$I$71,2,FALSE)</f>
        <v>2. Seed</v>
      </c>
      <c r="U132" s="14" t="str">
        <f>VLOOKUP(K132,[1]Lookups!$B$3:$C$142,2,FALSE)</f>
        <v>Financial Services</v>
      </c>
      <c r="V132" s="14">
        <f t="shared" si="1"/>
        <v>2015</v>
      </c>
      <c r="W132" s="14">
        <f t="shared" si="2"/>
        <v>11</v>
      </c>
      <c r="X132" s="14">
        <f>VLOOKUP(W132,[1]Lookups!$P$3:$S$15,2,FALSE)</f>
        <v>4</v>
      </c>
      <c r="Y132" s="16">
        <f>VLOOKUP(W132,[1]Lookups!$P$3:$U$15,3,FALSE)</f>
        <v>2</v>
      </c>
      <c r="Z132" s="16">
        <f t="shared" si="3"/>
        <v>1</v>
      </c>
      <c r="AA132" s="16" t="str">
        <f t="shared" ca="1" si="213"/>
        <v>Spark Capital</v>
      </c>
      <c r="AB132" s="16">
        <f t="shared" si="213"/>
        <v>0</v>
      </c>
      <c r="AC132" s="16">
        <f t="shared" si="213"/>
        <v>0</v>
      </c>
      <c r="AD132" s="16">
        <f t="shared" si="213"/>
        <v>0</v>
      </c>
      <c r="AE132" s="16">
        <f t="shared" si="213"/>
        <v>0</v>
      </c>
      <c r="AF132" s="16">
        <f t="shared" si="213"/>
        <v>0</v>
      </c>
      <c r="AG132" s="16">
        <f t="shared" si="213"/>
        <v>0</v>
      </c>
      <c r="AH132" s="16">
        <f t="shared" si="213"/>
        <v>0</v>
      </c>
      <c r="AI132" s="16">
        <f t="shared" si="213"/>
        <v>0</v>
      </c>
      <c r="AJ132" s="16">
        <f t="shared" si="213"/>
        <v>0</v>
      </c>
      <c r="AK132" s="16">
        <f t="shared" si="213"/>
        <v>0</v>
      </c>
      <c r="AL132" s="16">
        <f t="shared" si="213"/>
        <v>0</v>
      </c>
      <c r="AM132" s="16">
        <f t="shared" si="213"/>
        <v>0</v>
      </c>
      <c r="AN132" s="16">
        <f t="shared" si="213"/>
        <v>0</v>
      </c>
      <c r="AO132" s="16">
        <f t="shared" si="213"/>
        <v>0</v>
      </c>
      <c r="AP132" s="10"/>
      <c r="AQ132" s="10"/>
      <c r="AR132" s="10"/>
      <c r="AS132" s="10" t="str">
        <f t="shared" ref="AS132" ca="1" si="221">IFERROR(__xludf.DUMMYFUNCTION("split(F109,"","",true,true)"),"Spark Capital")</f>
        <v>Spark Capital</v>
      </c>
      <c r="AT132" s="10"/>
      <c r="AU132" s="10"/>
      <c r="AV132" s="10"/>
      <c r="AW132" s="10"/>
      <c r="AX132" s="10"/>
      <c r="AY132" s="10"/>
      <c r="AZ132" s="10"/>
      <c r="BA132" s="10"/>
      <c r="BB132" s="10"/>
      <c r="BC132" s="10"/>
      <c r="BD132" s="10"/>
      <c r="BE132" s="10"/>
      <c r="BF132" s="10"/>
      <c r="BG132" s="10"/>
      <c r="BH132" s="10"/>
      <c r="BI132" s="10"/>
      <c r="BJ132" s="10"/>
      <c r="BK132" s="10"/>
      <c r="BM132" s="10"/>
    </row>
    <row r="133" spans="1:65" ht="12.75">
      <c r="A133" s="18">
        <v>42339</v>
      </c>
      <c r="B133" s="14" t="s">
        <v>346</v>
      </c>
      <c r="C133" s="19" t="s">
        <v>49</v>
      </c>
      <c r="D133" s="22"/>
      <c r="E133" s="14" t="s">
        <v>55</v>
      </c>
      <c r="F133" s="14" t="s">
        <v>347</v>
      </c>
      <c r="G133" s="21" t="s">
        <v>348</v>
      </c>
      <c r="H133" s="14" t="str">
        <f t="array" ref="H133">IFERROR(INDEX([1]Companies!$G:$G,MATCH(B133,[1]Companies!$A:$A,0)),"")</f>
        <v>Ghana</v>
      </c>
      <c r="I133" s="14" t="str">
        <f t="shared" si="195"/>
        <v>Ghana</v>
      </c>
      <c r="J133" s="14" t="str">
        <f t="array" ref="J133">IFERROR(INDEX([1]Companies!$Y:$Y,MATCH(B133,[1]Companies!$A:$A,0)),"")</f>
        <v>Agtech, Data Analytics</v>
      </c>
      <c r="K133" s="14" t="str">
        <f t="array" ref="K133">IFERROR(INDEX([1]Companies!$X:$X,MATCH(B133,[1]Companies!$A:$A,0)),"")</f>
        <v>Agriculture</v>
      </c>
      <c r="L133" s="14" t="str">
        <f>VLOOKUP(B133,[1]Companies!$A$1:$C$5243,1,FALSE)</f>
        <v>Farmerline</v>
      </c>
      <c r="M133" s="15">
        <f t="shared" si="196"/>
        <v>0.9</v>
      </c>
      <c r="N133" s="10" t="str">
        <f t="shared" si="197"/>
        <v>42339FarmerlineUndisclosed</v>
      </c>
      <c r="O133" s="14" t="str">
        <f t="shared" si="198"/>
        <v/>
      </c>
      <c r="P133" s="14">
        <f t="shared" si="199"/>
        <v>0</v>
      </c>
      <c r="Q133" s="14">
        <f t="array" ref="Q133">IFERROR(INDEX([1]Companies!$D:$D,MATCH(B133,[1]Companies!$A:$A,0)),"")</f>
        <v>2012</v>
      </c>
      <c r="R133" s="17">
        <f t="shared" si="200"/>
        <v>742000</v>
      </c>
      <c r="S133" s="14">
        <f>VLOOKUP(I133,[1]Lookups!$V$3:$Y$197,4,FALSE)</f>
        <v>0</v>
      </c>
      <c r="T133" s="14" t="str">
        <f>VLOOKUP(E133,[1]Lookups!$H$3:$I$71,2,FALSE)</f>
        <v>1. Grant</v>
      </c>
      <c r="U133" s="14" t="str">
        <f>VLOOKUP(K133,[1]Lookups!$B$3:$C$142,2,FALSE)</f>
        <v>Agriculture</v>
      </c>
      <c r="V133" s="14">
        <f t="shared" si="1"/>
        <v>2015</v>
      </c>
      <c r="W133" s="14">
        <f t="shared" si="2"/>
        <v>12</v>
      </c>
      <c r="X133" s="14">
        <f>VLOOKUP(W133,[1]Lookups!$P$3:$S$15,2,FALSE)</f>
        <v>4</v>
      </c>
      <c r="Y133" s="16">
        <f>VLOOKUP(W133,[1]Lookups!$P$3:$U$15,3,FALSE)</f>
        <v>2</v>
      </c>
      <c r="Z133" s="16">
        <f t="shared" si="3"/>
        <v>1</v>
      </c>
      <c r="AA133" s="16" t="str">
        <f t="shared" ca="1" si="213"/>
        <v>Spark Capital</v>
      </c>
      <c r="AB133" s="16">
        <f t="shared" si="213"/>
        <v>0</v>
      </c>
      <c r="AC133" s="16">
        <f t="shared" si="213"/>
        <v>0</v>
      </c>
      <c r="AD133" s="16">
        <f t="shared" si="213"/>
        <v>0</v>
      </c>
      <c r="AE133" s="16">
        <f t="shared" si="213"/>
        <v>0</v>
      </c>
      <c r="AF133" s="16">
        <f t="shared" si="213"/>
        <v>0</v>
      </c>
      <c r="AG133" s="16">
        <f t="shared" si="213"/>
        <v>0</v>
      </c>
      <c r="AH133" s="16">
        <f t="shared" si="213"/>
        <v>0</v>
      </c>
      <c r="AI133" s="16">
        <f t="shared" si="213"/>
        <v>0</v>
      </c>
      <c r="AJ133" s="16">
        <f t="shared" si="213"/>
        <v>0</v>
      </c>
      <c r="AK133" s="16">
        <f t="shared" si="213"/>
        <v>0</v>
      </c>
      <c r="AL133" s="16">
        <f t="shared" si="213"/>
        <v>0</v>
      </c>
      <c r="AM133" s="16">
        <f t="shared" si="213"/>
        <v>0</v>
      </c>
      <c r="AN133" s="16">
        <f t="shared" si="213"/>
        <v>0</v>
      </c>
      <c r="AO133" s="16">
        <f t="shared" si="213"/>
        <v>0</v>
      </c>
      <c r="AP133" s="10"/>
      <c r="AQ133" s="10"/>
      <c r="AR133" s="10"/>
      <c r="AS133" s="10" t="str">
        <f t="shared" ref="AS133" ca="1" si="222">IFERROR(__xludf.DUMMYFUNCTION("split(F109,"","",true,true)"),"Spark Capital")</f>
        <v>Spark Capital</v>
      </c>
      <c r="AT133" s="10"/>
      <c r="AU133" s="10"/>
      <c r="AV133" s="10"/>
      <c r="AW133" s="10"/>
      <c r="AX133" s="10"/>
      <c r="AY133" s="10"/>
      <c r="AZ133" s="10"/>
      <c r="BA133" s="10"/>
      <c r="BB133" s="10"/>
      <c r="BC133" s="10"/>
      <c r="BD133" s="10"/>
      <c r="BE133" s="10"/>
      <c r="BF133" s="10"/>
      <c r="BG133" s="10"/>
      <c r="BH133" s="10"/>
      <c r="BI133" s="10"/>
      <c r="BJ133" s="10"/>
      <c r="BK133" s="10"/>
      <c r="BM133" s="10"/>
    </row>
    <row r="134" spans="1:65" ht="12.75">
      <c r="A134" s="9">
        <v>42340</v>
      </c>
      <c r="B134" s="10" t="s">
        <v>68</v>
      </c>
      <c r="C134" s="11">
        <v>19000000</v>
      </c>
      <c r="D134" s="12"/>
      <c r="E134" s="10" t="s">
        <v>328</v>
      </c>
      <c r="F134" s="10" t="s">
        <v>349</v>
      </c>
      <c r="G134" s="13" t="s">
        <v>350</v>
      </c>
      <c r="H134" s="14" t="str">
        <f t="array" ref="H134">IFERROR(INDEX([1]Companies!$G:$G,MATCH(B134,[1]Companies!$A:$A,0)),"")</f>
        <v>Kenya</v>
      </c>
      <c r="I134" s="14" t="str">
        <f t="shared" si="195"/>
        <v>Kenya</v>
      </c>
      <c r="J134" s="14" t="str">
        <f t="array" ref="J134">IFERROR(INDEX([1]Companies!$Y:$Y,MATCH(B134,[1]Companies!$A:$A,0)),"")</f>
        <v>Energy, Financial Services, Mobile</v>
      </c>
      <c r="K134" s="14" t="str">
        <f t="array" ref="K134">IFERROR(INDEX([1]Companies!$X:$X,MATCH(B134,[1]Companies!$A:$A,0)),"")</f>
        <v>Energy &amp; Environment Resources</v>
      </c>
      <c r="L134" s="14" t="str">
        <f>VLOOKUP(B134,[1]Companies!$A$1:$C$5243,1,FALSE)</f>
        <v>M-Kopa</v>
      </c>
      <c r="M134" s="15">
        <f t="shared" si="196"/>
        <v>0.9</v>
      </c>
      <c r="N134" s="10" t="str">
        <f t="shared" si="197"/>
        <v>42340M-KOPA19000000</v>
      </c>
      <c r="O134" s="14" t="str">
        <f t="shared" si="198"/>
        <v/>
      </c>
      <c r="P134" s="14">
        <f t="shared" si="199"/>
        <v>1</v>
      </c>
      <c r="Q134" s="14">
        <f t="array" ref="Q134">IFERROR(INDEX([1]Companies!$D:$D,MATCH(B134,[1]Companies!$A:$A,0)),"")</f>
        <v>2011</v>
      </c>
      <c r="R134" s="17">
        <f t="shared" si="200"/>
        <v>161800000</v>
      </c>
      <c r="S134" s="14">
        <f>VLOOKUP(I134,[1]Lookups!$V$3:$Y$197,4,FALSE)</f>
        <v>0</v>
      </c>
      <c r="T134" s="14" t="str">
        <f>VLOOKUP(E134,[1]Lookups!$H$3:$I$71,2,FALSE)</f>
        <v>4. Late Venture</v>
      </c>
      <c r="U134" s="14" t="e">
        <f>VLOOKUP(K134,[1]Lookups!$B$3:$C$142,2,FALSE)</f>
        <v>#N/A</v>
      </c>
      <c r="V134" s="14">
        <f t="shared" si="1"/>
        <v>2015</v>
      </c>
      <c r="W134" s="14">
        <f t="shared" si="2"/>
        <v>12</v>
      </c>
      <c r="X134" s="14">
        <f>VLOOKUP(W134,[1]Lookups!$P$3:$S$15,2,FALSE)</f>
        <v>4</v>
      </c>
      <c r="Y134" s="16">
        <f>VLOOKUP(W134,[1]Lookups!$P$3:$U$15,3,FALSE)</f>
        <v>2</v>
      </c>
      <c r="Z134" s="16">
        <f t="shared" si="3"/>
        <v>4</v>
      </c>
      <c r="AA134" s="16" t="str">
        <f t="shared" ca="1" si="213"/>
        <v>Spark Capital</v>
      </c>
      <c r="AB134" s="16" t="str">
        <f t="shared" ca="1" si="213"/>
        <v xml:space="preserve"> Virgin Group</v>
      </c>
      <c r="AC134" s="16" t="str">
        <f t="shared" ca="1" si="213"/>
        <v xml:space="preserve"> Generation Investment Management</v>
      </c>
      <c r="AD134" s="16" t="str">
        <f t="shared" ca="1" si="213"/>
        <v xml:space="preserve"> Jean Case</v>
      </c>
      <c r="AE134" s="16">
        <f t="shared" si="213"/>
        <v>0</v>
      </c>
      <c r="AF134" s="16">
        <f t="shared" si="213"/>
        <v>0</v>
      </c>
      <c r="AG134" s="16">
        <f t="shared" si="213"/>
        <v>0</v>
      </c>
      <c r="AH134" s="16">
        <f t="shared" si="213"/>
        <v>0</v>
      </c>
      <c r="AI134" s="16">
        <f t="shared" si="213"/>
        <v>0</v>
      </c>
      <c r="AJ134" s="16">
        <f t="shared" si="213"/>
        <v>0</v>
      </c>
      <c r="AK134" s="16">
        <f t="shared" si="213"/>
        <v>0</v>
      </c>
      <c r="AL134" s="16">
        <f t="shared" si="213"/>
        <v>0</v>
      </c>
      <c r="AM134" s="16">
        <f t="shared" si="213"/>
        <v>0</v>
      </c>
      <c r="AN134" s="16">
        <f t="shared" si="213"/>
        <v>0</v>
      </c>
      <c r="AO134" s="16">
        <f t="shared" si="213"/>
        <v>0</v>
      </c>
      <c r="AP134" s="10"/>
      <c r="AQ134" s="10"/>
      <c r="AR134" s="10"/>
      <c r="AS134" s="10" t="str">
        <f t="shared" ref="AS134" ca="1" si="223">IFERROR(__xludf.DUMMYFUNCTION("split(F109,"","",true,true)"),"Spark Capital")</f>
        <v>Spark Capital</v>
      </c>
      <c r="AT134" s="10" t="str">
        <f ca="1">IFERROR(__xludf.DUMMYFUNCTION("""COMPUTED_VALUE""")," Virgin Group")</f>
        <v xml:space="preserve"> Virgin Group</v>
      </c>
      <c r="AU134" s="10" t="str">
        <f ca="1">IFERROR(__xludf.DUMMYFUNCTION("""COMPUTED_VALUE""")," Generation Investment Management")</f>
        <v xml:space="preserve"> Generation Investment Management</v>
      </c>
      <c r="AV134" s="10" t="str">
        <f ca="1">IFERROR(__xludf.DUMMYFUNCTION("""COMPUTED_VALUE""")," Jean Case")</f>
        <v xml:space="preserve"> Jean Case</v>
      </c>
      <c r="AW134" s="10"/>
      <c r="AX134" s="10"/>
      <c r="AY134" s="10"/>
      <c r="AZ134" s="10"/>
      <c r="BA134" s="10"/>
      <c r="BB134" s="10"/>
      <c r="BC134" s="10"/>
      <c r="BD134" s="10"/>
      <c r="BE134" s="10"/>
      <c r="BF134" s="10"/>
      <c r="BG134" s="10"/>
      <c r="BH134" s="10"/>
      <c r="BI134" s="10"/>
      <c r="BJ134" s="10"/>
      <c r="BK134" s="10"/>
      <c r="BM134" s="10"/>
    </row>
    <row r="135" spans="1:65" ht="12.75">
      <c r="A135" s="9">
        <v>42347</v>
      </c>
      <c r="B135" s="10" t="s">
        <v>351</v>
      </c>
      <c r="C135" s="11">
        <v>12000000</v>
      </c>
      <c r="D135" s="12"/>
      <c r="E135" s="10" t="s">
        <v>328</v>
      </c>
      <c r="F135" s="10" t="s">
        <v>352</v>
      </c>
      <c r="G135" s="13" t="s">
        <v>353</v>
      </c>
      <c r="H135" s="14" t="str">
        <f t="array" ref="H135">IFERROR(INDEX([1]Companies!$G:$G,MATCH(B135,[1]Companies!$A:$A,0)),"")</f>
        <v>Kenya</v>
      </c>
      <c r="I135" s="14" t="str">
        <f t="shared" si="195"/>
        <v>Kenya</v>
      </c>
      <c r="J135" s="14" t="str">
        <f t="array" ref="J135">IFERROR(INDEX([1]Companies!$Y:$Y,MATCH(B135,[1]Companies!$A:$A,0)),"")</f>
        <v>Cloud Computing, Energy, SaaS, Software, Solar</v>
      </c>
      <c r="K135" s="14" t="str">
        <f t="array" ref="K135">IFERROR(INDEX([1]Companies!$X:$X,MATCH(B135,[1]Companies!$A:$A,0)),"")</f>
        <v>Energy &amp; Environment Resources</v>
      </c>
      <c r="L135" s="14" t="str">
        <f>VLOOKUP(B135,[1]Companies!$A$1:$C$5243,1,FALSE)</f>
        <v>Powerhive</v>
      </c>
      <c r="M135" s="15">
        <f t="shared" si="196"/>
        <v>0.9</v>
      </c>
      <c r="N135" s="10" t="str">
        <f t="shared" si="197"/>
        <v>42347Powerhive12000000</v>
      </c>
      <c r="O135" s="14" t="str">
        <f t="shared" si="198"/>
        <v/>
      </c>
      <c r="P135" s="14">
        <f t="shared" si="199"/>
        <v>1</v>
      </c>
      <c r="Q135" s="14">
        <f t="array" ref="Q135">IFERROR(INDEX([1]Companies!$D:$D,MATCH(B135,[1]Companies!$A:$A,0)),"")</f>
        <v>2011</v>
      </c>
      <c r="R135" s="17">
        <f t="shared" si="200"/>
        <v>41300000</v>
      </c>
      <c r="S135" s="14">
        <f>VLOOKUP(I135,[1]Lookups!$V$3:$Y$197,4,FALSE)</f>
        <v>0</v>
      </c>
      <c r="T135" s="14" t="str">
        <f>VLOOKUP(E135,[1]Lookups!$H$3:$I$71,2,FALSE)</f>
        <v>4. Late Venture</v>
      </c>
      <c r="U135" s="14" t="e">
        <f>VLOOKUP(K135,[1]Lookups!$B$3:$C$142,2,FALSE)</f>
        <v>#N/A</v>
      </c>
      <c r="V135" s="14">
        <f t="shared" si="1"/>
        <v>2015</v>
      </c>
      <c r="W135" s="14">
        <f t="shared" si="2"/>
        <v>12</v>
      </c>
      <c r="X135" s="14">
        <f>VLOOKUP(W135,[1]Lookups!$P$3:$S$15,2,FALSE)</f>
        <v>4</v>
      </c>
      <c r="Y135" s="16">
        <f>VLOOKUP(W135,[1]Lookups!$P$3:$U$15,3,FALSE)</f>
        <v>2</v>
      </c>
      <c r="Z135" s="16">
        <f t="shared" si="3"/>
        <v>1</v>
      </c>
      <c r="AA135" s="16" t="str">
        <f t="shared" ca="1" si="213"/>
        <v>Spark Capital</v>
      </c>
      <c r="AB135" s="16">
        <f t="shared" si="213"/>
        <v>0</v>
      </c>
      <c r="AC135" s="16">
        <f t="shared" si="213"/>
        <v>0</v>
      </c>
      <c r="AD135" s="16">
        <f t="shared" si="213"/>
        <v>0</v>
      </c>
      <c r="AE135" s="16">
        <f t="shared" si="213"/>
        <v>0</v>
      </c>
      <c r="AF135" s="16">
        <f t="shared" si="213"/>
        <v>0</v>
      </c>
      <c r="AG135" s="16">
        <f t="shared" si="213"/>
        <v>0</v>
      </c>
      <c r="AH135" s="16">
        <f t="shared" si="213"/>
        <v>0</v>
      </c>
      <c r="AI135" s="16">
        <f t="shared" si="213"/>
        <v>0</v>
      </c>
      <c r="AJ135" s="16">
        <f t="shared" si="213"/>
        <v>0</v>
      </c>
      <c r="AK135" s="16">
        <f t="shared" si="213"/>
        <v>0</v>
      </c>
      <c r="AL135" s="16">
        <f t="shared" si="213"/>
        <v>0</v>
      </c>
      <c r="AM135" s="16">
        <f t="shared" si="213"/>
        <v>0</v>
      </c>
      <c r="AN135" s="16">
        <f t="shared" si="213"/>
        <v>0</v>
      </c>
      <c r="AO135" s="16">
        <f t="shared" si="213"/>
        <v>0</v>
      </c>
      <c r="AP135" s="10"/>
      <c r="AQ135" s="10"/>
      <c r="AR135" s="10"/>
      <c r="AS135" s="10" t="str">
        <f t="shared" ref="AS135:AS136" ca="1" si="224">IFERROR(__xludf.DUMMYFUNCTION("split(F109,"","",true,true)"),"Spark Capital")</f>
        <v>Spark Capital</v>
      </c>
      <c r="AT135" s="10"/>
      <c r="AU135" s="10"/>
      <c r="AV135" s="10"/>
      <c r="AW135" s="10"/>
      <c r="AX135" s="10"/>
      <c r="AY135" s="10"/>
      <c r="AZ135" s="10"/>
      <c r="BA135" s="10"/>
      <c r="BB135" s="10"/>
      <c r="BC135" s="10"/>
      <c r="BD135" s="10"/>
      <c r="BE135" s="10"/>
      <c r="BF135" s="10"/>
      <c r="BG135" s="10"/>
      <c r="BH135" s="10"/>
      <c r="BI135" s="10"/>
      <c r="BJ135" s="10"/>
      <c r="BK135" s="10"/>
      <c r="BM135" s="10"/>
    </row>
    <row r="136" spans="1:65" ht="12.75">
      <c r="A136" s="9">
        <v>42352</v>
      </c>
      <c r="B136" s="10" t="s">
        <v>354</v>
      </c>
      <c r="C136" s="11" t="s">
        <v>49</v>
      </c>
      <c r="D136" s="12"/>
      <c r="E136" s="10" t="s">
        <v>55</v>
      </c>
      <c r="F136" s="10" t="s">
        <v>355</v>
      </c>
      <c r="G136" s="13" t="s">
        <v>356</v>
      </c>
      <c r="H136" s="14"/>
      <c r="I136" s="14"/>
      <c r="J136" s="14"/>
      <c r="K136" s="14"/>
      <c r="L136" s="14"/>
      <c r="M136" s="15"/>
      <c r="N136" s="10"/>
      <c r="O136" s="14"/>
      <c r="P136" s="14"/>
      <c r="Q136" s="14"/>
      <c r="R136" s="14"/>
      <c r="S136" s="14"/>
      <c r="T136" s="14"/>
      <c r="U136" s="14"/>
      <c r="V136" s="14">
        <f t="shared" si="1"/>
        <v>2015</v>
      </c>
      <c r="W136" s="14">
        <f t="shared" si="2"/>
        <v>12</v>
      </c>
      <c r="X136" s="14">
        <f>VLOOKUP(W136,[1]Lookups!$P$3:$S$15,2,FALSE)</f>
        <v>4</v>
      </c>
      <c r="Y136" s="16">
        <f>VLOOKUP(W136,[1]Lookups!$P$3:$U$15,3,FALSE)</f>
        <v>2</v>
      </c>
      <c r="Z136" s="16">
        <f t="shared" si="3"/>
        <v>1</v>
      </c>
      <c r="AA136" s="16" t="str">
        <f t="shared" ca="1" si="213"/>
        <v>Spark Capital</v>
      </c>
      <c r="AB136" s="16">
        <f t="shared" si="213"/>
        <v>0</v>
      </c>
      <c r="AC136" s="16">
        <f t="shared" si="213"/>
        <v>0</v>
      </c>
      <c r="AD136" s="16">
        <f t="shared" si="213"/>
        <v>0</v>
      </c>
      <c r="AE136" s="16">
        <f t="shared" si="213"/>
        <v>0</v>
      </c>
      <c r="AF136" s="16">
        <f t="shared" si="213"/>
        <v>0</v>
      </c>
      <c r="AG136" s="16">
        <f t="shared" si="213"/>
        <v>0</v>
      </c>
      <c r="AH136" s="16">
        <f t="shared" si="213"/>
        <v>0</v>
      </c>
      <c r="AI136" s="16">
        <f t="shared" si="213"/>
        <v>0</v>
      </c>
      <c r="AJ136" s="16">
        <f t="shared" si="213"/>
        <v>0</v>
      </c>
      <c r="AK136" s="16">
        <f t="shared" si="213"/>
        <v>0</v>
      </c>
      <c r="AL136" s="16">
        <f t="shared" si="213"/>
        <v>0</v>
      </c>
      <c r="AM136" s="16">
        <f t="shared" si="213"/>
        <v>0</v>
      </c>
      <c r="AN136" s="16">
        <f t="shared" si="213"/>
        <v>0</v>
      </c>
      <c r="AO136" s="16">
        <f t="shared" si="213"/>
        <v>0</v>
      </c>
      <c r="AP136" s="10"/>
      <c r="AQ136" s="10"/>
      <c r="AR136" s="10"/>
      <c r="AS136" s="10" t="str">
        <f t="shared" ca="1" si="224"/>
        <v>Spark Capital</v>
      </c>
      <c r="AT136" s="10"/>
      <c r="AU136" s="10"/>
      <c r="AV136" s="10"/>
      <c r="AW136" s="10"/>
      <c r="AX136" s="10"/>
      <c r="AY136" s="10"/>
      <c r="AZ136" s="10"/>
      <c r="BA136" s="10"/>
      <c r="BB136" s="10"/>
      <c r="BC136" s="10"/>
      <c r="BD136" s="10"/>
      <c r="BE136" s="10"/>
      <c r="BF136" s="10"/>
      <c r="BG136" s="10"/>
      <c r="BH136" s="10"/>
      <c r="BI136" s="10"/>
      <c r="BJ136" s="10"/>
      <c r="BK136" s="10"/>
      <c r="BM136" s="10"/>
    </row>
    <row r="137" spans="1:65" ht="12.75">
      <c r="A137" s="18">
        <v>42354</v>
      </c>
      <c r="B137" s="14" t="s">
        <v>357</v>
      </c>
      <c r="C137" s="19">
        <v>400000</v>
      </c>
      <c r="D137" s="19"/>
      <c r="E137" s="14" t="s">
        <v>45</v>
      </c>
      <c r="F137" s="14" t="s">
        <v>49</v>
      </c>
      <c r="G137" s="21" t="s">
        <v>358</v>
      </c>
      <c r="H137" s="14" t="str">
        <f t="array" ref="H137">IFERROR(INDEX([1]Companies!$G:$G,MATCH(B137,[1]Companies!$A:$A,0)),"")</f>
        <v>South Africa</v>
      </c>
      <c r="I137" s="14" t="str">
        <f t="shared" ref="I137:I149" si="225">IF(LEN(TRIM(H137))-LEN(SUBSTITUTE(TRIM(H137),",","")) &gt; 0,TRIM(RIGHT(H137,LEN(H137)-FIND(",",H137))),H137)</f>
        <v>South Africa</v>
      </c>
      <c r="J137" s="14" t="str">
        <f t="array" ref="J137">IFERROR(INDEX([1]Companies!$Y:$Y,MATCH(B137,[1]Companies!$A:$A,0)),"")</f>
        <v>Cloud Data Services, E-Commerce Platforms, Event Management, Events, SaaS, Subscription Service</v>
      </c>
      <c r="K137" s="14" t="str">
        <f t="array" ref="K137">IFERROR(INDEX([1]Companies!$X:$X,MATCH(B137,[1]Companies!$A:$A,0)),"")</f>
        <v>E-Commerce &amp; Retail</v>
      </c>
      <c r="L137" s="14" t="str">
        <f>VLOOKUP(B137,[1]Companies!$A$1:$C$5243,1,FALSE)</f>
        <v>Eventerprise</v>
      </c>
      <c r="M137" s="15">
        <f t="shared" ref="M137:M149" si="226">COUNTA(B137:K137)/(COUNTBLANK(B137:K137) + COUNTA(B137:K137))</f>
        <v>0.9</v>
      </c>
      <c r="N137" s="10" t="str">
        <f t="shared" ref="N137:N149" si="227">CONCATENATE(A137,B137,C137)</f>
        <v>42354Eventerprise400000</v>
      </c>
      <c r="O137" s="14" t="str">
        <f t="shared" ref="O137:O149" si="228">IF(A137 = "","",IF(COUNTIF(N:N,CONCATENATE(A137,B137,C137))&gt;1,"Duplicated",""))</f>
        <v/>
      </c>
      <c r="P137" s="14">
        <f t="shared" ref="P137:P149" si="229">IF(C137="Undisclosed",0,1)</f>
        <v>1</v>
      </c>
      <c r="Q137" s="14">
        <f t="array" ref="Q137">IFERROR(INDEX([1]Companies!$D:$D,MATCH(B137,[1]Companies!$A:$A,0)),"")</f>
        <v>2015</v>
      </c>
      <c r="R137" s="17">
        <f t="shared" ref="R137:R149" si="230">SUMIF(B:B,B137,C:C)</f>
        <v>400000</v>
      </c>
      <c r="S137" s="14">
        <f>VLOOKUP(I137,[1]Lookups!$V$3:$Y$197,4,FALSE)</f>
        <v>0</v>
      </c>
      <c r="T137" s="14" t="str">
        <f>VLOOKUP(E137,[1]Lookups!$H$3:$I$71,2,FALSE)</f>
        <v>2. Seed</v>
      </c>
      <c r="U137" s="14" t="str">
        <f>VLOOKUP(K137,[1]Lookups!$B$3:$C$142,2,FALSE)</f>
        <v>E-commerce &amp; Retail</v>
      </c>
      <c r="V137" s="14">
        <f t="shared" si="1"/>
        <v>2015</v>
      </c>
      <c r="W137" s="14">
        <f t="shared" si="2"/>
        <v>12</v>
      </c>
      <c r="X137" s="14">
        <f>VLOOKUP(W137,[1]Lookups!$P$3:$S$15,2,FALSE)</f>
        <v>4</v>
      </c>
      <c r="Y137" s="16">
        <f>VLOOKUP(W137,[1]Lookups!$P$3:$U$15,3,FALSE)</f>
        <v>2</v>
      </c>
      <c r="Z137" s="16">
        <f t="shared" si="3"/>
        <v>1</v>
      </c>
      <c r="AA137" s="16" t="str">
        <f t="shared" ca="1" si="213"/>
        <v>Spark Capital</v>
      </c>
      <c r="AB137" s="16">
        <f t="shared" si="213"/>
        <v>0</v>
      </c>
      <c r="AC137" s="16">
        <f t="shared" si="213"/>
        <v>0</v>
      </c>
      <c r="AD137" s="16">
        <f t="shared" si="213"/>
        <v>0</v>
      </c>
      <c r="AE137" s="16">
        <f t="shared" si="213"/>
        <v>0</v>
      </c>
      <c r="AF137" s="16">
        <f t="shared" si="213"/>
        <v>0</v>
      </c>
      <c r="AG137" s="16">
        <f t="shared" si="213"/>
        <v>0</v>
      </c>
      <c r="AH137" s="16">
        <f t="shared" si="213"/>
        <v>0</v>
      </c>
      <c r="AI137" s="16">
        <f t="shared" si="213"/>
        <v>0</v>
      </c>
      <c r="AJ137" s="16">
        <f t="shared" si="213"/>
        <v>0</v>
      </c>
      <c r="AK137" s="16">
        <f t="shared" si="213"/>
        <v>0</v>
      </c>
      <c r="AL137" s="16">
        <f t="shared" si="213"/>
        <v>0</v>
      </c>
      <c r="AM137" s="16">
        <f t="shared" si="213"/>
        <v>0</v>
      </c>
      <c r="AN137" s="16">
        <f t="shared" si="213"/>
        <v>0</v>
      </c>
      <c r="AO137" s="16">
        <f t="shared" si="213"/>
        <v>0</v>
      </c>
      <c r="AP137" s="10"/>
      <c r="AQ137" s="10"/>
      <c r="AR137" s="10"/>
      <c r="AS137" s="10" t="str">
        <f t="shared" ref="AS137" ca="1" si="231">IFERROR(__xludf.DUMMYFUNCTION("split(F109,"","",true,true)"),"Spark Capital")</f>
        <v>Spark Capital</v>
      </c>
      <c r="AT137" s="10"/>
      <c r="AU137" s="10"/>
      <c r="AV137" s="10"/>
      <c r="AW137" s="10"/>
      <c r="AX137" s="10"/>
      <c r="AY137" s="10"/>
      <c r="AZ137" s="10"/>
      <c r="BA137" s="10"/>
      <c r="BB137" s="10"/>
      <c r="BC137" s="10"/>
      <c r="BD137" s="10"/>
      <c r="BE137" s="10"/>
      <c r="BF137" s="10"/>
      <c r="BG137" s="10"/>
      <c r="BH137" s="10"/>
      <c r="BI137" s="10"/>
      <c r="BJ137" s="10"/>
      <c r="BK137" s="10"/>
      <c r="BM137" s="10"/>
    </row>
    <row r="138" spans="1:65" ht="12.75">
      <c r="A138" s="18">
        <v>42355</v>
      </c>
      <c r="B138" s="14" t="s">
        <v>233</v>
      </c>
      <c r="C138" s="19">
        <v>750000</v>
      </c>
      <c r="D138" s="19"/>
      <c r="E138" s="14" t="s">
        <v>45</v>
      </c>
      <c r="F138" s="20" t="s">
        <v>359</v>
      </c>
      <c r="G138" s="21" t="s">
        <v>360</v>
      </c>
      <c r="H138" s="14" t="str">
        <f t="array" ref="H138">IFERROR(INDEX([1]Companies!$G:$G,MATCH(B138,[1]Companies!$A:$A,0)),"")</f>
        <v>Kenya</v>
      </c>
      <c r="I138" s="14" t="str">
        <f t="shared" si="225"/>
        <v>Kenya</v>
      </c>
      <c r="J138" s="14" t="str">
        <f t="array" ref="J138">IFERROR(INDEX([1]Companies!$Y:$Y,MATCH(B138,[1]Companies!$A:$A,0)),"")</f>
        <v>Apps, Logistics, Supply Chain Management</v>
      </c>
      <c r="K138" s="14" t="str">
        <f t="array" ref="K138">IFERROR(INDEX([1]Companies!$X:$X,MATCH(B138,[1]Companies!$A:$A,0)),"")</f>
        <v>Transport &amp; Logistics</v>
      </c>
      <c r="L138" s="14" t="str">
        <f>VLOOKUP(B138,[1]Companies!$A$1:$C$5243,1,FALSE)</f>
        <v>OkHi</v>
      </c>
      <c r="M138" s="15">
        <f t="shared" si="226"/>
        <v>0.9</v>
      </c>
      <c r="N138" s="10" t="str">
        <f t="shared" si="227"/>
        <v>42355OkHi750000</v>
      </c>
      <c r="O138" s="14" t="str">
        <f t="shared" si="228"/>
        <v/>
      </c>
      <c r="P138" s="14">
        <f t="shared" si="229"/>
        <v>1</v>
      </c>
      <c r="Q138" s="14">
        <f t="array" ref="Q138">IFERROR(INDEX([1]Companies!$D:$D,MATCH(B138,[1]Companies!$A:$A,0)),"")</f>
        <v>2014</v>
      </c>
      <c r="R138" s="17">
        <f t="shared" si="230"/>
        <v>1080000</v>
      </c>
      <c r="S138" s="14">
        <f>VLOOKUP(I138,[1]Lookups!$V$3:$Y$197,4,FALSE)</f>
        <v>0</v>
      </c>
      <c r="T138" s="14" t="str">
        <f>VLOOKUP(E138,[1]Lookups!$H$3:$I$71,2,FALSE)</f>
        <v>2. Seed</v>
      </c>
      <c r="U138" s="14" t="str">
        <f>VLOOKUP(K138,[1]Lookups!$B$3:$C$142,2,FALSE)</f>
        <v>Transport &amp; Logistics</v>
      </c>
      <c r="V138" s="14">
        <f t="shared" si="1"/>
        <v>2015</v>
      </c>
      <c r="W138" s="14">
        <f t="shared" si="2"/>
        <v>12</v>
      </c>
      <c r="X138" s="14">
        <f>VLOOKUP(W138,[1]Lookups!$P$3:$S$15,2,FALSE)</f>
        <v>4</v>
      </c>
      <c r="Y138" s="16">
        <f>VLOOKUP(W138,[1]Lookups!$P$3:$U$15,3,FALSE)</f>
        <v>2</v>
      </c>
      <c r="Z138" s="16">
        <f t="shared" si="3"/>
        <v>3</v>
      </c>
      <c r="AA138" s="16" t="str">
        <f t="shared" ca="1" si="213"/>
        <v>Spark Capital</v>
      </c>
      <c r="AB138" s="16" t="str">
        <f t="shared" ca="1" si="213"/>
        <v xml:space="preserve"> Patrick Pichette</v>
      </c>
      <c r="AC138" s="16" t="str">
        <f t="shared" ca="1" si="213"/>
        <v xml:space="preserve"> Garage Capital</v>
      </c>
      <c r="AD138" s="16">
        <f t="shared" si="213"/>
        <v>0</v>
      </c>
      <c r="AE138" s="16">
        <f t="shared" si="213"/>
        <v>0</v>
      </c>
      <c r="AF138" s="16">
        <f t="shared" si="213"/>
        <v>0</v>
      </c>
      <c r="AG138" s="16">
        <f t="shared" si="213"/>
        <v>0</v>
      </c>
      <c r="AH138" s="16">
        <f t="shared" si="213"/>
        <v>0</v>
      </c>
      <c r="AI138" s="16">
        <f t="shared" si="213"/>
        <v>0</v>
      </c>
      <c r="AJ138" s="16">
        <f t="shared" si="213"/>
        <v>0</v>
      </c>
      <c r="AK138" s="16">
        <f t="shared" si="213"/>
        <v>0</v>
      </c>
      <c r="AL138" s="16">
        <f t="shared" si="213"/>
        <v>0</v>
      </c>
      <c r="AM138" s="16">
        <f t="shared" si="213"/>
        <v>0</v>
      </c>
      <c r="AN138" s="16">
        <f t="shared" si="213"/>
        <v>0</v>
      </c>
      <c r="AO138" s="16">
        <f t="shared" si="213"/>
        <v>0</v>
      </c>
      <c r="AP138" s="10"/>
      <c r="AQ138" s="10"/>
      <c r="AR138" s="10"/>
      <c r="AS138" s="10" t="str">
        <f t="shared" ref="AS138" ca="1" si="232">IFERROR(__xludf.DUMMYFUNCTION("split(F109,"","",true,true)"),"Spark Capital")</f>
        <v>Spark Capital</v>
      </c>
      <c r="AT138" s="10" t="str">
        <f ca="1">IFERROR(__xludf.DUMMYFUNCTION("""COMPUTED_VALUE""")," Patrick Pichette")</f>
        <v xml:space="preserve"> Patrick Pichette</v>
      </c>
      <c r="AU138" s="10" t="str">
        <f ca="1">IFERROR(__xludf.DUMMYFUNCTION("""COMPUTED_VALUE""")," Garage Capital")</f>
        <v xml:space="preserve"> Garage Capital</v>
      </c>
      <c r="AV138" s="10"/>
      <c r="AW138" s="10"/>
      <c r="AX138" s="10"/>
      <c r="AY138" s="10"/>
      <c r="AZ138" s="10"/>
      <c r="BA138" s="10"/>
      <c r="BB138" s="10"/>
      <c r="BC138" s="10"/>
      <c r="BD138" s="10"/>
      <c r="BE138" s="10"/>
      <c r="BF138" s="10"/>
      <c r="BG138" s="10"/>
      <c r="BH138" s="10"/>
      <c r="BI138" s="10"/>
      <c r="BJ138" s="10"/>
      <c r="BK138" s="10"/>
      <c r="BM138" s="10"/>
    </row>
    <row r="139" spans="1:65" ht="12.75">
      <c r="A139" s="18">
        <v>42360</v>
      </c>
      <c r="B139" s="14" t="s">
        <v>361</v>
      </c>
      <c r="C139" s="19">
        <v>5000000</v>
      </c>
      <c r="D139" s="19"/>
      <c r="E139" s="14" t="s">
        <v>55</v>
      </c>
      <c r="F139" s="20" t="s">
        <v>362</v>
      </c>
      <c r="G139" s="21" t="s">
        <v>363</v>
      </c>
      <c r="H139" s="14">
        <f t="array" ref="H139">IFERROR(INDEX([1]Companies!$G:$G,MATCH(B139,[1]Companies!$A:$A,0)),"")</f>
        <v>0</v>
      </c>
      <c r="I139" s="14">
        <f t="shared" si="225"/>
        <v>0</v>
      </c>
      <c r="J139" s="14" t="str">
        <f t="array" ref="J139">IFERROR(INDEX([1]Companies!$Y:$Y,MATCH(B139,[1]Companies!$A:$A,0)),"")</f>
        <v>Privately Held</v>
      </c>
      <c r="K139" s="14" t="str">
        <f t="array" ref="K139">IFERROR(INDEX([1]Companies!$X:$X,MATCH(B139,[1]Companies!$A:$A,0)),"")</f>
        <v>Renewables &amp; Environment</v>
      </c>
      <c r="L139" s="14" t="str">
        <f>VLOOKUP(B139,[1]Companies!$A$1:$C$5243,1,FALSE)</f>
        <v>Off Grid Electric</v>
      </c>
      <c r="M139" s="15">
        <f t="shared" si="226"/>
        <v>0.9</v>
      </c>
      <c r="N139" s="10" t="str">
        <f t="shared" si="227"/>
        <v>42360Off Grid Electric5000000</v>
      </c>
      <c r="O139" s="14" t="str">
        <f t="shared" si="228"/>
        <v/>
      </c>
      <c r="P139" s="14">
        <f t="shared" si="229"/>
        <v>1</v>
      </c>
      <c r="Q139" s="14">
        <f t="array" ref="Q139">IFERROR(INDEX([1]Companies!$D:$D,MATCH(B139,[1]Companies!$A:$A,0)),"")</f>
        <v>2011</v>
      </c>
      <c r="R139" s="17">
        <f t="shared" si="230"/>
        <v>5000000</v>
      </c>
      <c r="S139" s="14" t="e">
        <f>VLOOKUP(I139,[1]Lookups!$V$3:$Y$197,4,FALSE)</f>
        <v>#N/A</v>
      </c>
      <c r="T139" s="14" t="str">
        <f>VLOOKUP(E139,[1]Lookups!$H$3:$I$71,2,FALSE)</f>
        <v>1. Grant</v>
      </c>
      <c r="U139" s="14" t="str">
        <f>VLOOKUP(K139,[1]Lookups!$B$3:$C$142,2,FALSE)</f>
        <v>Energy &amp; Resources</v>
      </c>
      <c r="V139" s="14">
        <f t="shared" si="1"/>
        <v>2015</v>
      </c>
      <c r="W139" s="14">
        <f t="shared" si="2"/>
        <v>12</v>
      </c>
      <c r="X139" s="14">
        <f>VLOOKUP(W139,[1]Lookups!$P$3:$S$15,2,FALSE)</f>
        <v>4</v>
      </c>
      <c r="Y139" s="16">
        <f>VLOOKUP(W139,[1]Lookups!$P$3:$U$15,3,FALSE)</f>
        <v>2</v>
      </c>
      <c r="Z139" s="16">
        <f t="shared" si="3"/>
        <v>1</v>
      </c>
      <c r="AA139" s="16" t="str">
        <f t="shared" ca="1" si="213"/>
        <v>Spark Capital</v>
      </c>
      <c r="AB139" s="16">
        <f t="shared" si="213"/>
        <v>0</v>
      </c>
      <c r="AC139" s="16">
        <f t="shared" si="213"/>
        <v>0</v>
      </c>
      <c r="AD139" s="16">
        <f t="shared" si="213"/>
        <v>0</v>
      </c>
      <c r="AE139" s="16">
        <f t="shared" si="213"/>
        <v>0</v>
      </c>
      <c r="AF139" s="16">
        <f t="shared" si="213"/>
        <v>0</v>
      </c>
      <c r="AG139" s="16">
        <f t="shared" si="213"/>
        <v>0</v>
      </c>
      <c r="AH139" s="16">
        <f t="shared" si="213"/>
        <v>0</v>
      </c>
      <c r="AI139" s="16">
        <f t="shared" si="213"/>
        <v>0</v>
      </c>
      <c r="AJ139" s="16">
        <f t="shared" si="213"/>
        <v>0</v>
      </c>
      <c r="AK139" s="16">
        <f t="shared" si="213"/>
        <v>0</v>
      </c>
      <c r="AL139" s="16">
        <f t="shared" si="213"/>
        <v>0</v>
      </c>
      <c r="AM139" s="16">
        <f t="shared" si="213"/>
        <v>0</v>
      </c>
      <c r="AN139" s="16">
        <f t="shared" si="213"/>
        <v>0</v>
      </c>
      <c r="AO139" s="16">
        <f t="shared" si="213"/>
        <v>0</v>
      </c>
      <c r="AP139" s="10"/>
      <c r="AQ139" s="10"/>
      <c r="AR139" s="10"/>
      <c r="AS139" s="10" t="str">
        <f t="shared" ref="AS139" ca="1" si="233">IFERROR(__xludf.DUMMYFUNCTION("split(F109,"","",true,true)"),"Spark Capital")</f>
        <v>Spark Capital</v>
      </c>
      <c r="AT139" s="10"/>
      <c r="AU139" s="10"/>
      <c r="AV139" s="10"/>
      <c r="AW139" s="10"/>
      <c r="AX139" s="10"/>
      <c r="AY139" s="10"/>
      <c r="AZ139" s="10"/>
      <c r="BA139" s="10"/>
      <c r="BB139" s="10"/>
      <c r="BC139" s="10"/>
      <c r="BD139" s="10"/>
      <c r="BE139" s="10"/>
      <c r="BF139" s="10"/>
      <c r="BG139" s="10"/>
      <c r="BH139" s="10"/>
      <c r="BI139" s="10"/>
      <c r="BJ139" s="10"/>
      <c r="BK139" s="10"/>
      <c r="BM139" s="10"/>
    </row>
    <row r="140" spans="1:65" ht="12.75">
      <c r="A140" s="9">
        <v>42370</v>
      </c>
      <c r="B140" s="10" t="s">
        <v>364</v>
      </c>
      <c r="C140" s="11">
        <v>300000</v>
      </c>
      <c r="D140" s="12"/>
      <c r="E140" s="14" t="s">
        <v>45</v>
      </c>
      <c r="F140" s="10" t="s">
        <v>365</v>
      </c>
      <c r="G140" s="13" t="s">
        <v>366</v>
      </c>
      <c r="H140" s="14" t="str">
        <f t="array" ref="H140">IFERROR(INDEX([1]Companies!$G:$G,MATCH(B140,[1]Companies!$A:$A,0)),"")</f>
        <v>Egypt</v>
      </c>
      <c r="I140" s="14" t="str">
        <f t="shared" si="225"/>
        <v>Egypt</v>
      </c>
      <c r="J140" s="14" t="str">
        <f t="array" ref="J140">IFERROR(INDEX([1]Companies!$Y:$Y,MATCH(B140,[1]Companies!$A:$A,0)),"")</f>
        <v>Railroad, Transportation, Travel</v>
      </c>
      <c r="K140" s="14" t="str">
        <f t="array" ref="K140">IFERROR(INDEX([1]Companies!$X:$X,MATCH(B140,[1]Companies!$A:$A,0)),"")</f>
        <v>Transport &amp; Logistics</v>
      </c>
      <c r="L140" s="14" t="str">
        <f>VLOOKUP(B140,[1]Companies!$A$1:$C$5243,1,FALSE)</f>
        <v>Ousta</v>
      </c>
      <c r="M140" s="15">
        <f t="shared" si="226"/>
        <v>0.9</v>
      </c>
      <c r="N140" s="10" t="str">
        <f t="shared" si="227"/>
        <v>42370Ousta300000</v>
      </c>
      <c r="O140" s="14" t="str">
        <f t="shared" si="228"/>
        <v/>
      </c>
      <c r="P140" s="14">
        <f t="shared" si="229"/>
        <v>1</v>
      </c>
      <c r="Q140" s="14">
        <f t="array" ref="Q140">IFERROR(INDEX([1]Companies!$D:$D,MATCH(B140,[1]Companies!$A:$A,0)),"")</f>
        <v>2016</v>
      </c>
      <c r="R140" s="17">
        <f t="shared" si="230"/>
        <v>1550000</v>
      </c>
      <c r="S140" s="14">
        <f>VLOOKUP(I140,[1]Lookups!$V$3:$Y$197,4,FALSE)</f>
        <v>0</v>
      </c>
      <c r="T140" s="14" t="str">
        <f>VLOOKUP(E140,[1]Lookups!$H$3:$I$71,2,FALSE)</f>
        <v>2. Seed</v>
      </c>
      <c r="U140" s="14" t="str">
        <f>VLOOKUP(K140,[1]Lookups!$B$3:$C$142,2,FALSE)</f>
        <v>Transport &amp; Logistics</v>
      </c>
      <c r="V140" s="14">
        <f t="shared" si="1"/>
        <v>2016</v>
      </c>
      <c r="W140" s="14">
        <f t="shared" si="2"/>
        <v>1</v>
      </c>
      <c r="X140" s="14">
        <f>VLOOKUP(W140,[1]Lookups!$P$3:$S$15,2,FALSE)</f>
        <v>1</v>
      </c>
      <c r="Y140" s="16">
        <f>VLOOKUP(W140,[1]Lookups!$P$3:$U$15,3,FALSE)</f>
        <v>1</v>
      </c>
      <c r="Z140" s="16">
        <f t="shared" si="3"/>
        <v>2</v>
      </c>
      <c r="AA140" s="16" t="str">
        <f t="shared" ca="1" si="213"/>
        <v>Spark Capital</v>
      </c>
      <c r="AB140" s="16" t="str">
        <f t="shared" ca="1" si="213"/>
        <v xml:space="preserve"> Nader El-Batrawi</v>
      </c>
      <c r="AC140" s="16">
        <f t="shared" si="213"/>
        <v>0</v>
      </c>
      <c r="AD140" s="16">
        <f t="shared" si="213"/>
        <v>0</v>
      </c>
      <c r="AE140" s="16">
        <f t="shared" si="213"/>
        <v>0</v>
      </c>
      <c r="AF140" s="16">
        <f t="shared" si="213"/>
        <v>0</v>
      </c>
      <c r="AG140" s="16">
        <f t="shared" si="213"/>
        <v>0</v>
      </c>
      <c r="AH140" s="16">
        <f t="shared" si="213"/>
        <v>0</v>
      </c>
      <c r="AI140" s="16">
        <f t="shared" si="213"/>
        <v>0</v>
      </c>
      <c r="AJ140" s="16">
        <f t="shared" si="213"/>
        <v>0</v>
      </c>
      <c r="AK140" s="16">
        <f t="shared" si="213"/>
        <v>0</v>
      </c>
      <c r="AL140" s="16">
        <f t="shared" si="213"/>
        <v>0</v>
      </c>
      <c r="AM140" s="16">
        <f t="shared" si="213"/>
        <v>0</v>
      </c>
      <c r="AN140" s="16">
        <f t="shared" si="213"/>
        <v>0</v>
      </c>
      <c r="AO140" s="16">
        <f t="shared" si="213"/>
        <v>0</v>
      </c>
      <c r="AP140" s="10"/>
      <c r="AQ140" s="10"/>
      <c r="AR140" s="10"/>
      <c r="AS140" s="10" t="str">
        <f t="shared" ref="AS140" ca="1" si="234">IFERROR(__xludf.DUMMYFUNCTION("split(F109,"","",true,true)"),"Spark Capital")</f>
        <v>Spark Capital</v>
      </c>
      <c r="AT140" s="10" t="str">
        <f ca="1">IFERROR(__xludf.DUMMYFUNCTION("""COMPUTED_VALUE""")," Nader El-Batrawi")</f>
        <v xml:space="preserve"> Nader El-Batrawi</v>
      </c>
      <c r="AU140" s="10"/>
      <c r="AV140" s="10"/>
      <c r="AW140" s="10"/>
      <c r="AX140" s="10"/>
      <c r="AY140" s="10"/>
      <c r="AZ140" s="10"/>
      <c r="BA140" s="10"/>
      <c r="BB140" s="10"/>
      <c r="BC140" s="10"/>
      <c r="BD140" s="10"/>
      <c r="BE140" s="10"/>
      <c r="BF140" s="10"/>
      <c r="BG140" s="10"/>
      <c r="BH140" s="10"/>
      <c r="BI140" s="10"/>
      <c r="BJ140" s="10"/>
      <c r="BK140" s="10"/>
      <c r="BM140" s="10"/>
    </row>
    <row r="141" spans="1:65" ht="12.75">
      <c r="A141" s="9">
        <v>42370</v>
      </c>
      <c r="B141" s="10" t="s">
        <v>367</v>
      </c>
      <c r="C141" s="11">
        <v>30000</v>
      </c>
      <c r="D141" s="12"/>
      <c r="E141" s="10" t="s">
        <v>45</v>
      </c>
      <c r="F141" s="10" t="s">
        <v>368</v>
      </c>
      <c r="G141" s="13" t="s">
        <v>369</v>
      </c>
      <c r="H141" s="14" t="str">
        <f t="array" ref="H141">IFERROR(INDEX([1]Companies!$G:$G,MATCH(B141,[1]Companies!$A:$A,0)),"")</f>
        <v>Egypt</v>
      </c>
      <c r="I141" s="14" t="str">
        <f t="shared" si="225"/>
        <v>Egypt</v>
      </c>
      <c r="J141" s="14" t="str">
        <f t="array" ref="J141">IFERROR(INDEX([1]Companies!$Y:$Y,MATCH(B141,[1]Companies!$A:$A,0)),"")</f>
        <v>Artificial Intelligence, Big Data, Consumer, Delivery, Grocery, Predictive Analytics, Retail, Software, Supply Chain Management</v>
      </c>
      <c r="K141" s="14" t="str">
        <f t="array" ref="K141">IFERROR(INDEX([1]Companies!$X:$X,MATCH(B141,[1]Companies!$A:$A,0)),"")</f>
        <v>E-Commerce &amp; Retail</v>
      </c>
      <c r="L141" s="14" t="str">
        <f>VLOOKUP(B141,[1]Companies!$A$1:$C$5243,1,FALSE)</f>
        <v>Werpx</v>
      </c>
      <c r="M141" s="15">
        <f t="shared" si="226"/>
        <v>0.9</v>
      </c>
      <c r="N141" s="10" t="str">
        <f t="shared" si="227"/>
        <v>42370Werpx30000</v>
      </c>
      <c r="O141" s="14" t="str">
        <f t="shared" si="228"/>
        <v/>
      </c>
      <c r="P141" s="14">
        <f t="shared" si="229"/>
        <v>1</v>
      </c>
      <c r="Q141" s="14">
        <f t="array" ref="Q141">IFERROR(INDEX([1]Companies!$D:$D,MATCH(B141,[1]Companies!$A:$A,0)),"")</f>
        <v>2017</v>
      </c>
      <c r="R141" s="17">
        <f t="shared" si="230"/>
        <v>103900</v>
      </c>
      <c r="S141" s="14">
        <f>VLOOKUP(I141,[1]Lookups!$V$3:$Y$197,4,FALSE)</f>
        <v>0</v>
      </c>
      <c r="T141" s="14" t="str">
        <f>VLOOKUP(E141,[1]Lookups!$H$3:$I$71,2,FALSE)</f>
        <v>2. Seed</v>
      </c>
      <c r="U141" s="14" t="str">
        <f>VLOOKUP(K141,[1]Lookups!$B$3:$C$142,2,FALSE)</f>
        <v>E-commerce &amp; Retail</v>
      </c>
      <c r="V141" s="14">
        <f t="shared" si="1"/>
        <v>2016</v>
      </c>
      <c r="W141" s="14">
        <f t="shared" si="2"/>
        <v>1</v>
      </c>
      <c r="X141" s="14">
        <f>VLOOKUP(W141,[1]Lookups!$P$3:$S$15,2,FALSE)</f>
        <v>1</v>
      </c>
      <c r="Y141" s="16">
        <f>VLOOKUP(W141,[1]Lookups!$P$3:$U$15,3,FALSE)</f>
        <v>1</v>
      </c>
      <c r="Z141" s="16">
        <f t="shared" si="3"/>
        <v>2</v>
      </c>
      <c r="AA141" s="16" t="str">
        <f t="shared" ref="AA141:AO156" ca="1" si="235">AS141</f>
        <v>Spark Capital</v>
      </c>
      <c r="AB141" s="16" t="str">
        <f t="shared" ca="1" si="235"/>
        <v xml:space="preserve"> Mahmoud Barakat</v>
      </c>
      <c r="AC141" s="16">
        <f t="shared" si="235"/>
        <v>0</v>
      </c>
      <c r="AD141" s="16">
        <f t="shared" si="235"/>
        <v>0</v>
      </c>
      <c r="AE141" s="16">
        <f t="shared" si="235"/>
        <v>0</v>
      </c>
      <c r="AF141" s="16">
        <f t="shared" si="235"/>
        <v>0</v>
      </c>
      <c r="AG141" s="16">
        <f t="shared" si="235"/>
        <v>0</v>
      </c>
      <c r="AH141" s="16">
        <f t="shared" si="235"/>
        <v>0</v>
      </c>
      <c r="AI141" s="16">
        <f t="shared" si="235"/>
        <v>0</v>
      </c>
      <c r="AJ141" s="16">
        <f t="shared" si="235"/>
        <v>0</v>
      </c>
      <c r="AK141" s="16">
        <f t="shared" si="235"/>
        <v>0</v>
      </c>
      <c r="AL141" s="16">
        <f t="shared" si="235"/>
        <v>0</v>
      </c>
      <c r="AM141" s="16">
        <f t="shared" si="235"/>
        <v>0</v>
      </c>
      <c r="AN141" s="16">
        <f t="shared" si="235"/>
        <v>0</v>
      </c>
      <c r="AO141" s="16">
        <f t="shared" si="235"/>
        <v>0</v>
      </c>
      <c r="AP141" s="10"/>
      <c r="AQ141" s="10"/>
      <c r="AR141" s="10"/>
      <c r="AS141" s="10" t="str">
        <f t="shared" ref="AS141" ca="1" si="236">IFERROR(__xludf.DUMMYFUNCTION("split(F109,"","",true,true)"),"Spark Capital")</f>
        <v>Spark Capital</v>
      </c>
      <c r="AT141" s="10" t="str">
        <f ca="1">IFERROR(__xludf.DUMMYFUNCTION("""COMPUTED_VALUE""")," Mahmoud Barakat")</f>
        <v xml:space="preserve"> Mahmoud Barakat</v>
      </c>
      <c r="AU141" s="10"/>
      <c r="AV141" s="10"/>
      <c r="AW141" s="10"/>
      <c r="AX141" s="10"/>
      <c r="AY141" s="10"/>
      <c r="AZ141" s="10"/>
      <c r="BA141" s="10"/>
      <c r="BB141" s="10"/>
      <c r="BC141" s="10"/>
      <c r="BD141" s="10"/>
      <c r="BE141" s="10"/>
      <c r="BF141" s="10"/>
      <c r="BG141" s="10"/>
      <c r="BH141" s="10"/>
      <c r="BI141" s="10"/>
      <c r="BJ141" s="10"/>
      <c r="BK141" s="10"/>
      <c r="BM141" s="10"/>
    </row>
    <row r="142" spans="1:65" ht="12.75">
      <c r="A142" s="18">
        <v>42377</v>
      </c>
      <c r="B142" s="14" t="s">
        <v>215</v>
      </c>
      <c r="C142" s="19">
        <v>3000000</v>
      </c>
      <c r="D142" s="19"/>
      <c r="E142" s="10" t="s">
        <v>328</v>
      </c>
      <c r="F142" s="20" t="s">
        <v>370</v>
      </c>
      <c r="G142" s="21" t="s">
        <v>371</v>
      </c>
      <c r="H142" s="14" t="str">
        <f t="array" ref="H142">IFERROR(INDEX([1]Companies!$G:$G,MATCH(B142,[1]Companies!$A:$A,0)),"")</f>
        <v>Kenya</v>
      </c>
      <c r="I142" s="14" t="str">
        <f t="shared" si="225"/>
        <v>Kenya</v>
      </c>
      <c r="J142" s="14" t="str">
        <f t="array" ref="J142">IFERROR(INDEX([1]Companies!$Y:$Y,MATCH(B142,[1]Companies!$A:$A,0)),"")</f>
        <v>Networking and Hardware Design and Manufacuture</v>
      </c>
      <c r="K142" s="14" t="str">
        <f t="array" ref="K142">IFERROR(INDEX([1]Companies!$X:$X,MATCH(B142,[1]Companies!$A:$A,0)),"")</f>
        <v>Commercial &amp; Professional Services</v>
      </c>
      <c r="L142" s="14" t="str">
        <f>VLOOKUP(B142,[1]Companies!$A$1:$C$5243,1,FALSE)</f>
        <v>Brck</v>
      </c>
      <c r="M142" s="15">
        <f t="shared" si="226"/>
        <v>0.9</v>
      </c>
      <c r="N142" s="10" t="str">
        <f t="shared" si="227"/>
        <v>42377BRCK3000000</v>
      </c>
      <c r="O142" s="14" t="str">
        <f t="shared" si="228"/>
        <v/>
      </c>
      <c r="P142" s="14">
        <f t="shared" si="229"/>
        <v>1</v>
      </c>
      <c r="Q142" s="14">
        <f t="array" ref="Q142">IFERROR(INDEX([1]Companies!$D:$D,MATCH(B142,[1]Companies!$A:$A,0)),"")</f>
        <v>2013</v>
      </c>
      <c r="R142" s="17">
        <f t="shared" si="230"/>
        <v>4200000</v>
      </c>
      <c r="S142" s="14">
        <f>VLOOKUP(I142,[1]Lookups!$V$3:$Y$197,4,FALSE)</f>
        <v>0</v>
      </c>
      <c r="T142" s="14" t="str">
        <f>VLOOKUP(E142,[1]Lookups!$H$3:$I$71,2,FALSE)</f>
        <v>4. Late Venture</v>
      </c>
      <c r="U142" s="14" t="str">
        <f>VLOOKUP(K142,[1]Lookups!$B$3:$C$142,2,FALSE)</f>
        <v>Other Technologies &amp; Information Technology</v>
      </c>
      <c r="V142" s="14">
        <f t="shared" si="1"/>
        <v>2016</v>
      </c>
      <c r="W142" s="14">
        <f t="shared" si="2"/>
        <v>1</v>
      </c>
      <c r="X142" s="14">
        <f>VLOOKUP(W142,[1]Lookups!$P$3:$S$15,2,FALSE)</f>
        <v>1</v>
      </c>
      <c r="Y142" s="16">
        <f>VLOOKUP(W142,[1]Lookups!$P$3:$U$15,3,FALSE)</f>
        <v>1</v>
      </c>
      <c r="Z142" s="16">
        <f t="shared" si="3"/>
        <v>5</v>
      </c>
      <c r="AA142" s="16" t="str">
        <f t="shared" ca="1" si="235"/>
        <v>Spark Capital</v>
      </c>
      <c r="AB142" s="16" t="str">
        <f t="shared" ca="1" si="235"/>
        <v xml:space="preserve"> Jim Sorenson</v>
      </c>
      <c r="AC142" s="16" t="str">
        <f t="shared" ca="1" si="235"/>
        <v xml:space="preserve"> TED</v>
      </c>
      <c r="AD142" s="16" t="str">
        <f t="shared" ca="1" si="235"/>
        <v xml:space="preserve"> MKS Alternative Investments</v>
      </c>
      <c r="AE142" s="16" t="str">
        <f t="shared" ca="1" si="235"/>
        <v xml:space="preserve"> Synergy Energy </v>
      </c>
      <c r="AF142" s="16">
        <f t="shared" si="235"/>
        <v>0</v>
      </c>
      <c r="AG142" s="16">
        <f t="shared" si="235"/>
        <v>0</v>
      </c>
      <c r="AH142" s="16">
        <f t="shared" si="235"/>
        <v>0</v>
      </c>
      <c r="AI142" s="16">
        <f t="shared" si="235"/>
        <v>0</v>
      </c>
      <c r="AJ142" s="16">
        <f t="shared" si="235"/>
        <v>0</v>
      </c>
      <c r="AK142" s="16">
        <f t="shared" si="235"/>
        <v>0</v>
      </c>
      <c r="AL142" s="16">
        <f t="shared" si="235"/>
        <v>0</v>
      </c>
      <c r="AM142" s="16">
        <f t="shared" si="235"/>
        <v>0</v>
      </c>
      <c r="AN142" s="16">
        <f t="shared" si="235"/>
        <v>0</v>
      </c>
      <c r="AO142" s="16">
        <f t="shared" si="235"/>
        <v>0</v>
      </c>
      <c r="AP142" s="10"/>
      <c r="AQ142" s="10"/>
      <c r="AR142" s="10"/>
      <c r="AS142" s="10" t="str">
        <f t="shared" ref="AS142" ca="1" si="237">IFERROR(__xludf.DUMMYFUNCTION("split(F109,"","",true,true)"),"Spark Capital")</f>
        <v>Spark Capital</v>
      </c>
      <c r="AT142" s="10" t="str">
        <f ca="1">IFERROR(__xludf.DUMMYFUNCTION("""COMPUTED_VALUE""")," Jim Sorenson")</f>
        <v xml:space="preserve"> Jim Sorenson</v>
      </c>
      <c r="AU142" s="10" t="str">
        <f ca="1">IFERROR(__xludf.DUMMYFUNCTION("""COMPUTED_VALUE""")," TED")</f>
        <v xml:space="preserve"> TED</v>
      </c>
      <c r="AV142" s="10" t="str">
        <f ca="1">IFERROR(__xludf.DUMMYFUNCTION("""COMPUTED_VALUE""")," MKS Alternative Investments")</f>
        <v xml:space="preserve"> MKS Alternative Investments</v>
      </c>
      <c r="AW142" s="10" t="str">
        <f ca="1">IFERROR(__xludf.DUMMYFUNCTION("""COMPUTED_VALUE""")," Synergy Energy ")</f>
        <v xml:space="preserve"> Synergy Energy </v>
      </c>
      <c r="AX142" s="10"/>
      <c r="AY142" s="10"/>
      <c r="AZ142" s="10"/>
      <c r="BA142" s="10"/>
      <c r="BB142" s="10"/>
      <c r="BC142" s="10"/>
      <c r="BD142" s="10"/>
      <c r="BE142" s="10"/>
      <c r="BF142" s="10"/>
      <c r="BG142" s="10"/>
      <c r="BH142" s="10"/>
      <c r="BI142" s="10"/>
      <c r="BJ142" s="10"/>
      <c r="BK142" s="10"/>
      <c r="BM142" s="10"/>
    </row>
    <row r="143" spans="1:65" ht="12.75">
      <c r="A143" s="9">
        <v>42379</v>
      </c>
      <c r="B143" s="10" t="s">
        <v>372</v>
      </c>
      <c r="C143" s="11" t="s">
        <v>49</v>
      </c>
      <c r="D143" s="12"/>
      <c r="E143" s="10" t="s">
        <v>55</v>
      </c>
      <c r="F143" s="10" t="s">
        <v>373</v>
      </c>
      <c r="G143" s="13" t="s">
        <v>374</v>
      </c>
      <c r="H143" s="14" t="str">
        <f t="array" ref="H143">IFERROR(INDEX([1]Companies!$G:$G,MATCH(B143,[1]Companies!$A:$A,0)),"")</f>
        <v>Kenya</v>
      </c>
      <c r="I143" s="14" t="str">
        <f t="shared" si="225"/>
        <v>Kenya</v>
      </c>
      <c r="J143" s="14" t="str">
        <f t="array" ref="J143">IFERROR(INDEX([1]Companies!$Y:$Y,MATCH(B143,[1]Companies!$A:$A,0)),"")</f>
        <v>Clean Energy, Oil and Gas</v>
      </c>
      <c r="K143" s="14" t="str">
        <f t="array" ref="K143">IFERROR(INDEX([1]Companies!$X:$X,MATCH(B143,[1]Companies!$A:$A,0)),"")</f>
        <v>Energy &amp; Environment Resources</v>
      </c>
      <c r="L143" s="14" t="str">
        <f>VLOOKUP(B143,[1]Companies!$A$1:$C$5243,1,FALSE)</f>
        <v>PayGo Energy</v>
      </c>
      <c r="M143" s="15">
        <f t="shared" si="226"/>
        <v>0.9</v>
      </c>
      <c r="N143" s="10" t="str">
        <f t="shared" si="227"/>
        <v>42379PayGo EnergyUndisclosed</v>
      </c>
      <c r="O143" s="14" t="str">
        <f t="shared" si="228"/>
        <v/>
      </c>
      <c r="P143" s="14">
        <f t="shared" si="229"/>
        <v>0</v>
      </c>
      <c r="Q143" s="14">
        <f t="array" ref="Q143">IFERROR(INDEX([1]Companies!$D:$D,MATCH(B143,[1]Companies!$A:$A,0)),"")</f>
        <v>2014</v>
      </c>
      <c r="R143" s="17">
        <f t="shared" si="230"/>
        <v>4900000</v>
      </c>
      <c r="S143" s="14">
        <f>VLOOKUP(I143,[1]Lookups!$V$3:$Y$197,4,FALSE)</f>
        <v>0</v>
      </c>
      <c r="T143" s="14" t="str">
        <f>VLOOKUP(E143,[1]Lookups!$H$3:$I$71,2,FALSE)</f>
        <v>1. Grant</v>
      </c>
      <c r="U143" s="14" t="e">
        <f>VLOOKUP(K143,[1]Lookups!$B$3:$C$142,2,FALSE)</f>
        <v>#N/A</v>
      </c>
      <c r="V143" s="14">
        <f t="shared" si="1"/>
        <v>2016</v>
      </c>
      <c r="W143" s="14">
        <f t="shared" si="2"/>
        <v>1</v>
      </c>
      <c r="X143" s="14">
        <f>VLOOKUP(W143,[1]Lookups!$P$3:$S$15,2,FALSE)</f>
        <v>1</v>
      </c>
      <c r="Y143" s="16">
        <f>VLOOKUP(W143,[1]Lookups!$P$3:$U$15,3,FALSE)</f>
        <v>1</v>
      </c>
      <c r="Z143" s="16">
        <f t="shared" si="3"/>
        <v>1</v>
      </c>
      <c r="AA143" s="16" t="str">
        <f t="shared" ca="1" si="235"/>
        <v>Spark Capital</v>
      </c>
      <c r="AB143" s="16">
        <f t="shared" si="235"/>
        <v>0</v>
      </c>
      <c r="AC143" s="16">
        <f t="shared" si="235"/>
        <v>0</v>
      </c>
      <c r="AD143" s="16">
        <f t="shared" si="235"/>
        <v>0</v>
      </c>
      <c r="AE143" s="16">
        <f t="shared" si="235"/>
        <v>0</v>
      </c>
      <c r="AF143" s="16">
        <f t="shared" si="235"/>
        <v>0</v>
      </c>
      <c r="AG143" s="16">
        <f t="shared" si="235"/>
        <v>0</v>
      </c>
      <c r="AH143" s="16">
        <f t="shared" si="235"/>
        <v>0</v>
      </c>
      <c r="AI143" s="16">
        <f t="shared" si="235"/>
        <v>0</v>
      </c>
      <c r="AJ143" s="16">
        <f t="shared" si="235"/>
        <v>0</v>
      </c>
      <c r="AK143" s="16">
        <f t="shared" si="235"/>
        <v>0</v>
      </c>
      <c r="AL143" s="16">
        <f t="shared" si="235"/>
        <v>0</v>
      </c>
      <c r="AM143" s="16">
        <f t="shared" si="235"/>
        <v>0</v>
      </c>
      <c r="AN143" s="16">
        <f t="shared" si="235"/>
        <v>0</v>
      </c>
      <c r="AO143" s="16">
        <f t="shared" si="235"/>
        <v>0</v>
      </c>
      <c r="AP143" s="10"/>
      <c r="AQ143" s="10"/>
      <c r="AR143" s="10"/>
      <c r="AS143" s="10" t="str">
        <f t="shared" ref="AS143" ca="1" si="238">IFERROR(__xludf.DUMMYFUNCTION("split(F109,"","",true,true)"),"Spark Capital")</f>
        <v>Spark Capital</v>
      </c>
      <c r="AT143" s="10"/>
      <c r="AU143" s="10"/>
      <c r="AV143" s="10"/>
      <c r="AW143" s="10"/>
      <c r="AX143" s="10"/>
      <c r="AY143" s="10"/>
      <c r="AZ143" s="10"/>
      <c r="BA143" s="10"/>
      <c r="BB143" s="10"/>
      <c r="BC143" s="10"/>
      <c r="BD143" s="10"/>
      <c r="BE143" s="10"/>
      <c r="BF143" s="10"/>
      <c r="BG143" s="10"/>
      <c r="BH143" s="10"/>
      <c r="BI143" s="10"/>
      <c r="BJ143" s="10"/>
      <c r="BK143" s="10"/>
      <c r="BM143" s="10"/>
    </row>
    <row r="144" spans="1:65" ht="12.75">
      <c r="A144" s="9">
        <v>42382</v>
      </c>
      <c r="B144" s="10" t="s">
        <v>193</v>
      </c>
      <c r="C144" s="11">
        <v>2200000</v>
      </c>
      <c r="D144" s="12"/>
      <c r="E144" s="14" t="s">
        <v>45</v>
      </c>
      <c r="F144" s="10" t="s">
        <v>375</v>
      </c>
      <c r="G144" s="13" t="s">
        <v>376</v>
      </c>
      <c r="H144" s="14" t="str">
        <f t="array" ref="H144">IFERROR(INDEX([1]Companies!$G:$G,MATCH(B144,[1]Companies!$A:$A,0)),"")</f>
        <v>Nigeria</v>
      </c>
      <c r="I144" s="14" t="str">
        <f t="shared" si="225"/>
        <v>Nigeria</v>
      </c>
      <c r="J144" s="14" t="str">
        <f t="array" ref="J144">IFERROR(INDEX([1]Companies!$Y:$Y,MATCH(B144,[1]Companies!$A:$A,0)),"")</f>
        <v>Microfinance, Distributed Systems, Machine Learning, Functional Programming, Parallel Programming, Microservices, and Metaprogramming.</v>
      </c>
      <c r="K144" s="14" t="str">
        <f t="array" ref="K144">IFERROR(INDEX([1]Companies!$X:$X,MATCH(B144,[1]Companies!$A:$A,0)),"")</f>
        <v>Financial Services</v>
      </c>
      <c r="L144" s="14" t="str">
        <f>VLOOKUP(B144,[1]Companies!$A$1:$C$5243,1,FALSE)</f>
        <v>Mines</v>
      </c>
      <c r="M144" s="15">
        <f t="shared" si="226"/>
        <v>0.9</v>
      </c>
      <c r="N144" s="10" t="str">
        <f t="shared" si="227"/>
        <v>42382Mines2200000</v>
      </c>
      <c r="O144" s="14" t="str">
        <f t="shared" si="228"/>
        <v/>
      </c>
      <c r="P144" s="14">
        <f t="shared" si="229"/>
        <v>1</v>
      </c>
      <c r="Q144" s="14">
        <f t="array" ref="Q144">IFERROR(INDEX([1]Companies!$D:$D,MATCH(B144,[1]Companies!$A:$A,0)),"")</f>
        <v>2014</v>
      </c>
      <c r="R144" s="17">
        <f t="shared" si="230"/>
        <v>17138000</v>
      </c>
      <c r="S144" s="14">
        <f>VLOOKUP(I144,[1]Lookups!$V$3:$Y$197,4,FALSE)</f>
        <v>0</v>
      </c>
      <c r="T144" s="14" t="str">
        <f>VLOOKUP(E144,[1]Lookups!$H$3:$I$71,2,FALSE)</f>
        <v>2. Seed</v>
      </c>
      <c r="U144" s="14" t="str">
        <f>VLOOKUP(K144,[1]Lookups!$B$3:$C$142,2,FALSE)</f>
        <v>Financial Services</v>
      </c>
      <c r="V144" s="14">
        <f t="shared" si="1"/>
        <v>2016</v>
      </c>
      <c r="W144" s="14">
        <f t="shared" si="2"/>
        <v>1</v>
      </c>
      <c r="X144" s="14">
        <f>VLOOKUP(W144,[1]Lookups!$P$3:$S$15,2,FALSE)</f>
        <v>1</v>
      </c>
      <c r="Y144" s="16">
        <f>VLOOKUP(W144,[1]Lookups!$P$3:$U$15,3,FALSE)</f>
        <v>1</v>
      </c>
      <c r="Z144" s="16">
        <f t="shared" si="3"/>
        <v>5</v>
      </c>
      <c r="AA144" s="16" t="str">
        <f t="shared" ca="1" si="235"/>
        <v>Spark Capital</v>
      </c>
      <c r="AB144" s="16" t="str">
        <f t="shared" ca="1" si="235"/>
        <v xml:space="preserve"> Nyca Partners</v>
      </c>
      <c r="AC144" s="16" t="str">
        <f t="shared" ca="1" si="235"/>
        <v xml:space="preserve"> GreenHouse Capital</v>
      </c>
      <c r="AD144" s="16" t="str">
        <f t="shared" ca="1" si="235"/>
        <v xml:space="preserve"> First Ally Capital</v>
      </c>
      <c r="AE144" s="16" t="str">
        <f t="shared" ca="1" si="235"/>
        <v xml:space="preserve"> FinTech Collective</v>
      </c>
      <c r="AF144" s="16">
        <f t="shared" si="235"/>
        <v>0</v>
      </c>
      <c r="AG144" s="16">
        <f t="shared" si="235"/>
        <v>0</v>
      </c>
      <c r="AH144" s="16">
        <f t="shared" si="235"/>
        <v>0</v>
      </c>
      <c r="AI144" s="16">
        <f t="shared" si="235"/>
        <v>0</v>
      </c>
      <c r="AJ144" s="16">
        <f t="shared" si="235"/>
        <v>0</v>
      </c>
      <c r="AK144" s="16">
        <f t="shared" si="235"/>
        <v>0</v>
      </c>
      <c r="AL144" s="16">
        <f t="shared" si="235"/>
        <v>0</v>
      </c>
      <c r="AM144" s="16">
        <f t="shared" si="235"/>
        <v>0</v>
      </c>
      <c r="AN144" s="16">
        <f t="shared" si="235"/>
        <v>0</v>
      </c>
      <c r="AO144" s="16">
        <f t="shared" si="235"/>
        <v>0</v>
      </c>
      <c r="AP144" s="10"/>
      <c r="AQ144" s="10"/>
      <c r="AR144" s="10"/>
      <c r="AS144" s="10" t="str">
        <f t="shared" ref="AS144" ca="1" si="239">IFERROR(__xludf.DUMMYFUNCTION("split(F109,"","",true,true)"),"Spark Capital")</f>
        <v>Spark Capital</v>
      </c>
      <c r="AT144" s="10" t="str">
        <f ca="1">IFERROR(__xludf.DUMMYFUNCTION("""COMPUTED_VALUE""")," Nyca Partners")</f>
        <v xml:space="preserve"> Nyca Partners</v>
      </c>
      <c r="AU144" s="10" t="str">
        <f ca="1">IFERROR(__xludf.DUMMYFUNCTION("""COMPUTED_VALUE""")," GreenHouse Capital")</f>
        <v xml:space="preserve"> GreenHouse Capital</v>
      </c>
      <c r="AV144" s="10" t="str">
        <f ca="1">IFERROR(__xludf.DUMMYFUNCTION("""COMPUTED_VALUE""")," First Ally Capital")</f>
        <v xml:space="preserve"> First Ally Capital</v>
      </c>
      <c r="AW144" s="10" t="str">
        <f ca="1">IFERROR(__xludf.DUMMYFUNCTION("""COMPUTED_VALUE""")," FinTech Collective")</f>
        <v xml:space="preserve"> FinTech Collective</v>
      </c>
      <c r="AX144" s="10"/>
      <c r="AY144" s="10"/>
      <c r="AZ144" s="10"/>
      <c r="BA144" s="10"/>
      <c r="BB144" s="10"/>
      <c r="BC144" s="10"/>
      <c r="BD144" s="10"/>
      <c r="BE144" s="10"/>
      <c r="BF144" s="10"/>
      <c r="BG144" s="10"/>
      <c r="BH144" s="10"/>
      <c r="BI144" s="10"/>
      <c r="BJ144" s="10"/>
      <c r="BK144" s="10"/>
      <c r="BM144" s="10"/>
    </row>
    <row r="145" spans="1:65" ht="12.75">
      <c r="A145" s="9">
        <v>42389</v>
      </c>
      <c r="B145" s="14" t="s">
        <v>377</v>
      </c>
      <c r="C145" s="11" t="s">
        <v>49</v>
      </c>
      <c r="D145" s="12"/>
      <c r="E145" s="10" t="s">
        <v>45</v>
      </c>
      <c r="F145" s="10" t="s">
        <v>305</v>
      </c>
      <c r="G145" s="13" t="s">
        <v>378</v>
      </c>
      <c r="H145" s="14" t="str">
        <f t="array" ref="H145">IFERROR(INDEX([1]Companies!$G:$G,MATCH(B145,[1]Companies!$A:$A,0)),"")</f>
        <v>Ghana</v>
      </c>
      <c r="I145" s="14" t="str">
        <f t="shared" si="225"/>
        <v>Ghana</v>
      </c>
      <c r="J145" s="14" t="str">
        <f t="array" ref="J145">IFERROR(INDEX([1]Companies!$Y:$Y,MATCH(B145,[1]Companies!$A:$A,0)),"")</f>
        <v>Digital Marketing, Marketing, Social Media Management</v>
      </c>
      <c r="K145" s="14" t="str">
        <f t="array" ref="K145">IFERROR(INDEX([1]Companies!$X:$X,MATCH(B145,[1]Companies!$A:$A,0)),"")</f>
        <v>Media &amp; Entertainment</v>
      </c>
      <c r="L145" s="14" t="str">
        <f>VLOOKUP(B145,[1]Companies!$A$1:$C$5243,1,FALSE)</f>
        <v>Omg Digital</v>
      </c>
      <c r="M145" s="15">
        <f t="shared" si="226"/>
        <v>0.9</v>
      </c>
      <c r="N145" s="10" t="str">
        <f t="shared" si="227"/>
        <v>42389OMG DigitalUndisclosed</v>
      </c>
      <c r="O145" s="14" t="str">
        <f t="shared" si="228"/>
        <v/>
      </c>
      <c r="P145" s="14">
        <f t="shared" si="229"/>
        <v>0</v>
      </c>
      <c r="Q145" s="14">
        <f t="array" ref="Q145">IFERROR(INDEX([1]Companies!$D:$D,MATCH(B145,[1]Companies!$A:$A,0)),"")</f>
        <v>2016</v>
      </c>
      <c r="R145" s="17">
        <f t="shared" si="230"/>
        <v>1220000</v>
      </c>
      <c r="S145" s="14">
        <f>VLOOKUP(I145,[1]Lookups!$V$3:$Y$197,4,FALSE)</f>
        <v>0</v>
      </c>
      <c r="T145" s="14" t="str">
        <f>VLOOKUP(E145,[1]Lookups!$H$3:$I$71,2,FALSE)</f>
        <v>2. Seed</v>
      </c>
      <c r="U145" s="14" t="str">
        <f>VLOOKUP(K145,[1]Lookups!$B$3:$C$142,2,FALSE)</f>
        <v>Media &amp; Entertainment</v>
      </c>
      <c r="V145" s="14">
        <f t="shared" si="1"/>
        <v>2016</v>
      </c>
      <c r="W145" s="14">
        <f t="shared" si="2"/>
        <v>1</v>
      </c>
      <c r="X145" s="14">
        <f>VLOOKUP(W145,[1]Lookups!$P$3:$S$15,2,FALSE)</f>
        <v>1</v>
      </c>
      <c r="Y145" s="16">
        <f>VLOOKUP(W145,[1]Lookups!$P$3:$U$15,3,FALSE)</f>
        <v>1</v>
      </c>
      <c r="Z145" s="16">
        <f t="shared" si="3"/>
        <v>1</v>
      </c>
      <c r="AA145" s="16" t="str">
        <f t="shared" ca="1" si="235"/>
        <v>Spark Capital</v>
      </c>
      <c r="AB145" s="16">
        <f t="shared" si="235"/>
        <v>0</v>
      </c>
      <c r="AC145" s="16">
        <f t="shared" si="235"/>
        <v>0</v>
      </c>
      <c r="AD145" s="16">
        <f t="shared" si="235"/>
        <v>0</v>
      </c>
      <c r="AE145" s="16">
        <f t="shared" si="235"/>
        <v>0</v>
      </c>
      <c r="AF145" s="16">
        <f t="shared" si="235"/>
        <v>0</v>
      </c>
      <c r="AG145" s="16">
        <f t="shared" si="235"/>
        <v>0</v>
      </c>
      <c r="AH145" s="16">
        <f t="shared" si="235"/>
        <v>0</v>
      </c>
      <c r="AI145" s="16">
        <f t="shared" si="235"/>
        <v>0</v>
      </c>
      <c r="AJ145" s="16">
        <f t="shared" si="235"/>
        <v>0</v>
      </c>
      <c r="AK145" s="16">
        <f t="shared" si="235"/>
        <v>0</v>
      </c>
      <c r="AL145" s="16">
        <f t="shared" si="235"/>
        <v>0</v>
      </c>
      <c r="AM145" s="16">
        <f t="shared" si="235"/>
        <v>0</v>
      </c>
      <c r="AN145" s="16">
        <f t="shared" si="235"/>
        <v>0</v>
      </c>
      <c r="AO145" s="16">
        <f t="shared" si="235"/>
        <v>0</v>
      </c>
      <c r="AP145" s="10"/>
      <c r="AQ145" s="10"/>
      <c r="AR145" s="10"/>
      <c r="AS145" s="10" t="str">
        <f t="shared" ref="AS145" ca="1" si="240">IFERROR(__xludf.DUMMYFUNCTION("split(F109,"","",true,true)"),"Spark Capital")</f>
        <v>Spark Capital</v>
      </c>
      <c r="AT145" s="10"/>
      <c r="AU145" s="10"/>
      <c r="AV145" s="10"/>
      <c r="AW145" s="10"/>
      <c r="AX145" s="10"/>
      <c r="AY145" s="10"/>
      <c r="AZ145" s="10"/>
      <c r="BA145" s="10"/>
      <c r="BB145" s="10"/>
      <c r="BC145" s="10"/>
      <c r="BD145" s="10"/>
      <c r="BE145" s="10"/>
      <c r="BF145" s="10"/>
      <c r="BG145" s="10"/>
      <c r="BH145" s="10"/>
      <c r="BI145" s="10"/>
      <c r="BJ145" s="10"/>
      <c r="BK145" s="10"/>
      <c r="BM145" s="10"/>
    </row>
    <row r="146" spans="1:65" ht="12.75">
      <c r="A146" s="18">
        <v>42394</v>
      </c>
      <c r="B146" s="14" t="s">
        <v>379</v>
      </c>
      <c r="C146" s="19">
        <v>600000</v>
      </c>
      <c r="D146" s="19"/>
      <c r="E146" s="14" t="s">
        <v>45</v>
      </c>
      <c r="F146" s="20" t="s">
        <v>380</v>
      </c>
      <c r="G146" s="21" t="s">
        <v>381</v>
      </c>
      <c r="H146" s="14" t="str">
        <f t="array" ref="H146">IFERROR(INDEX([1]Companies!$G:$G,MATCH(B146,[1]Companies!$A:$A,0)),"")</f>
        <v>South Africa</v>
      </c>
      <c r="I146" s="14" t="str">
        <f t="shared" si="225"/>
        <v>South Africa</v>
      </c>
      <c r="J146" s="14" t="str">
        <f t="array" ref="J146">IFERROR(INDEX([1]Companies!$Y:$Y,MATCH(B146,[1]Companies!$A:$A,0)),"")</f>
        <v>Home Improvement, Home Services, Internet</v>
      </c>
      <c r="K146" s="14" t="str">
        <f t="array" ref="K146">IFERROR(INDEX([1]Companies!$X:$X,MATCH(B146,[1]Companies!$A:$A,0)),"")</f>
        <v>Commercial &amp; Professional Services</v>
      </c>
      <c r="L146" s="14" t="str">
        <f>VLOOKUP(B146,[1]Companies!$A$1:$C$5243,1,FALSE)</f>
        <v>Sweepsouth</v>
      </c>
      <c r="M146" s="15">
        <f t="shared" si="226"/>
        <v>0.9</v>
      </c>
      <c r="N146" s="10" t="str">
        <f t="shared" si="227"/>
        <v>42394SweepSouth600000</v>
      </c>
      <c r="O146" s="14" t="str">
        <f t="shared" si="228"/>
        <v/>
      </c>
      <c r="P146" s="14">
        <f t="shared" si="229"/>
        <v>1</v>
      </c>
      <c r="Q146" s="14">
        <f t="array" ref="Q146">IFERROR(INDEX([1]Companies!$D:$D,MATCH(B146,[1]Companies!$A:$A,0)),"")</f>
        <v>2014</v>
      </c>
      <c r="R146" s="17">
        <f t="shared" si="230"/>
        <v>2700000</v>
      </c>
      <c r="S146" s="14">
        <f>VLOOKUP(I146,[1]Lookups!$V$3:$Y$197,4,FALSE)</f>
        <v>0</v>
      </c>
      <c r="T146" s="14" t="str">
        <f>VLOOKUP(E146,[1]Lookups!$H$3:$I$71,2,FALSE)</f>
        <v>2. Seed</v>
      </c>
      <c r="U146" s="14" t="str">
        <f>VLOOKUP(K146,[1]Lookups!$B$3:$C$142,2,FALSE)</f>
        <v>Other Technologies &amp; Information Technology</v>
      </c>
      <c r="V146" s="14">
        <f t="shared" si="1"/>
        <v>2016</v>
      </c>
      <c r="W146" s="14">
        <f t="shared" si="2"/>
        <v>1</v>
      </c>
      <c r="X146" s="14">
        <f>VLOOKUP(W146,[1]Lookups!$P$3:$S$15,2,FALSE)</f>
        <v>1</v>
      </c>
      <c r="Y146" s="16">
        <f>VLOOKUP(W146,[1]Lookups!$P$3:$U$15,3,FALSE)</f>
        <v>1</v>
      </c>
      <c r="Z146" s="16">
        <f t="shared" si="3"/>
        <v>3</v>
      </c>
      <c r="AA146" s="16" t="str">
        <f t="shared" ca="1" si="235"/>
        <v>Spark Capital</v>
      </c>
      <c r="AB146" s="16" t="str">
        <f t="shared" ca="1" si="235"/>
        <v xml:space="preserve">  Vinny Lingham</v>
      </c>
      <c r="AC146" s="16" t="str">
        <f t="shared" ca="1" si="235"/>
        <v xml:space="preserve"> Llew Claasen’s Newtown Partners</v>
      </c>
      <c r="AD146" s="16">
        <f t="shared" si="235"/>
        <v>0</v>
      </c>
      <c r="AE146" s="16">
        <f t="shared" si="235"/>
        <v>0</v>
      </c>
      <c r="AF146" s="16">
        <f t="shared" si="235"/>
        <v>0</v>
      </c>
      <c r="AG146" s="16">
        <f t="shared" si="235"/>
        <v>0</v>
      </c>
      <c r="AH146" s="16">
        <f t="shared" si="235"/>
        <v>0</v>
      </c>
      <c r="AI146" s="16">
        <f t="shared" si="235"/>
        <v>0</v>
      </c>
      <c r="AJ146" s="16">
        <f t="shared" si="235"/>
        <v>0</v>
      </c>
      <c r="AK146" s="16">
        <f t="shared" si="235"/>
        <v>0</v>
      </c>
      <c r="AL146" s="16">
        <f t="shared" si="235"/>
        <v>0</v>
      </c>
      <c r="AM146" s="16">
        <f t="shared" si="235"/>
        <v>0</v>
      </c>
      <c r="AN146" s="16">
        <f t="shared" si="235"/>
        <v>0</v>
      </c>
      <c r="AO146" s="16">
        <f t="shared" si="235"/>
        <v>0</v>
      </c>
      <c r="AP146" s="10"/>
      <c r="AQ146" s="10"/>
      <c r="AR146" s="10"/>
      <c r="AS146" s="10" t="str">
        <f t="shared" ref="AS146" ca="1" si="241">IFERROR(__xludf.DUMMYFUNCTION("split(F109,"","",true,true)"),"Spark Capital")</f>
        <v>Spark Capital</v>
      </c>
      <c r="AT146" s="10" t="str">
        <f ca="1">IFERROR(__xludf.DUMMYFUNCTION("""COMPUTED_VALUE"""),"  Vinny Lingham")</f>
        <v xml:space="preserve">  Vinny Lingham</v>
      </c>
      <c r="AU146" s="10" t="str">
        <f ca="1">IFERROR(__xludf.DUMMYFUNCTION("""COMPUTED_VALUE""")," Llew Claasen’s Newtown Partners")</f>
        <v xml:space="preserve"> Llew Claasen’s Newtown Partners</v>
      </c>
      <c r="AV146" s="10"/>
      <c r="AW146" s="10"/>
      <c r="AX146" s="10"/>
      <c r="AY146" s="10"/>
      <c r="AZ146" s="10"/>
      <c r="BA146" s="10"/>
      <c r="BB146" s="10"/>
      <c r="BC146" s="10"/>
      <c r="BD146" s="10"/>
      <c r="BE146" s="10"/>
      <c r="BF146" s="10"/>
      <c r="BG146" s="10"/>
      <c r="BH146" s="10"/>
      <c r="BI146" s="10"/>
      <c r="BJ146" s="10"/>
      <c r="BK146" s="10"/>
      <c r="BM146" s="10"/>
    </row>
    <row r="147" spans="1:65" ht="12.75">
      <c r="A147" s="18">
        <v>42395</v>
      </c>
      <c r="B147" s="14" t="s">
        <v>351</v>
      </c>
      <c r="C147" s="19">
        <v>20000000</v>
      </c>
      <c r="D147" s="19"/>
      <c r="E147" s="14" t="s">
        <v>69</v>
      </c>
      <c r="F147" s="14" t="s">
        <v>382</v>
      </c>
      <c r="G147" s="21" t="s">
        <v>383</v>
      </c>
      <c r="H147" s="14" t="str">
        <f t="array" ref="H147">IFERROR(INDEX([1]Companies!$G:$G,MATCH(B147,[1]Companies!$A:$A,0)),"")</f>
        <v>Kenya</v>
      </c>
      <c r="I147" s="14" t="str">
        <f t="shared" si="225"/>
        <v>Kenya</v>
      </c>
      <c r="J147" s="14" t="str">
        <f t="array" ref="J147">IFERROR(INDEX([1]Companies!$Y:$Y,MATCH(B147,[1]Companies!$A:$A,0)),"")</f>
        <v>Cloud Computing, Energy, SaaS, Software, Solar</v>
      </c>
      <c r="K147" s="14" t="str">
        <f t="array" ref="K147">IFERROR(INDEX([1]Companies!$X:$X,MATCH(B147,[1]Companies!$A:$A,0)),"")</f>
        <v>Energy &amp; Environment Resources</v>
      </c>
      <c r="L147" s="14" t="str">
        <f>VLOOKUP(B147,[1]Companies!$A$1:$C$5243,1,FALSE)</f>
        <v>Powerhive</v>
      </c>
      <c r="M147" s="15">
        <f t="shared" si="226"/>
        <v>0.9</v>
      </c>
      <c r="N147" s="10" t="str">
        <f t="shared" si="227"/>
        <v>42395Powerhive20000000</v>
      </c>
      <c r="O147" s="14" t="str">
        <f t="shared" si="228"/>
        <v/>
      </c>
      <c r="P147" s="14">
        <f t="shared" si="229"/>
        <v>1</v>
      </c>
      <c r="Q147" s="14">
        <f t="array" ref="Q147">IFERROR(INDEX([1]Companies!$D:$D,MATCH(B147,[1]Companies!$A:$A,0)),"")</f>
        <v>2011</v>
      </c>
      <c r="R147" s="17">
        <f t="shared" si="230"/>
        <v>41300000</v>
      </c>
      <c r="S147" s="14">
        <f>VLOOKUP(I147,[1]Lookups!$V$3:$Y$197,4,FALSE)</f>
        <v>0</v>
      </c>
      <c r="T147" s="14" t="str">
        <f>VLOOKUP(E147,[1]Lookups!$H$3:$I$71,2,FALSE)</f>
        <v>3. Early Venture</v>
      </c>
      <c r="U147" s="14" t="e">
        <f>VLOOKUP(K147,[1]Lookups!$B$3:$C$142,2,FALSE)</f>
        <v>#N/A</v>
      </c>
      <c r="V147" s="14">
        <f t="shared" si="1"/>
        <v>2016</v>
      </c>
      <c r="W147" s="14">
        <f t="shared" si="2"/>
        <v>1</v>
      </c>
      <c r="X147" s="14">
        <f>VLOOKUP(W147,[1]Lookups!$P$3:$S$15,2,FALSE)</f>
        <v>1</v>
      </c>
      <c r="Y147" s="16">
        <f>VLOOKUP(W147,[1]Lookups!$P$3:$U$15,3,FALSE)</f>
        <v>1</v>
      </c>
      <c r="Z147" s="16">
        <f t="shared" si="3"/>
        <v>5</v>
      </c>
      <c r="AA147" s="16" t="str">
        <f t="shared" ca="1" si="235"/>
        <v>Spark Capital</v>
      </c>
      <c r="AB147" s="16" t="str">
        <f t="shared" ca="1" si="235"/>
        <v xml:space="preserve"> Prelude Ventures</v>
      </c>
      <c r="AC147" s="16" t="str">
        <f t="shared" ca="1" si="235"/>
        <v xml:space="preserve"> Total Energy Ventures</v>
      </c>
      <c r="AD147" s="16" t="str">
        <f t="shared" ca="1" si="235"/>
        <v xml:space="preserve"> Tao Capital Partners</v>
      </c>
      <c r="AE147" s="16" t="str">
        <f t="shared" ca="1" si="235"/>
        <v xml:space="preserve"> Pi Investments</v>
      </c>
      <c r="AF147" s="16">
        <f t="shared" si="235"/>
        <v>0</v>
      </c>
      <c r="AG147" s="16">
        <f t="shared" si="235"/>
        <v>0</v>
      </c>
      <c r="AH147" s="16">
        <f t="shared" si="235"/>
        <v>0</v>
      </c>
      <c r="AI147" s="16">
        <f t="shared" si="235"/>
        <v>0</v>
      </c>
      <c r="AJ147" s="16">
        <f t="shared" si="235"/>
        <v>0</v>
      </c>
      <c r="AK147" s="16">
        <f t="shared" si="235"/>
        <v>0</v>
      </c>
      <c r="AL147" s="16">
        <f t="shared" si="235"/>
        <v>0</v>
      </c>
      <c r="AM147" s="16">
        <f t="shared" si="235"/>
        <v>0</v>
      </c>
      <c r="AN147" s="16">
        <f t="shared" si="235"/>
        <v>0</v>
      </c>
      <c r="AO147" s="16">
        <f t="shared" si="235"/>
        <v>0</v>
      </c>
      <c r="AP147" s="10"/>
      <c r="AQ147" s="10"/>
      <c r="AR147" s="10"/>
      <c r="AS147" s="10" t="str">
        <f t="shared" ref="AS147" ca="1" si="242">IFERROR(__xludf.DUMMYFUNCTION("split(F109,"","",true,true)"),"Spark Capital")</f>
        <v>Spark Capital</v>
      </c>
      <c r="AT147" s="10" t="str">
        <f ca="1">IFERROR(__xludf.DUMMYFUNCTION("""COMPUTED_VALUE""")," Prelude Ventures")</f>
        <v xml:space="preserve"> Prelude Ventures</v>
      </c>
      <c r="AU147" s="10" t="str">
        <f ca="1">IFERROR(__xludf.DUMMYFUNCTION("""COMPUTED_VALUE""")," Total Energy Ventures")</f>
        <v xml:space="preserve"> Total Energy Ventures</v>
      </c>
      <c r="AV147" s="10" t="str">
        <f ca="1">IFERROR(__xludf.DUMMYFUNCTION("""COMPUTED_VALUE""")," Tao Capital Partners")</f>
        <v xml:space="preserve"> Tao Capital Partners</v>
      </c>
      <c r="AW147" s="10" t="str">
        <f ca="1">IFERROR(__xludf.DUMMYFUNCTION("""COMPUTED_VALUE""")," Pi Investments")</f>
        <v xml:space="preserve"> Pi Investments</v>
      </c>
      <c r="AX147" s="10"/>
      <c r="AY147" s="10"/>
      <c r="AZ147" s="10"/>
      <c r="BA147" s="10"/>
      <c r="BB147" s="10"/>
      <c r="BC147" s="10"/>
      <c r="BD147" s="10"/>
      <c r="BE147" s="10"/>
      <c r="BF147" s="10"/>
      <c r="BG147" s="10"/>
      <c r="BH147" s="10"/>
      <c r="BI147" s="10"/>
      <c r="BJ147" s="10"/>
      <c r="BK147" s="10"/>
      <c r="BM147" s="10"/>
    </row>
    <row r="148" spans="1:65" ht="12.75">
      <c r="A148" s="18">
        <v>42395</v>
      </c>
      <c r="B148" s="14" t="s">
        <v>75</v>
      </c>
      <c r="C148" s="19">
        <v>19000000</v>
      </c>
      <c r="D148" s="19"/>
      <c r="E148" s="14" t="s">
        <v>384</v>
      </c>
      <c r="F148" s="20" t="s">
        <v>385</v>
      </c>
      <c r="G148" s="21" t="s">
        <v>386</v>
      </c>
      <c r="H148" s="14" t="str">
        <f t="array" ref="H148">IFERROR(INDEX([1]Companies!$G:$G,MATCH(B148,[1]Companies!$A:$A,0)),"")</f>
        <v>Nigeria</v>
      </c>
      <c r="I148" s="14" t="str">
        <f t="shared" si="225"/>
        <v>Nigeria</v>
      </c>
      <c r="J148" s="14" t="str">
        <f t="array" ref="J148">IFERROR(INDEX([1]Companies!$Y:$Y,MATCH(B148,[1]Companies!$A:$A,0)),"")</f>
        <v>Online Media, Nollywood Movies, Online Movie and Music Streaming, African Music, Content Distribution, Technology, Subscription Video on Demand</v>
      </c>
      <c r="K148" s="14" t="str">
        <f t="array" ref="K148">IFERROR(INDEX([1]Companies!$X:$X,MATCH(B148,[1]Companies!$A:$A,0)),"")</f>
        <v>Media &amp; Entertainment</v>
      </c>
      <c r="L148" s="14" t="str">
        <f>VLOOKUP(B148,[1]Companies!$A$1:$C$5243,1,FALSE)</f>
        <v>iROKOtv</v>
      </c>
      <c r="M148" s="15">
        <f t="shared" si="226"/>
        <v>0.9</v>
      </c>
      <c r="N148" s="10" t="str">
        <f t="shared" si="227"/>
        <v>42395iROKOtv19000000</v>
      </c>
      <c r="O148" s="14" t="str">
        <f t="shared" si="228"/>
        <v/>
      </c>
      <c r="P148" s="14">
        <f t="shared" si="229"/>
        <v>1</v>
      </c>
      <c r="Q148" s="14">
        <f t="array" ref="Q148">IFERROR(INDEX([1]Companies!$D:$D,MATCH(B148,[1]Companies!$A:$A,0)),"")</f>
        <v>2010</v>
      </c>
      <c r="R148" s="17">
        <f t="shared" si="230"/>
        <v>30000000</v>
      </c>
      <c r="S148" s="14">
        <f>VLOOKUP(I148,[1]Lookups!$V$3:$Y$197,4,FALSE)</f>
        <v>0</v>
      </c>
      <c r="T148" s="14" t="str">
        <f>VLOOKUP(E148,[1]Lookups!$H$3:$I$71,2,FALSE)</f>
        <v>4. Late Venture</v>
      </c>
      <c r="U148" s="14" t="str">
        <f>VLOOKUP(K148,[1]Lookups!$B$3:$C$142,2,FALSE)</f>
        <v>Media &amp; Entertainment</v>
      </c>
      <c r="V148" s="14">
        <f t="shared" si="1"/>
        <v>2016</v>
      </c>
      <c r="W148" s="14">
        <f t="shared" si="2"/>
        <v>1</v>
      </c>
      <c r="X148" s="14">
        <f>VLOOKUP(W148,[1]Lookups!$P$3:$S$15,2,FALSE)</f>
        <v>1</v>
      </c>
      <c r="Y148" s="16">
        <f>VLOOKUP(W148,[1]Lookups!$P$3:$U$15,3,FALSE)</f>
        <v>1</v>
      </c>
      <c r="Z148" s="16">
        <f t="shared" si="3"/>
        <v>2</v>
      </c>
      <c r="AA148" s="16" t="str">
        <f t="shared" ca="1" si="235"/>
        <v>Spark Capital</v>
      </c>
      <c r="AB148" s="16" t="str">
        <f t="shared" ca="1" si="235"/>
        <v xml:space="preserve"> Canal+</v>
      </c>
      <c r="AC148" s="16">
        <f t="shared" si="235"/>
        <v>0</v>
      </c>
      <c r="AD148" s="16">
        <f t="shared" si="235"/>
        <v>0</v>
      </c>
      <c r="AE148" s="16">
        <f t="shared" si="235"/>
        <v>0</v>
      </c>
      <c r="AF148" s="16">
        <f t="shared" si="235"/>
        <v>0</v>
      </c>
      <c r="AG148" s="16">
        <f t="shared" si="235"/>
        <v>0</v>
      </c>
      <c r="AH148" s="16">
        <f t="shared" si="235"/>
        <v>0</v>
      </c>
      <c r="AI148" s="16">
        <f t="shared" si="235"/>
        <v>0</v>
      </c>
      <c r="AJ148" s="16">
        <f t="shared" si="235"/>
        <v>0</v>
      </c>
      <c r="AK148" s="16">
        <f t="shared" si="235"/>
        <v>0</v>
      </c>
      <c r="AL148" s="16">
        <f t="shared" si="235"/>
        <v>0</v>
      </c>
      <c r="AM148" s="16">
        <f t="shared" si="235"/>
        <v>0</v>
      </c>
      <c r="AN148" s="16">
        <f t="shared" si="235"/>
        <v>0</v>
      </c>
      <c r="AO148" s="16">
        <f t="shared" si="235"/>
        <v>0</v>
      </c>
      <c r="AP148" s="10"/>
      <c r="AQ148" s="10"/>
      <c r="AR148" s="10"/>
      <c r="AS148" s="10" t="str">
        <f t="shared" ref="AS148" ca="1" si="243">IFERROR(__xludf.DUMMYFUNCTION("split(F109,"","",true,true)"),"Spark Capital")</f>
        <v>Spark Capital</v>
      </c>
      <c r="AT148" s="10" t="str">
        <f ca="1">IFERROR(__xludf.DUMMYFUNCTION("""COMPUTED_VALUE""")," Canal+")</f>
        <v xml:space="preserve"> Canal+</v>
      </c>
      <c r="AU148" s="10"/>
      <c r="AV148" s="10"/>
      <c r="AW148" s="10"/>
      <c r="AX148" s="10"/>
      <c r="AY148" s="10"/>
      <c r="AZ148" s="10"/>
      <c r="BA148" s="10"/>
      <c r="BB148" s="10"/>
      <c r="BC148" s="10"/>
      <c r="BD148" s="10"/>
      <c r="BE148" s="10"/>
      <c r="BF148" s="10"/>
      <c r="BG148" s="10"/>
      <c r="BH148" s="10"/>
      <c r="BI148" s="10"/>
      <c r="BJ148" s="10"/>
      <c r="BK148" s="10"/>
      <c r="BM148" s="10"/>
    </row>
    <row r="149" spans="1:65" ht="12.75">
      <c r="A149" s="18">
        <v>42397</v>
      </c>
      <c r="B149" s="14" t="s">
        <v>387</v>
      </c>
      <c r="C149" s="19">
        <v>5000000</v>
      </c>
      <c r="D149" s="19"/>
      <c r="E149" s="14" t="s">
        <v>45</v>
      </c>
      <c r="F149" s="14" t="s">
        <v>388</v>
      </c>
      <c r="G149" s="21" t="s">
        <v>389</v>
      </c>
      <c r="H149" s="14" t="str">
        <f t="array" ref="H149">IFERROR(INDEX([1]Companies!$G:$G,MATCH(B149,[1]Companies!$A:$A,0)),"")</f>
        <v>Ghana</v>
      </c>
      <c r="I149" s="14" t="str">
        <f t="shared" si="225"/>
        <v>Ghana</v>
      </c>
      <c r="J149" s="14" t="str">
        <f t="array" ref="J149">IFERROR(INDEX([1]Companies!$Y:$Y,MATCH(B149,[1]Companies!$A:$A,0)),"")</f>
        <v>Health Care, Information Technology, Management Information Systems, Digital Healthcare</v>
      </c>
      <c r="K149" s="14" t="str">
        <f t="array" ref="K149">IFERROR(INDEX([1]Companies!$X:$X,MATCH(B149,[1]Companies!$A:$A,0)),"")</f>
        <v>Healthcare &amp; Pharma</v>
      </c>
      <c r="L149" s="14" t="str">
        <f>VLOOKUP(B149,[1]Companies!$A$1:$C$5243,1,FALSE)</f>
        <v>mPharma</v>
      </c>
      <c r="M149" s="15">
        <f t="shared" si="226"/>
        <v>0.9</v>
      </c>
      <c r="N149" s="10" t="str">
        <f t="shared" si="227"/>
        <v>42397mPharma5000000</v>
      </c>
      <c r="O149" s="14" t="str">
        <f t="shared" si="228"/>
        <v/>
      </c>
      <c r="P149" s="14">
        <f t="shared" si="229"/>
        <v>1</v>
      </c>
      <c r="Q149" s="14">
        <f t="array" ref="Q149">IFERROR(INDEX([1]Companies!$D:$D,MATCH(B149,[1]Companies!$A:$A,0)),"")</f>
        <v>2014</v>
      </c>
      <c r="R149" s="17">
        <f t="shared" si="230"/>
        <v>25100000</v>
      </c>
      <c r="S149" s="14">
        <f>VLOOKUP(I149,[1]Lookups!$V$3:$Y$197,4,FALSE)</f>
        <v>0</v>
      </c>
      <c r="T149" s="14" t="str">
        <f>VLOOKUP(E149,[1]Lookups!$H$3:$I$71,2,FALSE)</f>
        <v>2. Seed</v>
      </c>
      <c r="U149" s="14" t="str">
        <f>VLOOKUP(K149,[1]Lookups!$B$3:$C$142,2,FALSE)</f>
        <v>Health &amp; Pharmaceuticals</v>
      </c>
      <c r="V149" s="14">
        <f t="shared" si="1"/>
        <v>2016</v>
      </c>
      <c r="W149" s="14">
        <f t="shared" si="2"/>
        <v>1</v>
      </c>
      <c r="X149" s="14">
        <f>VLOOKUP(W149,[1]Lookups!$P$3:$S$15,2,FALSE)</f>
        <v>1</v>
      </c>
      <c r="Y149" s="16">
        <f>VLOOKUP(W149,[1]Lookups!$P$3:$U$15,3,FALSE)</f>
        <v>1</v>
      </c>
      <c r="Z149" s="16">
        <f t="shared" si="3"/>
        <v>3</v>
      </c>
      <c r="AA149" s="16" t="str">
        <f t="shared" ca="1" si="235"/>
        <v>Spark Capital</v>
      </c>
      <c r="AB149" s="16" t="str">
        <f t="shared" ca="1" si="235"/>
        <v xml:space="preserve"> Olive Tree Ventures</v>
      </c>
      <c r="AC149" s="16" t="str">
        <f t="shared" ca="1" si="235"/>
        <v xml:space="preserve"> Social Capital </v>
      </c>
      <c r="AD149" s="16">
        <f t="shared" si="235"/>
        <v>0</v>
      </c>
      <c r="AE149" s="16">
        <f t="shared" si="235"/>
        <v>0</v>
      </c>
      <c r="AF149" s="16">
        <f t="shared" si="235"/>
        <v>0</v>
      </c>
      <c r="AG149" s="16">
        <f t="shared" si="235"/>
        <v>0</v>
      </c>
      <c r="AH149" s="16">
        <f t="shared" si="235"/>
        <v>0</v>
      </c>
      <c r="AI149" s="16">
        <f t="shared" si="235"/>
        <v>0</v>
      </c>
      <c r="AJ149" s="16">
        <f t="shared" si="235"/>
        <v>0</v>
      </c>
      <c r="AK149" s="16">
        <f t="shared" si="235"/>
        <v>0</v>
      </c>
      <c r="AL149" s="16">
        <f t="shared" si="235"/>
        <v>0</v>
      </c>
      <c r="AM149" s="16">
        <f t="shared" si="235"/>
        <v>0</v>
      </c>
      <c r="AN149" s="16">
        <f t="shared" si="235"/>
        <v>0</v>
      </c>
      <c r="AO149" s="16">
        <f t="shared" si="235"/>
        <v>0</v>
      </c>
      <c r="AP149" s="10"/>
      <c r="AQ149" s="10"/>
      <c r="AR149" s="10"/>
      <c r="AS149" s="10" t="str">
        <f t="shared" ref="AS149:AS150" ca="1" si="244">IFERROR(__xludf.DUMMYFUNCTION("split(F109,"","",true,true)"),"Spark Capital")</f>
        <v>Spark Capital</v>
      </c>
      <c r="AT149" s="10" t="str">
        <f ca="1">IFERROR(__xludf.DUMMYFUNCTION("""COMPUTED_VALUE""")," Olive Tree Ventures")</f>
        <v xml:space="preserve"> Olive Tree Ventures</v>
      </c>
      <c r="AU149" s="10" t="str">
        <f ca="1">IFERROR(__xludf.DUMMYFUNCTION("""COMPUTED_VALUE""")," Social Capital ")</f>
        <v xml:space="preserve"> Social Capital </v>
      </c>
      <c r="AV149" s="10"/>
      <c r="AW149" s="10"/>
      <c r="AX149" s="10"/>
      <c r="AY149" s="10"/>
      <c r="AZ149" s="10"/>
      <c r="BA149" s="10"/>
      <c r="BB149" s="10"/>
      <c r="BC149" s="10"/>
      <c r="BD149" s="10"/>
      <c r="BE149" s="10"/>
      <c r="BF149" s="10"/>
      <c r="BG149" s="10"/>
      <c r="BH149" s="10"/>
      <c r="BI149" s="10"/>
      <c r="BJ149" s="10"/>
      <c r="BK149" s="10"/>
      <c r="BM149" s="10"/>
    </row>
    <row r="150" spans="1:65" ht="12.75">
      <c r="A150" s="9">
        <v>42398</v>
      </c>
      <c r="B150" s="10" t="s">
        <v>207</v>
      </c>
      <c r="C150" s="11">
        <v>2400000</v>
      </c>
      <c r="D150" s="12"/>
      <c r="E150" s="10" t="s">
        <v>390</v>
      </c>
      <c r="F150" s="10" t="s">
        <v>391</v>
      </c>
      <c r="G150" s="13" t="s">
        <v>392</v>
      </c>
      <c r="H150" s="14"/>
      <c r="I150" s="14"/>
      <c r="J150" s="14"/>
      <c r="K150" s="14"/>
      <c r="L150" s="14"/>
      <c r="M150" s="15"/>
      <c r="N150" s="10"/>
      <c r="O150" s="14"/>
      <c r="P150" s="14"/>
      <c r="Q150" s="14"/>
      <c r="R150" s="14"/>
      <c r="S150" s="14"/>
      <c r="T150" s="14"/>
      <c r="U150" s="14"/>
      <c r="V150" s="14">
        <f t="shared" si="1"/>
        <v>2016</v>
      </c>
      <c r="W150" s="14">
        <f t="shared" si="2"/>
        <v>1</v>
      </c>
      <c r="X150" s="14">
        <f>VLOOKUP(W150,[1]Lookups!$P$3:$S$15,2,FALSE)</f>
        <v>1</v>
      </c>
      <c r="Y150" s="16">
        <f>VLOOKUP(W150,[1]Lookups!$P$3:$U$15,3,FALSE)</f>
        <v>1</v>
      </c>
      <c r="Z150" s="16">
        <f t="shared" si="3"/>
        <v>2</v>
      </c>
      <c r="AA150" s="16" t="str">
        <f t="shared" ca="1" si="235"/>
        <v>Spark Capital</v>
      </c>
      <c r="AB150" s="16" t="str">
        <f t="shared" ca="1" si="235"/>
        <v xml:space="preserve"> Techstars Ventures</v>
      </c>
      <c r="AC150" s="16">
        <f t="shared" si="235"/>
        <v>0</v>
      </c>
      <c r="AD150" s="16">
        <f t="shared" si="235"/>
        <v>0</v>
      </c>
      <c r="AE150" s="16">
        <f t="shared" si="235"/>
        <v>0</v>
      </c>
      <c r="AF150" s="16">
        <f t="shared" si="235"/>
        <v>0</v>
      </c>
      <c r="AG150" s="16">
        <f t="shared" si="235"/>
        <v>0</v>
      </c>
      <c r="AH150" s="16">
        <f t="shared" si="235"/>
        <v>0</v>
      </c>
      <c r="AI150" s="16">
        <f t="shared" si="235"/>
        <v>0</v>
      </c>
      <c r="AJ150" s="16">
        <f t="shared" si="235"/>
        <v>0</v>
      </c>
      <c r="AK150" s="16">
        <f t="shared" si="235"/>
        <v>0</v>
      </c>
      <c r="AL150" s="16">
        <f t="shared" si="235"/>
        <v>0</v>
      </c>
      <c r="AM150" s="16">
        <f t="shared" si="235"/>
        <v>0</v>
      </c>
      <c r="AN150" s="16">
        <f t="shared" si="235"/>
        <v>0</v>
      </c>
      <c r="AO150" s="16">
        <f t="shared" si="235"/>
        <v>0</v>
      </c>
      <c r="AP150" s="10"/>
      <c r="AQ150" s="10"/>
      <c r="AR150" s="10"/>
      <c r="AS150" s="10" t="str">
        <f t="shared" ca="1" si="244"/>
        <v>Spark Capital</v>
      </c>
      <c r="AT150" s="10" t="str">
        <f ca="1">IFERROR(__xludf.DUMMYFUNCTION("""COMPUTED_VALUE""")," Techstars Ventures")</f>
        <v xml:space="preserve"> Techstars Ventures</v>
      </c>
      <c r="AU150" s="10"/>
      <c r="AV150" s="10"/>
      <c r="AW150" s="10"/>
      <c r="AX150" s="10"/>
      <c r="AY150" s="10"/>
      <c r="AZ150" s="10"/>
      <c r="BA150" s="10"/>
      <c r="BB150" s="10"/>
      <c r="BC150" s="10"/>
      <c r="BD150" s="10"/>
      <c r="BE150" s="10"/>
      <c r="BF150" s="10"/>
      <c r="BG150" s="10"/>
      <c r="BH150" s="10"/>
      <c r="BI150" s="10"/>
      <c r="BJ150" s="10"/>
      <c r="BK150" s="10"/>
      <c r="BM150" s="10"/>
    </row>
    <row r="151" spans="1:65" ht="12.75">
      <c r="A151" s="18">
        <v>42403</v>
      </c>
      <c r="B151" s="14" t="s">
        <v>393</v>
      </c>
      <c r="C151" s="19">
        <v>40000000</v>
      </c>
      <c r="D151" s="19"/>
      <c r="E151" s="14" t="s">
        <v>69</v>
      </c>
      <c r="F151" s="14" t="s">
        <v>394</v>
      </c>
      <c r="G151" s="21" t="s">
        <v>395</v>
      </c>
      <c r="H151" s="14" t="str">
        <f t="array" ref="H151">IFERROR(INDEX([1]Companies!$G:$G,MATCH(B151,[1]Companies!$A:$A,0)),"")</f>
        <v>South Africa</v>
      </c>
      <c r="I151" s="14" t="str">
        <f t="shared" ref="I151:I204" si="245">IF(LEN(TRIM(H151))-LEN(SUBSTITUTE(TRIM(H151),",","")) &gt; 0,TRIM(RIGHT(H151,LEN(H151)-FIND(",",H151))),H151)</f>
        <v>South Africa</v>
      </c>
      <c r="J151" s="14" t="str">
        <f t="array" ref="J151">IFERROR(INDEX([1]Companies!$Y:$Y,MATCH(B151,[1]Companies!$A:$A,0)),"")</f>
        <v>Flights, Hotels, Car Hire, Package Holidays, Travel Tech, e-commerce, Technology, and Travel</v>
      </c>
      <c r="K151" s="14" t="str">
        <f t="array" ref="K151">IFERROR(INDEX([1]Companies!$X:$X,MATCH(B151,[1]Companies!$A:$A,0)),"")</f>
        <v>Travel &amp; Leisure</v>
      </c>
      <c r="L151" s="14" t="str">
        <f>VLOOKUP(B151,[1]Companies!$A$1:$C$5243,1,FALSE)</f>
        <v>Travelstart</v>
      </c>
      <c r="M151" s="15">
        <f t="shared" ref="M151:M208" si="246">COUNTA(B151:K151)/(COUNTBLANK(B151:K151) + COUNTA(B151:K151))</f>
        <v>0.9</v>
      </c>
      <c r="N151" s="10" t="str">
        <f t="shared" ref="N151:N204" si="247">CONCATENATE(A151,B151,C151)</f>
        <v>42403TravelStart40000000</v>
      </c>
      <c r="O151" s="14" t="str">
        <f t="shared" ref="O151:O204" si="248">IF(A151 = "","",IF(COUNTIF(N:N,CONCATENATE(A151,B151,C151))&gt;1,"Duplicated",""))</f>
        <v/>
      </c>
      <c r="P151" s="14">
        <f t="shared" ref="P151:P204" si="249">IF(C151="Undisclosed",0,1)</f>
        <v>1</v>
      </c>
      <c r="Q151" s="14">
        <f t="array" ref="Q151">IFERROR(INDEX([1]Companies!$D:$D,MATCH(B151,[1]Companies!$A:$A,0)),"")</f>
        <v>1999</v>
      </c>
      <c r="R151" s="17">
        <f t="shared" ref="R151:R204" si="250">SUMIF(B:B,B151,C:C)</f>
        <v>40000000</v>
      </c>
      <c r="S151" s="14">
        <f>VLOOKUP(I151,[1]Lookups!$V$3:$Y$197,4,FALSE)</f>
        <v>0</v>
      </c>
      <c r="T151" s="14" t="str">
        <f>VLOOKUP(E151,[1]Lookups!$H$3:$I$71,2,FALSE)</f>
        <v>3. Early Venture</v>
      </c>
      <c r="U151" s="14" t="str">
        <f>VLOOKUP(K151,[1]Lookups!$B$3:$C$142,2,FALSE)</f>
        <v>Travel &amp; Leisure</v>
      </c>
      <c r="V151" s="14">
        <f t="shared" si="1"/>
        <v>2016</v>
      </c>
      <c r="W151" s="14">
        <f t="shared" si="2"/>
        <v>2</v>
      </c>
      <c r="X151" s="14">
        <f>VLOOKUP(W151,[1]Lookups!$P$3:$S$15,2,FALSE)</f>
        <v>1</v>
      </c>
      <c r="Y151" s="16">
        <f>VLOOKUP(W151,[1]Lookups!$P$3:$U$15,3,FALSE)</f>
        <v>1</v>
      </c>
      <c r="Z151" s="16">
        <f t="shared" si="3"/>
        <v>2</v>
      </c>
      <c r="AA151" s="16" t="str">
        <f t="shared" ca="1" si="235"/>
        <v>Spark Capital</v>
      </c>
      <c r="AB151" s="16" t="str">
        <f t="shared" ca="1" si="235"/>
        <v xml:space="preserve"> MTN Group</v>
      </c>
      <c r="AC151" s="16">
        <f t="shared" si="235"/>
        <v>0</v>
      </c>
      <c r="AD151" s="16">
        <f t="shared" si="235"/>
        <v>0</v>
      </c>
      <c r="AE151" s="16">
        <f t="shared" si="235"/>
        <v>0</v>
      </c>
      <c r="AF151" s="16">
        <f t="shared" si="235"/>
        <v>0</v>
      </c>
      <c r="AG151" s="16">
        <f t="shared" si="235"/>
        <v>0</v>
      </c>
      <c r="AH151" s="16">
        <f t="shared" si="235"/>
        <v>0</v>
      </c>
      <c r="AI151" s="16">
        <f t="shared" si="235"/>
        <v>0</v>
      </c>
      <c r="AJ151" s="16">
        <f t="shared" si="235"/>
        <v>0</v>
      </c>
      <c r="AK151" s="16">
        <f t="shared" si="235"/>
        <v>0</v>
      </c>
      <c r="AL151" s="16">
        <f t="shared" si="235"/>
        <v>0</v>
      </c>
      <c r="AM151" s="16">
        <f t="shared" si="235"/>
        <v>0</v>
      </c>
      <c r="AN151" s="16">
        <f t="shared" si="235"/>
        <v>0</v>
      </c>
      <c r="AO151" s="16">
        <f t="shared" si="235"/>
        <v>0</v>
      </c>
      <c r="AP151" s="10"/>
      <c r="AQ151" s="10"/>
      <c r="AR151" s="10"/>
      <c r="AS151" s="10" t="str">
        <f t="shared" ref="AS151" ca="1" si="251">IFERROR(__xludf.DUMMYFUNCTION("split(F109,"","",true,true)"),"Spark Capital")</f>
        <v>Spark Capital</v>
      </c>
      <c r="AT151" s="10" t="str">
        <f ca="1">IFERROR(__xludf.DUMMYFUNCTION("""COMPUTED_VALUE""")," MTN Group")</f>
        <v xml:space="preserve"> MTN Group</v>
      </c>
      <c r="AU151" s="10"/>
      <c r="AV151" s="10"/>
      <c r="AW151" s="10"/>
      <c r="AX151" s="10"/>
      <c r="AY151" s="10"/>
      <c r="AZ151" s="10"/>
      <c r="BA151" s="10"/>
      <c r="BB151" s="10"/>
      <c r="BC151" s="10"/>
      <c r="BD151" s="10"/>
      <c r="BE151" s="10"/>
      <c r="BF151" s="10"/>
      <c r="BG151" s="10"/>
      <c r="BH151" s="10"/>
      <c r="BI151" s="10"/>
      <c r="BJ151" s="10"/>
      <c r="BK151" s="10"/>
      <c r="BM151" s="10"/>
    </row>
    <row r="152" spans="1:65" ht="12.75">
      <c r="A152" s="18">
        <v>42424</v>
      </c>
      <c r="B152" s="14" t="s">
        <v>396</v>
      </c>
      <c r="C152" s="19">
        <v>2000000</v>
      </c>
      <c r="D152" s="19"/>
      <c r="E152" s="14" t="s">
        <v>45</v>
      </c>
      <c r="F152" s="20" t="s">
        <v>397</v>
      </c>
      <c r="G152" s="21" t="s">
        <v>398</v>
      </c>
      <c r="H152" s="14" t="str">
        <f t="array" ref="H152">IFERROR(INDEX([1]Companies!$G:$G,MATCH(B152,[1]Companies!$A:$A,0)),"")</f>
        <v>South Africa</v>
      </c>
      <c r="I152" s="14" t="str">
        <f t="shared" si="245"/>
        <v>South Africa</v>
      </c>
      <c r="J152" s="14" t="str">
        <f t="array" ref="J152">IFERROR(INDEX([1]Companies!$Y:$Y,MATCH(B152,[1]Companies!$A:$A,0)),"")</f>
        <v>FinTech, Information Technology, Insurance, InsurTech, Travel</v>
      </c>
      <c r="K152" s="14" t="str">
        <f t="array" ref="K152">IFERROR(INDEX([1]Companies!$X:$X,MATCH(B152,[1]Companies!$A:$A,0)),"")</f>
        <v>Financial Services</v>
      </c>
      <c r="L152" s="14" t="str">
        <f>VLOOKUP(B152,[1]Companies!$A$1:$C$5243,1,FALSE)</f>
        <v>Hepstar</v>
      </c>
      <c r="M152" s="15">
        <f t="shared" si="246"/>
        <v>0.9</v>
      </c>
      <c r="N152" s="10" t="str">
        <f t="shared" si="247"/>
        <v>42424Hepstar2000000</v>
      </c>
      <c r="O152" s="14" t="str">
        <f t="shared" si="248"/>
        <v/>
      </c>
      <c r="P152" s="14">
        <f t="shared" si="249"/>
        <v>1</v>
      </c>
      <c r="Q152" s="14">
        <f t="array" ref="Q152">IFERROR(INDEX([1]Companies!$D:$D,MATCH(B152,[1]Companies!$A:$A,0)),"")</f>
        <v>2013</v>
      </c>
      <c r="R152" s="17">
        <f t="shared" si="250"/>
        <v>2000000</v>
      </c>
      <c r="S152" s="14">
        <f>VLOOKUP(I152,[1]Lookups!$V$3:$Y$197,4,FALSE)</f>
        <v>0</v>
      </c>
      <c r="T152" s="14" t="str">
        <f>VLOOKUP(E152,[1]Lookups!$H$3:$I$71,2,FALSE)</f>
        <v>2. Seed</v>
      </c>
      <c r="U152" s="14" t="str">
        <f>VLOOKUP(K152,[1]Lookups!$B$3:$C$142,2,FALSE)</f>
        <v>Financial Services</v>
      </c>
      <c r="V152" s="14">
        <f t="shared" si="1"/>
        <v>2016</v>
      </c>
      <c r="W152" s="14">
        <f t="shared" si="2"/>
        <v>2</v>
      </c>
      <c r="X152" s="14">
        <f>VLOOKUP(W152,[1]Lookups!$P$3:$S$15,2,FALSE)</f>
        <v>1</v>
      </c>
      <c r="Y152" s="16">
        <f>VLOOKUP(W152,[1]Lookups!$P$3:$U$15,3,FALSE)</f>
        <v>1</v>
      </c>
      <c r="Z152" s="16">
        <f t="shared" si="3"/>
        <v>1</v>
      </c>
      <c r="AA152" s="16" t="str">
        <f t="shared" ca="1" si="235"/>
        <v>Spark Capital</v>
      </c>
      <c r="AB152" s="16">
        <f t="shared" si="235"/>
        <v>0</v>
      </c>
      <c r="AC152" s="16">
        <f t="shared" si="235"/>
        <v>0</v>
      </c>
      <c r="AD152" s="16">
        <f t="shared" si="235"/>
        <v>0</v>
      </c>
      <c r="AE152" s="16">
        <f t="shared" si="235"/>
        <v>0</v>
      </c>
      <c r="AF152" s="16">
        <f t="shared" si="235"/>
        <v>0</v>
      </c>
      <c r="AG152" s="16">
        <f t="shared" si="235"/>
        <v>0</v>
      </c>
      <c r="AH152" s="16">
        <f t="shared" si="235"/>
        <v>0</v>
      </c>
      <c r="AI152" s="16">
        <f t="shared" si="235"/>
        <v>0</v>
      </c>
      <c r="AJ152" s="16">
        <f t="shared" si="235"/>
        <v>0</v>
      </c>
      <c r="AK152" s="16">
        <f t="shared" si="235"/>
        <v>0</v>
      </c>
      <c r="AL152" s="16">
        <f t="shared" si="235"/>
        <v>0</v>
      </c>
      <c r="AM152" s="16">
        <f t="shared" si="235"/>
        <v>0</v>
      </c>
      <c r="AN152" s="16">
        <f t="shared" si="235"/>
        <v>0</v>
      </c>
      <c r="AO152" s="16">
        <f t="shared" si="235"/>
        <v>0</v>
      </c>
      <c r="AP152" s="10"/>
      <c r="AQ152" s="10"/>
      <c r="AR152" s="10"/>
      <c r="AS152" s="10" t="str">
        <f t="shared" ref="AS152" ca="1" si="252">IFERROR(__xludf.DUMMYFUNCTION("split(F109,"","",true,true)"),"Spark Capital")</f>
        <v>Spark Capital</v>
      </c>
      <c r="AT152" s="10"/>
      <c r="AU152" s="10"/>
      <c r="AV152" s="10"/>
      <c r="AW152" s="10"/>
      <c r="AX152" s="10"/>
      <c r="AY152" s="10"/>
      <c r="AZ152" s="10"/>
      <c r="BA152" s="10"/>
      <c r="BB152" s="10"/>
      <c r="BC152" s="10"/>
      <c r="BD152" s="10"/>
      <c r="BE152" s="10"/>
      <c r="BF152" s="10"/>
      <c r="BG152" s="10"/>
      <c r="BH152" s="10"/>
      <c r="BI152" s="10"/>
      <c r="BJ152" s="10"/>
      <c r="BK152" s="10"/>
      <c r="BM152" s="10"/>
    </row>
    <row r="153" spans="1:65" ht="12.75">
      <c r="A153" s="9">
        <v>42424</v>
      </c>
      <c r="B153" s="10" t="s">
        <v>399</v>
      </c>
      <c r="C153" s="11">
        <v>1000000</v>
      </c>
      <c r="D153" s="12"/>
      <c r="E153" s="10" t="s">
        <v>287</v>
      </c>
      <c r="F153" s="10" t="s">
        <v>400</v>
      </c>
      <c r="G153" s="13" t="s">
        <v>401</v>
      </c>
      <c r="H153" s="14" t="str">
        <f t="array" ref="H153">IFERROR(INDEX([1]Companies!$G:$G,MATCH(B153,[1]Companies!$A:$A,0)),"")</f>
        <v>Kenya</v>
      </c>
      <c r="I153" s="14" t="str">
        <f t="shared" si="245"/>
        <v>Kenya</v>
      </c>
      <c r="J153" s="14" t="str">
        <f t="array" ref="J153">IFERROR(INDEX([1]Companies!$Y:$Y,MATCH(B153,[1]Companies!$A:$A,0)),"")</f>
        <v>mCommerce, Distribution, and Agriculture</v>
      </c>
      <c r="K153" s="14" t="str">
        <f t="array" ref="K153">IFERROR(INDEX([1]Companies!$X:$X,MATCH(B153,[1]Companies!$A:$A,0)),"")</f>
        <v>E-Commerce &amp; Retail</v>
      </c>
      <c r="L153" s="14" t="str">
        <f>VLOOKUP(B153,[1]Companies!$A$1:$C$5243,1,FALSE)</f>
        <v>Twiga Foods</v>
      </c>
      <c r="M153" s="15">
        <f t="shared" si="246"/>
        <v>0.9</v>
      </c>
      <c r="N153" s="10" t="str">
        <f t="shared" si="247"/>
        <v>42424Twiga Foods1000000</v>
      </c>
      <c r="O153" s="14" t="str">
        <f t="shared" si="248"/>
        <v/>
      </c>
      <c r="P153" s="14">
        <f t="shared" si="249"/>
        <v>1</v>
      </c>
      <c r="Q153" s="14">
        <f t="array" ref="Q153">IFERROR(INDEX([1]Companies!$D:$D,MATCH(B153,[1]Companies!$A:$A,0)),"")</f>
        <v>2013</v>
      </c>
      <c r="R153" s="17">
        <f t="shared" si="250"/>
        <v>40350000</v>
      </c>
      <c r="S153" s="14">
        <f>VLOOKUP(I153,[1]Lookups!$V$3:$Y$197,4,FALSE)</f>
        <v>0</v>
      </c>
      <c r="T153" s="14" t="str">
        <f>VLOOKUP(E153,[1]Lookups!$H$3:$I$71,2,FALSE)</f>
        <v>5. Debt Financing</v>
      </c>
      <c r="U153" s="14" t="str">
        <f>VLOOKUP(K153,[1]Lookups!$B$3:$C$142,2,FALSE)</f>
        <v>E-commerce &amp; Retail</v>
      </c>
      <c r="V153" s="14">
        <f t="shared" si="1"/>
        <v>2016</v>
      </c>
      <c r="W153" s="14">
        <f t="shared" si="2"/>
        <v>2</v>
      </c>
      <c r="X153" s="14">
        <f>VLOOKUP(W153,[1]Lookups!$P$3:$S$15,2,FALSE)</f>
        <v>1</v>
      </c>
      <c r="Y153" s="16">
        <f>VLOOKUP(W153,[1]Lookups!$P$3:$U$15,3,FALSE)</f>
        <v>1</v>
      </c>
      <c r="Z153" s="16">
        <f t="shared" si="3"/>
        <v>1</v>
      </c>
      <c r="AA153" s="16" t="str">
        <f t="shared" ca="1" si="235"/>
        <v>Spark Capital</v>
      </c>
      <c r="AB153" s="16">
        <f t="shared" si="235"/>
        <v>0</v>
      </c>
      <c r="AC153" s="16">
        <f t="shared" si="235"/>
        <v>0</v>
      </c>
      <c r="AD153" s="16">
        <f t="shared" si="235"/>
        <v>0</v>
      </c>
      <c r="AE153" s="16">
        <f t="shared" si="235"/>
        <v>0</v>
      </c>
      <c r="AF153" s="16">
        <f t="shared" si="235"/>
        <v>0</v>
      </c>
      <c r="AG153" s="16">
        <f t="shared" si="235"/>
        <v>0</v>
      </c>
      <c r="AH153" s="16">
        <f t="shared" si="235"/>
        <v>0</v>
      </c>
      <c r="AI153" s="16">
        <f t="shared" si="235"/>
        <v>0</v>
      </c>
      <c r="AJ153" s="16">
        <f t="shared" si="235"/>
        <v>0</v>
      </c>
      <c r="AK153" s="16">
        <f t="shared" si="235"/>
        <v>0</v>
      </c>
      <c r="AL153" s="16">
        <f t="shared" si="235"/>
        <v>0</v>
      </c>
      <c r="AM153" s="16">
        <f t="shared" si="235"/>
        <v>0</v>
      </c>
      <c r="AN153" s="16">
        <f t="shared" si="235"/>
        <v>0</v>
      </c>
      <c r="AO153" s="16">
        <f t="shared" si="235"/>
        <v>0</v>
      </c>
      <c r="AP153" s="10"/>
      <c r="AQ153" s="10"/>
      <c r="AR153" s="10"/>
      <c r="AS153" s="10" t="str">
        <f t="shared" ref="AS153" ca="1" si="253">IFERROR(__xludf.DUMMYFUNCTION("split(F109,"","",true,true)"),"Spark Capital")</f>
        <v>Spark Capital</v>
      </c>
      <c r="AT153" s="10"/>
      <c r="AU153" s="10"/>
      <c r="AV153" s="10"/>
      <c r="AW153" s="10"/>
      <c r="AX153" s="10"/>
      <c r="AY153" s="10"/>
      <c r="AZ153" s="10"/>
      <c r="BA153" s="10"/>
      <c r="BB153" s="10"/>
      <c r="BC153" s="10"/>
      <c r="BD153" s="10"/>
      <c r="BE153" s="10"/>
      <c r="BF153" s="10"/>
      <c r="BG153" s="10"/>
      <c r="BH153" s="10"/>
      <c r="BI153" s="10"/>
      <c r="BJ153" s="10"/>
      <c r="BK153" s="10"/>
      <c r="BM153" s="10"/>
    </row>
    <row r="154" spans="1:65" ht="12.75">
      <c r="A154" s="9">
        <v>42429</v>
      </c>
      <c r="B154" s="10" t="s">
        <v>204</v>
      </c>
      <c r="C154" s="11">
        <v>1500000</v>
      </c>
      <c r="D154" s="12"/>
      <c r="E154" s="10" t="s">
        <v>328</v>
      </c>
      <c r="F154" s="10" t="s">
        <v>402</v>
      </c>
      <c r="G154" s="13" t="s">
        <v>403</v>
      </c>
      <c r="H154" s="14" t="str">
        <f t="array" ref="H154">IFERROR(INDEX([1]Companies!$G:$G,MATCH(B154,[1]Companies!$A:$A,0)),"")</f>
        <v>Kenya</v>
      </c>
      <c r="I154" s="14" t="str">
        <f t="shared" si="245"/>
        <v>Kenya</v>
      </c>
      <c r="J154" s="14" t="str">
        <f t="array" ref="J154">IFERROR(INDEX([1]Companies!$Y:$Y,MATCH(B154,[1]Companies!$A:$A,0)),"")</f>
        <v>Blockchain, Cryptocurrencies, Exchange, Fintech</v>
      </c>
      <c r="K154" s="14" t="str">
        <f t="array" ref="K154">IFERROR(INDEX([1]Companies!$X:$X,MATCH(B154,[1]Companies!$A:$A,0)),"")</f>
        <v>Financial Services</v>
      </c>
      <c r="L154" s="14" t="str">
        <f>VLOOKUP(B154,[1]Companies!$A$1:$C$5243,1,FALSE)</f>
        <v>Bitpesa</v>
      </c>
      <c r="M154" s="15">
        <f t="shared" si="246"/>
        <v>0.9</v>
      </c>
      <c r="N154" s="10" t="str">
        <f t="shared" si="247"/>
        <v>42429BitPesa1500000</v>
      </c>
      <c r="O154" s="14" t="str">
        <f t="shared" si="248"/>
        <v/>
      </c>
      <c r="P154" s="14">
        <f t="shared" si="249"/>
        <v>1</v>
      </c>
      <c r="Q154" s="14">
        <f t="array" ref="Q154">IFERROR(INDEX([1]Companies!$D:$D,MATCH(B154,[1]Companies!$A:$A,0)),"")</f>
        <v>2013</v>
      </c>
      <c r="R154" s="17">
        <f t="shared" si="250"/>
        <v>14970000</v>
      </c>
      <c r="S154" s="14">
        <f>VLOOKUP(I154,[1]Lookups!$V$3:$Y$197,4,FALSE)</f>
        <v>0</v>
      </c>
      <c r="T154" s="14" t="str">
        <f>VLOOKUP(E154,[1]Lookups!$H$3:$I$71,2,FALSE)</f>
        <v>4. Late Venture</v>
      </c>
      <c r="U154" s="14" t="str">
        <f>VLOOKUP(K154,[1]Lookups!$B$3:$C$142,2,FALSE)</f>
        <v>Financial Services</v>
      </c>
      <c r="V154" s="14">
        <f t="shared" si="1"/>
        <v>2016</v>
      </c>
      <c r="W154" s="14">
        <f t="shared" si="2"/>
        <v>2</v>
      </c>
      <c r="X154" s="14">
        <f>VLOOKUP(W154,[1]Lookups!$P$3:$S$15,2,FALSE)</f>
        <v>1</v>
      </c>
      <c r="Y154" s="16">
        <f>VLOOKUP(W154,[1]Lookups!$P$3:$U$15,3,FALSE)</f>
        <v>1</v>
      </c>
      <c r="Z154" s="16">
        <f t="shared" si="3"/>
        <v>1</v>
      </c>
      <c r="AA154" s="16" t="str">
        <f t="shared" ca="1" si="235"/>
        <v>Spark Capital</v>
      </c>
      <c r="AB154" s="16">
        <f t="shared" si="235"/>
        <v>0</v>
      </c>
      <c r="AC154" s="16">
        <f t="shared" si="235"/>
        <v>0</v>
      </c>
      <c r="AD154" s="16">
        <f t="shared" si="235"/>
        <v>0</v>
      </c>
      <c r="AE154" s="16">
        <f t="shared" si="235"/>
        <v>0</v>
      </c>
      <c r="AF154" s="16">
        <f t="shared" si="235"/>
        <v>0</v>
      </c>
      <c r="AG154" s="16">
        <f t="shared" si="235"/>
        <v>0</v>
      </c>
      <c r="AH154" s="16">
        <f t="shared" si="235"/>
        <v>0</v>
      </c>
      <c r="AI154" s="16">
        <f t="shared" si="235"/>
        <v>0</v>
      </c>
      <c r="AJ154" s="16">
        <f t="shared" si="235"/>
        <v>0</v>
      </c>
      <c r="AK154" s="16">
        <f t="shared" si="235"/>
        <v>0</v>
      </c>
      <c r="AL154" s="16">
        <f t="shared" si="235"/>
        <v>0</v>
      </c>
      <c r="AM154" s="16">
        <f t="shared" si="235"/>
        <v>0</v>
      </c>
      <c r="AN154" s="16">
        <f t="shared" si="235"/>
        <v>0</v>
      </c>
      <c r="AO154" s="16">
        <f t="shared" si="235"/>
        <v>0</v>
      </c>
      <c r="AP154" s="10"/>
      <c r="AQ154" s="10"/>
      <c r="AR154" s="10"/>
      <c r="AS154" s="10" t="str">
        <f t="shared" ref="AS154" ca="1" si="254">IFERROR(__xludf.DUMMYFUNCTION("split(F109,"","",true,true)"),"Spark Capital")</f>
        <v>Spark Capital</v>
      </c>
      <c r="AT154" s="10"/>
      <c r="AU154" s="10"/>
      <c r="AV154" s="10"/>
      <c r="AW154" s="10"/>
      <c r="AX154" s="10"/>
      <c r="AY154" s="10"/>
      <c r="AZ154" s="10"/>
      <c r="BA154" s="10"/>
      <c r="BB154" s="10"/>
      <c r="BC154" s="10"/>
      <c r="BD154" s="10"/>
      <c r="BE154" s="10"/>
      <c r="BF154" s="10"/>
      <c r="BG154" s="10"/>
      <c r="BH154" s="10"/>
      <c r="BI154" s="10"/>
      <c r="BJ154" s="10"/>
      <c r="BK154" s="10"/>
      <c r="BM154" s="10"/>
    </row>
    <row r="155" spans="1:65" ht="12.75">
      <c r="A155" s="9">
        <v>42430</v>
      </c>
      <c r="B155" s="10" t="s">
        <v>145</v>
      </c>
      <c r="C155" s="11">
        <v>450000</v>
      </c>
      <c r="D155" s="12"/>
      <c r="E155" s="10" t="s">
        <v>45</v>
      </c>
      <c r="F155" s="10" t="s">
        <v>404</v>
      </c>
      <c r="G155" s="13" t="s">
        <v>147</v>
      </c>
      <c r="H155" s="14" t="str">
        <f t="array" ref="H155">IFERROR(INDEX([1]Companies!$G:$G,MATCH(B155,[1]Companies!$A:$A,0)),"")</f>
        <v>Egypt</v>
      </c>
      <c r="I155" s="14" t="str">
        <f t="shared" si="245"/>
        <v>Egypt</v>
      </c>
      <c r="J155" s="14" t="str">
        <f t="array" ref="J155">IFERROR(INDEX([1]Companies!$Y:$Y,MATCH(B155,[1]Companies!$A:$A,0)),"")</f>
        <v>Event Management, Event Apps, Conferences</v>
      </c>
      <c r="K155" s="14" t="str">
        <f t="array" ref="K155">IFERROR(INDEX([1]Companies!$X:$X,MATCH(B155,[1]Companies!$A:$A,0)),"")</f>
        <v>Commercial &amp; Professional Services</v>
      </c>
      <c r="L155" s="14" t="str">
        <f>VLOOKUP(B155,[1]Companies!$A$1:$C$5243,1,FALSE)</f>
        <v>Eventtus</v>
      </c>
      <c r="M155" s="15">
        <f t="shared" si="246"/>
        <v>0.9</v>
      </c>
      <c r="N155" s="10" t="str">
        <f t="shared" si="247"/>
        <v>42430Eventtus450000</v>
      </c>
      <c r="O155" s="14" t="str">
        <f t="shared" si="248"/>
        <v/>
      </c>
      <c r="P155" s="14">
        <f t="shared" si="249"/>
        <v>1</v>
      </c>
      <c r="Q155" s="14">
        <f t="array" ref="Q155">IFERROR(INDEX([1]Companies!$D:$D,MATCH(B155,[1]Companies!$A:$A,0)),"")</f>
        <v>2012</v>
      </c>
      <c r="R155" s="17">
        <f t="shared" si="250"/>
        <v>2625000</v>
      </c>
      <c r="S155" s="14">
        <f>VLOOKUP(I155,[1]Lookups!$V$3:$Y$197,4,FALSE)</f>
        <v>0</v>
      </c>
      <c r="T155" s="14" t="str">
        <f>VLOOKUP(E155,[1]Lookups!$H$3:$I$71,2,FALSE)</f>
        <v>2. Seed</v>
      </c>
      <c r="U155" s="14" t="str">
        <f>VLOOKUP(K155,[1]Lookups!$B$3:$C$142,2,FALSE)</f>
        <v>Other Technologies &amp; Information Technology</v>
      </c>
      <c r="V155" s="14">
        <f t="shared" si="1"/>
        <v>2016</v>
      </c>
      <c r="W155" s="14">
        <f t="shared" si="2"/>
        <v>3</v>
      </c>
      <c r="X155" s="14">
        <f>VLOOKUP(W155,[1]Lookups!$P$3:$S$15,2,FALSE)</f>
        <v>1</v>
      </c>
      <c r="Y155" s="16">
        <f>VLOOKUP(W155,[1]Lookups!$P$3:$U$15,3,FALSE)</f>
        <v>1</v>
      </c>
      <c r="Z155" s="16">
        <f t="shared" si="3"/>
        <v>3</v>
      </c>
      <c r="AA155" s="16" t="str">
        <f t="shared" ca="1" si="235"/>
        <v>Spark Capital</v>
      </c>
      <c r="AB155" s="16" t="str">
        <f t="shared" ca="1" si="235"/>
        <v xml:space="preserve"> vodafone Ventures</v>
      </c>
      <c r="AC155" s="16" t="str">
        <f t="shared" ca="1" si="235"/>
        <v xml:space="preserve"> Raed VC</v>
      </c>
      <c r="AD155" s="16">
        <f t="shared" si="235"/>
        <v>0</v>
      </c>
      <c r="AE155" s="16">
        <f t="shared" si="235"/>
        <v>0</v>
      </c>
      <c r="AF155" s="16">
        <f t="shared" si="235"/>
        <v>0</v>
      </c>
      <c r="AG155" s="16">
        <f t="shared" si="235"/>
        <v>0</v>
      </c>
      <c r="AH155" s="16">
        <f t="shared" si="235"/>
        <v>0</v>
      </c>
      <c r="AI155" s="16">
        <f t="shared" si="235"/>
        <v>0</v>
      </c>
      <c r="AJ155" s="16">
        <f t="shared" si="235"/>
        <v>0</v>
      </c>
      <c r="AK155" s="16">
        <f t="shared" si="235"/>
        <v>0</v>
      </c>
      <c r="AL155" s="16">
        <f t="shared" si="235"/>
        <v>0</v>
      </c>
      <c r="AM155" s="16">
        <f t="shared" si="235"/>
        <v>0</v>
      </c>
      <c r="AN155" s="16">
        <f t="shared" si="235"/>
        <v>0</v>
      </c>
      <c r="AO155" s="16">
        <f t="shared" si="235"/>
        <v>0</v>
      </c>
      <c r="AP155" s="10"/>
      <c r="AQ155" s="10"/>
      <c r="AR155" s="10"/>
      <c r="AS155" s="10" t="str">
        <f t="shared" ref="AS155" ca="1" si="255">IFERROR(__xludf.DUMMYFUNCTION("split(F109,"","",true,true)"),"Spark Capital")</f>
        <v>Spark Capital</v>
      </c>
      <c r="AT155" s="10" t="str">
        <f ca="1">IFERROR(__xludf.DUMMYFUNCTION("""COMPUTED_VALUE""")," vodafone Ventures")</f>
        <v xml:space="preserve"> vodafone Ventures</v>
      </c>
      <c r="AU155" s="10" t="str">
        <f ca="1">IFERROR(__xludf.DUMMYFUNCTION("""COMPUTED_VALUE""")," Raed VC")</f>
        <v xml:space="preserve"> Raed VC</v>
      </c>
      <c r="AV155" s="10"/>
      <c r="AW155" s="10"/>
      <c r="AX155" s="10"/>
      <c r="AY155" s="10"/>
      <c r="AZ155" s="10"/>
      <c r="BA155" s="10"/>
      <c r="BB155" s="10"/>
      <c r="BC155" s="10"/>
      <c r="BD155" s="10"/>
      <c r="BE155" s="10"/>
      <c r="BF155" s="10"/>
      <c r="BG155" s="10"/>
      <c r="BH155" s="10"/>
      <c r="BI155" s="10"/>
      <c r="BJ155" s="10"/>
      <c r="BK155" s="10"/>
      <c r="BM155" s="10"/>
    </row>
    <row r="156" spans="1:65" ht="12.75">
      <c r="A156" s="18">
        <v>42432</v>
      </c>
      <c r="B156" s="14" t="s">
        <v>78</v>
      </c>
      <c r="C156" s="19">
        <v>400000000</v>
      </c>
      <c r="D156" s="19"/>
      <c r="E156" s="14" t="s">
        <v>84</v>
      </c>
      <c r="F156" s="14" t="s">
        <v>405</v>
      </c>
      <c r="G156" s="21" t="s">
        <v>406</v>
      </c>
      <c r="H156" s="14" t="str">
        <f t="array" ref="H156">IFERROR(INDEX([1]Companies!$G:$G,MATCH(B156,[1]Companies!$A:$A,0)),"")</f>
        <v>Nigeria</v>
      </c>
      <c r="I156" s="14" t="str">
        <f t="shared" si="245"/>
        <v>Nigeria</v>
      </c>
      <c r="J156" s="14" t="str">
        <f t="array" ref="J156">IFERROR(INDEX([1]Companies!$Y:$Y,MATCH(B156,[1]Companies!$A:$A,0)),"")</f>
        <v>E-Commerce, Internet, Shopping Online</v>
      </c>
      <c r="K156" s="14" t="str">
        <f t="array" ref="K156">IFERROR(INDEX([1]Companies!$X:$X,MATCH(B156,[1]Companies!$A:$A,0)),"")</f>
        <v>E-Commerce &amp; Retail</v>
      </c>
      <c r="L156" s="14" t="str">
        <f>VLOOKUP(B156,[1]Companies!$A$1:$C$5243,1,FALSE)</f>
        <v>Jumia Group</v>
      </c>
      <c r="M156" s="15">
        <f t="shared" si="246"/>
        <v>0.9</v>
      </c>
      <c r="N156" s="10" t="str">
        <f t="shared" si="247"/>
        <v>42432Jumia Group400000000</v>
      </c>
      <c r="O156" s="14" t="str">
        <f t="shared" si="248"/>
        <v/>
      </c>
      <c r="P156" s="14">
        <f t="shared" si="249"/>
        <v>1</v>
      </c>
      <c r="Q156" s="14">
        <f t="array" ref="Q156">IFERROR(INDEX([1]Companies!$D:$D,MATCH(B156,[1]Companies!$A:$A,0)),"")</f>
        <v>2012</v>
      </c>
      <c r="R156" s="17">
        <f t="shared" si="250"/>
        <v>885400000</v>
      </c>
      <c r="S156" s="14">
        <f>VLOOKUP(I156,[1]Lookups!$V$3:$Y$197,4,FALSE)</f>
        <v>0</v>
      </c>
      <c r="T156" s="14" t="str">
        <f>VLOOKUP(E156,[1]Lookups!$H$3:$I$71,2,FALSE)</f>
        <v>4. Late Venture</v>
      </c>
      <c r="U156" s="14" t="str">
        <f>VLOOKUP(K156,[1]Lookups!$B$3:$C$142,2,FALSE)</f>
        <v>E-commerce &amp; Retail</v>
      </c>
      <c r="V156" s="14">
        <f t="shared" si="1"/>
        <v>2016</v>
      </c>
      <c r="W156" s="14">
        <f t="shared" si="2"/>
        <v>3</v>
      </c>
      <c r="X156" s="14">
        <f>VLOOKUP(W156,[1]Lookups!$P$3:$S$15,2,FALSE)</f>
        <v>1</v>
      </c>
      <c r="Y156" s="16">
        <f>VLOOKUP(W156,[1]Lookups!$P$3:$U$15,3,FALSE)</f>
        <v>1</v>
      </c>
      <c r="Z156" s="16">
        <f t="shared" si="3"/>
        <v>6</v>
      </c>
      <c r="AA156" s="16" t="str">
        <f t="shared" ca="1" si="235"/>
        <v>Spark Capital</v>
      </c>
      <c r="AB156" s="16" t="str">
        <f t="shared" ca="1" si="235"/>
        <v xml:space="preserve"> MTN Group</v>
      </c>
      <c r="AC156" s="16" t="str">
        <f t="shared" ca="1" si="235"/>
        <v xml:space="preserve"> Orange</v>
      </c>
      <c r="AD156" s="16" t="str">
        <f t="shared" ca="1" si="235"/>
        <v xml:space="preserve"> Goldman Sachs</v>
      </c>
      <c r="AE156" s="16" t="str">
        <f t="shared" ca="1" si="235"/>
        <v xml:space="preserve"> CDC Group</v>
      </c>
      <c r="AF156" s="16" t="str">
        <f t="shared" ca="1" si="235"/>
        <v xml:space="preserve"> AXA Group</v>
      </c>
      <c r="AG156" s="16">
        <f t="shared" si="235"/>
        <v>0</v>
      </c>
      <c r="AH156" s="16">
        <f t="shared" si="235"/>
        <v>0</v>
      </c>
      <c r="AI156" s="16">
        <f t="shared" si="235"/>
        <v>0</v>
      </c>
      <c r="AJ156" s="16">
        <f t="shared" si="235"/>
        <v>0</v>
      </c>
      <c r="AK156" s="16">
        <f t="shared" si="235"/>
        <v>0</v>
      </c>
      <c r="AL156" s="16">
        <f t="shared" si="235"/>
        <v>0</v>
      </c>
      <c r="AM156" s="16">
        <f t="shared" si="235"/>
        <v>0</v>
      </c>
      <c r="AN156" s="16">
        <f t="shared" si="235"/>
        <v>0</v>
      </c>
      <c r="AO156" s="16">
        <f t="shared" si="235"/>
        <v>0</v>
      </c>
      <c r="AP156" s="10"/>
      <c r="AQ156" s="10"/>
      <c r="AR156" s="10"/>
      <c r="AS156" s="10" t="str">
        <f t="shared" ref="AS156" ca="1" si="256">IFERROR(__xludf.DUMMYFUNCTION("split(F109,"","",true,true)"),"Spark Capital")</f>
        <v>Spark Capital</v>
      </c>
      <c r="AT156" s="10" t="str">
        <f ca="1">IFERROR(__xludf.DUMMYFUNCTION("""COMPUTED_VALUE""")," MTN Group")</f>
        <v xml:space="preserve"> MTN Group</v>
      </c>
      <c r="AU156" s="10" t="str">
        <f ca="1">IFERROR(__xludf.DUMMYFUNCTION("""COMPUTED_VALUE""")," Orange")</f>
        <v xml:space="preserve"> Orange</v>
      </c>
      <c r="AV156" s="10" t="str">
        <f ca="1">IFERROR(__xludf.DUMMYFUNCTION("""COMPUTED_VALUE""")," Goldman Sachs")</f>
        <v xml:space="preserve"> Goldman Sachs</v>
      </c>
      <c r="AW156" s="10" t="str">
        <f ca="1">IFERROR(__xludf.DUMMYFUNCTION("""COMPUTED_VALUE""")," CDC Group")</f>
        <v xml:space="preserve"> CDC Group</v>
      </c>
      <c r="AX156" s="10" t="str">
        <f ca="1">IFERROR(__xludf.DUMMYFUNCTION("""COMPUTED_VALUE""")," AXA Group")</f>
        <v xml:space="preserve"> AXA Group</v>
      </c>
      <c r="AY156" s="10"/>
      <c r="AZ156" s="10"/>
      <c r="BA156" s="10"/>
      <c r="BB156" s="10"/>
      <c r="BC156" s="10"/>
      <c r="BD156" s="10"/>
      <c r="BE156" s="10"/>
      <c r="BF156" s="10"/>
      <c r="BG156" s="10"/>
      <c r="BH156" s="10"/>
      <c r="BI156" s="10"/>
      <c r="BJ156" s="10"/>
      <c r="BK156" s="10"/>
      <c r="BM156" s="10"/>
    </row>
    <row r="157" spans="1:65" ht="12.75">
      <c r="A157" s="18">
        <v>42433</v>
      </c>
      <c r="B157" s="14" t="s">
        <v>407</v>
      </c>
      <c r="C157" s="19">
        <v>500000</v>
      </c>
      <c r="D157" s="19"/>
      <c r="E157" s="14" t="s">
        <v>45</v>
      </c>
      <c r="F157" s="20" t="s">
        <v>408</v>
      </c>
      <c r="G157" s="21" t="s">
        <v>409</v>
      </c>
      <c r="H157" s="14" t="str">
        <f t="array" ref="H157">IFERROR(INDEX([1]Companies!$G:$G,MATCH(B157,[1]Companies!$A:$A,0)),"")</f>
        <v>South Africa</v>
      </c>
      <c r="I157" s="14" t="str">
        <f t="shared" si="245"/>
        <v>South Africa</v>
      </c>
      <c r="J157" s="14" t="str">
        <f t="array" ref="J157">IFERROR(INDEX([1]Companies!$Y:$Y,MATCH(B157,[1]Companies!$A:$A,0)),"")</f>
        <v>Analytics, Recruitment, Artificial Intelligence</v>
      </c>
      <c r="K157" s="14" t="str">
        <f t="array" ref="K157">IFERROR(INDEX([1]Companies!$X:$X,MATCH(B157,[1]Companies!$A:$A,0)),"")</f>
        <v>Recruitment</v>
      </c>
      <c r="L157" s="14" t="str">
        <f>VLOOKUP(B157,[1]Companies!$A$1:$C$5243,1,FALSE)</f>
        <v>Giraffe</v>
      </c>
      <c r="M157" s="15">
        <f t="shared" si="246"/>
        <v>0.9</v>
      </c>
      <c r="N157" s="10" t="str">
        <f t="shared" si="247"/>
        <v>42433Giraffe500000</v>
      </c>
      <c r="O157" s="14" t="str">
        <f t="shared" si="248"/>
        <v/>
      </c>
      <c r="P157" s="14">
        <f t="shared" si="249"/>
        <v>1</v>
      </c>
      <c r="Q157" s="14">
        <f t="array" ref="Q157">IFERROR(INDEX([1]Companies!$D:$D,MATCH(B157,[1]Companies!$A:$A,0)),"")</f>
        <v>2015</v>
      </c>
      <c r="R157" s="17">
        <f t="shared" si="250"/>
        <v>500000</v>
      </c>
      <c r="S157" s="14">
        <f>VLOOKUP(I157,[1]Lookups!$V$3:$Y$197,4,FALSE)</f>
        <v>0</v>
      </c>
      <c r="T157" s="14" t="str">
        <f>VLOOKUP(E157,[1]Lookups!$H$3:$I$71,2,FALSE)</f>
        <v>2. Seed</v>
      </c>
      <c r="U157" s="14" t="str">
        <f>VLOOKUP(K157,[1]Lookups!$B$3:$C$142,2,FALSE)</f>
        <v>Employment, Talent &amp; Labour</v>
      </c>
      <c r="V157" s="14">
        <f t="shared" si="1"/>
        <v>2016</v>
      </c>
      <c r="W157" s="14">
        <f t="shared" si="2"/>
        <v>3</v>
      </c>
      <c r="X157" s="14">
        <f>VLOOKUP(W157,[1]Lookups!$P$3:$S$15,2,FALSE)</f>
        <v>1</v>
      </c>
      <c r="Y157" s="16">
        <f>VLOOKUP(W157,[1]Lookups!$P$3:$U$15,3,FALSE)</f>
        <v>1</v>
      </c>
      <c r="Z157" s="16">
        <f t="shared" si="3"/>
        <v>1</v>
      </c>
      <c r="AA157" s="16" t="str">
        <f t="shared" ref="AA157:AO172" ca="1" si="257">AS157</f>
        <v>Spark Capital</v>
      </c>
      <c r="AB157" s="16">
        <f t="shared" si="257"/>
        <v>0</v>
      </c>
      <c r="AC157" s="16">
        <f t="shared" si="257"/>
        <v>0</v>
      </c>
      <c r="AD157" s="16">
        <f t="shared" si="257"/>
        <v>0</v>
      </c>
      <c r="AE157" s="16">
        <f t="shared" si="257"/>
        <v>0</v>
      </c>
      <c r="AF157" s="16">
        <f t="shared" si="257"/>
        <v>0</v>
      </c>
      <c r="AG157" s="16">
        <f t="shared" si="257"/>
        <v>0</v>
      </c>
      <c r="AH157" s="16">
        <f t="shared" si="257"/>
        <v>0</v>
      </c>
      <c r="AI157" s="16">
        <f t="shared" si="257"/>
        <v>0</v>
      </c>
      <c r="AJ157" s="16">
        <f t="shared" si="257"/>
        <v>0</v>
      </c>
      <c r="AK157" s="16">
        <f t="shared" si="257"/>
        <v>0</v>
      </c>
      <c r="AL157" s="16">
        <f t="shared" si="257"/>
        <v>0</v>
      </c>
      <c r="AM157" s="16">
        <f t="shared" si="257"/>
        <v>0</v>
      </c>
      <c r="AN157" s="16">
        <f t="shared" si="257"/>
        <v>0</v>
      </c>
      <c r="AO157" s="16">
        <f t="shared" si="257"/>
        <v>0</v>
      </c>
      <c r="AP157" s="10"/>
      <c r="AQ157" s="10"/>
      <c r="AR157" s="10"/>
      <c r="AS157" s="10" t="str">
        <f t="shared" ref="AS157" ca="1" si="258">IFERROR(__xludf.DUMMYFUNCTION("split(F109,"","",true,true)"),"Spark Capital")</f>
        <v>Spark Capital</v>
      </c>
      <c r="AT157" s="10"/>
      <c r="AU157" s="10"/>
      <c r="AV157" s="10"/>
      <c r="AW157" s="10"/>
      <c r="AX157" s="10"/>
      <c r="AY157" s="10"/>
      <c r="AZ157" s="10"/>
      <c r="BA157" s="10"/>
      <c r="BB157" s="10"/>
      <c r="BC157" s="10"/>
      <c r="BD157" s="10"/>
      <c r="BE157" s="10"/>
      <c r="BF157" s="10"/>
      <c r="BG157" s="10"/>
      <c r="BH157" s="10"/>
      <c r="BI157" s="10"/>
      <c r="BJ157" s="10"/>
      <c r="BK157" s="10"/>
      <c r="BM157" s="10"/>
    </row>
    <row r="158" spans="1:65" ht="12.75">
      <c r="A158" s="18">
        <v>42438</v>
      </c>
      <c r="B158" s="20" t="s">
        <v>410</v>
      </c>
      <c r="C158" s="19">
        <v>25000</v>
      </c>
      <c r="D158" s="19"/>
      <c r="E158" s="14" t="s">
        <v>45</v>
      </c>
      <c r="F158" s="14" t="s">
        <v>411</v>
      </c>
      <c r="G158" s="21" t="s">
        <v>412</v>
      </c>
      <c r="H158" s="14" t="str">
        <f t="array" ref="H158">IFERROR(INDEX([1]Companies!$G:$G,MATCH(B158,[1]Companies!$A:$A,0)),"")</f>
        <v>Kenya</v>
      </c>
      <c r="I158" s="14" t="str">
        <f t="shared" si="245"/>
        <v>Kenya</v>
      </c>
      <c r="J158" s="14" t="str">
        <f t="array" ref="J158">IFERROR(INDEX([1]Companies!$Y:$Y,MATCH(B158,[1]Companies!$A:$A,0)),"")</f>
        <v>Crowdsourcing, Mobile, SMS</v>
      </c>
      <c r="K158" s="14" t="str">
        <f t="array" ref="K158">IFERROR(INDEX([1]Companies!$X:$X,MATCH(B158,[1]Companies!$A:$A,0)),"")</f>
        <v>Social Network</v>
      </c>
      <c r="L158" s="14" t="str">
        <f>VLOOKUP(B158,[1]Companies!$A$1:$C$5243,1,FALSE)</f>
        <v>Ma3Route</v>
      </c>
      <c r="M158" s="15">
        <f t="shared" si="246"/>
        <v>0.9</v>
      </c>
      <c r="N158" s="10" t="str">
        <f t="shared" si="247"/>
        <v>42438Ma3Route25000</v>
      </c>
      <c r="O158" s="14" t="str">
        <f t="shared" si="248"/>
        <v/>
      </c>
      <c r="P158" s="14">
        <f t="shared" si="249"/>
        <v>1</v>
      </c>
      <c r="Q158" s="14">
        <f t="array" ref="Q158">IFERROR(INDEX([1]Companies!$D:$D,MATCH(B158,[1]Companies!$A:$A,0)),"")</f>
        <v>2012</v>
      </c>
      <c r="R158" s="17">
        <f t="shared" si="250"/>
        <v>25000</v>
      </c>
      <c r="S158" s="14">
        <f>VLOOKUP(I158,[1]Lookups!$V$3:$Y$197,4,FALSE)</f>
        <v>0</v>
      </c>
      <c r="T158" s="14" t="str">
        <f>VLOOKUP(E158,[1]Lookups!$H$3:$I$71,2,FALSE)</f>
        <v>2. Seed</v>
      </c>
      <c r="U158" s="14" t="str">
        <f>VLOOKUP(K158,[1]Lookups!$B$3:$C$142,2,FALSE)</f>
        <v>Media &amp; Entertainment</v>
      </c>
      <c r="V158" s="14">
        <f t="shared" si="1"/>
        <v>2016</v>
      </c>
      <c r="W158" s="14">
        <f t="shared" si="2"/>
        <v>3</v>
      </c>
      <c r="X158" s="14">
        <f>VLOOKUP(W158,[1]Lookups!$P$3:$S$15,2,FALSE)</f>
        <v>1</v>
      </c>
      <c r="Y158" s="16">
        <f>VLOOKUP(W158,[1]Lookups!$P$3:$U$15,3,FALSE)</f>
        <v>1</v>
      </c>
      <c r="Z158" s="16">
        <f t="shared" si="3"/>
        <v>1</v>
      </c>
      <c r="AA158" s="16" t="str">
        <f t="shared" ca="1" si="257"/>
        <v>Spark Capital</v>
      </c>
      <c r="AB158" s="16">
        <f t="shared" si="257"/>
        <v>0</v>
      </c>
      <c r="AC158" s="16">
        <f t="shared" si="257"/>
        <v>0</v>
      </c>
      <c r="AD158" s="16">
        <f t="shared" si="257"/>
        <v>0</v>
      </c>
      <c r="AE158" s="16">
        <f t="shared" si="257"/>
        <v>0</v>
      </c>
      <c r="AF158" s="16">
        <f t="shared" si="257"/>
        <v>0</v>
      </c>
      <c r="AG158" s="16">
        <f t="shared" si="257"/>
        <v>0</v>
      </c>
      <c r="AH158" s="16">
        <f t="shared" si="257"/>
        <v>0</v>
      </c>
      <c r="AI158" s="16">
        <f t="shared" si="257"/>
        <v>0</v>
      </c>
      <c r="AJ158" s="16">
        <f t="shared" si="257"/>
        <v>0</v>
      </c>
      <c r="AK158" s="16">
        <f t="shared" si="257"/>
        <v>0</v>
      </c>
      <c r="AL158" s="16">
        <f t="shared" si="257"/>
        <v>0</v>
      </c>
      <c r="AM158" s="16">
        <f t="shared" si="257"/>
        <v>0</v>
      </c>
      <c r="AN158" s="16">
        <f t="shared" si="257"/>
        <v>0</v>
      </c>
      <c r="AO158" s="16">
        <f t="shared" si="257"/>
        <v>0</v>
      </c>
      <c r="AP158" s="10"/>
      <c r="AQ158" s="10"/>
      <c r="AR158" s="10"/>
      <c r="AS158" s="10" t="str">
        <f t="shared" ref="AS158" ca="1" si="259">IFERROR(__xludf.DUMMYFUNCTION("split(F109,"","",true,true)"),"Spark Capital")</f>
        <v>Spark Capital</v>
      </c>
      <c r="AT158" s="10"/>
      <c r="AU158" s="10"/>
      <c r="AV158" s="10"/>
      <c r="AW158" s="10"/>
      <c r="AX158" s="10"/>
      <c r="AY158" s="10"/>
      <c r="AZ158" s="10"/>
      <c r="BA158" s="10"/>
      <c r="BB158" s="10"/>
      <c r="BC158" s="10"/>
      <c r="BD158" s="10"/>
      <c r="BE158" s="10"/>
      <c r="BF158" s="10"/>
      <c r="BG158" s="10"/>
      <c r="BH158" s="10"/>
      <c r="BI158" s="10"/>
      <c r="BJ158" s="10"/>
      <c r="BK158" s="10"/>
      <c r="BM158" s="10"/>
    </row>
    <row r="159" spans="1:65" ht="12.75">
      <c r="A159" s="9">
        <v>42444</v>
      </c>
      <c r="B159" s="10" t="s">
        <v>372</v>
      </c>
      <c r="C159" s="11" t="s">
        <v>49</v>
      </c>
      <c r="D159" s="12"/>
      <c r="E159" s="10" t="s">
        <v>287</v>
      </c>
      <c r="F159" s="10" t="s">
        <v>413</v>
      </c>
      <c r="G159" s="13" t="s">
        <v>414</v>
      </c>
      <c r="H159" s="14" t="str">
        <f t="array" ref="H159">IFERROR(INDEX([1]Companies!$G:$G,MATCH(B159,[1]Companies!$A:$A,0)),"")</f>
        <v>Kenya</v>
      </c>
      <c r="I159" s="14" t="str">
        <f t="shared" si="245"/>
        <v>Kenya</v>
      </c>
      <c r="J159" s="14" t="str">
        <f t="array" ref="J159">IFERROR(INDEX([1]Companies!$Y:$Y,MATCH(B159,[1]Companies!$A:$A,0)),"")</f>
        <v>Clean Energy, Oil and Gas</v>
      </c>
      <c r="K159" s="14" t="str">
        <f t="array" ref="K159">IFERROR(INDEX([1]Companies!$X:$X,MATCH(B159,[1]Companies!$A:$A,0)),"")</f>
        <v>Energy &amp; Environment Resources</v>
      </c>
      <c r="L159" s="14" t="str">
        <f>VLOOKUP(B159,[1]Companies!$A$1:$C$5243,1,FALSE)</f>
        <v>PayGo Energy</v>
      </c>
      <c r="M159" s="15">
        <f t="shared" si="246"/>
        <v>0.9</v>
      </c>
      <c r="N159" s="10" t="str">
        <f t="shared" si="247"/>
        <v>42444PayGo EnergyUndisclosed</v>
      </c>
      <c r="O159" s="14" t="str">
        <f t="shared" si="248"/>
        <v/>
      </c>
      <c r="P159" s="14">
        <f t="shared" si="249"/>
        <v>0</v>
      </c>
      <c r="Q159" s="14">
        <f t="array" ref="Q159">IFERROR(INDEX([1]Companies!$D:$D,MATCH(B159,[1]Companies!$A:$A,0)),"")</f>
        <v>2014</v>
      </c>
      <c r="R159" s="17">
        <f t="shared" si="250"/>
        <v>4900000</v>
      </c>
      <c r="S159" s="14">
        <f>VLOOKUP(I159,[1]Lookups!$V$3:$Y$197,4,FALSE)</f>
        <v>0</v>
      </c>
      <c r="T159" s="14" t="str">
        <f>VLOOKUP(E159,[1]Lookups!$H$3:$I$71,2,FALSE)</f>
        <v>5. Debt Financing</v>
      </c>
      <c r="U159" s="14" t="e">
        <f>VLOOKUP(K159,[1]Lookups!$B$3:$C$142,2,FALSE)</f>
        <v>#N/A</v>
      </c>
      <c r="V159" s="14">
        <f t="shared" si="1"/>
        <v>2016</v>
      </c>
      <c r="W159" s="14">
        <f t="shared" si="2"/>
        <v>3</v>
      </c>
      <c r="X159" s="14">
        <f>VLOOKUP(W159,[1]Lookups!$P$3:$S$15,2,FALSE)</f>
        <v>1</v>
      </c>
      <c r="Y159" s="16">
        <f>VLOOKUP(W159,[1]Lookups!$P$3:$U$15,3,FALSE)</f>
        <v>1</v>
      </c>
      <c r="Z159" s="16">
        <f t="shared" si="3"/>
        <v>1</v>
      </c>
      <c r="AA159" s="16" t="str">
        <f t="shared" ca="1" si="257"/>
        <v>Spark Capital</v>
      </c>
      <c r="AB159" s="16">
        <f t="shared" si="257"/>
        <v>0</v>
      </c>
      <c r="AC159" s="16">
        <f t="shared" si="257"/>
        <v>0</v>
      </c>
      <c r="AD159" s="16">
        <f t="shared" si="257"/>
        <v>0</v>
      </c>
      <c r="AE159" s="16">
        <f t="shared" si="257"/>
        <v>0</v>
      </c>
      <c r="AF159" s="16">
        <f t="shared" si="257"/>
        <v>0</v>
      </c>
      <c r="AG159" s="16">
        <f t="shared" si="257"/>
        <v>0</v>
      </c>
      <c r="AH159" s="16">
        <f t="shared" si="257"/>
        <v>0</v>
      </c>
      <c r="AI159" s="16">
        <f t="shared" si="257"/>
        <v>0</v>
      </c>
      <c r="AJ159" s="16">
        <f t="shared" si="257"/>
        <v>0</v>
      </c>
      <c r="AK159" s="16">
        <f t="shared" si="257"/>
        <v>0</v>
      </c>
      <c r="AL159" s="16">
        <f t="shared" si="257"/>
        <v>0</v>
      </c>
      <c r="AM159" s="16">
        <f t="shared" si="257"/>
        <v>0</v>
      </c>
      <c r="AN159" s="16">
        <f t="shared" si="257"/>
        <v>0</v>
      </c>
      <c r="AO159" s="16">
        <f t="shared" si="257"/>
        <v>0</v>
      </c>
      <c r="AP159" s="10"/>
      <c r="AQ159" s="10"/>
      <c r="AR159" s="10"/>
      <c r="AS159" s="10" t="str">
        <f t="shared" ref="AS159" ca="1" si="260">IFERROR(__xludf.DUMMYFUNCTION("split(F109,"","",true,true)"),"Spark Capital")</f>
        <v>Spark Capital</v>
      </c>
      <c r="AT159" s="10"/>
      <c r="AU159" s="10"/>
      <c r="AV159" s="10"/>
      <c r="AW159" s="10"/>
      <c r="AX159" s="10"/>
      <c r="AY159" s="10"/>
      <c r="AZ159" s="10"/>
      <c r="BA159" s="10"/>
      <c r="BB159" s="10"/>
      <c r="BC159" s="10"/>
      <c r="BD159" s="10"/>
      <c r="BE159" s="10"/>
      <c r="BF159" s="10"/>
      <c r="BG159" s="10"/>
      <c r="BH159" s="10"/>
      <c r="BI159" s="10"/>
      <c r="BJ159" s="10"/>
      <c r="BK159" s="10"/>
      <c r="BM159" s="10"/>
    </row>
    <row r="160" spans="1:65" ht="12.75">
      <c r="A160" s="18">
        <v>42446</v>
      </c>
      <c r="B160" s="20" t="s">
        <v>415</v>
      </c>
      <c r="C160" s="19">
        <v>1000000</v>
      </c>
      <c r="D160" s="19"/>
      <c r="E160" s="14" t="s">
        <v>45</v>
      </c>
      <c r="F160" s="20" t="s">
        <v>411</v>
      </c>
      <c r="G160" s="21" t="s">
        <v>416</v>
      </c>
      <c r="H160" s="14" t="str">
        <f t="array" ref="H160">IFERROR(INDEX([1]Companies!$G:$G,MATCH(B160,[1]Companies!$A:$A,0)),"")</f>
        <v>Nigeria</v>
      </c>
      <c r="I160" s="14" t="str">
        <f t="shared" si="245"/>
        <v>Nigeria</v>
      </c>
      <c r="J160" s="14" t="str">
        <f t="array" ref="J160">IFERROR(INDEX([1]Companies!$Y:$Y,MATCH(B160,[1]Companies!$A:$A,0)),"")</f>
        <v>Advertising, Media, and Digital Platforms, Marketing</v>
      </c>
      <c r="K160" s="14" t="str">
        <f t="array" ref="K160">IFERROR(INDEX([1]Companies!$X:$X,MATCH(B160,[1]Companies!$A:$A,0)),"")</f>
        <v>Media &amp; Entertainment</v>
      </c>
      <c r="L160" s="14" t="str">
        <f>VLOOKUP(B160,[1]Companies!$A$1:$C$5243,1,FALSE)</f>
        <v>S&amp;T Media</v>
      </c>
      <c r="M160" s="15">
        <f t="shared" si="246"/>
        <v>0.9</v>
      </c>
      <c r="N160" s="10" t="str">
        <f t="shared" si="247"/>
        <v>42446S&amp;T Media1000000</v>
      </c>
      <c r="O160" s="14" t="str">
        <f t="shared" si="248"/>
        <v/>
      </c>
      <c r="P160" s="14">
        <f t="shared" si="249"/>
        <v>1</v>
      </c>
      <c r="Q160" s="14">
        <f t="array" ref="Q160">IFERROR(INDEX([1]Companies!$D:$D,MATCH(B160,[1]Companies!$A:$A,0)),"")</f>
        <v>2015</v>
      </c>
      <c r="R160" s="17">
        <f t="shared" si="250"/>
        <v>1000000</v>
      </c>
      <c r="S160" s="14">
        <f>VLOOKUP(I160,[1]Lookups!$V$3:$Y$197,4,FALSE)</f>
        <v>0</v>
      </c>
      <c r="T160" s="14" t="str">
        <f>VLOOKUP(E160,[1]Lookups!$H$3:$I$71,2,FALSE)</f>
        <v>2. Seed</v>
      </c>
      <c r="U160" s="14" t="str">
        <f>VLOOKUP(K160,[1]Lookups!$B$3:$C$142,2,FALSE)</f>
        <v>Media &amp; Entertainment</v>
      </c>
      <c r="V160" s="14">
        <f t="shared" si="1"/>
        <v>2016</v>
      </c>
      <c r="W160" s="14">
        <f t="shared" si="2"/>
        <v>3</v>
      </c>
      <c r="X160" s="14">
        <f>VLOOKUP(W160,[1]Lookups!$P$3:$S$15,2,FALSE)</f>
        <v>1</v>
      </c>
      <c r="Y160" s="16">
        <f>VLOOKUP(W160,[1]Lookups!$P$3:$U$15,3,FALSE)</f>
        <v>1</v>
      </c>
      <c r="Z160" s="16">
        <f t="shared" si="3"/>
        <v>1</v>
      </c>
      <c r="AA160" s="16" t="str">
        <f t="shared" ca="1" si="257"/>
        <v>Spark Capital</v>
      </c>
      <c r="AB160" s="16">
        <f t="shared" si="257"/>
        <v>0</v>
      </c>
      <c r="AC160" s="16">
        <f t="shared" si="257"/>
        <v>0</v>
      </c>
      <c r="AD160" s="16">
        <f t="shared" si="257"/>
        <v>0</v>
      </c>
      <c r="AE160" s="16">
        <f t="shared" si="257"/>
        <v>0</v>
      </c>
      <c r="AF160" s="16">
        <f t="shared" si="257"/>
        <v>0</v>
      </c>
      <c r="AG160" s="16">
        <f t="shared" si="257"/>
        <v>0</v>
      </c>
      <c r="AH160" s="16">
        <f t="shared" si="257"/>
        <v>0</v>
      </c>
      <c r="AI160" s="16">
        <f t="shared" si="257"/>
        <v>0</v>
      </c>
      <c r="AJ160" s="16">
        <f t="shared" si="257"/>
        <v>0</v>
      </c>
      <c r="AK160" s="16">
        <f t="shared" si="257"/>
        <v>0</v>
      </c>
      <c r="AL160" s="16">
        <f t="shared" si="257"/>
        <v>0</v>
      </c>
      <c r="AM160" s="16">
        <f t="shared" si="257"/>
        <v>0</v>
      </c>
      <c r="AN160" s="16">
        <f t="shared" si="257"/>
        <v>0</v>
      </c>
      <c r="AO160" s="16">
        <f t="shared" si="257"/>
        <v>0</v>
      </c>
      <c r="AP160" s="10"/>
      <c r="AQ160" s="10"/>
      <c r="AR160" s="10"/>
      <c r="AS160" s="10" t="str">
        <f t="shared" ref="AS160" ca="1" si="261">IFERROR(__xludf.DUMMYFUNCTION("split(F109,"","",true,true)"),"Spark Capital")</f>
        <v>Spark Capital</v>
      </c>
      <c r="AT160" s="10"/>
      <c r="AU160" s="10"/>
      <c r="AV160" s="10"/>
      <c r="AW160" s="10"/>
      <c r="AX160" s="10"/>
      <c r="AY160" s="10"/>
      <c r="AZ160" s="10"/>
      <c r="BA160" s="10"/>
      <c r="BB160" s="10"/>
      <c r="BC160" s="10"/>
      <c r="BD160" s="10"/>
      <c r="BE160" s="10"/>
      <c r="BF160" s="10"/>
      <c r="BG160" s="10"/>
      <c r="BH160" s="10"/>
      <c r="BI160" s="10"/>
      <c r="BJ160" s="10"/>
      <c r="BK160" s="10"/>
      <c r="BM160" s="10"/>
    </row>
    <row r="161" spans="1:65" ht="12.75">
      <c r="A161" s="18">
        <v>42446</v>
      </c>
      <c r="B161" s="14" t="s">
        <v>417</v>
      </c>
      <c r="C161" s="19">
        <v>57000</v>
      </c>
      <c r="D161" s="19"/>
      <c r="E161" s="10" t="s">
        <v>48</v>
      </c>
      <c r="F161" s="20" t="s">
        <v>49</v>
      </c>
      <c r="G161" s="21" t="s">
        <v>418</v>
      </c>
      <c r="H161" s="14" t="str">
        <f t="array" ref="H161">IFERROR(INDEX([1]Companies!$G:$G,MATCH(B161,[1]Companies!$A:$A,0)),"")</f>
        <v>Malawi</v>
      </c>
      <c r="I161" s="14" t="str">
        <f t="shared" si="245"/>
        <v>Malawi</v>
      </c>
      <c r="J161" s="14" t="str">
        <f t="array" ref="J161">IFERROR(INDEX([1]Companies!$Y:$Y,MATCH(B161,[1]Companies!$A:$A,0)),"")</f>
        <v>Music, Streaming, Video</v>
      </c>
      <c r="K161" s="14" t="str">
        <f t="array" ref="K161">IFERROR(INDEX([1]Companies!$X:$X,MATCH(B161,[1]Companies!$A:$A,0)),"")</f>
        <v>Media &amp; Entertainment</v>
      </c>
      <c r="L161" s="14" t="str">
        <f>VLOOKUP(B161,[1]Companies!$A$1:$C$5243,1,FALSE)</f>
        <v>Mvelani</v>
      </c>
      <c r="M161" s="15">
        <f t="shared" si="246"/>
        <v>0.9</v>
      </c>
      <c r="N161" s="10" t="str">
        <f t="shared" si="247"/>
        <v>42446Mvelani57000</v>
      </c>
      <c r="O161" s="14" t="str">
        <f t="shared" si="248"/>
        <v/>
      </c>
      <c r="P161" s="14">
        <f t="shared" si="249"/>
        <v>1</v>
      </c>
      <c r="Q161" s="14">
        <f t="array" ref="Q161">IFERROR(INDEX([1]Companies!$D:$D,MATCH(B161,[1]Companies!$A:$A,0)),"")</f>
        <v>2015</v>
      </c>
      <c r="R161" s="17">
        <f t="shared" si="250"/>
        <v>57000</v>
      </c>
      <c r="S161" s="14">
        <f>VLOOKUP(I161,[1]Lookups!$V$3:$Y$197,4,FALSE)</f>
        <v>0</v>
      </c>
      <c r="T161" s="14" t="str">
        <f>VLOOKUP(E161,[1]Lookups!$H$3:$I$71,2,FALSE)</f>
        <v>2. Seed</v>
      </c>
      <c r="U161" s="14" t="str">
        <f>VLOOKUP(K161,[1]Lookups!$B$3:$C$142,2,FALSE)</f>
        <v>Media &amp; Entertainment</v>
      </c>
      <c r="V161" s="14">
        <f t="shared" si="1"/>
        <v>2016</v>
      </c>
      <c r="W161" s="14">
        <f t="shared" si="2"/>
        <v>3</v>
      </c>
      <c r="X161" s="14">
        <f>VLOOKUP(W161,[1]Lookups!$P$3:$S$15,2,FALSE)</f>
        <v>1</v>
      </c>
      <c r="Y161" s="16">
        <f>VLOOKUP(W161,[1]Lookups!$P$3:$U$15,3,FALSE)</f>
        <v>1</v>
      </c>
      <c r="Z161" s="16">
        <f t="shared" si="3"/>
        <v>1</v>
      </c>
      <c r="AA161" s="16" t="str">
        <f t="shared" ca="1" si="257"/>
        <v>Spark Capital</v>
      </c>
      <c r="AB161" s="16">
        <f t="shared" si="257"/>
        <v>0</v>
      </c>
      <c r="AC161" s="16">
        <f t="shared" si="257"/>
        <v>0</v>
      </c>
      <c r="AD161" s="16">
        <f t="shared" si="257"/>
        <v>0</v>
      </c>
      <c r="AE161" s="16">
        <f t="shared" si="257"/>
        <v>0</v>
      </c>
      <c r="AF161" s="16">
        <f t="shared" si="257"/>
        <v>0</v>
      </c>
      <c r="AG161" s="16">
        <f t="shared" si="257"/>
        <v>0</v>
      </c>
      <c r="AH161" s="16">
        <f t="shared" si="257"/>
        <v>0</v>
      </c>
      <c r="AI161" s="16">
        <f t="shared" si="257"/>
        <v>0</v>
      </c>
      <c r="AJ161" s="16">
        <f t="shared" si="257"/>
        <v>0</v>
      </c>
      <c r="AK161" s="16">
        <f t="shared" si="257"/>
        <v>0</v>
      </c>
      <c r="AL161" s="16">
        <f t="shared" si="257"/>
        <v>0</v>
      </c>
      <c r="AM161" s="16">
        <f t="shared" si="257"/>
        <v>0</v>
      </c>
      <c r="AN161" s="16">
        <f t="shared" si="257"/>
        <v>0</v>
      </c>
      <c r="AO161" s="16">
        <f t="shared" si="257"/>
        <v>0</v>
      </c>
      <c r="AP161" s="10"/>
      <c r="AQ161" s="10"/>
      <c r="AR161" s="10"/>
      <c r="AS161" s="10" t="str">
        <f t="shared" ref="AS161" ca="1" si="262">IFERROR(__xludf.DUMMYFUNCTION("split(F109,"","",true,true)"),"Spark Capital")</f>
        <v>Spark Capital</v>
      </c>
      <c r="AT161" s="10"/>
      <c r="AU161" s="10"/>
      <c r="AV161" s="10"/>
      <c r="AW161" s="10"/>
      <c r="AX161" s="10"/>
      <c r="AY161" s="10"/>
      <c r="AZ161" s="10"/>
      <c r="BA161" s="10"/>
      <c r="BB161" s="10"/>
      <c r="BC161" s="10"/>
      <c r="BD161" s="10"/>
      <c r="BE161" s="10"/>
      <c r="BF161" s="10"/>
      <c r="BG161" s="10"/>
      <c r="BH161" s="10"/>
      <c r="BI161" s="10"/>
      <c r="BJ161" s="10"/>
      <c r="BK161" s="10"/>
      <c r="BM161" s="10"/>
    </row>
    <row r="162" spans="1:65" ht="12.75">
      <c r="A162" s="9">
        <v>42451</v>
      </c>
      <c r="B162" s="10" t="s">
        <v>154</v>
      </c>
      <c r="C162" s="11">
        <v>120000</v>
      </c>
      <c r="D162" s="12"/>
      <c r="E162" s="14" t="s">
        <v>45</v>
      </c>
      <c r="F162" s="10" t="s">
        <v>305</v>
      </c>
      <c r="G162" s="13" t="s">
        <v>419</v>
      </c>
      <c r="H162" s="14" t="str">
        <f t="array" ref="H162">IFERROR(INDEX([1]Companies!$G:$G,MATCH(B162,[1]Companies!$A:$A,0)),"")</f>
        <v>Egypt</v>
      </c>
      <c r="I162" s="14" t="str">
        <f t="shared" si="245"/>
        <v>Egypt</v>
      </c>
      <c r="J162" s="14" t="str">
        <f t="array" ref="J162">IFERROR(INDEX([1]Companies!$Y:$Y,MATCH(B162,[1]Companies!$A:$A,0)),"")</f>
        <v>iOS, Mobile, Software</v>
      </c>
      <c r="K162" s="14" t="str">
        <f t="array" ref="K162">IFERROR(INDEX([1]Companies!$X:$X,MATCH(B162,[1]Companies!$A:$A,0)),"")</f>
        <v>Software</v>
      </c>
      <c r="L162" s="14" t="str">
        <f>VLOOKUP(B162,[1]Companies!$A$1:$C$5243,1,FALSE)</f>
        <v>Instabug</v>
      </c>
      <c r="M162" s="15">
        <f t="shared" si="246"/>
        <v>0.9</v>
      </c>
      <c r="N162" s="10" t="str">
        <f t="shared" si="247"/>
        <v>42451Instabug120000</v>
      </c>
      <c r="O162" s="14" t="str">
        <f t="shared" si="248"/>
        <v/>
      </c>
      <c r="P162" s="14">
        <f t="shared" si="249"/>
        <v>1</v>
      </c>
      <c r="Q162" s="14">
        <f t="array" ref="Q162">IFERROR(INDEX([1]Companies!$D:$D,MATCH(B162,[1]Companies!$A:$A,0)),"")</f>
        <v>2013</v>
      </c>
      <c r="R162" s="17">
        <f t="shared" si="250"/>
        <v>2120000</v>
      </c>
      <c r="S162" s="14">
        <f>VLOOKUP(I162,[1]Lookups!$V$3:$Y$197,4,FALSE)</f>
        <v>0</v>
      </c>
      <c r="T162" s="14" t="str">
        <f>VLOOKUP(E162,[1]Lookups!$H$3:$I$71,2,FALSE)</f>
        <v>2. Seed</v>
      </c>
      <c r="U162" s="14" t="str">
        <f>VLOOKUP(K162,[1]Lookups!$B$3:$C$142,2,FALSE)</f>
        <v>Other Technologies &amp; Information Technology</v>
      </c>
      <c r="V162" s="14">
        <f t="shared" si="1"/>
        <v>2016</v>
      </c>
      <c r="W162" s="14">
        <f t="shared" si="2"/>
        <v>3</v>
      </c>
      <c r="X162" s="14">
        <f>VLOOKUP(W162,[1]Lookups!$P$3:$S$15,2,FALSE)</f>
        <v>1</v>
      </c>
      <c r="Y162" s="16">
        <f>VLOOKUP(W162,[1]Lookups!$P$3:$U$15,3,FALSE)</f>
        <v>1</v>
      </c>
      <c r="Z162" s="16">
        <f t="shared" si="3"/>
        <v>1</v>
      </c>
      <c r="AA162" s="16" t="str">
        <f t="shared" ca="1" si="257"/>
        <v>Spark Capital</v>
      </c>
      <c r="AB162" s="16">
        <f t="shared" si="257"/>
        <v>0</v>
      </c>
      <c r="AC162" s="16">
        <f t="shared" si="257"/>
        <v>0</v>
      </c>
      <c r="AD162" s="16">
        <f t="shared" si="257"/>
        <v>0</v>
      </c>
      <c r="AE162" s="16">
        <f t="shared" si="257"/>
        <v>0</v>
      </c>
      <c r="AF162" s="16">
        <f t="shared" si="257"/>
        <v>0</v>
      </c>
      <c r="AG162" s="16">
        <f t="shared" si="257"/>
        <v>0</v>
      </c>
      <c r="AH162" s="16">
        <f t="shared" si="257"/>
        <v>0</v>
      </c>
      <c r="AI162" s="16">
        <f t="shared" si="257"/>
        <v>0</v>
      </c>
      <c r="AJ162" s="16">
        <f t="shared" si="257"/>
        <v>0</v>
      </c>
      <c r="AK162" s="16">
        <f t="shared" si="257"/>
        <v>0</v>
      </c>
      <c r="AL162" s="16">
        <f t="shared" si="257"/>
        <v>0</v>
      </c>
      <c r="AM162" s="16">
        <f t="shared" si="257"/>
        <v>0</v>
      </c>
      <c r="AN162" s="16">
        <f t="shared" si="257"/>
        <v>0</v>
      </c>
      <c r="AO162" s="16">
        <f t="shared" si="257"/>
        <v>0</v>
      </c>
      <c r="AP162" s="10"/>
      <c r="AQ162" s="10"/>
      <c r="AR162" s="10"/>
      <c r="AS162" s="10" t="str">
        <f t="shared" ref="AS162" ca="1" si="263">IFERROR(__xludf.DUMMYFUNCTION("split(F109,"","",true,true)"),"Spark Capital")</f>
        <v>Spark Capital</v>
      </c>
      <c r="AT162" s="10"/>
      <c r="AU162" s="10"/>
      <c r="AV162" s="10"/>
      <c r="AW162" s="10"/>
      <c r="AX162" s="10"/>
      <c r="AY162" s="10"/>
      <c r="AZ162" s="10"/>
      <c r="BA162" s="10"/>
      <c r="BB162" s="10"/>
      <c r="BC162" s="10"/>
      <c r="BD162" s="10"/>
      <c r="BE162" s="10"/>
      <c r="BF162" s="10"/>
      <c r="BG162" s="10"/>
      <c r="BH162" s="10"/>
      <c r="BI162" s="10"/>
      <c r="BJ162" s="10"/>
      <c r="BK162" s="10"/>
      <c r="BM162" s="10"/>
    </row>
    <row r="163" spans="1:65" ht="12.75">
      <c r="A163" s="9">
        <v>42458</v>
      </c>
      <c r="B163" s="10" t="s">
        <v>309</v>
      </c>
      <c r="C163" s="11">
        <v>1000000</v>
      </c>
      <c r="D163" s="12"/>
      <c r="E163" s="10" t="s">
        <v>45</v>
      </c>
      <c r="F163" s="10" t="s">
        <v>49</v>
      </c>
      <c r="G163" s="13" t="s">
        <v>420</v>
      </c>
      <c r="H163" s="14" t="str">
        <f t="array" ref="H163">IFERROR(INDEX([1]Companies!$G:$G,MATCH(B163,[1]Companies!$A:$A,0)),"")</f>
        <v>Nigeria</v>
      </c>
      <c r="I163" s="14" t="str">
        <f t="shared" si="245"/>
        <v>Nigeria</v>
      </c>
      <c r="J163" s="14" t="str">
        <f t="array" ref="J163">IFERROR(INDEX([1]Companies!$Y:$Y,MATCH(B163,[1]Companies!$A:$A,0)),"")</f>
        <v>Hyperlocal logistics, On-demand Delivery, Transportation, Delivery Services, E-Commerce Logsitics, Okada, and Moto-Taxi, Ride-Hailing</v>
      </c>
      <c r="K163" s="14" t="str">
        <f t="array" ref="K163">IFERROR(INDEX([1]Companies!$X:$X,MATCH(B163,[1]Companies!$A:$A,0)),"")</f>
        <v>Transport &amp; Logistics</v>
      </c>
      <c r="L163" s="21" t="str">
        <f>VLOOKUP(B163,[1]Companies!$A$1:$C$5243,1,FALSE)</f>
        <v>Max.ng</v>
      </c>
      <c r="M163" s="15">
        <f t="shared" si="246"/>
        <v>0.9</v>
      </c>
      <c r="N163" s="10" t="str">
        <f t="shared" si="247"/>
        <v>42458Max.ng1000000</v>
      </c>
      <c r="O163" s="14" t="str">
        <f t="shared" si="248"/>
        <v/>
      </c>
      <c r="P163" s="14">
        <f t="shared" si="249"/>
        <v>1</v>
      </c>
      <c r="Q163" s="14">
        <f t="array" ref="Q163">IFERROR(INDEX([1]Companies!$D:$D,MATCH(B163,[1]Companies!$A:$A,0)),"")</f>
        <v>2015</v>
      </c>
      <c r="R163" s="17">
        <f t="shared" si="250"/>
        <v>8100000</v>
      </c>
      <c r="S163" s="14">
        <f>VLOOKUP(I163,[1]Lookups!$V$3:$Y$197,4,FALSE)</f>
        <v>0</v>
      </c>
      <c r="T163" s="14" t="str">
        <f>VLOOKUP(E163,[1]Lookups!$H$3:$I$71,2,FALSE)</f>
        <v>2. Seed</v>
      </c>
      <c r="U163" s="14" t="str">
        <f>VLOOKUP(K163,[1]Lookups!$B$3:$C$142,2,FALSE)</f>
        <v>Transport &amp; Logistics</v>
      </c>
      <c r="V163" s="14">
        <f t="shared" si="1"/>
        <v>2016</v>
      </c>
      <c r="W163" s="14">
        <f t="shared" si="2"/>
        <v>3</v>
      </c>
      <c r="X163" s="14">
        <f>VLOOKUP(W163,[1]Lookups!$P$3:$S$15,2,FALSE)</f>
        <v>1</v>
      </c>
      <c r="Y163" s="16">
        <f>VLOOKUP(W163,[1]Lookups!$P$3:$U$15,3,FALSE)</f>
        <v>1</v>
      </c>
      <c r="Z163" s="16">
        <f t="shared" si="3"/>
        <v>1</v>
      </c>
      <c r="AA163" s="16" t="str">
        <f t="shared" ca="1" si="257"/>
        <v>Spark Capital</v>
      </c>
      <c r="AB163" s="16">
        <f t="shared" si="257"/>
        <v>0</v>
      </c>
      <c r="AC163" s="16">
        <f t="shared" si="257"/>
        <v>0</v>
      </c>
      <c r="AD163" s="16">
        <f t="shared" si="257"/>
        <v>0</v>
      </c>
      <c r="AE163" s="16">
        <f t="shared" si="257"/>
        <v>0</v>
      </c>
      <c r="AF163" s="16">
        <f t="shared" si="257"/>
        <v>0</v>
      </c>
      <c r="AG163" s="16">
        <f t="shared" si="257"/>
        <v>0</v>
      </c>
      <c r="AH163" s="16">
        <f t="shared" si="257"/>
        <v>0</v>
      </c>
      <c r="AI163" s="16">
        <f t="shared" si="257"/>
        <v>0</v>
      </c>
      <c r="AJ163" s="16">
        <f t="shared" si="257"/>
        <v>0</v>
      </c>
      <c r="AK163" s="16">
        <f t="shared" si="257"/>
        <v>0</v>
      </c>
      <c r="AL163" s="16">
        <f t="shared" si="257"/>
        <v>0</v>
      </c>
      <c r="AM163" s="16">
        <f t="shared" si="257"/>
        <v>0</v>
      </c>
      <c r="AN163" s="16">
        <f t="shared" si="257"/>
        <v>0</v>
      </c>
      <c r="AO163" s="16">
        <f t="shared" si="257"/>
        <v>0</v>
      </c>
      <c r="AP163" s="10"/>
      <c r="AQ163" s="10"/>
      <c r="AR163" s="10"/>
      <c r="AS163" s="10" t="str">
        <f t="shared" ref="AS163" ca="1" si="264">IFERROR(__xludf.DUMMYFUNCTION("split(F109,"","",true,true)"),"Spark Capital")</f>
        <v>Spark Capital</v>
      </c>
      <c r="AT163" s="10"/>
      <c r="AU163" s="10"/>
      <c r="AV163" s="10"/>
      <c r="AW163" s="10"/>
      <c r="AX163" s="10"/>
      <c r="AY163" s="10"/>
      <c r="AZ163" s="10"/>
      <c r="BA163" s="10"/>
      <c r="BB163" s="10"/>
      <c r="BC163" s="10"/>
      <c r="BD163" s="10"/>
      <c r="BE163" s="10"/>
      <c r="BF163" s="10"/>
      <c r="BG163" s="10"/>
      <c r="BH163" s="10"/>
      <c r="BI163" s="10"/>
      <c r="BJ163" s="10"/>
      <c r="BK163" s="10"/>
      <c r="BM163" s="10"/>
    </row>
    <row r="164" spans="1:65" ht="12.75">
      <c r="A164" s="18">
        <v>42464</v>
      </c>
      <c r="B164" s="14" t="s">
        <v>421</v>
      </c>
      <c r="C164" s="19">
        <v>227000</v>
      </c>
      <c r="D164" s="19"/>
      <c r="E164" s="14" t="s">
        <v>287</v>
      </c>
      <c r="F164" s="20" t="s">
        <v>422</v>
      </c>
      <c r="G164" s="21" t="s">
        <v>423</v>
      </c>
      <c r="H164" s="14" t="str">
        <f t="array" ref="H164">IFERROR(INDEX([1]Companies!$G:$G,MATCH(B164,[1]Companies!$A:$A,0)),"")</f>
        <v>Uganda</v>
      </c>
      <c r="I164" s="14" t="str">
        <f t="shared" si="245"/>
        <v>Uganda</v>
      </c>
      <c r="J164" s="14" t="str">
        <f t="array" ref="J164">IFERROR(INDEX([1]Companies!$Y:$Y,MATCH(B164,[1]Companies!$A:$A,0)),"")</f>
        <v>Apps, Consumer, Transportation</v>
      </c>
      <c r="K164" s="14" t="str">
        <f t="array" ref="K164">IFERROR(INDEX([1]Companies!$X:$X,MATCH(B164,[1]Companies!$A:$A,0)),"")</f>
        <v>Transport &amp; Logistics</v>
      </c>
      <c r="L164" s="14" t="str">
        <f>VLOOKUP(B164,[1]Companies!$A$1:$C$5243,1,FALSE)</f>
        <v>Safeboda</v>
      </c>
      <c r="M164" s="15">
        <f t="shared" si="246"/>
        <v>0.9</v>
      </c>
      <c r="N164" s="10" t="str">
        <f t="shared" si="247"/>
        <v>42464SafeBoda227000</v>
      </c>
      <c r="O164" s="14" t="str">
        <f t="shared" si="248"/>
        <v/>
      </c>
      <c r="P164" s="14">
        <f t="shared" si="249"/>
        <v>1</v>
      </c>
      <c r="Q164" s="14">
        <f t="array" ref="Q164">IFERROR(INDEX([1]Companies!$D:$D,MATCH(B164,[1]Companies!$A:$A,0)),"")</f>
        <v>2015</v>
      </c>
      <c r="R164" s="17">
        <f t="shared" si="250"/>
        <v>1327000</v>
      </c>
      <c r="S164" s="14">
        <f>VLOOKUP(I164,[1]Lookups!$V$3:$Y$197,4,FALSE)</f>
        <v>0</v>
      </c>
      <c r="T164" s="14" t="str">
        <f>VLOOKUP(E164,[1]Lookups!$H$3:$I$71,2,FALSE)</f>
        <v>5. Debt Financing</v>
      </c>
      <c r="U164" s="14" t="str">
        <f>VLOOKUP(K164,[1]Lookups!$B$3:$C$142,2,FALSE)</f>
        <v>Transport &amp; Logistics</v>
      </c>
      <c r="V164" s="14">
        <f t="shared" si="1"/>
        <v>2016</v>
      </c>
      <c r="W164" s="14">
        <f t="shared" si="2"/>
        <v>4</v>
      </c>
      <c r="X164" s="14">
        <f>VLOOKUP(W164,[1]Lookups!$P$3:$S$15,2,FALSE)</f>
        <v>2</v>
      </c>
      <c r="Y164" s="16">
        <f>VLOOKUP(W164,[1]Lookups!$P$3:$U$15,3,FALSE)</f>
        <v>1</v>
      </c>
      <c r="Z164" s="16">
        <f t="shared" si="3"/>
        <v>1</v>
      </c>
      <c r="AA164" s="16" t="str">
        <f t="shared" ca="1" si="257"/>
        <v>Spark Capital</v>
      </c>
      <c r="AB164" s="16">
        <f t="shared" si="257"/>
        <v>0</v>
      </c>
      <c r="AC164" s="16">
        <f t="shared" si="257"/>
        <v>0</v>
      </c>
      <c r="AD164" s="16">
        <f t="shared" si="257"/>
        <v>0</v>
      </c>
      <c r="AE164" s="16">
        <f t="shared" si="257"/>
        <v>0</v>
      </c>
      <c r="AF164" s="16">
        <f t="shared" si="257"/>
        <v>0</v>
      </c>
      <c r="AG164" s="16">
        <f t="shared" si="257"/>
        <v>0</v>
      </c>
      <c r="AH164" s="16">
        <f t="shared" si="257"/>
        <v>0</v>
      </c>
      <c r="AI164" s="16">
        <f t="shared" si="257"/>
        <v>0</v>
      </c>
      <c r="AJ164" s="16">
        <f t="shared" si="257"/>
        <v>0</v>
      </c>
      <c r="AK164" s="16">
        <f t="shared" si="257"/>
        <v>0</v>
      </c>
      <c r="AL164" s="16">
        <f t="shared" si="257"/>
        <v>0</v>
      </c>
      <c r="AM164" s="16">
        <f t="shared" si="257"/>
        <v>0</v>
      </c>
      <c r="AN164" s="16">
        <f t="shared" si="257"/>
        <v>0</v>
      </c>
      <c r="AO164" s="16">
        <f t="shared" si="257"/>
        <v>0</v>
      </c>
      <c r="AP164" s="10"/>
      <c r="AQ164" s="10"/>
      <c r="AR164" s="10"/>
      <c r="AS164" s="10" t="str">
        <f t="shared" ref="AS164" ca="1" si="265">IFERROR(__xludf.DUMMYFUNCTION("split(F109,"","",true,true)"),"Spark Capital")</f>
        <v>Spark Capital</v>
      </c>
      <c r="AT164" s="10"/>
      <c r="AU164" s="10"/>
      <c r="AV164" s="10"/>
      <c r="AW164" s="10"/>
      <c r="AX164" s="10"/>
      <c r="AY164" s="10"/>
      <c r="AZ164" s="10"/>
      <c r="BA164" s="10"/>
      <c r="BB164" s="10"/>
      <c r="BC164" s="10"/>
      <c r="BD164" s="10"/>
      <c r="BE164" s="10"/>
      <c r="BF164" s="10"/>
      <c r="BG164" s="10"/>
      <c r="BH164" s="10"/>
      <c r="BI164" s="10"/>
      <c r="BJ164" s="10"/>
      <c r="BK164" s="10"/>
      <c r="BM164" s="10"/>
    </row>
    <row r="165" spans="1:65" ht="12.75">
      <c r="A165" s="18">
        <v>42468</v>
      </c>
      <c r="B165" s="20" t="s">
        <v>424</v>
      </c>
      <c r="C165" s="19">
        <v>265000</v>
      </c>
      <c r="D165" s="19"/>
      <c r="E165" s="10" t="s">
        <v>328</v>
      </c>
      <c r="F165" s="20" t="s">
        <v>425</v>
      </c>
      <c r="G165" s="21" t="s">
        <v>426</v>
      </c>
      <c r="H165" s="14" t="str">
        <f t="array" ref="H165">IFERROR(INDEX([1]Companies!$G:$G,MATCH(B165,[1]Companies!$A:$A,0)),"")</f>
        <v>South Africa</v>
      </c>
      <c r="I165" s="14" t="str">
        <f t="shared" si="245"/>
        <v>South Africa</v>
      </c>
      <c r="J165" s="14" t="str">
        <f t="array" ref="J165">IFERROR(INDEX([1]Companies!$Y:$Y,MATCH(B165,[1]Companies!$A:$A,0)),"")</f>
        <v>Digital Watermarking, Content Protection, Blockchain</v>
      </c>
      <c r="K165" s="14" t="str">
        <f t="array" ref="K165">IFERROR(INDEX([1]Companies!$X:$X,MATCH(B165,[1]Companies!$A:$A,0)),"")</f>
        <v>Security</v>
      </c>
      <c r="L165" s="14" t="str">
        <f>VLOOKUP(B165,[1]Companies!$A$1:$C$5243,1,FALSE)</f>
        <v>Custos Media Technologies</v>
      </c>
      <c r="M165" s="15">
        <f t="shared" si="246"/>
        <v>0.9</v>
      </c>
      <c r="N165" s="10" t="str">
        <f t="shared" si="247"/>
        <v>42468Custos Media Technologies265000</v>
      </c>
      <c r="O165" s="14" t="str">
        <f t="shared" si="248"/>
        <v/>
      </c>
      <c r="P165" s="14">
        <f t="shared" si="249"/>
        <v>1</v>
      </c>
      <c r="Q165" s="14">
        <f t="array" ref="Q165">IFERROR(INDEX([1]Companies!$D:$D,MATCH(B165,[1]Companies!$A:$A,0)),"")</f>
        <v>2014</v>
      </c>
      <c r="R165" s="17">
        <f t="shared" si="250"/>
        <v>685000</v>
      </c>
      <c r="S165" s="14">
        <f>VLOOKUP(I165,[1]Lookups!$V$3:$Y$197,4,FALSE)</f>
        <v>0</v>
      </c>
      <c r="T165" s="14" t="str">
        <f>VLOOKUP(E165,[1]Lookups!$H$3:$I$71,2,FALSE)</f>
        <v>4. Late Venture</v>
      </c>
      <c r="U165" s="14" t="str">
        <f>VLOOKUP(K165,[1]Lookups!$B$3:$C$142,2,FALSE)</f>
        <v>Other Technologies &amp; Information Technology</v>
      </c>
      <c r="V165" s="14">
        <f t="shared" si="1"/>
        <v>2016</v>
      </c>
      <c r="W165" s="14">
        <f t="shared" si="2"/>
        <v>4</v>
      </c>
      <c r="X165" s="14">
        <f>VLOOKUP(W165,[1]Lookups!$P$3:$S$15,2,FALSE)</f>
        <v>2</v>
      </c>
      <c r="Y165" s="16">
        <f>VLOOKUP(W165,[1]Lookups!$P$3:$U$15,3,FALSE)</f>
        <v>1</v>
      </c>
      <c r="Z165" s="16">
        <f t="shared" si="3"/>
        <v>1</v>
      </c>
      <c r="AA165" s="16" t="str">
        <f t="shared" ca="1" si="257"/>
        <v>Spark Capital</v>
      </c>
      <c r="AB165" s="16">
        <f t="shared" si="257"/>
        <v>0</v>
      </c>
      <c r="AC165" s="16">
        <f t="shared" si="257"/>
        <v>0</v>
      </c>
      <c r="AD165" s="16">
        <f t="shared" si="257"/>
        <v>0</v>
      </c>
      <c r="AE165" s="16">
        <f t="shared" si="257"/>
        <v>0</v>
      </c>
      <c r="AF165" s="16">
        <f t="shared" si="257"/>
        <v>0</v>
      </c>
      <c r="AG165" s="16">
        <f t="shared" si="257"/>
        <v>0</v>
      </c>
      <c r="AH165" s="16">
        <f t="shared" si="257"/>
        <v>0</v>
      </c>
      <c r="AI165" s="16">
        <f t="shared" si="257"/>
        <v>0</v>
      </c>
      <c r="AJ165" s="16">
        <f t="shared" si="257"/>
        <v>0</v>
      </c>
      <c r="AK165" s="16">
        <f t="shared" si="257"/>
        <v>0</v>
      </c>
      <c r="AL165" s="16">
        <f t="shared" si="257"/>
        <v>0</v>
      </c>
      <c r="AM165" s="16">
        <f t="shared" si="257"/>
        <v>0</v>
      </c>
      <c r="AN165" s="16">
        <f t="shared" si="257"/>
        <v>0</v>
      </c>
      <c r="AO165" s="16">
        <f t="shared" si="257"/>
        <v>0</v>
      </c>
      <c r="AP165" s="10"/>
      <c r="AQ165" s="10"/>
      <c r="AR165" s="10"/>
      <c r="AS165" s="10" t="str">
        <f t="shared" ref="AS165" ca="1" si="266">IFERROR(__xludf.DUMMYFUNCTION("split(F109,"","",true,true)"),"Spark Capital")</f>
        <v>Spark Capital</v>
      </c>
      <c r="AT165" s="10"/>
      <c r="AU165" s="10"/>
      <c r="AV165" s="10"/>
      <c r="AW165" s="10"/>
      <c r="AX165" s="10"/>
      <c r="AY165" s="10"/>
      <c r="AZ165" s="10"/>
      <c r="BA165" s="10"/>
      <c r="BB165" s="10"/>
      <c r="BC165" s="10"/>
      <c r="BD165" s="10"/>
      <c r="BE165" s="10"/>
      <c r="BF165" s="10"/>
      <c r="BG165" s="10"/>
      <c r="BH165" s="10"/>
      <c r="BI165" s="10"/>
      <c r="BJ165" s="10"/>
      <c r="BK165" s="10"/>
      <c r="BM165" s="10"/>
    </row>
    <row r="166" spans="1:65" ht="12.75">
      <c r="A166" s="9">
        <v>42471</v>
      </c>
      <c r="B166" s="10" t="s">
        <v>238</v>
      </c>
      <c r="C166" s="11">
        <v>150000</v>
      </c>
      <c r="D166" s="12"/>
      <c r="E166" s="10" t="s">
        <v>45</v>
      </c>
      <c r="F166" s="10" t="s">
        <v>49</v>
      </c>
      <c r="G166" s="13" t="s">
        <v>427</v>
      </c>
      <c r="H166" s="14" t="str">
        <f t="array" ref="H166">IFERROR(INDEX([1]Companies!$G:$G,MATCH(B166,[1]Companies!$A:$A,0)),"")</f>
        <v>South Africa</v>
      </c>
      <c r="I166" s="14" t="str">
        <f t="shared" si="245"/>
        <v>South Africa</v>
      </c>
      <c r="J166" s="14" t="str">
        <f t="array" ref="J166">IFERROR(INDEX([1]Companies!$Y:$Y,MATCH(B166,[1]Companies!$A:$A,0)),"")</f>
        <v>Collaborative Consumption, Logistics, Shipping</v>
      </c>
      <c r="K166" s="14" t="str">
        <f t="array" ref="K166">IFERROR(INDEX([1]Companies!$X:$X,MATCH(B166,[1]Companies!$A:$A,0)),"")</f>
        <v>Transport &amp; Logistics</v>
      </c>
      <c r="L166" s="14" t="str">
        <f>VLOOKUP(B166,[1]Companies!$A$1:$C$5243,1,FALSE)</f>
        <v>Fastvan</v>
      </c>
      <c r="M166" s="15">
        <f t="shared" si="246"/>
        <v>0.9</v>
      </c>
      <c r="N166" s="10" t="str">
        <f t="shared" si="247"/>
        <v>42471Fastvan150000</v>
      </c>
      <c r="O166" s="14" t="str">
        <f t="shared" si="248"/>
        <v/>
      </c>
      <c r="P166" s="14">
        <f t="shared" si="249"/>
        <v>1</v>
      </c>
      <c r="Q166" s="14">
        <f t="array" ref="Q166">IFERROR(INDEX([1]Companies!$D:$D,MATCH(B166,[1]Companies!$A:$A,0)),"")</f>
        <v>2015</v>
      </c>
      <c r="R166" s="17">
        <f t="shared" si="250"/>
        <v>700000</v>
      </c>
      <c r="S166" s="14">
        <f>VLOOKUP(I166,[1]Lookups!$V$3:$Y$197,4,FALSE)</f>
        <v>0</v>
      </c>
      <c r="T166" s="14" t="str">
        <f>VLOOKUP(E166,[1]Lookups!$H$3:$I$71,2,FALSE)</f>
        <v>2. Seed</v>
      </c>
      <c r="U166" s="14" t="str">
        <f>VLOOKUP(K166,[1]Lookups!$B$3:$C$142,2,FALSE)</f>
        <v>Transport &amp; Logistics</v>
      </c>
      <c r="V166" s="14">
        <f t="shared" si="1"/>
        <v>2016</v>
      </c>
      <c r="W166" s="14">
        <f t="shared" si="2"/>
        <v>4</v>
      </c>
      <c r="X166" s="14">
        <f>VLOOKUP(W166,[1]Lookups!$P$3:$S$15,2,FALSE)</f>
        <v>2</v>
      </c>
      <c r="Y166" s="16">
        <f>VLOOKUP(W166,[1]Lookups!$P$3:$U$15,3,FALSE)</f>
        <v>1</v>
      </c>
      <c r="Z166" s="16">
        <f t="shared" si="3"/>
        <v>1</v>
      </c>
      <c r="AA166" s="16" t="str">
        <f t="shared" ca="1" si="257"/>
        <v>Spark Capital</v>
      </c>
      <c r="AB166" s="16">
        <f t="shared" si="257"/>
        <v>0</v>
      </c>
      <c r="AC166" s="16">
        <f t="shared" si="257"/>
        <v>0</v>
      </c>
      <c r="AD166" s="16">
        <f t="shared" si="257"/>
        <v>0</v>
      </c>
      <c r="AE166" s="16">
        <f t="shared" si="257"/>
        <v>0</v>
      </c>
      <c r="AF166" s="16">
        <f t="shared" si="257"/>
        <v>0</v>
      </c>
      <c r="AG166" s="16">
        <f t="shared" si="257"/>
        <v>0</v>
      </c>
      <c r="AH166" s="16">
        <f t="shared" si="257"/>
        <v>0</v>
      </c>
      <c r="AI166" s="16">
        <f t="shared" si="257"/>
        <v>0</v>
      </c>
      <c r="AJ166" s="16">
        <f t="shared" si="257"/>
        <v>0</v>
      </c>
      <c r="AK166" s="16">
        <f t="shared" si="257"/>
        <v>0</v>
      </c>
      <c r="AL166" s="16">
        <f t="shared" si="257"/>
        <v>0</v>
      </c>
      <c r="AM166" s="16">
        <f t="shared" si="257"/>
        <v>0</v>
      </c>
      <c r="AN166" s="16">
        <f t="shared" si="257"/>
        <v>0</v>
      </c>
      <c r="AO166" s="16">
        <f t="shared" si="257"/>
        <v>0</v>
      </c>
      <c r="AP166" s="10"/>
      <c r="AQ166" s="10"/>
      <c r="AR166" s="10"/>
      <c r="AS166" s="10" t="str">
        <f t="shared" ref="AS166" ca="1" si="267">IFERROR(__xludf.DUMMYFUNCTION("split(F109,"","",true,true)"),"Spark Capital")</f>
        <v>Spark Capital</v>
      </c>
      <c r="AT166" s="10"/>
      <c r="AU166" s="10"/>
      <c r="AV166" s="10"/>
      <c r="AW166" s="10"/>
      <c r="AX166" s="10"/>
      <c r="AY166" s="10"/>
      <c r="AZ166" s="10"/>
      <c r="BA166" s="10"/>
      <c r="BB166" s="10"/>
      <c r="BC166" s="10"/>
      <c r="BD166" s="10"/>
      <c r="BE166" s="10"/>
      <c r="BF166" s="10"/>
      <c r="BG166" s="10"/>
      <c r="BH166" s="10"/>
      <c r="BI166" s="10"/>
      <c r="BJ166" s="10"/>
      <c r="BK166" s="10"/>
      <c r="BM166" s="10"/>
    </row>
    <row r="167" spans="1:65" ht="12.75">
      <c r="A167" s="18">
        <v>42488</v>
      </c>
      <c r="B167" s="14" t="s">
        <v>66</v>
      </c>
      <c r="C167" s="19">
        <v>23500000</v>
      </c>
      <c r="D167" s="19"/>
      <c r="E167" s="14" t="s">
        <v>69</v>
      </c>
      <c r="F167" s="14" t="s">
        <v>49</v>
      </c>
      <c r="G167" s="21" t="s">
        <v>428</v>
      </c>
      <c r="H167" s="14" t="str">
        <f t="array" ref="H167">IFERROR(INDEX([1]Companies!$G:$G,MATCH(B167,[1]Companies!$A:$A,0)),"")</f>
        <v>South Africa</v>
      </c>
      <c r="I167" s="14" t="str">
        <f t="shared" si="245"/>
        <v>South Africa</v>
      </c>
      <c r="J167" s="14" t="str">
        <f t="array" ref="J167">IFERROR(INDEX([1]Companies!$Y:$Y,MATCH(B167,[1]Companies!$A:$A,0)),"")</f>
        <v>E-Learning, Education, Tutoring</v>
      </c>
      <c r="K167" s="14" t="str">
        <f t="array" ref="K167">IFERROR(INDEX([1]Companies!$X:$X,MATCH(B167,[1]Companies!$A:$A,0)),"")</f>
        <v>Education</v>
      </c>
      <c r="L167" s="14" t="str">
        <f>VLOOKUP(B167,[1]Companies!$A$1:$C$5243,1,FALSE)</f>
        <v>African Leadership Academy</v>
      </c>
      <c r="M167" s="15">
        <f t="shared" si="246"/>
        <v>0.9</v>
      </c>
      <c r="N167" s="10" t="str">
        <f t="shared" si="247"/>
        <v>42488African Leadership Academy23500000</v>
      </c>
      <c r="O167" s="14" t="str">
        <f t="shared" si="248"/>
        <v/>
      </c>
      <c r="P167" s="14">
        <f t="shared" si="249"/>
        <v>1</v>
      </c>
      <c r="Q167" s="14">
        <f t="array" ref="Q167">IFERROR(INDEX([1]Companies!$D:$D,MATCH(B167,[1]Companies!$A:$A,0)),"")</f>
        <v>2008</v>
      </c>
      <c r="R167" s="17">
        <f t="shared" si="250"/>
        <v>55800000</v>
      </c>
      <c r="S167" s="14">
        <f>VLOOKUP(I167,[1]Lookups!$V$3:$Y$197,4,FALSE)</f>
        <v>0</v>
      </c>
      <c r="T167" s="14" t="str">
        <f>VLOOKUP(E167,[1]Lookups!$H$3:$I$71,2,FALSE)</f>
        <v>3. Early Venture</v>
      </c>
      <c r="U167" s="14" t="str">
        <f>VLOOKUP(K167,[1]Lookups!$B$3:$C$142,2,FALSE)</f>
        <v>Education</v>
      </c>
      <c r="V167" s="14">
        <f t="shared" si="1"/>
        <v>2016</v>
      </c>
      <c r="W167" s="14">
        <f t="shared" si="2"/>
        <v>4</v>
      </c>
      <c r="X167" s="14">
        <f>VLOOKUP(W167,[1]Lookups!$P$3:$S$15,2,FALSE)</f>
        <v>2</v>
      </c>
      <c r="Y167" s="16">
        <f>VLOOKUP(W167,[1]Lookups!$P$3:$U$15,3,FALSE)</f>
        <v>1</v>
      </c>
      <c r="Z167" s="16">
        <f t="shared" si="3"/>
        <v>1</v>
      </c>
      <c r="AA167" s="16" t="str">
        <f t="shared" ca="1" si="257"/>
        <v>Spark Capital</v>
      </c>
      <c r="AB167" s="16">
        <f t="shared" si="257"/>
        <v>0</v>
      </c>
      <c r="AC167" s="16">
        <f t="shared" si="257"/>
        <v>0</v>
      </c>
      <c r="AD167" s="16">
        <f t="shared" si="257"/>
        <v>0</v>
      </c>
      <c r="AE167" s="16">
        <f t="shared" si="257"/>
        <v>0</v>
      </c>
      <c r="AF167" s="16">
        <f t="shared" si="257"/>
        <v>0</v>
      </c>
      <c r="AG167" s="16">
        <f t="shared" si="257"/>
        <v>0</v>
      </c>
      <c r="AH167" s="16">
        <f t="shared" si="257"/>
        <v>0</v>
      </c>
      <c r="AI167" s="16">
        <f t="shared" si="257"/>
        <v>0</v>
      </c>
      <c r="AJ167" s="16">
        <f t="shared" si="257"/>
        <v>0</v>
      </c>
      <c r="AK167" s="16">
        <f t="shared" si="257"/>
        <v>0</v>
      </c>
      <c r="AL167" s="16">
        <f t="shared" si="257"/>
        <v>0</v>
      </c>
      <c r="AM167" s="16">
        <f t="shared" si="257"/>
        <v>0</v>
      </c>
      <c r="AN167" s="16">
        <f t="shared" si="257"/>
        <v>0</v>
      </c>
      <c r="AO167" s="16">
        <f t="shared" si="257"/>
        <v>0</v>
      </c>
      <c r="AP167" s="10"/>
      <c r="AQ167" s="10"/>
      <c r="AR167" s="10"/>
      <c r="AS167" s="10" t="str">
        <f t="shared" ref="AS167" ca="1" si="268">IFERROR(__xludf.DUMMYFUNCTION("split(F109,"","",true,true)"),"Spark Capital")</f>
        <v>Spark Capital</v>
      </c>
      <c r="AT167" s="10"/>
      <c r="AU167" s="10"/>
      <c r="AV167" s="10"/>
      <c r="AW167" s="10"/>
      <c r="AX167" s="10"/>
      <c r="AY167" s="10"/>
      <c r="AZ167" s="10"/>
      <c r="BA167" s="10"/>
      <c r="BB167" s="10"/>
      <c r="BC167" s="10"/>
      <c r="BD167" s="10"/>
      <c r="BE167" s="10"/>
      <c r="BF167" s="10"/>
      <c r="BG167" s="10"/>
      <c r="BH167" s="10"/>
      <c r="BI167" s="10"/>
      <c r="BJ167" s="10"/>
      <c r="BK167" s="10"/>
      <c r="BM167" s="10"/>
    </row>
    <row r="168" spans="1:65" ht="12.75">
      <c r="A168" s="9">
        <v>42489</v>
      </c>
      <c r="B168" s="14" t="s">
        <v>377</v>
      </c>
      <c r="C168" s="11">
        <v>120000</v>
      </c>
      <c r="D168" s="12"/>
      <c r="E168" s="10" t="s">
        <v>45</v>
      </c>
      <c r="F168" s="10" t="s">
        <v>305</v>
      </c>
      <c r="G168" s="13" t="s">
        <v>429</v>
      </c>
      <c r="H168" s="14" t="str">
        <f t="array" ref="H168">IFERROR(INDEX([1]Companies!$G:$G,MATCH(B168,[1]Companies!$A:$A,0)),"")</f>
        <v>Ghana</v>
      </c>
      <c r="I168" s="14" t="str">
        <f t="shared" si="245"/>
        <v>Ghana</v>
      </c>
      <c r="J168" s="14" t="str">
        <f t="array" ref="J168">IFERROR(INDEX([1]Companies!$Y:$Y,MATCH(B168,[1]Companies!$A:$A,0)),"")</f>
        <v>Digital Marketing, Marketing, Social Media Management</v>
      </c>
      <c r="K168" s="14" t="str">
        <f t="array" ref="K168">IFERROR(INDEX([1]Companies!$X:$X,MATCH(B168,[1]Companies!$A:$A,0)),"")</f>
        <v>Media &amp; Entertainment</v>
      </c>
      <c r="L168" s="14" t="str">
        <f>VLOOKUP(B168,[1]Companies!$A$1:$C$5243,1,FALSE)</f>
        <v>Omg Digital</v>
      </c>
      <c r="M168" s="15">
        <f t="shared" si="246"/>
        <v>0.9</v>
      </c>
      <c r="N168" s="10" t="str">
        <f t="shared" si="247"/>
        <v>42489OMG Digital120000</v>
      </c>
      <c r="O168" s="14" t="str">
        <f t="shared" si="248"/>
        <v/>
      </c>
      <c r="P168" s="14">
        <f t="shared" si="249"/>
        <v>1</v>
      </c>
      <c r="Q168" s="14">
        <f t="array" ref="Q168">IFERROR(INDEX([1]Companies!$D:$D,MATCH(B168,[1]Companies!$A:$A,0)),"")</f>
        <v>2016</v>
      </c>
      <c r="R168" s="17">
        <f t="shared" si="250"/>
        <v>1220000</v>
      </c>
      <c r="S168" s="14">
        <f>VLOOKUP(I168,[1]Lookups!$V$3:$Y$197,4,FALSE)</f>
        <v>0</v>
      </c>
      <c r="T168" s="14" t="str">
        <f>VLOOKUP(E168,[1]Lookups!$H$3:$I$71,2,FALSE)</f>
        <v>2. Seed</v>
      </c>
      <c r="U168" s="14" t="str">
        <f>VLOOKUP(K168,[1]Lookups!$B$3:$C$142,2,FALSE)</f>
        <v>Media &amp; Entertainment</v>
      </c>
      <c r="V168" s="14">
        <f t="shared" si="1"/>
        <v>2016</v>
      </c>
      <c r="W168" s="14">
        <f t="shared" si="2"/>
        <v>4</v>
      </c>
      <c r="X168" s="14">
        <f>VLOOKUP(W168,[1]Lookups!$P$3:$S$15,2,FALSE)</f>
        <v>2</v>
      </c>
      <c r="Y168" s="16">
        <f>VLOOKUP(W168,[1]Lookups!$P$3:$U$15,3,FALSE)</f>
        <v>1</v>
      </c>
      <c r="Z168" s="16">
        <f t="shared" si="3"/>
        <v>1</v>
      </c>
      <c r="AA168" s="16" t="str">
        <f t="shared" ca="1" si="257"/>
        <v>Spark Capital</v>
      </c>
      <c r="AB168" s="16">
        <f t="shared" si="257"/>
        <v>0</v>
      </c>
      <c r="AC168" s="16">
        <f t="shared" si="257"/>
        <v>0</v>
      </c>
      <c r="AD168" s="16">
        <f t="shared" si="257"/>
        <v>0</v>
      </c>
      <c r="AE168" s="16">
        <f t="shared" si="257"/>
        <v>0</v>
      </c>
      <c r="AF168" s="16">
        <f t="shared" si="257"/>
        <v>0</v>
      </c>
      <c r="AG168" s="16">
        <f t="shared" si="257"/>
        <v>0</v>
      </c>
      <c r="AH168" s="16">
        <f t="shared" si="257"/>
        <v>0</v>
      </c>
      <c r="AI168" s="16">
        <f t="shared" si="257"/>
        <v>0</v>
      </c>
      <c r="AJ168" s="16">
        <f t="shared" si="257"/>
        <v>0</v>
      </c>
      <c r="AK168" s="16">
        <f t="shared" si="257"/>
        <v>0</v>
      </c>
      <c r="AL168" s="16">
        <f t="shared" si="257"/>
        <v>0</v>
      </c>
      <c r="AM168" s="16">
        <f t="shared" si="257"/>
        <v>0</v>
      </c>
      <c r="AN168" s="16">
        <f t="shared" si="257"/>
        <v>0</v>
      </c>
      <c r="AO168" s="16">
        <f t="shared" si="257"/>
        <v>0</v>
      </c>
      <c r="AP168" s="10"/>
      <c r="AQ168" s="10"/>
      <c r="AR168" s="10"/>
      <c r="AS168" s="10" t="str">
        <f t="shared" ref="AS168" ca="1" si="269">IFERROR(__xludf.DUMMYFUNCTION("split(F109,"","",true,true)"),"Spark Capital")</f>
        <v>Spark Capital</v>
      </c>
      <c r="AT168" s="10"/>
      <c r="AU168" s="10"/>
      <c r="AV168" s="10"/>
      <c r="AW168" s="10"/>
      <c r="AX168" s="10"/>
      <c r="AY168" s="10"/>
      <c r="AZ168" s="10"/>
      <c r="BA168" s="10"/>
      <c r="BB168" s="10"/>
      <c r="BC168" s="10"/>
      <c r="BD168" s="10"/>
      <c r="BE168" s="10"/>
      <c r="BF168" s="10"/>
      <c r="BG168" s="10"/>
      <c r="BH168" s="10"/>
      <c r="BI168" s="10"/>
      <c r="BJ168" s="10"/>
      <c r="BK168" s="10"/>
      <c r="BM168" s="10"/>
    </row>
    <row r="169" spans="1:65" ht="12.75">
      <c r="A169" s="9">
        <v>42491</v>
      </c>
      <c r="B169" s="10" t="s">
        <v>372</v>
      </c>
      <c r="C169" s="11" t="s">
        <v>49</v>
      </c>
      <c r="D169" s="12"/>
      <c r="E169" s="10" t="s">
        <v>55</v>
      </c>
      <c r="F169" s="10" t="s">
        <v>430</v>
      </c>
      <c r="G169" s="13" t="s">
        <v>431</v>
      </c>
      <c r="H169" s="14" t="str">
        <f t="array" ref="H169">IFERROR(INDEX([1]Companies!$G:$G,MATCH(B169,[1]Companies!$A:$A,0)),"")</f>
        <v>Kenya</v>
      </c>
      <c r="I169" s="14" t="str">
        <f t="shared" si="245"/>
        <v>Kenya</v>
      </c>
      <c r="J169" s="14" t="str">
        <f t="array" ref="J169">IFERROR(INDEX([1]Companies!$Y:$Y,MATCH(B169,[1]Companies!$A:$A,0)),"")</f>
        <v>Clean Energy, Oil and Gas</v>
      </c>
      <c r="K169" s="14" t="str">
        <f t="array" ref="K169">IFERROR(INDEX([1]Companies!$X:$X,MATCH(B169,[1]Companies!$A:$A,0)),"")</f>
        <v>Energy &amp; Environment Resources</v>
      </c>
      <c r="L169" s="14" t="str">
        <f>VLOOKUP(B169,[1]Companies!$A$1:$C$5243,1,FALSE)</f>
        <v>PayGo Energy</v>
      </c>
      <c r="M169" s="15">
        <f t="shared" si="246"/>
        <v>0.9</v>
      </c>
      <c r="N169" s="10" t="str">
        <f t="shared" si="247"/>
        <v>42491PayGo EnergyUndisclosed</v>
      </c>
      <c r="O169" s="14" t="str">
        <f t="shared" si="248"/>
        <v/>
      </c>
      <c r="P169" s="14">
        <f t="shared" si="249"/>
        <v>0</v>
      </c>
      <c r="Q169" s="14">
        <f t="array" ref="Q169">IFERROR(INDEX([1]Companies!$D:$D,MATCH(B169,[1]Companies!$A:$A,0)),"")</f>
        <v>2014</v>
      </c>
      <c r="R169" s="17">
        <f t="shared" si="250"/>
        <v>4900000</v>
      </c>
      <c r="S169" s="14">
        <f>VLOOKUP(I169,[1]Lookups!$V$3:$Y$197,4,FALSE)</f>
        <v>0</v>
      </c>
      <c r="T169" s="14" t="str">
        <f>VLOOKUP(E169,[1]Lookups!$H$3:$I$71,2,FALSE)</f>
        <v>1. Grant</v>
      </c>
      <c r="U169" s="14" t="e">
        <f>VLOOKUP(K169,[1]Lookups!$B$3:$C$142,2,FALSE)</f>
        <v>#N/A</v>
      </c>
      <c r="V169" s="14">
        <f t="shared" si="1"/>
        <v>2016</v>
      </c>
      <c r="W169" s="14">
        <f t="shared" si="2"/>
        <v>5</v>
      </c>
      <c r="X169" s="14">
        <f>VLOOKUP(W169,[1]Lookups!$P$3:$S$15,2,FALSE)</f>
        <v>2</v>
      </c>
      <c r="Y169" s="16">
        <f>VLOOKUP(W169,[1]Lookups!$P$3:$U$15,3,FALSE)</f>
        <v>1</v>
      </c>
      <c r="Z169" s="16">
        <f t="shared" si="3"/>
        <v>1</v>
      </c>
      <c r="AA169" s="16" t="str">
        <f t="shared" ca="1" si="257"/>
        <v>Spark Capital</v>
      </c>
      <c r="AB169" s="16">
        <f t="shared" si="257"/>
        <v>0</v>
      </c>
      <c r="AC169" s="16">
        <f t="shared" si="257"/>
        <v>0</v>
      </c>
      <c r="AD169" s="16">
        <f t="shared" si="257"/>
        <v>0</v>
      </c>
      <c r="AE169" s="16">
        <f t="shared" si="257"/>
        <v>0</v>
      </c>
      <c r="AF169" s="16">
        <f t="shared" si="257"/>
        <v>0</v>
      </c>
      <c r="AG169" s="16">
        <f t="shared" si="257"/>
        <v>0</v>
      </c>
      <c r="AH169" s="16">
        <f t="shared" si="257"/>
        <v>0</v>
      </c>
      <c r="AI169" s="16">
        <f t="shared" si="257"/>
        <v>0</v>
      </c>
      <c r="AJ169" s="16">
        <f t="shared" si="257"/>
        <v>0</v>
      </c>
      <c r="AK169" s="16">
        <f t="shared" si="257"/>
        <v>0</v>
      </c>
      <c r="AL169" s="16">
        <f t="shared" si="257"/>
        <v>0</v>
      </c>
      <c r="AM169" s="16">
        <f t="shared" si="257"/>
        <v>0</v>
      </c>
      <c r="AN169" s="16">
        <f t="shared" si="257"/>
        <v>0</v>
      </c>
      <c r="AO169" s="16">
        <f t="shared" si="257"/>
        <v>0</v>
      </c>
      <c r="AP169" s="10"/>
      <c r="AQ169" s="10"/>
      <c r="AR169" s="10"/>
      <c r="AS169" s="10" t="str">
        <f t="shared" ref="AS169" ca="1" si="270">IFERROR(__xludf.DUMMYFUNCTION("split(F109,"","",true,true)"),"Spark Capital")</f>
        <v>Spark Capital</v>
      </c>
      <c r="AT169" s="10"/>
      <c r="AU169" s="10"/>
      <c r="AV169" s="10"/>
      <c r="AW169" s="10"/>
      <c r="AX169" s="10"/>
      <c r="AY169" s="10"/>
      <c r="AZ169" s="10"/>
      <c r="BA169" s="10"/>
      <c r="BB169" s="10"/>
      <c r="BC169" s="10"/>
      <c r="BD169" s="10"/>
      <c r="BE169" s="10"/>
      <c r="BF169" s="10"/>
      <c r="BG169" s="10"/>
      <c r="BH169" s="10"/>
      <c r="BI169" s="10"/>
      <c r="BJ169" s="10"/>
      <c r="BK169" s="10"/>
      <c r="BM169" s="10"/>
    </row>
    <row r="170" spans="1:65" ht="12.75">
      <c r="A170" s="9">
        <v>42494</v>
      </c>
      <c r="B170" s="10" t="s">
        <v>166</v>
      </c>
      <c r="C170" s="11" t="s">
        <v>49</v>
      </c>
      <c r="D170" s="12"/>
      <c r="E170" s="10" t="s">
        <v>51</v>
      </c>
      <c r="F170" s="10" t="s">
        <v>52</v>
      </c>
      <c r="G170" s="13" t="s">
        <v>432</v>
      </c>
      <c r="H170" s="14" t="str">
        <f t="array" ref="H170">IFERROR(INDEX([1]Companies!$G:$G,MATCH(B170,[1]Companies!$A:$A,0)),"")</f>
        <v>South Africa</v>
      </c>
      <c r="I170" s="14" t="str">
        <f t="shared" si="245"/>
        <v>South Africa</v>
      </c>
      <c r="J170" s="14" t="str">
        <f t="array" ref="J170">IFERROR(INDEX([1]Companies!$Y:$Y,MATCH(B170,[1]Companies!$A:$A,0)),"")</f>
        <v>Technology, Mobile Money, Big Data, Digital Financial Services, Mobile Financial Services, Financial Technology</v>
      </c>
      <c r="K170" s="14" t="str">
        <f t="array" ref="K170">IFERROR(INDEX([1]Companies!$X:$X,MATCH(B170,[1]Companies!$A:$A,0)),"")</f>
        <v>Financial Services</v>
      </c>
      <c r="L170" s="14" t="str">
        <f>VLOOKUP(B170,[1]Companies!$A$1:$C$5243,1,FALSE)</f>
        <v>Jumo</v>
      </c>
      <c r="M170" s="15">
        <f t="shared" si="246"/>
        <v>0.9</v>
      </c>
      <c r="N170" s="10" t="str">
        <f t="shared" si="247"/>
        <v>42494JumoUndisclosed</v>
      </c>
      <c r="O170" s="14" t="str">
        <f t="shared" si="248"/>
        <v/>
      </c>
      <c r="P170" s="14">
        <f t="shared" si="249"/>
        <v>0</v>
      </c>
      <c r="Q170" s="14">
        <f t="array" ref="Q170">IFERROR(INDEX([1]Companies!$D:$D,MATCH(B170,[1]Companies!$A:$A,0)),"")</f>
        <v>2014</v>
      </c>
      <c r="R170" s="17">
        <f t="shared" si="250"/>
        <v>91700000</v>
      </c>
      <c r="S170" s="14">
        <f>VLOOKUP(I170,[1]Lookups!$V$3:$Y$197,4,FALSE)</f>
        <v>0</v>
      </c>
      <c r="T170" s="14" t="str">
        <f>VLOOKUP(E170,[1]Lookups!$H$3:$I$71,2,FALSE)</f>
        <v>6. Private Equity</v>
      </c>
      <c r="U170" s="14" t="str">
        <f>VLOOKUP(K170,[1]Lookups!$B$3:$C$142,2,FALSE)</f>
        <v>Financial Services</v>
      </c>
      <c r="V170" s="14">
        <f t="shared" si="1"/>
        <v>2016</v>
      </c>
      <c r="W170" s="14">
        <f t="shared" si="2"/>
        <v>5</v>
      </c>
      <c r="X170" s="14">
        <f>VLOOKUP(W170,[1]Lookups!$P$3:$S$15,2,FALSE)</f>
        <v>2</v>
      </c>
      <c r="Y170" s="16">
        <f>VLOOKUP(W170,[1]Lookups!$P$3:$U$15,3,FALSE)</f>
        <v>1</v>
      </c>
      <c r="Z170" s="16">
        <f t="shared" si="3"/>
        <v>1</v>
      </c>
      <c r="AA170" s="16" t="str">
        <f t="shared" ca="1" si="257"/>
        <v>Spark Capital</v>
      </c>
      <c r="AB170" s="16">
        <f t="shared" si="257"/>
        <v>0</v>
      </c>
      <c r="AC170" s="16">
        <f t="shared" si="257"/>
        <v>0</v>
      </c>
      <c r="AD170" s="16">
        <f t="shared" si="257"/>
        <v>0</v>
      </c>
      <c r="AE170" s="16">
        <f t="shared" si="257"/>
        <v>0</v>
      </c>
      <c r="AF170" s="16">
        <f t="shared" si="257"/>
        <v>0</v>
      </c>
      <c r="AG170" s="16">
        <f t="shared" si="257"/>
        <v>0</v>
      </c>
      <c r="AH170" s="16">
        <f t="shared" si="257"/>
        <v>0</v>
      </c>
      <c r="AI170" s="16">
        <f t="shared" si="257"/>
        <v>0</v>
      </c>
      <c r="AJ170" s="16">
        <f t="shared" si="257"/>
        <v>0</v>
      </c>
      <c r="AK170" s="16">
        <f t="shared" si="257"/>
        <v>0</v>
      </c>
      <c r="AL170" s="16">
        <f t="shared" si="257"/>
        <v>0</v>
      </c>
      <c r="AM170" s="16">
        <f t="shared" si="257"/>
        <v>0</v>
      </c>
      <c r="AN170" s="16">
        <f t="shared" si="257"/>
        <v>0</v>
      </c>
      <c r="AO170" s="16">
        <f t="shared" si="257"/>
        <v>0</v>
      </c>
      <c r="AP170" s="10"/>
      <c r="AQ170" s="10"/>
      <c r="AR170" s="10"/>
      <c r="AS170" s="10" t="str">
        <f t="shared" ref="AS170" ca="1" si="271">IFERROR(__xludf.DUMMYFUNCTION("split(F109,"","",true,true)"),"Spark Capital")</f>
        <v>Spark Capital</v>
      </c>
      <c r="AT170" s="10"/>
      <c r="AU170" s="10"/>
      <c r="AV170" s="10"/>
      <c r="AW170" s="10"/>
      <c r="AX170" s="10"/>
      <c r="AY170" s="10"/>
      <c r="AZ170" s="10"/>
      <c r="BA170" s="10"/>
      <c r="BB170" s="10"/>
      <c r="BC170" s="10"/>
      <c r="BD170" s="10"/>
      <c r="BE170" s="10"/>
      <c r="BF170" s="10"/>
      <c r="BG170" s="10"/>
      <c r="BH170" s="10"/>
      <c r="BI170" s="10"/>
      <c r="BJ170" s="10"/>
      <c r="BK170" s="10"/>
      <c r="BM170" s="10"/>
    </row>
    <row r="171" spans="1:65" ht="12.75">
      <c r="A171" s="18">
        <v>42501</v>
      </c>
      <c r="B171" s="14" t="s">
        <v>433</v>
      </c>
      <c r="C171" s="19">
        <v>2500000</v>
      </c>
      <c r="D171" s="19"/>
      <c r="E171" s="10" t="s">
        <v>328</v>
      </c>
      <c r="F171" s="14" t="s">
        <v>49</v>
      </c>
      <c r="G171" s="21" t="s">
        <v>434</v>
      </c>
      <c r="H171" s="14" t="str">
        <f t="array" ref="H171">IFERROR(INDEX([1]Companies!$G:$G,MATCH(B171,[1]Companies!$A:$A,0)),"")</f>
        <v>South Africa</v>
      </c>
      <c r="I171" s="14" t="str">
        <f t="shared" si="245"/>
        <v>South Africa</v>
      </c>
      <c r="J171" s="14" t="str">
        <f t="array" ref="J171">IFERROR(INDEX([1]Companies!$Y:$Y,MATCH(B171,[1]Companies!$A:$A,0)),"")</f>
        <v>Cloud Computing, Identity Management, Information Services, Internet</v>
      </c>
      <c r="K171" s="14" t="str">
        <f t="array" ref="K171">IFERROR(INDEX([1]Companies!$X:$X,MATCH(B171,[1]Companies!$A:$A,0)),"")</f>
        <v>Information Technology</v>
      </c>
      <c r="L171" s="14" t="str">
        <f>VLOOKUP(B171,[1]Companies!$A$1:$C$5243,1,FALSE)</f>
        <v>Thisisme</v>
      </c>
      <c r="M171" s="15">
        <f t="shared" si="246"/>
        <v>0.9</v>
      </c>
      <c r="N171" s="10" t="str">
        <f t="shared" si="247"/>
        <v>42501ThisIsMe2500000</v>
      </c>
      <c r="O171" s="14" t="str">
        <f t="shared" si="248"/>
        <v/>
      </c>
      <c r="P171" s="14">
        <f t="shared" si="249"/>
        <v>1</v>
      </c>
      <c r="Q171" s="14">
        <f t="array" ref="Q171">IFERROR(INDEX([1]Companies!$D:$D,MATCH(B171,[1]Companies!$A:$A,0)),"")</f>
        <v>2014</v>
      </c>
      <c r="R171" s="17">
        <f t="shared" si="250"/>
        <v>2500000</v>
      </c>
      <c r="S171" s="14">
        <f>VLOOKUP(I171,[1]Lookups!$V$3:$Y$197,4,FALSE)</f>
        <v>0</v>
      </c>
      <c r="T171" s="14" t="str">
        <f>VLOOKUP(E171,[1]Lookups!$H$3:$I$71,2,FALSE)</f>
        <v>4. Late Venture</v>
      </c>
      <c r="U171" s="14" t="str">
        <f>VLOOKUP(K171,[1]Lookups!$B$3:$C$142,2,FALSE)</f>
        <v>Other Technologies &amp; Information Technology</v>
      </c>
      <c r="V171" s="14">
        <f t="shared" si="1"/>
        <v>2016</v>
      </c>
      <c r="W171" s="14">
        <f t="shared" si="2"/>
        <v>5</v>
      </c>
      <c r="X171" s="14">
        <f>VLOOKUP(W171,[1]Lookups!$P$3:$S$15,2,FALSE)</f>
        <v>2</v>
      </c>
      <c r="Y171" s="16">
        <f>VLOOKUP(W171,[1]Lookups!$P$3:$U$15,3,FALSE)</f>
        <v>1</v>
      </c>
      <c r="Z171" s="16">
        <f t="shared" si="3"/>
        <v>1</v>
      </c>
      <c r="AA171" s="16" t="str">
        <f t="shared" ca="1" si="257"/>
        <v>Spark Capital</v>
      </c>
      <c r="AB171" s="16">
        <f t="shared" si="257"/>
        <v>0</v>
      </c>
      <c r="AC171" s="16">
        <f t="shared" si="257"/>
        <v>0</v>
      </c>
      <c r="AD171" s="16">
        <f t="shared" si="257"/>
        <v>0</v>
      </c>
      <c r="AE171" s="16">
        <f t="shared" si="257"/>
        <v>0</v>
      </c>
      <c r="AF171" s="16">
        <f t="shared" si="257"/>
        <v>0</v>
      </c>
      <c r="AG171" s="16">
        <f t="shared" si="257"/>
        <v>0</v>
      </c>
      <c r="AH171" s="16">
        <f t="shared" si="257"/>
        <v>0</v>
      </c>
      <c r="AI171" s="16">
        <f t="shared" si="257"/>
        <v>0</v>
      </c>
      <c r="AJ171" s="16">
        <f t="shared" si="257"/>
        <v>0</v>
      </c>
      <c r="AK171" s="16">
        <f t="shared" si="257"/>
        <v>0</v>
      </c>
      <c r="AL171" s="16">
        <f t="shared" si="257"/>
        <v>0</v>
      </c>
      <c r="AM171" s="16">
        <f t="shared" si="257"/>
        <v>0</v>
      </c>
      <c r="AN171" s="16">
        <f t="shared" si="257"/>
        <v>0</v>
      </c>
      <c r="AO171" s="16">
        <f t="shared" si="257"/>
        <v>0</v>
      </c>
      <c r="AP171" s="10"/>
      <c r="AQ171" s="10"/>
      <c r="AR171" s="10"/>
      <c r="AS171" s="10" t="str">
        <f t="shared" ref="AS171" ca="1" si="272">IFERROR(__xludf.DUMMYFUNCTION("split(F109,"","",true,true)"),"Spark Capital")</f>
        <v>Spark Capital</v>
      </c>
      <c r="AT171" s="10"/>
      <c r="AU171" s="10"/>
      <c r="AV171" s="10"/>
      <c r="AW171" s="10"/>
      <c r="AX171" s="10"/>
      <c r="AY171" s="10"/>
      <c r="AZ171" s="10"/>
      <c r="BA171" s="10"/>
      <c r="BB171" s="10"/>
      <c r="BC171" s="10"/>
      <c r="BD171" s="10"/>
      <c r="BE171" s="10"/>
      <c r="BF171" s="10"/>
      <c r="BG171" s="10"/>
      <c r="BH171" s="10"/>
      <c r="BI171" s="10"/>
      <c r="BJ171" s="10"/>
      <c r="BK171" s="10"/>
      <c r="BM171" s="10"/>
    </row>
    <row r="172" spans="1:65" ht="12.75">
      <c r="A172" s="9">
        <v>42507</v>
      </c>
      <c r="B172" s="10" t="s">
        <v>68</v>
      </c>
      <c r="C172" s="11">
        <v>4000000</v>
      </c>
      <c r="D172" s="12"/>
      <c r="E172" s="10" t="s">
        <v>91</v>
      </c>
      <c r="F172" s="10" t="s">
        <v>49</v>
      </c>
      <c r="G172" s="13" t="s">
        <v>435</v>
      </c>
      <c r="H172" s="14" t="str">
        <f t="array" ref="H172">IFERROR(INDEX([1]Companies!$G:$G,MATCH(B172,[1]Companies!$A:$A,0)),"")</f>
        <v>Kenya</v>
      </c>
      <c r="I172" s="14" t="str">
        <f t="shared" si="245"/>
        <v>Kenya</v>
      </c>
      <c r="J172" s="14" t="str">
        <f t="array" ref="J172">IFERROR(INDEX([1]Companies!$Y:$Y,MATCH(B172,[1]Companies!$A:$A,0)),"")</f>
        <v>Energy, Financial Services, Mobile</v>
      </c>
      <c r="K172" s="14" t="str">
        <f t="array" ref="K172">IFERROR(INDEX([1]Companies!$X:$X,MATCH(B172,[1]Companies!$A:$A,0)),"")</f>
        <v>Energy &amp; Environment Resources</v>
      </c>
      <c r="L172" s="14" t="str">
        <f>VLOOKUP(B172,[1]Companies!$A$1:$C$5243,1,FALSE)</f>
        <v>M-Kopa</v>
      </c>
      <c r="M172" s="15">
        <f t="shared" si="246"/>
        <v>0.9</v>
      </c>
      <c r="N172" s="10" t="str">
        <f t="shared" si="247"/>
        <v>42507M-KOPA4000000</v>
      </c>
      <c r="O172" s="14" t="str">
        <f t="shared" si="248"/>
        <v/>
      </c>
      <c r="P172" s="14">
        <f t="shared" si="249"/>
        <v>1</v>
      </c>
      <c r="Q172" s="14">
        <f t="array" ref="Q172">IFERROR(INDEX([1]Companies!$D:$D,MATCH(B172,[1]Companies!$A:$A,0)),"")</f>
        <v>2011</v>
      </c>
      <c r="R172" s="17">
        <f t="shared" si="250"/>
        <v>161800000</v>
      </c>
      <c r="S172" s="14">
        <f>VLOOKUP(I172,[1]Lookups!$V$3:$Y$197,4,FALSE)</f>
        <v>0</v>
      </c>
      <c r="T172" s="14" t="str">
        <f>VLOOKUP(E172,[1]Lookups!$H$3:$I$71,2,FALSE)</f>
        <v>5. Debt Financing</v>
      </c>
      <c r="U172" s="14" t="e">
        <f>VLOOKUP(K172,[1]Lookups!$B$3:$C$142,2,FALSE)</f>
        <v>#N/A</v>
      </c>
      <c r="V172" s="14">
        <f t="shared" si="1"/>
        <v>2016</v>
      </c>
      <c r="W172" s="14">
        <f t="shared" si="2"/>
        <v>5</v>
      </c>
      <c r="X172" s="14">
        <f>VLOOKUP(W172,[1]Lookups!$P$3:$S$15,2,FALSE)</f>
        <v>2</v>
      </c>
      <c r="Y172" s="16">
        <f>VLOOKUP(W172,[1]Lookups!$P$3:$U$15,3,FALSE)</f>
        <v>1</v>
      </c>
      <c r="Z172" s="16">
        <f t="shared" si="3"/>
        <v>1</v>
      </c>
      <c r="AA172" s="16" t="str">
        <f t="shared" ca="1" si="257"/>
        <v>Spark Capital</v>
      </c>
      <c r="AB172" s="16">
        <f t="shared" si="257"/>
        <v>0</v>
      </c>
      <c r="AC172" s="16">
        <f t="shared" si="257"/>
        <v>0</v>
      </c>
      <c r="AD172" s="16">
        <f t="shared" si="257"/>
        <v>0</v>
      </c>
      <c r="AE172" s="16">
        <f t="shared" si="257"/>
        <v>0</v>
      </c>
      <c r="AF172" s="16">
        <f t="shared" si="257"/>
        <v>0</v>
      </c>
      <c r="AG172" s="16">
        <f t="shared" si="257"/>
        <v>0</v>
      </c>
      <c r="AH172" s="16">
        <f t="shared" si="257"/>
        <v>0</v>
      </c>
      <c r="AI172" s="16">
        <f t="shared" si="257"/>
        <v>0</v>
      </c>
      <c r="AJ172" s="16">
        <f t="shared" si="257"/>
        <v>0</v>
      </c>
      <c r="AK172" s="16">
        <f t="shared" si="257"/>
        <v>0</v>
      </c>
      <c r="AL172" s="16">
        <f t="shared" si="257"/>
        <v>0</v>
      </c>
      <c r="AM172" s="16">
        <f t="shared" si="257"/>
        <v>0</v>
      </c>
      <c r="AN172" s="16">
        <f t="shared" si="257"/>
        <v>0</v>
      </c>
      <c r="AO172" s="16">
        <f t="shared" si="257"/>
        <v>0</v>
      </c>
      <c r="AP172" s="10"/>
      <c r="AQ172" s="10"/>
      <c r="AR172" s="10"/>
      <c r="AS172" s="10" t="str">
        <f t="shared" ref="AS172" ca="1" si="273">IFERROR(__xludf.DUMMYFUNCTION("split(F109,"","",true,true)"),"Spark Capital")</f>
        <v>Spark Capital</v>
      </c>
      <c r="AT172" s="10"/>
      <c r="AU172" s="10"/>
      <c r="AV172" s="10"/>
      <c r="AW172" s="10"/>
      <c r="AX172" s="10"/>
      <c r="AY172" s="10"/>
      <c r="AZ172" s="10"/>
      <c r="BA172" s="10"/>
      <c r="BB172" s="10"/>
      <c r="BC172" s="10"/>
      <c r="BD172" s="10"/>
      <c r="BE172" s="10"/>
      <c r="BF172" s="10"/>
      <c r="BG172" s="10"/>
      <c r="BH172" s="10"/>
      <c r="BI172" s="10"/>
      <c r="BJ172" s="10"/>
      <c r="BK172" s="10"/>
      <c r="BM172" s="10"/>
    </row>
    <row r="173" spans="1:65" ht="12.75">
      <c r="A173" s="18">
        <v>42514</v>
      </c>
      <c r="B173" s="14" t="s">
        <v>436</v>
      </c>
      <c r="C173" s="19">
        <v>2000000</v>
      </c>
      <c r="D173" s="19"/>
      <c r="E173" s="10" t="s">
        <v>91</v>
      </c>
      <c r="F173" s="20" t="s">
        <v>437</v>
      </c>
      <c r="G173" s="21" t="s">
        <v>438</v>
      </c>
      <c r="H173" s="14" t="str">
        <f t="array" ref="H173">IFERROR(INDEX([1]Companies!$G:$G,MATCH(B173,[1]Companies!$A:$A,0)),"")</f>
        <v>Uganda</v>
      </c>
      <c r="I173" s="14" t="str">
        <f t="shared" si="245"/>
        <v>Uganda</v>
      </c>
      <c r="J173" s="14" t="str">
        <f t="array" ref="J173">IFERROR(INDEX([1]Companies!$Y:$Y,MATCH(B173,[1]Companies!$A:$A,0)),"")</f>
        <v>Solar PV (Solar Home Systems), Rural Off-grid markets in Africa, Financing, and Distribution</v>
      </c>
      <c r="K173" s="14" t="str">
        <f t="array" ref="K173">IFERROR(INDEX([1]Companies!$X:$X,MATCH(B173,[1]Companies!$A:$A,0)),"")</f>
        <v>Energy &amp; Environment Resources</v>
      </c>
      <c r="L173" s="14" t="str">
        <f>VLOOKUP(B173,[1]Companies!$A$1:$C$5243,1,FALSE)</f>
        <v>Solarnow</v>
      </c>
      <c r="M173" s="15">
        <f t="shared" si="246"/>
        <v>0.9</v>
      </c>
      <c r="N173" s="10" t="str">
        <f t="shared" si="247"/>
        <v>42514SolarNow2000000</v>
      </c>
      <c r="O173" s="14" t="str">
        <f t="shared" si="248"/>
        <v/>
      </c>
      <c r="P173" s="14">
        <f t="shared" si="249"/>
        <v>1</v>
      </c>
      <c r="Q173" s="14">
        <f t="array" ref="Q173">IFERROR(INDEX([1]Companies!$D:$D,MATCH(B173,[1]Companies!$A:$A,0)),"")</f>
        <v>2011</v>
      </c>
      <c r="R173" s="17">
        <f t="shared" si="250"/>
        <v>17740000</v>
      </c>
      <c r="S173" s="14">
        <f>VLOOKUP(I173,[1]Lookups!$V$3:$Y$197,4,FALSE)</f>
        <v>0</v>
      </c>
      <c r="T173" s="14" t="str">
        <f>VLOOKUP(E173,[1]Lookups!$H$3:$I$71,2,FALSE)</f>
        <v>5. Debt Financing</v>
      </c>
      <c r="U173" s="14" t="e">
        <f>VLOOKUP(K173,[1]Lookups!$B$3:$C$142,2,FALSE)</f>
        <v>#N/A</v>
      </c>
      <c r="V173" s="14">
        <f t="shared" si="1"/>
        <v>2016</v>
      </c>
      <c r="W173" s="14">
        <f t="shared" si="2"/>
        <v>5</v>
      </c>
      <c r="X173" s="14">
        <f>VLOOKUP(W173,[1]Lookups!$P$3:$S$15,2,FALSE)</f>
        <v>2</v>
      </c>
      <c r="Y173" s="16">
        <f>VLOOKUP(W173,[1]Lookups!$P$3:$U$15,3,FALSE)</f>
        <v>1</v>
      </c>
      <c r="Z173" s="16">
        <f t="shared" si="3"/>
        <v>1</v>
      </c>
      <c r="AA173" s="16" t="str">
        <f t="shared" ref="AA173:AO188" ca="1" si="274">AS173</f>
        <v>Spark Capital</v>
      </c>
      <c r="AB173" s="16">
        <f t="shared" si="274"/>
        <v>0</v>
      </c>
      <c r="AC173" s="16">
        <f t="shared" si="274"/>
        <v>0</v>
      </c>
      <c r="AD173" s="16">
        <f t="shared" si="274"/>
        <v>0</v>
      </c>
      <c r="AE173" s="16">
        <f t="shared" si="274"/>
        <v>0</v>
      </c>
      <c r="AF173" s="16">
        <f t="shared" si="274"/>
        <v>0</v>
      </c>
      <c r="AG173" s="16">
        <f t="shared" si="274"/>
        <v>0</v>
      </c>
      <c r="AH173" s="16">
        <f t="shared" si="274"/>
        <v>0</v>
      </c>
      <c r="AI173" s="16">
        <f t="shared" si="274"/>
        <v>0</v>
      </c>
      <c r="AJ173" s="16">
        <f t="shared" si="274"/>
        <v>0</v>
      </c>
      <c r="AK173" s="16">
        <f t="shared" si="274"/>
        <v>0</v>
      </c>
      <c r="AL173" s="16">
        <f t="shared" si="274"/>
        <v>0</v>
      </c>
      <c r="AM173" s="16">
        <f t="shared" si="274"/>
        <v>0</v>
      </c>
      <c r="AN173" s="16">
        <f t="shared" si="274"/>
        <v>0</v>
      </c>
      <c r="AO173" s="16">
        <f t="shared" si="274"/>
        <v>0</v>
      </c>
      <c r="AP173" s="10"/>
      <c r="AQ173" s="10"/>
      <c r="AR173" s="10"/>
      <c r="AS173" s="10" t="str">
        <f t="shared" ref="AS173" ca="1" si="275">IFERROR(__xludf.DUMMYFUNCTION("split(F109,"","",true,true)"),"Spark Capital")</f>
        <v>Spark Capital</v>
      </c>
      <c r="AT173" s="23"/>
      <c r="AU173" s="23"/>
      <c r="AV173" s="23"/>
      <c r="AW173" s="23"/>
      <c r="AX173" s="23"/>
      <c r="AY173" s="23"/>
      <c r="AZ173" s="23"/>
      <c r="BA173" s="23"/>
      <c r="BB173" s="23"/>
      <c r="BC173" s="23"/>
      <c r="BD173" s="23"/>
      <c r="BE173" s="23"/>
      <c r="BF173" s="23"/>
      <c r="BG173" s="23"/>
      <c r="BH173" s="23"/>
      <c r="BI173" s="23"/>
      <c r="BJ173" s="23"/>
      <c r="BK173" s="23"/>
      <c r="BM173" s="23"/>
    </row>
    <row r="174" spans="1:65" ht="12.75">
      <c r="A174" s="18">
        <v>42514</v>
      </c>
      <c r="B174" s="28" t="s">
        <v>439</v>
      </c>
      <c r="C174" s="19">
        <v>127000</v>
      </c>
      <c r="D174" s="19"/>
      <c r="E174" s="14" t="s">
        <v>45</v>
      </c>
      <c r="F174" s="20" t="s">
        <v>440</v>
      </c>
      <c r="G174" s="21" t="s">
        <v>441</v>
      </c>
      <c r="H174" s="14" t="str">
        <f t="array" ref="H174">IFERROR(INDEX([1]Companies!$G:$G,MATCH(B174,[1]Companies!$A:$A,0)),"")</f>
        <v>South Africa</v>
      </c>
      <c r="I174" s="14" t="str">
        <f t="shared" si="245"/>
        <v>South Africa</v>
      </c>
      <c r="J174" s="14" t="str">
        <f t="array" ref="J174">IFERROR(INDEX([1]Companies!$Y:$Y,MATCH(B174,[1]Companies!$A:$A,0)),"")</f>
        <v>Advertising, Information Technology, Product Research</v>
      </c>
      <c r="K174" s="14" t="str">
        <f t="array" ref="K174">IFERROR(INDEX([1]Companies!$X:$X,MATCH(B174,[1]Companies!$A:$A,0)),"")</f>
        <v>Media &amp; Entertainment</v>
      </c>
      <c r="L174" s="21" t="str">
        <f>VLOOKUP(B174,[1]Companies!$A$1:$C$5243,1,FALSE)</f>
        <v>Delvv.Io</v>
      </c>
      <c r="M174" s="15">
        <f t="shared" si="246"/>
        <v>0.9</v>
      </c>
      <c r="N174" s="10" t="str">
        <f t="shared" si="247"/>
        <v>42514delvv.io127000</v>
      </c>
      <c r="O174" s="14" t="str">
        <f t="shared" si="248"/>
        <v/>
      </c>
      <c r="P174" s="14">
        <f t="shared" si="249"/>
        <v>1</v>
      </c>
      <c r="Q174" s="14">
        <f t="array" ref="Q174">IFERROR(INDEX([1]Companies!$D:$D,MATCH(B174,[1]Companies!$A:$A,0)),"")</f>
        <v>2016</v>
      </c>
      <c r="R174" s="17">
        <f t="shared" si="250"/>
        <v>584000</v>
      </c>
      <c r="S174" s="14">
        <f>VLOOKUP(I174,[1]Lookups!$V$3:$Y$197,4,FALSE)</f>
        <v>0</v>
      </c>
      <c r="T174" s="14" t="str">
        <f>VLOOKUP(E174,[1]Lookups!$H$3:$I$71,2,FALSE)</f>
        <v>2. Seed</v>
      </c>
      <c r="U174" s="14" t="str">
        <f>VLOOKUP(K174,[1]Lookups!$B$3:$C$142,2,FALSE)</f>
        <v>Media &amp; Entertainment</v>
      </c>
      <c r="V174" s="14">
        <f t="shared" si="1"/>
        <v>2016</v>
      </c>
      <c r="W174" s="14">
        <f t="shared" si="2"/>
        <v>5</v>
      </c>
      <c r="X174" s="14">
        <f>VLOOKUP(W174,[1]Lookups!$P$3:$S$15,2,FALSE)</f>
        <v>2</v>
      </c>
      <c r="Y174" s="16">
        <f>VLOOKUP(W174,[1]Lookups!$P$3:$U$15,3,FALSE)</f>
        <v>1</v>
      </c>
      <c r="Z174" s="16">
        <f t="shared" si="3"/>
        <v>1</v>
      </c>
      <c r="AA174" s="16" t="str">
        <f t="shared" ca="1" si="274"/>
        <v>Spark Capital</v>
      </c>
      <c r="AB174" s="16">
        <f t="shared" si="274"/>
        <v>0</v>
      </c>
      <c r="AC174" s="16">
        <f t="shared" si="274"/>
        <v>0</v>
      </c>
      <c r="AD174" s="16">
        <f t="shared" si="274"/>
        <v>0</v>
      </c>
      <c r="AE174" s="16">
        <f t="shared" si="274"/>
        <v>0</v>
      </c>
      <c r="AF174" s="16">
        <f t="shared" si="274"/>
        <v>0</v>
      </c>
      <c r="AG174" s="16">
        <f t="shared" si="274"/>
        <v>0</v>
      </c>
      <c r="AH174" s="16">
        <f t="shared" si="274"/>
        <v>0</v>
      </c>
      <c r="AI174" s="16">
        <f t="shared" si="274"/>
        <v>0</v>
      </c>
      <c r="AJ174" s="16">
        <f t="shared" si="274"/>
        <v>0</v>
      </c>
      <c r="AK174" s="16">
        <f t="shared" si="274"/>
        <v>0</v>
      </c>
      <c r="AL174" s="16">
        <f t="shared" si="274"/>
        <v>0</v>
      </c>
      <c r="AM174" s="16">
        <f t="shared" si="274"/>
        <v>0</v>
      </c>
      <c r="AN174" s="16">
        <f t="shared" si="274"/>
        <v>0</v>
      </c>
      <c r="AO174" s="16">
        <f t="shared" si="274"/>
        <v>0</v>
      </c>
      <c r="AP174" s="10"/>
      <c r="AQ174" s="10"/>
      <c r="AR174" s="10"/>
      <c r="AS174" s="10" t="str">
        <f t="shared" ref="AS174" ca="1" si="276">IFERROR(__xludf.DUMMYFUNCTION("split(F109,"","",true,true)"),"Spark Capital")</f>
        <v>Spark Capital</v>
      </c>
      <c r="AT174" s="10"/>
      <c r="AU174" s="10"/>
      <c r="AV174" s="10"/>
      <c r="AW174" s="10"/>
      <c r="AX174" s="10"/>
      <c r="AY174" s="10"/>
      <c r="AZ174" s="10"/>
      <c r="BA174" s="10"/>
      <c r="BB174" s="10"/>
      <c r="BC174" s="10"/>
      <c r="BD174" s="10"/>
      <c r="BE174" s="10"/>
      <c r="BF174" s="10"/>
      <c r="BG174" s="10"/>
      <c r="BH174" s="10"/>
      <c r="BI174" s="10"/>
      <c r="BJ174" s="10"/>
      <c r="BK174" s="10"/>
      <c r="BM174" s="10"/>
    </row>
    <row r="175" spans="1:65" ht="12.75">
      <c r="A175" s="18">
        <v>42515</v>
      </c>
      <c r="B175" s="14" t="s">
        <v>442</v>
      </c>
      <c r="C175" s="19" t="s">
        <v>49</v>
      </c>
      <c r="D175" s="22"/>
      <c r="E175" s="14" t="s">
        <v>45</v>
      </c>
      <c r="F175" s="14" t="s">
        <v>49</v>
      </c>
      <c r="G175" s="21" t="s">
        <v>443</v>
      </c>
      <c r="H175" s="14" t="str">
        <f t="array" ref="H175">IFERROR(INDEX([1]Companies!$G:$G,MATCH(B175,[1]Companies!$A:$A,0)),"")</f>
        <v>Tunisia</v>
      </c>
      <c r="I175" s="14" t="str">
        <f t="shared" si="245"/>
        <v>Tunisia</v>
      </c>
      <c r="J175" s="14" t="str">
        <f t="array" ref="J175">IFERROR(INDEX([1]Companies!$Y:$Y,MATCH(B175,[1]Companies!$A:$A,0)),"")</f>
        <v>Accounting, Financial Services, Mobile Apps, FInance Management</v>
      </c>
      <c r="K175" s="14" t="str">
        <f t="array" ref="K175">IFERROR(INDEX([1]Companies!$X:$X,MATCH(B175,[1]Companies!$A:$A,0)),"")</f>
        <v>Financial Services</v>
      </c>
      <c r="L175" s="14" t="str">
        <f>VLOOKUP(B175,[1]Companies!$A$1:$C$5243,1,FALSE)</f>
        <v>Expensya</v>
      </c>
      <c r="M175" s="15">
        <f t="shared" si="246"/>
        <v>0.9</v>
      </c>
      <c r="N175" s="10" t="str">
        <f t="shared" si="247"/>
        <v>42515ExpensyaUndisclosed</v>
      </c>
      <c r="O175" s="14" t="str">
        <f t="shared" si="248"/>
        <v/>
      </c>
      <c r="P175" s="14">
        <f t="shared" si="249"/>
        <v>0</v>
      </c>
      <c r="Q175" s="14">
        <f t="array" ref="Q175">IFERROR(INDEX([1]Companies!$D:$D,MATCH(B175,[1]Companies!$A:$A,0)),"")</f>
        <v>2014</v>
      </c>
      <c r="R175" s="17">
        <f t="shared" si="250"/>
        <v>4500000</v>
      </c>
      <c r="S175" s="14">
        <f>VLOOKUP(I175,[1]Lookups!$V$3:$Y$197,4,FALSE)</f>
        <v>0</v>
      </c>
      <c r="T175" s="14" t="str">
        <f>VLOOKUP(E175,[1]Lookups!$H$3:$I$71,2,FALSE)</f>
        <v>2. Seed</v>
      </c>
      <c r="U175" s="14" t="str">
        <f>VLOOKUP(K175,[1]Lookups!$B$3:$C$142,2,FALSE)</f>
        <v>Financial Services</v>
      </c>
      <c r="V175" s="14">
        <f t="shared" si="1"/>
        <v>2016</v>
      </c>
      <c r="W175" s="14">
        <f t="shared" si="2"/>
        <v>5</v>
      </c>
      <c r="X175" s="14">
        <f>VLOOKUP(W175,[1]Lookups!$P$3:$S$15,2,FALSE)</f>
        <v>2</v>
      </c>
      <c r="Y175" s="16">
        <f>VLOOKUP(W175,[1]Lookups!$P$3:$U$15,3,FALSE)</f>
        <v>1</v>
      </c>
      <c r="Z175" s="16">
        <f t="shared" si="3"/>
        <v>1</v>
      </c>
      <c r="AA175" s="16" t="str">
        <f t="shared" ca="1" si="274"/>
        <v>Spark Capital</v>
      </c>
      <c r="AB175" s="16">
        <f t="shared" si="274"/>
        <v>0</v>
      </c>
      <c r="AC175" s="16">
        <f t="shared" si="274"/>
        <v>0</v>
      </c>
      <c r="AD175" s="16">
        <f t="shared" si="274"/>
        <v>0</v>
      </c>
      <c r="AE175" s="16">
        <f t="shared" si="274"/>
        <v>0</v>
      </c>
      <c r="AF175" s="16">
        <f t="shared" si="274"/>
        <v>0</v>
      </c>
      <c r="AG175" s="16">
        <f t="shared" si="274"/>
        <v>0</v>
      </c>
      <c r="AH175" s="16">
        <f t="shared" si="274"/>
        <v>0</v>
      </c>
      <c r="AI175" s="16">
        <f t="shared" si="274"/>
        <v>0</v>
      </c>
      <c r="AJ175" s="16">
        <f t="shared" si="274"/>
        <v>0</v>
      </c>
      <c r="AK175" s="16">
        <f t="shared" si="274"/>
        <v>0</v>
      </c>
      <c r="AL175" s="16">
        <f t="shared" si="274"/>
        <v>0</v>
      </c>
      <c r="AM175" s="16">
        <f t="shared" si="274"/>
        <v>0</v>
      </c>
      <c r="AN175" s="16">
        <f t="shared" si="274"/>
        <v>0</v>
      </c>
      <c r="AO175" s="16">
        <f t="shared" si="274"/>
        <v>0</v>
      </c>
      <c r="AP175" s="10"/>
      <c r="AQ175" s="10"/>
      <c r="AR175" s="10"/>
      <c r="AS175" s="10" t="str">
        <f t="shared" ref="AS175" ca="1" si="277">IFERROR(__xludf.DUMMYFUNCTION("split(F109,"","",true,true)"),"Spark Capital")</f>
        <v>Spark Capital</v>
      </c>
      <c r="AT175" s="10"/>
      <c r="AU175" s="10"/>
      <c r="AV175" s="10"/>
      <c r="AW175" s="10"/>
      <c r="AX175" s="10"/>
      <c r="AY175" s="10"/>
      <c r="AZ175" s="10"/>
      <c r="BA175" s="10"/>
      <c r="BB175" s="10"/>
      <c r="BC175" s="10"/>
      <c r="BD175" s="10"/>
      <c r="BE175" s="10"/>
      <c r="BF175" s="10"/>
      <c r="BG175" s="10"/>
      <c r="BH175" s="10"/>
      <c r="BI175" s="10"/>
      <c r="BJ175" s="10"/>
      <c r="BK175" s="10"/>
      <c r="BM175" s="10"/>
    </row>
    <row r="176" spans="1:65" ht="12.75">
      <c r="A176" s="9">
        <v>42520</v>
      </c>
      <c r="B176" s="10" t="s">
        <v>172</v>
      </c>
      <c r="C176" s="11">
        <v>37000</v>
      </c>
      <c r="D176" s="12"/>
      <c r="E176" s="10" t="s">
        <v>234</v>
      </c>
      <c r="F176" s="10" t="s">
        <v>49</v>
      </c>
      <c r="G176" s="13" t="s">
        <v>444</v>
      </c>
      <c r="H176" s="14" t="str">
        <f t="array" ref="H176">IFERROR(INDEX([1]Companies!$G:$G,MATCH(B176,[1]Companies!$A:$A,0)),"")</f>
        <v>Rwanda</v>
      </c>
      <c r="I176" s="14" t="str">
        <f t="shared" si="245"/>
        <v>Rwanda</v>
      </c>
      <c r="J176" s="14" t="str">
        <f t="array" ref="J176">IFERROR(INDEX([1]Companies!$Y:$Y,MATCH(B176,[1]Companies!$A:$A,0)),"")</f>
        <v>Automotive, Electric Vehicle, Emerging Markets, Transportation</v>
      </c>
      <c r="K176" s="14" t="str">
        <f t="array" ref="K176">IFERROR(INDEX([1]Companies!$X:$X,MATCH(B176,[1]Companies!$A:$A,0)),"")</f>
        <v>Automotive</v>
      </c>
      <c r="L176" s="14" t="str">
        <f>VLOOKUP(B176,[1]Companies!$A$1:$C$5243,1,FALSE)</f>
        <v>Ampersand Electric Motorcycles</v>
      </c>
      <c r="M176" s="15">
        <f t="shared" si="246"/>
        <v>0.9</v>
      </c>
      <c r="N176" s="10" t="str">
        <f t="shared" si="247"/>
        <v>42520Ampersand Electric Motorcycles37000</v>
      </c>
      <c r="O176" s="14" t="str">
        <f t="shared" si="248"/>
        <v/>
      </c>
      <c r="P176" s="14">
        <f t="shared" si="249"/>
        <v>1</v>
      </c>
      <c r="Q176" s="14">
        <f t="array" ref="Q176">IFERROR(INDEX([1]Companies!$D:$D,MATCH(B176,[1]Companies!$A:$A,0)),"")</f>
        <v>2014</v>
      </c>
      <c r="R176" s="17">
        <f t="shared" si="250"/>
        <v>905400</v>
      </c>
      <c r="S176" s="14">
        <f>VLOOKUP(I176,[1]Lookups!$V$3:$Y$197,4,FALSE)</f>
        <v>0</v>
      </c>
      <c r="T176" s="14" t="str">
        <f>VLOOKUP(E176,[1]Lookups!$H$3:$I$71,2,FALSE)</f>
        <v>2. Seed</v>
      </c>
      <c r="U176" s="14" t="str">
        <f>VLOOKUP(K176,[1]Lookups!$B$3:$C$142,2,FALSE)</f>
        <v>Emerging Technologies</v>
      </c>
      <c r="V176" s="14">
        <f t="shared" si="1"/>
        <v>2016</v>
      </c>
      <c r="W176" s="14">
        <f t="shared" si="2"/>
        <v>5</v>
      </c>
      <c r="X176" s="14">
        <f>VLOOKUP(W176,[1]Lookups!$P$3:$S$15,2,FALSE)</f>
        <v>2</v>
      </c>
      <c r="Y176" s="16">
        <f>VLOOKUP(W176,[1]Lookups!$P$3:$U$15,3,FALSE)</f>
        <v>1</v>
      </c>
      <c r="Z176" s="16">
        <f t="shared" si="3"/>
        <v>1</v>
      </c>
      <c r="AA176" s="16" t="str">
        <f t="shared" ca="1" si="274"/>
        <v>Spark Capital</v>
      </c>
      <c r="AB176" s="16">
        <f t="shared" si="274"/>
        <v>0</v>
      </c>
      <c r="AC176" s="16">
        <f t="shared" si="274"/>
        <v>0</v>
      </c>
      <c r="AD176" s="16">
        <f t="shared" si="274"/>
        <v>0</v>
      </c>
      <c r="AE176" s="16">
        <f t="shared" si="274"/>
        <v>0</v>
      </c>
      <c r="AF176" s="16">
        <f t="shared" si="274"/>
        <v>0</v>
      </c>
      <c r="AG176" s="16">
        <f t="shared" si="274"/>
        <v>0</v>
      </c>
      <c r="AH176" s="16">
        <f t="shared" si="274"/>
        <v>0</v>
      </c>
      <c r="AI176" s="16">
        <f t="shared" si="274"/>
        <v>0</v>
      </c>
      <c r="AJ176" s="16">
        <f t="shared" si="274"/>
        <v>0</v>
      </c>
      <c r="AK176" s="16">
        <f t="shared" si="274"/>
        <v>0</v>
      </c>
      <c r="AL176" s="16">
        <f t="shared" si="274"/>
        <v>0</v>
      </c>
      <c r="AM176" s="16">
        <f t="shared" si="274"/>
        <v>0</v>
      </c>
      <c r="AN176" s="16">
        <f t="shared" si="274"/>
        <v>0</v>
      </c>
      <c r="AO176" s="16">
        <f t="shared" si="274"/>
        <v>0</v>
      </c>
      <c r="AP176" s="10"/>
      <c r="AQ176" s="10"/>
      <c r="AR176" s="10"/>
      <c r="AS176" s="10" t="str">
        <f t="shared" ref="AS176" ca="1" si="278">IFERROR(__xludf.DUMMYFUNCTION("split(F109,"","",true,true)"),"Spark Capital")</f>
        <v>Spark Capital</v>
      </c>
      <c r="AT176" s="10"/>
      <c r="AU176" s="10"/>
      <c r="AV176" s="10"/>
      <c r="AW176" s="10"/>
      <c r="AX176" s="10"/>
      <c r="AY176" s="10"/>
      <c r="AZ176" s="10"/>
      <c r="BA176" s="10"/>
      <c r="BB176" s="10"/>
      <c r="BC176" s="10"/>
      <c r="BD176" s="10"/>
      <c r="BE176" s="10"/>
      <c r="BF176" s="10"/>
      <c r="BG176" s="10"/>
      <c r="BH176" s="10"/>
      <c r="BI176" s="10"/>
      <c r="BJ176" s="10"/>
      <c r="BK176" s="10"/>
      <c r="BM176" s="10"/>
    </row>
    <row r="177" spans="1:65" ht="12.75">
      <c r="A177" s="18">
        <v>42522</v>
      </c>
      <c r="B177" s="14" t="s">
        <v>445</v>
      </c>
      <c r="C177" s="19">
        <v>1000000</v>
      </c>
      <c r="D177" s="19"/>
      <c r="E177" s="14" t="s">
        <v>45</v>
      </c>
      <c r="F177" s="20" t="s">
        <v>446</v>
      </c>
      <c r="G177" s="21" t="s">
        <v>447</v>
      </c>
      <c r="H177" s="14" t="str">
        <f t="array" ref="H177">IFERROR(INDEX([1]Companies!$G:$G,MATCH(B177,[1]Companies!$A:$A,0)),"")</f>
        <v>South Africa</v>
      </c>
      <c r="I177" s="14" t="str">
        <f t="shared" si="245"/>
        <v>South Africa</v>
      </c>
      <c r="J177" s="14" t="str">
        <f t="array" ref="J177">IFERROR(INDEX([1]Companies!$Y:$Y,MATCH(B177,[1]Companies!$A:$A,0)),"")</f>
        <v>Load Balancing, Development, Linux, ADC, Application Delivery Controller, Load Balancer, WAF, Web Accelerator, Devops, Application Delivery, and SAAS</v>
      </c>
      <c r="K177" s="14" t="str">
        <f t="array" ref="K177">IFERROR(INDEX([1]Companies!$X:$X,MATCH(B177,[1]Companies!$A:$A,0)),"")</f>
        <v>Information Technology</v>
      </c>
      <c r="L177" s="14" t="str">
        <f>VLOOKUP(B177,[1]Companies!$A$1:$C$5243,1,FALSE)</f>
        <v>Snapt</v>
      </c>
      <c r="M177" s="15">
        <f t="shared" si="246"/>
        <v>0.9</v>
      </c>
      <c r="N177" s="10" t="str">
        <f t="shared" si="247"/>
        <v>42522Snapt1000000</v>
      </c>
      <c r="O177" s="14" t="str">
        <f t="shared" si="248"/>
        <v/>
      </c>
      <c r="P177" s="14">
        <f t="shared" si="249"/>
        <v>1</v>
      </c>
      <c r="Q177" s="14">
        <f t="array" ref="Q177">IFERROR(INDEX([1]Companies!$D:$D,MATCH(B177,[1]Companies!$A:$A,0)),"")</f>
        <v>2012</v>
      </c>
      <c r="R177" s="17">
        <f t="shared" si="250"/>
        <v>4000000</v>
      </c>
      <c r="S177" s="14">
        <f>VLOOKUP(I177,[1]Lookups!$V$3:$Y$197,4,FALSE)</f>
        <v>0</v>
      </c>
      <c r="T177" s="14" t="str">
        <f>VLOOKUP(E177,[1]Lookups!$H$3:$I$71,2,FALSE)</f>
        <v>2. Seed</v>
      </c>
      <c r="U177" s="14" t="str">
        <f>VLOOKUP(K177,[1]Lookups!$B$3:$C$142,2,FALSE)</f>
        <v>Other Technologies &amp; Information Technology</v>
      </c>
      <c r="V177" s="14">
        <f t="shared" si="1"/>
        <v>2016</v>
      </c>
      <c r="W177" s="14">
        <f t="shared" si="2"/>
        <v>6</v>
      </c>
      <c r="X177" s="14">
        <f>VLOOKUP(W177,[1]Lookups!$P$3:$S$15,2,FALSE)</f>
        <v>2</v>
      </c>
      <c r="Y177" s="16">
        <f>VLOOKUP(W177,[1]Lookups!$P$3:$U$15,3,FALSE)</f>
        <v>1</v>
      </c>
      <c r="Z177" s="16">
        <f t="shared" si="3"/>
        <v>1</v>
      </c>
      <c r="AA177" s="16" t="str">
        <f t="shared" ca="1" si="274"/>
        <v>Spark Capital</v>
      </c>
      <c r="AB177" s="16">
        <f t="shared" si="274"/>
        <v>0</v>
      </c>
      <c r="AC177" s="16">
        <f t="shared" si="274"/>
        <v>0</v>
      </c>
      <c r="AD177" s="16">
        <f t="shared" si="274"/>
        <v>0</v>
      </c>
      <c r="AE177" s="16">
        <f t="shared" si="274"/>
        <v>0</v>
      </c>
      <c r="AF177" s="16">
        <f t="shared" si="274"/>
        <v>0</v>
      </c>
      <c r="AG177" s="16">
        <f t="shared" si="274"/>
        <v>0</v>
      </c>
      <c r="AH177" s="16">
        <f t="shared" si="274"/>
        <v>0</v>
      </c>
      <c r="AI177" s="16">
        <f t="shared" si="274"/>
        <v>0</v>
      </c>
      <c r="AJ177" s="16">
        <f t="shared" si="274"/>
        <v>0</v>
      </c>
      <c r="AK177" s="16">
        <f t="shared" si="274"/>
        <v>0</v>
      </c>
      <c r="AL177" s="16">
        <f t="shared" si="274"/>
        <v>0</v>
      </c>
      <c r="AM177" s="16">
        <f t="shared" si="274"/>
        <v>0</v>
      </c>
      <c r="AN177" s="16">
        <f t="shared" si="274"/>
        <v>0</v>
      </c>
      <c r="AO177" s="16">
        <f t="shared" si="274"/>
        <v>0</v>
      </c>
      <c r="AP177" s="10"/>
      <c r="AQ177" s="10"/>
      <c r="AR177" s="10"/>
      <c r="AS177" s="10" t="str">
        <f t="shared" ref="AS177" ca="1" si="279">IFERROR(__xludf.DUMMYFUNCTION("split(F109,"","",true,true)"),"Spark Capital")</f>
        <v>Spark Capital</v>
      </c>
      <c r="AT177" s="10"/>
      <c r="AU177" s="10"/>
      <c r="AV177" s="10"/>
      <c r="AW177" s="10"/>
      <c r="AX177" s="10"/>
      <c r="AY177" s="10"/>
      <c r="AZ177" s="10"/>
      <c r="BA177" s="10"/>
      <c r="BB177" s="10"/>
      <c r="BC177" s="10"/>
      <c r="BD177" s="10"/>
      <c r="BE177" s="10"/>
      <c r="BF177" s="10"/>
      <c r="BG177" s="10"/>
      <c r="BH177" s="10"/>
      <c r="BI177" s="10"/>
      <c r="BJ177" s="10"/>
      <c r="BK177" s="10"/>
      <c r="BM177" s="10"/>
    </row>
    <row r="178" spans="1:65" ht="12.75">
      <c r="A178" s="9">
        <v>42522</v>
      </c>
      <c r="B178" s="10" t="s">
        <v>224</v>
      </c>
      <c r="C178" s="11">
        <v>500000</v>
      </c>
      <c r="D178" s="12"/>
      <c r="E178" s="14" t="s">
        <v>45</v>
      </c>
      <c r="F178" s="10" t="s">
        <v>448</v>
      </c>
      <c r="G178" s="13" t="s">
        <v>449</v>
      </c>
      <c r="H178" s="14" t="str">
        <f t="array" ref="H178">IFERROR(INDEX([1]Companies!$G:$G,MATCH(B178,[1]Companies!$A:$A,0)),"")</f>
        <v>Egypt</v>
      </c>
      <c r="I178" s="14" t="str">
        <f t="shared" si="245"/>
        <v>Egypt</v>
      </c>
      <c r="J178" s="14" t="str">
        <f t="array" ref="J178">IFERROR(INDEX([1]Companies!$Y:$Y,MATCH(B178,[1]Companies!$A:$A,0)),"")</f>
        <v>Catering, Delivery, Food and Beverage, Food Delivery, Marketplace, Subscription Service</v>
      </c>
      <c r="K178" s="14" t="str">
        <f t="array" ref="K178">IFERROR(INDEX([1]Companies!$X:$X,MATCH(B178,[1]Companies!$A:$A,0)),"")</f>
        <v>E-Commerce &amp; Retail</v>
      </c>
      <c r="L178" s="14" t="str">
        <f>VLOOKUP(B178,[1]Companies!$A$1:$C$5243,1,FALSE)</f>
        <v>Yumamia</v>
      </c>
      <c r="M178" s="15">
        <f t="shared" si="246"/>
        <v>0.9</v>
      </c>
      <c r="N178" s="10" t="str">
        <f t="shared" si="247"/>
        <v>42522Yumamia500000</v>
      </c>
      <c r="O178" s="14" t="str">
        <f t="shared" si="248"/>
        <v/>
      </c>
      <c r="P178" s="14">
        <f t="shared" si="249"/>
        <v>1</v>
      </c>
      <c r="Q178" s="14">
        <f t="array" ref="Q178">IFERROR(INDEX([1]Companies!$D:$D,MATCH(B178,[1]Companies!$A:$A,0)),"")</f>
        <v>2014</v>
      </c>
      <c r="R178" s="17">
        <f t="shared" si="250"/>
        <v>2750000</v>
      </c>
      <c r="S178" s="14">
        <f>VLOOKUP(I178,[1]Lookups!$V$3:$Y$197,4,FALSE)</f>
        <v>0</v>
      </c>
      <c r="T178" s="14" t="str">
        <f>VLOOKUP(E178,[1]Lookups!$H$3:$I$71,2,FALSE)</f>
        <v>2. Seed</v>
      </c>
      <c r="U178" s="14" t="str">
        <f>VLOOKUP(K178,[1]Lookups!$B$3:$C$142,2,FALSE)</f>
        <v>E-commerce &amp; Retail</v>
      </c>
      <c r="V178" s="14">
        <f t="shared" si="1"/>
        <v>2016</v>
      </c>
      <c r="W178" s="14">
        <f t="shared" si="2"/>
        <v>6</v>
      </c>
      <c r="X178" s="14">
        <f>VLOOKUP(W178,[1]Lookups!$P$3:$S$15,2,FALSE)</f>
        <v>2</v>
      </c>
      <c r="Y178" s="16">
        <f>VLOOKUP(W178,[1]Lookups!$P$3:$U$15,3,FALSE)</f>
        <v>1</v>
      </c>
      <c r="Z178" s="16">
        <f t="shared" si="3"/>
        <v>1</v>
      </c>
      <c r="AA178" s="16" t="str">
        <f t="shared" ca="1" si="274"/>
        <v>Spark Capital</v>
      </c>
      <c r="AB178" s="16">
        <f t="shared" si="274"/>
        <v>0</v>
      </c>
      <c r="AC178" s="16">
        <f t="shared" si="274"/>
        <v>0</v>
      </c>
      <c r="AD178" s="16">
        <f t="shared" si="274"/>
        <v>0</v>
      </c>
      <c r="AE178" s="16">
        <f t="shared" si="274"/>
        <v>0</v>
      </c>
      <c r="AF178" s="16">
        <f t="shared" si="274"/>
        <v>0</v>
      </c>
      <c r="AG178" s="16">
        <f t="shared" si="274"/>
        <v>0</v>
      </c>
      <c r="AH178" s="16">
        <f t="shared" si="274"/>
        <v>0</v>
      </c>
      <c r="AI178" s="16">
        <f t="shared" si="274"/>
        <v>0</v>
      </c>
      <c r="AJ178" s="16">
        <f t="shared" si="274"/>
        <v>0</v>
      </c>
      <c r="AK178" s="16">
        <f t="shared" si="274"/>
        <v>0</v>
      </c>
      <c r="AL178" s="16">
        <f t="shared" si="274"/>
        <v>0</v>
      </c>
      <c r="AM178" s="16">
        <f t="shared" si="274"/>
        <v>0</v>
      </c>
      <c r="AN178" s="16">
        <f t="shared" si="274"/>
        <v>0</v>
      </c>
      <c r="AO178" s="16">
        <f t="shared" si="274"/>
        <v>0</v>
      </c>
      <c r="AP178" s="10"/>
      <c r="AQ178" s="10"/>
      <c r="AR178" s="10"/>
      <c r="AS178" s="10" t="str">
        <f t="shared" ref="AS178" ca="1" si="280">IFERROR(__xludf.DUMMYFUNCTION("split(F109,"","",true,true)"),"Spark Capital")</f>
        <v>Spark Capital</v>
      </c>
      <c r="AT178" s="10"/>
      <c r="AU178" s="10"/>
      <c r="AV178" s="10"/>
      <c r="AW178" s="10"/>
      <c r="AX178" s="10"/>
      <c r="AY178" s="10"/>
      <c r="AZ178" s="10"/>
      <c r="BA178" s="10"/>
      <c r="BB178" s="10"/>
      <c r="BC178" s="10"/>
      <c r="BD178" s="10"/>
      <c r="BE178" s="10"/>
      <c r="BF178" s="10"/>
      <c r="BG178" s="10"/>
      <c r="BH178" s="10"/>
      <c r="BI178" s="10"/>
      <c r="BJ178" s="10"/>
      <c r="BK178" s="10"/>
      <c r="BM178" s="10"/>
    </row>
    <row r="179" spans="1:65" ht="12.75">
      <c r="A179" s="9">
        <v>42526</v>
      </c>
      <c r="B179" s="10" t="s">
        <v>172</v>
      </c>
      <c r="C179" s="11">
        <v>20000</v>
      </c>
      <c r="D179" s="12"/>
      <c r="E179" s="10" t="s">
        <v>234</v>
      </c>
      <c r="F179" s="10" t="s">
        <v>450</v>
      </c>
      <c r="G179" s="13" t="s">
        <v>451</v>
      </c>
      <c r="H179" s="14" t="str">
        <f t="array" ref="H179">IFERROR(INDEX([1]Companies!$G:$G,MATCH(B179,[1]Companies!$A:$A,0)),"")</f>
        <v>Rwanda</v>
      </c>
      <c r="I179" s="14" t="str">
        <f t="shared" si="245"/>
        <v>Rwanda</v>
      </c>
      <c r="J179" s="14" t="str">
        <f t="array" ref="J179">IFERROR(INDEX([1]Companies!$Y:$Y,MATCH(B179,[1]Companies!$A:$A,0)),"")</f>
        <v>Automotive, Electric Vehicle, Emerging Markets, Transportation</v>
      </c>
      <c r="K179" s="14" t="str">
        <f t="array" ref="K179">IFERROR(INDEX([1]Companies!$X:$X,MATCH(B179,[1]Companies!$A:$A,0)),"")</f>
        <v>Automotive</v>
      </c>
      <c r="L179" s="14" t="str">
        <f>VLOOKUP(B179,[1]Companies!$A$1:$C$5243,1,FALSE)</f>
        <v>Ampersand Electric Motorcycles</v>
      </c>
      <c r="M179" s="15">
        <f t="shared" si="246"/>
        <v>0.9</v>
      </c>
      <c r="N179" s="10" t="str">
        <f t="shared" si="247"/>
        <v>42526Ampersand Electric Motorcycles20000</v>
      </c>
      <c r="O179" s="14" t="str">
        <f t="shared" si="248"/>
        <v/>
      </c>
      <c r="P179" s="14">
        <f t="shared" si="249"/>
        <v>1</v>
      </c>
      <c r="Q179" s="14">
        <f t="array" ref="Q179">IFERROR(INDEX([1]Companies!$D:$D,MATCH(B179,[1]Companies!$A:$A,0)),"")</f>
        <v>2014</v>
      </c>
      <c r="R179" s="17">
        <f t="shared" si="250"/>
        <v>905400</v>
      </c>
      <c r="S179" s="14">
        <f>VLOOKUP(I179,[1]Lookups!$V$3:$Y$197,4,FALSE)</f>
        <v>0</v>
      </c>
      <c r="T179" s="14" t="str">
        <f>VLOOKUP(E179,[1]Lookups!$H$3:$I$71,2,FALSE)</f>
        <v>2. Seed</v>
      </c>
      <c r="U179" s="14" t="str">
        <f>VLOOKUP(K179,[1]Lookups!$B$3:$C$142,2,FALSE)</f>
        <v>Emerging Technologies</v>
      </c>
      <c r="V179" s="14">
        <f t="shared" si="1"/>
        <v>2016</v>
      </c>
      <c r="W179" s="14">
        <f t="shared" si="2"/>
        <v>6</v>
      </c>
      <c r="X179" s="14">
        <f>VLOOKUP(W179,[1]Lookups!$P$3:$S$15,2,FALSE)</f>
        <v>2</v>
      </c>
      <c r="Y179" s="16">
        <f>VLOOKUP(W179,[1]Lookups!$P$3:$U$15,3,FALSE)</f>
        <v>1</v>
      </c>
      <c r="Z179" s="16">
        <f t="shared" si="3"/>
        <v>1</v>
      </c>
      <c r="AA179" s="16" t="str">
        <f t="shared" ca="1" si="274"/>
        <v>Spark Capital</v>
      </c>
      <c r="AB179" s="16">
        <f t="shared" si="274"/>
        <v>0</v>
      </c>
      <c r="AC179" s="16">
        <f t="shared" si="274"/>
        <v>0</v>
      </c>
      <c r="AD179" s="16">
        <f t="shared" si="274"/>
        <v>0</v>
      </c>
      <c r="AE179" s="16">
        <f t="shared" si="274"/>
        <v>0</v>
      </c>
      <c r="AF179" s="16">
        <f t="shared" si="274"/>
        <v>0</v>
      </c>
      <c r="AG179" s="16">
        <f t="shared" si="274"/>
        <v>0</v>
      </c>
      <c r="AH179" s="16">
        <f t="shared" si="274"/>
        <v>0</v>
      </c>
      <c r="AI179" s="16">
        <f t="shared" si="274"/>
        <v>0</v>
      </c>
      <c r="AJ179" s="16">
        <f t="shared" si="274"/>
        <v>0</v>
      </c>
      <c r="AK179" s="16">
        <f t="shared" si="274"/>
        <v>0</v>
      </c>
      <c r="AL179" s="16">
        <f t="shared" si="274"/>
        <v>0</v>
      </c>
      <c r="AM179" s="16">
        <f t="shared" si="274"/>
        <v>0</v>
      </c>
      <c r="AN179" s="16">
        <f t="shared" si="274"/>
        <v>0</v>
      </c>
      <c r="AO179" s="16">
        <f t="shared" si="274"/>
        <v>0</v>
      </c>
      <c r="AP179" s="10"/>
      <c r="AQ179" s="10"/>
      <c r="AR179" s="10"/>
      <c r="AS179" s="10" t="str">
        <f t="shared" ref="AS179" ca="1" si="281">IFERROR(__xludf.DUMMYFUNCTION("split(F109,"","",true,true)"),"Spark Capital")</f>
        <v>Spark Capital</v>
      </c>
      <c r="AT179" s="10"/>
      <c r="AU179" s="10"/>
      <c r="AV179" s="10"/>
      <c r="AW179" s="10"/>
      <c r="AX179" s="10"/>
      <c r="AY179" s="10"/>
      <c r="AZ179" s="10"/>
      <c r="BA179" s="10"/>
      <c r="BB179" s="10"/>
      <c r="BC179" s="10"/>
      <c r="BD179" s="10"/>
      <c r="BE179" s="10"/>
      <c r="BF179" s="10"/>
      <c r="BG179" s="10"/>
      <c r="BH179" s="10"/>
      <c r="BI179" s="10"/>
      <c r="BJ179" s="10"/>
      <c r="BK179" s="10"/>
      <c r="BM179" s="10"/>
    </row>
    <row r="180" spans="1:65" ht="12.75">
      <c r="A180" s="9">
        <v>42527</v>
      </c>
      <c r="B180" s="10" t="s">
        <v>154</v>
      </c>
      <c r="C180" s="11">
        <v>1700000</v>
      </c>
      <c r="D180" s="12"/>
      <c r="E180" s="14" t="s">
        <v>45</v>
      </c>
      <c r="F180" s="10" t="s">
        <v>452</v>
      </c>
      <c r="G180" s="13" t="s">
        <v>453</v>
      </c>
      <c r="H180" s="14" t="str">
        <f t="array" ref="H180">IFERROR(INDEX([1]Companies!$G:$G,MATCH(B180,[1]Companies!$A:$A,0)),"")</f>
        <v>Egypt</v>
      </c>
      <c r="I180" s="14" t="str">
        <f t="shared" si="245"/>
        <v>Egypt</v>
      </c>
      <c r="J180" s="14" t="str">
        <f t="array" ref="J180">IFERROR(INDEX([1]Companies!$Y:$Y,MATCH(B180,[1]Companies!$A:$A,0)),"")</f>
        <v>iOS, Mobile, Software</v>
      </c>
      <c r="K180" s="14" t="str">
        <f t="array" ref="K180">IFERROR(INDEX([1]Companies!$X:$X,MATCH(B180,[1]Companies!$A:$A,0)),"")</f>
        <v>Software</v>
      </c>
      <c r="L180" s="14" t="str">
        <f>VLOOKUP(B180,[1]Companies!$A$1:$C$5243,1,FALSE)</f>
        <v>Instabug</v>
      </c>
      <c r="M180" s="15">
        <f t="shared" si="246"/>
        <v>0.9</v>
      </c>
      <c r="N180" s="10" t="str">
        <f t="shared" si="247"/>
        <v>42527Instabug1700000</v>
      </c>
      <c r="O180" s="14" t="str">
        <f t="shared" si="248"/>
        <v/>
      </c>
      <c r="P180" s="14">
        <f t="shared" si="249"/>
        <v>1</v>
      </c>
      <c r="Q180" s="14">
        <f t="array" ref="Q180">IFERROR(INDEX([1]Companies!$D:$D,MATCH(B180,[1]Companies!$A:$A,0)),"")</f>
        <v>2013</v>
      </c>
      <c r="R180" s="17">
        <f t="shared" si="250"/>
        <v>2120000</v>
      </c>
      <c r="S180" s="14">
        <f>VLOOKUP(I180,[1]Lookups!$V$3:$Y$197,4,FALSE)</f>
        <v>0</v>
      </c>
      <c r="T180" s="14" t="str">
        <f>VLOOKUP(E180,[1]Lookups!$H$3:$I$71,2,FALSE)</f>
        <v>2. Seed</v>
      </c>
      <c r="U180" s="14" t="str">
        <f>VLOOKUP(K180,[1]Lookups!$B$3:$C$142,2,FALSE)</f>
        <v>Other Technologies &amp; Information Technology</v>
      </c>
      <c r="V180" s="14">
        <f t="shared" si="1"/>
        <v>2016</v>
      </c>
      <c r="W180" s="14">
        <f t="shared" si="2"/>
        <v>6</v>
      </c>
      <c r="X180" s="14">
        <f>VLOOKUP(W180,[1]Lookups!$P$3:$S$15,2,FALSE)</f>
        <v>2</v>
      </c>
      <c r="Y180" s="16">
        <f>VLOOKUP(W180,[1]Lookups!$P$3:$U$15,3,FALSE)</f>
        <v>1</v>
      </c>
      <c r="Z180" s="16">
        <f t="shared" si="3"/>
        <v>4</v>
      </c>
      <c r="AA180" s="16" t="str">
        <f t="shared" ca="1" si="274"/>
        <v>Spark Capital</v>
      </c>
      <c r="AB180" s="16" t="str">
        <f t="shared" ca="1" si="274"/>
        <v xml:space="preserve"> Amr Awadallah</v>
      </c>
      <c r="AC180" s="16" t="str">
        <f t="shared" ca="1" si="274"/>
        <v xml:space="preserve"> Jim Payne</v>
      </c>
      <c r="AD180" s="16" t="str">
        <f t="shared" ca="1" si="274"/>
        <v xml:space="preserve"> Sharif El-Badawi</v>
      </c>
      <c r="AE180" s="16">
        <f t="shared" si="274"/>
        <v>0</v>
      </c>
      <c r="AF180" s="16">
        <f t="shared" si="274"/>
        <v>0</v>
      </c>
      <c r="AG180" s="16">
        <f t="shared" si="274"/>
        <v>0</v>
      </c>
      <c r="AH180" s="16">
        <f t="shared" si="274"/>
        <v>0</v>
      </c>
      <c r="AI180" s="16">
        <f t="shared" si="274"/>
        <v>0</v>
      </c>
      <c r="AJ180" s="16">
        <f t="shared" si="274"/>
        <v>0</v>
      </c>
      <c r="AK180" s="16">
        <f t="shared" si="274"/>
        <v>0</v>
      </c>
      <c r="AL180" s="16">
        <f t="shared" si="274"/>
        <v>0</v>
      </c>
      <c r="AM180" s="16">
        <f t="shared" si="274"/>
        <v>0</v>
      </c>
      <c r="AN180" s="16">
        <f t="shared" si="274"/>
        <v>0</v>
      </c>
      <c r="AO180" s="16">
        <f t="shared" si="274"/>
        <v>0</v>
      </c>
      <c r="AP180" s="10"/>
      <c r="AQ180" s="10"/>
      <c r="AR180" s="10"/>
      <c r="AS180" s="10" t="str">
        <f t="shared" ref="AS180" ca="1" si="282">IFERROR(__xludf.DUMMYFUNCTION("split(F109,"","",true,true)"),"Spark Capital")</f>
        <v>Spark Capital</v>
      </c>
      <c r="AT180" s="10" t="str">
        <f ca="1">IFERROR(__xludf.DUMMYFUNCTION("""COMPUTED_VALUE""")," Amr Awadallah")</f>
        <v xml:space="preserve"> Amr Awadallah</v>
      </c>
      <c r="AU180" s="10" t="str">
        <f ca="1">IFERROR(__xludf.DUMMYFUNCTION("""COMPUTED_VALUE""")," Jim Payne")</f>
        <v xml:space="preserve"> Jim Payne</v>
      </c>
      <c r="AV180" s="10" t="str">
        <f ca="1">IFERROR(__xludf.DUMMYFUNCTION("""COMPUTED_VALUE""")," Sharif El-Badawi")</f>
        <v xml:space="preserve"> Sharif El-Badawi</v>
      </c>
      <c r="AW180" s="10"/>
      <c r="AX180" s="10"/>
      <c r="AY180" s="10"/>
      <c r="AZ180" s="10"/>
      <c r="BA180" s="10"/>
      <c r="BB180" s="10"/>
      <c r="BC180" s="10"/>
      <c r="BD180" s="10"/>
      <c r="BE180" s="10"/>
      <c r="BF180" s="10"/>
      <c r="BG180" s="10"/>
      <c r="BH180" s="10"/>
      <c r="BI180" s="10"/>
      <c r="BJ180" s="10"/>
      <c r="BK180" s="10"/>
      <c r="BM180" s="10"/>
    </row>
    <row r="181" spans="1:65" ht="12.75">
      <c r="A181" s="9">
        <v>42528</v>
      </c>
      <c r="B181" s="10" t="s">
        <v>454</v>
      </c>
      <c r="C181" s="11" t="s">
        <v>49</v>
      </c>
      <c r="D181" s="12"/>
      <c r="E181" s="14" t="s">
        <v>55</v>
      </c>
      <c r="F181" s="10" t="s">
        <v>455</v>
      </c>
      <c r="G181" s="13" t="s">
        <v>456</v>
      </c>
      <c r="H181" s="14" t="str">
        <f t="array" ref="H181">IFERROR(INDEX([1]Companies!$G:$G,MATCH(B181,[1]Companies!$A:$A,0)),"")</f>
        <v>Kenya</v>
      </c>
      <c r="I181" s="14" t="str">
        <f t="shared" si="245"/>
        <v>Kenya</v>
      </c>
      <c r="J181" s="14" t="str">
        <f t="array" ref="J181">IFERROR(INDEX([1]Companies!$Y:$Y,MATCH(B181,[1]Companies!$A:$A,0)),"")</f>
        <v>Distribution, Data, Emerging Markets, Logistics, and E-Commerce</v>
      </c>
      <c r="K181" s="14" t="str">
        <f t="array" ref="K181">IFERROR(INDEX([1]Companies!$X:$X,MATCH(B181,[1]Companies!$A:$A,0)),"")</f>
        <v>Transport &amp; Logistics</v>
      </c>
      <c r="L181" s="14" t="str">
        <f>VLOOKUP(B181,[1]Companies!$A$1:$C$5243,1,FALSE)</f>
        <v>Sokowatch</v>
      </c>
      <c r="M181" s="15">
        <f t="shared" si="246"/>
        <v>0.9</v>
      </c>
      <c r="N181" s="10" t="str">
        <f t="shared" si="247"/>
        <v>42528SokowatchUndisclosed</v>
      </c>
      <c r="O181" s="14" t="str">
        <f t="shared" si="248"/>
        <v/>
      </c>
      <c r="P181" s="14">
        <f t="shared" si="249"/>
        <v>0</v>
      </c>
      <c r="Q181" s="14">
        <f t="array" ref="Q181">IFERROR(INDEX([1]Companies!$D:$D,MATCH(B181,[1]Companies!$A:$A,0)),"")</f>
        <v>2015</v>
      </c>
      <c r="R181" s="17">
        <f t="shared" si="250"/>
        <v>4500000</v>
      </c>
      <c r="S181" s="14">
        <f>VLOOKUP(I181,[1]Lookups!$V$3:$Y$197,4,FALSE)</f>
        <v>0</v>
      </c>
      <c r="T181" s="14" t="str">
        <f>VLOOKUP(E181,[1]Lookups!$H$3:$I$71,2,FALSE)</f>
        <v>1. Grant</v>
      </c>
      <c r="U181" s="14" t="str">
        <f>VLOOKUP(K181,[1]Lookups!$B$3:$C$142,2,FALSE)</f>
        <v>Transport &amp; Logistics</v>
      </c>
      <c r="V181" s="14">
        <f t="shared" si="1"/>
        <v>2016</v>
      </c>
      <c r="W181" s="14">
        <f t="shared" si="2"/>
        <v>6</v>
      </c>
      <c r="X181" s="14">
        <f>VLOOKUP(W181,[1]Lookups!$P$3:$S$15,2,FALSE)</f>
        <v>2</v>
      </c>
      <c r="Y181" s="16">
        <f>VLOOKUP(W181,[1]Lookups!$P$3:$U$15,3,FALSE)</f>
        <v>1</v>
      </c>
      <c r="Z181" s="16">
        <f t="shared" si="3"/>
        <v>1</v>
      </c>
      <c r="AA181" s="16" t="str">
        <f t="shared" ca="1" si="274"/>
        <v>Spark Capital</v>
      </c>
      <c r="AB181" s="16">
        <f t="shared" si="274"/>
        <v>0</v>
      </c>
      <c r="AC181" s="16">
        <f t="shared" si="274"/>
        <v>0</v>
      </c>
      <c r="AD181" s="16">
        <f t="shared" si="274"/>
        <v>0</v>
      </c>
      <c r="AE181" s="16">
        <f t="shared" si="274"/>
        <v>0</v>
      </c>
      <c r="AF181" s="16">
        <f t="shared" si="274"/>
        <v>0</v>
      </c>
      <c r="AG181" s="16">
        <f t="shared" si="274"/>
        <v>0</v>
      </c>
      <c r="AH181" s="16">
        <f t="shared" si="274"/>
        <v>0</v>
      </c>
      <c r="AI181" s="16">
        <f t="shared" si="274"/>
        <v>0</v>
      </c>
      <c r="AJ181" s="16">
        <f t="shared" si="274"/>
        <v>0</v>
      </c>
      <c r="AK181" s="16">
        <f t="shared" si="274"/>
        <v>0</v>
      </c>
      <c r="AL181" s="16">
        <f t="shared" si="274"/>
        <v>0</v>
      </c>
      <c r="AM181" s="16">
        <f t="shared" si="274"/>
        <v>0</v>
      </c>
      <c r="AN181" s="16">
        <f t="shared" si="274"/>
        <v>0</v>
      </c>
      <c r="AO181" s="16">
        <f t="shared" si="274"/>
        <v>0</v>
      </c>
      <c r="AP181" s="10"/>
      <c r="AQ181" s="10"/>
      <c r="AR181" s="10"/>
      <c r="AS181" s="10" t="str">
        <f t="shared" ref="AS181" ca="1" si="283">IFERROR(__xludf.DUMMYFUNCTION("split(F109,"","",true,true)"),"Spark Capital")</f>
        <v>Spark Capital</v>
      </c>
      <c r="AT181" s="10"/>
      <c r="AU181" s="10"/>
      <c r="AV181" s="10"/>
      <c r="AW181" s="10"/>
      <c r="AX181" s="10"/>
      <c r="AY181" s="10"/>
      <c r="AZ181" s="10"/>
      <c r="BA181" s="10"/>
      <c r="BB181" s="10"/>
      <c r="BC181" s="10"/>
      <c r="BD181" s="10"/>
      <c r="BE181" s="10"/>
      <c r="BF181" s="10"/>
      <c r="BG181" s="10"/>
      <c r="BH181" s="10"/>
      <c r="BI181" s="10"/>
      <c r="BJ181" s="10"/>
      <c r="BK181" s="10"/>
      <c r="BM181" s="10"/>
    </row>
    <row r="182" spans="1:65" ht="12.75">
      <c r="A182" s="18">
        <v>42528</v>
      </c>
      <c r="B182" s="14" t="s">
        <v>457</v>
      </c>
      <c r="C182" s="19" t="s">
        <v>49</v>
      </c>
      <c r="D182" s="19"/>
      <c r="E182" s="14" t="s">
        <v>55</v>
      </c>
      <c r="F182" s="14" t="s">
        <v>458</v>
      </c>
      <c r="G182" s="21" t="s">
        <v>459</v>
      </c>
      <c r="H182" s="14" t="str">
        <f t="array" ref="H182">IFERROR(INDEX([1]Companies!$G:$G,MATCH(B182,[1]Companies!$A:$A,0)),"")</f>
        <v>Ghana</v>
      </c>
      <c r="I182" s="14" t="str">
        <f t="shared" si="245"/>
        <v>Ghana</v>
      </c>
      <c r="J182" s="14" t="str">
        <f t="array" ref="J182">IFERROR(INDEX([1]Companies!$Y:$Y,MATCH(B182,[1]Companies!$A:$A,0)),"")</f>
        <v>E-Learning, Education, Mobile, Higher Education</v>
      </c>
      <c r="K182" s="14" t="str">
        <f t="array" ref="K182">IFERROR(INDEX([1]Companies!$X:$X,MATCH(B182,[1]Companies!$A:$A,0)),"")</f>
        <v>Education</v>
      </c>
      <c r="L182" s="14" t="str">
        <f>VLOOKUP(B182,[1]Companies!$A$1:$C$5243,1,FALSE)</f>
        <v>Chalkboard Education</v>
      </c>
      <c r="M182" s="15">
        <f t="shared" si="246"/>
        <v>0.9</v>
      </c>
      <c r="N182" s="10" t="str">
        <f t="shared" si="247"/>
        <v>42528Chalkboard EducationUndisclosed</v>
      </c>
      <c r="O182" s="14" t="str">
        <f t="shared" si="248"/>
        <v/>
      </c>
      <c r="P182" s="14">
        <f t="shared" si="249"/>
        <v>0</v>
      </c>
      <c r="Q182" s="14">
        <f t="array" ref="Q182">IFERROR(INDEX([1]Companies!$D:$D,MATCH(B182,[1]Companies!$A:$A,0)),"")</f>
        <v>2015</v>
      </c>
      <c r="R182" s="17">
        <f t="shared" si="250"/>
        <v>464000</v>
      </c>
      <c r="S182" s="14">
        <f>VLOOKUP(I182,[1]Lookups!$V$3:$Y$197,4,FALSE)</f>
        <v>0</v>
      </c>
      <c r="T182" s="14" t="str">
        <f>VLOOKUP(E182,[1]Lookups!$H$3:$I$71,2,FALSE)</f>
        <v>1. Grant</v>
      </c>
      <c r="U182" s="14" t="str">
        <f>VLOOKUP(K182,[1]Lookups!$B$3:$C$142,2,FALSE)</f>
        <v>Education</v>
      </c>
      <c r="V182" s="14">
        <f t="shared" si="1"/>
        <v>2016</v>
      </c>
      <c r="W182" s="14">
        <f t="shared" si="2"/>
        <v>6</v>
      </c>
      <c r="X182" s="14">
        <f>VLOOKUP(W182,[1]Lookups!$P$3:$S$15,2,FALSE)</f>
        <v>2</v>
      </c>
      <c r="Y182" s="16">
        <f>VLOOKUP(W182,[1]Lookups!$P$3:$U$15,3,FALSE)</f>
        <v>1</v>
      </c>
      <c r="Z182" s="16">
        <f t="shared" si="3"/>
        <v>1</v>
      </c>
      <c r="AA182" s="16" t="str">
        <f t="shared" ca="1" si="274"/>
        <v>Spark Capital</v>
      </c>
      <c r="AB182" s="16">
        <f t="shared" si="274"/>
        <v>0</v>
      </c>
      <c r="AC182" s="16">
        <f t="shared" si="274"/>
        <v>0</v>
      </c>
      <c r="AD182" s="16">
        <f t="shared" si="274"/>
        <v>0</v>
      </c>
      <c r="AE182" s="16">
        <f t="shared" si="274"/>
        <v>0</v>
      </c>
      <c r="AF182" s="16">
        <f t="shared" si="274"/>
        <v>0</v>
      </c>
      <c r="AG182" s="16">
        <f t="shared" si="274"/>
        <v>0</v>
      </c>
      <c r="AH182" s="16">
        <f t="shared" si="274"/>
        <v>0</v>
      </c>
      <c r="AI182" s="16">
        <f t="shared" si="274"/>
        <v>0</v>
      </c>
      <c r="AJ182" s="16">
        <f t="shared" si="274"/>
        <v>0</v>
      </c>
      <c r="AK182" s="16">
        <f t="shared" si="274"/>
        <v>0</v>
      </c>
      <c r="AL182" s="16">
        <f t="shared" si="274"/>
        <v>0</v>
      </c>
      <c r="AM182" s="16">
        <f t="shared" si="274"/>
        <v>0</v>
      </c>
      <c r="AN182" s="16">
        <f t="shared" si="274"/>
        <v>0</v>
      </c>
      <c r="AO182" s="16">
        <f t="shared" si="274"/>
        <v>0</v>
      </c>
      <c r="AP182" s="10"/>
      <c r="AQ182" s="10"/>
      <c r="AR182" s="10"/>
      <c r="AS182" s="10" t="str">
        <f t="shared" ref="AS182" ca="1" si="284">IFERROR(__xludf.DUMMYFUNCTION("split(F109,"","",true,true)"),"Spark Capital")</f>
        <v>Spark Capital</v>
      </c>
      <c r="AT182" s="23"/>
      <c r="AU182" s="23"/>
      <c r="AV182" s="23"/>
      <c r="AW182" s="23"/>
      <c r="AX182" s="23"/>
      <c r="AY182" s="23"/>
      <c r="AZ182" s="23"/>
      <c r="BA182" s="23"/>
      <c r="BB182" s="23"/>
      <c r="BC182" s="23"/>
      <c r="BD182" s="23"/>
      <c r="BE182" s="23"/>
      <c r="BF182" s="23"/>
      <c r="BG182" s="23"/>
      <c r="BH182" s="23"/>
      <c r="BI182" s="23"/>
      <c r="BJ182" s="23"/>
      <c r="BK182" s="23"/>
      <c r="BM182" s="23"/>
    </row>
    <row r="183" spans="1:65" ht="12.75">
      <c r="A183" s="18">
        <v>42530</v>
      </c>
      <c r="B183" s="20" t="s">
        <v>460</v>
      </c>
      <c r="C183" s="19">
        <v>1200000</v>
      </c>
      <c r="D183" s="19"/>
      <c r="E183" s="14" t="s">
        <v>45</v>
      </c>
      <c r="F183" s="14" t="s">
        <v>49</v>
      </c>
      <c r="G183" s="21" t="s">
        <v>461</v>
      </c>
      <c r="H183" s="14" t="str">
        <f t="array" ref="H183">IFERROR(INDEX([1]Companies!$G:$G,MATCH(B183,[1]Companies!$A:$A,0)),"")</f>
        <v>Nigeria</v>
      </c>
      <c r="I183" s="14" t="str">
        <f t="shared" si="245"/>
        <v>Nigeria</v>
      </c>
      <c r="J183" s="14" t="str">
        <f t="array" ref="J183">IFERROR(INDEX([1]Companies!$Y:$Y,MATCH(B183,[1]Companies!$A:$A,0)),"")</f>
        <v>FinTech, Government, Retail, Retail Technology, Small and Medium Businesses</v>
      </c>
      <c r="K183" s="14" t="str">
        <f t="array" ref="K183">IFERROR(INDEX([1]Companies!$X:$X,MATCH(B183,[1]Companies!$A:$A,0)),"")</f>
        <v>Financial Services</v>
      </c>
      <c r="L183" s="14" t="str">
        <f>VLOOKUP(B183,[1]Companies!$A$1:$C$5243,1,FALSE)</f>
        <v>Spacepointe</v>
      </c>
      <c r="M183" s="15">
        <f t="shared" si="246"/>
        <v>0.9</v>
      </c>
      <c r="N183" s="10" t="str">
        <f t="shared" si="247"/>
        <v>42530SpacePointe1200000</v>
      </c>
      <c r="O183" s="14" t="str">
        <f t="shared" si="248"/>
        <v/>
      </c>
      <c r="P183" s="14">
        <f t="shared" si="249"/>
        <v>1</v>
      </c>
      <c r="Q183" s="14">
        <f t="array" ref="Q183">IFERROR(INDEX([1]Companies!$D:$D,MATCH(B183,[1]Companies!$A:$A,0)),"")</f>
        <v>2014</v>
      </c>
      <c r="R183" s="17">
        <f t="shared" si="250"/>
        <v>1200000</v>
      </c>
      <c r="S183" s="14">
        <f>VLOOKUP(I183,[1]Lookups!$V$3:$Y$197,4,FALSE)</f>
        <v>0</v>
      </c>
      <c r="T183" s="14" t="str">
        <f>VLOOKUP(E183,[1]Lookups!$H$3:$I$71,2,FALSE)</f>
        <v>2. Seed</v>
      </c>
      <c r="U183" s="14" t="str">
        <f>VLOOKUP(K183,[1]Lookups!$B$3:$C$142,2,FALSE)</f>
        <v>Financial Services</v>
      </c>
      <c r="V183" s="14">
        <f t="shared" si="1"/>
        <v>2016</v>
      </c>
      <c r="W183" s="14">
        <f t="shared" si="2"/>
        <v>6</v>
      </c>
      <c r="X183" s="14">
        <f>VLOOKUP(W183,[1]Lookups!$P$3:$S$15,2,FALSE)</f>
        <v>2</v>
      </c>
      <c r="Y183" s="16">
        <f>VLOOKUP(W183,[1]Lookups!$P$3:$U$15,3,FALSE)</f>
        <v>1</v>
      </c>
      <c r="Z183" s="16">
        <f t="shared" si="3"/>
        <v>1</v>
      </c>
      <c r="AA183" s="16" t="str">
        <f t="shared" ca="1" si="274"/>
        <v>Spark Capital</v>
      </c>
      <c r="AB183" s="16">
        <f t="shared" si="274"/>
        <v>0</v>
      </c>
      <c r="AC183" s="16">
        <f t="shared" si="274"/>
        <v>0</v>
      </c>
      <c r="AD183" s="16">
        <f t="shared" si="274"/>
        <v>0</v>
      </c>
      <c r="AE183" s="16">
        <f t="shared" si="274"/>
        <v>0</v>
      </c>
      <c r="AF183" s="16">
        <f t="shared" si="274"/>
        <v>0</v>
      </c>
      <c r="AG183" s="16">
        <f t="shared" si="274"/>
        <v>0</v>
      </c>
      <c r="AH183" s="16">
        <f t="shared" si="274"/>
        <v>0</v>
      </c>
      <c r="AI183" s="16">
        <f t="shared" si="274"/>
        <v>0</v>
      </c>
      <c r="AJ183" s="16">
        <f t="shared" si="274"/>
        <v>0</v>
      </c>
      <c r="AK183" s="16">
        <f t="shared" si="274"/>
        <v>0</v>
      </c>
      <c r="AL183" s="16">
        <f t="shared" si="274"/>
        <v>0</v>
      </c>
      <c r="AM183" s="16">
        <f t="shared" si="274"/>
        <v>0</v>
      </c>
      <c r="AN183" s="16">
        <f t="shared" si="274"/>
        <v>0</v>
      </c>
      <c r="AO183" s="16">
        <f t="shared" si="274"/>
        <v>0</v>
      </c>
      <c r="AP183" s="10"/>
      <c r="AQ183" s="10"/>
      <c r="AR183" s="10"/>
      <c r="AS183" s="10" t="str">
        <f t="shared" ref="AS183" ca="1" si="285">IFERROR(__xludf.DUMMYFUNCTION("split(F109,"","",true,true)"),"Spark Capital")</f>
        <v>Spark Capital</v>
      </c>
      <c r="AT183" s="10"/>
      <c r="AU183" s="10"/>
      <c r="AV183" s="10"/>
      <c r="AW183" s="10"/>
      <c r="AX183" s="10"/>
      <c r="AY183" s="10"/>
      <c r="AZ183" s="10"/>
      <c r="BA183" s="10"/>
      <c r="BB183" s="10"/>
      <c r="BC183" s="10"/>
      <c r="BD183" s="10"/>
      <c r="BE183" s="10"/>
      <c r="BF183" s="10"/>
      <c r="BG183" s="10"/>
      <c r="BH183" s="10"/>
      <c r="BI183" s="10"/>
      <c r="BJ183" s="10"/>
      <c r="BK183" s="10"/>
      <c r="BM183" s="10"/>
    </row>
    <row r="184" spans="1:65" ht="12.75">
      <c r="A184" s="18">
        <v>42541</v>
      </c>
      <c r="B184" s="14" t="s">
        <v>219</v>
      </c>
      <c r="C184" s="19">
        <v>24000000</v>
      </c>
      <c r="D184" s="19"/>
      <c r="E184" s="14" t="s">
        <v>112</v>
      </c>
      <c r="F184" s="20" t="s">
        <v>462</v>
      </c>
      <c r="G184" s="21" t="s">
        <v>463</v>
      </c>
      <c r="H184" s="14" t="str">
        <f t="array" ref="H184">IFERROR(INDEX([1]Companies!$G:$G,MATCH(B184,[1]Companies!$A:$A,0)),"")</f>
        <v>United States</v>
      </c>
      <c r="I184" s="14" t="str">
        <f t="shared" si="245"/>
        <v>United States</v>
      </c>
      <c r="J184" s="14" t="str">
        <f t="array" ref="J184">IFERROR(INDEX([1]Companies!$Y:$Y,MATCH(B184,[1]Companies!$A:$A,0)),"")</f>
        <v>Edtech, BPO, Recruitment, Software, Training</v>
      </c>
      <c r="K184" s="14" t="str">
        <f t="array" ref="K184">IFERROR(INDEX([1]Companies!$X:$X,MATCH(B184,[1]Companies!$A:$A,0)),"")</f>
        <v>Commercial &amp; Professional Services</v>
      </c>
      <c r="L184" s="14" t="str">
        <f>VLOOKUP(B184,[1]Companies!$A$1:$C$5243,1,FALSE)</f>
        <v>Andela</v>
      </c>
      <c r="M184" s="15">
        <f t="shared" si="246"/>
        <v>0.9</v>
      </c>
      <c r="N184" s="10" t="str">
        <f t="shared" si="247"/>
        <v>42541Andela24000000</v>
      </c>
      <c r="O184" s="14" t="str">
        <f t="shared" si="248"/>
        <v/>
      </c>
      <c r="P184" s="14">
        <f t="shared" si="249"/>
        <v>1</v>
      </c>
      <c r="Q184" s="14">
        <f t="array" ref="Q184">IFERROR(INDEX([1]Companies!$D:$D,MATCH(B184,[1]Companies!$A:$A,0)),"")</f>
        <v>2014</v>
      </c>
      <c r="R184" s="17">
        <f t="shared" si="250"/>
        <v>181000000</v>
      </c>
      <c r="S184" s="14" t="e">
        <f>VLOOKUP(I184,[1]Lookups!$V$3:$Y$197,4,FALSE)</f>
        <v>#N/A</v>
      </c>
      <c r="T184" s="14" t="str">
        <f>VLOOKUP(E184,[1]Lookups!$H$3:$I$71,2,FALSE)</f>
        <v>3. Early Venture</v>
      </c>
      <c r="U184" s="14" t="str">
        <f>VLOOKUP(K184,[1]Lookups!$B$3:$C$142,2,FALSE)</f>
        <v>Other Technologies &amp; Information Technology</v>
      </c>
      <c r="V184" s="14">
        <f t="shared" si="1"/>
        <v>2016</v>
      </c>
      <c r="W184" s="14">
        <f t="shared" si="2"/>
        <v>6</v>
      </c>
      <c r="X184" s="14">
        <f>VLOOKUP(W184,[1]Lookups!$P$3:$S$15,2,FALSE)</f>
        <v>2</v>
      </c>
      <c r="Y184" s="16">
        <f>VLOOKUP(W184,[1]Lookups!$P$3:$U$15,3,FALSE)</f>
        <v>1</v>
      </c>
      <c r="Z184" s="16">
        <f t="shared" si="3"/>
        <v>9</v>
      </c>
      <c r="AA184" s="16" t="str">
        <f t="shared" ca="1" si="274"/>
        <v>Spark Capital</v>
      </c>
      <c r="AB184" s="16" t="str">
        <f t="shared" ca="1" si="274"/>
        <v xml:space="preserve"> Spark Capital</v>
      </c>
      <c r="AC184" s="16" t="str">
        <f t="shared" ca="1" si="274"/>
        <v xml:space="preserve"> Social Impact Capital</v>
      </c>
      <c r="AD184" s="16" t="str">
        <f t="shared" ca="1" si="274"/>
        <v xml:space="preserve"> Omidyar Network</v>
      </c>
      <c r="AE184" s="16" t="str">
        <f t="shared" ca="1" si="274"/>
        <v xml:space="preserve"> Learn Capital</v>
      </c>
      <c r="AF184" s="16" t="str">
        <f t="shared" ca="1" si="274"/>
        <v xml:space="preserve"> GV</v>
      </c>
      <c r="AG184" s="16" t="str">
        <f t="shared" ca="1" si="274"/>
        <v xml:space="preserve"> GSV Acceleration</v>
      </c>
      <c r="AH184" s="16" t="str">
        <f t="shared" ca="1" si="274"/>
        <v xml:space="preserve"> Flat World Partners</v>
      </c>
      <c r="AI184" s="16" t="str">
        <f t="shared" ca="1" si="274"/>
        <v xml:space="preserve"> Battery Road Digital Holdings</v>
      </c>
      <c r="AJ184" s="16">
        <f t="shared" si="274"/>
        <v>0</v>
      </c>
      <c r="AK184" s="16">
        <f t="shared" si="274"/>
        <v>0</v>
      </c>
      <c r="AL184" s="16">
        <f t="shared" si="274"/>
        <v>0</v>
      </c>
      <c r="AM184" s="16">
        <f t="shared" si="274"/>
        <v>0</v>
      </c>
      <c r="AN184" s="16">
        <f t="shared" si="274"/>
        <v>0</v>
      </c>
      <c r="AO184" s="16">
        <f t="shared" si="274"/>
        <v>0</v>
      </c>
      <c r="AP184" s="10"/>
      <c r="AQ184" s="10"/>
      <c r="AR184" s="10"/>
      <c r="AS184" s="10" t="str">
        <f t="shared" ref="AS184" ca="1" si="286">IFERROR(__xludf.DUMMYFUNCTION("split(F109,"","",true,true)"),"Spark Capital")</f>
        <v>Spark Capital</v>
      </c>
      <c r="AT184" s="10" t="str">
        <f ca="1">IFERROR(__xludf.DUMMYFUNCTION("""COMPUTED_VALUE""")," Spark Capital")</f>
        <v xml:space="preserve"> Spark Capital</v>
      </c>
      <c r="AU184" s="10" t="str">
        <f ca="1">IFERROR(__xludf.DUMMYFUNCTION("""COMPUTED_VALUE""")," Social Impact Capital")</f>
        <v xml:space="preserve"> Social Impact Capital</v>
      </c>
      <c r="AV184" s="10" t="str">
        <f ca="1">IFERROR(__xludf.DUMMYFUNCTION("""COMPUTED_VALUE""")," Omidyar Network")</f>
        <v xml:space="preserve"> Omidyar Network</v>
      </c>
      <c r="AW184" s="10" t="str">
        <f ca="1">IFERROR(__xludf.DUMMYFUNCTION("""COMPUTED_VALUE""")," Learn Capital")</f>
        <v xml:space="preserve"> Learn Capital</v>
      </c>
      <c r="AX184" s="10" t="str">
        <f ca="1">IFERROR(__xludf.DUMMYFUNCTION("""COMPUTED_VALUE""")," GV")</f>
        <v xml:space="preserve"> GV</v>
      </c>
      <c r="AY184" s="10" t="str">
        <f ca="1">IFERROR(__xludf.DUMMYFUNCTION("""COMPUTED_VALUE""")," GSV Acceleration")</f>
        <v xml:space="preserve"> GSV Acceleration</v>
      </c>
      <c r="AZ184" s="10" t="str">
        <f ca="1">IFERROR(__xludf.DUMMYFUNCTION("""COMPUTED_VALUE""")," Flat World Partners")</f>
        <v xml:space="preserve"> Flat World Partners</v>
      </c>
      <c r="BA184" s="10" t="str">
        <f ca="1">IFERROR(__xludf.DUMMYFUNCTION("""COMPUTED_VALUE""")," Battery Road Digital Holdings")</f>
        <v xml:space="preserve"> Battery Road Digital Holdings</v>
      </c>
      <c r="BB184" s="10"/>
      <c r="BC184" s="10"/>
      <c r="BD184" s="10"/>
      <c r="BE184" s="10"/>
      <c r="BF184" s="10"/>
      <c r="BG184" s="10"/>
      <c r="BH184" s="10"/>
      <c r="BI184" s="10"/>
      <c r="BJ184" s="10"/>
      <c r="BK184" s="10"/>
      <c r="BM184" s="10"/>
    </row>
    <row r="185" spans="1:65" ht="12.75">
      <c r="A185" s="18">
        <v>42542</v>
      </c>
      <c r="B185" s="20" t="s">
        <v>464</v>
      </c>
      <c r="C185" s="19">
        <v>7500000</v>
      </c>
      <c r="D185" s="19"/>
      <c r="E185" s="14" t="s">
        <v>69</v>
      </c>
      <c r="F185" s="14" t="s">
        <v>465</v>
      </c>
      <c r="G185" s="21" t="s">
        <v>466</v>
      </c>
      <c r="H185" s="14" t="str">
        <f t="array" ref="H185">IFERROR(INDEX([1]Companies!$G:$G,MATCH(B185,[1]Companies!$A:$A,0)),"")</f>
        <v>Ghana</v>
      </c>
      <c r="I185" s="14" t="str">
        <f t="shared" si="245"/>
        <v>Ghana</v>
      </c>
      <c r="J185" s="14" t="str">
        <f t="array" ref="J185">IFERROR(INDEX([1]Companies!$Y:$Y,MATCH(B185,[1]Companies!$A:$A,0)),"")</f>
        <v>Asset Financing, Pay As You Go Solar, and Solar Energy</v>
      </c>
      <c r="K185" s="14" t="str">
        <f t="array" ref="K185">IFERROR(INDEX([1]Companies!$X:$X,MATCH(B185,[1]Companies!$A:$A,0)),"")</f>
        <v>Energy &amp; Environment Resources</v>
      </c>
      <c r="L185" s="14" t="str">
        <f>VLOOKUP(B185,[1]Companies!$A$1:$C$5243,1,FALSE)</f>
        <v>PEG Africa</v>
      </c>
      <c r="M185" s="15">
        <f t="shared" si="246"/>
        <v>0.9</v>
      </c>
      <c r="N185" s="10" t="str">
        <f t="shared" si="247"/>
        <v>42542PEG Africa7500000</v>
      </c>
      <c r="O185" s="14" t="str">
        <f t="shared" si="248"/>
        <v/>
      </c>
      <c r="P185" s="14">
        <f t="shared" si="249"/>
        <v>1</v>
      </c>
      <c r="Q185" s="14">
        <f t="array" ref="Q185">IFERROR(INDEX([1]Companies!$D:$D,MATCH(B185,[1]Companies!$A:$A,0)),"")</f>
        <v>2013</v>
      </c>
      <c r="R185" s="17">
        <f t="shared" si="250"/>
        <v>52500000</v>
      </c>
      <c r="S185" s="14">
        <f>VLOOKUP(I185,[1]Lookups!$V$3:$Y$197,4,FALSE)</f>
        <v>0</v>
      </c>
      <c r="T185" s="14" t="str">
        <f>VLOOKUP(E185,[1]Lookups!$H$3:$I$71,2,FALSE)</f>
        <v>3. Early Venture</v>
      </c>
      <c r="U185" s="14" t="e">
        <f>VLOOKUP(K185,[1]Lookups!$B$3:$C$142,2,FALSE)</f>
        <v>#N/A</v>
      </c>
      <c r="V185" s="14">
        <f t="shared" si="1"/>
        <v>2016</v>
      </c>
      <c r="W185" s="14">
        <f t="shared" si="2"/>
        <v>6</v>
      </c>
      <c r="X185" s="14">
        <f>VLOOKUP(W185,[1]Lookups!$P$3:$S$15,2,FALSE)</f>
        <v>2</v>
      </c>
      <c r="Y185" s="16">
        <f>VLOOKUP(W185,[1]Lookups!$P$3:$U$15,3,FALSE)</f>
        <v>1</v>
      </c>
      <c r="Z185" s="16">
        <f t="shared" si="3"/>
        <v>4</v>
      </c>
      <c r="AA185" s="16" t="str">
        <f t="shared" ca="1" si="274"/>
        <v>Spark Capital</v>
      </c>
      <c r="AB185" s="16" t="str">
        <f t="shared" ca="1" si="274"/>
        <v xml:space="preserve"> Blue Haven Initiative</v>
      </c>
      <c r="AC185" s="16" t="str">
        <f t="shared" ca="1" si="274"/>
        <v xml:space="preserve"> Investisseurs &amp; Partenaires (I&amp;P)</v>
      </c>
      <c r="AD185" s="16" t="str">
        <f t="shared" ca="1" si="274"/>
        <v xml:space="preserve"> ENGIE Rassembleurs d'Energies</v>
      </c>
      <c r="AE185" s="16">
        <f t="shared" si="274"/>
        <v>0</v>
      </c>
      <c r="AF185" s="16">
        <f t="shared" si="274"/>
        <v>0</v>
      </c>
      <c r="AG185" s="16">
        <f t="shared" si="274"/>
        <v>0</v>
      </c>
      <c r="AH185" s="16">
        <f t="shared" si="274"/>
        <v>0</v>
      </c>
      <c r="AI185" s="16">
        <f t="shared" si="274"/>
        <v>0</v>
      </c>
      <c r="AJ185" s="16">
        <f t="shared" si="274"/>
        <v>0</v>
      </c>
      <c r="AK185" s="16">
        <f t="shared" si="274"/>
        <v>0</v>
      </c>
      <c r="AL185" s="16">
        <f t="shared" si="274"/>
        <v>0</v>
      </c>
      <c r="AM185" s="16">
        <f t="shared" si="274"/>
        <v>0</v>
      </c>
      <c r="AN185" s="16">
        <f t="shared" si="274"/>
        <v>0</v>
      </c>
      <c r="AO185" s="16">
        <f t="shared" si="274"/>
        <v>0</v>
      </c>
      <c r="AP185" s="10"/>
      <c r="AQ185" s="10"/>
      <c r="AR185" s="10"/>
      <c r="AS185" s="10" t="str">
        <f t="shared" ref="AS185" ca="1" si="287">IFERROR(__xludf.DUMMYFUNCTION("split(F109,"","",true,true)"),"Spark Capital")</f>
        <v>Spark Capital</v>
      </c>
      <c r="AT185" s="10" t="str">
        <f ca="1">IFERROR(__xludf.DUMMYFUNCTION("""COMPUTED_VALUE""")," Blue Haven Initiative")</f>
        <v xml:space="preserve"> Blue Haven Initiative</v>
      </c>
      <c r="AU185" s="10" t="str">
        <f ca="1">IFERROR(__xludf.DUMMYFUNCTION("""COMPUTED_VALUE""")," Investisseurs &amp; Partenaires (I&amp;P)")</f>
        <v xml:space="preserve"> Investisseurs &amp; Partenaires (I&amp;P)</v>
      </c>
      <c r="AV185" s="10" t="str">
        <f ca="1">IFERROR(__xludf.DUMMYFUNCTION("""COMPUTED_VALUE""")," ENGIE Rassembleurs d'Energies")</f>
        <v xml:space="preserve"> ENGIE Rassembleurs d'Energies</v>
      </c>
      <c r="AW185" s="10"/>
      <c r="AX185" s="10"/>
      <c r="AY185" s="10"/>
      <c r="AZ185" s="10"/>
      <c r="BA185" s="10"/>
      <c r="BB185" s="10"/>
      <c r="BC185" s="10"/>
      <c r="BD185" s="10"/>
      <c r="BE185" s="10"/>
      <c r="BF185" s="10"/>
      <c r="BG185" s="10"/>
      <c r="BH185" s="10"/>
      <c r="BI185" s="10"/>
      <c r="BJ185" s="10"/>
      <c r="BK185" s="10"/>
      <c r="BM185" s="10"/>
    </row>
    <row r="186" spans="1:65" ht="12.75">
      <c r="A186" s="9">
        <v>42548</v>
      </c>
      <c r="B186" s="10" t="s">
        <v>244</v>
      </c>
      <c r="C186" s="11" t="s">
        <v>49</v>
      </c>
      <c r="D186" s="12"/>
      <c r="E186" s="14" t="s">
        <v>55</v>
      </c>
      <c r="F186" s="10" t="s">
        <v>455</v>
      </c>
      <c r="G186" s="13" t="s">
        <v>467</v>
      </c>
      <c r="H186" s="14" t="str">
        <f t="array" ref="H186">IFERROR(INDEX([1]Companies!$G:$G,MATCH(B186,[1]Companies!$A:$A,0)),"")</f>
        <v>Rwanda</v>
      </c>
      <c r="I186" s="14" t="str">
        <f t="shared" si="245"/>
        <v>Rwanda</v>
      </c>
      <c r="J186" s="14" t="str">
        <f t="array" ref="J186">IFERROR(INDEX([1]Companies!$Y:$Y,MATCH(B186,[1]Companies!$A:$A,0)),"")</f>
        <v>Apps, Public Safety, Taxi Service, Transportation, Ride-hailing</v>
      </c>
      <c r="K186" s="14" t="str">
        <f t="array" ref="K186">IFERROR(INDEX([1]Companies!$X:$X,MATCH(B186,[1]Companies!$A:$A,0)),"")</f>
        <v>Transport &amp; Logistics</v>
      </c>
      <c r="L186" s="14" t="str">
        <f>VLOOKUP(B186,[1]Companies!$A$1:$C$5243,1,FALSE)</f>
        <v>CanGo</v>
      </c>
      <c r="M186" s="15">
        <f t="shared" si="246"/>
        <v>0.9</v>
      </c>
      <c r="N186" s="10" t="str">
        <f t="shared" si="247"/>
        <v>42548CanGoUndisclosed</v>
      </c>
      <c r="O186" s="14" t="str">
        <f t="shared" si="248"/>
        <v/>
      </c>
      <c r="P186" s="14">
        <f t="shared" si="249"/>
        <v>0</v>
      </c>
      <c r="Q186" s="14">
        <f t="array" ref="Q186">IFERROR(INDEX([1]Companies!$D:$D,MATCH(B186,[1]Companies!$A:$A,0)),"")</f>
        <v>2015</v>
      </c>
      <c r="R186" s="17">
        <f t="shared" si="250"/>
        <v>131000</v>
      </c>
      <c r="S186" s="14">
        <f>VLOOKUP(I186,[1]Lookups!$V$3:$Y$197,4,FALSE)</f>
        <v>0</v>
      </c>
      <c r="T186" s="14" t="str">
        <f>VLOOKUP(E186,[1]Lookups!$H$3:$I$71,2,FALSE)</f>
        <v>1. Grant</v>
      </c>
      <c r="U186" s="14" t="str">
        <f>VLOOKUP(K186,[1]Lookups!$B$3:$C$142,2,FALSE)</f>
        <v>Transport &amp; Logistics</v>
      </c>
      <c r="V186" s="14">
        <f t="shared" si="1"/>
        <v>2016</v>
      </c>
      <c r="W186" s="14">
        <f t="shared" si="2"/>
        <v>6</v>
      </c>
      <c r="X186" s="14">
        <f>VLOOKUP(W186,[1]Lookups!$P$3:$S$15,2,FALSE)</f>
        <v>2</v>
      </c>
      <c r="Y186" s="16">
        <f>VLOOKUP(W186,[1]Lookups!$P$3:$U$15,3,FALSE)</f>
        <v>1</v>
      </c>
      <c r="Z186" s="16">
        <f t="shared" si="3"/>
        <v>1</v>
      </c>
      <c r="AA186" s="16" t="str">
        <f t="shared" ca="1" si="274"/>
        <v>Spark Capital</v>
      </c>
      <c r="AB186" s="16">
        <f t="shared" si="274"/>
        <v>0</v>
      </c>
      <c r="AC186" s="16">
        <f t="shared" si="274"/>
        <v>0</v>
      </c>
      <c r="AD186" s="16">
        <f t="shared" si="274"/>
        <v>0</v>
      </c>
      <c r="AE186" s="16">
        <f t="shared" si="274"/>
        <v>0</v>
      </c>
      <c r="AF186" s="16">
        <f t="shared" si="274"/>
        <v>0</v>
      </c>
      <c r="AG186" s="16">
        <f t="shared" si="274"/>
        <v>0</v>
      </c>
      <c r="AH186" s="16">
        <f t="shared" si="274"/>
        <v>0</v>
      </c>
      <c r="AI186" s="16">
        <f t="shared" si="274"/>
        <v>0</v>
      </c>
      <c r="AJ186" s="16">
        <f t="shared" si="274"/>
        <v>0</v>
      </c>
      <c r="AK186" s="16">
        <f t="shared" si="274"/>
        <v>0</v>
      </c>
      <c r="AL186" s="16">
        <f t="shared" si="274"/>
        <v>0</v>
      </c>
      <c r="AM186" s="16">
        <f t="shared" si="274"/>
        <v>0</v>
      </c>
      <c r="AN186" s="16">
        <f t="shared" si="274"/>
        <v>0</v>
      </c>
      <c r="AO186" s="16">
        <f t="shared" si="274"/>
        <v>0</v>
      </c>
      <c r="AP186" s="10"/>
      <c r="AQ186" s="10"/>
      <c r="AR186" s="10"/>
      <c r="AS186" s="10" t="str">
        <f t="shared" ref="AS186" ca="1" si="288">IFERROR(__xludf.DUMMYFUNCTION("split(F109,"","",true,true)"),"Spark Capital")</f>
        <v>Spark Capital</v>
      </c>
      <c r="AT186" s="10"/>
      <c r="AU186" s="10"/>
      <c r="AV186" s="10"/>
      <c r="AW186" s="10"/>
      <c r="AX186" s="10"/>
      <c r="AY186" s="10"/>
      <c r="AZ186" s="10"/>
      <c r="BA186" s="10"/>
      <c r="BB186" s="10"/>
      <c r="BC186" s="10"/>
      <c r="BD186" s="10"/>
      <c r="BE186" s="10"/>
      <c r="BF186" s="10"/>
      <c r="BG186" s="10"/>
      <c r="BH186" s="10"/>
      <c r="BI186" s="10"/>
      <c r="BJ186" s="10"/>
      <c r="BK186" s="10"/>
      <c r="BM186" s="10"/>
    </row>
    <row r="187" spans="1:65" ht="12.75">
      <c r="A187" s="9">
        <v>42552</v>
      </c>
      <c r="B187" s="10" t="s">
        <v>468</v>
      </c>
      <c r="C187" s="11">
        <v>150000</v>
      </c>
      <c r="D187" s="12"/>
      <c r="E187" s="10" t="s">
        <v>45</v>
      </c>
      <c r="F187" s="10" t="s">
        <v>469</v>
      </c>
      <c r="G187" s="13" t="s">
        <v>470</v>
      </c>
      <c r="H187" s="14" t="str">
        <f t="array" ref="H187">IFERROR(INDEX([1]Companies!$G:$G,MATCH(B187,[1]Companies!$A:$A,0)),"")</f>
        <v>Egypt</v>
      </c>
      <c r="I187" s="14" t="str">
        <f t="shared" si="245"/>
        <v>Egypt</v>
      </c>
      <c r="J187" s="14" t="str">
        <f t="array" ref="J187">IFERROR(INDEX([1]Companies!$Y:$Y,MATCH(B187,[1]Companies!$A:$A,0)),"")</f>
        <v>Health Care, Medical, mHealth</v>
      </c>
      <c r="K187" s="14" t="str">
        <f t="array" ref="K187">IFERROR(INDEX([1]Companies!$X:$X,MATCH(B187,[1]Companies!$A:$A,0)),"")</f>
        <v>Healthcare &amp; Pharma</v>
      </c>
      <c r="L187" s="14" t="str">
        <f>VLOOKUP(B187,[1]Companies!$A$1:$C$5243,1,FALSE)</f>
        <v>Shezlong</v>
      </c>
      <c r="M187" s="15">
        <f t="shared" si="246"/>
        <v>0.9</v>
      </c>
      <c r="N187" s="10" t="str">
        <f t="shared" si="247"/>
        <v>42552Shezlong150000</v>
      </c>
      <c r="O187" s="14" t="str">
        <f t="shared" si="248"/>
        <v/>
      </c>
      <c r="P187" s="14">
        <f t="shared" si="249"/>
        <v>1</v>
      </c>
      <c r="Q187" s="14">
        <f t="array" ref="Q187">IFERROR(INDEX([1]Companies!$D:$D,MATCH(B187,[1]Companies!$A:$A,0)),"")</f>
        <v>2015</v>
      </c>
      <c r="R187" s="17">
        <f t="shared" si="250"/>
        <v>950000</v>
      </c>
      <c r="S187" s="14">
        <f>VLOOKUP(I187,[1]Lookups!$V$3:$Y$197,4,FALSE)</f>
        <v>0</v>
      </c>
      <c r="T187" s="14" t="str">
        <f>VLOOKUP(E187,[1]Lookups!$H$3:$I$71,2,FALSE)</f>
        <v>2. Seed</v>
      </c>
      <c r="U187" s="14" t="str">
        <f>VLOOKUP(K187,[1]Lookups!$B$3:$C$142,2,FALSE)</f>
        <v>Health &amp; Pharmaceuticals</v>
      </c>
      <c r="V187" s="14">
        <f t="shared" si="1"/>
        <v>2016</v>
      </c>
      <c r="W187" s="14">
        <f t="shared" si="2"/>
        <v>7</v>
      </c>
      <c r="X187" s="14">
        <f>VLOOKUP(W187,[1]Lookups!$P$3:$S$15,2,FALSE)</f>
        <v>3</v>
      </c>
      <c r="Y187" s="16">
        <f>VLOOKUP(W187,[1]Lookups!$P$3:$U$15,3,FALSE)</f>
        <v>2</v>
      </c>
      <c r="Z187" s="16">
        <f t="shared" si="3"/>
        <v>2</v>
      </c>
      <c r="AA187" s="16" t="str">
        <f t="shared" ca="1" si="274"/>
        <v>Spark Capital</v>
      </c>
      <c r="AB187" s="16" t="str">
        <f t="shared" ca="1" si="274"/>
        <v xml:space="preserve"> A15</v>
      </c>
      <c r="AC187" s="16">
        <f t="shared" si="274"/>
        <v>0</v>
      </c>
      <c r="AD187" s="16">
        <f t="shared" si="274"/>
        <v>0</v>
      </c>
      <c r="AE187" s="16">
        <f t="shared" si="274"/>
        <v>0</v>
      </c>
      <c r="AF187" s="16">
        <f t="shared" si="274"/>
        <v>0</v>
      </c>
      <c r="AG187" s="16">
        <f t="shared" si="274"/>
        <v>0</v>
      </c>
      <c r="AH187" s="16">
        <f t="shared" si="274"/>
        <v>0</v>
      </c>
      <c r="AI187" s="16">
        <f t="shared" si="274"/>
        <v>0</v>
      </c>
      <c r="AJ187" s="16">
        <f t="shared" si="274"/>
        <v>0</v>
      </c>
      <c r="AK187" s="16">
        <f t="shared" si="274"/>
        <v>0</v>
      </c>
      <c r="AL187" s="16">
        <f t="shared" si="274"/>
        <v>0</v>
      </c>
      <c r="AM187" s="16">
        <f t="shared" si="274"/>
        <v>0</v>
      </c>
      <c r="AN187" s="16">
        <f t="shared" si="274"/>
        <v>0</v>
      </c>
      <c r="AO187" s="16">
        <f t="shared" si="274"/>
        <v>0</v>
      </c>
      <c r="AP187" s="10"/>
      <c r="AQ187" s="10"/>
      <c r="AR187" s="10"/>
      <c r="AS187" s="10" t="str">
        <f t="shared" ref="AS187" ca="1" si="289">IFERROR(__xludf.DUMMYFUNCTION("split(F109,"","",true,true)"),"Spark Capital")</f>
        <v>Spark Capital</v>
      </c>
      <c r="AT187" s="10" t="str">
        <f ca="1">IFERROR(__xludf.DUMMYFUNCTION("""COMPUTED_VALUE""")," A15")</f>
        <v xml:space="preserve"> A15</v>
      </c>
      <c r="AU187" s="10"/>
      <c r="AV187" s="10"/>
      <c r="AW187" s="10"/>
      <c r="AX187" s="10"/>
      <c r="AY187" s="10"/>
      <c r="AZ187" s="10"/>
      <c r="BA187" s="10"/>
      <c r="BB187" s="10"/>
      <c r="BC187" s="10"/>
      <c r="BD187" s="10"/>
      <c r="BE187" s="10"/>
      <c r="BF187" s="10"/>
      <c r="BG187" s="10"/>
      <c r="BH187" s="10"/>
      <c r="BI187" s="10"/>
      <c r="BJ187" s="10"/>
      <c r="BK187" s="10"/>
      <c r="BM187" s="10"/>
    </row>
    <row r="188" spans="1:65" ht="12.75">
      <c r="A188" s="18">
        <v>42558</v>
      </c>
      <c r="B188" s="14" t="s">
        <v>471</v>
      </c>
      <c r="C188" s="19" t="s">
        <v>49</v>
      </c>
      <c r="D188" s="19"/>
      <c r="E188" s="14" t="s">
        <v>45</v>
      </c>
      <c r="F188" s="14" t="s">
        <v>472</v>
      </c>
      <c r="G188" s="21" t="s">
        <v>473</v>
      </c>
      <c r="H188" s="14" t="str">
        <f t="array" ref="H188">IFERROR(INDEX([1]Companies!$G:$G,MATCH(B188,[1]Companies!$A:$A,0)),"")</f>
        <v>South Africa</v>
      </c>
      <c r="I188" s="14" t="str">
        <f t="shared" si="245"/>
        <v>South Africa</v>
      </c>
      <c r="J188" s="14" t="str">
        <f t="array" ref="J188">IFERROR(INDEX([1]Companies!$Y:$Y,MATCH(B188,[1]Companies!$A:$A,0)),"")</f>
        <v>Business Intelligence, Cloud Computing, Document Management</v>
      </c>
      <c r="K188" s="14" t="str">
        <f t="array" ref="K188">IFERROR(INDEX([1]Companies!$X:$X,MATCH(B188,[1]Companies!$A:$A,0)),"")</f>
        <v>Information Technology</v>
      </c>
      <c r="L188" s="14" t="str">
        <f>VLOOKUP(B188,[1]Companies!$A$1:$C$5243,1,FALSE)</f>
        <v>Digital Cabinet</v>
      </c>
      <c r="M188" s="15">
        <f t="shared" si="246"/>
        <v>0.9</v>
      </c>
      <c r="N188" s="10" t="str">
        <f t="shared" si="247"/>
        <v>42558Digital CabinetUndisclosed</v>
      </c>
      <c r="O188" s="14" t="str">
        <f t="shared" si="248"/>
        <v/>
      </c>
      <c r="P188" s="14">
        <f t="shared" si="249"/>
        <v>0</v>
      </c>
      <c r="Q188" s="14">
        <f t="array" ref="Q188">IFERROR(INDEX([1]Companies!$D:$D,MATCH(B188,[1]Companies!$A:$A,0)),"")</f>
        <v>2007</v>
      </c>
      <c r="R188" s="17">
        <f t="shared" si="250"/>
        <v>0</v>
      </c>
      <c r="S188" s="14">
        <f>VLOOKUP(I188,[1]Lookups!$V$3:$Y$197,4,FALSE)</f>
        <v>0</v>
      </c>
      <c r="T188" s="14" t="str">
        <f>VLOOKUP(E188,[1]Lookups!$H$3:$I$71,2,FALSE)</f>
        <v>2. Seed</v>
      </c>
      <c r="U188" s="14" t="str">
        <f>VLOOKUP(K188,[1]Lookups!$B$3:$C$142,2,FALSE)</f>
        <v>Other Technologies &amp; Information Technology</v>
      </c>
      <c r="V188" s="14">
        <f t="shared" si="1"/>
        <v>2016</v>
      </c>
      <c r="W188" s="14">
        <f t="shared" si="2"/>
        <v>7</v>
      </c>
      <c r="X188" s="14">
        <f>VLOOKUP(W188,[1]Lookups!$P$3:$S$15,2,FALSE)</f>
        <v>3</v>
      </c>
      <c r="Y188" s="16">
        <f>VLOOKUP(W188,[1]Lookups!$P$3:$U$15,3,FALSE)</f>
        <v>2</v>
      </c>
      <c r="Z188" s="16">
        <f t="shared" si="3"/>
        <v>1</v>
      </c>
      <c r="AA188" s="16" t="str">
        <f t="shared" ca="1" si="274"/>
        <v>Spark Capital</v>
      </c>
      <c r="AB188" s="16">
        <f t="shared" si="274"/>
        <v>0</v>
      </c>
      <c r="AC188" s="16">
        <f t="shared" si="274"/>
        <v>0</v>
      </c>
      <c r="AD188" s="16">
        <f t="shared" si="274"/>
        <v>0</v>
      </c>
      <c r="AE188" s="16">
        <f t="shared" si="274"/>
        <v>0</v>
      </c>
      <c r="AF188" s="16">
        <f t="shared" si="274"/>
        <v>0</v>
      </c>
      <c r="AG188" s="16">
        <f t="shared" si="274"/>
        <v>0</v>
      </c>
      <c r="AH188" s="16">
        <f t="shared" si="274"/>
        <v>0</v>
      </c>
      <c r="AI188" s="16">
        <f t="shared" si="274"/>
        <v>0</v>
      </c>
      <c r="AJ188" s="16">
        <f t="shared" si="274"/>
        <v>0</v>
      </c>
      <c r="AK188" s="16">
        <f t="shared" si="274"/>
        <v>0</v>
      </c>
      <c r="AL188" s="16">
        <f t="shared" si="274"/>
        <v>0</v>
      </c>
      <c r="AM188" s="16">
        <f t="shared" si="274"/>
        <v>0</v>
      </c>
      <c r="AN188" s="16">
        <f t="shared" si="274"/>
        <v>0</v>
      </c>
      <c r="AO188" s="16">
        <f t="shared" si="274"/>
        <v>0</v>
      </c>
      <c r="AP188" s="10"/>
      <c r="AQ188" s="10"/>
      <c r="AR188" s="10"/>
      <c r="AS188" s="10" t="str">
        <f t="shared" ref="AS188" ca="1" si="290">IFERROR(__xludf.DUMMYFUNCTION("split(F109,"","",true,true)"),"Spark Capital")</f>
        <v>Spark Capital</v>
      </c>
      <c r="AT188" s="10"/>
      <c r="AU188" s="10"/>
      <c r="AV188" s="10"/>
      <c r="AW188" s="10"/>
      <c r="AX188" s="10"/>
      <c r="AY188" s="10"/>
      <c r="AZ188" s="10"/>
      <c r="BA188" s="10"/>
      <c r="BB188" s="10"/>
      <c r="BC188" s="10"/>
      <c r="BD188" s="10"/>
      <c r="BE188" s="10"/>
      <c r="BF188" s="10"/>
      <c r="BG188" s="10"/>
      <c r="BH188" s="10"/>
      <c r="BI188" s="10"/>
      <c r="BJ188" s="10"/>
      <c r="BK188" s="10"/>
      <c r="BM188" s="10"/>
    </row>
    <row r="189" spans="1:65" ht="12.75">
      <c r="A189" s="9">
        <v>42564</v>
      </c>
      <c r="B189" s="10" t="s">
        <v>474</v>
      </c>
      <c r="C189" s="11">
        <v>20000</v>
      </c>
      <c r="D189" s="12"/>
      <c r="E189" s="10" t="s">
        <v>45</v>
      </c>
      <c r="F189" s="10" t="s">
        <v>475</v>
      </c>
      <c r="G189" s="13" t="s">
        <v>476</v>
      </c>
      <c r="H189" s="14" t="str">
        <f t="array" ref="H189">IFERROR(INDEX([1]Companies!$G:$G,MATCH(B189,[1]Companies!$A:$A,0)),"")</f>
        <v>South Africa</v>
      </c>
      <c r="I189" s="14" t="str">
        <f t="shared" si="245"/>
        <v>South Africa</v>
      </c>
      <c r="J189" s="14" t="str">
        <f t="array" ref="J189">IFERROR(INDEX([1]Companies!$Y:$Y,MATCH(B189,[1]Companies!$A:$A,0)),"")</f>
        <v>FinTech, E-Payments</v>
      </c>
      <c r="K189" s="14" t="str">
        <f t="array" ref="K189">IFERROR(INDEX([1]Companies!$X:$X,MATCH(B189,[1]Companies!$A:$A,0)),"")</f>
        <v>Financial Services</v>
      </c>
      <c r="L189" s="14" t="str">
        <f>VLOOKUP(B189,[1]Companies!$A$1:$C$5243,1,FALSE)</f>
        <v>Payment24</v>
      </c>
      <c r="M189" s="15">
        <f t="shared" si="246"/>
        <v>0.9</v>
      </c>
      <c r="N189" s="10" t="str">
        <f t="shared" si="247"/>
        <v>42564Payment2420000</v>
      </c>
      <c r="O189" s="14" t="str">
        <f t="shared" si="248"/>
        <v/>
      </c>
      <c r="P189" s="14">
        <f t="shared" si="249"/>
        <v>1</v>
      </c>
      <c r="Q189" s="14">
        <f t="array" ref="Q189">IFERROR(INDEX([1]Companies!$D:$D,MATCH(B189,[1]Companies!$A:$A,0)),"")</f>
        <v>2014</v>
      </c>
      <c r="R189" s="17">
        <f t="shared" si="250"/>
        <v>170000</v>
      </c>
      <c r="S189" s="14">
        <f>VLOOKUP(I189,[1]Lookups!$V$3:$Y$197,4,FALSE)</f>
        <v>0</v>
      </c>
      <c r="T189" s="14" t="str">
        <f>VLOOKUP(E189,[1]Lookups!$H$3:$I$71,2,FALSE)</f>
        <v>2. Seed</v>
      </c>
      <c r="U189" s="14" t="str">
        <f>VLOOKUP(K189,[1]Lookups!$B$3:$C$142,2,FALSE)</f>
        <v>Financial Services</v>
      </c>
      <c r="V189" s="14">
        <f t="shared" si="1"/>
        <v>2016</v>
      </c>
      <c r="W189" s="14">
        <f t="shared" si="2"/>
        <v>7</v>
      </c>
      <c r="X189" s="14">
        <f>VLOOKUP(W189,[1]Lookups!$P$3:$S$15,2,FALSE)</f>
        <v>3</v>
      </c>
      <c r="Y189" s="16">
        <f>VLOOKUP(W189,[1]Lookups!$P$3:$U$15,3,FALSE)</f>
        <v>2</v>
      </c>
      <c r="Z189" s="16">
        <f t="shared" si="3"/>
        <v>1</v>
      </c>
      <c r="AA189" s="16" t="str">
        <f t="shared" ref="AA189:AO204" ca="1" si="291">AS189</f>
        <v>Spark Capital</v>
      </c>
      <c r="AB189" s="16">
        <f t="shared" si="291"/>
        <v>0</v>
      </c>
      <c r="AC189" s="16">
        <f t="shared" si="291"/>
        <v>0</v>
      </c>
      <c r="AD189" s="16">
        <f t="shared" si="291"/>
        <v>0</v>
      </c>
      <c r="AE189" s="16">
        <f t="shared" si="291"/>
        <v>0</v>
      </c>
      <c r="AF189" s="16">
        <f t="shared" si="291"/>
        <v>0</v>
      </c>
      <c r="AG189" s="16">
        <f t="shared" si="291"/>
        <v>0</v>
      </c>
      <c r="AH189" s="16">
        <f t="shared" si="291"/>
        <v>0</v>
      </c>
      <c r="AI189" s="16">
        <f t="shared" si="291"/>
        <v>0</v>
      </c>
      <c r="AJ189" s="16">
        <f t="shared" si="291"/>
        <v>0</v>
      </c>
      <c r="AK189" s="16">
        <f t="shared" si="291"/>
        <v>0</v>
      </c>
      <c r="AL189" s="16">
        <f t="shared" si="291"/>
        <v>0</v>
      </c>
      <c r="AM189" s="16">
        <f t="shared" si="291"/>
        <v>0</v>
      </c>
      <c r="AN189" s="16">
        <f t="shared" si="291"/>
        <v>0</v>
      </c>
      <c r="AO189" s="16">
        <f t="shared" si="291"/>
        <v>0</v>
      </c>
      <c r="AP189" s="10"/>
      <c r="AQ189" s="10"/>
      <c r="AR189" s="10"/>
      <c r="AS189" s="10" t="str">
        <f t="shared" ref="AS189" ca="1" si="292">IFERROR(__xludf.DUMMYFUNCTION("split(F109,"","",true,true)"),"Spark Capital")</f>
        <v>Spark Capital</v>
      </c>
      <c r="AT189" s="10"/>
      <c r="AU189" s="10"/>
      <c r="AV189" s="10"/>
      <c r="AW189" s="10"/>
      <c r="AX189" s="10"/>
      <c r="AY189" s="10"/>
      <c r="AZ189" s="10"/>
      <c r="BA189" s="10"/>
      <c r="BB189" s="10"/>
      <c r="BC189" s="10"/>
      <c r="BD189" s="10"/>
      <c r="BE189" s="10"/>
      <c r="BF189" s="10"/>
      <c r="BG189" s="10"/>
      <c r="BH189" s="10"/>
      <c r="BI189" s="10"/>
      <c r="BJ189" s="10"/>
      <c r="BK189" s="10"/>
      <c r="BM189" s="10"/>
    </row>
    <row r="190" spans="1:65" ht="12.75">
      <c r="A190" s="9">
        <v>42572</v>
      </c>
      <c r="B190" s="10" t="s">
        <v>477</v>
      </c>
      <c r="C190" s="11" t="s">
        <v>49</v>
      </c>
      <c r="D190" s="12"/>
      <c r="E190" s="10" t="s">
        <v>48</v>
      </c>
      <c r="F190" s="10" t="s">
        <v>478</v>
      </c>
      <c r="G190" s="13" t="s">
        <v>479</v>
      </c>
      <c r="H190" s="14" t="str">
        <f t="array" ref="H190">IFERROR(INDEX([1]Companies!$G:$G,MATCH(B190,[1]Companies!$A:$A,0)),"")</f>
        <v>Egypt</v>
      </c>
      <c r="I190" s="14" t="str">
        <f t="shared" si="245"/>
        <v>Egypt</v>
      </c>
      <c r="J190" s="14" t="str">
        <f t="array" ref="J190">IFERROR(INDEX([1]Companies!$Y:$Y,MATCH(B190,[1]Companies!$A:$A,0)),"")</f>
        <v>E-Commerce, Education, Internet</v>
      </c>
      <c r="K190" s="14" t="str">
        <f t="array" ref="K190">IFERROR(INDEX([1]Companies!$X:$X,MATCH(B190,[1]Companies!$A:$A,0)),"")</f>
        <v>Education</v>
      </c>
      <c r="L190" s="14" t="str">
        <f>VLOOKUP(B190,[1]Companies!$A$1:$C$5243,1,FALSE)</f>
        <v>Orcas​</v>
      </c>
      <c r="M190" s="15">
        <f t="shared" si="246"/>
        <v>0.9</v>
      </c>
      <c r="N190" s="10" t="str">
        <f t="shared" si="247"/>
        <v>42572Orcas​Undisclosed</v>
      </c>
      <c r="O190" s="14" t="str">
        <f t="shared" si="248"/>
        <v/>
      </c>
      <c r="P190" s="14">
        <f t="shared" si="249"/>
        <v>0</v>
      </c>
      <c r="Q190" s="14">
        <f t="array" ref="Q190">IFERROR(INDEX([1]Companies!$D:$D,MATCH(B190,[1]Companies!$A:$A,0)),"")</f>
        <v>2014</v>
      </c>
      <c r="R190" s="17">
        <f t="shared" si="250"/>
        <v>500000</v>
      </c>
      <c r="S190" s="14">
        <f>VLOOKUP(I190,[1]Lookups!$V$3:$Y$197,4,FALSE)</f>
        <v>0</v>
      </c>
      <c r="T190" s="14" t="str">
        <f>VLOOKUP(E190,[1]Lookups!$H$3:$I$71,2,FALSE)</f>
        <v>2. Seed</v>
      </c>
      <c r="U190" s="14" t="str">
        <f>VLOOKUP(K190,[1]Lookups!$B$3:$C$142,2,FALSE)</f>
        <v>Education</v>
      </c>
      <c r="V190" s="14">
        <f t="shared" si="1"/>
        <v>2016</v>
      </c>
      <c r="W190" s="14">
        <f t="shared" si="2"/>
        <v>7</v>
      </c>
      <c r="X190" s="14">
        <f>VLOOKUP(W190,[1]Lookups!$P$3:$S$15,2,FALSE)</f>
        <v>3</v>
      </c>
      <c r="Y190" s="16">
        <f>VLOOKUP(W190,[1]Lookups!$P$3:$U$15,3,FALSE)</f>
        <v>2</v>
      </c>
      <c r="Z190" s="16">
        <f t="shared" si="3"/>
        <v>1</v>
      </c>
      <c r="AA190" s="16" t="str">
        <f t="shared" ca="1" si="291"/>
        <v>Spark Capital</v>
      </c>
      <c r="AB190" s="16">
        <f t="shared" si="291"/>
        <v>0</v>
      </c>
      <c r="AC190" s="16">
        <f t="shared" si="291"/>
        <v>0</v>
      </c>
      <c r="AD190" s="16">
        <f t="shared" si="291"/>
        <v>0</v>
      </c>
      <c r="AE190" s="16">
        <f t="shared" si="291"/>
        <v>0</v>
      </c>
      <c r="AF190" s="16">
        <f t="shared" si="291"/>
        <v>0</v>
      </c>
      <c r="AG190" s="16">
        <f t="shared" si="291"/>
        <v>0</v>
      </c>
      <c r="AH190" s="16">
        <f t="shared" si="291"/>
        <v>0</v>
      </c>
      <c r="AI190" s="16">
        <f t="shared" si="291"/>
        <v>0</v>
      </c>
      <c r="AJ190" s="16">
        <f t="shared" si="291"/>
        <v>0</v>
      </c>
      <c r="AK190" s="16">
        <f t="shared" si="291"/>
        <v>0</v>
      </c>
      <c r="AL190" s="16">
        <f t="shared" si="291"/>
        <v>0</v>
      </c>
      <c r="AM190" s="16">
        <f t="shared" si="291"/>
        <v>0</v>
      </c>
      <c r="AN190" s="16">
        <f t="shared" si="291"/>
        <v>0</v>
      </c>
      <c r="AO190" s="16">
        <f t="shared" si="291"/>
        <v>0</v>
      </c>
      <c r="AP190" s="10"/>
      <c r="AQ190" s="10"/>
      <c r="AR190" s="10"/>
      <c r="AS190" s="10" t="str">
        <f t="shared" ref="AS190" ca="1" si="293">IFERROR(__xludf.DUMMYFUNCTION("split(F109,"","",true,true)"),"Spark Capital")</f>
        <v>Spark Capital</v>
      </c>
      <c r="AT190" s="10"/>
      <c r="AU190" s="10"/>
      <c r="AV190" s="10"/>
      <c r="AW190" s="10"/>
      <c r="AX190" s="10"/>
      <c r="AY190" s="10"/>
      <c r="AZ190" s="10"/>
      <c r="BA190" s="10"/>
      <c r="BB190" s="10"/>
      <c r="BC190" s="10"/>
      <c r="BD190" s="10"/>
      <c r="BE190" s="10"/>
      <c r="BF190" s="10"/>
      <c r="BG190" s="10"/>
      <c r="BH190" s="10"/>
      <c r="BI190" s="10"/>
      <c r="BJ190" s="10"/>
      <c r="BK190" s="10"/>
      <c r="BM190" s="10"/>
    </row>
    <row r="191" spans="1:65" ht="12.75">
      <c r="A191" s="9">
        <v>42583</v>
      </c>
      <c r="B191" s="10" t="s">
        <v>480</v>
      </c>
      <c r="C191" s="11">
        <v>274700</v>
      </c>
      <c r="D191" s="12"/>
      <c r="E191" s="10" t="s">
        <v>287</v>
      </c>
      <c r="F191" s="10" t="s">
        <v>49</v>
      </c>
      <c r="G191" s="13" t="s">
        <v>481</v>
      </c>
      <c r="H191" s="14" t="str">
        <f t="array" ref="H191">IFERROR(INDEX([1]Companies!$G:$G,MATCH(B191,[1]Companies!$A:$A,0)),"")</f>
        <v>Kenya</v>
      </c>
      <c r="I191" s="14" t="str">
        <f t="shared" si="245"/>
        <v>Kenya</v>
      </c>
      <c r="J191" s="14" t="str">
        <f t="array" ref="J191">IFERROR(INDEX([1]Companies!$Y:$Y,MATCH(B191,[1]Companies!$A:$A,0)),"")</f>
        <v>Internet, Marketplace, Mobile Payments, Trading Platform</v>
      </c>
      <c r="K191" s="14" t="str">
        <f t="array" ref="K191">IFERROR(INDEX([1]Companies!$X:$X,MATCH(B191,[1]Companies!$A:$A,0)),"")</f>
        <v>E-Commerce &amp; Retail</v>
      </c>
      <c r="L191" s="14" t="str">
        <f>VLOOKUP(B191,[1]Companies!$A$1:$C$5243,1,FALSE)</f>
        <v>Sky.Garden</v>
      </c>
      <c r="M191" s="15">
        <f t="shared" si="246"/>
        <v>0.9</v>
      </c>
      <c r="N191" s="10" t="str">
        <f t="shared" si="247"/>
        <v>42583Sky.Garden274700</v>
      </c>
      <c r="O191" s="14" t="str">
        <f t="shared" si="248"/>
        <v/>
      </c>
      <c r="P191" s="14">
        <f t="shared" si="249"/>
        <v>1</v>
      </c>
      <c r="Q191" s="14">
        <f t="array" ref="Q191">IFERROR(INDEX([1]Companies!$D:$D,MATCH(B191,[1]Companies!$A:$A,0)),"")</f>
        <v>2015</v>
      </c>
      <c r="R191" s="17">
        <f t="shared" si="250"/>
        <v>1724700</v>
      </c>
      <c r="S191" s="14">
        <f>VLOOKUP(I191,[1]Lookups!$V$3:$Y$197,4,FALSE)</f>
        <v>0</v>
      </c>
      <c r="T191" s="14" t="str">
        <f>VLOOKUP(E191,[1]Lookups!$H$3:$I$71,2,FALSE)</f>
        <v>5. Debt Financing</v>
      </c>
      <c r="U191" s="14" t="str">
        <f>VLOOKUP(K191,[1]Lookups!$B$3:$C$142,2,FALSE)</f>
        <v>E-commerce &amp; Retail</v>
      </c>
      <c r="V191" s="14">
        <f t="shared" si="1"/>
        <v>2016</v>
      </c>
      <c r="W191" s="14">
        <f t="shared" si="2"/>
        <v>8</v>
      </c>
      <c r="X191" s="14">
        <f>VLOOKUP(W191,[1]Lookups!$P$3:$S$15,2,FALSE)</f>
        <v>3</v>
      </c>
      <c r="Y191" s="16">
        <f>VLOOKUP(W191,[1]Lookups!$P$3:$U$15,3,FALSE)</f>
        <v>2</v>
      </c>
      <c r="Z191" s="16">
        <f t="shared" si="3"/>
        <v>1</v>
      </c>
      <c r="AA191" s="16" t="str">
        <f t="shared" ca="1" si="291"/>
        <v>Spark Capital</v>
      </c>
      <c r="AB191" s="16">
        <f t="shared" si="291"/>
        <v>0</v>
      </c>
      <c r="AC191" s="16">
        <f t="shared" si="291"/>
        <v>0</v>
      </c>
      <c r="AD191" s="16">
        <f t="shared" si="291"/>
        <v>0</v>
      </c>
      <c r="AE191" s="16">
        <f t="shared" si="291"/>
        <v>0</v>
      </c>
      <c r="AF191" s="16">
        <f t="shared" si="291"/>
        <v>0</v>
      </c>
      <c r="AG191" s="16">
        <f t="shared" si="291"/>
        <v>0</v>
      </c>
      <c r="AH191" s="16">
        <f t="shared" si="291"/>
        <v>0</v>
      </c>
      <c r="AI191" s="16">
        <f t="shared" si="291"/>
        <v>0</v>
      </c>
      <c r="AJ191" s="16">
        <f t="shared" si="291"/>
        <v>0</v>
      </c>
      <c r="AK191" s="16">
        <f t="shared" si="291"/>
        <v>0</v>
      </c>
      <c r="AL191" s="16">
        <f t="shared" si="291"/>
        <v>0</v>
      </c>
      <c r="AM191" s="16">
        <f t="shared" si="291"/>
        <v>0</v>
      </c>
      <c r="AN191" s="16">
        <f t="shared" si="291"/>
        <v>0</v>
      </c>
      <c r="AO191" s="16">
        <f t="shared" si="291"/>
        <v>0</v>
      </c>
      <c r="AP191" s="10"/>
      <c r="AQ191" s="10"/>
      <c r="AR191" s="10"/>
      <c r="AS191" s="10" t="str">
        <f t="shared" ref="AS191" ca="1" si="294">IFERROR(__xludf.DUMMYFUNCTION("split(F109,"","",true,true)"),"Spark Capital")</f>
        <v>Spark Capital</v>
      </c>
      <c r="AT191" s="10"/>
      <c r="AU191" s="10"/>
      <c r="AV191" s="10"/>
      <c r="AW191" s="10"/>
      <c r="AX191" s="10"/>
      <c r="AY191" s="10"/>
      <c r="AZ191" s="10"/>
      <c r="BA191" s="10"/>
      <c r="BB191" s="10"/>
      <c r="BC191" s="10"/>
      <c r="BD191" s="10"/>
      <c r="BE191" s="10"/>
      <c r="BF191" s="10"/>
      <c r="BG191" s="10"/>
      <c r="BH191" s="10"/>
      <c r="BI191" s="10"/>
      <c r="BJ191" s="10"/>
      <c r="BK191" s="10"/>
      <c r="BM191" s="10"/>
    </row>
    <row r="192" spans="1:65" ht="12.75">
      <c r="A192" s="9">
        <v>42583</v>
      </c>
      <c r="B192" s="10" t="s">
        <v>482</v>
      </c>
      <c r="C192" s="11">
        <v>100000</v>
      </c>
      <c r="D192" s="12"/>
      <c r="E192" s="10" t="s">
        <v>45</v>
      </c>
      <c r="F192" s="10" t="s">
        <v>483</v>
      </c>
      <c r="G192" s="13" t="s">
        <v>484</v>
      </c>
      <c r="H192" s="14" t="str">
        <f t="array" ref="H192">IFERROR(INDEX([1]Companies!$G:$G,MATCH(B192,[1]Companies!$A:$A,0)),"")</f>
        <v>Egypt</v>
      </c>
      <c r="I192" s="14" t="str">
        <f t="shared" si="245"/>
        <v>Egypt</v>
      </c>
      <c r="J192" s="14" t="str">
        <f t="array" ref="J192">IFERROR(INDEX([1]Companies!$Y:$Y,MATCH(B192,[1]Companies!$A:$A,0)),"")</f>
        <v>E-Commerce, Food and Beverage, Food Delivery, Marketplace</v>
      </c>
      <c r="K192" s="14" t="str">
        <f t="array" ref="K192">IFERROR(INDEX([1]Companies!$X:$X,MATCH(B192,[1]Companies!$A:$A,0)),"")</f>
        <v>E-Commerce &amp; Retail</v>
      </c>
      <c r="L192" s="14" t="str">
        <f>VLOOKUP(B192,[1]Companies!$A$1:$C$5243,1,FALSE)</f>
        <v>Mumm</v>
      </c>
      <c r="M192" s="15">
        <f t="shared" si="246"/>
        <v>0.9</v>
      </c>
      <c r="N192" s="10" t="str">
        <f t="shared" si="247"/>
        <v>42583Mumm100000</v>
      </c>
      <c r="O192" s="14" t="str">
        <f t="shared" si="248"/>
        <v/>
      </c>
      <c r="P192" s="14">
        <f t="shared" si="249"/>
        <v>1</v>
      </c>
      <c r="Q192" s="14">
        <f t="array" ref="Q192">IFERROR(INDEX([1]Companies!$D:$D,MATCH(B192,[1]Companies!$A:$A,0)),"")</f>
        <v>2015</v>
      </c>
      <c r="R192" s="17">
        <f t="shared" si="250"/>
        <v>450000</v>
      </c>
      <c r="S192" s="14">
        <f>VLOOKUP(I192,[1]Lookups!$V$3:$Y$197,4,FALSE)</f>
        <v>0</v>
      </c>
      <c r="T192" s="14" t="str">
        <f>VLOOKUP(E192,[1]Lookups!$H$3:$I$71,2,FALSE)</f>
        <v>2. Seed</v>
      </c>
      <c r="U192" s="14" t="str">
        <f>VLOOKUP(K192,[1]Lookups!$B$3:$C$142,2,FALSE)</f>
        <v>E-commerce &amp; Retail</v>
      </c>
      <c r="V192" s="14">
        <f t="shared" si="1"/>
        <v>2016</v>
      </c>
      <c r="W192" s="14">
        <f t="shared" si="2"/>
        <v>8</v>
      </c>
      <c r="X192" s="14">
        <f>VLOOKUP(W192,[1]Lookups!$P$3:$S$15,2,FALSE)</f>
        <v>3</v>
      </c>
      <c r="Y192" s="16">
        <f>VLOOKUP(W192,[1]Lookups!$P$3:$U$15,3,FALSE)</f>
        <v>2</v>
      </c>
      <c r="Z192" s="16">
        <f t="shared" si="3"/>
        <v>1</v>
      </c>
      <c r="AA192" s="16" t="str">
        <f t="shared" ca="1" si="291"/>
        <v>Spark Capital</v>
      </c>
      <c r="AB192" s="16">
        <f t="shared" si="291"/>
        <v>0</v>
      </c>
      <c r="AC192" s="16">
        <f t="shared" si="291"/>
        <v>0</v>
      </c>
      <c r="AD192" s="16">
        <f t="shared" si="291"/>
        <v>0</v>
      </c>
      <c r="AE192" s="16">
        <f t="shared" si="291"/>
        <v>0</v>
      </c>
      <c r="AF192" s="16">
        <f t="shared" si="291"/>
        <v>0</v>
      </c>
      <c r="AG192" s="16">
        <f t="shared" si="291"/>
        <v>0</v>
      </c>
      <c r="AH192" s="16">
        <f t="shared" si="291"/>
        <v>0</v>
      </c>
      <c r="AI192" s="16">
        <f t="shared" si="291"/>
        <v>0</v>
      </c>
      <c r="AJ192" s="16">
        <f t="shared" si="291"/>
        <v>0</v>
      </c>
      <c r="AK192" s="16">
        <f t="shared" si="291"/>
        <v>0</v>
      </c>
      <c r="AL192" s="16">
        <f t="shared" si="291"/>
        <v>0</v>
      </c>
      <c r="AM192" s="16">
        <f t="shared" si="291"/>
        <v>0</v>
      </c>
      <c r="AN192" s="16">
        <f t="shared" si="291"/>
        <v>0</v>
      </c>
      <c r="AO192" s="16">
        <f t="shared" si="291"/>
        <v>0</v>
      </c>
      <c r="AP192" s="10"/>
      <c r="AQ192" s="10"/>
      <c r="AR192" s="10"/>
      <c r="AS192" s="10" t="str">
        <f t="shared" ref="AS192" ca="1" si="295">IFERROR(__xludf.DUMMYFUNCTION("split(F109,"","",true,true)"),"Spark Capital")</f>
        <v>Spark Capital</v>
      </c>
      <c r="AT192" s="10"/>
      <c r="AU192" s="10"/>
      <c r="AV192" s="10"/>
      <c r="AW192" s="10"/>
      <c r="AX192" s="10"/>
      <c r="AY192" s="10"/>
      <c r="AZ192" s="10"/>
      <c r="BA192" s="10"/>
      <c r="BB192" s="10"/>
      <c r="BC192" s="10"/>
      <c r="BD192" s="10"/>
      <c r="BE192" s="10"/>
      <c r="BF192" s="10"/>
      <c r="BG192" s="10"/>
      <c r="BH192" s="10"/>
      <c r="BI192" s="10"/>
      <c r="BJ192" s="10"/>
      <c r="BK192" s="10"/>
      <c r="BM192" s="10"/>
    </row>
    <row r="193" spans="1:65" ht="12.75">
      <c r="A193" s="9">
        <v>42583</v>
      </c>
      <c r="B193" s="10" t="s">
        <v>485</v>
      </c>
      <c r="C193" s="11">
        <v>40000</v>
      </c>
      <c r="D193" s="12"/>
      <c r="E193" s="10" t="s">
        <v>45</v>
      </c>
      <c r="F193" s="10" t="s">
        <v>49</v>
      </c>
      <c r="G193" s="13" t="s">
        <v>486</v>
      </c>
      <c r="H193" s="14" t="str">
        <f t="array" ref="H193">IFERROR(INDEX([1]Companies!$G:$G,MATCH(B193,[1]Companies!$A:$A,0)),"")</f>
        <v>South Africa</v>
      </c>
      <c r="I193" s="14" t="str">
        <f t="shared" si="245"/>
        <v>South Africa</v>
      </c>
      <c r="J193" s="14" t="str">
        <f t="array" ref="J193">IFERROR(INDEX([1]Companies!$Y:$Y,MATCH(B193,[1]Companies!$A:$A,0)),"")</f>
        <v>Car Sharing, Peer to Peer, Ride Sharing</v>
      </c>
      <c r="K193" s="14" t="str">
        <f t="array" ref="K193">IFERROR(INDEX([1]Companies!$X:$X,MATCH(B193,[1]Companies!$A:$A,0)),"")</f>
        <v>Transport &amp; Logistics</v>
      </c>
      <c r="L193" s="14" t="str">
        <f>VLOOKUP(B193,[1]Companies!$A$1:$C$5243,1,FALSE)</f>
        <v>Jumpin Rides</v>
      </c>
      <c r="M193" s="15">
        <f t="shared" si="246"/>
        <v>0.9</v>
      </c>
      <c r="N193" s="10" t="str">
        <f t="shared" si="247"/>
        <v>42583Jumpin Rides40000</v>
      </c>
      <c r="O193" s="14" t="str">
        <f t="shared" si="248"/>
        <v/>
      </c>
      <c r="P193" s="14">
        <f t="shared" si="249"/>
        <v>1</v>
      </c>
      <c r="Q193" s="14">
        <f t="array" ref="Q193">IFERROR(INDEX([1]Companies!$D:$D,MATCH(B193,[1]Companies!$A:$A,0)),"")</f>
        <v>2016</v>
      </c>
      <c r="R193" s="17">
        <f t="shared" si="250"/>
        <v>177000</v>
      </c>
      <c r="S193" s="14">
        <f>VLOOKUP(I193,[1]Lookups!$V$3:$Y$197,4,FALSE)</f>
        <v>0</v>
      </c>
      <c r="T193" s="14" t="str">
        <f>VLOOKUP(E193,[1]Lookups!$H$3:$I$71,2,FALSE)</f>
        <v>2. Seed</v>
      </c>
      <c r="U193" s="14" t="str">
        <f>VLOOKUP(K193,[1]Lookups!$B$3:$C$142,2,FALSE)</f>
        <v>Transport &amp; Logistics</v>
      </c>
      <c r="V193" s="14">
        <f t="shared" si="1"/>
        <v>2016</v>
      </c>
      <c r="W193" s="14">
        <f t="shared" si="2"/>
        <v>8</v>
      </c>
      <c r="X193" s="14">
        <f>VLOOKUP(W193,[1]Lookups!$P$3:$S$15,2,FALSE)</f>
        <v>3</v>
      </c>
      <c r="Y193" s="16">
        <f>VLOOKUP(W193,[1]Lookups!$P$3:$U$15,3,FALSE)</f>
        <v>2</v>
      </c>
      <c r="Z193" s="16">
        <f t="shared" si="3"/>
        <v>1</v>
      </c>
      <c r="AA193" s="16" t="str">
        <f t="shared" ca="1" si="291"/>
        <v>Spark Capital</v>
      </c>
      <c r="AB193" s="16">
        <f t="shared" si="291"/>
        <v>0</v>
      </c>
      <c r="AC193" s="16">
        <f t="shared" si="291"/>
        <v>0</v>
      </c>
      <c r="AD193" s="16">
        <f t="shared" si="291"/>
        <v>0</v>
      </c>
      <c r="AE193" s="16">
        <f t="shared" si="291"/>
        <v>0</v>
      </c>
      <c r="AF193" s="16">
        <f t="shared" si="291"/>
        <v>0</v>
      </c>
      <c r="AG193" s="16">
        <f t="shared" si="291"/>
        <v>0</v>
      </c>
      <c r="AH193" s="16">
        <f t="shared" si="291"/>
        <v>0</v>
      </c>
      <c r="AI193" s="16">
        <f t="shared" si="291"/>
        <v>0</v>
      </c>
      <c r="AJ193" s="16">
        <f t="shared" si="291"/>
        <v>0</v>
      </c>
      <c r="AK193" s="16">
        <f t="shared" si="291"/>
        <v>0</v>
      </c>
      <c r="AL193" s="16">
        <f t="shared" si="291"/>
        <v>0</v>
      </c>
      <c r="AM193" s="16">
        <f t="shared" si="291"/>
        <v>0</v>
      </c>
      <c r="AN193" s="16">
        <f t="shared" si="291"/>
        <v>0</v>
      </c>
      <c r="AO193" s="16">
        <f t="shared" si="291"/>
        <v>0</v>
      </c>
      <c r="AP193" s="10"/>
      <c r="AQ193" s="10"/>
      <c r="AR193" s="10"/>
      <c r="AS193" s="10" t="str">
        <f t="shared" ref="AS193" ca="1" si="296">IFERROR(__xludf.DUMMYFUNCTION("split(F109,"","",true,true)"),"Spark Capital")</f>
        <v>Spark Capital</v>
      </c>
      <c r="AT193" s="10"/>
      <c r="AU193" s="10"/>
      <c r="AV193" s="10"/>
      <c r="AW193" s="10"/>
      <c r="AX193" s="10"/>
      <c r="AY193" s="10"/>
      <c r="AZ193" s="10"/>
      <c r="BA193" s="10"/>
      <c r="BB193" s="10"/>
      <c r="BC193" s="10"/>
      <c r="BD193" s="10"/>
      <c r="BE193" s="10"/>
      <c r="BF193" s="10"/>
      <c r="BG193" s="10"/>
      <c r="BH193" s="10"/>
      <c r="BI193" s="10"/>
      <c r="BJ193" s="10"/>
      <c r="BK193" s="10"/>
      <c r="BM193" s="10"/>
    </row>
    <row r="194" spans="1:65" ht="12.75">
      <c r="A194" s="9">
        <v>42587</v>
      </c>
      <c r="B194" s="10" t="s">
        <v>130</v>
      </c>
      <c r="C194" s="11" t="s">
        <v>49</v>
      </c>
      <c r="D194" s="12"/>
      <c r="E194" s="10" t="s">
        <v>51</v>
      </c>
      <c r="F194" s="10" t="s">
        <v>487</v>
      </c>
      <c r="G194" s="13" t="s">
        <v>488</v>
      </c>
      <c r="H194" s="14" t="str">
        <f t="array" ref="H194">IFERROR(INDEX([1]Companies!$G:$G,MATCH(B194,[1]Companies!$A:$A,0)),"")</f>
        <v>Kenya</v>
      </c>
      <c r="I194" s="14" t="str">
        <f t="shared" si="245"/>
        <v>Kenya</v>
      </c>
      <c r="J194" s="14" t="str">
        <f t="array" ref="J194">IFERROR(INDEX([1]Companies!$Y:$Y,MATCH(B194,[1]Companies!$A:$A,0)),"")</f>
        <v>Educational Content, Mobile Learning, E-Learning, Edtech</v>
      </c>
      <c r="K194" s="14" t="str">
        <f t="array" ref="K194">IFERROR(INDEX([1]Companies!$X:$X,MATCH(B194,[1]Companies!$A:$A,0)),"")</f>
        <v>Education</v>
      </c>
      <c r="L194" s="14" t="str">
        <f>VLOOKUP(B194,[1]Companies!$A$1:$C$5243,1,FALSE)</f>
        <v>Eneza Education</v>
      </c>
      <c r="M194" s="15">
        <f t="shared" si="246"/>
        <v>0.9</v>
      </c>
      <c r="N194" s="10" t="str">
        <f t="shared" si="247"/>
        <v>42587Eneza EducationUndisclosed</v>
      </c>
      <c r="O194" s="14" t="str">
        <f t="shared" si="248"/>
        <v/>
      </c>
      <c r="P194" s="14">
        <f t="shared" si="249"/>
        <v>0</v>
      </c>
      <c r="Q194" s="14">
        <f t="array" ref="Q194">IFERROR(INDEX([1]Companies!$D:$D,MATCH(B194,[1]Companies!$A:$A,0)),"")</f>
        <v>2011</v>
      </c>
      <c r="R194" s="17">
        <f t="shared" si="250"/>
        <v>0</v>
      </c>
      <c r="S194" s="14">
        <f>VLOOKUP(I194,[1]Lookups!$V$3:$Y$197,4,FALSE)</f>
        <v>0</v>
      </c>
      <c r="T194" s="14" t="str">
        <f>VLOOKUP(E194,[1]Lookups!$H$3:$I$71,2,FALSE)</f>
        <v>6. Private Equity</v>
      </c>
      <c r="U194" s="14" t="str">
        <f>VLOOKUP(K194,[1]Lookups!$B$3:$C$142,2,FALSE)</f>
        <v>Education</v>
      </c>
      <c r="V194" s="14">
        <f t="shared" si="1"/>
        <v>2016</v>
      </c>
      <c r="W194" s="14">
        <f t="shared" si="2"/>
        <v>8</v>
      </c>
      <c r="X194" s="14">
        <f>VLOOKUP(W194,[1]Lookups!$P$3:$S$15,2,FALSE)</f>
        <v>3</v>
      </c>
      <c r="Y194" s="16">
        <f>VLOOKUP(W194,[1]Lookups!$P$3:$U$15,3,FALSE)</f>
        <v>2</v>
      </c>
      <c r="Z194" s="16">
        <f t="shared" si="3"/>
        <v>1</v>
      </c>
      <c r="AA194" s="16" t="str">
        <f t="shared" ca="1" si="291"/>
        <v>Spark Capital</v>
      </c>
      <c r="AB194" s="16">
        <f t="shared" si="291"/>
        <v>0</v>
      </c>
      <c r="AC194" s="16">
        <f t="shared" si="291"/>
        <v>0</v>
      </c>
      <c r="AD194" s="16">
        <f t="shared" si="291"/>
        <v>0</v>
      </c>
      <c r="AE194" s="16">
        <f t="shared" si="291"/>
        <v>0</v>
      </c>
      <c r="AF194" s="16">
        <f t="shared" si="291"/>
        <v>0</v>
      </c>
      <c r="AG194" s="16">
        <f t="shared" si="291"/>
        <v>0</v>
      </c>
      <c r="AH194" s="16">
        <f t="shared" si="291"/>
        <v>0</v>
      </c>
      <c r="AI194" s="16">
        <f t="shared" si="291"/>
        <v>0</v>
      </c>
      <c r="AJ194" s="16">
        <f t="shared" si="291"/>
        <v>0</v>
      </c>
      <c r="AK194" s="16">
        <f t="shared" si="291"/>
        <v>0</v>
      </c>
      <c r="AL194" s="16">
        <f t="shared" si="291"/>
        <v>0</v>
      </c>
      <c r="AM194" s="16">
        <f t="shared" si="291"/>
        <v>0</v>
      </c>
      <c r="AN194" s="16">
        <f t="shared" si="291"/>
        <v>0</v>
      </c>
      <c r="AO194" s="16">
        <f t="shared" si="291"/>
        <v>0</v>
      </c>
      <c r="AP194" s="10"/>
      <c r="AQ194" s="10"/>
      <c r="AR194" s="10"/>
      <c r="AS194" s="10" t="str">
        <f t="shared" ref="AS194" ca="1" si="297">IFERROR(__xludf.DUMMYFUNCTION("split(F109,"","",true,true)"),"Spark Capital")</f>
        <v>Spark Capital</v>
      </c>
      <c r="AT194" s="10"/>
      <c r="AU194" s="10"/>
      <c r="AV194" s="10"/>
      <c r="AW194" s="10"/>
      <c r="AX194" s="10"/>
      <c r="AY194" s="10"/>
      <c r="AZ194" s="10"/>
      <c r="BA194" s="10"/>
      <c r="BB194" s="10"/>
      <c r="BC194" s="10"/>
      <c r="BD194" s="10"/>
      <c r="BE194" s="10"/>
      <c r="BF194" s="10"/>
      <c r="BG194" s="10"/>
      <c r="BH194" s="10"/>
      <c r="BI194" s="10"/>
      <c r="BJ194" s="10"/>
      <c r="BK194" s="10"/>
      <c r="BM194" s="10"/>
    </row>
    <row r="195" spans="1:65" ht="12.75">
      <c r="A195" s="18">
        <v>42592</v>
      </c>
      <c r="B195" s="14" t="s">
        <v>186</v>
      </c>
      <c r="C195" s="19">
        <v>10000000</v>
      </c>
      <c r="D195" s="19"/>
      <c r="E195" s="14" t="s">
        <v>161</v>
      </c>
      <c r="F195" s="14" t="s">
        <v>489</v>
      </c>
      <c r="G195" s="21" t="s">
        <v>490</v>
      </c>
      <c r="H195" s="14" t="str">
        <f t="array" ref="H195">IFERROR(INDEX([1]Companies!$G:$G,MATCH(B195,[1]Companies!$A:$A,0)),"")</f>
        <v>Tanzania</v>
      </c>
      <c r="I195" s="14" t="str">
        <f t="shared" si="245"/>
        <v>Tanzania</v>
      </c>
      <c r="J195" s="14" t="str">
        <f t="array" ref="J195">IFERROR(INDEX([1]Companies!$Y:$Y,MATCH(B195,[1]Companies!$A:$A,0)),"")</f>
        <v>Electrical Distribution, Energy, Renewable Energy, Solar</v>
      </c>
      <c r="K195" s="14" t="str">
        <f t="array" ref="K195">IFERROR(INDEX([1]Companies!$X:$X,MATCH(B195,[1]Companies!$A:$A,0)),"")</f>
        <v>Energy &amp; Environment Resources</v>
      </c>
      <c r="L195" s="14" t="str">
        <f>VLOOKUP(B195,[1]Companies!$A$1:$C$5243,1,FALSE)</f>
        <v xml:space="preserve">Zola Electric </v>
      </c>
      <c r="M195" s="15">
        <f t="shared" si="246"/>
        <v>0.9</v>
      </c>
      <c r="N195" s="10" t="str">
        <f t="shared" si="247"/>
        <v>42592Zola Electric 10000000</v>
      </c>
      <c r="O195" s="14" t="str">
        <f t="shared" si="248"/>
        <v/>
      </c>
      <c r="P195" s="14">
        <f t="shared" si="249"/>
        <v>1</v>
      </c>
      <c r="Q195" s="14">
        <f t="array" ref="Q195">IFERROR(INDEX([1]Companies!$D:$D,MATCH(B195,[1]Companies!$A:$A,0)),"")</f>
        <v>2011</v>
      </c>
      <c r="R195" s="17">
        <f t="shared" si="250"/>
        <v>165500000</v>
      </c>
      <c r="S195" s="14">
        <f>VLOOKUP(I195,[1]Lookups!$V$3:$Y$197,4,FALSE)</f>
        <v>0</v>
      </c>
      <c r="T195" s="14" t="str">
        <f>VLOOKUP(E195,[1]Lookups!$H$3:$I$71,2,FALSE)</f>
        <v>4. Late Venture</v>
      </c>
      <c r="U195" s="14" t="e">
        <f>VLOOKUP(K195,[1]Lookups!$B$3:$C$142,2,FALSE)</f>
        <v>#N/A</v>
      </c>
      <c r="V195" s="14">
        <f t="shared" si="1"/>
        <v>2016</v>
      </c>
      <c r="W195" s="14">
        <f t="shared" si="2"/>
        <v>8</v>
      </c>
      <c r="X195" s="14">
        <f>VLOOKUP(W195,[1]Lookups!$P$3:$S$15,2,FALSE)</f>
        <v>3</v>
      </c>
      <c r="Y195" s="16">
        <f>VLOOKUP(W195,[1]Lookups!$P$3:$U$15,3,FALSE)</f>
        <v>2</v>
      </c>
      <c r="Z195" s="16">
        <f t="shared" si="3"/>
        <v>1</v>
      </c>
      <c r="AA195" s="16" t="str">
        <f t="shared" ca="1" si="291"/>
        <v>Spark Capital</v>
      </c>
      <c r="AB195" s="16">
        <f t="shared" si="291"/>
        <v>0</v>
      </c>
      <c r="AC195" s="16">
        <f t="shared" si="291"/>
        <v>0</v>
      </c>
      <c r="AD195" s="16">
        <f t="shared" si="291"/>
        <v>0</v>
      </c>
      <c r="AE195" s="16">
        <f t="shared" si="291"/>
        <v>0</v>
      </c>
      <c r="AF195" s="16">
        <f t="shared" si="291"/>
        <v>0</v>
      </c>
      <c r="AG195" s="16">
        <f t="shared" si="291"/>
        <v>0</v>
      </c>
      <c r="AH195" s="16">
        <f t="shared" si="291"/>
        <v>0</v>
      </c>
      <c r="AI195" s="16">
        <f t="shared" si="291"/>
        <v>0</v>
      </c>
      <c r="AJ195" s="16">
        <f t="shared" si="291"/>
        <v>0</v>
      </c>
      <c r="AK195" s="16">
        <f t="shared" si="291"/>
        <v>0</v>
      </c>
      <c r="AL195" s="16">
        <f t="shared" si="291"/>
        <v>0</v>
      </c>
      <c r="AM195" s="16">
        <f t="shared" si="291"/>
        <v>0</v>
      </c>
      <c r="AN195" s="16">
        <f t="shared" si="291"/>
        <v>0</v>
      </c>
      <c r="AO195" s="16">
        <f t="shared" si="291"/>
        <v>0</v>
      </c>
      <c r="AP195" s="10"/>
      <c r="AQ195" s="10"/>
      <c r="AR195" s="10"/>
      <c r="AS195" s="10" t="str">
        <f t="shared" ref="AS195" ca="1" si="298">IFERROR(__xludf.DUMMYFUNCTION("split(F109,"","",true,true)"),"Spark Capital")</f>
        <v>Spark Capital</v>
      </c>
      <c r="AT195" s="10"/>
      <c r="AU195" s="10"/>
      <c r="AV195" s="10"/>
      <c r="AW195" s="10"/>
      <c r="AX195" s="10"/>
      <c r="AY195" s="10"/>
      <c r="AZ195" s="10"/>
      <c r="BA195" s="10"/>
      <c r="BB195" s="10"/>
      <c r="BC195" s="10"/>
      <c r="BD195" s="10"/>
      <c r="BE195" s="10"/>
      <c r="BF195" s="10"/>
      <c r="BG195" s="10"/>
      <c r="BH195" s="10"/>
      <c r="BI195" s="10"/>
      <c r="BJ195" s="10"/>
      <c r="BK195" s="10"/>
      <c r="BM195" s="10"/>
    </row>
    <row r="196" spans="1:65" ht="12.75">
      <c r="A196" s="9">
        <v>42597</v>
      </c>
      <c r="B196" s="10" t="s">
        <v>491</v>
      </c>
      <c r="C196" s="11" t="s">
        <v>49</v>
      </c>
      <c r="D196" s="12"/>
      <c r="E196" s="14" t="s">
        <v>45</v>
      </c>
      <c r="F196" s="10" t="s">
        <v>492</v>
      </c>
      <c r="G196" s="13" t="s">
        <v>493</v>
      </c>
      <c r="H196" s="14" t="str">
        <f t="array" ref="H196">IFERROR(INDEX([1]Companies!$G:$G,MATCH(B196,[1]Companies!$A:$A,0)),"")</f>
        <v>United States</v>
      </c>
      <c r="I196" s="14" t="str">
        <f t="shared" si="245"/>
        <v>United States</v>
      </c>
      <c r="J196" s="14" t="str">
        <f t="array" ref="J196">IFERROR(INDEX([1]Companies!$Y:$Y,MATCH(B196,[1]Companies!$A:$A,0)),"")</f>
        <v>Payments, Fintech, Financial Technology</v>
      </c>
      <c r="K196" s="14" t="str">
        <f t="array" ref="K196">IFERROR(INDEX([1]Companies!$X:$X,MATCH(B196,[1]Companies!$A:$A,0)),"")</f>
        <v>Financial Services</v>
      </c>
      <c r="L196" s="14" t="str">
        <f>VLOOKUP(B196,[1]Companies!$A$1:$C$5243,1,FALSE)</f>
        <v>Flutterwave</v>
      </c>
      <c r="M196" s="15">
        <f t="shared" si="246"/>
        <v>0.9</v>
      </c>
      <c r="N196" s="10" t="str">
        <f t="shared" si="247"/>
        <v>42597FlutterwaveUndisclosed</v>
      </c>
      <c r="O196" s="14" t="str">
        <f t="shared" si="248"/>
        <v/>
      </c>
      <c r="P196" s="14">
        <f t="shared" si="249"/>
        <v>0</v>
      </c>
      <c r="Q196" s="14">
        <f t="array" ref="Q196">IFERROR(INDEX([1]Companies!$D:$D,MATCH(B196,[1]Companies!$A:$A,0)),"")</f>
        <v>2016</v>
      </c>
      <c r="R196" s="17">
        <f t="shared" si="250"/>
        <v>20300000</v>
      </c>
      <c r="S196" s="14" t="e">
        <f>VLOOKUP(I196,[1]Lookups!$V$3:$Y$197,4,FALSE)</f>
        <v>#N/A</v>
      </c>
      <c r="T196" s="14" t="str">
        <f>VLOOKUP(E196,[1]Lookups!$H$3:$I$71,2,FALSE)</f>
        <v>2. Seed</v>
      </c>
      <c r="U196" s="14" t="str">
        <f>VLOOKUP(K196,[1]Lookups!$B$3:$C$142,2,FALSE)</f>
        <v>Financial Services</v>
      </c>
      <c r="V196" s="14">
        <f t="shared" si="1"/>
        <v>2016</v>
      </c>
      <c r="W196" s="14">
        <f t="shared" si="2"/>
        <v>8</v>
      </c>
      <c r="X196" s="14">
        <f>VLOOKUP(W196,[1]Lookups!$P$3:$S$15,2,FALSE)</f>
        <v>3</v>
      </c>
      <c r="Y196" s="16">
        <f>VLOOKUP(W196,[1]Lookups!$P$3:$U$15,3,FALSE)</f>
        <v>2</v>
      </c>
      <c r="Z196" s="16">
        <f t="shared" si="3"/>
        <v>10</v>
      </c>
      <c r="AA196" s="16" t="str">
        <f t="shared" ca="1" si="291"/>
        <v>Spark Capital</v>
      </c>
      <c r="AB196" s="16" t="str">
        <f t="shared" ca="1" si="291"/>
        <v xml:space="preserve"> Y Combinator</v>
      </c>
      <c r="AC196" s="16" t="str">
        <f t="shared" ca="1" si="291"/>
        <v xml:space="preserve"> Rayyan Islam</v>
      </c>
      <c r="AD196" s="16" t="str">
        <f t="shared" ca="1" si="291"/>
        <v xml:space="preserve"> Palm Drive Capital</v>
      </c>
      <c r="AE196" s="16" t="str">
        <f t="shared" ca="1" si="291"/>
        <v xml:space="preserve"> Lynett Capital</v>
      </c>
      <c r="AF196" s="16" t="str">
        <f t="shared" ca="1" si="291"/>
        <v xml:space="preserve"> Green Visor Capital</v>
      </c>
      <c r="AG196" s="16" t="str">
        <f t="shared" ca="1" si="291"/>
        <v xml:space="preserve"> Golden Palm Investments</v>
      </c>
      <c r="AH196" s="16" t="str">
        <f t="shared" ca="1" si="291"/>
        <v xml:space="preserve"> Data Collective DCVC</v>
      </c>
      <c r="AI196" s="16" t="str">
        <f t="shared" ca="1" si="291"/>
        <v xml:space="preserve"> Courtney Broadus</v>
      </c>
      <c r="AJ196" s="16" t="str">
        <f t="shared" ca="1" si="291"/>
        <v xml:space="preserve"> Arab Angel Fund</v>
      </c>
      <c r="AK196" s="16">
        <f t="shared" si="291"/>
        <v>0</v>
      </c>
      <c r="AL196" s="16">
        <f t="shared" si="291"/>
        <v>0</v>
      </c>
      <c r="AM196" s="16">
        <f t="shared" si="291"/>
        <v>0</v>
      </c>
      <c r="AN196" s="16">
        <f t="shared" si="291"/>
        <v>0</v>
      </c>
      <c r="AO196" s="16">
        <f t="shared" si="291"/>
        <v>0</v>
      </c>
      <c r="AP196" s="10"/>
      <c r="AQ196" s="10"/>
      <c r="AR196" s="10"/>
      <c r="AS196" s="10" t="str">
        <f t="shared" ref="AS196" ca="1" si="299">IFERROR(__xludf.DUMMYFUNCTION("split(F109,"","",true,true)"),"Spark Capital")</f>
        <v>Spark Capital</v>
      </c>
      <c r="AT196" s="10" t="str">
        <f ca="1">IFERROR(__xludf.DUMMYFUNCTION("""COMPUTED_VALUE""")," Y Combinator")</f>
        <v xml:space="preserve"> Y Combinator</v>
      </c>
      <c r="AU196" s="10" t="str">
        <f ca="1">IFERROR(__xludf.DUMMYFUNCTION("""COMPUTED_VALUE""")," Rayyan Islam")</f>
        <v xml:space="preserve"> Rayyan Islam</v>
      </c>
      <c r="AV196" s="10" t="str">
        <f ca="1">IFERROR(__xludf.DUMMYFUNCTION("""COMPUTED_VALUE""")," Palm Drive Capital")</f>
        <v xml:space="preserve"> Palm Drive Capital</v>
      </c>
      <c r="AW196" s="10" t="str">
        <f ca="1">IFERROR(__xludf.DUMMYFUNCTION("""COMPUTED_VALUE""")," Lynett Capital")</f>
        <v xml:space="preserve"> Lynett Capital</v>
      </c>
      <c r="AX196" s="10" t="str">
        <f ca="1">IFERROR(__xludf.DUMMYFUNCTION("""COMPUTED_VALUE""")," Green Visor Capital")</f>
        <v xml:space="preserve"> Green Visor Capital</v>
      </c>
      <c r="AY196" s="10" t="str">
        <f ca="1">IFERROR(__xludf.DUMMYFUNCTION("""COMPUTED_VALUE""")," Golden Palm Investments")</f>
        <v xml:space="preserve"> Golden Palm Investments</v>
      </c>
      <c r="AZ196" s="10" t="str">
        <f ca="1">IFERROR(__xludf.DUMMYFUNCTION("""COMPUTED_VALUE""")," Data Collective DCVC")</f>
        <v xml:space="preserve"> Data Collective DCVC</v>
      </c>
      <c r="BA196" s="10" t="str">
        <f ca="1">IFERROR(__xludf.DUMMYFUNCTION("""COMPUTED_VALUE""")," Courtney Broadus")</f>
        <v xml:space="preserve"> Courtney Broadus</v>
      </c>
      <c r="BB196" s="10" t="str">
        <f ca="1">IFERROR(__xludf.DUMMYFUNCTION("""COMPUTED_VALUE""")," Arab Angel Fund")</f>
        <v xml:space="preserve"> Arab Angel Fund</v>
      </c>
      <c r="BC196" s="10"/>
      <c r="BD196" s="10"/>
      <c r="BE196" s="10"/>
      <c r="BF196" s="10"/>
      <c r="BG196" s="10"/>
      <c r="BH196" s="10"/>
      <c r="BI196" s="10"/>
      <c r="BJ196" s="10"/>
      <c r="BK196" s="10"/>
      <c r="BM196" s="10"/>
    </row>
    <row r="197" spans="1:65" ht="12.75">
      <c r="A197" s="18">
        <v>42600</v>
      </c>
      <c r="B197" s="14" t="s">
        <v>88</v>
      </c>
      <c r="C197" s="19">
        <v>15000000</v>
      </c>
      <c r="D197" s="19"/>
      <c r="E197" s="14" t="s">
        <v>112</v>
      </c>
      <c r="F197" s="20" t="s">
        <v>494</v>
      </c>
      <c r="G197" s="21" t="s">
        <v>495</v>
      </c>
      <c r="H197" s="14" t="str">
        <f t="array" ref="H197">IFERROR(INDEX([1]Companies!$G:$G,MATCH(B197,[1]Companies!$A:$A,0)),"")</f>
        <v>Zambia</v>
      </c>
      <c r="I197" s="14" t="str">
        <f t="shared" si="245"/>
        <v>Zambia</v>
      </c>
      <c r="J197" s="14" t="str">
        <f t="array" ref="J197">IFERROR(INDEX([1]Companies!$Y:$Y,MATCH(B197,[1]Companies!$A:$A,0)),"")</f>
        <v>Mobile Money Transfer, Fintech</v>
      </c>
      <c r="K197" s="14" t="str">
        <f t="array" ref="K197">IFERROR(INDEX([1]Companies!$X:$X,MATCH(B197,[1]Companies!$A:$A,0)),"")</f>
        <v>Financial Services</v>
      </c>
      <c r="L197" s="14" t="str">
        <f>VLOOKUP(B197,[1]Companies!$A$1:$C$5243,1,FALSE)</f>
        <v>Zoona</v>
      </c>
      <c r="M197" s="15">
        <f t="shared" si="246"/>
        <v>0.9</v>
      </c>
      <c r="N197" s="10" t="str">
        <f t="shared" si="247"/>
        <v>42600Zoona15000000</v>
      </c>
      <c r="O197" s="14" t="str">
        <f t="shared" si="248"/>
        <v/>
      </c>
      <c r="P197" s="14">
        <f t="shared" si="249"/>
        <v>1</v>
      </c>
      <c r="Q197" s="14">
        <f t="array" ref="Q197">IFERROR(INDEX([1]Companies!$D:$D,MATCH(B197,[1]Companies!$A:$A,0)),"")</f>
        <v>2009</v>
      </c>
      <c r="R197" s="17">
        <f t="shared" si="250"/>
        <v>19500000</v>
      </c>
      <c r="S197" s="14">
        <f>VLOOKUP(I197,[1]Lookups!$V$3:$Y$197,4,FALSE)</f>
        <v>0</v>
      </c>
      <c r="T197" s="14" t="str">
        <f>VLOOKUP(E197,[1]Lookups!$H$3:$I$71,2,FALSE)</f>
        <v>3. Early Venture</v>
      </c>
      <c r="U197" s="14" t="str">
        <f>VLOOKUP(K197,[1]Lookups!$B$3:$C$142,2,FALSE)</f>
        <v>Financial Services</v>
      </c>
      <c r="V197" s="14">
        <f t="shared" si="1"/>
        <v>2016</v>
      </c>
      <c r="W197" s="14">
        <f t="shared" si="2"/>
        <v>8</v>
      </c>
      <c r="X197" s="14">
        <f>VLOOKUP(W197,[1]Lookups!$P$3:$S$15,2,FALSE)</f>
        <v>3</v>
      </c>
      <c r="Y197" s="16">
        <f>VLOOKUP(W197,[1]Lookups!$P$3:$U$15,3,FALSE)</f>
        <v>2</v>
      </c>
      <c r="Z197" s="16">
        <f t="shared" si="3"/>
        <v>5</v>
      </c>
      <c r="AA197" s="16" t="str">
        <f t="shared" ca="1" si="291"/>
        <v>Spark Capital</v>
      </c>
      <c r="AB197" s="16" t="str">
        <f t="shared" ca="1" si="291"/>
        <v xml:space="preserve"> 4Di</v>
      </c>
      <c r="AC197" s="16" t="str">
        <f t="shared" ca="1" si="291"/>
        <v xml:space="preserve"> Omidyar Network</v>
      </c>
      <c r="AD197" s="16" t="str">
        <f t="shared" ca="1" si="291"/>
        <v xml:space="preserve"> Quona Capital</v>
      </c>
      <c r="AE197" s="16" t="str">
        <f t="shared" ca="1" si="291"/>
        <v xml:space="preserve">  Patrick Pichette</v>
      </c>
      <c r="AF197" s="16">
        <f t="shared" si="291"/>
        <v>0</v>
      </c>
      <c r="AG197" s="16">
        <f t="shared" si="291"/>
        <v>0</v>
      </c>
      <c r="AH197" s="16">
        <f t="shared" si="291"/>
        <v>0</v>
      </c>
      <c r="AI197" s="16">
        <f t="shared" si="291"/>
        <v>0</v>
      </c>
      <c r="AJ197" s="16">
        <f t="shared" si="291"/>
        <v>0</v>
      </c>
      <c r="AK197" s="16">
        <f t="shared" si="291"/>
        <v>0</v>
      </c>
      <c r="AL197" s="16">
        <f t="shared" si="291"/>
        <v>0</v>
      </c>
      <c r="AM197" s="16">
        <f t="shared" si="291"/>
        <v>0</v>
      </c>
      <c r="AN197" s="16">
        <f t="shared" si="291"/>
        <v>0</v>
      </c>
      <c r="AO197" s="16">
        <f t="shared" si="291"/>
        <v>0</v>
      </c>
      <c r="AP197" s="10"/>
      <c r="AQ197" s="10"/>
      <c r="AR197" s="10"/>
      <c r="AS197" s="10" t="str">
        <f t="shared" ref="AS197" ca="1" si="300">IFERROR(__xludf.DUMMYFUNCTION("split(F109,"","",true,true)"),"Spark Capital")</f>
        <v>Spark Capital</v>
      </c>
      <c r="AT197" s="10" t="str">
        <f ca="1">IFERROR(__xludf.DUMMYFUNCTION("""COMPUTED_VALUE""")," 4Di")</f>
        <v xml:space="preserve"> 4Di</v>
      </c>
      <c r="AU197" s="10" t="str">
        <f ca="1">IFERROR(__xludf.DUMMYFUNCTION("""COMPUTED_VALUE""")," Omidyar Network")</f>
        <v xml:space="preserve"> Omidyar Network</v>
      </c>
      <c r="AV197" s="10" t="str">
        <f ca="1">IFERROR(__xludf.DUMMYFUNCTION("""COMPUTED_VALUE""")," Quona Capital")</f>
        <v xml:space="preserve"> Quona Capital</v>
      </c>
      <c r="AW197" s="10" t="str">
        <f ca="1">IFERROR(__xludf.DUMMYFUNCTION("""COMPUTED_VALUE"""),"  Patrick Pichette")</f>
        <v xml:space="preserve">  Patrick Pichette</v>
      </c>
      <c r="AX197" s="10"/>
      <c r="AY197" s="10"/>
      <c r="AZ197" s="10"/>
      <c r="BA197" s="10"/>
      <c r="BB197" s="10"/>
      <c r="BC197" s="10"/>
      <c r="BD197" s="10"/>
      <c r="BE197" s="10"/>
      <c r="BF197" s="10"/>
      <c r="BG197" s="10"/>
      <c r="BH197" s="10"/>
      <c r="BI197" s="10"/>
      <c r="BJ197" s="10"/>
      <c r="BK197" s="10"/>
      <c r="BM197" s="10"/>
    </row>
    <row r="198" spans="1:65" ht="12.75">
      <c r="A198" s="18">
        <v>42601</v>
      </c>
      <c r="B198" s="20" t="s">
        <v>496</v>
      </c>
      <c r="C198" s="19">
        <v>45000</v>
      </c>
      <c r="D198" s="19"/>
      <c r="E198" s="14" t="s">
        <v>45</v>
      </c>
      <c r="F198" s="20" t="s">
        <v>497</v>
      </c>
      <c r="G198" s="21" t="s">
        <v>498</v>
      </c>
      <c r="H198" s="14" t="str">
        <f t="array" ref="H198">IFERROR(INDEX([1]Companies!$G:$G,MATCH(B198,[1]Companies!$A:$A,0)),"")</f>
        <v>Nigeria</v>
      </c>
      <c r="I198" s="14" t="str">
        <f t="shared" si="245"/>
        <v>Nigeria</v>
      </c>
      <c r="J198" s="14" t="str">
        <f t="array" ref="J198">IFERROR(INDEX([1]Companies!$Y:$Y,MATCH(B198,[1]Companies!$A:$A,0)),"")</f>
        <v>Events, Marketplace, Online Portals</v>
      </c>
      <c r="K198" s="14" t="str">
        <f t="array" ref="K198">IFERROR(INDEX([1]Companies!$X:$X,MATCH(B198,[1]Companies!$A:$A,0)),"")</f>
        <v>Commercial &amp; Professional Services</v>
      </c>
      <c r="L198" s="14" t="str">
        <f>VLOOKUP(B198,[1]Companies!$A$1:$C$5243,1,FALSE)</f>
        <v>Ogavenue</v>
      </c>
      <c r="M198" s="15">
        <f t="shared" si="246"/>
        <v>0.9</v>
      </c>
      <c r="N198" s="10" t="str">
        <f t="shared" si="247"/>
        <v>42601ogaVenue45000</v>
      </c>
      <c r="O198" s="14" t="str">
        <f t="shared" si="248"/>
        <v/>
      </c>
      <c r="P198" s="14">
        <f t="shared" si="249"/>
        <v>1</v>
      </c>
      <c r="Q198" s="14">
        <f t="array" ref="Q198">IFERROR(INDEX([1]Companies!$D:$D,MATCH(B198,[1]Companies!$A:$A,0)),"")</f>
        <v>2015</v>
      </c>
      <c r="R198" s="17">
        <f t="shared" si="250"/>
        <v>45000</v>
      </c>
      <c r="S198" s="14">
        <f>VLOOKUP(I198,[1]Lookups!$V$3:$Y$197,4,FALSE)</f>
        <v>0</v>
      </c>
      <c r="T198" s="14" t="str">
        <f>VLOOKUP(E198,[1]Lookups!$H$3:$I$71,2,FALSE)</f>
        <v>2. Seed</v>
      </c>
      <c r="U198" s="14" t="str">
        <f>VLOOKUP(K198,[1]Lookups!$B$3:$C$142,2,FALSE)</f>
        <v>Other Technologies &amp; Information Technology</v>
      </c>
      <c r="V198" s="14">
        <f t="shared" si="1"/>
        <v>2016</v>
      </c>
      <c r="W198" s="14">
        <f t="shared" si="2"/>
        <v>8</v>
      </c>
      <c r="X198" s="14">
        <f>VLOOKUP(W198,[1]Lookups!$P$3:$S$15,2,FALSE)</f>
        <v>3</v>
      </c>
      <c r="Y198" s="16">
        <f>VLOOKUP(W198,[1]Lookups!$P$3:$U$15,3,FALSE)</f>
        <v>2</v>
      </c>
      <c r="Z198" s="16">
        <f t="shared" si="3"/>
        <v>2</v>
      </c>
      <c r="AA198" s="16" t="str">
        <f t="shared" ca="1" si="291"/>
        <v>Spark Capital</v>
      </c>
      <c r="AB198" s="26" t="str">
        <f t="shared" ca="1" si="291"/>
        <v xml:space="preserve"> Hotels.ng</v>
      </c>
      <c r="AC198" s="16">
        <f t="shared" si="291"/>
        <v>0</v>
      </c>
      <c r="AD198" s="16">
        <f t="shared" si="291"/>
        <v>0</v>
      </c>
      <c r="AE198" s="16">
        <f t="shared" si="291"/>
        <v>0</v>
      </c>
      <c r="AF198" s="16">
        <f t="shared" si="291"/>
        <v>0</v>
      </c>
      <c r="AG198" s="16">
        <f t="shared" si="291"/>
        <v>0</v>
      </c>
      <c r="AH198" s="16">
        <f t="shared" si="291"/>
        <v>0</v>
      </c>
      <c r="AI198" s="16">
        <f t="shared" si="291"/>
        <v>0</v>
      </c>
      <c r="AJ198" s="16">
        <f t="shared" si="291"/>
        <v>0</v>
      </c>
      <c r="AK198" s="16">
        <f t="shared" si="291"/>
        <v>0</v>
      </c>
      <c r="AL198" s="16">
        <f t="shared" si="291"/>
        <v>0</v>
      </c>
      <c r="AM198" s="16">
        <f t="shared" si="291"/>
        <v>0</v>
      </c>
      <c r="AN198" s="16">
        <f t="shared" si="291"/>
        <v>0</v>
      </c>
      <c r="AO198" s="16">
        <f t="shared" si="291"/>
        <v>0</v>
      </c>
      <c r="AP198" s="10"/>
      <c r="AQ198" s="10"/>
      <c r="AR198" s="10"/>
      <c r="AS198" s="10" t="str">
        <f t="shared" ref="AS198" ca="1" si="301">IFERROR(__xludf.DUMMYFUNCTION("split(F109,"","",true,true)"),"Spark Capital")</f>
        <v>Spark Capital</v>
      </c>
      <c r="AT198" s="13" t="str">
        <f ca="1">IFERROR(__xludf.DUMMYFUNCTION("""COMPUTED_VALUE""")," Hotels.ng")</f>
        <v xml:space="preserve"> Hotels.ng</v>
      </c>
      <c r="AU198" s="10"/>
      <c r="AV198" s="10"/>
      <c r="AW198" s="10"/>
      <c r="AX198" s="10"/>
      <c r="AY198" s="10"/>
      <c r="AZ198" s="10"/>
      <c r="BA198" s="10"/>
      <c r="BB198" s="10"/>
      <c r="BC198" s="10"/>
      <c r="BD198" s="10"/>
      <c r="BE198" s="10"/>
      <c r="BF198" s="10"/>
      <c r="BG198" s="10"/>
      <c r="BH198" s="10"/>
      <c r="BI198" s="10"/>
      <c r="BJ198" s="10"/>
      <c r="BK198" s="10"/>
      <c r="BM198" s="10"/>
    </row>
    <row r="199" spans="1:65" ht="12.75">
      <c r="A199" s="9">
        <v>42604</v>
      </c>
      <c r="B199" s="14" t="s">
        <v>377</v>
      </c>
      <c r="C199" s="11" t="s">
        <v>49</v>
      </c>
      <c r="D199" s="12"/>
      <c r="E199" s="10" t="s">
        <v>45</v>
      </c>
      <c r="F199" s="10" t="s">
        <v>499</v>
      </c>
      <c r="G199" s="13" t="s">
        <v>500</v>
      </c>
      <c r="H199" s="14" t="str">
        <f t="array" ref="H199">IFERROR(INDEX([1]Companies!$G:$G,MATCH(B199,[1]Companies!$A:$A,0)),"")</f>
        <v>Ghana</v>
      </c>
      <c r="I199" s="14" t="str">
        <f t="shared" si="245"/>
        <v>Ghana</v>
      </c>
      <c r="J199" s="14" t="str">
        <f t="array" ref="J199">IFERROR(INDEX([1]Companies!$Y:$Y,MATCH(B199,[1]Companies!$A:$A,0)),"")</f>
        <v>Digital Marketing, Marketing, Social Media Management</v>
      </c>
      <c r="K199" s="14" t="str">
        <f t="array" ref="K199">IFERROR(INDEX([1]Companies!$X:$X,MATCH(B199,[1]Companies!$A:$A,0)),"")</f>
        <v>Media &amp; Entertainment</v>
      </c>
      <c r="L199" s="14" t="str">
        <f>VLOOKUP(B199,[1]Companies!$A$1:$C$5243,1,FALSE)</f>
        <v>Omg Digital</v>
      </c>
      <c r="M199" s="15">
        <f t="shared" si="246"/>
        <v>0.9</v>
      </c>
      <c r="N199" s="10" t="str">
        <f t="shared" si="247"/>
        <v>42604OMG DigitalUndisclosed</v>
      </c>
      <c r="O199" s="14" t="str">
        <f t="shared" si="248"/>
        <v/>
      </c>
      <c r="P199" s="14">
        <f t="shared" si="249"/>
        <v>0</v>
      </c>
      <c r="Q199" s="14">
        <f t="array" ref="Q199">IFERROR(INDEX([1]Companies!$D:$D,MATCH(B199,[1]Companies!$A:$A,0)),"")</f>
        <v>2016</v>
      </c>
      <c r="R199" s="17">
        <f t="shared" si="250"/>
        <v>1220000</v>
      </c>
      <c r="S199" s="14">
        <f>VLOOKUP(I199,[1]Lookups!$V$3:$Y$197,4,FALSE)</f>
        <v>0</v>
      </c>
      <c r="T199" s="14" t="str">
        <f>VLOOKUP(E199,[1]Lookups!$H$3:$I$71,2,FALSE)</f>
        <v>2. Seed</v>
      </c>
      <c r="U199" s="14" t="str">
        <f>VLOOKUP(K199,[1]Lookups!$B$3:$C$142,2,FALSE)</f>
        <v>Media &amp; Entertainment</v>
      </c>
      <c r="V199" s="14">
        <f t="shared" si="1"/>
        <v>2016</v>
      </c>
      <c r="W199" s="14">
        <f t="shared" si="2"/>
        <v>8</v>
      </c>
      <c r="X199" s="14">
        <f>VLOOKUP(W199,[1]Lookups!$P$3:$S$15,2,FALSE)</f>
        <v>3</v>
      </c>
      <c r="Y199" s="16">
        <f>VLOOKUP(W199,[1]Lookups!$P$3:$U$15,3,FALSE)</f>
        <v>2</v>
      </c>
      <c r="Z199" s="16">
        <f t="shared" si="3"/>
        <v>2</v>
      </c>
      <c r="AA199" s="16" t="str">
        <f t="shared" ca="1" si="291"/>
        <v>Spark Capital</v>
      </c>
      <c r="AB199" s="16" t="str">
        <f t="shared" ca="1" si="291"/>
        <v xml:space="preserve"> Y Combinator</v>
      </c>
      <c r="AC199" s="16">
        <f t="shared" si="291"/>
        <v>0</v>
      </c>
      <c r="AD199" s="16">
        <f t="shared" si="291"/>
        <v>0</v>
      </c>
      <c r="AE199" s="16">
        <f t="shared" si="291"/>
        <v>0</v>
      </c>
      <c r="AF199" s="16">
        <f t="shared" si="291"/>
        <v>0</v>
      </c>
      <c r="AG199" s="16">
        <f t="shared" si="291"/>
        <v>0</v>
      </c>
      <c r="AH199" s="16">
        <f t="shared" si="291"/>
        <v>0</v>
      </c>
      <c r="AI199" s="16">
        <f t="shared" si="291"/>
        <v>0</v>
      </c>
      <c r="AJ199" s="16">
        <f t="shared" si="291"/>
        <v>0</v>
      </c>
      <c r="AK199" s="16">
        <f t="shared" si="291"/>
        <v>0</v>
      </c>
      <c r="AL199" s="16">
        <f t="shared" si="291"/>
        <v>0</v>
      </c>
      <c r="AM199" s="16">
        <f t="shared" si="291"/>
        <v>0</v>
      </c>
      <c r="AN199" s="16">
        <f t="shared" si="291"/>
        <v>0</v>
      </c>
      <c r="AO199" s="16">
        <f t="shared" si="291"/>
        <v>0</v>
      </c>
      <c r="AP199" s="10"/>
      <c r="AQ199" s="10"/>
      <c r="AR199" s="10"/>
      <c r="AS199" s="10" t="str">
        <f t="shared" ref="AS199" ca="1" si="302">IFERROR(__xludf.DUMMYFUNCTION("split(F109,"","",true,true)"),"Spark Capital")</f>
        <v>Spark Capital</v>
      </c>
      <c r="AT199" s="10" t="str">
        <f ca="1">IFERROR(__xludf.DUMMYFUNCTION("""COMPUTED_VALUE""")," Y Combinator")</f>
        <v xml:space="preserve"> Y Combinator</v>
      </c>
      <c r="AU199" s="10"/>
      <c r="AV199" s="10"/>
      <c r="AW199" s="10"/>
      <c r="AX199" s="10"/>
      <c r="AY199" s="10"/>
      <c r="AZ199" s="10"/>
      <c r="BA199" s="10"/>
      <c r="BB199" s="10"/>
      <c r="BC199" s="10"/>
      <c r="BD199" s="10"/>
      <c r="BE199" s="10"/>
      <c r="BF199" s="10"/>
      <c r="BG199" s="10"/>
      <c r="BH199" s="10"/>
      <c r="BI199" s="10"/>
      <c r="BJ199" s="10"/>
      <c r="BK199" s="10"/>
      <c r="BM199" s="10"/>
    </row>
    <row r="200" spans="1:65" ht="12.75">
      <c r="A200" s="9">
        <v>42608</v>
      </c>
      <c r="B200" s="10" t="s">
        <v>318</v>
      </c>
      <c r="C200" s="11" t="s">
        <v>49</v>
      </c>
      <c r="D200" s="12"/>
      <c r="E200" s="14" t="s">
        <v>45</v>
      </c>
      <c r="F200" s="10" t="s">
        <v>501</v>
      </c>
      <c r="G200" s="13" t="s">
        <v>502</v>
      </c>
      <c r="H200" s="14" t="str">
        <f t="array" ref="H200">IFERROR(INDEX([1]Companies!$G:$G,MATCH(B200,[1]Companies!$A:$A,0)),"")</f>
        <v>Kenya</v>
      </c>
      <c r="I200" s="14" t="str">
        <f t="shared" si="245"/>
        <v>Kenya</v>
      </c>
      <c r="J200" s="14" t="str">
        <f t="array" ref="J200">IFERROR(INDEX([1]Companies!$Y:$Y,MATCH(B200,[1]Companies!$A:$A,0)),"")</f>
        <v>Data, Insights, Mobile surveys, Mobile rewards, Voice of the Customer, NPS, Feedback Loop, Surveys, Health and Academic Research, Customer Feedback, Customer Loyalty, Net Promoter Score, NPS, Customer Acquisition, Customer Retention</v>
      </c>
      <c r="K200" s="14" t="str">
        <f t="array" ref="K200">IFERROR(INDEX([1]Companies!$X:$X,MATCH(B200,[1]Companies!$A:$A,0)),"")</f>
        <v>Information Technology</v>
      </c>
      <c r="L200" s="14" t="str">
        <f>VLOOKUP(B200,[1]Companies!$A$1:$C$5243,1,FALSE)</f>
        <v>AJUA</v>
      </c>
      <c r="M200" s="15">
        <f t="shared" si="246"/>
        <v>0.9</v>
      </c>
      <c r="N200" s="10" t="str">
        <f t="shared" si="247"/>
        <v>42608AJUAUndisclosed</v>
      </c>
      <c r="O200" s="14" t="str">
        <f t="shared" si="248"/>
        <v/>
      </c>
      <c r="P200" s="14">
        <f t="shared" si="249"/>
        <v>0</v>
      </c>
      <c r="Q200" s="14">
        <f t="array" ref="Q200">IFERROR(INDEX([1]Companies!$D:$D,MATCH(B200,[1]Companies!$A:$A,0)),"")</f>
        <v>2012</v>
      </c>
      <c r="R200" s="17">
        <f t="shared" si="250"/>
        <v>3500000</v>
      </c>
      <c r="S200" s="14">
        <f>VLOOKUP(I200,[1]Lookups!$V$3:$Y$197,4,FALSE)</f>
        <v>0</v>
      </c>
      <c r="T200" s="14" t="str">
        <f>VLOOKUP(E200,[1]Lookups!$H$3:$I$71,2,FALSE)</f>
        <v>2. Seed</v>
      </c>
      <c r="U200" s="14" t="str">
        <f>VLOOKUP(K200,[1]Lookups!$B$3:$C$142,2,FALSE)</f>
        <v>Other Technologies &amp; Information Technology</v>
      </c>
      <c r="V200" s="14">
        <f t="shared" si="1"/>
        <v>2016</v>
      </c>
      <c r="W200" s="14">
        <f t="shared" si="2"/>
        <v>8</v>
      </c>
      <c r="X200" s="14">
        <f>VLOOKUP(W200,[1]Lookups!$P$3:$S$15,2,FALSE)</f>
        <v>3</v>
      </c>
      <c r="Y200" s="16">
        <f>VLOOKUP(W200,[1]Lookups!$P$3:$U$15,3,FALSE)</f>
        <v>2</v>
      </c>
      <c r="Z200" s="16">
        <f t="shared" si="3"/>
        <v>5</v>
      </c>
      <c r="AA200" s="16" t="str">
        <f t="shared" ca="1" si="291"/>
        <v>Spark Capital</v>
      </c>
      <c r="AB200" s="16" t="str">
        <f t="shared" ca="1" si="291"/>
        <v xml:space="preserve"> Steven Tamm</v>
      </c>
      <c r="AC200" s="16" t="str">
        <f t="shared" ca="1" si="291"/>
        <v xml:space="preserve"> Safaricom</v>
      </c>
      <c r="AD200" s="16" t="str">
        <f t="shared" ca="1" si="291"/>
        <v xml:space="preserve"> Cross Culture Ventures</v>
      </c>
      <c r="AE200" s="16" t="str">
        <f t="shared" ca="1" si="291"/>
        <v xml:space="preserve"> Alpha Angels</v>
      </c>
      <c r="AF200" s="16">
        <f t="shared" si="291"/>
        <v>0</v>
      </c>
      <c r="AG200" s="16">
        <f t="shared" si="291"/>
        <v>0</v>
      </c>
      <c r="AH200" s="16">
        <f t="shared" si="291"/>
        <v>0</v>
      </c>
      <c r="AI200" s="16">
        <f t="shared" si="291"/>
        <v>0</v>
      </c>
      <c r="AJ200" s="16">
        <f t="shared" si="291"/>
        <v>0</v>
      </c>
      <c r="AK200" s="16">
        <f t="shared" si="291"/>
        <v>0</v>
      </c>
      <c r="AL200" s="16">
        <f t="shared" si="291"/>
        <v>0</v>
      </c>
      <c r="AM200" s="16">
        <f t="shared" si="291"/>
        <v>0</v>
      </c>
      <c r="AN200" s="16">
        <f t="shared" si="291"/>
        <v>0</v>
      </c>
      <c r="AO200" s="16">
        <f t="shared" si="291"/>
        <v>0</v>
      </c>
      <c r="AP200" s="10"/>
      <c r="AQ200" s="10"/>
      <c r="AR200" s="10"/>
      <c r="AS200" s="10" t="str">
        <f t="shared" ref="AS200" ca="1" si="303">IFERROR(__xludf.DUMMYFUNCTION("split(F109,"","",true,true)"),"Spark Capital")</f>
        <v>Spark Capital</v>
      </c>
      <c r="AT200" s="10" t="str">
        <f ca="1">IFERROR(__xludf.DUMMYFUNCTION("""COMPUTED_VALUE""")," Steven Tamm")</f>
        <v xml:space="preserve"> Steven Tamm</v>
      </c>
      <c r="AU200" s="10" t="str">
        <f ca="1">IFERROR(__xludf.DUMMYFUNCTION("""COMPUTED_VALUE""")," Safaricom")</f>
        <v xml:space="preserve"> Safaricom</v>
      </c>
      <c r="AV200" s="10" t="str">
        <f ca="1">IFERROR(__xludf.DUMMYFUNCTION("""COMPUTED_VALUE""")," Cross Culture Ventures")</f>
        <v xml:space="preserve"> Cross Culture Ventures</v>
      </c>
      <c r="AW200" s="10" t="str">
        <f ca="1">IFERROR(__xludf.DUMMYFUNCTION("""COMPUTED_VALUE""")," Alpha Angels")</f>
        <v xml:space="preserve"> Alpha Angels</v>
      </c>
      <c r="AX200" s="10"/>
      <c r="AY200" s="10"/>
      <c r="AZ200" s="10"/>
      <c r="BA200" s="10"/>
      <c r="BB200" s="10"/>
      <c r="BC200" s="10"/>
      <c r="BD200" s="10"/>
      <c r="BE200" s="10"/>
      <c r="BF200" s="10"/>
      <c r="BG200" s="10"/>
      <c r="BH200" s="10"/>
      <c r="BI200" s="10"/>
      <c r="BJ200" s="10"/>
      <c r="BK200" s="10"/>
      <c r="BM200" s="10"/>
    </row>
    <row r="201" spans="1:65" ht="12.75">
      <c r="A201" s="18">
        <v>42608</v>
      </c>
      <c r="B201" s="20" t="s">
        <v>424</v>
      </c>
      <c r="C201" s="19">
        <v>420000</v>
      </c>
      <c r="D201" s="19"/>
      <c r="E201" s="14" t="s">
        <v>45</v>
      </c>
      <c r="F201" s="14" t="s">
        <v>503</v>
      </c>
      <c r="G201" s="21" t="s">
        <v>504</v>
      </c>
      <c r="H201" s="14" t="str">
        <f t="array" ref="H201">IFERROR(INDEX([1]Companies!$G:$G,MATCH(B201,[1]Companies!$A:$A,0)),"")</f>
        <v>South Africa</v>
      </c>
      <c r="I201" s="14" t="str">
        <f t="shared" si="245"/>
        <v>South Africa</v>
      </c>
      <c r="J201" s="14" t="str">
        <f t="array" ref="J201">IFERROR(INDEX([1]Companies!$Y:$Y,MATCH(B201,[1]Companies!$A:$A,0)),"")</f>
        <v>Digital Watermarking, Content Protection, Blockchain</v>
      </c>
      <c r="K201" s="14" t="str">
        <f t="array" ref="K201">IFERROR(INDEX([1]Companies!$X:$X,MATCH(B201,[1]Companies!$A:$A,0)),"")</f>
        <v>Security</v>
      </c>
      <c r="L201" s="14" t="str">
        <f>VLOOKUP(B201,[1]Companies!$A$1:$C$5243,1,FALSE)</f>
        <v>Custos Media Technologies</v>
      </c>
      <c r="M201" s="15">
        <f t="shared" si="246"/>
        <v>0.9</v>
      </c>
      <c r="N201" s="10" t="str">
        <f t="shared" si="247"/>
        <v>42608Custos Media Technologies420000</v>
      </c>
      <c r="O201" s="14" t="str">
        <f t="shared" si="248"/>
        <v/>
      </c>
      <c r="P201" s="14">
        <f t="shared" si="249"/>
        <v>1</v>
      </c>
      <c r="Q201" s="14">
        <f t="array" ref="Q201">IFERROR(INDEX([1]Companies!$D:$D,MATCH(B201,[1]Companies!$A:$A,0)),"")</f>
        <v>2014</v>
      </c>
      <c r="R201" s="17">
        <f t="shared" si="250"/>
        <v>685000</v>
      </c>
      <c r="S201" s="14">
        <f>VLOOKUP(I201,[1]Lookups!$V$3:$Y$197,4,FALSE)</f>
        <v>0</v>
      </c>
      <c r="T201" s="14" t="str">
        <f>VLOOKUP(E201,[1]Lookups!$H$3:$I$71,2,FALSE)</f>
        <v>2. Seed</v>
      </c>
      <c r="U201" s="14" t="str">
        <f>VLOOKUP(K201,[1]Lookups!$B$3:$C$142,2,FALSE)</f>
        <v>Other Technologies &amp; Information Technology</v>
      </c>
      <c r="V201" s="14">
        <f t="shared" si="1"/>
        <v>2016</v>
      </c>
      <c r="W201" s="14">
        <f t="shared" si="2"/>
        <v>8</v>
      </c>
      <c r="X201" s="14">
        <f>VLOOKUP(W201,[1]Lookups!$P$3:$S$15,2,FALSE)</f>
        <v>3</v>
      </c>
      <c r="Y201" s="16">
        <f>VLOOKUP(W201,[1]Lookups!$P$3:$U$15,3,FALSE)</f>
        <v>2</v>
      </c>
      <c r="Z201" s="16">
        <f t="shared" si="3"/>
        <v>1</v>
      </c>
      <c r="AA201" s="16" t="str">
        <f t="shared" ca="1" si="291"/>
        <v>Spark Capital</v>
      </c>
      <c r="AB201" s="16">
        <f t="shared" si="291"/>
        <v>0</v>
      </c>
      <c r="AC201" s="16">
        <f t="shared" si="291"/>
        <v>0</v>
      </c>
      <c r="AD201" s="16">
        <f t="shared" si="291"/>
        <v>0</v>
      </c>
      <c r="AE201" s="16">
        <f t="shared" si="291"/>
        <v>0</v>
      </c>
      <c r="AF201" s="16">
        <f t="shared" si="291"/>
        <v>0</v>
      </c>
      <c r="AG201" s="16">
        <f t="shared" si="291"/>
        <v>0</v>
      </c>
      <c r="AH201" s="16">
        <f t="shared" si="291"/>
        <v>0</v>
      </c>
      <c r="AI201" s="16">
        <f t="shared" si="291"/>
        <v>0</v>
      </c>
      <c r="AJ201" s="16">
        <f t="shared" si="291"/>
        <v>0</v>
      </c>
      <c r="AK201" s="16">
        <f t="shared" si="291"/>
        <v>0</v>
      </c>
      <c r="AL201" s="16">
        <f t="shared" si="291"/>
        <v>0</v>
      </c>
      <c r="AM201" s="16">
        <f t="shared" si="291"/>
        <v>0</v>
      </c>
      <c r="AN201" s="16">
        <f t="shared" si="291"/>
        <v>0</v>
      </c>
      <c r="AO201" s="16">
        <f t="shared" si="291"/>
        <v>0</v>
      </c>
      <c r="AP201" s="10"/>
      <c r="AQ201" s="10"/>
      <c r="AR201" s="10"/>
      <c r="AS201" s="10" t="str">
        <f t="shared" ref="AS201" ca="1" si="304">IFERROR(__xludf.DUMMYFUNCTION("split(F109,"","",true,true)"),"Spark Capital")</f>
        <v>Spark Capital</v>
      </c>
      <c r="AT201" s="10"/>
      <c r="AU201" s="10"/>
      <c r="AV201" s="10"/>
      <c r="AW201" s="10"/>
      <c r="AX201" s="10"/>
      <c r="AY201" s="10"/>
      <c r="AZ201" s="10"/>
      <c r="BA201" s="10"/>
      <c r="BB201" s="10"/>
      <c r="BC201" s="10"/>
      <c r="BD201" s="10"/>
      <c r="BE201" s="10"/>
      <c r="BF201" s="10"/>
      <c r="BG201" s="10"/>
      <c r="BH201" s="10"/>
      <c r="BI201" s="10"/>
      <c r="BJ201" s="10"/>
      <c r="BK201" s="10"/>
      <c r="BM201" s="10"/>
    </row>
    <row r="202" spans="1:65" ht="12.75">
      <c r="A202" s="9">
        <v>42612</v>
      </c>
      <c r="B202" s="10" t="s">
        <v>399</v>
      </c>
      <c r="C202" s="11" t="s">
        <v>49</v>
      </c>
      <c r="D202" s="12"/>
      <c r="E202" s="10" t="s">
        <v>51</v>
      </c>
      <c r="F202" s="10" t="s">
        <v>236</v>
      </c>
      <c r="G202" s="13" t="s">
        <v>505</v>
      </c>
      <c r="H202" s="14" t="str">
        <f t="array" ref="H202">IFERROR(INDEX([1]Companies!$G:$G,MATCH(B202,[1]Companies!$A:$A,0)),"")</f>
        <v>Kenya</v>
      </c>
      <c r="I202" s="14" t="str">
        <f t="shared" si="245"/>
        <v>Kenya</v>
      </c>
      <c r="J202" s="14" t="str">
        <f t="array" ref="J202">IFERROR(INDEX([1]Companies!$Y:$Y,MATCH(B202,[1]Companies!$A:$A,0)),"")</f>
        <v>mCommerce, Distribution, and Agriculture</v>
      </c>
      <c r="K202" s="14" t="str">
        <f t="array" ref="K202">IFERROR(INDEX([1]Companies!$X:$X,MATCH(B202,[1]Companies!$A:$A,0)),"")</f>
        <v>E-Commerce &amp; Retail</v>
      </c>
      <c r="L202" s="14" t="str">
        <f>VLOOKUP(B202,[1]Companies!$A$1:$C$5243,1,FALSE)</f>
        <v>Twiga Foods</v>
      </c>
      <c r="M202" s="15">
        <f t="shared" si="246"/>
        <v>0.9</v>
      </c>
      <c r="N202" s="10" t="str">
        <f t="shared" si="247"/>
        <v>42612Twiga FoodsUndisclosed</v>
      </c>
      <c r="O202" s="14" t="str">
        <f t="shared" si="248"/>
        <v/>
      </c>
      <c r="P202" s="14">
        <f t="shared" si="249"/>
        <v>0</v>
      </c>
      <c r="Q202" s="14">
        <f t="array" ref="Q202">IFERROR(INDEX([1]Companies!$D:$D,MATCH(B202,[1]Companies!$A:$A,0)),"")</f>
        <v>2013</v>
      </c>
      <c r="R202" s="17">
        <f t="shared" si="250"/>
        <v>40350000</v>
      </c>
      <c r="S202" s="14">
        <f>VLOOKUP(I202,[1]Lookups!$V$3:$Y$197,4,FALSE)</f>
        <v>0</v>
      </c>
      <c r="T202" s="14" t="str">
        <f>VLOOKUP(E202,[1]Lookups!$H$3:$I$71,2,FALSE)</f>
        <v>6. Private Equity</v>
      </c>
      <c r="U202" s="14" t="str">
        <f>VLOOKUP(K202,[1]Lookups!$B$3:$C$142,2,FALSE)</f>
        <v>E-commerce &amp; Retail</v>
      </c>
      <c r="V202" s="14">
        <f t="shared" si="1"/>
        <v>2016</v>
      </c>
      <c r="W202" s="14">
        <f t="shared" si="2"/>
        <v>8</v>
      </c>
      <c r="X202" s="14">
        <f>VLOOKUP(W202,[1]Lookups!$P$3:$S$15,2,FALSE)</f>
        <v>3</v>
      </c>
      <c r="Y202" s="16">
        <f>VLOOKUP(W202,[1]Lookups!$P$3:$U$15,3,FALSE)</f>
        <v>2</v>
      </c>
      <c r="Z202" s="16">
        <f t="shared" si="3"/>
        <v>1</v>
      </c>
      <c r="AA202" s="16" t="str">
        <f t="shared" ca="1" si="291"/>
        <v>Spark Capital</v>
      </c>
      <c r="AB202" s="16">
        <f t="shared" si="291"/>
        <v>0</v>
      </c>
      <c r="AC202" s="16">
        <f t="shared" si="291"/>
        <v>0</v>
      </c>
      <c r="AD202" s="16">
        <f t="shared" si="291"/>
        <v>0</v>
      </c>
      <c r="AE202" s="16">
        <f t="shared" si="291"/>
        <v>0</v>
      </c>
      <c r="AF202" s="16">
        <f t="shared" si="291"/>
        <v>0</v>
      </c>
      <c r="AG202" s="16">
        <f t="shared" si="291"/>
        <v>0</v>
      </c>
      <c r="AH202" s="16">
        <f t="shared" si="291"/>
        <v>0</v>
      </c>
      <c r="AI202" s="16">
        <f t="shared" si="291"/>
        <v>0</v>
      </c>
      <c r="AJ202" s="16">
        <f t="shared" si="291"/>
        <v>0</v>
      </c>
      <c r="AK202" s="16">
        <f t="shared" si="291"/>
        <v>0</v>
      </c>
      <c r="AL202" s="16">
        <f t="shared" si="291"/>
        <v>0</v>
      </c>
      <c r="AM202" s="16">
        <f t="shared" si="291"/>
        <v>0</v>
      </c>
      <c r="AN202" s="16">
        <f t="shared" si="291"/>
        <v>0</v>
      </c>
      <c r="AO202" s="16">
        <f t="shared" si="291"/>
        <v>0</v>
      </c>
      <c r="AP202" s="10"/>
      <c r="AQ202" s="10"/>
      <c r="AR202" s="10"/>
      <c r="AS202" s="10" t="str">
        <f t="shared" ref="AS202" ca="1" si="305">IFERROR(__xludf.DUMMYFUNCTION("split(F109,"","",true,true)"),"Spark Capital")</f>
        <v>Spark Capital</v>
      </c>
      <c r="AT202" s="10"/>
      <c r="AU202" s="10"/>
      <c r="AV202" s="10"/>
      <c r="AW202" s="10"/>
      <c r="AX202" s="10"/>
      <c r="AY202" s="10"/>
      <c r="AZ202" s="10"/>
      <c r="BA202" s="10"/>
      <c r="BB202" s="10"/>
      <c r="BC202" s="10"/>
      <c r="BD202" s="10"/>
      <c r="BE202" s="10"/>
      <c r="BF202" s="10"/>
      <c r="BG202" s="10"/>
      <c r="BH202" s="10"/>
      <c r="BI202" s="10"/>
      <c r="BJ202" s="10"/>
      <c r="BK202" s="10"/>
      <c r="BM202" s="10"/>
    </row>
    <row r="203" spans="1:65" ht="12.75">
      <c r="A203" s="18">
        <v>42612</v>
      </c>
      <c r="B203" s="20" t="s">
        <v>364</v>
      </c>
      <c r="C203" s="19">
        <v>1250000</v>
      </c>
      <c r="D203" s="19"/>
      <c r="E203" s="10" t="s">
        <v>48</v>
      </c>
      <c r="F203" s="14" t="s">
        <v>49</v>
      </c>
      <c r="G203" s="21" t="s">
        <v>506</v>
      </c>
      <c r="H203" s="14" t="str">
        <f t="array" ref="H203">IFERROR(INDEX([1]Companies!$G:$G,MATCH(B203,[1]Companies!$A:$A,0)),"")</f>
        <v>Egypt</v>
      </c>
      <c r="I203" s="14" t="str">
        <f t="shared" si="245"/>
        <v>Egypt</v>
      </c>
      <c r="J203" s="14" t="str">
        <f t="array" ref="J203">IFERROR(INDEX([1]Companies!$Y:$Y,MATCH(B203,[1]Companies!$A:$A,0)),"")</f>
        <v>Railroad, Transportation, Travel</v>
      </c>
      <c r="K203" s="14" t="str">
        <f t="array" ref="K203">IFERROR(INDEX([1]Companies!$X:$X,MATCH(B203,[1]Companies!$A:$A,0)),"")</f>
        <v>Transport &amp; Logistics</v>
      </c>
      <c r="L203" s="14" t="str">
        <f>VLOOKUP(B203,[1]Companies!$A$1:$C$5243,1,FALSE)</f>
        <v>Ousta</v>
      </c>
      <c r="M203" s="15">
        <f t="shared" si="246"/>
        <v>0.9</v>
      </c>
      <c r="N203" s="10" t="str">
        <f t="shared" si="247"/>
        <v>42612Ousta1250000</v>
      </c>
      <c r="O203" s="14" t="str">
        <f t="shared" si="248"/>
        <v/>
      </c>
      <c r="P203" s="14">
        <f t="shared" si="249"/>
        <v>1</v>
      </c>
      <c r="Q203" s="14">
        <f t="array" ref="Q203">IFERROR(INDEX([1]Companies!$D:$D,MATCH(B203,[1]Companies!$A:$A,0)),"")</f>
        <v>2016</v>
      </c>
      <c r="R203" s="17">
        <f t="shared" si="250"/>
        <v>1550000</v>
      </c>
      <c r="S203" s="14">
        <f>VLOOKUP(I203,[1]Lookups!$V$3:$Y$197,4,FALSE)</f>
        <v>0</v>
      </c>
      <c r="T203" s="14" t="str">
        <f>VLOOKUP(E203,[1]Lookups!$H$3:$I$71,2,FALSE)</f>
        <v>2. Seed</v>
      </c>
      <c r="U203" s="14" t="str">
        <f>VLOOKUP(K203,[1]Lookups!$B$3:$C$142,2,FALSE)</f>
        <v>Transport &amp; Logistics</v>
      </c>
      <c r="V203" s="14">
        <f t="shared" si="1"/>
        <v>2016</v>
      </c>
      <c r="W203" s="14">
        <f t="shared" si="2"/>
        <v>8</v>
      </c>
      <c r="X203" s="14">
        <f>VLOOKUP(W203,[1]Lookups!$P$3:$S$15,2,FALSE)</f>
        <v>3</v>
      </c>
      <c r="Y203" s="16">
        <f>VLOOKUP(W203,[1]Lookups!$P$3:$U$15,3,FALSE)</f>
        <v>2</v>
      </c>
      <c r="Z203" s="16">
        <f t="shared" si="3"/>
        <v>1</v>
      </c>
      <c r="AA203" s="16" t="str">
        <f t="shared" ca="1" si="291"/>
        <v>Spark Capital</v>
      </c>
      <c r="AB203" s="16">
        <f t="shared" si="291"/>
        <v>0</v>
      </c>
      <c r="AC203" s="16">
        <f t="shared" si="291"/>
        <v>0</v>
      </c>
      <c r="AD203" s="16">
        <f t="shared" si="291"/>
        <v>0</v>
      </c>
      <c r="AE203" s="16">
        <f t="shared" si="291"/>
        <v>0</v>
      </c>
      <c r="AF203" s="16">
        <f t="shared" si="291"/>
        <v>0</v>
      </c>
      <c r="AG203" s="16">
        <f t="shared" si="291"/>
        <v>0</v>
      </c>
      <c r="AH203" s="16">
        <f t="shared" si="291"/>
        <v>0</v>
      </c>
      <c r="AI203" s="16">
        <f t="shared" si="291"/>
        <v>0</v>
      </c>
      <c r="AJ203" s="16">
        <f t="shared" si="291"/>
        <v>0</v>
      </c>
      <c r="AK203" s="16">
        <f t="shared" si="291"/>
        <v>0</v>
      </c>
      <c r="AL203" s="16">
        <f t="shared" si="291"/>
        <v>0</v>
      </c>
      <c r="AM203" s="16">
        <f t="shared" si="291"/>
        <v>0</v>
      </c>
      <c r="AN203" s="16">
        <f t="shared" si="291"/>
        <v>0</v>
      </c>
      <c r="AO203" s="16">
        <f t="shared" si="291"/>
        <v>0</v>
      </c>
      <c r="AP203" s="10"/>
      <c r="AQ203" s="10"/>
      <c r="AR203" s="10"/>
      <c r="AS203" s="10" t="str">
        <f t="shared" ref="AS203" ca="1" si="306">IFERROR(__xludf.DUMMYFUNCTION("split(F109,"","",true,true)"),"Spark Capital")</f>
        <v>Spark Capital</v>
      </c>
      <c r="AT203" s="10"/>
      <c r="AU203" s="10"/>
      <c r="AV203" s="10"/>
      <c r="AW203" s="10"/>
      <c r="AX203" s="10"/>
      <c r="AY203" s="10"/>
      <c r="AZ203" s="10"/>
      <c r="BA203" s="10"/>
      <c r="BB203" s="10"/>
      <c r="BC203" s="10"/>
      <c r="BD203" s="10"/>
      <c r="BE203" s="10"/>
      <c r="BF203" s="10"/>
      <c r="BG203" s="10"/>
      <c r="BH203" s="10"/>
      <c r="BI203" s="10"/>
      <c r="BJ203" s="10"/>
      <c r="BK203" s="10"/>
      <c r="BM203" s="10"/>
    </row>
    <row r="204" spans="1:65" ht="12.75">
      <c r="A204" s="18">
        <v>42613</v>
      </c>
      <c r="B204" s="14" t="s">
        <v>312</v>
      </c>
      <c r="C204" s="19">
        <v>1500000</v>
      </c>
      <c r="D204" s="19"/>
      <c r="E204" s="14" t="s">
        <v>45</v>
      </c>
      <c r="F204" s="20" t="s">
        <v>507</v>
      </c>
      <c r="G204" s="21" t="s">
        <v>508</v>
      </c>
      <c r="H204" s="14" t="str">
        <f t="array" ref="H204">IFERROR(INDEX([1]Companies!$G:$G,MATCH(B204,[1]Companies!$A:$A,0)),"")</f>
        <v>South Africa</v>
      </c>
      <c r="I204" s="14" t="str">
        <f t="shared" si="245"/>
        <v>South Africa</v>
      </c>
      <c r="J204" s="14" t="str">
        <f t="array" ref="J204">IFERROR(INDEX([1]Companies!$Y:$Y,MATCH(B204,[1]Companies!$A:$A,0)),"")</f>
        <v>Public Transport Data, Professional Services</v>
      </c>
      <c r="K204" s="14" t="str">
        <f t="array" ref="K204">IFERROR(INDEX([1]Companies!$X:$X,MATCH(B204,[1]Companies!$A:$A,0)),"")</f>
        <v>Transport &amp; Logistics</v>
      </c>
      <c r="L204" s="14" t="str">
        <f>VLOOKUP(B204,[1]Companies!$A$1:$C$5243,1,FALSE)</f>
        <v>WhereIsMyTransport</v>
      </c>
      <c r="M204" s="15">
        <f t="shared" si="246"/>
        <v>0.9</v>
      </c>
      <c r="N204" s="10" t="str">
        <f t="shared" si="247"/>
        <v>42613WhereIsMyTransport1500000</v>
      </c>
      <c r="O204" s="14" t="str">
        <f t="shared" si="248"/>
        <v/>
      </c>
      <c r="P204" s="14">
        <f t="shared" si="249"/>
        <v>1</v>
      </c>
      <c r="Q204" s="14">
        <f t="array" ref="Q204">IFERROR(INDEX([1]Companies!$D:$D,MATCH(B204,[1]Companies!$A:$A,0)),"")</f>
        <v>2015</v>
      </c>
      <c r="R204" s="17">
        <f t="shared" si="250"/>
        <v>5770000</v>
      </c>
      <c r="S204" s="14">
        <f>VLOOKUP(I204,[1]Lookups!$V$3:$Y$197,4,FALSE)</f>
        <v>0</v>
      </c>
      <c r="T204" s="14" t="str">
        <f>VLOOKUP(E204,[1]Lookups!$H$3:$I$71,2,FALSE)</f>
        <v>2. Seed</v>
      </c>
      <c r="U204" s="14" t="str">
        <f>VLOOKUP(K204,[1]Lookups!$B$3:$C$142,2,FALSE)</f>
        <v>Transport &amp; Logistics</v>
      </c>
      <c r="V204" s="14">
        <f t="shared" si="1"/>
        <v>2016</v>
      </c>
      <c r="W204" s="14">
        <f t="shared" si="2"/>
        <v>8</v>
      </c>
      <c r="X204" s="14">
        <f>VLOOKUP(W204,[1]Lookups!$P$3:$S$15,2,FALSE)</f>
        <v>3</v>
      </c>
      <c r="Y204" s="16">
        <f>VLOOKUP(W204,[1]Lookups!$P$3:$U$15,3,FALSE)</f>
        <v>2</v>
      </c>
      <c r="Z204" s="16">
        <f t="shared" si="3"/>
        <v>4</v>
      </c>
      <c r="AA204" s="16" t="str">
        <f t="shared" ca="1" si="291"/>
        <v>Spark Capital</v>
      </c>
      <c r="AB204" s="16" t="str">
        <f t="shared" ca="1" si="291"/>
        <v xml:space="preserve">  Omidyar Network</v>
      </c>
      <c r="AC204" s="16" t="str">
        <f t="shared" ca="1" si="291"/>
        <v xml:space="preserve"> Horizen Ventures</v>
      </c>
      <c r="AD204" s="16" t="str">
        <f t="shared" ca="1" si="291"/>
        <v xml:space="preserve"> Marcos Vercelli-Forster</v>
      </c>
      <c r="AE204" s="16">
        <f t="shared" si="291"/>
        <v>0</v>
      </c>
      <c r="AF204" s="16">
        <f t="shared" si="291"/>
        <v>0</v>
      </c>
      <c r="AG204" s="16">
        <f t="shared" si="291"/>
        <v>0</v>
      </c>
      <c r="AH204" s="16">
        <f t="shared" si="291"/>
        <v>0</v>
      </c>
      <c r="AI204" s="16">
        <f t="shared" si="291"/>
        <v>0</v>
      </c>
      <c r="AJ204" s="16">
        <f t="shared" si="291"/>
        <v>0</v>
      </c>
      <c r="AK204" s="16">
        <f t="shared" si="291"/>
        <v>0</v>
      </c>
      <c r="AL204" s="16">
        <f t="shared" si="291"/>
        <v>0</v>
      </c>
      <c r="AM204" s="16">
        <f t="shared" si="291"/>
        <v>0</v>
      </c>
      <c r="AN204" s="16">
        <f t="shared" si="291"/>
        <v>0</v>
      </c>
      <c r="AO204" s="16">
        <f t="shared" si="291"/>
        <v>0</v>
      </c>
      <c r="AP204" s="10"/>
      <c r="AQ204" s="10"/>
      <c r="AR204" s="10"/>
      <c r="AS204" s="10" t="str">
        <f t="shared" ref="AS204" ca="1" si="307">IFERROR(__xludf.DUMMYFUNCTION("split(F109,"","",true,true)"),"Spark Capital")</f>
        <v>Spark Capital</v>
      </c>
      <c r="AT204" s="10" t="str">
        <f ca="1">IFERROR(__xludf.DUMMYFUNCTION("""COMPUTED_VALUE"""),"  Omidyar Network")</f>
        <v xml:space="preserve">  Omidyar Network</v>
      </c>
      <c r="AU204" s="10" t="str">
        <f ca="1">IFERROR(__xludf.DUMMYFUNCTION("""COMPUTED_VALUE""")," Horizen Ventures")</f>
        <v xml:space="preserve"> Horizen Ventures</v>
      </c>
      <c r="AV204" s="10" t="str">
        <f ca="1">IFERROR(__xludf.DUMMYFUNCTION("""COMPUTED_VALUE""")," Marcos Vercelli-Forster")</f>
        <v xml:space="preserve"> Marcos Vercelli-Forster</v>
      </c>
      <c r="AW204" s="10"/>
      <c r="AX204" s="10"/>
      <c r="AY204" s="10"/>
      <c r="AZ204" s="10"/>
      <c r="BA204" s="10"/>
      <c r="BB204" s="10"/>
      <c r="BC204" s="10"/>
      <c r="BD204" s="10"/>
      <c r="BE204" s="10"/>
      <c r="BF204" s="10"/>
      <c r="BG204" s="10"/>
      <c r="BH204" s="10"/>
      <c r="BI204" s="10"/>
      <c r="BJ204" s="10"/>
      <c r="BK204" s="10"/>
      <c r="BM204" s="10"/>
    </row>
    <row r="205" spans="1:65" ht="12.75">
      <c r="A205" s="9">
        <v>42618</v>
      </c>
      <c r="B205" s="10" t="s">
        <v>138</v>
      </c>
      <c r="C205" s="11">
        <v>11500000</v>
      </c>
      <c r="D205" s="12"/>
      <c r="E205" s="10" t="s">
        <v>112</v>
      </c>
      <c r="F205" s="10" t="s">
        <v>509</v>
      </c>
      <c r="G205" s="13" t="s">
        <v>510</v>
      </c>
      <c r="H205" s="14"/>
      <c r="I205" s="14"/>
      <c r="J205" s="14"/>
      <c r="K205" s="14"/>
      <c r="L205" s="14"/>
      <c r="M205" s="15">
        <f t="shared" si="246"/>
        <v>0.5</v>
      </c>
      <c r="N205" s="10"/>
      <c r="O205" s="14"/>
      <c r="P205" s="14"/>
      <c r="Q205" s="14">
        <f t="array" ref="Q205">IFERROR(INDEX([1]Companies!$D:$D,MATCH(B205,[1]Companies!$A:$A,0)),"")</f>
        <v>2013</v>
      </c>
      <c r="R205" s="17"/>
      <c r="S205" s="14"/>
      <c r="T205" s="14"/>
      <c r="U205" s="14"/>
      <c r="V205" s="14">
        <f t="shared" si="1"/>
        <v>2016</v>
      </c>
      <c r="W205" s="14">
        <f t="shared" si="2"/>
        <v>9</v>
      </c>
      <c r="X205" s="14">
        <f>VLOOKUP(W205,[1]Lookups!$P$3:$S$15,2,FALSE)</f>
        <v>3</v>
      </c>
      <c r="Y205" s="16">
        <f>VLOOKUP(W205,[1]Lookups!$P$3:$U$15,3,FALSE)</f>
        <v>2</v>
      </c>
      <c r="Z205" s="16">
        <f t="shared" si="3"/>
        <v>6</v>
      </c>
      <c r="AA205" s="16" t="str">
        <f t="shared" ref="AA205:AO208" ca="1" si="308">AS205</f>
        <v>Spark Capital</v>
      </c>
      <c r="AB205" s="16" t="str">
        <f t="shared" ca="1" si="308"/>
        <v xml:space="preserve"> Jacques Antoine Granjon</v>
      </c>
      <c r="AC205" s="16" t="str">
        <f t="shared" ca="1" si="308"/>
        <v xml:space="preserve"> Kima Ventures</v>
      </c>
      <c r="AD205" s="16" t="str">
        <f t="shared" ca="1" si="308"/>
        <v xml:space="preserve"> Olivier Mathiot</v>
      </c>
      <c r="AE205" s="16" t="str">
        <f t="shared" ca="1" si="308"/>
        <v xml:space="preserve"> Orange</v>
      </c>
      <c r="AF205" s="16" t="str">
        <f t="shared" ca="1" si="308"/>
        <v xml:space="preserve"> Proparco
</v>
      </c>
      <c r="AG205" s="16">
        <f t="shared" si="308"/>
        <v>0</v>
      </c>
      <c r="AH205" s="16">
        <f t="shared" si="308"/>
        <v>0</v>
      </c>
      <c r="AI205" s="16">
        <f t="shared" si="308"/>
        <v>0</v>
      </c>
      <c r="AJ205" s="16">
        <f t="shared" si="308"/>
        <v>0</v>
      </c>
      <c r="AK205" s="16">
        <f t="shared" si="308"/>
        <v>0</v>
      </c>
      <c r="AL205" s="16">
        <f t="shared" si="308"/>
        <v>0</v>
      </c>
      <c r="AM205" s="16">
        <f t="shared" si="308"/>
        <v>0</v>
      </c>
      <c r="AN205" s="16">
        <f t="shared" si="308"/>
        <v>0</v>
      </c>
      <c r="AO205" s="16">
        <f t="shared" si="308"/>
        <v>0</v>
      </c>
      <c r="AP205" s="10"/>
      <c r="AQ205" s="10"/>
      <c r="AR205" s="10"/>
      <c r="AS205" s="10" t="str">
        <f t="shared" ref="AS205" ca="1" si="309">IFERROR(__xludf.DUMMYFUNCTION("split(F109,"","",true,true)"),"Spark Capital")</f>
        <v>Spark Capital</v>
      </c>
      <c r="AT205" s="10" t="str">
        <f ca="1">IFERROR(__xludf.DUMMYFUNCTION("""COMPUTED_VALUE""")," Jacques Antoine Granjon")</f>
        <v xml:space="preserve"> Jacques Antoine Granjon</v>
      </c>
      <c r="AU205" s="10" t="str">
        <f ca="1">IFERROR(__xludf.DUMMYFUNCTION("""COMPUTED_VALUE""")," Kima Ventures")</f>
        <v xml:space="preserve"> Kima Ventures</v>
      </c>
      <c r="AV205" s="10" t="str">
        <f ca="1">IFERROR(__xludf.DUMMYFUNCTION("""COMPUTED_VALUE""")," Olivier Mathiot")</f>
        <v xml:space="preserve"> Olivier Mathiot</v>
      </c>
      <c r="AW205" s="10" t="str">
        <f ca="1">IFERROR(__xludf.DUMMYFUNCTION("""COMPUTED_VALUE""")," Orange")</f>
        <v xml:space="preserve"> Orange</v>
      </c>
      <c r="AX205" s="10" t="str">
        <f ca="1">IFERROR(__xludf.DUMMYFUNCTION("""COMPUTED_VALUE""")," Proparco
")</f>
        <v xml:space="preserve"> Proparco
</v>
      </c>
      <c r="AY205" s="10"/>
      <c r="AZ205" s="10"/>
      <c r="BA205" s="10"/>
      <c r="BB205" s="10"/>
      <c r="BC205" s="10"/>
      <c r="BD205" s="10"/>
      <c r="BE205" s="10"/>
      <c r="BF205" s="10"/>
      <c r="BG205" s="10"/>
      <c r="BH205" s="10"/>
      <c r="BI205" s="10"/>
      <c r="BJ205" s="10"/>
      <c r="BK205" s="10"/>
      <c r="BM205" s="10"/>
    </row>
    <row r="206" spans="1:65" ht="12.75">
      <c r="A206" s="9">
        <v>42622</v>
      </c>
      <c r="B206" s="10" t="s">
        <v>282</v>
      </c>
      <c r="C206" s="11">
        <v>125000</v>
      </c>
      <c r="D206" s="12"/>
      <c r="E206" s="10" t="s">
        <v>45</v>
      </c>
      <c r="F206" s="10" t="s">
        <v>226</v>
      </c>
      <c r="G206" s="13" t="s">
        <v>284</v>
      </c>
      <c r="H206" s="14" t="str">
        <f t="array" ref="H206">IFERROR(INDEX([1]Companies!$G:$G,MATCH(B206,[1]Companies!$A:$A,0)),"")</f>
        <v>Nigeria</v>
      </c>
      <c r="I206" s="14" t="str">
        <f t="shared" ref="I206:I208" si="310">IF(LEN(TRIM(H206))-LEN(SUBSTITUTE(TRIM(H206),",","")) &gt; 0,TRIM(RIGHT(H206,LEN(H206)-FIND(",",H206))),H206)</f>
        <v>Nigeria</v>
      </c>
      <c r="J206" s="14" t="str">
        <f t="array" ref="J206">IFERROR(INDEX([1]Companies!$Y:$Y,MATCH(B206,[1]Companies!$A:$A,0)),"")</f>
        <v>Rewards, Retail</v>
      </c>
      <c r="K206" s="14" t="str">
        <f t="array" ref="K206">IFERROR(INDEX([1]Companies!$X:$X,MATCH(B206,[1]Companies!$A:$A,0)),"")</f>
        <v>E-Commerce &amp; Retail</v>
      </c>
      <c r="L206" s="14" t="str">
        <f>VLOOKUP(B206,[1]Companies!$A$1:$C$5243,1,FALSE)</f>
        <v>SureGroup</v>
      </c>
      <c r="M206" s="15">
        <f t="shared" si="246"/>
        <v>0.9</v>
      </c>
      <c r="N206" s="10" t="str">
        <f t="shared" ref="N206:N208" si="311">CONCATENATE(A206,B206,C206)</f>
        <v>42622SureGroup125000</v>
      </c>
      <c r="O206" s="14" t="str">
        <f t="shared" ref="O206:O208" si="312">IF(A206 = "","",IF(COUNTIF(N:N,CONCATENATE(A206,B206,C206))&gt;1,"Duplicated",""))</f>
        <v/>
      </c>
      <c r="P206" s="14">
        <f t="shared" ref="P206:P208" si="313">IF(C206="Undisclosed",0,1)</f>
        <v>1</v>
      </c>
      <c r="Q206" s="14">
        <f t="array" ref="Q206">IFERROR(INDEX([1]Companies!$D:$D,MATCH(B206,[1]Companies!$A:$A,0)),"")</f>
        <v>2014</v>
      </c>
      <c r="R206" s="17">
        <f t="shared" ref="R206:R208" si="314">SUMIF(B:B,B206,C:C)</f>
        <v>425000</v>
      </c>
      <c r="S206" s="14">
        <f>VLOOKUP(I206,[1]Lookups!$V$3:$Y$197,4,FALSE)</f>
        <v>0</v>
      </c>
      <c r="T206" s="14" t="str">
        <f>VLOOKUP(E206,[1]Lookups!$H$3:$I$71,2,FALSE)</f>
        <v>2. Seed</v>
      </c>
      <c r="U206" s="14" t="str">
        <f>VLOOKUP(K206,[1]Lookups!$B$3:$C$142,2,FALSE)</f>
        <v>E-commerce &amp; Retail</v>
      </c>
      <c r="V206" s="14">
        <f t="shared" si="1"/>
        <v>2016</v>
      </c>
      <c r="W206" s="14">
        <f t="shared" si="2"/>
        <v>9</v>
      </c>
      <c r="X206" s="14">
        <f>VLOOKUP(W206,[1]Lookups!$P$3:$S$15,2,FALSE)</f>
        <v>3</v>
      </c>
      <c r="Y206" s="16">
        <f>VLOOKUP(W206,[1]Lookups!$P$3:$U$15,3,FALSE)</f>
        <v>2</v>
      </c>
      <c r="Z206" s="16">
        <f t="shared" si="3"/>
        <v>1</v>
      </c>
      <c r="AA206" s="16" t="str">
        <f t="shared" ca="1" si="308"/>
        <v>Spark Capital</v>
      </c>
      <c r="AB206" s="16">
        <f t="shared" si="308"/>
        <v>0</v>
      </c>
      <c r="AC206" s="16">
        <f t="shared" si="308"/>
        <v>0</v>
      </c>
      <c r="AD206" s="16">
        <f t="shared" si="308"/>
        <v>0</v>
      </c>
      <c r="AE206" s="16">
        <f t="shared" si="308"/>
        <v>0</v>
      </c>
      <c r="AF206" s="16">
        <f t="shared" si="308"/>
        <v>0</v>
      </c>
      <c r="AG206" s="16">
        <f t="shared" si="308"/>
        <v>0</v>
      </c>
      <c r="AH206" s="16">
        <f t="shared" si="308"/>
        <v>0</v>
      </c>
      <c r="AI206" s="16">
        <f t="shared" si="308"/>
        <v>0</v>
      </c>
      <c r="AJ206" s="16">
        <f t="shared" si="308"/>
        <v>0</v>
      </c>
      <c r="AK206" s="16">
        <f t="shared" si="308"/>
        <v>0</v>
      </c>
      <c r="AL206" s="16">
        <f t="shared" si="308"/>
        <v>0</v>
      </c>
      <c r="AM206" s="16">
        <f t="shared" si="308"/>
        <v>0</v>
      </c>
      <c r="AN206" s="16">
        <f t="shared" si="308"/>
        <v>0</v>
      </c>
      <c r="AO206" s="16">
        <f t="shared" si="308"/>
        <v>0</v>
      </c>
      <c r="AP206" s="10"/>
      <c r="AQ206" s="10"/>
      <c r="AR206" s="10"/>
      <c r="AS206" s="10" t="str">
        <f t="shared" ref="AS206" ca="1" si="315">IFERROR(__xludf.DUMMYFUNCTION("split(F109,"","",true,true)"),"Spark Capital")</f>
        <v>Spark Capital</v>
      </c>
      <c r="AT206" s="10"/>
      <c r="AU206" s="10"/>
      <c r="AV206" s="10"/>
      <c r="AW206" s="10"/>
      <c r="AX206" s="10"/>
      <c r="AY206" s="10"/>
      <c r="AZ206" s="10"/>
      <c r="BA206" s="10"/>
      <c r="BB206" s="10"/>
      <c r="BC206" s="10"/>
      <c r="BD206" s="10"/>
      <c r="BE206" s="10"/>
      <c r="BF206" s="10"/>
      <c r="BG206" s="10"/>
      <c r="BH206" s="10"/>
      <c r="BI206" s="10"/>
      <c r="BJ206" s="10"/>
      <c r="BK206" s="10"/>
      <c r="BM206" s="10"/>
    </row>
    <row r="207" spans="1:65" ht="12.75">
      <c r="A207" s="18">
        <v>42629</v>
      </c>
      <c r="B207" s="14" t="s">
        <v>511</v>
      </c>
      <c r="C207" s="19">
        <v>150000</v>
      </c>
      <c r="D207" s="19"/>
      <c r="E207" s="14" t="s">
        <v>45</v>
      </c>
      <c r="F207" s="14" t="s">
        <v>49</v>
      </c>
      <c r="G207" s="21" t="s">
        <v>512</v>
      </c>
      <c r="H207" s="14" t="str">
        <f t="array" ref="H207">IFERROR(INDEX([1]Companies!$G:$G,MATCH(B207,[1]Companies!$A:$A,0)),"")</f>
        <v>Kenya</v>
      </c>
      <c r="I207" s="14" t="str">
        <f t="shared" si="310"/>
        <v>Kenya</v>
      </c>
      <c r="J207" s="14" t="str">
        <f t="array" ref="J207">IFERROR(INDEX([1]Companies!$Y:$Y,MATCH(B207,[1]Companies!$A:$A,0)),"")</f>
        <v>Apps, Emergency Medicine, Health Care, Transportation</v>
      </c>
      <c r="K207" s="14" t="str">
        <f t="array" ref="K207">IFERROR(INDEX([1]Companies!$X:$X,MATCH(B207,[1]Companies!$A:$A,0)),"")</f>
        <v>Healthcare &amp; Pharma</v>
      </c>
      <c r="L207" s="14" t="str">
        <f>VLOOKUP(B207,[1]Companies!$A$1:$C$5243,1,FALSE)</f>
        <v>Flare</v>
      </c>
      <c r="M207" s="15">
        <f t="shared" si="246"/>
        <v>0.9</v>
      </c>
      <c r="N207" s="10" t="str">
        <f t="shared" si="311"/>
        <v>42629Flare150000</v>
      </c>
      <c r="O207" s="14" t="str">
        <f t="shared" si="312"/>
        <v/>
      </c>
      <c r="P207" s="14">
        <f t="shared" si="313"/>
        <v>1</v>
      </c>
      <c r="Q207" s="14">
        <f t="array" ref="Q207">IFERROR(INDEX([1]Companies!$D:$D,MATCH(B207,[1]Companies!$A:$A,0)),"")</f>
        <v>2016</v>
      </c>
      <c r="R207" s="17">
        <f t="shared" si="314"/>
        <v>150000</v>
      </c>
      <c r="S207" s="14">
        <f>VLOOKUP(I207,[1]Lookups!$V$3:$Y$197,4,FALSE)</f>
        <v>0</v>
      </c>
      <c r="T207" s="14" t="str">
        <f>VLOOKUP(E207,[1]Lookups!$H$3:$I$71,2,FALSE)</f>
        <v>2. Seed</v>
      </c>
      <c r="U207" s="14" t="str">
        <f>VLOOKUP(K207,[1]Lookups!$B$3:$C$142,2,FALSE)</f>
        <v>Health &amp; Pharmaceuticals</v>
      </c>
      <c r="V207" s="14">
        <f t="shared" si="1"/>
        <v>2016</v>
      </c>
      <c r="W207" s="14">
        <f t="shared" si="2"/>
        <v>9</v>
      </c>
      <c r="X207" s="14">
        <f>VLOOKUP(W207,[1]Lookups!$P$3:$S$15,2,FALSE)</f>
        <v>3</v>
      </c>
      <c r="Y207" s="16">
        <f>VLOOKUP(W207,[1]Lookups!$P$3:$U$15,3,FALSE)</f>
        <v>2</v>
      </c>
      <c r="Z207" s="16">
        <f t="shared" si="3"/>
        <v>1</v>
      </c>
      <c r="AA207" s="16" t="str">
        <f t="shared" ca="1" si="308"/>
        <v>Spark Capital</v>
      </c>
      <c r="AB207" s="16">
        <f t="shared" si="308"/>
        <v>0</v>
      </c>
      <c r="AC207" s="16">
        <f t="shared" si="308"/>
        <v>0</v>
      </c>
      <c r="AD207" s="16">
        <f t="shared" si="308"/>
        <v>0</v>
      </c>
      <c r="AE207" s="16">
        <f t="shared" si="308"/>
        <v>0</v>
      </c>
      <c r="AF207" s="16">
        <f t="shared" si="308"/>
        <v>0</v>
      </c>
      <c r="AG207" s="16">
        <f t="shared" si="308"/>
        <v>0</v>
      </c>
      <c r="AH207" s="16">
        <f t="shared" si="308"/>
        <v>0</v>
      </c>
      <c r="AI207" s="16">
        <f t="shared" si="308"/>
        <v>0</v>
      </c>
      <c r="AJ207" s="16">
        <f t="shared" si="308"/>
        <v>0</v>
      </c>
      <c r="AK207" s="16">
        <f t="shared" si="308"/>
        <v>0</v>
      </c>
      <c r="AL207" s="16">
        <f t="shared" si="308"/>
        <v>0</v>
      </c>
      <c r="AM207" s="16">
        <f t="shared" si="308"/>
        <v>0</v>
      </c>
      <c r="AN207" s="16">
        <f t="shared" si="308"/>
        <v>0</v>
      </c>
      <c r="AO207" s="16">
        <f t="shared" si="308"/>
        <v>0</v>
      </c>
      <c r="AP207" s="10"/>
      <c r="AQ207" s="10"/>
      <c r="AR207" s="10"/>
      <c r="AS207" s="10" t="str">
        <f t="shared" ref="AS207" ca="1" si="316">IFERROR(__xludf.DUMMYFUNCTION("split(F109,"","",true,true)"),"Spark Capital")</f>
        <v>Spark Capital</v>
      </c>
      <c r="AT207" s="10"/>
      <c r="AU207" s="10"/>
      <c r="AV207" s="10"/>
      <c r="AW207" s="10"/>
      <c r="AX207" s="10"/>
      <c r="AY207" s="10"/>
      <c r="AZ207" s="10"/>
      <c r="BA207" s="10"/>
      <c r="BB207" s="10"/>
      <c r="BC207" s="10"/>
      <c r="BD207" s="10"/>
      <c r="BE207" s="10"/>
      <c r="BF207" s="10"/>
      <c r="BG207" s="10"/>
      <c r="BH207" s="10"/>
      <c r="BI207" s="10"/>
      <c r="BJ207" s="10"/>
      <c r="BK207" s="10"/>
      <c r="BM207" s="10"/>
    </row>
    <row r="208" spans="1:65" ht="12.75">
      <c r="A208" s="9">
        <v>42629</v>
      </c>
      <c r="B208" s="10" t="s">
        <v>513</v>
      </c>
      <c r="C208" s="11">
        <v>15000</v>
      </c>
      <c r="D208" s="12"/>
      <c r="E208" s="10" t="s">
        <v>45</v>
      </c>
      <c r="F208" s="10" t="s">
        <v>49</v>
      </c>
      <c r="G208" s="13" t="s">
        <v>514</v>
      </c>
      <c r="H208" s="14" t="str">
        <f t="array" ref="H208">IFERROR(INDEX([1]Companies!$G:$G,MATCH(B208,[1]Companies!$A:$A,0)),"")</f>
        <v>Egypt</v>
      </c>
      <c r="I208" s="14" t="str">
        <f t="shared" si="310"/>
        <v>Egypt</v>
      </c>
      <c r="J208" s="14" t="str">
        <f t="array" ref="J208">IFERROR(INDEX([1]Companies!$Y:$Y,MATCH(B208,[1]Companies!$A:$A,0)),"")</f>
        <v>Banking, Financial Services, Internet, Mobile Payments</v>
      </c>
      <c r="K208" s="14" t="str">
        <f t="array" ref="K208">IFERROR(INDEX([1]Companies!$X:$X,MATCH(B208,[1]Companies!$A:$A,0)),"")</f>
        <v>Financial Services</v>
      </c>
      <c r="L208" s="14" t="str">
        <f>VLOOKUP(B208,[1]Companies!$A$1:$C$5243,1,FALSE)</f>
        <v>Vapulus</v>
      </c>
      <c r="M208" s="15">
        <f t="shared" si="246"/>
        <v>0.9</v>
      </c>
      <c r="N208" s="10" t="str">
        <f t="shared" si="311"/>
        <v>42629Vapulus15000</v>
      </c>
      <c r="O208" s="14" t="str">
        <f t="shared" si="312"/>
        <v/>
      </c>
      <c r="P208" s="14">
        <f t="shared" si="313"/>
        <v>1</v>
      </c>
      <c r="Q208" s="14">
        <f t="array" ref="Q208">IFERROR(INDEX([1]Companies!$D:$D,MATCH(B208,[1]Companies!$A:$A,0)),"")</f>
        <v>2016</v>
      </c>
      <c r="R208" s="17">
        <f t="shared" si="314"/>
        <v>415000</v>
      </c>
      <c r="S208" s="14">
        <f>VLOOKUP(I208,[1]Lookups!$V$3:$Y$197,4,FALSE)</f>
        <v>0</v>
      </c>
      <c r="T208" s="14" t="str">
        <f>VLOOKUP(E208,[1]Lookups!$H$3:$I$71,2,FALSE)</f>
        <v>2. Seed</v>
      </c>
      <c r="U208" s="14" t="str">
        <f>VLOOKUP(K208,[1]Lookups!$B$3:$C$142,2,FALSE)</f>
        <v>Financial Services</v>
      </c>
      <c r="V208" s="14">
        <f t="shared" si="1"/>
        <v>2016</v>
      </c>
      <c r="W208" s="14">
        <f t="shared" si="2"/>
        <v>9</v>
      </c>
      <c r="X208" s="14">
        <f>VLOOKUP(W208,[1]Lookups!$P$3:$S$15,2,FALSE)</f>
        <v>3</v>
      </c>
      <c r="Y208" s="16">
        <f>VLOOKUP(W208,[1]Lookups!$P$3:$U$15,3,FALSE)</f>
        <v>2</v>
      </c>
      <c r="Z208" s="16">
        <f t="shared" si="3"/>
        <v>1</v>
      </c>
      <c r="AA208" s="16" t="str">
        <f t="shared" ca="1" si="308"/>
        <v>Spark Capital</v>
      </c>
      <c r="AB208" s="16">
        <f t="shared" si="308"/>
        <v>0</v>
      </c>
      <c r="AC208" s="16">
        <f t="shared" si="308"/>
        <v>0</v>
      </c>
      <c r="AD208" s="16">
        <f t="shared" si="308"/>
        <v>0</v>
      </c>
      <c r="AE208" s="16">
        <f t="shared" si="308"/>
        <v>0</v>
      </c>
      <c r="AF208" s="16">
        <f t="shared" si="308"/>
        <v>0</v>
      </c>
      <c r="AG208" s="16">
        <f t="shared" si="308"/>
        <v>0</v>
      </c>
      <c r="AH208" s="16">
        <f t="shared" si="308"/>
        <v>0</v>
      </c>
      <c r="AI208" s="16">
        <f t="shared" si="308"/>
        <v>0</v>
      </c>
      <c r="AJ208" s="16">
        <f t="shared" si="308"/>
        <v>0</v>
      </c>
      <c r="AK208" s="16">
        <f t="shared" si="308"/>
        <v>0</v>
      </c>
      <c r="AL208" s="16">
        <f t="shared" si="308"/>
        <v>0</v>
      </c>
      <c r="AM208" s="16">
        <f t="shared" si="308"/>
        <v>0</v>
      </c>
      <c r="AN208" s="16">
        <f t="shared" si="308"/>
        <v>0</v>
      </c>
      <c r="AO208" s="16">
        <f t="shared" si="308"/>
        <v>0</v>
      </c>
      <c r="AP208" s="10"/>
      <c r="AQ208" s="10"/>
      <c r="AR208" s="10"/>
      <c r="AS208" s="10" t="str">
        <f t="shared" ref="AS208" ca="1" si="317">IFERROR(__xludf.DUMMYFUNCTION("split(F109,"","",true,true)"),"Spark Capital")</f>
        <v>Spark Capital</v>
      </c>
      <c r="AT208" s="10"/>
      <c r="AU208" s="10"/>
      <c r="AV208" s="10"/>
      <c r="AW208" s="10"/>
      <c r="AX208" s="10"/>
      <c r="AY208" s="10"/>
      <c r="AZ208" s="10"/>
      <c r="BA208" s="10"/>
      <c r="BB208" s="10"/>
      <c r="BC208" s="10"/>
      <c r="BD208" s="10"/>
      <c r="BE208" s="10"/>
      <c r="BF208" s="10"/>
      <c r="BG208" s="10"/>
      <c r="BH208" s="10"/>
      <c r="BI208" s="10"/>
      <c r="BJ208" s="10"/>
      <c r="BK208" s="10"/>
      <c r="BM208" s="10"/>
    </row>
    <row r="209" spans="1:65" ht="12.75">
      <c r="A209" s="9">
        <v>42632</v>
      </c>
      <c r="B209" s="13" t="s">
        <v>515</v>
      </c>
      <c r="C209" s="11">
        <v>20000</v>
      </c>
      <c r="D209" s="12"/>
      <c r="E209" s="10" t="s">
        <v>45</v>
      </c>
      <c r="F209" s="10" t="s">
        <v>516</v>
      </c>
      <c r="G209" s="13" t="s">
        <v>517</v>
      </c>
      <c r="H209" s="14"/>
      <c r="I209" s="14"/>
      <c r="J209" s="14"/>
      <c r="K209" s="14"/>
      <c r="L209" s="14"/>
      <c r="M209" s="15"/>
      <c r="N209" s="10"/>
      <c r="O209" s="14"/>
      <c r="P209" s="14"/>
      <c r="Q209" s="14"/>
      <c r="R209" s="17"/>
      <c r="S209" s="14"/>
      <c r="T209" s="14"/>
      <c r="U209" s="14"/>
      <c r="V209" s="14">
        <f t="shared" si="1"/>
        <v>2016</v>
      </c>
      <c r="W209" s="14">
        <f t="shared" si="2"/>
        <v>9</v>
      </c>
      <c r="X209" s="14">
        <f>VLOOKUP(W209,[1]Lookups!$P$3:$S$15,2,FALSE)</f>
        <v>3</v>
      </c>
      <c r="Y209" s="16">
        <f>VLOOKUP(W209,[1]Lookups!$P$3:$U$15,3,FALSE)</f>
        <v>2</v>
      </c>
      <c r="Z209" s="16">
        <f t="shared" si="3"/>
        <v>1</v>
      </c>
      <c r="AA209" s="16"/>
      <c r="AB209" s="16"/>
      <c r="AC209" s="16"/>
      <c r="AD209" s="16"/>
      <c r="AE209" s="16"/>
      <c r="AF209" s="16"/>
      <c r="AG209" s="16"/>
      <c r="AH209" s="16"/>
      <c r="AI209" s="16"/>
      <c r="AJ209" s="16"/>
      <c r="AK209" s="16"/>
      <c r="AL209" s="16"/>
      <c r="AM209" s="16"/>
      <c r="AN209" s="16"/>
      <c r="AO209" s="16"/>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M209" s="10"/>
    </row>
    <row r="210" spans="1:65" ht="12.75">
      <c r="A210" s="18">
        <v>42634</v>
      </c>
      <c r="B210" s="20" t="s">
        <v>183</v>
      </c>
      <c r="C210" s="19">
        <v>15000000</v>
      </c>
      <c r="D210" s="19"/>
      <c r="E210" s="14" t="s">
        <v>161</v>
      </c>
      <c r="F210" s="14" t="s">
        <v>518</v>
      </c>
      <c r="G210" s="21" t="s">
        <v>519</v>
      </c>
      <c r="H210" s="14" t="str">
        <f t="array" ref="H210">IFERROR(INDEX([1]Companies!$G:$G,MATCH(B210,[1]Companies!$A:$A,0)),"")</f>
        <v>Kenya</v>
      </c>
      <c r="I210" s="14" t="str">
        <f t="shared" ref="I210:I213" si="318">IF(LEN(TRIM(H210))-LEN(SUBSTITUTE(TRIM(H210),",","")) &gt; 0,TRIM(RIGHT(H210,LEN(H210)-FIND(",",H210))),H210)</f>
        <v>Kenya</v>
      </c>
      <c r="J210" s="14" t="str">
        <f t="array" ref="J210">IFERROR(INDEX([1]Companies!$Y:$Y,MATCH(B210,[1]Companies!$A:$A,0)),"")</f>
        <v>Energy, Renewable Energy, Solar</v>
      </c>
      <c r="K210" s="14" t="str">
        <f t="array" ref="K210">IFERROR(INDEX([1]Companies!$X:$X,MATCH(B210,[1]Companies!$A:$A,0)),"")</f>
        <v>Energy &amp; Environment Resources</v>
      </c>
      <c r="L210" s="14" t="str">
        <f>VLOOKUP(B210,[1]Companies!$A$1:$C$5243,1,FALSE)</f>
        <v>d.light</v>
      </c>
      <c r="M210" s="15">
        <f t="shared" ref="M210:M213" si="319">COUNTA(B210:K210)/(COUNTBLANK(B210:K210) + COUNTA(B210:K210))</f>
        <v>0.9</v>
      </c>
      <c r="N210" s="10" t="str">
        <f t="shared" ref="N210:N213" si="320">CONCATENATE(A210,B210,C210)</f>
        <v>42634d.light15000000</v>
      </c>
      <c r="O210" s="14" t="str">
        <f t="shared" ref="O210:O213" si="321">IF(A210 = "","",IF(COUNTIF(N:N,CONCATENATE(A210,B210,C210))&gt;1,"Duplicated",""))</f>
        <v/>
      </c>
      <c r="P210" s="14">
        <f t="shared" ref="P210:P213" si="322">IF(C210="Undisclosed",0,1)</f>
        <v>1</v>
      </c>
      <c r="Q210" s="14">
        <f t="array" ref="Q210">IFERROR(INDEX([1]Companies!$D:$D,MATCH(B210,[1]Companies!$A:$A,0)),"")</f>
        <v>2007</v>
      </c>
      <c r="R210" s="17">
        <f t="shared" ref="R210:R213" si="323">SUMIF(B:B,B210,C:C)</f>
        <v>167500000</v>
      </c>
      <c r="S210" s="14">
        <f>VLOOKUP(I210,[1]Lookups!$V$3:$Y$197,4,FALSE)</f>
        <v>0</v>
      </c>
      <c r="T210" s="14" t="str">
        <f>VLOOKUP(E210,[1]Lookups!$H$3:$I$71,2,FALSE)</f>
        <v>4. Late Venture</v>
      </c>
      <c r="U210" s="14" t="e">
        <f>VLOOKUP(K210,[1]Lookups!$B$3:$C$142,2,FALSE)</f>
        <v>#N/A</v>
      </c>
      <c r="V210" s="14">
        <f t="shared" si="1"/>
        <v>2016</v>
      </c>
      <c r="W210" s="14">
        <f t="shared" si="2"/>
        <v>9</v>
      </c>
      <c r="X210" s="14">
        <f>VLOOKUP(W210,[1]Lookups!$P$3:$S$15,2,FALSE)</f>
        <v>3</v>
      </c>
      <c r="Y210" s="16">
        <f>VLOOKUP(W210,[1]Lookups!$P$3:$U$15,3,FALSE)</f>
        <v>2</v>
      </c>
      <c r="Z210" s="16">
        <f t="shared" si="3"/>
        <v>5</v>
      </c>
      <c r="AA210" s="16" t="str">
        <f t="shared" ref="AA210:AO214" ca="1" si="324">AS210</f>
        <v>KawiSafi Ventures Fund</v>
      </c>
      <c r="AB210" s="16" t="str">
        <f t="shared" ca="1" si="324"/>
        <v xml:space="preserve"> Energy Access Ventures</v>
      </c>
      <c r="AC210" s="16" t="str">
        <f t="shared" ca="1" si="324"/>
        <v xml:space="preserve"> Omidyar Network</v>
      </c>
      <c r="AD210" s="16" t="str">
        <f t="shared" ca="1" si="324"/>
        <v xml:space="preserve"> NewQuest Capital Partners</v>
      </c>
      <c r="AE210" s="16" t="str">
        <f t="shared" ca="1" si="324"/>
        <v xml:space="preserve"> Draper Fisher Jurvetson (DFJ)</v>
      </c>
      <c r="AF210" s="16">
        <f t="shared" si="324"/>
        <v>0</v>
      </c>
      <c r="AG210" s="16">
        <f t="shared" si="324"/>
        <v>0</v>
      </c>
      <c r="AH210" s="16">
        <f t="shared" si="324"/>
        <v>0</v>
      </c>
      <c r="AI210" s="16">
        <f t="shared" si="324"/>
        <v>0</v>
      </c>
      <c r="AJ210" s="16">
        <f t="shared" si="324"/>
        <v>0</v>
      </c>
      <c r="AK210" s="16">
        <f t="shared" si="324"/>
        <v>0</v>
      </c>
      <c r="AL210" s="16">
        <f t="shared" si="324"/>
        <v>0</v>
      </c>
      <c r="AM210" s="16">
        <f t="shared" si="324"/>
        <v>0</v>
      </c>
      <c r="AN210" s="16">
        <f t="shared" si="324"/>
        <v>0</v>
      </c>
      <c r="AO210" s="16">
        <f t="shared" si="324"/>
        <v>0</v>
      </c>
      <c r="AP210" s="10"/>
      <c r="AQ210" s="10"/>
      <c r="AR210" s="10"/>
      <c r="AS210" s="10" t="str">
        <f t="shared" ref="AS210" ca="1" si="325">IFERROR(__xludf.DUMMYFUNCTION("split(F210,"","",true,true)"),"KawiSafi Ventures Fund")</f>
        <v>KawiSafi Ventures Fund</v>
      </c>
      <c r="AT210" s="10" t="str">
        <f ca="1">IFERROR(__xludf.DUMMYFUNCTION("""COMPUTED_VALUE""")," Energy Access Ventures")</f>
        <v xml:space="preserve"> Energy Access Ventures</v>
      </c>
      <c r="AU210" s="10" t="str">
        <f ca="1">IFERROR(__xludf.DUMMYFUNCTION("""COMPUTED_VALUE""")," Omidyar Network")</f>
        <v xml:space="preserve"> Omidyar Network</v>
      </c>
      <c r="AV210" s="10" t="str">
        <f ca="1">IFERROR(__xludf.DUMMYFUNCTION("""COMPUTED_VALUE""")," NewQuest Capital Partners")</f>
        <v xml:space="preserve"> NewQuest Capital Partners</v>
      </c>
      <c r="AW210" s="10" t="str">
        <f ca="1">IFERROR(__xludf.DUMMYFUNCTION("""COMPUTED_VALUE""")," Draper Fisher Jurvetson (DFJ)")</f>
        <v xml:space="preserve"> Draper Fisher Jurvetson (DFJ)</v>
      </c>
      <c r="AX210" s="10"/>
      <c r="AY210" s="10"/>
      <c r="AZ210" s="10"/>
      <c r="BA210" s="10"/>
      <c r="BB210" s="10"/>
      <c r="BC210" s="10"/>
      <c r="BD210" s="10"/>
      <c r="BE210" s="10"/>
      <c r="BF210" s="10"/>
      <c r="BG210" s="10"/>
      <c r="BH210" s="10"/>
      <c r="BI210" s="10"/>
      <c r="BJ210" s="10"/>
      <c r="BK210" s="10"/>
      <c r="BM210" s="10"/>
    </row>
    <row r="211" spans="1:65" ht="12.75">
      <c r="A211" s="18">
        <v>42634</v>
      </c>
      <c r="B211" s="20" t="s">
        <v>183</v>
      </c>
      <c r="C211" s="19">
        <v>5000000</v>
      </c>
      <c r="D211" s="19"/>
      <c r="E211" s="14" t="s">
        <v>55</v>
      </c>
      <c r="F211" s="14" t="s">
        <v>520</v>
      </c>
      <c r="G211" s="21" t="s">
        <v>521</v>
      </c>
      <c r="H211" s="14" t="str">
        <f t="array" ref="H211">IFERROR(INDEX([1]Companies!$G:$G,MATCH(B211,[1]Companies!$A:$A,0)),"")</f>
        <v>Kenya</v>
      </c>
      <c r="I211" s="14" t="str">
        <f t="shared" si="318"/>
        <v>Kenya</v>
      </c>
      <c r="J211" s="14" t="str">
        <f t="array" ref="J211">IFERROR(INDEX([1]Companies!$Y:$Y,MATCH(B211,[1]Companies!$A:$A,0)),"")</f>
        <v>Energy, Renewable Energy, Solar</v>
      </c>
      <c r="K211" s="14" t="str">
        <f t="array" ref="K211">IFERROR(INDEX([1]Companies!$X:$X,MATCH(B211,[1]Companies!$A:$A,0)),"")</f>
        <v>Energy &amp; Environment Resources</v>
      </c>
      <c r="L211" s="14" t="str">
        <f>VLOOKUP(B211,[1]Companies!$A$1:$C$5243,1,FALSE)</f>
        <v>d.light</v>
      </c>
      <c r="M211" s="15">
        <f t="shared" si="319"/>
        <v>0.9</v>
      </c>
      <c r="N211" s="10" t="str">
        <f t="shared" si="320"/>
        <v>42634d.light5000000</v>
      </c>
      <c r="O211" s="14" t="str">
        <f t="shared" si="321"/>
        <v/>
      </c>
      <c r="P211" s="14">
        <f t="shared" si="322"/>
        <v>1</v>
      </c>
      <c r="Q211" s="14">
        <f t="array" ref="Q211">IFERROR(INDEX([1]Companies!$D:$D,MATCH(B211,[1]Companies!$A:$A,0)),"")</f>
        <v>2007</v>
      </c>
      <c r="R211" s="17">
        <f t="shared" si="323"/>
        <v>167500000</v>
      </c>
      <c r="S211" s="14">
        <f>VLOOKUP(I211,[1]Lookups!$V$3:$Y$197,4,FALSE)</f>
        <v>0</v>
      </c>
      <c r="T211" s="14" t="str">
        <f>VLOOKUP(E211,[1]Lookups!$H$3:$I$71,2,FALSE)</f>
        <v>1. Grant</v>
      </c>
      <c r="U211" s="14" t="e">
        <f>VLOOKUP(K211,[1]Lookups!$B$3:$C$142,2,FALSE)</f>
        <v>#N/A</v>
      </c>
      <c r="V211" s="14">
        <f t="shared" si="1"/>
        <v>2016</v>
      </c>
      <c r="W211" s="14">
        <f t="shared" si="2"/>
        <v>9</v>
      </c>
      <c r="X211" s="14">
        <f>VLOOKUP(W211,[1]Lookups!$P$3:$S$15,2,FALSE)</f>
        <v>3</v>
      </c>
      <c r="Y211" s="16">
        <f>VLOOKUP(W211,[1]Lookups!$P$3:$U$15,3,FALSE)</f>
        <v>2</v>
      </c>
      <c r="Z211" s="16">
        <f t="shared" si="3"/>
        <v>3</v>
      </c>
      <c r="AA211" s="16" t="str">
        <f t="shared" ca="1" si="324"/>
        <v>KawiSafi Ventures Fund</v>
      </c>
      <c r="AB211" s="16" t="str">
        <f t="shared" ca="1" si="324"/>
        <v xml:space="preserve"> U.S. Agency for International Development (USAID)</v>
      </c>
      <c r="AC211" s="16" t="str">
        <f t="shared" ca="1" si="324"/>
        <v xml:space="preserve"> UNCDF</v>
      </c>
      <c r="AD211" s="16">
        <f t="shared" si="324"/>
        <v>0</v>
      </c>
      <c r="AE211" s="16">
        <f t="shared" si="324"/>
        <v>0</v>
      </c>
      <c r="AF211" s="16">
        <f t="shared" si="324"/>
        <v>0</v>
      </c>
      <c r="AG211" s="16">
        <f t="shared" si="324"/>
        <v>0</v>
      </c>
      <c r="AH211" s="16">
        <f t="shared" si="324"/>
        <v>0</v>
      </c>
      <c r="AI211" s="16">
        <f t="shared" si="324"/>
        <v>0</v>
      </c>
      <c r="AJ211" s="16">
        <f t="shared" si="324"/>
        <v>0</v>
      </c>
      <c r="AK211" s="16">
        <f t="shared" si="324"/>
        <v>0</v>
      </c>
      <c r="AL211" s="16">
        <f t="shared" si="324"/>
        <v>0</v>
      </c>
      <c r="AM211" s="16">
        <f t="shared" si="324"/>
        <v>0</v>
      </c>
      <c r="AN211" s="16">
        <f t="shared" si="324"/>
        <v>0</v>
      </c>
      <c r="AO211" s="16">
        <f t="shared" si="324"/>
        <v>0</v>
      </c>
      <c r="AP211" s="10"/>
      <c r="AQ211" s="10"/>
      <c r="AR211" s="10"/>
      <c r="AS211" s="10" t="str">
        <f t="shared" ref="AS211" ca="1" si="326">IFERROR(__xludf.DUMMYFUNCTION("split(F210,"","",true,true)"),"KawiSafi Ventures Fund")</f>
        <v>KawiSafi Ventures Fund</v>
      </c>
      <c r="AT211" s="10" t="str">
        <f ca="1">IFERROR(__xludf.DUMMYFUNCTION("""COMPUTED_VALUE""")," U.S. Agency for International Development (USAID)")</f>
        <v xml:space="preserve"> U.S. Agency for International Development (USAID)</v>
      </c>
      <c r="AU211" s="10" t="str">
        <f ca="1">IFERROR(__xludf.DUMMYFUNCTION("""COMPUTED_VALUE""")," UNCDF")</f>
        <v xml:space="preserve"> UNCDF</v>
      </c>
      <c r="AV211" s="10"/>
      <c r="AW211" s="10"/>
      <c r="AX211" s="10"/>
      <c r="AY211" s="10"/>
      <c r="AZ211" s="10"/>
      <c r="BA211" s="10"/>
      <c r="BB211" s="10"/>
      <c r="BC211" s="10"/>
      <c r="BD211" s="10"/>
      <c r="BE211" s="10"/>
      <c r="BF211" s="10"/>
      <c r="BG211" s="10"/>
      <c r="BH211" s="10"/>
      <c r="BI211" s="10"/>
      <c r="BJ211" s="10"/>
      <c r="BK211" s="10"/>
      <c r="BM211" s="10"/>
    </row>
    <row r="212" spans="1:65" ht="12.75">
      <c r="A212" s="18">
        <v>42634</v>
      </c>
      <c r="B212" s="20" t="s">
        <v>183</v>
      </c>
      <c r="C212" s="19">
        <v>2500000</v>
      </c>
      <c r="D212" s="19"/>
      <c r="E212" s="10" t="s">
        <v>91</v>
      </c>
      <c r="F212" s="14" t="s">
        <v>437</v>
      </c>
      <c r="G212" s="21" t="s">
        <v>522</v>
      </c>
      <c r="H212" s="14" t="str">
        <f t="array" ref="H212">IFERROR(INDEX([1]Companies!$G:$G,MATCH(B212,[1]Companies!$A:$A,0)),"")</f>
        <v>Kenya</v>
      </c>
      <c r="I212" s="14" t="str">
        <f t="shared" si="318"/>
        <v>Kenya</v>
      </c>
      <c r="J212" s="14" t="str">
        <f t="array" ref="J212">IFERROR(INDEX([1]Companies!$Y:$Y,MATCH(B212,[1]Companies!$A:$A,0)),"")</f>
        <v>Energy, Renewable Energy, Solar</v>
      </c>
      <c r="K212" s="14" t="str">
        <f t="array" ref="K212">IFERROR(INDEX([1]Companies!$X:$X,MATCH(B212,[1]Companies!$A:$A,0)),"")</f>
        <v>Energy &amp; Environment Resources</v>
      </c>
      <c r="L212" s="14" t="str">
        <f>VLOOKUP(B212,[1]Companies!$A$1:$C$5243,1,FALSE)</f>
        <v>d.light</v>
      </c>
      <c r="M212" s="15">
        <f t="shared" si="319"/>
        <v>0.9</v>
      </c>
      <c r="N212" s="10" t="str">
        <f t="shared" si="320"/>
        <v>42634d.light2500000</v>
      </c>
      <c r="O212" s="14" t="str">
        <f t="shared" si="321"/>
        <v/>
      </c>
      <c r="P212" s="14">
        <f t="shared" si="322"/>
        <v>1</v>
      </c>
      <c r="Q212" s="14">
        <f t="array" ref="Q212">IFERROR(INDEX([1]Companies!$D:$D,MATCH(B212,[1]Companies!$A:$A,0)),"")</f>
        <v>2007</v>
      </c>
      <c r="R212" s="17">
        <f t="shared" si="323"/>
        <v>167500000</v>
      </c>
      <c r="S212" s="14">
        <f>VLOOKUP(I212,[1]Lookups!$V$3:$Y$197,4,FALSE)</f>
        <v>0</v>
      </c>
      <c r="T212" s="14" t="str">
        <f>VLOOKUP(E212,[1]Lookups!$H$3:$I$71,2,FALSE)</f>
        <v>5. Debt Financing</v>
      </c>
      <c r="U212" s="14" t="e">
        <f>VLOOKUP(K212,[1]Lookups!$B$3:$C$142,2,FALSE)</f>
        <v>#N/A</v>
      </c>
      <c r="V212" s="14">
        <f t="shared" si="1"/>
        <v>2016</v>
      </c>
      <c r="W212" s="14">
        <f t="shared" si="2"/>
        <v>9</v>
      </c>
      <c r="X212" s="14">
        <f>VLOOKUP(W212,[1]Lookups!$P$3:$S$15,2,FALSE)</f>
        <v>3</v>
      </c>
      <c r="Y212" s="16">
        <f>VLOOKUP(W212,[1]Lookups!$P$3:$U$15,3,FALSE)</f>
        <v>2</v>
      </c>
      <c r="Z212" s="16">
        <f t="shared" si="3"/>
        <v>1</v>
      </c>
      <c r="AA212" s="16" t="str">
        <f t="shared" ca="1" si="324"/>
        <v>KawiSafi Ventures Fund</v>
      </c>
      <c r="AB212" s="16">
        <f t="shared" si="324"/>
        <v>0</v>
      </c>
      <c r="AC212" s="16">
        <f t="shared" si="324"/>
        <v>0</v>
      </c>
      <c r="AD212" s="16">
        <f t="shared" si="324"/>
        <v>0</v>
      </c>
      <c r="AE212" s="16">
        <f t="shared" si="324"/>
        <v>0</v>
      </c>
      <c r="AF212" s="16">
        <f t="shared" si="324"/>
        <v>0</v>
      </c>
      <c r="AG212" s="16">
        <f t="shared" si="324"/>
        <v>0</v>
      </c>
      <c r="AH212" s="16">
        <f t="shared" si="324"/>
        <v>0</v>
      </c>
      <c r="AI212" s="16">
        <f t="shared" si="324"/>
        <v>0</v>
      </c>
      <c r="AJ212" s="16">
        <f t="shared" si="324"/>
        <v>0</v>
      </c>
      <c r="AK212" s="16">
        <f t="shared" si="324"/>
        <v>0</v>
      </c>
      <c r="AL212" s="16">
        <f t="shared" si="324"/>
        <v>0</v>
      </c>
      <c r="AM212" s="16">
        <f t="shared" si="324"/>
        <v>0</v>
      </c>
      <c r="AN212" s="16">
        <f t="shared" si="324"/>
        <v>0</v>
      </c>
      <c r="AO212" s="16">
        <f t="shared" si="324"/>
        <v>0</v>
      </c>
      <c r="AP212" s="10"/>
      <c r="AQ212" s="10"/>
      <c r="AR212" s="10"/>
      <c r="AS212" s="10" t="str">
        <f t="shared" ref="AS212" ca="1" si="327">IFERROR(__xludf.DUMMYFUNCTION("split(F210,"","",true,true)"),"KawiSafi Ventures Fund")</f>
        <v>KawiSafi Ventures Fund</v>
      </c>
      <c r="AT212" s="10"/>
      <c r="AU212" s="10"/>
      <c r="AV212" s="10"/>
      <c r="AW212" s="10"/>
      <c r="AX212" s="10"/>
      <c r="AY212" s="10"/>
      <c r="AZ212" s="10"/>
      <c r="BA212" s="10"/>
      <c r="BB212" s="10"/>
      <c r="BC212" s="10"/>
      <c r="BD212" s="10"/>
      <c r="BE212" s="10"/>
      <c r="BF212" s="10"/>
      <c r="BG212" s="10"/>
      <c r="BH212" s="10"/>
      <c r="BI212" s="10"/>
      <c r="BJ212" s="10"/>
      <c r="BK212" s="10"/>
      <c r="BM212" s="10"/>
    </row>
    <row r="213" spans="1:65" ht="12.75">
      <c r="A213" s="18">
        <v>42634</v>
      </c>
      <c r="B213" s="14" t="s">
        <v>127</v>
      </c>
      <c r="C213" s="19">
        <v>1200000</v>
      </c>
      <c r="D213" s="19"/>
      <c r="E213" s="14" t="s">
        <v>69</v>
      </c>
      <c r="F213" s="20" t="s">
        <v>523</v>
      </c>
      <c r="G213" s="21" t="s">
        <v>524</v>
      </c>
      <c r="H213" s="14" t="str">
        <f t="array" ref="H213">IFERROR(INDEX([1]Companies!$G:$G,MATCH(B213,[1]Companies!$A:$A,0)),"")</f>
        <v>Nigeria</v>
      </c>
      <c r="I213" s="14" t="str">
        <f t="shared" si="318"/>
        <v>Nigeria</v>
      </c>
      <c r="J213" s="14" t="str">
        <f t="array" ref="J213">IFERROR(INDEX([1]Companies!$Y:$Y,MATCH(B213,[1]Companies!$A:$A,0)),"")</f>
        <v>E-Commerce, Internet, Real Estate</v>
      </c>
      <c r="K213" s="14" t="str">
        <f t="array" ref="K213">IFERROR(INDEX([1]Companies!$X:$X,MATCH(B213,[1]Companies!$A:$A,0)),"")</f>
        <v>Real Estate</v>
      </c>
      <c r="L213" s="14" t="str">
        <f>VLOOKUP(B213,[1]Companies!$A$1:$C$5243,1,FALSE)</f>
        <v>PropertyPro Nigeria</v>
      </c>
      <c r="M213" s="15">
        <f t="shared" si="319"/>
        <v>0.9</v>
      </c>
      <c r="N213" s="10" t="str">
        <f t="shared" si="320"/>
        <v>42634PropertyPro Nigeria1200000</v>
      </c>
      <c r="O213" s="14" t="str">
        <f t="shared" si="321"/>
        <v/>
      </c>
      <c r="P213" s="14">
        <f t="shared" si="322"/>
        <v>1</v>
      </c>
      <c r="Q213" s="14">
        <f t="array" ref="Q213">IFERROR(INDEX([1]Companies!$D:$D,MATCH(B213,[1]Companies!$A:$A,0)),"")</f>
        <v>2013</v>
      </c>
      <c r="R213" s="17">
        <f t="shared" si="323"/>
        <v>1440000</v>
      </c>
      <c r="S213" s="14">
        <f>VLOOKUP(I213,[1]Lookups!$V$3:$Y$197,4,FALSE)</f>
        <v>0</v>
      </c>
      <c r="T213" s="14" t="str">
        <f>VLOOKUP(E213,[1]Lookups!$H$3:$I$71,2,FALSE)</f>
        <v>3. Early Venture</v>
      </c>
      <c r="U213" s="14" t="str">
        <f>VLOOKUP(K213,[1]Lookups!$B$3:$C$142,2,FALSE)</f>
        <v>Construction &amp; Real Estate</v>
      </c>
      <c r="V213" s="14">
        <f t="shared" si="1"/>
        <v>2016</v>
      </c>
      <c r="W213" s="14">
        <f t="shared" si="2"/>
        <v>9</v>
      </c>
      <c r="X213" s="14">
        <f>VLOOKUP(W213,[1]Lookups!$P$3:$S$15,2,FALSE)</f>
        <v>3</v>
      </c>
      <c r="Y213" s="16">
        <f>VLOOKUP(W213,[1]Lookups!$P$3:$U$15,3,FALSE)</f>
        <v>2</v>
      </c>
      <c r="Z213" s="16">
        <f t="shared" si="3"/>
        <v>1</v>
      </c>
      <c r="AA213" s="16" t="str">
        <f t="shared" ca="1" si="324"/>
        <v>KawiSafi Ventures Fund</v>
      </c>
      <c r="AB213" s="16">
        <f t="shared" si="324"/>
        <v>0</v>
      </c>
      <c r="AC213" s="16">
        <f t="shared" si="324"/>
        <v>0</v>
      </c>
      <c r="AD213" s="16">
        <f t="shared" si="324"/>
        <v>0</v>
      </c>
      <c r="AE213" s="16">
        <f t="shared" si="324"/>
        <v>0</v>
      </c>
      <c r="AF213" s="16">
        <f t="shared" si="324"/>
        <v>0</v>
      </c>
      <c r="AG213" s="16">
        <f t="shared" si="324"/>
        <v>0</v>
      </c>
      <c r="AH213" s="16">
        <f t="shared" si="324"/>
        <v>0</v>
      </c>
      <c r="AI213" s="16">
        <f t="shared" si="324"/>
        <v>0</v>
      </c>
      <c r="AJ213" s="16">
        <f t="shared" si="324"/>
        <v>0</v>
      </c>
      <c r="AK213" s="16">
        <f t="shared" si="324"/>
        <v>0</v>
      </c>
      <c r="AL213" s="16">
        <f t="shared" si="324"/>
        <v>0</v>
      </c>
      <c r="AM213" s="16">
        <f t="shared" si="324"/>
        <v>0</v>
      </c>
      <c r="AN213" s="16">
        <f t="shared" si="324"/>
        <v>0</v>
      </c>
      <c r="AO213" s="16">
        <f t="shared" si="324"/>
        <v>0</v>
      </c>
      <c r="AP213" s="10"/>
      <c r="AQ213" s="10"/>
      <c r="AR213" s="10"/>
      <c r="AS213" s="10" t="str">
        <f t="shared" ref="AS213:AS214" ca="1" si="328">IFERROR(__xludf.DUMMYFUNCTION("split(F210,"","",true,true)"),"KawiSafi Ventures Fund")</f>
        <v>KawiSafi Ventures Fund</v>
      </c>
      <c r="AT213" s="10"/>
      <c r="AU213" s="10"/>
      <c r="AV213" s="10"/>
      <c r="AW213" s="10"/>
      <c r="AX213" s="10"/>
      <c r="AY213" s="10"/>
      <c r="AZ213" s="10"/>
      <c r="BA213" s="10"/>
      <c r="BB213" s="10"/>
      <c r="BC213" s="10"/>
      <c r="BD213" s="10"/>
      <c r="BE213" s="10"/>
      <c r="BF213" s="10"/>
      <c r="BG213" s="10"/>
      <c r="BH213" s="10"/>
      <c r="BI213" s="10"/>
      <c r="BJ213" s="10"/>
      <c r="BK213" s="10"/>
      <c r="BM213" s="10"/>
    </row>
    <row r="214" spans="1:65" ht="12.75">
      <c r="A214" s="9">
        <v>42634</v>
      </c>
      <c r="B214" s="10" t="s">
        <v>525</v>
      </c>
      <c r="C214" s="11" t="s">
        <v>49</v>
      </c>
      <c r="D214" s="12"/>
      <c r="E214" s="10" t="s">
        <v>45</v>
      </c>
      <c r="F214" s="10" t="s">
        <v>49</v>
      </c>
      <c r="G214" s="13" t="s">
        <v>526</v>
      </c>
      <c r="H214" s="14"/>
      <c r="I214" s="14"/>
      <c r="J214" s="14"/>
      <c r="K214" s="14"/>
      <c r="L214" s="14"/>
      <c r="M214" s="15"/>
      <c r="N214" s="10"/>
      <c r="O214" s="14"/>
      <c r="P214" s="14"/>
      <c r="Q214" s="14"/>
      <c r="R214" s="14"/>
      <c r="S214" s="14"/>
      <c r="T214" s="14"/>
      <c r="U214" s="14"/>
      <c r="V214" s="14">
        <f t="shared" si="1"/>
        <v>2016</v>
      </c>
      <c r="W214" s="14">
        <f t="shared" si="2"/>
        <v>9</v>
      </c>
      <c r="X214" s="14">
        <f>VLOOKUP(W214,[1]Lookups!$P$3:$S$15,2,FALSE)</f>
        <v>3</v>
      </c>
      <c r="Y214" s="16">
        <f>VLOOKUP(W214,[1]Lookups!$P$3:$U$15,3,FALSE)</f>
        <v>2</v>
      </c>
      <c r="Z214" s="16">
        <f t="shared" si="3"/>
        <v>1</v>
      </c>
      <c r="AA214" s="16" t="str">
        <f t="shared" ca="1" si="324"/>
        <v>KawiSafi Ventures Fund</v>
      </c>
      <c r="AB214" s="16">
        <f t="shared" si="324"/>
        <v>0</v>
      </c>
      <c r="AC214" s="16">
        <f t="shared" si="324"/>
        <v>0</v>
      </c>
      <c r="AD214" s="16">
        <f t="shared" si="324"/>
        <v>0</v>
      </c>
      <c r="AE214" s="16">
        <f t="shared" si="324"/>
        <v>0</v>
      </c>
      <c r="AF214" s="16">
        <f t="shared" si="324"/>
        <v>0</v>
      </c>
      <c r="AG214" s="16">
        <f t="shared" si="324"/>
        <v>0</v>
      </c>
      <c r="AH214" s="16">
        <f t="shared" si="324"/>
        <v>0</v>
      </c>
      <c r="AI214" s="16">
        <f t="shared" si="324"/>
        <v>0</v>
      </c>
      <c r="AJ214" s="16">
        <f t="shared" si="324"/>
        <v>0</v>
      </c>
      <c r="AK214" s="16">
        <f t="shared" si="324"/>
        <v>0</v>
      </c>
      <c r="AL214" s="16">
        <f t="shared" si="324"/>
        <v>0</v>
      </c>
      <c r="AM214" s="16">
        <f t="shared" si="324"/>
        <v>0</v>
      </c>
      <c r="AN214" s="16">
        <f t="shared" si="324"/>
        <v>0</v>
      </c>
      <c r="AO214" s="16">
        <f t="shared" si="324"/>
        <v>0</v>
      </c>
      <c r="AP214" s="10"/>
      <c r="AQ214" s="10"/>
      <c r="AR214" s="10"/>
      <c r="AS214" s="10" t="str">
        <f t="shared" ca="1" si="328"/>
        <v>KawiSafi Ventures Fund</v>
      </c>
      <c r="AT214" s="10"/>
      <c r="AU214" s="10"/>
      <c r="AV214" s="10"/>
      <c r="AW214" s="10"/>
      <c r="AX214" s="10"/>
      <c r="AY214" s="10"/>
      <c r="AZ214" s="10"/>
      <c r="BA214" s="10"/>
      <c r="BB214" s="10"/>
      <c r="BC214" s="10"/>
      <c r="BD214" s="10"/>
      <c r="BE214" s="10"/>
      <c r="BF214" s="10"/>
      <c r="BG214" s="10"/>
      <c r="BH214" s="10"/>
      <c r="BI214" s="10"/>
      <c r="BJ214" s="10"/>
      <c r="BK214" s="10"/>
      <c r="BM214" s="10"/>
    </row>
    <row r="215" spans="1:65" ht="12.75">
      <c r="A215" s="18">
        <v>42635</v>
      </c>
      <c r="B215" s="14" t="s">
        <v>527</v>
      </c>
      <c r="C215" s="19">
        <v>1000000</v>
      </c>
      <c r="D215" s="19"/>
      <c r="E215" s="14" t="s">
        <v>55</v>
      </c>
      <c r="F215" s="20" t="s">
        <v>528</v>
      </c>
      <c r="G215" s="13" t="s">
        <v>529</v>
      </c>
      <c r="H215" s="14"/>
      <c r="I215" s="14"/>
      <c r="J215" s="14"/>
      <c r="K215" s="14"/>
      <c r="L215" s="14"/>
      <c r="M215" s="15"/>
      <c r="N215" s="10"/>
      <c r="O215" s="14"/>
      <c r="P215" s="14"/>
      <c r="Q215" s="14"/>
      <c r="R215" s="17"/>
      <c r="S215" s="14"/>
      <c r="T215" s="14"/>
      <c r="U215" s="14"/>
      <c r="V215" s="14">
        <f t="shared" si="1"/>
        <v>2016</v>
      </c>
      <c r="W215" s="14">
        <f t="shared" si="2"/>
        <v>9</v>
      </c>
      <c r="X215" s="14">
        <f>VLOOKUP(W215,[1]Lookups!$P$3:$S$15,2,FALSE)</f>
        <v>3</v>
      </c>
      <c r="Y215" s="16">
        <f>VLOOKUP(W215,[1]Lookups!$P$3:$U$15,3,FALSE)</f>
        <v>2</v>
      </c>
      <c r="Z215" s="16">
        <f t="shared" si="3"/>
        <v>1</v>
      </c>
      <c r="AA215" s="16"/>
      <c r="AB215" s="16"/>
      <c r="AC215" s="16"/>
      <c r="AD215" s="16"/>
      <c r="AE215" s="16"/>
      <c r="AF215" s="16"/>
      <c r="AG215" s="16"/>
      <c r="AH215" s="16"/>
      <c r="AI215" s="16"/>
      <c r="AJ215" s="16"/>
      <c r="AK215" s="16"/>
      <c r="AL215" s="16"/>
      <c r="AM215" s="16"/>
      <c r="AN215" s="16"/>
      <c r="AO215" s="16"/>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M215" s="10"/>
    </row>
    <row r="216" spans="1:65" ht="12.75">
      <c r="A216" s="18">
        <v>42636</v>
      </c>
      <c r="B216" s="14" t="s">
        <v>530</v>
      </c>
      <c r="C216" s="19">
        <v>60000</v>
      </c>
      <c r="D216" s="19"/>
      <c r="E216" s="14" t="s">
        <v>234</v>
      </c>
      <c r="F216" s="14" t="s">
        <v>531</v>
      </c>
      <c r="G216" s="21" t="s">
        <v>532</v>
      </c>
      <c r="H216" s="14" t="str">
        <f t="array" ref="H216">IFERROR(INDEX([1]Companies!$G:$G,MATCH(B216,[1]Companies!$A:$A,0)),"")</f>
        <v>South Africa</v>
      </c>
      <c r="I216" s="14" t="str">
        <f t="shared" ref="I216:I241" si="329">IF(LEN(TRIM(H216))-LEN(SUBSTITUTE(TRIM(H216),",","")) &gt; 0,TRIM(RIGHT(H216,LEN(H216)-FIND(",",H216))),H216)</f>
        <v>South Africa</v>
      </c>
      <c r="J216" s="14" t="str">
        <f t="array" ref="J216">IFERROR(INDEX([1]Companies!$Y:$Y,MATCH(B216,[1]Companies!$A:$A,0)),"")</f>
        <v>Solar Energy Project Financing, Solar Power, Blockchain, Internet of Things, Ethereum Smart Contracts, Bitcoin</v>
      </c>
      <c r="K216" s="14" t="str">
        <f t="array" ref="K216">IFERROR(INDEX([1]Companies!$X:$X,MATCH(B216,[1]Companies!$A:$A,0)),"")</f>
        <v>Financial Services</v>
      </c>
      <c r="L216" s="14" t="str">
        <f>VLOOKUP(B216,[1]Companies!$A$1:$C$5243,1,FALSE)</f>
        <v xml:space="preserve">The Sun Exchange </v>
      </c>
      <c r="M216" s="15">
        <f t="shared" ref="M216:M241" si="330">COUNTA(B216:K216)/(COUNTBLANK(B216:K216) + COUNTA(B216:K216))</f>
        <v>0.9</v>
      </c>
      <c r="N216" s="10" t="str">
        <f t="shared" ref="N216:N225" si="331">CONCATENATE(A216,B216,C216)</f>
        <v>42636The Sun Exchange 60000</v>
      </c>
      <c r="O216" s="14" t="str">
        <f t="shared" ref="O216:O225" si="332">IF(A216 = "","",IF(COUNTIF(N:N,CONCATENATE(A216,B216,C216))&gt;1,"Duplicated",""))</f>
        <v/>
      </c>
      <c r="P216" s="14">
        <f t="shared" ref="P216:P225" si="333">IF(C216="Undisclosed",0,1)</f>
        <v>1</v>
      </c>
      <c r="Q216" s="14">
        <f t="array" ref="Q216">IFERROR(INDEX([1]Companies!$D:$D,MATCH(B216,[1]Companies!$A:$A,0)),"")</f>
        <v>2015</v>
      </c>
      <c r="R216" s="17">
        <f t="shared" ref="R216:R225" si="334">SUMIF(B:B,B216,C:C)</f>
        <v>3920000</v>
      </c>
      <c r="S216" s="14">
        <f>VLOOKUP(I216,[1]Lookups!$V$3:$Y$197,4,FALSE)</f>
        <v>0</v>
      </c>
      <c r="T216" s="14" t="str">
        <f>VLOOKUP(E216,[1]Lookups!$H$3:$I$71,2,FALSE)</f>
        <v>2. Seed</v>
      </c>
      <c r="U216" s="14" t="str">
        <f>VLOOKUP(K216,[1]Lookups!$B$3:$C$142,2,FALSE)</f>
        <v>Financial Services</v>
      </c>
      <c r="V216" s="14">
        <f t="shared" si="1"/>
        <v>2016</v>
      </c>
      <c r="W216" s="14">
        <f t="shared" si="2"/>
        <v>9</v>
      </c>
      <c r="X216" s="14">
        <f>VLOOKUP(W216,[1]Lookups!$P$3:$S$15,2,FALSE)</f>
        <v>3</v>
      </c>
      <c r="Y216" s="16">
        <f>VLOOKUP(W216,[1]Lookups!$P$3:$U$15,3,FALSE)</f>
        <v>2</v>
      </c>
      <c r="Z216" s="16">
        <f t="shared" si="3"/>
        <v>1</v>
      </c>
      <c r="AA216" s="16" t="str">
        <f t="shared" ref="AA216:AO231" ca="1" si="335">AS216</f>
        <v xml:space="preserve"> BoostVC</v>
      </c>
      <c r="AB216" s="16">
        <f t="shared" si="335"/>
        <v>0</v>
      </c>
      <c r="AC216" s="16">
        <f t="shared" si="335"/>
        <v>0</v>
      </c>
      <c r="AD216" s="16">
        <f t="shared" si="335"/>
        <v>0</v>
      </c>
      <c r="AE216" s="16">
        <f t="shared" si="335"/>
        <v>0</v>
      </c>
      <c r="AF216" s="16">
        <f t="shared" si="335"/>
        <v>0</v>
      </c>
      <c r="AG216" s="16">
        <f t="shared" si="335"/>
        <v>0</v>
      </c>
      <c r="AH216" s="16">
        <f t="shared" si="335"/>
        <v>0</v>
      </c>
      <c r="AI216" s="16">
        <f t="shared" si="335"/>
        <v>0</v>
      </c>
      <c r="AJ216" s="16">
        <f t="shared" si="335"/>
        <v>0</v>
      </c>
      <c r="AK216" s="16">
        <f t="shared" si="335"/>
        <v>0</v>
      </c>
      <c r="AL216" s="16">
        <f t="shared" si="335"/>
        <v>0</v>
      </c>
      <c r="AM216" s="16">
        <f t="shared" si="335"/>
        <v>0</v>
      </c>
      <c r="AN216" s="16">
        <f t="shared" si="335"/>
        <v>0</v>
      </c>
      <c r="AO216" s="16">
        <f t="shared" si="335"/>
        <v>0</v>
      </c>
      <c r="AP216" s="10"/>
      <c r="AQ216" s="10"/>
      <c r="AR216" s="10"/>
      <c r="AS216" s="10" t="str">
        <f t="shared" ref="AS216" ca="1" si="336">IFERROR(__xludf.DUMMYFUNCTION("split(F216,"","",true,true)")," BoostVC")</f>
        <v xml:space="preserve"> BoostVC</v>
      </c>
      <c r="AT216" s="10"/>
      <c r="AU216" s="10"/>
      <c r="AV216" s="10"/>
      <c r="AW216" s="10"/>
      <c r="AX216" s="10"/>
      <c r="AY216" s="10"/>
      <c r="AZ216" s="10"/>
      <c r="BA216" s="10"/>
      <c r="BB216" s="10"/>
      <c r="BC216" s="10"/>
      <c r="BD216" s="10"/>
      <c r="BE216" s="10"/>
      <c r="BF216" s="10"/>
      <c r="BG216" s="10"/>
      <c r="BH216" s="10"/>
      <c r="BI216" s="10"/>
      <c r="BJ216" s="10"/>
      <c r="BK216" s="10"/>
      <c r="BM216" s="10"/>
    </row>
    <row r="217" spans="1:65" ht="12.75">
      <c r="A217" s="18">
        <v>42641</v>
      </c>
      <c r="B217" s="14" t="s">
        <v>533</v>
      </c>
      <c r="C217" s="19" t="s">
        <v>49</v>
      </c>
      <c r="D217" s="22"/>
      <c r="E217" s="14" t="s">
        <v>45</v>
      </c>
      <c r="F217" s="14" t="s">
        <v>534</v>
      </c>
      <c r="G217" s="21" t="s">
        <v>535</v>
      </c>
      <c r="H217" s="14" t="str">
        <f t="array" ref="H217">IFERROR(INDEX([1]Companies!$G:$G,MATCH(B217,[1]Companies!$A:$A,0)),"")</f>
        <v>Kenya</v>
      </c>
      <c r="I217" s="14" t="str">
        <f t="shared" si="329"/>
        <v>Kenya</v>
      </c>
      <c r="J217" s="14" t="str">
        <f t="array" ref="J217">IFERROR(INDEX([1]Companies!$Y:$Y,MATCH(B217,[1]Companies!$A:$A,0)),"")</f>
        <v>Agriculture, Farmers Market, Financial Services, Machine Learning</v>
      </c>
      <c r="K217" s="14" t="str">
        <f t="array" ref="K217">IFERROR(INDEX([1]Companies!$X:$X,MATCH(B217,[1]Companies!$A:$A,0)),"")</f>
        <v>Agriculture</v>
      </c>
      <c r="L217" s="14" t="str">
        <f>VLOOKUP(B217,[1]Companies!$A$1:$C$5243,1,FALSE)</f>
        <v>Apollo Agriculture</v>
      </c>
      <c r="M217" s="15">
        <f t="shared" si="330"/>
        <v>0.9</v>
      </c>
      <c r="N217" s="10" t="str">
        <f t="shared" si="331"/>
        <v>42641Apollo AgricultureUndisclosed</v>
      </c>
      <c r="O217" s="14" t="str">
        <f t="shared" si="332"/>
        <v/>
      </c>
      <c r="P217" s="14">
        <f t="shared" si="333"/>
        <v>0</v>
      </c>
      <c r="Q217" s="14">
        <f t="array" ref="Q217">IFERROR(INDEX([1]Companies!$D:$D,MATCH(B217,[1]Companies!$A:$A,0)),"")</f>
        <v>2015</v>
      </c>
      <c r="R217" s="17">
        <f t="shared" si="334"/>
        <v>1600000</v>
      </c>
      <c r="S217" s="14">
        <f>VLOOKUP(I217,[1]Lookups!$V$3:$Y$197,4,FALSE)</f>
        <v>0</v>
      </c>
      <c r="T217" s="14" t="str">
        <f>VLOOKUP(E217,[1]Lookups!$H$3:$I$71,2,FALSE)</f>
        <v>2. Seed</v>
      </c>
      <c r="U217" s="14" t="str">
        <f>VLOOKUP(K217,[1]Lookups!$B$3:$C$142,2,FALSE)</f>
        <v>Agriculture</v>
      </c>
      <c r="V217" s="14">
        <f t="shared" si="1"/>
        <v>2016</v>
      </c>
      <c r="W217" s="14">
        <f t="shared" si="2"/>
        <v>9</v>
      </c>
      <c r="X217" s="14">
        <f>VLOOKUP(W217,[1]Lookups!$P$3:$S$15,2,FALSE)</f>
        <v>3</v>
      </c>
      <c r="Y217" s="16">
        <f>VLOOKUP(W217,[1]Lookups!$P$3:$U$15,3,FALSE)</f>
        <v>2</v>
      </c>
      <c r="Z217" s="16">
        <f t="shared" si="3"/>
        <v>3</v>
      </c>
      <c r="AA217" s="16" t="str">
        <f t="shared" ca="1" si="335"/>
        <v xml:space="preserve"> BoostVC</v>
      </c>
      <c r="AB217" s="16" t="str">
        <f t="shared" ca="1" si="335"/>
        <v xml:space="preserve"> Factor E Ventures</v>
      </c>
      <c r="AC217" s="16" t="str">
        <f t="shared" ca="1" si="335"/>
        <v xml:space="preserve"> Accion Venture Lab</v>
      </c>
      <c r="AD217" s="16">
        <f t="shared" si="335"/>
        <v>0</v>
      </c>
      <c r="AE217" s="16">
        <f t="shared" si="335"/>
        <v>0</v>
      </c>
      <c r="AF217" s="16">
        <f t="shared" si="335"/>
        <v>0</v>
      </c>
      <c r="AG217" s="16">
        <f t="shared" si="335"/>
        <v>0</v>
      </c>
      <c r="AH217" s="16">
        <f t="shared" si="335"/>
        <v>0</v>
      </c>
      <c r="AI217" s="16">
        <f t="shared" si="335"/>
        <v>0</v>
      </c>
      <c r="AJ217" s="16">
        <f t="shared" si="335"/>
        <v>0</v>
      </c>
      <c r="AK217" s="16">
        <f t="shared" si="335"/>
        <v>0</v>
      </c>
      <c r="AL217" s="16">
        <f t="shared" si="335"/>
        <v>0</v>
      </c>
      <c r="AM217" s="16">
        <f t="shared" si="335"/>
        <v>0</v>
      </c>
      <c r="AN217" s="16">
        <f t="shared" si="335"/>
        <v>0</v>
      </c>
      <c r="AO217" s="16">
        <f t="shared" si="335"/>
        <v>0</v>
      </c>
      <c r="AP217" s="10"/>
      <c r="AQ217" s="10"/>
      <c r="AR217" s="10"/>
      <c r="AS217" s="10" t="str">
        <f t="shared" ref="AS217" ca="1" si="337">IFERROR(__xludf.DUMMYFUNCTION("split(F216,"","",true,true)")," BoostVC")</f>
        <v xml:space="preserve"> BoostVC</v>
      </c>
      <c r="AT217" s="10" t="str">
        <f ca="1">IFERROR(__xludf.DUMMYFUNCTION("""COMPUTED_VALUE""")," Factor E Ventures")</f>
        <v xml:space="preserve"> Factor E Ventures</v>
      </c>
      <c r="AU217" s="10" t="str">
        <f ca="1">IFERROR(__xludf.DUMMYFUNCTION("""COMPUTED_VALUE""")," Accion Venture Lab")</f>
        <v xml:space="preserve"> Accion Venture Lab</v>
      </c>
      <c r="AV217" s="10"/>
      <c r="AW217" s="10"/>
      <c r="AX217" s="10"/>
      <c r="AY217" s="10"/>
      <c r="AZ217" s="10"/>
      <c r="BA217" s="10"/>
      <c r="BB217" s="10"/>
      <c r="BC217" s="10"/>
      <c r="BD217" s="10"/>
      <c r="BE217" s="10"/>
      <c r="BF217" s="10"/>
      <c r="BG217" s="10"/>
      <c r="BH217" s="10"/>
      <c r="BI217" s="10"/>
      <c r="BJ217" s="10"/>
      <c r="BK217" s="10"/>
      <c r="BM217" s="10"/>
    </row>
    <row r="218" spans="1:65" ht="12.75">
      <c r="A218" s="18">
        <v>42641</v>
      </c>
      <c r="B218" s="14" t="s">
        <v>536</v>
      </c>
      <c r="C218" s="19">
        <v>4100000</v>
      </c>
      <c r="D218" s="19"/>
      <c r="E218" s="10" t="s">
        <v>91</v>
      </c>
      <c r="F218" s="20" t="s">
        <v>537</v>
      </c>
      <c r="G218" s="21" t="s">
        <v>538</v>
      </c>
      <c r="H218" s="14" t="str">
        <f t="array" ref="H218">IFERROR(INDEX([1]Companies!$G:$G,MATCH(B218,[1]Companies!$A:$A,0)),"")</f>
        <v>Kenya</v>
      </c>
      <c r="I218" s="14" t="str">
        <f t="shared" si="329"/>
        <v>Kenya</v>
      </c>
      <c r="J218" s="14" t="str">
        <f t="array" ref="J218">IFERROR(INDEX([1]Companies!$Y:$Y,MATCH(B218,[1]Companies!$A:$A,0)),"")</f>
        <v>ISP, Telecommunications, Wireless</v>
      </c>
      <c r="K218" s="14" t="str">
        <f t="array" ref="K218">IFERROR(INDEX([1]Companies!$X:$X,MATCH(B218,[1]Companies!$A:$A,0)),"")</f>
        <v>Information Technology</v>
      </c>
      <c r="L218" s="14" t="str">
        <f>VLOOKUP(B218,[1]Companies!$A$1:$C$5243,1,FALSE)</f>
        <v>Mawingu Networks</v>
      </c>
      <c r="M218" s="15">
        <f t="shared" si="330"/>
        <v>0.9</v>
      </c>
      <c r="N218" s="10" t="str">
        <f t="shared" si="331"/>
        <v>42641Mawingu Networks4100000</v>
      </c>
      <c r="O218" s="14" t="str">
        <f t="shared" si="332"/>
        <v/>
      </c>
      <c r="P218" s="14">
        <f t="shared" si="333"/>
        <v>1</v>
      </c>
      <c r="Q218" s="14">
        <f t="array" ref="Q218">IFERROR(INDEX([1]Companies!$D:$D,MATCH(B218,[1]Companies!$A:$A,0)),"")</f>
        <v>2013</v>
      </c>
      <c r="R218" s="17">
        <f t="shared" si="334"/>
        <v>4100000</v>
      </c>
      <c r="S218" s="14">
        <f>VLOOKUP(I218,[1]Lookups!$V$3:$Y$197,4,FALSE)</f>
        <v>0</v>
      </c>
      <c r="T218" s="14" t="str">
        <f>VLOOKUP(E218,[1]Lookups!$H$3:$I$71,2,FALSE)</f>
        <v>5. Debt Financing</v>
      </c>
      <c r="U218" s="14" t="str">
        <f>VLOOKUP(K218,[1]Lookups!$B$3:$C$142,2,FALSE)</f>
        <v>Other Technologies &amp; Information Technology</v>
      </c>
      <c r="V218" s="14">
        <f t="shared" si="1"/>
        <v>2016</v>
      </c>
      <c r="W218" s="14">
        <f t="shared" si="2"/>
        <v>9</v>
      </c>
      <c r="X218" s="14">
        <f>VLOOKUP(W218,[1]Lookups!$P$3:$S$15,2,FALSE)</f>
        <v>3</v>
      </c>
      <c r="Y218" s="16">
        <f>VLOOKUP(W218,[1]Lookups!$P$3:$U$15,3,FALSE)</f>
        <v>2</v>
      </c>
      <c r="Z218" s="16">
        <f t="shared" si="3"/>
        <v>1</v>
      </c>
      <c r="AA218" s="16" t="str">
        <f t="shared" ca="1" si="335"/>
        <v xml:space="preserve"> BoostVC</v>
      </c>
      <c r="AB218" s="16">
        <f t="shared" si="335"/>
        <v>0</v>
      </c>
      <c r="AC218" s="16">
        <f t="shared" si="335"/>
        <v>0</v>
      </c>
      <c r="AD218" s="16">
        <f t="shared" si="335"/>
        <v>0</v>
      </c>
      <c r="AE218" s="16">
        <f t="shared" si="335"/>
        <v>0</v>
      </c>
      <c r="AF218" s="16">
        <f t="shared" si="335"/>
        <v>0</v>
      </c>
      <c r="AG218" s="16">
        <f t="shared" si="335"/>
        <v>0</v>
      </c>
      <c r="AH218" s="16">
        <f t="shared" si="335"/>
        <v>0</v>
      </c>
      <c r="AI218" s="16">
        <f t="shared" si="335"/>
        <v>0</v>
      </c>
      <c r="AJ218" s="16">
        <f t="shared" si="335"/>
        <v>0</v>
      </c>
      <c r="AK218" s="16">
        <f t="shared" si="335"/>
        <v>0</v>
      </c>
      <c r="AL218" s="16">
        <f t="shared" si="335"/>
        <v>0</v>
      </c>
      <c r="AM218" s="16">
        <f t="shared" si="335"/>
        <v>0</v>
      </c>
      <c r="AN218" s="16">
        <f t="shared" si="335"/>
        <v>0</v>
      </c>
      <c r="AO218" s="16">
        <f t="shared" si="335"/>
        <v>0</v>
      </c>
      <c r="AP218" s="10"/>
      <c r="AQ218" s="10"/>
      <c r="AR218" s="10"/>
      <c r="AS218" s="10" t="str">
        <f t="shared" ref="AS218" ca="1" si="338">IFERROR(__xludf.DUMMYFUNCTION("split(F216,"","",true,true)")," BoostVC")</f>
        <v xml:space="preserve"> BoostVC</v>
      </c>
      <c r="AT218" s="10"/>
      <c r="AU218" s="10"/>
      <c r="AV218" s="10"/>
      <c r="AW218" s="10"/>
      <c r="AX218" s="10"/>
      <c r="AY218" s="10"/>
      <c r="AZ218" s="10"/>
      <c r="BA218" s="10"/>
      <c r="BB218" s="10"/>
      <c r="BC218" s="10"/>
      <c r="BD218" s="10"/>
      <c r="BE218" s="10"/>
      <c r="BF218" s="10"/>
      <c r="BG218" s="10"/>
      <c r="BH218" s="10"/>
      <c r="BI218" s="10"/>
      <c r="BJ218" s="10"/>
      <c r="BK218" s="10"/>
      <c r="BM218" s="10"/>
    </row>
    <row r="219" spans="1:65" ht="12.75">
      <c r="A219" s="9">
        <v>42642</v>
      </c>
      <c r="B219" s="10" t="s">
        <v>68</v>
      </c>
      <c r="C219" s="11">
        <v>6300000</v>
      </c>
      <c r="D219" s="12"/>
      <c r="E219" s="10" t="s">
        <v>328</v>
      </c>
      <c r="F219" s="10" t="s">
        <v>49</v>
      </c>
      <c r="G219" s="13" t="s">
        <v>539</v>
      </c>
      <c r="H219" s="14" t="str">
        <f t="array" ref="H219">IFERROR(INDEX([1]Companies!$G:$G,MATCH(B219,[1]Companies!$A:$A,0)),"")</f>
        <v>Kenya</v>
      </c>
      <c r="I219" s="14" t="str">
        <f t="shared" si="329"/>
        <v>Kenya</v>
      </c>
      <c r="J219" s="14" t="str">
        <f t="array" ref="J219">IFERROR(INDEX([1]Companies!$Y:$Y,MATCH(B219,[1]Companies!$A:$A,0)),"")</f>
        <v>Energy, Financial Services, Mobile</v>
      </c>
      <c r="K219" s="14" t="str">
        <f t="array" ref="K219">IFERROR(INDEX([1]Companies!$X:$X,MATCH(B219,[1]Companies!$A:$A,0)),"")</f>
        <v>Energy &amp; Environment Resources</v>
      </c>
      <c r="L219" s="14" t="str">
        <f>VLOOKUP(B219,[1]Companies!$A$1:$C$5243,1,FALSE)</f>
        <v>M-Kopa</v>
      </c>
      <c r="M219" s="15">
        <f t="shared" si="330"/>
        <v>0.9</v>
      </c>
      <c r="N219" s="10" t="str">
        <f t="shared" si="331"/>
        <v>42642M-KOPA6300000</v>
      </c>
      <c r="O219" s="14" t="str">
        <f t="shared" si="332"/>
        <v/>
      </c>
      <c r="P219" s="14">
        <f t="shared" si="333"/>
        <v>1</v>
      </c>
      <c r="Q219" s="14">
        <f t="array" ref="Q219">IFERROR(INDEX([1]Companies!$D:$D,MATCH(B219,[1]Companies!$A:$A,0)),"")</f>
        <v>2011</v>
      </c>
      <c r="R219" s="17">
        <f t="shared" si="334"/>
        <v>161800000</v>
      </c>
      <c r="S219" s="14">
        <f>VLOOKUP(I219,[1]Lookups!$V$3:$Y$197,4,FALSE)</f>
        <v>0</v>
      </c>
      <c r="T219" s="14" t="str">
        <f>VLOOKUP(E219,[1]Lookups!$H$3:$I$71,2,FALSE)</f>
        <v>4. Late Venture</v>
      </c>
      <c r="U219" s="14" t="e">
        <f>VLOOKUP(K219,[1]Lookups!$B$3:$C$142,2,FALSE)</f>
        <v>#N/A</v>
      </c>
      <c r="V219" s="14">
        <f t="shared" si="1"/>
        <v>2016</v>
      </c>
      <c r="W219" s="14">
        <f t="shared" si="2"/>
        <v>9</v>
      </c>
      <c r="X219" s="14">
        <f>VLOOKUP(W219,[1]Lookups!$P$3:$S$15,2,FALSE)</f>
        <v>3</v>
      </c>
      <c r="Y219" s="16">
        <f>VLOOKUP(W219,[1]Lookups!$P$3:$U$15,3,FALSE)</f>
        <v>2</v>
      </c>
      <c r="Z219" s="16">
        <f t="shared" si="3"/>
        <v>1</v>
      </c>
      <c r="AA219" s="16" t="str">
        <f t="shared" ca="1" si="335"/>
        <v xml:space="preserve"> BoostVC</v>
      </c>
      <c r="AB219" s="16">
        <f t="shared" si="335"/>
        <v>0</v>
      </c>
      <c r="AC219" s="16">
        <f t="shared" si="335"/>
        <v>0</v>
      </c>
      <c r="AD219" s="16">
        <f t="shared" si="335"/>
        <v>0</v>
      </c>
      <c r="AE219" s="16">
        <f t="shared" si="335"/>
        <v>0</v>
      </c>
      <c r="AF219" s="16">
        <f t="shared" si="335"/>
        <v>0</v>
      </c>
      <c r="AG219" s="16">
        <f t="shared" si="335"/>
        <v>0</v>
      </c>
      <c r="AH219" s="16">
        <f t="shared" si="335"/>
        <v>0</v>
      </c>
      <c r="AI219" s="16">
        <f t="shared" si="335"/>
        <v>0</v>
      </c>
      <c r="AJ219" s="16">
        <f t="shared" si="335"/>
        <v>0</v>
      </c>
      <c r="AK219" s="16">
        <f t="shared" si="335"/>
        <v>0</v>
      </c>
      <c r="AL219" s="16">
        <f t="shared" si="335"/>
        <v>0</v>
      </c>
      <c r="AM219" s="16">
        <f t="shared" si="335"/>
        <v>0</v>
      </c>
      <c r="AN219" s="16">
        <f t="shared" si="335"/>
        <v>0</v>
      </c>
      <c r="AO219" s="16">
        <f t="shared" si="335"/>
        <v>0</v>
      </c>
      <c r="AP219" s="10"/>
      <c r="AQ219" s="10"/>
      <c r="AR219" s="10"/>
      <c r="AS219" s="10" t="str">
        <f t="shared" ref="AS219" ca="1" si="339">IFERROR(__xludf.DUMMYFUNCTION("split(F216,"","",true,true)")," BoostVC")</f>
        <v xml:space="preserve"> BoostVC</v>
      </c>
      <c r="AT219" s="10"/>
      <c r="AU219" s="10"/>
      <c r="AV219" s="10"/>
      <c r="AW219" s="10"/>
      <c r="AX219" s="10"/>
      <c r="AY219" s="10"/>
      <c r="AZ219" s="10"/>
      <c r="BA219" s="10"/>
      <c r="BB219" s="10"/>
      <c r="BC219" s="10"/>
      <c r="BD219" s="10"/>
      <c r="BE219" s="10"/>
      <c r="BF219" s="10"/>
      <c r="BG219" s="10"/>
      <c r="BH219" s="10"/>
      <c r="BI219" s="10"/>
      <c r="BJ219" s="10"/>
      <c r="BK219" s="10"/>
      <c r="BM219" s="10"/>
    </row>
    <row r="220" spans="1:65" ht="12.75">
      <c r="A220" s="18">
        <v>42643</v>
      </c>
      <c r="B220" s="14" t="s">
        <v>540</v>
      </c>
      <c r="C220" s="19">
        <v>750000</v>
      </c>
      <c r="D220" s="19"/>
      <c r="E220" s="14" t="s">
        <v>45</v>
      </c>
      <c r="F220" s="14" t="s">
        <v>541</v>
      </c>
      <c r="G220" s="13" t="s">
        <v>542</v>
      </c>
      <c r="H220" s="14" t="str">
        <f t="array" ref="H220">IFERROR(INDEX([1]Companies!$G:$G,MATCH(B220,[1]Companies!$A:$A,0)),"")</f>
        <v>Tanzania</v>
      </c>
      <c r="I220" s="14" t="str">
        <f t="shared" si="329"/>
        <v>Tanzania</v>
      </c>
      <c r="J220" s="14" t="str">
        <f t="array" ref="J220">IFERROR(INDEX([1]Companies!$Y:$Y,MATCH(B220,[1]Companies!$A:$A,0)),"")</f>
        <v>Health Insurance</v>
      </c>
      <c r="K220" s="14" t="str">
        <f t="array" ref="K220">IFERROR(INDEX([1]Companies!$X:$X,MATCH(B220,[1]Companies!$A:$A,0)),"")</f>
        <v>Financial Services</v>
      </c>
      <c r="L220" s="14" t="str">
        <f>VLOOKUP(B220,[1]Companies!$A$1:$C$5243,1,FALSE)</f>
        <v>Jamii Africa</v>
      </c>
      <c r="M220" s="15">
        <f t="shared" si="330"/>
        <v>0.9</v>
      </c>
      <c r="N220" s="10" t="str">
        <f t="shared" si="331"/>
        <v>42643Jamii Africa750000</v>
      </c>
      <c r="O220" s="14" t="str">
        <f t="shared" si="332"/>
        <v/>
      </c>
      <c r="P220" s="14">
        <f t="shared" si="333"/>
        <v>1</v>
      </c>
      <c r="Q220" s="14">
        <f t="array" ref="Q220">IFERROR(INDEX([1]Companies!$D:$D,MATCH(B220,[1]Companies!$A:$A,0)),"")</f>
        <v>2016</v>
      </c>
      <c r="R220" s="17">
        <f t="shared" si="334"/>
        <v>1250000</v>
      </c>
      <c r="S220" s="14">
        <f>VLOOKUP(I220,[1]Lookups!$V$3:$Y$197,4,FALSE)</f>
        <v>0</v>
      </c>
      <c r="T220" s="14" t="str">
        <f>VLOOKUP(E220,[1]Lookups!$H$3:$I$71,2,FALSE)</f>
        <v>2. Seed</v>
      </c>
      <c r="U220" s="14" t="str">
        <f>VLOOKUP(K220,[1]Lookups!$B$3:$C$142,2,FALSE)</f>
        <v>Financial Services</v>
      </c>
      <c r="V220" s="14">
        <f t="shared" si="1"/>
        <v>2016</v>
      </c>
      <c r="W220" s="14">
        <f t="shared" si="2"/>
        <v>9</v>
      </c>
      <c r="X220" s="14">
        <f>VLOOKUP(W220,[1]Lookups!$P$3:$S$15,2,FALSE)</f>
        <v>3</v>
      </c>
      <c r="Y220" s="16">
        <f>VLOOKUP(W220,[1]Lookups!$P$3:$U$15,3,FALSE)</f>
        <v>2</v>
      </c>
      <c r="Z220" s="16">
        <f t="shared" si="3"/>
        <v>6</v>
      </c>
      <c r="AA220" s="16" t="str">
        <f t="shared" ca="1" si="335"/>
        <v xml:space="preserve"> BoostVC</v>
      </c>
      <c r="AB220" s="16" t="str">
        <f t="shared" ca="1" si="335"/>
        <v xml:space="preserve"> Techstars</v>
      </c>
      <c r="AC220" s="16" t="str">
        <f t="shared" ca="1" si="335"/>
        <v xml:space="preserve"> Zahra Nasser</v>
      </c>
      <c r="AD220" s="16" t="str">
        <f t="shared" ca="1" si="335"/>
        <v xml:space="preserve"> George G</v>
      </c>
      <c r="AE220" s="16" t="str">
        <f t="shared" ca="1" si="335"/>
        <v xml:space="preserve"> The Bill &amp; Melinda Gates Foundation</v>
      </c>
      <c r="AF220" s="16" t="str">
        <f t="shared" ca="1" si="335"/>
        <v xml:space="preserve"> Financial Sector Deepening Trust</v>
      </c>
      <c r="AG220" s="16">
        <f t="shared" si="335"/>
        <v>0</v>
      </c>
      <c r="AH220" s="16">
        <f t="shared" si="335"/>
        <v>0</v>
      </c>
      <c r="AI220" s="16">
        <f t="shared" si="335"/>
        <v>0</v>
      </c>
      <c r="AJ220" s="16">
        <f t="shared" si="335"/>
        <v>0</v>
      </c>
      <c r="AK220" s="16">
        <f t="shared" si="335"/>
        <v>0</v>
      </c>
      <c r="AL220" s="16">
        <f t="shared" si="335"/>
        <v>0</v>
      </c>
      <c r="AM220" s="16">
        <f t="shared" si="335"/>
        <v>0</v>
      </c>
      <c r="AN220" s="16">
        <f t="shared" si="335"/>
        <v>0</v>
      </c>
      <c r="AO220" s="16">
        <f t="shared" si="335"/>
        <v>0</v>
      </c>
      <c r="AP220" s="10"/>
      <c r="AQ220" s="10"/>
      <c r="AR220" s="10"/>
      <c r="AS220" s="10" t="str">
        <f t="shared" ref="AS220" ca="1" si="340">IFERROR(__xludf.DUMMYFUNCTION("split(F216,"","",true,true)")," BoostVC")</f>
        <v xml:space="preserve"> BoostVC</v>
      </c>
      <c r="AT220" s="10" t="str">
        <f ca="1">IFERROR(__xludf.DUMMYFUNCTION("""COMPUTED_VALUE""")," Techstars")</f>
        <v xml:space="preserve"> Techstars</v>
      </c>
      <c r="AU220" s="10" t="str">
        <f ca="1">IFERROR(__xludf.DUMMYFUNCTION("""COMPUTED_VALUE""")," Zahra Nasser")</f>
        <v xml:space="preserve"> Zahra Nasser</v>
      </c>
      <c r="AV220" s="10" t="str">
        <f ca="1">IFERROR(__xludf.DUMMYFUNCTION("""COMPUTED_VALUE""")," George G")</f>
        <v xml:space="preserve"> George G</v>
      </c>
      <c r="AW220" s="10" t="str">
        <f ca="1">IFERROR(__xludf.DUMMYFUNCTION("""COMPUTED_VALUE""")," The Bill &amp; Melinda Gates Foundation")</f>
        <v xml:space="preserve"> The Bill &amp; Melinda Gates Foundation</v>
      </c>
      <c r="AX220" s="10" t="str">
        <f ca="1">IFERROR(__xludf.DUMMYFUNCTION("""COMPUTED_VALUE""")," Financial Sector Deepening Trust")</f>
        <v xml:space="preserve"> Financial Sector Deepening Trust</v>
      </c>
      <c r="AY220" s="10"/>
      <c r="AZ220" s="10"/>
      <c r="BA220" s="10"/>
      <c r="BB220" s="10"/>
      <c r="BC220" s="10"/>
      <c r="BD220" s="10"/>
      <c r="BE220" s="10"/>
      <c r="BF220" s="10"/>
      <c r="BG220" s="10"/>
      <c r="BH220" s="10"/>
      <c r="BI220" s="10"/>
      <c r="BJ220" s="10"/>
      <c r="BK220" s="10"/>
      <c r="BM220" s="10"/>
    </row>
    <row r="221" spans="1:65" ht="12.75">
      <c r="A221" s="18">
        <v>42648</v>
      </c>
      <c r="B221" s="14" t="s">
        <v>543</v>
      </c>
      <c r="C221" s="19">
        <v>50000</v>
      </c>
      <c r="D221" s="19"/>
      <c r="E221" s="14" t="s">
        <v>45</v>
      </c>
      <c r="F221" s="20" t="s">
        <v>544</v>
      </c>
      <c r="G221" s="21" t="s">
        <v>545</v>
      </c>
      <c r="H221" s="14" t="str">
        <f t="array" ref="H221">IFERROR(INDEX([1]Companies!$G:$G,MATCH(B221,[1]Companies!$A:$A,0)),"")</f>
        <v>Ghana</v>
      </c>
      <c r="I221" s="14" t="str">
        <f t="shared" si="329"/>
        <v>Ghana</v>
      </c>
      <c r="J221" s="14" t="str">
        <f t="array" ref="J221">IFERROR(INDEX([1]Companies!$Y:$Y,MATCH(B221,[1]Companies!$A:$A,0)),"")</f>
        <v>Agriculture, AgTech, Information Technology, Internet of Things</v>
      </c>
      <c r="K221" s="14" t="str">
        <f t="array" ref="K221">IFERROR(INDEX([1]Companies!$X:$X,MATCH(B221,[1]Companies!$A:$A,0)),"")</f>
        <v>Agriculture</v>
      </c>
      <c r="L221" s="14" t="str">
        <f>VLOOKUP(B221,[1]Companies!$A$1:$C$5243,1,FALSE)</f>
        <v>Trotro Tractor</v>
      </c>
      <c r="M221" s="15">
        <f t="shared" si="330"/>
        <v>0.9</v>
      </c>
      <c r="N221" s="10" t="str">
        <f t="shared" si="331"/>
        <v>42648TroTro Tractor50000</v>
      </c>
      <c r="O221" s="14" t="str">
        <f t="shared" si="332"/>
        <v/>
      </c>
      <c r="P221" s="14">
        <f t="shared" si="333"/>
        <v>1</v>
      </c>
      <c r="Q221" s="14">
        <f t="array" ref="Q221">IFERROR(INDEX([1]Companies!$D:$D,MATCH(B221,[1]Companies!$A:$A,0)),"")</f>
        <v>2016</v>
      </c>
      <c r="R221" s="17">
        <f t="shared" si="334"/>
        <v>50000</v>
      </c>
      <c r="S221" s="14">
        <f>VLOOKUP(I221,[1]Lookups!$V$3:$Y$197,4,FALSE)</f>
        <v>0</v>
      </c>
      <c r="T221" s="14" t="str">
        <f>VLOOKUP(E221,[1]Lookups!$H$3:$I$71,2,FALSE)</f>
        <v>2. Seed</v>
      </c>
      <c r="U221" s="14" t="str">
        <f>VLOOKUP(K221,[1]Lookups!$B$3:$C$142,2,FALSE)</f>
        <v>Agriculture</v>
      </c>
      <c r="V221" s="14">
        <f t="shared" si="1"/>
        <v>2016</v>
      </c>
      <c r="W221" s="14">
        <f t="shared" si="2"/>
        <v>10</v>
      </c>
      <c r="X221" s="14">
        <f>VLOOKUP(W221,[1]Lookups!$P$3:$S$15,2,FALSE)</f>
        <v>4</v>
      </c>
      <c r="Y221" s="16">
        <f>VLOOKUP(W221,[1]Lookups!$P$3:$U$15,3,FALSE)</f>
        <v>2</v>
      </c>
      <c r="Z221" s="16">
        <f t="shared" si="3"/>
        <v>2</v>
      </c>
      <c r="AA221" s="16" t="str">
        <f t="shared" ca="1" si="335"/>
        <v xml:space="preserve"> BoostVC</v>
      </c>
      <c r="AB221" s="16" t="str">
        <f t="shared" ca="1" si="335"/>
        <v xml:space="preserve"> MEST Africa</v>
      </c>
      <c r="AC221" s="16">
        <f t="shared" si="335"/>
        <v>0</v>
      </c>
      <c r="AD221" s="16">
        <f t="shared" si="335"/>
        <v>0</v>
      </c>
      <c r="AE221" s="16">
        <f t="shared" si="335"/>
        <v>0</v>
      </c>
      <c r="AF221" s="16">
        <f t="shared" si="335"/>
        <v>0</v>
      </c>
      <c r="AG221" s="16">
        <f t="shared" si="335"/>
        <v>0</v>
      </c>
      <c r="AH221" s="16">
        <f t="shared" si="335"/>
        <v>0</v>
      </c>
      <c r="AI221" s="16">
        <f t="shared" si="335"/>
        <v>0</v>
      </c>
      <c r="AJ221" s="16">
        <f t="shared" si="335"/>
        <v>0</v>
      </c>
      <c r="AK221" s="16">
        <f t="shared" si="335"/>
        <v>0</v>
      </c>
      <c r="AL221" s="16">
        <f t="shared" si="335"/>
        <v>0</v>
      </c>
      <c r="AM221" s="16">
        <f t="shared" si="335"/>
        <v>0</v>
      </c>
      <c r="AN221" s="16">
        <f t="shared" si="335"/>
        <v>0</v>
      </c>
      <c r="AO221" s="16">
        <f t="shared" si="335"/>
        <v>0</v>
      </c>
      <c r="AP221" s="10"/>
      <c r="AQ221" s="10"/>
      <c r="AR221" s="10"/>
      <c r="AS221" s="10" t="str">
        <f t="shared" ref="AS221" ca="1" si="341">IFERROR(__xludf.DUMMYFUNCTION("split(F216,"","",true,true)")," BoostVC")</f>
        <v xml:space="preserve"> BoostVC</v>
      </c>
      <c r="AT221" s="10" t="str">
        <f ca="1">IFERROR(__xludf.DUMMYFUNCTION("""COMPUTED_VALUE""")," MEST Africa")</f>
        <v xml:space="preserve"> MEST Africa</v>
      </c>
      <c r="AU221" s="10"/>
      <c r="AV221" s="10"/>
      <c r="AW221" s="10"/>
      <c r="AX221" s="10"/>
      <c r="AY221" s="10"/>
      <c r="AZ221" s="10"/>
      <c r="BA221" s="10"/>
      <c r="BB221" s="10"/>
      <c r="BC221" s="10"/>
      <c r="BD221" s="10"/>
      <c r="BE221" s="10"/>
      <c r="BF221" s="10"/>
      <c r="BG221" s="10"/>
      <c r="BH221" s="10"/>
      <c r="BI221" s="10"/>
      <c r="BJ221" s="10"/>
      <c r="BK221" s="10"/>
      <c r="BM221" s="10"/>
    </row>
    <row r="222" spans="1:65" ht="12.75">
      <c r="A222" s="9">
        <v>42649</v>
      </c>
      <c r="B222" s="10" t="s">
        <v>546</v>
      </c>
      <c r="C222" s="11" t="s">
        <v>49</v>
      </c>
      <c r="D222" s="12"/>
      <c r="E222" s="14" t="s">
        <v>45</v>
      </c>
      <c r="F222" s="10" t="s">
        <v>547</v>
      </c>
      <c r="G222" s="13" t="s">
        <v>548</v>
      </c>
      <c r="H222" s="14" t="str">
        <f t="array" ref="H222">IFERROR(INDEX([1]Companies!$G:$G,MATCH(B222,[1]Companies!$A:$A,0)),"")</f>
        <v>South Africa</v>
      </c>
      <c r="I222" s="14" t="str">
        <f t="shared" si="329"/>
        <v>South Africa</v>
      </c>
      <c r="J222" s="14" t="str">
        <f t="array" ref="J222">IFERROR(INDEX([1]Companies!$Y:$Y,MATCH(B222,[1]Companies!$A:$A,0)),"")</f>
        <v>Customer Service, Financial Services, FinTech</v>
      </c>
      <c r="K222" s="14" t="str">
        <f t="array" ref="K222">IFERROR(INDEX([1]Companies!$X:$X,MATCH(B222,[1]Companies!$A:$A,0)),"")</f>
        <v>Financial Services</v>
      </c>
      <c r="L222" s="14" t="str">
        <f>VLOOKUP(B222,[1]Companies!$A$1:$C$5243,1,FALSE)</f>
        <v>Lulalend</v>
      </c>
      <c r="M222" s="15">
        <f t="shared" si="330"/>
        <v>0.9</v>
      </c>
      <c r="N222" s="10" t="str">
        <f t="shared" si="331"/>
        <v>42649LulalendUndisclosed</v>
      </c>
      <c r="O222" s="14" t="str">
        <f t="shared" si="332"/>
        <v/>
      </c>
      <c r="P222" s="14">
        <f t="shared" si="333"/>
        <v>0</v>
      </c>
      <c r="Q222" s="14">
        <f t="array" ref="Q222">IFERROR(INDEX([1]Companies!$D:$D,MATCH(B222,[1]Companies!$A:$A,0)),"")</f>
        <v>2014</v>
      </c>
      <c r="R222" s="17">
        <f t="shared" si="334"/>
        <v>6500000</v>
      </c>
      <c r="S222" s="14">
        <f>VLOOKUP(I222,[1]Lookups!$V$3:$Y$197,4,FALSE)</f>
        <v>0</v>
      </c>
      <c r="T222" s="14" t="str">
        <f>VLOOKUP(E222,[1]Lookups!$H$3:$I$71,2,FALSE)</f>
        <v>2. Seed</v>
      </c>
      <c r="U222" s="14" t="str">
        <f>VLOOKUP(K222,[1]Lookups!$B$3:$C$142,2,FALSE)</f>
        <v>Financial Services</v>
      </c>
      <c r="V222" s="14">
        <f t="shared" si="1"/>
        <v>2016</v>
      </c>
      <c r="W222" s="14">
        <f t="shared" si="2"/>
        <v>10</v>
      </c>
      <c r="X222" s="14">
        <f>VLOOKUP(W222,[1]Lookups!$P$3:$S$15,2,FALSE)</f>
        <v>4</v>
      </c>
      <c r="Y222" s="16">
        <f>VLOOKUP(W222,[1]Lookups!$P$3:$U$15,3,FALSE)</f>
        <v>2</v>
      </c>
      <c r="Z222" s="16">
        <f t="shared" si="3"/>
        <v>3</v>
      </c>
      <c r="AA222" s="16" t="str">
        <f t="shared" ca="1" si="335"/>
        <v xml:space="preserve"> BoostVC</v>
      </c>
      <c r="AB222" s="16" t="str">
        <f t="shared" ca="1" si="335"/>
        <v xml:space="preserve"> Accion Venture Lab</v>
      </c>
      <c r="AC222" s="16" t="str">
        <f t="shared" ca="1" si="335"/>
        <v xml:space="preserve"> HALLMANN HOLDING International Investment GmbH</v>
      </c>
      <c r="AD222" s="16">
        <f t="shared" si="335"/>
        <v>0</v>
      </c>
      <c r="AE222" s="16">
        <f t="shared" si="335"/>
        <v>0</v>
      </c>
      <c r="AF222" s="16">
        <f t="shared" si="335"/>
        <v>0</v>
      </c>
      <c r="AG222" s="16">
        <f t="shared" si="335"/>
        <v>0</v>
      </c>
      <c r="AH222" s="16">
        <f t="shared" si="335"/>
        <v>0</v>
      </c>
      <c r="AI222" s="16">
        <f t="shared" si="335"/>
        <v>0</v>
      </c>
      <c r="AJ222" s="16">
        <f t="shared" si="335"/>
        <v>0</v>
      </c>
      <c r="AK222" s="16">
        <f t="shared" si="335"/>
        <v>0</v>
      </c>
      <c r="AL222" s="16">
        <f t="shared" si="335"/>
        <v>0</v>
      </c>
      <c r="AM222" s="16">
        <f t="shared" si="335"/>
        <v>0</v>
      </c>
      <c r="AN222" s="16">
        <f t="shared" si="335"/>
        <v>0</v>
      </c>
      <c r="AO222" s="16">
        <f t="shared" si="335"/>
        <v>0</v>
      </c>
      <c r="AP222" s="10"/>
      <c r="AQ222" s="10"/>
      <c r="AR222" s="10"/>
      <c r="AS222" s="10" t="str">
        <f t="shared" ref="AS222" ca="1" si="342">IFERROR(__xludf.DUMMYFUNCTION("split(F216,"","",true,true)")," BoostVC")</f>
        <v xml:space="preserve"> BoostVC</v>
      </c>
      <c r="AT222" s="10" t="str">
        <f ca="1">IFERROR(__xludf.DUMMYFUNCTION("""COMPUTED_VALUE""")," Accion Venture Lab")</f>
        <v xml:space="preserve"> Accion Venture Lab</v>
      </c>
      <c r="AU222" s="10" t="str">
        <f ca="1">IFERROR(__xludf.DUMMYFUNCTION("""COMPUTED_VALUE""")," HALLMANN HOLDING International Investment GmbH")</f>
        <v xml:space="preserve"> HALLMANN HOLDING International Investment GmbH</v>
      </c>
      <c r="AV222" s="10"/>
      <c r="AW222" s="10"/>
      <c r="AX222" s="10"/>
      <c r="AY222" s="10"/>
      <c r="AZ222" s="10"/>
      <c r="BA222" s="10"/>
      <c r="BB222" s="10"/>
      <c r="BC222" s="10"/>
      <c r="BD222" s="10"/>
      <c r="BE222" s="10"/>
      <c r="BF222" s="10"/>
      <c r="BG222" s="10"/>
      <c r="BH222" s="10"/>
      <c r="BI222" s="10"/>
      <c r="BJ222" s="10"/>
      <c r="BK222" s="10"/>
      <c r="BM222" s="10"/>
    </row>
    <row r="223" spans="1:65" ht="12.75">
      <c r="A223" s="9">
        <v>42652</v>
      </c>
      <c r="B223" s="10" t="s">
        <v>549</v>
      </c>
      <c r="C223" s="11" t="s">
        <v>49</v>
      </c>
      <c r="D223" s="12"/>
      <c r="E223" s="10" t="s">
        <v>48</v>
      </c>
      <c r="F223" s="10" t="s">
        <v>232</v>
      </c>
      <c r="G223" s="13" t="s">
        <v>550</v>
      </c>
      <c r="H223" s="14" t="str">
        <f t="array" ref="H223">IFERROR(INDEX([1]Companies!$G:$G,MATCH(B223,[1]Companies!$A:$A,0)),"")</f>
        <v>Egypt</v>
      </c>
      <c r="I223" s="14" t="str">
        <f t="shared" si="329"/>
        <v>Egypt</v>
      </c>
      <c r="J223" s="14" t="str">
        <f t="array" ref="J223">IFERROR(INDEX([1]Companies!$Y:$Y,MATCH(B223,[1]Companies!$A:$A,0)),"")</f>
        <v>Recruiting, Staffing Agency</v>
      </c>
      <c r="K223" s="14" t="str">
        <f t="array" ref="K223">IFERROR(INDEX([1]Companies!$X:$X,MATCH(B223,[1]Companies!$A:$A,0)),"")</f>
        <v>Staffing and Recruiting</v>
      </c>
      <c r="L223" s="14" t="str">
        <f>VLOOKUP(B223,[1]Companies!$A$1:$C$5243,1,FALSE)</f>
        <v>Hirehunt</v>
      </c>
      <c r="M223" s="15">
        <f t="shared" si="330"/>
        <v>0.9</v>
      </c>
      <c r="N223" s="10" t="str">
        <f t="shared" si="331"/>
        <v>42652HireHuntUndisclosed</v>
      </c>
      <c r="O223" s="14" t="str">
        <f t="shared" si="332"/>
        <v/>
      </c>
      <c r="P223" s="14">
        <f t="shared" si="333"/>
        <v>0</v>
      </c>
      <c r="Q223" s="14">
        <f t="array" ref="Q223">IFERROR(INDEX([1]Companies!$D:$D,MATCH(B223,[1]Companies!$A:$A,0)),"")</f>
        <v>2015</v>
      </c>
      <c r="R223" s="17">
        <f t="shared" si="334"/>
        <v>0</v>
      </c>
      <c r="S223" s="14">
        <f>VLOOKUP(I223,[1]Lookups!$V$3:$Y$197,4,FALSE)</f>
        <v>0</v>
      </c>
      <c r="T223" s="14" t="str">
        <f>VLOOKUP(E223,[1]Lookups!$H$3:$I$71,2,FALSE)</f>
        <v>2. Seed</v>
      </c>
      <c r="U223" s="14" t="e">
        <f>VLOOKUP(K223,[1]Lookups!$B$3:$C$142,2,FALSE)</f>
        <v>#N/A</v>
      </c>
      <c r="V223" s="14">
        <f t="shared" si="1"/>
        <v>2016</v>
      </c>
      <c r="W223" s="14">
        <f t="shared" si="2"/>
        <v>10</v>
      </c>
      <c r="X223" s="14">
        <f>VLOOKUP(W223,[1]Lookups!$P$3:$S$15,2,FALSE)</f>
        <v>4</v>
      </c>
      <c r="Y223" s="16">
        <f>VLOOKUP(W223,[1]Lookups!$P$3:$U$15,3,FALSE)</f>
        <v>2</v>
      </c>
      <c r="Z223" s="16">
        <f t="shared" si="3"/>
        <v>1</v>
      </c>
      <c r="AA223" s="16" t="str">
        <f t="shared" ca="1" si="335"/>
        <v xml:space="preserve"> BoostVC</v>
      </c>
      <c r="AB223" s="16">
        <f t="shared" si="335"/>
        <v>0</v>
      </c>
      <c r="AC223" s="16">
        <f t="shared" si="335"/>
        <v>0</v>
      </c>
      <c r="AD223" s="16">
        <f t="shared" si="335"/>
        <v>0</v>
      </c>
      <c r="AE223" s="16">
        <f t="shared" si="335"/>
        <v>0</v>
      </c>
      <c r="AF223" s="16">
        <f t="shared" si="335"/>
        <v>0</v>
      </c>
      <c r="AG223" s="16">
        <f t="shared" si="335"/>
        <v>0</v>
      </c>
      <c r="AH223" s="16">
        <f t="shared" si="335"/>
        <v>0</v>
      </c>
      <c r="AI223" s="16">
        <f t="shared" si="335"/>
        <v>0</v>
      </c>
      <c r="AJ223" s="16">
        <f t="shared" si="335"/>
        <v>0</v>
      </c>
      <c r="AK223" s="16">
        <f t="shared" si="335"/>
        <v>0</v>
      </c>
      <c r="AL223" s="16">
        <f t="shared" si="335"/>
        <v>0</v>
      </c>
      <c r="AM223" s="16">
        <f t="shared" si="335"/>
        <v>0</v>
      </c>
      <c r="AN223" s="16">
        <f t="shared" si="335"/>
        <v>0</v>
      </c>
      <c r="AO223" s="16">
        <f t="shared" si="335"/>
        <v>0</v>
      </c>
      <c r="AP223" s="10"/>
      <c r="AQ223" s="10"/>
      <c r="AR223" s="10"/>
      <c r="AS223" s="10" t="str">
        <f t="shared" ref="AS223" ca="1" si="343">IFERROR(__xludf.DUMMYFUNCTION("split(F216,"","",true,true)")," BoostVC")</f>
        <v xml:space="preserve"> BoostVC</v>
      </c>
      <c r="AT223" s="10"/>
      <c r="AU223" s="10"/>
      <c r="AV223" s="10"/>
      <c r="AW223" s="10"/>
      <c r="AX223" s="10"/>
      <c r="AY223" s="10"/>
      <c r="AZ223" s="10"/>
      <c r="BA223" s="10"/>
      <c r="BB223" s="10"/>
      <c r="BC223" s="10"/>
      <c r="BD223" s="10"/>
      <c r="BE223" s="10"/>
      <c r="BF223" s="10"/>
      <c r="BG223" s="10"/>
      <c r="BH223" s="10"/>
      <c r="BI223" s="10"/>
      <c r="BJ223" s="10"/>
      <c r="BK223" s="10"/>
      <c r="BM223" s="10"/>
    </row>
    <row r="224" spans="1:65" ht="12.75">
      <c r="A224" s="9">
        <v>42659</v>
      </c>
      <c r="B224" s="10" t="s">
        <v>244</v>
      </c>
      <c r="C224" s="11">
        <v>131000</v>
      </c>
      <c r="D224" s="12"/>
      <c r="E224" s="10" t="s">
        <v>45</v>
      </c>
      <c r="F224" s="10" t="s">
        <v>49</v>
      </c>
      <c r="G224" s="13" t="s">
        <v>551</v>
      </c>
      <c r="H224" s="14" t="str">
        <f t="array" ref="H224">IFERROR(INDEX([1]Companies!$G:$G,MATCH(B224,[1]Companies!$A:$A,0)),"")</f>
        <v>Rwanda</v>
      </c>
      <c r="I224" s="14" t="str">
        <f t="shared" si="329"/>
        <v>Rwanda</v>
      </c>
      <c r="J224" s="14" t="str">
        <f t="array" ref="J224">IFERROR(INDEX([1]Companies!$Y:$Y,MATCH(B224,[1]Companies!$A:$A,0)),"")</f>
        <v>Apps, Public Safety, Taxi Service, Transportation, Ride-hailing</v>
      </c>
      <c r="K224" s="14" t="str">
        <f t="array" ref="K224">IFERROR(INDEX([1]Companies!$X:$X,MATCH(B224,[1]Companies!$A:$A,0)),"")</f>
        <v>Transport &amp; Logistics</v>
      </c>
      <c r="L224" s="14" t="str">
        <f>VLOOKUP(B224,[1]Companies!$A$1:$C$5243,1,FALSE)</f>
        <v>CanGo</v>
      </c>
      <c r="M224" s="15">
        <f t="shared" si="330"/>
        <v>0.9</v>
      </c>
      <c r="N224" s="10" t="str">
        <f t="shared" si="331"/>
        <v>42659CanGo131000</v>
      </c>
      <c r="O224" s="14" t="str">
        <f t="shared" si="332"/>
        <v/>
      </c>
      <c r="P224" s="14">
        <f t="shared" si="333"/>
        <v>1</v>
      </c>
      <c r="Q224" s="14">
        <f t="array" ref="Q224">IFERROR(INDEX([1]Companies!$D:$D,MATCH(B224,[1]Companies!$A:$A,0)),"")</f>
        <v>2015</v>
      </c>
      <c r="R224" s="17">
        <f t="shared" si="334"/>
        <v>131000</v>
      </c>
      <c r="S224" s="14">
        <f>VLOOKUP(I224,[1]Lookups!$V$3:$Y$197,4,FALSE)</f>
        <v>0</v>
      </c>
      <c r="T224" s="14" t="str">
        <f>VLOOKUP(E224,[1]Lookups!$H$3:$I$71,2,FALSE)</f>
        <v>2. Seed</v>
      </c>
      <c r="U224" s="14" t="str">
        <f>VLOOKUP(K224,[1]Lookups!$B$3:$C$142,2,FALSE)</f>
        <v>Transport &amp; Logistics</v>
      </c>
      <c r="V224" s="14">
        <f t="shared" si="1"/>
        <v>2016</v>
      </c>
      <c r="W224" s="14">
        <f t="shared" si="2"/>
        <v>10</v>
      </c>
      <c r="X224" s="14">
        <f>VLOOKUP(W224,[1]Lookups!$P$3:$S$15,2,FALSE)</f>
        <v>4</v>
      </c>
      <c r="Y224" s="16">
        <f>VLOOKUP(W224,[1]Lookups!$P$3:$U$15,3,FALSE)</f>
        <v>2</v>
      </c>
      <c r="Z224" s="16">
        <f t="shared" si="3"/>
        <v>1</v>
      </c>
      <c r="AA224" s="16" t="str">
        <f t="shared" ca="1" si="335"/>
        <v xml:space="preserve"> BoostVC</v>
      </c>
      <c r="AB224" s="16">
        <f t="shared" si="335"/>
        <v>0</v>
      </c>
      <c r="AC224" s="16">
        <f t="shared" si="335"/>
        <v>0</v>
      </c>
      <c r="AD224" s="16">
        <f t="shared" si="335"/>
        <v>0</v>
      </c>
      <c r="AE224" s="16">
        <f t="shared" si="335"/>
        <v>0</v>
      </c>
      <c r="AF224" s="16">
        <f t="shared" si="335"/>
        <v>0</v>
      </c>
      <c r="AG224" s="16">
        <f t="shared" si="335"/>
        <v>0</v>
      </c>
      <c r="AH224" s="16">
        <f t="shared" si="335"/>
        <v>0</v>
      </c>
      <c r="AI224" s="16">
        <f t="shared" si="335"/>
        <v>0</v>
      </c>
      <c r="AJ224" s="16">
        <f t="shared" si="335"/>
        <v>0</v>
      </c>
      <c r="AK224" s="16">
        <f t="shared" si="335"/>
        <v>0</v>
      </c>
      <c r="AL224" s="16">
        <f t="shared" si="335"/>
        <v>0</v>
      </c>
      <c r="AM224" s="16">
        <f t="shared" si="335"/>
        <v>0</v>
      </c>
      <c r="AN224" s="16">
        <f t="shared" si="335"/>
        <v>0</v>
      </c>
      <c r="AO224" s="16">
        <f t="shared" si="335"/>
        <v>0</v>
      </c>
      <c r="AP224" s="10"/>
      <c r="AQ224" s="10"/>
      <c r="AR224" s="10"/>
      <c r="AS224" s="10" t="str">
        <f t="shared" ref="AS224" ca="1" si="344">IFERROR(__xludf.DUMMYFUNCTION("split(F216,"","",true,true)")," BoostVC")</f>
        <v xml:space="preserve"> BoostVC</v>
      </c>
      <c r="AT224" s="10"/>
      <c r="AU224" s="10"/>
      <c r="AV224" s="10"/>
      <c r="AW224" s="10"/>
      <c r="AX224" s="10"/>
      <c r="AY224" s="10"/>
      <c r="AZ224" s="10"/>
      <c r="BA224" s="10"/>
      <c r="BB224" s="10"/>
      <c r="BC224" s="10"/>
      <c r="BD224" s="10"/>
      <c r="BE224" s="10"/>
      <c r="BF224" s="10"/>
      <c r="BG224" s="10"/>
      <c r="BH224" s="10"/>
      <c r="BI224" s="10"/>
      <c r="BJ224" s="10"/>
      <c r="BK224" s="10"/>
      <c r="BM224" s="10"/>
    </row>
    <row r="225" spans="1:65" ht="12.75">
      <c r="A225" s="18">
        <v>42661</v>
      </c>
      <c r="B225" s="20" t="s">
        <v>552</v>
      </c>
      <c r="C225" s="19">
        <v>1000000</v>
      </c>
      <c r="D225" s="19"/>
      <c r="E225" s="14" t="s">
        <v>45</v>
      </c>
      <c r="F225" s="14" t="s">
        <v>553</v>
      </c>
      <c r="G225" s="21" t="s">
        <v>554</v>
      </c>
      <c r="H225" s="14" t="str">
        <f t="array" ref="H225">IFERROR(INDEX([1]Companies!$G:$G,MATCH(B225,[1]Companies!$A:$A,0)),"")</f>
        <v/>
      </c>
      <c r="I225" s="14" t="str">
        <f t="shared" si="329"/>
        <v/>
      </c>
      <c r="J225" s="14" t="str">
        <f t="array" ref="J225">IFERROR(INDEX([1]Companies!$Y:$Y,MATCH(B225,[1]Companies!$A:$A,0)),"")</f>
        <v/>
      </c>
      <c r="K225" s="14" t="str">
        <f t="array" ref="K225">IFERROR(INDEX([1]Companies!$X:$X,MATCH(B225,[1]Companies!$A:$A,0)),"")</f>
        <v/>
      </c>
      <c r="L225" s="14" t="e">
        <f>VLOOKUP(B225,[1]Companies!$A$1:$C$5243,1,FALSE)</f>
        <v>#N/A</v>
      </c>
      <c r="M225" s="15">
        <f t="shared" si="330"/>
        <v>0.6428571428571429</v>
      </c>
      <c r="N225" s="10" t="str">
        <f t="shared" si="331"/>
        <v>42661Magic Bus Ticketing1000000</v>
      </c>
      <c r="O225" s="14" t="str">
        <f t="shared" si="332"/>
        <v/>
      </c>
      <c r="P225" s="14">
        <f t="shared" si="333"/>
        <v>1</v>
      </c>
      <c r="Q225" s="14" t="str">
        <f t="array" ref="Q225">IFERROR(INDEX([1]Companies!$D:$D,MATCH(B225,[1]Companies!$A:$A,0)),"")</f>
        <v/>
      </c>
      <c r="R225" s="17">
        <f t="shared" si="334"/>
        <v>1000000</v>
      </c>
      <c r="S225" s="14" t="e">
        <f>VLOOKUP(I225,[1]Lookups!$V$3:$Y$197,4,FALSE)</f>
        <v>#N/A</v>
      </c>
      <c r="T225" s="14" t="str">
        <f>VLOOKUP(E225,[1]Lookups!$H$3:$I$71,2,FALSE)</f>
        <v>2. Seed</v>
      </c>
      <c r="U225" s="14" t="e">
        <f>VLOOKUP(K225,[1]Lookups!$B$3:$C$142,2,FALSE)</f>
        <v>#N/A</v>
      </c>
      <c r="V225" s="14">
        <f t="shared" si="1"/>
        <v>2016</v>
      </c>
      <c r="W225" s="14">
        <f t="shared" si="2"/>
        <v>10</v>
      </c>
      <c r="X225" s="14">
        <f>VLOOKUP(W225,[1]Lookups!$P$3:$S$15,2,FALSE)</f>
        <v>4</v>
      </c>
      <c r="Y225" s="16">
        <f>VLOOKUP(W225,[1]Lookups!$P$3:$U$15,3,FALSE)</f>
        <v>2</v>
      </c>
      <c r="Z225" s="16">
        <f t="shared" si="3"/>
        <v>1</v>
      </c>
      <c r="AA225" s="16" t="str">
        <f t="shared" ca="1" si="335"/>
        <v xml:space="preserve"> BoostVC</v>
      </c>
      <c r="AB225" s="16">
        <f t="shared" si="335"/>
        <v>0</v>
      </c>
      <c r="AC225" s="16">
        <f t="shared" si="335"/>
        <v>0</v>
      </c>
      <c r="AD225" s="16">
        <f t="shared" si="335"/>
        <v>0</v>
      </c>
      <c r="AE225" s="16">
        <f t="shared" si="335"/>
        <v>0</v>
      </c>
      <c r="AF225" s="16">
        <f t="shared" si="335"/>
        <v>0</v>
      </c>
      <c r="AG225" s="16">
        <f t="shared" si="335"/>
        <v>0</v>
      </c>
      <c r="AH225" s="16">
        <f t="shared" si="335"/>
        <v>0</v>
      </c>
      <c r="AI225" s="16">
        <f t="shared" si="335"/>
        <v>0</v>
      </c>
      <c r="AJ225" s="16">
        <f t="shared" si="335"/>
        <v>0</v>
      </c>
      <c r="AK225" s="16">
        <f t="shared" si="335"/>
        <v>0</v>
      </c>
      <c r="AL225" s="16">
        <f t="shared" si="335"/>
        <v>0</v>
      </c>
      <c r="AM225" s="16">
        <f t="shared" si="335"/>
        <v>0</v>
      </c>
      <c r="AN225" s="16">
        <f t="shared" si="335"/>
        <v>0</v>
      </c>
      <c r="AO225" s="16">
        <f t="shared" si="335"/>
        <v>0</v>
      </c>
      <c r="AP225" s="10"/>
      <c r="AQ225" s="10"/>
      <c r="AR225" s="10"/>
      <c r="AS225" s="10" t="str">
        <f t="shared" ref="AS225" ca="1" si="345">IFERROR(__xludf.DUMMYFUNCTION("split(F216,"","",true,true)")," BoostVC")</f>
        <v xml:space="preserve"> BoostVC</v>
      </c>
      <c r="AT225" s="10"/>
      <c r="AU225" s="10"/>
      <c r="AV225" s="10"/>
      <c r="AW225" s="10"/>
      <c r="AX225" s="10"/>
      <c r="AY225" s="10"/>
      <c r="AZ225" s="10"/>
      <c r="BA225" s="10"/>
      <c r="BB225" s="10"/>
      <c r="BC225" s="10"/>
      <c r="BD225" s="10"/>
      <c r="BE225" s="10"/>
      <c r="BF225" s="10"/>
      <c r="BG225" s="10"/>
      <c r="BH225" s="10"/>
      <c r="BI225" s="10"/>
      <c r="BJ225" s="10"/>
      <c r="BK225" s="10"/>
      <c r="BM225" s="10"/>
    </row>
    <row r="226" spans="1:65" ht="12.75">
      <c r="A226" s="9">
        <v>42661</v>
      </c>
      <c r="B226" s="10" t="s">
        <v>199</v>
      </c>
      <c r="C226" s="11">
        <v>9000000</v>
      </c>
      <c r="D226" s="12"/>
      <c r="E226" s="10" t="s">
        <v>112</v>
      </c>
      <c r="F226" s="10" t="s">
        <v>56</v>
      </c>
      <c r="G226" s="13" t="s">
        <v>555</v>
      </c>
      <c r="H226" s="14" t="str">
        <f t="array" ref="H226">IFERROR(INDEX([1]Companies!$G:$G,MATCH(B226,[1]Companies!$A:$A,0)),"")</f>
        <v>South Africa</v>
      </c>
      <c r="I226" s="14" t="str">
        <f t="shared" si="329"/>
        <v>South Africa</v>
      </c>
      <c r="J226" s="14" t="str">
        <f t="array" ref="J226">IFERROR(INDEX([1]Companies!$Y:$Y,MATCH(B226,[1]Companies!$A:$A,0)),"")</f>
        <v>International School</v>
      </c>
      <c r="K226" s="14" t="str">
        <f t="array" ref="K226">IFERROR(INDEX([1]Companies!$X:$X,MATCH(B226,[1]Companies!$A:$A,0)),"")</f>
        <v>Education</v>
      </c>
      <c r="L226" s="14" t="str">
        <f>VLOOKUP(B226,[1]Companies!$A$1:$C$5243,1,FALSE)</f>
        <v>SPARK Schools</v>
      </c>
      <c r="M226" s="15">
        <f t="shared" si="330"/>
        <v>0.9</v>
      </c>
      <c r="N226" s="10"/>
      <c r="O226" s="14"/>
      <c r="P226" s="14"/>
      <c r="Q226" s="14"/>
      <c r="R226" s="14"/>
      <c r="S226" s="14"/>
      <c r="T226" s="14"/>
      <c r="U226" s="14"/>
      <c r="V226" s="14">
        <f t="shared" si="1"/>
        <v>2016</v>
      </c>
      <c r="W226" s="14">
        <f t="shared" si="2"/>
        <v>10</v>
      </c>
      <c r="X226" s="14">
        <f>VLOOKUP(W226,[1]Lookups!$P$3:$S$15,2,FALSE)</f>
        <v>4</v>
      </c>
      <c r="Y226" s="16">
        <f>VLOOKUP(W226,[1]Lookups!$P$3:$U$15,3,FALSE)</f>
        <v>2</v>
      </c>
      <c r="Z226" s="16">
        <f t="shared" si="3"/>
        <v>1</v>
      </c>
      <c r="AA226" s="16" t="str">
        <f t="shared" ca="1" si="335"/>
        <v xml:space="preserve"> BoostVC</v>
      </c>
      <c r="AB226" s="16">
        <f t="shared" si="335"/>
        <v>0</v>
      </c>
      <c r="AC226" s="16">
        <f t="shared" si="335"/>
        <v>0</v>
      </c>
      <c r="AD226" s="16">
        <f t="shared" si="335"/>
        <v>0</v>
      </c>
      <c r="AE226" s="16">
        <f t="shared" si="335"/>
        <v>0</v>
      </c>
      <c r="AF226" s="16">
        <f t="shared" si="335"/>
        <v>0</v>
      </c>
      <c r="AG226" s="16">
        <f t="shared" si="335"/>
        <v>0</v>
      </c>
      <c r="AH226" s="16">
        <f t="shared" si="335"/>
        <v>0</v>
      </c>
      <c r="AI226" s="16">
        <f t="shared" si="335"/>
        <v>0</v>
      </c>
      <c r="AJ226" s="16">
        <f t="shared" si="335"/>
        <v>0</v>
      </c>
      <c r="AK226" s="16">
        <f t="shared" si="335"/>
        <v>0</v>
      </c>
      <c r="AL226" s="16">
        <f t="shared" si="335"/>
        <v>0</v>
      </c>
      <c r="AM226" s="16">
        <f t="shared" si="335"/>
        <v>0</v>
      </c>
      <c r="AN226" s="16">
        <f t="shared" si="335"/>
        <v>0</v>
      </c>
      <c r="AO226" s="16">
        <f t="shared" si="335"/>
        <v>0</v>
      </c>
      <c r="AP226" s="10"/>
      <c r="AQ226" s="10"/>
      <c r="AR226" s="10"/>
      <c r="AS226" s="10" t="str">
        <f t="shared" ref="AS226" ca="1" si="346">IFERROR(__xludf.DUMMYFUNCTION("split(F216,"","",true,true)")," BoostVC")</f>
        <v xml:space="preserve"> BoostVC</v>
      </c>
      <c r="AT226" s="10"/>
      <c r="AU226" s="10"/>
      <c r="AV226" s="10"/>
      <c r="AW226" s="10"/>
      <c r="AX226" s="10"/>
      <c r="AY226" s="10"/>
      <c r="AZ226" s="10"/>
      <c r="BA226" s="10"/>
      <c r="BB226" s="10"/>
      <c r="BC226" s="10"/>
      <c r="BD226" s="10"/>
      <c r="BE226" s="10"/>
      <c r="BF226" s="10"/>
      <c r="BG226" s="10"/>
      <c r="BH226" s="10"/>
      <c r="BI226" s="10"/>
      <c r="BJ226" s="10"/>
      <c r="BK226" s="10"/>
      <c r="BM226" s="10"/>
    </row>
    <row r="227" spans="1:65" ht="12.75">
      <c r="A227" s="18">
        <v>42663</v>
      </c>
      <c r="B227" s="14" t="s">
        <v>556</v>
      </c>
      <c r="C227" s="19">
        <v>300000</v>
      </c>
      <c r="D227" s="19"/>
      <c r="E227" s="10" t="s">
        <v>48</v>
      </c>
      <c r="F227" s="20" t="s">
        <v>557</v>
      </c>
      <c r="G227" s="21" t="s">
        <v>558</v>
      </c>
      <c r="H227" s="14" t="str">
        <f t="array" ref="H227">IFERROR(INDEX([1]Companies!$G:$G,MATCH(B227,[1]Companies!$A:$A,0)),"")</f>
        <v>South Africa</v>
      </c>
      <c r="I227" s="14" t="str">
        <f t="shared" si="329"/>
        <v>South Africa</v>
      </c>
      <c r="J227" s="14" t="str">
        <f t="array" ref="J227">IFERROR(INDEX([1]Companies!$Y:$Y,MATCH(B227,[1]Companies!$A:$A,0)),"")</f>
        <v>Edtech, E-learning</v>
      </c>
      <c r="K227" s="14" t="str">
        <f t="array" ref="K227">IFERROR(INDEX([1]Companies!$X:$X,MATCH(B227,[1]Companies!$A:$A,0)),"")</f>
        <v>Education</v>
      </c>
      <c r="L227" s="14" t="str">
        <f>VLOOKUP(B227,[1]Companies!$A$1:$C$5243,1,FALSE)</f>
        <v>The Student Hub</v>
      </c>
      <c r="M227" s="15">
        <f t="shared" si="330"/>
        <v>0.9</v>
      </c>
      <c r="N227" s="10" t="str">
        <f t="shared" ref="N227:N241" si="347">CONCATENATE(A227,B227,C227)</f>
        <v>42663The Student Hub300000</v>
      </c>
      <c r="O227" s="14" t="str">
        <f t="shared" ref="O227:O241" si="348">IF(A227 = "","",IF(COUNTIF(N:N,CONCATENATE(A227,B227,C227))&gt;1,"Duplicated",""))</f>
        <v/>
      </c>
      <c r="P227" s="14">
        <f t="shared" ref="P227:P241" si="349">IF(C227="Undisclosed",0,1)</f>
        <v>1</v>
      </c>
      <c r="Q227" s="14">
        <f t="array" ref="Q227">IFERROR(INDEX([1]Companies!$D:$D,MATCH(B227,[1]Companies!$A:$A,0)),"")</f>
        <v>2015</v>
      </c>
      <c r="R227" s="17">
        <f t="shared" ref="R227:R241" si="350">SUMIF(B:B,B227,C:C)</f>
        <v>300000</v>
      </c>
      <c r="S227" s="14">
        <f>VLOOKUP(I227,[1]Lookups!$V$3:$Y$197,4,FALSE)</f>
        <v>0</v>
      </c>
      <c r="T227" s="14" t="str">
        <f>VLOOKUP(E227,[1]Lookups!$H$3:$I$71,2,FALSE)</f>
        <v>2. Seed</v>
      </c>
      <c r="U227" s="14" t="str">
        <f>VLOOKUP(K227,[1]Lookups!$B$3:$C$142,2,FALSE)</f>
        <v>Education</v>
      </c>
      <c r="V227" s="14">
        <f t="shared" si="1"/>
        <v>2016</v>
      </c>
      <c r="W227" s="14">
        <f t="shared" si="2"/>
        <v>10</v>
      </c>
      <c r="X227" s="14">
        <f>VLOOKUP(W227,[1]Lookups!$P$3:$S$15,2,FALSE)</f>
        <v>4</v>
      </c>
      <c r="Y227" s="16">
        <f>VLOOKUP(W227,[1]Lookups!$P$3:$U$15,3,FALSE)</f>
        <v>2</v>
      </c>
      <c r="Z227" s="16">
        <f t="shared" si="3"/>
        <v>3</v>
      </c>
      <c r="AA227" s="16" t="str">
        <f t="shared" ca="1" si="335"/>
        <v xml:space="preserve"> BoostVC</v>
      </c>
      <c r="AB227" s="16" t="str">
        <f t="shared" ca="1" si="335"/>
        <v xml:space="preserve"> Jacques Ludik</v>
      </c>
      <c r="AC227" s="16" t="str">
        <f t="shared" ca="1" si="335"/>
        <v xml:space="preserve"> Maude Gliwa</v>
      </c>
      <c r="AD227" s="16">
        <f t="shared" si="335"/>
        <v>0</v>
      </c>
      <c r="AE227" s="16">
        <f t="shared" si="335"/>
        <v>0</v>
      </c>
      <c r="AF227" s="16">
        <f t="shared" si="335"/>
        <v>0</v>
      </c>
      <c r="AG227" s="16">
        <f t="shared" si="335"/>
        <v>0</v>
      </c>
      <c r="AH227" s="16">
        <f t="shared" si="335"/>
        <v>0</v>
      </c>
      <c r="AI227" s="16">
        <f t="shared" si="335"/>
        <v>0</v>
      </c>
      <c r="AJ227" s="16">
        <f t="shared" si="335"/>
        <v>0</v>
      </c>
      <c r="AK227" s="16">
        <f t="shared" si="335"/>
        <v>0</v>
      </c>
      <c r="AL227" s="16">
        <f t="shared" si="335"/>
        <v>0</v>
      </c>
      <c r="AM227" s="16">
        <f t="shared" si="335"/>
        <v>0</v>
      </c>
      <c r="AN227" s="16">
        <f t="shared" si="335"/>
        <v>0</v>
      </c>
      <c r="AO227" s="16">
        <f t="shared" si="335"/>
        <v>0</v>
      </c>
      <c r="AP227" s="10"/>
      <c r="AQ227" s="10"/>
      <c r="AR227" s="10"/>
      <c r="AS227" s="10" t="str">
        <f t="shared" ref="AS227" ca="1" si="351">IFERROR(__xludf.DUMMYFUNCTION("split(F216,"","",true,true)")," BoostVC")</f>
        <v xml:space="preserve"> BoostVC</v>
      </c>
      <c r="AT227" s="10" t="str">
        <f ca="1">IFERROR(__xludf.DUMMYFUNCTION("""COMPUTED_VALUE""")," Jacques Ludik")</f>
        <v xml:space="preserve"> Jacques Ludik</v>
      </c>
      <c r="AU227" s="10" t="str">
        <f ca="1">IFERROR(__xludf.DUMMYFUNCTION("""COMPUTED_VALUE""")," Maude Gliwa")</f>
        <v xml:space="preserve"> Maude Gliwa</v>
      </c>
      <c r="AV227" s="10"/>
      <c r="AW227" s="10"/>
      <c r="AX227" s="10"/>
      <c r="AY227" s="10"/>
      <c r="AZ227" s="10"/>
      <c r="BA227" s="10"/>
      <c r="BB227" s="10"/>
      <c r="BC227" s="10"/>
      <c r="BD227" s="10"/>
      <c r="BE227" s="10"/>
      <c r="BF227" s="10"/>
      <c r="BG227" s="10"/>
      <c r="BH227" s="10"/>
      <c r="BI227" s="10"/>
      <c r="BJ227" s="10"/>
      <c r="BK227" s="10"/>
      <c r="BM227" s="10"/>
    </row>
    <row r="228" spans="1:65" ht="12.75">
      <c r="A228" s="9">
        <v>42674</v>
      </c>
      <c r="B228" s="10" t="s">
        <v>183</v>
      </c>
      <c r="C228" s="11">
        <v>7500000</v>
      </c>
      <c r="D228" s="12"/>
      <c r="E228" s="10" t="s">
        <v>91</v>
      </c>
      <c r="F228" s="10" t="s">
        <v>559</v>
      </c>
      <c r="G228" s="13" t="s">
        <v>560</v>
      </c>
      <c r="H228" s="14" t="str">
        <f t="array" ref="H228">IFERROR(INDEX([1]Companies!$G:$G,MATCH(B228,[1]Companies!$A:$A,0)),"")</f>
        <v>Kenya</v>
      </c>
      <c r="I228" s="14" t="str">
        <f t="shared" si="329"/>
        <v>Kenya</v>
      </c>
      <c r="J228" s="14" t="str">
        <f t="array" ref="J228">IFERROR(INDEX([1]Companies!$Y:$Y,MATCH(B228,[1]Companies!$A:$A,0)),"")</f>
        <v>Energy, Renewable Energy, Solar</v>
      </c>
      <c r="K228" s="14" t="str">
        <f t="array" ref="K228">IFERROR(INDEX([1]Companies!$X:$X,MATCH(B228,[1]Companies!$A:$A,0)),"")</f>
        <v>Energy &amp; Environment Resources</v>
      </c>
      <c r="L228" s="14" t="str">
        <f>VLOOKUP(B228,[1]Companies!$A$1:$C$5243,1,FALSE)</f>
        <v>d.light</v>
      </c>
      <c r="M228" s="15">
        <f t="shared" si="330"/>
        <v>0.9</v>
      </c>
      <c r="N228" s="10" t="str">
        <f t="shared" si="347"/>
        <v>42674d.light7500000</v>
      </c>
      <c r="O228" s="14" t="str">
        <f t="shared" si="348"/>
        <v/>
      </c>
      <c r="P228" s="14">
        <f t="shared" si="349"/>
        <v>1</v>
      </c>
      <c r="Q228" s="14">
        <f t="array" ref="Q228">IFERROR(INDEX([1]Companies!$D:$D,MATCH(B228,[1]Companies!$A:$A,0)),"")</f>
        <v>2007</v>
      </c>
      <c r="R228" s="17">
        <f t="shared" si="350"/>
        <v>167500000</v>
      </c>
      <c r="S228" s="14">
        <f>VLOOKUP(I228,[1]Lookups!$V$3:$Y$197,4,FALSE)</f>
        <v>0</v>
      </c>
      <c r="T228" s="14" t="str">
        <f>VLOOKUP(E228,[1]Lookups!$H$3:$I$71,2,FALSE)</f>
        <v>5. Debt Financing</v>
      </c>
      <c r="U228" s="14" t="e">
        <f>VLOOKUP(K228,[1]Lookups!$B$3:$C$142,2,FALSE)</f>
        <v>#N/A</v>
      </c>
      <c r="V228" s="14">
        <f t="shared" si="1"/>
        <v>2016</v>
      </c>
      <c r="W228" s="14">
        <f t="shared" si="2"/>
        <v>10</v>
      </c>
      <c r="X228" s="14">
        <f>VLOOKUP(W228,[1]Lookups!$P$3:$S$15,2,FALSE)</f>
        <v>4</v>
      </c>
      <c r="Y228" s="16">
        <f>VLOOKUP(W228,[1]Lookups!$P$3:$U$15,3,FALSE)</f>
        <v>2</v>
      </c>
      <c r="Z228" s="16">
        <f t="shared" si="3"/>
        <v>1</v>
      </c>
      <c r="AA228" s="16" t="str">
        <f t="shared" ca="1" si="335"/>
        <v xml:space="preserve"> BoostVC</v>
      </c>
      <c r="AB228" s="16">
        <f t="shared" si="335"/>
        <v>0</v>
      </c>
      <c r="AC228" s="16">
        <f t="shared" si="335"/>
        <v>0</v>
      </c>
      <c r="AD228" s="16">
        <f t="shared" si="335"/>
        <v>0</v>
      </c>
      <c r="AE228" s="16">
        <f t="shared" si="335"/>
        <v>0</v>
      </c>
      <c r="AF228" s="16">
        <f t="shared" si="335"/>
        <v>0</v>
      </c>
      <c r="AG228" s="16">
        <f t="shared" si="335"/>
        <v>0</v>
      </c>
      <c r="AH228" s="16">
        <f t="shared" si="335"/>
        <v>0</v>
      </c>
      <c r="AI228" s="16">
        <f t="shared" si="335"/>
        <v>0</v>
      </c>
      <c r="AJ228" s="16">
        <f t="shared" si="335"/>
        <v>0</v>
      </c>
      <c r="AK228" s="16">
        <f t="shared" si="335"/>
        <v>0</v>
      </c>
      <c r="AL228" s="16">
        <f t="shared" si="335"/>
        <v>0</v>
      </c>
      <c r="AM228" s="16">
        <f t="shared" si="335"/>
        <v>0</v>
      </c>
      <c r="AN228" s="16">
        <f t="shared" si="335"/>
        <v>0</v>
      </c>
      <c r="AO228" s="16">
        <f t="shared" si="335"/>
        <v>0</v>
      </c>
      <c r="AP228" s="10"/>
      <c r="AQ228" s="10"/>
      <c r="AR228" s="10"/>
      <c r="AS228" s="10" t="str">
        <f t="shared" ref="AS228" ca="1" si="352">IFERROR(__xludf.DUMMYFUNCTION("split(F216,"","",true,true)")," BoostVC")</f>
        <v xml:space="preserve"> BoostVC</v>
      </c>
      <c r="AT228" s="10"/>
      <c r="AU228" s="10"/>
      <c r="AV228" s="10"/>
      <c r="AW228" s="10"/>
      <c r="AX228" s="10"/>
      <c r="AY228" s="10"/>
      <c r="AZ228" s="10"/>
      <c r="BA228" s="10"/>
      <c r="BB228" s="10"/>
      <c r="BC228" s="10"/>
      <c r="BD228" s="10"/>
      <c r="BE228" s="10"/>
      <c r="BF228" s="10"/>
      <c r="BG228" s="10"/>
      <c r="BH228" s="10"/>
      <c r="BI228" s="10"/>
      <c r="BJ228" s="10"/>
      <c r="BK228" s="10"/>
      <c r="BM228" s="10"/>
    </row>
    <row r="229" spans="1:65" ht="12.75">
      <c r="A229" s="18">
        <v>42675</v>
      </c>
      <c r="B229" s="14" t="s">
        <v>561</v>
      </c>
      <c r="C229" s="19">
        <v>70000</v>
      </c>
      <c r="D229" s="19"/>
      <c r="E229" s="14" t="s">
        <v>49</v>
      </c>
      <c r="F229" s="14" t="s">
        <v>49</v>
      </c>
      <c r="G229" s="21" t="s">
        <v>562</v>
      </c>
      <c r="H229" s="14" t="str">
        <f t="array" ref="H229">IFERROR(INDEX([1]Companies!$G:$G,MATCH(B229,[1]Companies!$A:$A,0)),"")</f>
        <v>Kenya</v>
      </c>
      <c r="I229" s="14" t="str">
        <f t="shared" si="329"/>
        <v>Kenya</v>
      </c>
      <c r="J229" s="14" t="str">
        <f t="array" ref="J229">IFERROR(INDEX([1]Companies!$Y:$Y,MATCH(B229,[1]Companies!$A:$A,0)),"")</f>
        <v>Finance, FinTech</v>
      </c>
      <c r="K229" s="14" t="str">
        <f t="array" ref="K229">IFERROR(INDEX([1]Companies!$X:$X,MATCH(B229,[1]Companies!$A:$A,0)),"")</f>
        <v>Financial Services</v>
      </c>
      <c r="L229" s="14" t="str">
        <f>VLOOKUP(B229,[1]Companies!$A$1:$C$5243,1,FALSE)</f>
        <v>Shield</v>
      </c>
      <c r="M229" s="15">
        <f t="shared" si="330"/>
        <v>0.9</v>
      </c>
      <c r="N229" s="10" t="str">
        <f t="shared" si="347"/>
        <v>42675Shield70000</v>
      </c>
      <c r="O229" s="14" t="str">
        <f t="shared" si="348"/>
        <v/>
      </c>
      <c r="P229" s="14">
        <f t="shared" si="349"/>
        <v>1</v>
      </c>
      <c r="Q229" s="14">
        <f t="array" ref="Q229">IFERROR(INDEX([1]Companies!$D:$D,MATCH(B229,[1]Companies!$A:$A,0)),"")</f>
        <v>2015</v>
      </c>
      <c r="R229" s="17">
        <f t="shared" si="350"/>
        <v>70000</v>
      </c>
      <c r="S229" s="14">
        <f>VLOOKUP(I229,[1]Lookups!$V$3:$Y$197,4,FALSE)</f>
        <v>0</v>
      </c>
      <c r="T229" s="14">
        <f>VLOOKUP(E229,[1]Lookups!$H$3:$I$71,2,FALSE)</f>
        <v>0</v>
      </c>
      <c r="U229" s="14" t="str">
        <f>VLOOKUP(K229,[1]Lookups!$B$3:$C$142,2,FALSE)</f>
        <v>Financial Services</v>
      </c>
      <c r="V229" s="14">
        <f t="shared" si="1"/>
        <v>2016</v>
      </c>
      <c r="W229" s="14">
        <f t="shared" si="2"/>
        <v>11</v>
      </c>
      <c r="X229" s="14">
        <f>VLOOKUP(W229,[1]Lookups!$P$3:$S$15,2,FALSE)</f>
        <v>4</v>
      </c>
      <c r="Y229" s="16">
        <f>VLOOKUP(W229,[1]Lookups!$P$3:$U$15,3,FALSE)</f>
        <v>2</v>
      </c>
      <c r="Z229" s="16">
        <f t="shared" si="3"/>
        <v>1</v>
      </c>
      <c r="AA229" s="16" t="str">
        <f t="shared" ca="1" si="335"/>
        <v xml:space="preserve"> BoostVC</v>
      </c>
      <c r="AB229" s="16">
        <f t="shared" si="335"/>
        <v>0</v>
      </c>
      <c r="AC229" s="16">
        <f t="shared" si="335"/>
        <v>0</v>
      </c>
      <c r="AD229" s="16">
        <f t="shared" si="335"/>
        <v>0</v>
      </c>
      <c r="AE229" s="16">
        <f t="shared" si="335"/>
        <v>0</v>
      </c>
      <c r="AF229" s="16">
        <f t="shared" si="335"/>
        <v>0</v>
      </c>
      <c r="AG229" s="16">
        <f t="shared" si="335"/>
        <v>0</v>
      </c>
      <c r="AH229" s="16">
        <f t="shared" si="335"/>
        <v>0</v>
      </c>
      <c r="AI229" s="16">
        <f t="shared" si="335"/>
        <v>0</v>
      </c>
      <c r="AJ229" s="16">
        <f t="shared" si="335"/>
        <v>0</v>
      </c>
      <c r="AK229" s="16">
        <f t="shared" si="335"/>
        <v>0</v>
      </c>
      <c r="AL229" s="16">
        <f t="shared" si="335"/>
        <v>0</v>
      </c>
      <c r="AM229" s="16">
        <f t="shared" si="335"/>
        <v>0</v>
      </c>
      <c r="AN229" s="16">
        <f t="shared" si="335"/>
        <v>0</v>
      </c>
      <c r="AO229" s="16">
        <f t="shared" si="335"/>
        <v>0</v>
      </c>
      <c r="AP229" s="10"/>
      <c r="AQ229" s="10"/>
      <c r="AR229" s="10"/>
      <c r="AS229" s="10" t="str">
        <f t="shared" ref="AS229" ca="1" si="353">IFERROR(__xludf.DUMMYFUNCTION("split(F216,"","",true,true)")," BoostVC")</f>
        <v xml:space="preserve"> BoostVC</v>
      </c>
      <c r="AT229" s="10"/>
      <c r="AU229" s="10"/>
      <c r="AV229" s="10"/>
      <c r="AW229" s="10"/>
      <c r="AX229" s="10"/>
      <c r="AY229" s="10"/>
      <c r="AZ229" s="10"/>
      <c r="BA229" s="10"/>
      <c r="BB229" s="10"/>
      <c r="BC229" s="10"/>
      <c r="BD229" s="10"/>
      <c r="BE229" s="10"/>
      <c r="BF229" s="10"/>
      <c r="BG229" s="10"/>
      <c r="BH229" s="10"/>
      <c r="BI229" s="10"/>
      <c r="BJ229" s="10"/>
      <c r="BK229" s="10"/>
      <c r="BM229" s="10"/>
    </row>
    <row r="230" spans="1:65" ht="12.75">
      <c r="A230" s="9">
        <v>42688</v>
      </c>
      <c r="B230" s="10" t="s">
        <v>563</v>
      </c>
      <c r="C230" s="11">
        <v>100000</v>
      </c>
      <c r="D230" s="12"/>
      <c r="E230" s="14" t="s">
        <v>564</v>
      </c>
      <c r="F230" s="10" t="s">
        <v>49</v>
      </c>
      <c r="G230" s="13" t="s">
        <v>565</v>
      </c>
      <c r="H230" s="14" t="str">
        <f t="array" ref="H230">IFERROR(INDEX([1]Companies!$G:$G,MATCH(B230,[1]Companies!$A:$A,0)),"")</f>
        <v>Ethiopia</v>
      </c>
      <c r="I230" s="14" t="str">
        <f t="shared" si="329"/>
        <v>Ethiopia</v>
      </c>
      <c r="J230" s="14" t="str">
        <f t="array" ref="J230">IFERROR(INDEX([1]Companies!$Y:$Y,MATCH(B230,[1]Companies!$A:$A,0)),"")</f>
        <v>Apps, Internet, Travel</v>
      </c>
      <c r="K230" s="14" t="str">
        <f t="array" ref="K230">IFERROR(INDEX([1]Companies!$X:$X,MATCH(B230,[1]Companies!$A:$A,0)),"")</f>
        <v>Information Technology</v>
      </c>
      <c r="L230" s="14" t="str">
        <f>VLOOKUP(B230,[1]Companies!$A$1:$C$5243,1,FALSE)</f>
        <v>ZayRide</v>
      </c>
      <c r="M230" s="15">
        <f t="shared" si="330"/>
        <v>0.9</v>
      </c>
      <c r="N230" s="10" t="str">
        <f t="shared" si="347"/>
        <v>42688ZayRide100000</v>
      </c>
      <c r="O230" s="14" t="str">
        <f t="shared" si="348"/>
        <v/>
      </c>
      <c r="P230" s="14">
        <f t="shared" si="349"/>
        <v>1</v>
      </c>
      <c r="Q230" s="14">
        <f t="array" ref="Q230">IFERROR(INDEX([1]Companies!$D:$D,MATCH(B230,[1]Companies!$A:$A,0)),"")</f>
        <v>2015</v>
      </c>
      <c r="R230" s="17">
        <f t="shared" si="350"/>
        <v>100000</v>
      </c>
      <c r="S230" s="14">
        <f>VLOOKUP(I230,[1]Lookups!$V$3:$Y$197,4,FALSE)</f>
        <v>0</v>
      </c>
      <c r="T230" s="14" t="str">
        <f>VLOOKUP(E230,[1]Lookups!$H$3:$I$71,2,FALSE)</f>
        <v>7. Offerings</v>
      </c>
      <c r="U230" s="14" t="str">
        <f>VLOOKUP(K230,[1]Lookups!$B$3:$C$142,2,FALSE)</f>
        <v>Other Technologies &amp; Information Technology</v>
      </c>
      <c r="V230" s="14">
        <f t="shared" si="1"/>
        <v>2016</v>
      </c>
      <c r="W230" s="14">
        <f t="shared" si="2"/>
        <v>11</v>
      </c>
      <c r="X230" s="14">
        <f>VLOOKUP(W230,[1]Lookups!$P$3:$S$15,2,FALSE)</f>
        <v>4</v>
      </c>
      <c r="Y230" s="16">
        <f>VLOOKUP(W230,[1]Lookups!$P$3:$U$15,3,FALSE)</f>
        <v>2</v>
      </c>
      <c r="Z230" s="16">
        <f t="shared" si="3"/>
        <v>1</v>
      </c>
      <c r="AA230" s="16" t="str">
        <f t="shared" ca="1" si="335"/>
        <v xml:space="preserve"> BoostVC</v>
      </c>
      <c r="AB230" s="16">
        <f t="shared" si="335"/>
        <v>0</v>
      </c>
      <c r="AC230" s="16">
        <f t="shared" si="335"/>
        <v>0</v>
      </c>
      <c r="AD230" s="16">
        <f t="shared" si="335"/>
        <v>0</v>
      </c>
      <c r="AE230" s="16">
        <f t="shared" si="335"/>
        <v>0</v>
      </c>
      <c r="AF230" s="16">
        <f t="shared" si="335"/>
        <v>0</v>
      </c>
      <c r="AG230" s="16">
        <f t="shared" si="335"/>
        <v>0</v>
      </c>
      <c r="AH230" s="16">
        <f t="shared" si="335"/>
        <v>0</v>
      </c>
      <c r="AI230" s="16">
        <f t="shared" si="335"/>
        <v>0</v>
      </c>
      <c r="AJ230" s="16">
        <f t="shared" si="335"/>
        <v>0</v>
      </c>
      <c r="AK230" s="16">
        <f t="shared" si="335"/>
        <v>0</v>
      </c>
      <c r="AL230" s="16">
        <f t="shared" si="335"/>
        <v>0</v>
      </c>
      <c r="AM230" s="16">
        <f t="shared" si="335"/>
        <v>0</v>
      </c>
      <c r="AN230" s="16">
        <f t="shared" si="335"/>
        <v>0</v>
      </c>
      <c r="AO230" s="16">
        <f t="shared" si="335"/>
        <v>0</v>
      </c>
      <c r="AP230" s="10"/>
      <c r="AQ230" s="10"/>
      <c r="AR230" s="10"/>
      <c r="AS230" s="10" t="str">
        <f t="shared" ref="AS230" ca="1" si="354">IFERROR(__xludf.DUMMYFUNCTION("split(F216,"","",true,true)")," BoostVC")</f>
        <v xml:space="preserve"> BoostVC</v>
      </c>
      <c r="AT230" s="10"/>
      <c r="AU230" s="10"/>
      <c r="AV230" s="10"/>
      <c r="AW230" s="10"/>
      <c r="AX230" s="10"/>
      <c r="AY230" s="10"/>
      <c r="AZ230" s="10"/>
      <c r="BA230" s="10"/>
      <c r="BB230" s="10"/>
      <c r="BC230" s="10"/>
      <c r="BD230" s="10"/>
      <c r="BE230" s="10"/>
      <c r="BF230" s="10"/>
      <c r="BG230" s="10"/>
      <c r="BH230" s="10"/>
      <c r="BI230" s="10"/>
      <c r="BJ230" s="10"/>
      <c r="BK230" s="10"/>
      <c r="BM230" s="10"/>
    </row>
    <row r="231" spans="1:65" ht="12.75">
      <c r="A231" s="18">
        <v>42691</v>
      </c>
      <c r="B231" s="14" t="s">
        <v>566</v>
      </c>
      <c r="C231" s="19">
        <v>1600000</v>
      </c>
      <c r="D231" s="19"/>
      <c r="E231" s="14" t="s">
        <v>45</v>
      </c>
      <c r="F231" s="20" t="s">
        <v>567</v>
      </c>
      <c r="G231" s="21" t="s">
        <v>568</v>
      </c>
      <c r="H231" s="14" t="str">
        <f t="array" ref="H231">IFERROR(INDEX([1]Companies!$G:$G,MATCH(B231,[1]Companies!$A:$A,0)),"")</f>
        <v>Kenya</v>
      </c>
      <c r="I231" s="14" t="str">
        <f t="shared" si="329"/>
        <v>Kenya</v>
      </c>
      <c r="J231" s="14" t="str">
        <f t="array" ref="J231">IFERROR(INDEX([1]Companies!$Y:$Y,MATCH(B231,[1]Companies!$A:$A,0)),"")</f>
        <v>Agriculture, AgTech, Crowdsourcing, Internet</v>
      </c>
      <c r="K231" s="14" t="str">
        <f t="array" ref="K231">IFERROR(INDEX([1]Companies!$X:$X,MATCH(B231,[1]Companies!$A:$A,0)),"")</f>
        <v>Agriculture</v>
      </c>
      <c r="L231" s="14" t="str">
        <f>VLOOKUP(B231,[1]Companies!$A$1:$C$5243,1,FALSE)</f>
        <v>Wefarm</v>
      </c>
      <c r="M231" s="15">
        <f t="shared" si="330"/>
        <v>0.9</v>
      </c>
      <c r="N231" s="10" t="str">
        <f t="shared" si="347"/>
        <v>42691WeFarm1600000</v>
      </c>
      <c r="O231" s="14" t="str">
        <f t="shared" si="348"/>
        <v/>
      </c>
      <c r="P231" s="14">
        <f t="shared" si="349"/>
        <v>1</v>
      </c>
      <c r="Q231" s="14">
        <f t="array" ref="Q231">IFERROR(INDEX([1]Companies!$D:$D,MATCH(B231,[1]Companies!$A:$A,0)),"")</f>
        <v>2015</v>
      </c>
      <c r="R231" s="17">
        <f t="shared" si="350"/>
        <v>6600000</v>
      </c>
      <c r="S231" s="14">
        <f>VLOOKUP(I231,[1]Lookups!$V$3:$Y$197,4,FALSE)</f>
        <v>0</v>
      </c>
      <c r="T231" s="14" t="str">
        <f>VLOOKUP(E231,[1]Lookups!$H$3:$I$71,2,FALSE)</f>
        <v>2. Seed</v>
      </c>
      <c r="U231" s="14" t="str">
        <f>VLOOKUP(K231,[1]Lookups!$B$3:$C$142,2,FALSE)</f>
        <v>Agriculture</v>
      </c>
      <c r="V231" s="14">
        <f t="shared" si="1"/>
        <v>2016</v>
      </c>
      <c r="W231" s="14">
        <f t="shared" si="2"/>
        <v>11</v>
      </c>
      <c r="X231" s="14">
        <f>VLOOKUP(W231,[1]Lookups!$P$3:$S$15,2,FALSE)</f>
        <v>4</v>
      </c>
      <c r="Y231" s="16">
        <f>VLOOKUP(W231,[1]Lookups!$P$3:$U$15,3,FALSE)</f>
        <v>2</v>
      </c>
      <c r="Z231" s="16">
        <f t="shared" si="3"/>
        <v>3</v>
      </c>
      <c r="AA231" s="16" t="str">
        <f t="shared" ca="1" si="335"/>
        <v xml:space="preserve"> BoostVC</v>
      </c>
      <c r="AB231" s="16" t="str">
        <f t="shared" ca="1" si="335"/>
        <v xml:space="preserve"> LocalGlobe</v>
      </c>
      <c r="AC231" s="16" t="str">
        <f t="shared" ca="1" si="335"/>
        <v xml:space="preserve"> ADV </v>
      </c>
      <c r="AD231" s="16">
        <f t="shared" si="335"/>
        <v>0</v>
      </c>
      <c r="AE231" s="16">
        <f t="shared" si="335"/>
        <v>0</v>
      </c>
      <c r="AF231" s="16">
        <f t="shared" si="335"/>
        <v>0</v>
      </c>
      <c r="AG231" s="16">
        <f t="shared" si="335"/>
        <v>0</v>
      </c>
      <c r="AH231" s="16">
        <f t="shared" si="335"/>
        <v>0</v>
      </c>
      <c r="AI231" s="16">
        <f t="shared" si="335"/>
        <v>0</v>
      </c>
      <c r="AJ231" s="16">
        <f t="shared" si="335"/>
        <v>0</v>
      </c>
      <c r="AK231" s="16">
        <f t="shared" si="335"/>
        <v>0</v>
      </c>
      <c r="AL231" s="16">
        <f t="shared" si="335"/>
        <v>0</v>
      </c>
      <c r="AM231" s="16">
        <f t="shared" si="335"/>
        <v>0</v>
      </c>
      <c r="AN231" s="16">
        <f t="shared" si="335"/>
        <v>0</v>
      </c>
      <c r="AO231" s="16">
        <f t="shared" si="335"/>
        <v>0</v>
      </c>
      <c r="AP231" s="10"/>
      <c r="AQ231" s="10"/>
      <c r="AR231" s="10"/>
      <c r="AS231" s="10" t="str">
        <f t="shared" ref="AS231" ca="1" si="355">IFERROR(__xludf.DUMMYFUNCTION("split(F216,"","",true,true)")," BoostVC")</f>
        <v xml:space="preserve"> BoostVC</v>
      </c>
      <c r="AT231" s="10" t="str">
        <f ca="1">IFERROR(__xludf.DUMMYFUNCTION("""COMPUTED_VALUE""")," LocalGlobe")</f>
        <v xml:space="preserve"> LocalGlobe</v>
      </c>
      <c r="AU231" s="10" t="str">
        <f ca="1">IFERROR(__xludf.DUMMYFUNCTION("""COMPUTED_VALUE""")," ADV ")</f>
        <v xml:space="preserve"> ADV </v>
      </c>
      <c r="AV231" s="10"/>
      <c r="AW231" s="10"/>
      <c r="AX231" s="10"/>
      <c r="AY231" s="10"/>
      <c r="AZ231" s="10"/>
      <c r="BA231" s="10"/>
      <c r="BB231" s="10"/>
      <c r="BC231" s="10"/>
      <c r="BD231" s="10"/>
      <c r="BE231" s="10"/>
      <c r="BF231" s="10"/>
      <c r="BG231" s="10"/>
      <c r="BH231" s="10"/>
      <c r="BI231" s="10"/>
      <c r="BJ231" s="10"/>
      <c r="BK231" s="10"/>
      <c r="BM231" s="10"/>
    </row>
    <row r="232" spans="1:65" ht="12.75">
      <c r="A232" s="18">
        <v>42691</v>
      </c>
      <c r="B232" s="21" t="s">
        <v>569</v>
      </c>
      <c r="C232" s="19">
        <v>175000</v>
      </c>
      <c r="D232" s="19"/>
      <c r="E232" s="14" t="s">
        <v>45</v>
      </c>
      <c r="F232" s="20" t="s">
        <v>570</v>
      </c>
      <c r="G232" s="21" t="s">
        <v>571</v>
      </c>
      <c r="H232" s="14" t="str">
        <f t="array" ref="H232">IFERROR(INDEX([1]Companies!$G:$G,MATCH(B232,[1]Companies!$A:$A,0)),"")</f>
        <v>South Africa</v>
      </c>
      <c r="I232" s="14" t="str">
        <f t="shared" si="329"/>
        <v>South Africa</v>
      </c>
      <c r="J232" s="14" t="str">
        <f t="array" ref="J232">IFERROR(INDEX([1]Companies!$Y:$Y,MATCH(B232,[1]Companies!$A:$A,0)),"")</f>
        <v>Podcasts, Audio, Transcoding, Live-streaming</v>
      </c>
      <c r="K232" s="14" t="str">
        <f t="array" ref="K232">IFERROR(INDEX([1]Companies!$X:$X,MATCH(B232,[1]Companies!$A:$A,0)),"")</f>
        <v>Media &amp; Entertainment</v>
      </c>
      <c r="L232" s="21" t="str">
        <f>VLOOKUP(B232,[1]Companies!$A$1:$C$5243,1,FALSE)</f>
        <v>Iono.Fm</v>
      </c>
      <c r="M232" s="15">
        <f t="shared" si="330"/>
        <v>0.9</v>
      </c>
      <c r="N232" s="10" t="str">
        <f t="shared" si="347"/>
        <v>42691iono.fm175000</v>
      </c>
      <c r="O232" s="14" t="str">
        <f t="shared" si="348"/>
        <v/>
      </c>
      <c r="P232" s="14">
        <f t="shared" si="349"/>
        <v>1</v>
      </c>
      <c r="Q232" s="14">
        <f t="array" ref="Q232">IFERROR(INDEX([1]Companies!$D:$D,MATCH(B232,[1]Companies!$A:$A,0)),"")</f>
        <v>2008</v>
      </c>
      <c r="R232" s="17">
        <f t="shared" si="350"/>
        <v>454600</v>
      </c>
      <c r="S232" s="14">
        <f>VLOOKUP(I232,[1]Lookups!$V$3:$Y$197,4,FALSE)</f>
        <v>0</v>
      </c>
      <c r="T232" s="14" t="str">
        <f>VLOOKUP(E232,[1]Lookups!$H$3:$I$71,2,FALSE)</f>
        <v>2. Seed</v>
      </c>
      <c r="U232" s="14" t="str">
        <f>VLOOKUP(K232,[1]Lookups!$B$3:$C$142,2,FALSE)</f>
        <v>Media &amp; Entertainment</v>
      </c>
      <c r="V232" s="14">
        <f t="shared" si="1"/>
        <v>2016</v>
      </c>
      <c r="W232" s="14">
        <f t="shared" si="2"/>
        <v>11</v>
      </c>
      <c r="X232" s="14">
        <f>VLOOKUP(W232,[1]Lookups!$P$3:$S$15,2,FALSE)</f>
        <v>4</v>
      </c>
      <c r="Y232" s="16">
        <f>VLOOKUP(W232,[1]Lookups!$P$3:$U$15,3,FALSE)</f>
        <v>2</v>
      </c>
      <c r="Z232" s="16">
        <f t="shared" si="3"/>
        <v>1</v>
      </c>
      <c r="AA232" s="16" t="str">
        <f t="shared" ref="AA232:AO247" ca="1" si="356">AS232</f>
        <v xml:space="preserve"> BoostVC</v>
      </c>
      <c r="AB232" s="16">
        <f t="shared" si="356"/>
        <v>0</v>
      </c>
      <c r="AC232" s="16">
        <f t="shared" si="356"/>
        <v>0</v>
      </c>
      <c r="AD232" s="16">
        <f t="shared" si="356"/>
        <v>0</v>
      </c>
      <c r="AE232" s="16">
        <f t="shared" si="356"/>
        <v>0</v>
      </c>
      <c r="AF232" s="16">
        <f t="shared" si="356"/>
        <v>0</v>
      </c>
      <c r="AG232" s="16">
        <f t="shared" si="356"/>
        <v>0</v>
      </c>
      <c r="AH232" s="16">
        <f t="shared" si="356"/>
        <v>0</v>
      </c>
      <c r="AI232" s="16">
        <f t="shared" si="356"/>
        <v>0</v>
      </c>
      <c r="AJ232" s="16">
        <f t="shared" si="356"/>
        <v>0</v>
      </c>
      <c r="AK232" s="16">
        <f t="shared" si="356"/>
        <v>0</v>
      </c>
      <c r="AL232" s="16">
        <f t="shared" si="356"/>
        <v>0</v>
      </c>
      <c r="AM232" s="16">
        <f t="shared" si="356"/>
        <v>0</v>
      </c>
      <c r="AN232" s="16">
        <f t="shared" si="356"/>
        <v>0</v>
      </c>
      <c r="AO232" s="16">
        <f t="shared" si="356"/>
        <v>0</v>
      </c>
      <c r="AP232" s="10"/>
      <c r="AQ232" s="10"/>
      <c r="AR232" s="10"/>
      <c r="AS232" s="10" t="str">
        <f t="shared" ref="AS232" ca="1" si="357">IFERROR(__xludf.DUMMYFUNCTION("split(F216,"","",true,true)")," BoostVC")</f>
        <v xml:space="preserve"> BoostVC</v>
      </c>
      <c r="AT232" s="10"/>
      <c r="AU232" s="10"/>
      <c r="AV232" s="10"/>
      <c r="AW232" s="10"/>
      <c r="AX232" s="10"/>
      <c r="AY232" s="10"/>
      <c r="AZ232" s="10"/>
      <c r="BA232" s="10"/>
      <c r="BB232" s="10"/>
      <c r="BC232" s="10"/>
      <c r="BD232" s="10"/>
      <c r="BE232" s="10"/>
      <c r="BF232" s="10"/>
      <c r="BG232" s="10"/>
      <c r="BH232" s="10"/>
      <c r="BI232" s="10"/>
      <c r="BJ232" s="10"/>
      <c r="BK232" s="10"/>
      <c r="BM232" s="10"/>
    </row>
    <row r="233" spans="1:65" ht="12.75">
      <c r="A233" s="9">
        <v>42695</v>
      </c>
      <c r="B233" s="10" t="s">
        <v>315</v>
      </c>
      <c r="C233" s="11">
        <v>150000</v>
      </c>
      <c r="D233" s="12"/>
      <c r="E233" s="10" t="s">
        <v>45</v>
      </c>
      <c r="F233" s="10" t="s">
        <v>226</v>
      </c>
      <c r="G233" s="13" t="s">
        <v>572</v>
      </c>
      <c r="H233" s="14" t="str">
        <f t="array" ref="H233">IFERROR(INDEX([1]Companies!$G:$G,MATCH(B233,[1]Companies!$A:$A,0)),"")</f>
        <v>Nigeria</v>
      </c>
      <c r="I233" s="14" t="str">
        <f t="shared" si="329"/>
        <v>Nigeria</v>
      </c>
      <c r="J233" s="14" t="str">
        <f t="array" ref="J233">IFERROR(INDEX([1]Companies!$Y:$Y,MATCH(B233,[1]Companies!$A:$A,0)),"")</f>
        <v>Human Resources Technology, Human Resources Management Software, and Human Resources Consultation</v>
      </c>
      <c r="K233" s="14" t="str">
        <f t="array" ref="K233">IFERROR(INDEX([1]Companies!$X:$X,MATCH(B233,[1]Companies!$A:$A,0)),"")</f>
        <v>Recruitment</v>
      </c>
      <c r="L233" s="14" t="str">
        <f>VLOOKUP(B233,[1]Companies!$A$1:$C$5243,1,FALSE)</f>
        <v>TalentBase</v>
      </c>
      <c r="M233" s="15">
        <f t="shared" si="330"/>
        <v>0.9</v>
      </c>
      <c r="N233" s="10" t="str">
        <f t="shared" si="347"/>
        <v>42695TalentBase150000</v>
      </c>
      <c r="O233" s="14" t="str">
        <f t="shared" si="348"/>
        <v/>
      </c>
      <c r="P233" s="14">
        <f t="shared" si="349"/>
        <v>1</v>
      </c>
      <c r="Q233" s="14">
        <f t="array" ref="Q233">IFERROR(INDEX([1]Companies!$D:$D,MATCH(B233,[1]Companies!$A:$A,0)),"")</f>
        <v>2016</v>
      </c>
      <c r="R233" s="17">
        <f t="shared" si="350"/>
        <v>330000</v>
      </c>
      <c r="S233" s="14">
        <f>VLOOKUP(I233,[1]Lookups!$V$3:$Y$197,4,FALSE)</f>
        <v>0</v>
      </c>
      <c r="T233" s="14" t="str">
        <f>VLOOKUP(E233,[1]Lookups!$H$3:$I$71,2,FALSE)</f>
        <v>2. Seed</v>
      </c>
      <c r="U233" s="14" t="str">
        <f>VLOOKUP(K233,[1]Lookups!$B$3:$C$142,2,FALSE)</f>
        <v>Employment, Talent &amp; Labour</v>
      </c>
      <c r="V233" s="14">
        <f t="shared" si="1"/>
        <v>2016</v>
      </c>
      <c r="W233" s="14">
        <f t="shared" si="2"/>
        <v>11</v>
      </c>
      <c r="X233" s="14">
        <f>VLOOKUP(W233,[1]Lookups!$P$3:$S$15,2,FALSE)</f>
        <v>4</v>
      </c>
      <c r="Y233" s="16">
        <f>VLOOKUP(W233,[1]Lookups!$P$3:$U$15,3,FALSE)</f>
        <v>2</v>
      </c>
      <c r="Z233" s="16">
        <f t="shared" si="3"/>
        <v>1</v>
      </c>
      <c r="AA233" s="16" t="str">
        <f t="shared" ca="1" si="356"/>
        <v xml:space="preserve"> BoostVC</v>
      </c>
      <c r="AB233" s="16">
        <f t="shared" si="356"/>
        <v>0</v>
      </c>
      <c r="AC233" s="16">
        <f t="shared" si="356"/>
        <v>0</v>
      </c>
      <c r="AD233" s="16">
        <f t="shared" si="356"/>
        <v>0</v>
      </c>
      <c r="AE233" s="16">
        <f t="shared" si="356"/>
        <v>0</v>
      </c>
      <c r="AF233" s="16">
        <f t="shared" si="356"/>
        <v>0</v>
      </c>
      <c r="AG233" s="16">
        <f t="shared" si="356"/>
        <v>0</v>
      </c>
      <c r="AH233" s="16">
        <f t="shared" si="356"/>
        <v>0</v>
      </c>
      <c r="AI233" s="16">
        <f t="shared" si="356"/>
        <v>0</v>
      </c>
      <c r="AJ233" s="16">
        <f t="shared" si="356"/>
        <v>0</v>
      </c>
      <c r="AK233" s="16">
        <f t="shared" si="356"/>
        <v>0</v>
      </c>
      <c r="AL233" s="16">
        <f t="shared" si="356"/>
        <v>0</v>
      </c>
      <c r="AM233" s="16">
        <f t="shared" si="356"/>
        <v>0</v>
      </c>
      <c r="AN233" s="16">
        <f t="shared" si="356"/>
        <v>0</v>
      </c>
      <c r="AO233" s="16">
        <f t="shared" si="356"/>
        <v>0</v>
      </c>
      <c r="AP233" s="10"/>
      <c r="AQ233" s="10"/>
      <c r="AR233" s="10"/>
      <c r="AS233" s="10" t="str">
        <f t="shared" ref="AS233" ca="1" si="358">IFERROR(__xludf.DUMMYFUNCTION("split(F216,"","",true,true)")," BoostVC")</f>
        <v xml:space="preserve"> BoostVC</v>
      </c>
      <c r="AT233" s="10"/>
      <c r="AU233" s="10"/>
      <c r="AV233" s="10"/>
      <c r="AW233" s="10"/>
      <c r="AX233" s="10"/>
      <c r="AY233" s="10"/>
      <c r="AZ233" s="10"/>
      <c r="BA233" s="10"/>
      <c r="BB233" s="10"/>
      <c r="BC233" s="10"/>
      <c r="BD233" s="10"/>
      <c r="BE233" s="10"/>
      <c r="BF233" s="10"/>
      <c r="BG233" s="10"/>
      <c r="BH233" s="10"/>
      <c r="BI233" s="10"/>
      <c r="BJ233" s="10"/>
      <c r="BK233" s="10"/>
      <c r="BM233" s="10"/>
    </row>
    <row r="234" spans="1:65" ht="12.75">
      <c r="A234" s="18">
        <v>42695</v>
      </c>
      <c r="B234" s="14" t="s">
        <v>573</v>
      </c>
      <c r="C234" s="19">
        <v>150000</v>
      </c>
      <c r="D234" s="19"/>
      <c r="E234" s="14" t="s">
        <v>45</v>
      </c>
      <c r="F234" s="14" t="s">
        <v>226</v>
      </c>
      <c r="G234" s="21" t="s">
        <v>574</v>
      </c>
      <c r="H234" s="14" t="str">
        <f t="array" ref="H234">IFERROR(INDEX([1]Companies!$G:$G,MATCH(B234,[1]Companies!$A:$A,0)),"")</f>
        <v>Nigeria</v>
      </c>
      <c r="I234" s="14" t="str">
        <f t="shared" si="329"/>
        <v>Nigeria</v>
      </c>
      <c r="J234" s="14" t="str">
        <f t="array" ref="J234">IFERROR(INDEX([1]Companies!$Y:$Y,MATCH(B234,[1]Companies!$A:$A,0)),"")</f>
        <v>Blockchain, Micro-Loans</v>
      </c>
      <c r="K234" s="14" t="str">
        <f t="array" ref="K234">IFERROR(INDEX([1]Companies!$X:$X,MATCH(B234,[1]Companies!$A:$A,0)),"")</f>
        <v>Financial Services</v>
      </c>
      <c r="L234" s="14" t="str">
        <f>VLOOKUP(B234,[1]Companies!$A$1:$C$5243,1,FALSE)</f>
        <v>Aella Credit</v>
      </c>
      <c r="M234" s="15">
        <f t="shared" si="330"/>
        <v>0.9</v>
      </c>
      <c r="N234" s="10" t="str">
        <f t="shared" si="347"/>
        <v>42695Aella Credit150000</v>
      </c>
      <c r="O234" s="14" t="str">
        <f t="shared" si="348"/>
        <v/>
      </c>
      <c r="P234" s="14">
        <f t="shared" si="349"/>
        <v>1</v>
      </c>
      <c r="Q234" s="14">
        <f t="array" ref="Q234">IFERROR(INDEX([1]Companies!$D:$D,MATCH(B234,[1]Companies!$A:$A,0)),"")</f>
        <v>2015</v>
      </c>
      <c r="R234" s="17">
        <f t="shared" si="350"/>
        <v>270000</v>
      </c>
      <c r="S234" s="14">
        <f>VLOOKUP(I234,[1]Lookups!$V$3:$Y$197,4,FALSE)</f>
        <v>0</v>
      </c>
      <c r="T234" s="14" t="str">
        <f>VLOOKUP(E234,[1]Lookups!$H$3:$I$71,2,FALSE)</f>
        <v>2. Seed</v>
      </c>
      <c r="U234" s="14" t="str">
        <f>VLOOKUP(K234,[1]Lookups!$B$3:$C$142,2,FALSE)</f>
        <v>Financial Services</v>
      </c>
      <c r="V234" s="14">
        <f t="shared" si="1"/>
        <v>2016</v>
      </c>
      <c r="W234" s="14">
        <f t="shared" si="2"/>
        <v>11</v>
      </c>
      <c r="X234" s="14">
        <f>VLOOKUP(W234,[1]Lookups!$P$3:$S$15,2,FALSE)</f>
        <v>4</v>
      </c>
      <c r="Y234" s="16">
        <f>VLOOKUP(W234,[1]Lookups!$P$3:$U$15,3,FALSE)</f>
        <v>2</v>
      </c>
      <c r="Z234" s="16">
        <f t="shared" si="3"/>
        <v>1</v>
      </c>
      <c r="AA234" s="16" t="str">
        <f t="shared" ca="1" si="356"/>
        <v xml:space="preserve"> BoostVC</v>
      </c>
      <c r="AB234" s="16">
        <f t="shared" si="356"/>
        <v>0</v>
      </c>
      <c r="AC234" s="16">
        <f t="shared" si="356"/>
        <v>0</v>
      </c>
      <c r="AD234" s="16">
        <f t="shared" si="356"/>
        <v>0</v>
      </c>
      <c r="AE234" s="16">
        <f t="shared" si="356"/>
        <v>0</v>
      </c>
      <c r="AF234" s="16">
        <f t="shared" si="356"/>
        <v>0</v>
      </c>
      <c r="AG234" s="16">
        <f t="shared" si="356"/>
        <v>0</v>
      </c>
      <c r="AH234" s="16">
        <f t="shared" si="356"/>
        <v>0</v>
      </c>
      <c r="AI234" s="16">
        <f t="shared" si="356"/>
        <v>0</v>
      </c>
      <c r="AJ234" s="16">
        <f t="shared" si="356"/>
        <v>0</v>
      </c>
      <c r="AK234" s="16">
        <f t="shared" si="356"/>
        <v>0</v>
      </c>
      <c r="AL234" s="16">
        <f t="shared" si="356"/>
        <v>0</v>
      </c>
      <c r="AM234" s="16">
        <f t="shared" si="356"/>
        <v>0</v>
      </c>
      <c r="AN234" s="16">
        <f t="shared" si="356"/>
        <v>0</v>
      </c>
      <c r="AO234" s="16">
        <f t="shared" si="356"/>
        <v>0</v>
      </c>
      <c r="AP234" s="10"/>
      <c r="AQ234" s="10"/>
      <c r="AR234" s="10"/>
      <c r="AS234" s="10" t="str">
        <f t="shared" ref="AS234" ca="1" si="359">IFERROR(__xludf.DUMMYFUNCTION("split(F216,"","",true,true)")," BoostVC")</f>
        <v xml:space="preserve"> BoostVC</v>
      </c>
      <c r="AT234" s="10"/>
      <c r="AU234" s="10"/>
      <c r="AV234" s="10"/>
      <c r="AW234" s="10"/>
      <c r="AX234" s="10"/>
      <c r="AY234" s="10"/>
      <c r="AZ234" s="10"/>
      <c r="BA234" s="10"/>
      <c r="BB234" s="10"/>
      <c r="BC234" s="10"/>
      <c r="BD234" s="10"/>
      <c r="BE234" s="10"/>
      <c r="BF234" s="10"/>
      <c r="BG234" s="10"/>
      <c r="BH234" s="10"/>
      <c r="BI234" s="10"/>
      <c r="BJ234" s="10"/>
      <c r="BK234" s="10"/>
      <c r="BM234" s="10"/>
    </row>
    <row r="235" spans="1:65" ht="12.75">
      <c r="A235" s="18">
        <v>42696</v>
      </c>
      <c r="B235" s="21" t="s">
        <v>439</v>
      </c>
      <c r="C235" s="19">
        <v>457000</v>
      </c>
      <c r="D235" s="19"/>
      <c r="E235" s="10" t="s">
        <v>328</v>
      </c>
      <c r="F235" s="20" t="s">
        <v>440</v>
      </c>
      <c r="G235" s="21" t="s">
        <v>575</v>
      </c>
      <c r="H235" s="14" t="str">
        <f t="array" ref="H235">IFERROR(INDEX([1]Companies!$G:$G,MATCH(B235,[1]Companies!$A:$A,0)),"")</f>
        <v>South Africa</v>
      </c>
      <c r="I235" s="14" t="str">
        <f t="shared" si="329"/>
        <v>South Africa</v>
      </c>
      <c r="J235" s="14" t="str">
        <f t="array" ref="J235">IFERROR(INDEX([1]Companies!$Y:$Y,MATCH(B235,[1]Companies!$A:$A,0)),"")</f>
        <v>Advertising, Information Technology, Product Research</v>
      </c>
      <c r="K235" s="14" t="str">
        <f t="array" ref="K235">IFERROR(INDEX([1]Companies!$X:$X,MATCH(B235,[1]Companies!$A:$A,0)),"")</f>
        <v>Media &amp; Entertainment</v>
      </c>
      <c r="L235" s="21" t="str">
        <f>VLOOKUP(B235,[1]Companies!$A$1:$C$5243,1,FALSE)</f>
        <v>Delvv.Io</v>
      </c>
      <c r="M235" s="15">
        <f t="shared" si="330"/>
        <v>0.9</v>
      </c>
      <c r="N235" s="10" t="str">
        <f t="shared" si="347"/>
        <v>42696delvv.io457000</v>
      </c>
      <c r="O235" s="14" t="str">
        <f t="shared" si="348"/>
        <v/>
      </c>
      <c r="P235" s="14">
        <f t="shared" si="349"/>
        <v>1</v>
      </c>
      <c r="Q235" s="14">
        <f t="array" ref="Q235">IFERROR(INDEX([1]Companies!$D:$D,MATCH(B235,[1]Companies!$A:$A,0)),"")</f>
        <v>2016</v>
      </c>
      <c r="R235" s="17">
        <f t="shared" si="350"/>
        <v>584000</v>
      </c>
      <c r="S235" s="14">
        <f>VLOOKUP(I235,[1]Lookups!$V$3:$Y$197,4,FALSE)</f>
        <v>0</v>
      </c>
      <c r="T235" s="14" t="str">
        <f>VLOOKUP(E235,[1]Lookups!$H$3:$I$71,2,FALSE)</f>
        <v>4. Late Venture</v>
      </c>
      <c r="U235" s="14" t="str">
        <f>VLOOKUP(K235,[1]Lookups!$B$3:$C$142,2,FALSE)</f>
        <v>Media &amp; Entertainment</v>
      </c>
      <c r="V235" s="14">
        <f t="shared" si="1"/>
        <v>2016</v>
      </c>
      <c r="W235" s="14">
        <f t="shared" si="2"/>
        <v>11</v>
      </c>
      <c r="X235" s="14">
        <f>VLOOKUP(W235,[1]Lookups!$P$3:$S$15,2,FALSE)</f>
        <v>4</v>
      </c>
      <c r="Y235" s="16">
        <f>VLOOKUP(W235,[1]Lookups!$P$3:$U$15,3,FALSE)</f>
        <v>2</v>
      </c>
      <c r="Z235" s="16">
        <f t="shared" si="3"/>
        <v>1</v>
      </c>
      <c r="AA235" s="16" t="str">
        <f t="shared" ca="1" si="356"/>
        <v xml:space="preserve"> BoostVC</v>
      </c>
      <c r="AB235" s="16">
        <f t="shared" si="356"/>
        <v>0</v>
      </c>
      <c r="AC235" s="16">
        <f t="shared" si="356"/>
        <v>0</v>
      </c>
      <c r="AD235" s="16">
        <f t="shared" si="356"/>
        <v>0</v>
      </c>
      <c r="AE235" s="16">
        <f t="shared" si="356"/>
        <v>0</v>
      </c>
      <c r="AF235" s="16">
        <f t="shared" si="356"/>
        <v>0</v>
      </c>
      <c r="AG235" s="16">
        <f t="shared" si="356"/>
        <v>0</v>
      </c>
      <c r="AH235" s="16">
        <f t="shared" si="356"/>
        <v>0</v>
      </c>
      <c r="AI235" s="16">
        <f t="shared" si="356"/>
        <v>0</v>
      </c>
      <c r="AJ235" s="16">
        <f t="shared" si="356"/>
        <v>0</v>
      </c>
      <c r="AK235" s="16">
        <f t="shared" si="356"/>
        <v>0</v>
      </c>
      <c r="AL235" s="16">
        <f t="shared" si="356"/>
        <v>0</v>
      </c>
      <c r="AM235" s="16">
        <f t="shared" si="356"/>
        <v>0</v>
      </c>
      <c r="AN235" s="16">
        <f t="shared" si="356"/>
        <v>0</v>
      </c>
      <c r="AO235" s="16">
        <f t="shared" si="356"/>
        <v>0</v>
      </c>
      <c r="AP235" s="10"/>
      <c r="AQ235" s="10"/>
      <c r="AR235" s="10"/>
      <c r="AS235" s="10" t="str">
        <f t="shared" ref="AS235" ca="1" si="360">IFERROR(__xludf.DUMMYFUNCTION("split(F216,"","",true,true)")," BoostVC")</f>
        <v xml:space="preserve"> BoostVC</v>
      </c>
      <c r="AT235" s="10"/>
      <c r="AU235" s="10"/>
      <c r="AV235" s="10"/>
      <c r="AW235" s="10"/>
      <c r="AX235" s="10"/>
      <c r="AY235" s="10"/>
      <c r="AZ235" s="10"/>
      <c r="BA235" s="10"/>
      <c r="BB235" s="10"/>
      <c r="BC235" s="10"/>
      <c r="BD235" s="10"/>
      <c r="BE235" s="10"/>
      <c r="BF235" s="10"/>
      <c r="BG235" s="10"/>
      <c r="BH235" s="10"/>
      <c r="BI235" s="10"/>
      <c r="BJ235" s="10"/>
      <c r="BK235" s="10"/>
      <c r="BM235" s="10"/>
    </row>
    <row r="236" spans="1:65" ht="12.75">
      <c r="A236" s="18">
        <v>42698</v>
      </c>
      <c r="B236" s="20" t="s">
        <v>576</v>
      </c>
      <c r="C236" s="19">
        <v>250000</v>
      </c>
      <c r="D236" s="19"/>
      <c r="E236" s="14" t="s">
        <v>45</v>
      </c>
      <c r="F236" s="20" t="s">
        <v>577</v>
      </c>
      <c r="G236" s="21" t="s">
        <v>578</v>
      </c>
      <c r="H236" s="14" t="str">
        <f t="array" ref="H236">IFERROR(INDEX([1]Companies!$G:$G,MATCH(B236,[1]Companies!$A:$A,0)),"")</f>
        <v>Kenya</v>
      </c>
      <c r="I236" s="14" t="str">
        <f t="shared" si="329"/>
        <v>Kenya</v>
      </c>
      <c r="J236" s="14" t="str">
        <f t="array" ref="J236">IFERROR(INDEX([1]Companies!$Y:$Y,MATCH(B236,[1]Companies!$A:$A,0)),"")</f>
        <v>Enterprise Software, Market Research, Emerging Markets, Africa, SMS Solutions, Mobile Airtime, NGO, Development Aid</v>
      </c>
      <c r="K236" s="14" t="str">
        <f t="array" ref="K236">IFERROR(INDEX([1]Companies!$X:$X,MATCH(B236,[1]Companies!$A:$A,0)),"")</f>
        <v>Financial Services</v>
      </c>
      <c r="L236" s="14" t="str">
        <f>VLOOKUP(B236,[1]Companies!$A$1:$C$5243,1,FALSE)</f>
        <v>Bamba Group</v>
      </c>
      <c r="M236" s="15">
        <f t="shared" si="330"/>
        <v>0.9</v>
      </c>
      <c r="N236" s="10" t="str">
        <f t="shared" si="347"/>
        <v>42698Bamba Group250000</v>
      </c>
      <c r="O236" s="14" t="str">
        <f t="shared" si="348"/>
        <v/>
      </c>
      <c r="P236" s="14">
        <f t="shared" si="349"/>
        <v>1</v>
      </c>
      <c r="Q236" s="14">
        <f t="array" ref="Q236">IFERROR(INDEX([1]Companies!$D:$D,MATCH(B236,[1]Companies!$A:$A,0)),"")</f>
        <v>2012</v>
      </c>
      <c r="R236" s="17">
        <f t="shared" si="350"/>
        <v>250000</v>
      </c>
      <c r="S236" s="14">
        <f>VLOOKUP(I236,[1]Lookups!$V$3:$Y$197,4,FALSE)</f>
        <v>0</v>
      </c>
      <c r="T236" s="14" t="str">
        <f>VLOOKUP(E236,[1]Lookups!$H$3:$I$71,2,FALSE)</f>
        <v>2. Seed</v>
      </c>
      <c r="U236" s="14" t="str">
        <f>VLOOKUP(K236,[1]Lookups!$B$3:$C$142,2,FALSE)</f>
        <v>Financial Services</v>
      </c>
      <c r="V236" s="14">
        <f t="shared" si="1"/>
        <v>2016</v>
      </c>
      <c r="W236" s="14">
        <f t="shared" si="2"/>
        <v>11</v>
      </c>
      <c r="X236" s="14">
        <f>VLOOKUP(W236,[1]Lookups!$P$3:$S$15,2,FALSE)</f>
        <v>4</v>
      </c>
      <c r="Y236" s="16">
        <f>VLOOKUP(W236,[1]Lookups!$P$3:$U$15,3,FALSE)</f>
        <v>2</v>
      </c>
      <c r="Z236" s="16">
        <f t="shared" si="3"/>
        <v>1</v>
      </c>
      <c r="AA236" s="16" t="str">
        <f t="shared" ca="1" si="356"/>
        <v xml:space="preserve"> BoostVC</v>
      </c>
      <c r="AB236" s="16">
        <f t="shared" si="356"/>
        <v>0</v>
      </c>
      <c r="AC236" s="16">
        <f t="shared" si="356"/>
        <v>0</v>
      </c>
      <c r="AD236" s="16">
        <f t="shared" si="356"/>
        <v>0</v>
      </c>
      <c r="AE236" s="16">
        <f t="shared" si="356"/>
        <v>0</v>
      </c>
      <c r="AF236" s="16">
        <f t="shared" si="356"/>
        <v>0</v>
      </c>
      <c r="AG236" s="16">
        <f t="shared" si="356"/>
        <v>0</v>
      </c>
      <c r="AH236" s="16">
        <f t="shared" si="356"/>
        <v>0</v>
      </c>
      <c r="AI236" s="16">
        <f t="shared" si="356"/>
        <v>0</v>
      </c>
      <c r="AJ236" s="16">
        <f t="shared" si="356"/>
        <v>0</v>
      </c>
      <c r="AK236" s="16">
        <f t="shared" si="356"/>
        <v>0</v>
      </c>
      <c r="AL236" s="16">
        <f t="shared" si="356"/>
        <v>0</v>
      </c>
      <c r="AM236" s="16">
        <f t="shared" si="356"/>
        <v>0</v>
      </c>
      <c r="AN236" s="16">
        <f t="shared" si="356"/>
        <v>0</v>
      </c>
      <c r="AO236" s="16">
        <f t="shared" si="356"/>
        <v>0</v>
      </c>
      <c r="AP236" s="10"/>
      <c r="AQ236" s="10"/>
      <c r="AR236" s="10"/>
      <c r="AS236" s="10" t="str">
        <f t="shared" ref="AS236" ca="1" si="361">IFERROR(__xludf.DUMMYFUNCTION("split(F216,"","",true,true)")," BoostVC")</f>
        <v xml:space="preserve"> BoostVC</v>
      </c>
      <c r="AT236" s="10"/>
      <c r="AU236" s="10"/>
      <c r="AV236" s="10"/>
      <c r="AW236" s="10"/>
      <c r="AX236" s="10"/>
      <c r="AY236" s="10"/>
      <c r="AZ236" s="10"/>
      <c r="BA236" s="10"/>
      <c r="BB236" s="10"/>
      <c r="BC236" s="10"/>
      <c r="BD236" s="10"/>
      <c r="BE236" s="10"/>
      <c r="BF236" s="10"/>
      <c r="BG236" s="10"/>
      <c r="BH236" s="10"/>
      <c r="BI236" s="10"/>
      <c r="BJ236" s="10"/>
      <c r="BK236" s="10"/>
      <c r="BM236" s="10"/>
    </row>
    <row r="237" spans="1:65" ht="12.75">
      <c r="A237" s="18">
        <v>42705</v>
      </c>
      <c r="B237" s="14" t="s">
        <v>298</v>
      </c>
      <c r="C237" s="19">
        <v>1300000</v>
      </c>
      <c r="D237" s="22"/>
      <c r="E237" s="14" t="s">
        <v>69</v>
      </c>
      <c r="F237" s="14" t="s">
        <v>49</v>
      </c>
      <c r="G237" s="21" t="s">
        <v>579</v>
      </c>
      <c r="H237" s="14" t="str">
        <f t="array" ref="H237">IFERROR(INDEX([1]Companies!$G:$G,MATCH(B237,[1]Companies!$A:$A,0)),"")</f>
        <v>South Africa</v>
      </c>
      <c r="I237" s="14" t="str">
        <f t="shared" si="329"/>
        <v>South Africa</v>
      </c>
      <c r="J237" s="14" t="str">
        <f t="array" ref="J237">IFERROR(INDEX([1]Companies!$Y:$Y,MATCH(B237,[1]Companies!$A:$A,0)),"")</f>
        <v>Banking, FinTech, Incubators</v>
      </c>
      <c r="K237" s="14" t="str">
        <f t="array" ref="K237">IFERROR(INDEX([1]Companies!$X:$X,MATCH(B237,[1]Companies!$A:$A,0)),"")</f>
        <v>Financial Services</v>
      </c>
      <c r="L237" s="14" t="str">
        <f>VLOOKUP(B237,[1]Companies!$A$1:$C$5243,1,FALSE)</f>
        <v>Fintec Labs</v>
      </c>
      <c r="M237" s="15">
        <f t="shared" si="330"/>
        <v>0.9</v>
      </c>
      <c r="N237" s="10" t="str">
        <f t="shared" si="347"/>
        <v>42705Fintec Labs1300000</v>
      </c>
      <c r="O237" s="14" t="str">
        <f t="shared" si="348"/>
        <v/>
      </c>
      <c r="P237" s="14">
        <f t="shared" si="349"/>
        <v>1</v>
      </c>
      <c r="Q237" s="14">
        <f t="array" ref="Q237">IFERROR(INDEX([1]Companies!$D:$D,MATCH(B237,[1]Companies!$A:$A,0)),"")</f>
        <v>2015</v>
      </c>
      <c r="R237" s="17">
        <f t="shared" si="350"/>
        <v>6397000</v>
      </c>
      <c r="S237" s="14">
        <f>VLOOKUP(I237,[1]Lookups!$V$3:$Y$197,4,FALSE)</f>
        <v>0</v>
      </c>
      <c r="T237" s="14" t="str">
        <f>VLOOKUP(E237,[1]Lookups!$H$3:$I$71,2,FALSE)</f>
        <v>3. Early Venture</v>
      </c>
      <c r="U237" s="14" t="str">
        <f>VLOOKUP(K237,[1]Lookups!$B$3:$C$142,2,FALSE)</f>
        <v>Financial Services</v>
      </c>
      <c r="V237" s="14">
        <f t="shared" si="1"/>
        <v>2016</v>
      </c>
      <c r="W237" s="14">
        <f t="shared" si="2"/>
        <v>12</v>
      </c>
      <c r="X237" s="14">
        <f>VLOOKUP(W237,[1]Lookups!$P$3:$S$15,2,FALSE)</f>
        <v>4</v>
      </c>
      <c r="Y237" s="16">
        <f>VLOOKUP(W237,[1]Lookups!$P$3:$U$15,3,FALSE)</f>
        <v>2</v>
      </c>
      <c r="Z237" s="16">
        <f t="shared" si="3"/>
        <v>1</v>
      </c>
      <c r="AA237" s="16" t="str">
        <f t="shared" ca="1" si="356"/>
        <v xml:space="preserve"> BoostVC</v>
      </c>
      <c r="AB237" s="16">
        <f t="shared" si="356"/>
        <v>0</v>
      </c>
      <c r="AC237" s="16">
        <f t="shared" si="356"/>
        <v>0</v>
      </c>
      <c r="AD237" s="16">
        <f t="shared" si="356"/>
        <v>0</v>
      </c>
      <c r="AE237" s="16">
        <f t="shared" si="356"/>
        <v>0</v>
      </c>
      <c r="AF237" s="16">
        <f t="shared" si="356"/>
        <v>0</v>
      </c>
      <c r="AG237" s="16">
        <f t="shared" si="356"/>
        <v>0</v>
      </c>
      <c r="AH237" s="16">
        <f t="shared" si="356"/>
        <v>0</v>
      </c>
      <c r="AI237" s="16">
        <f t="shared" si="356"/>
        <v>0</v>
      </c>
      <c r="AJ237" s="16">
        <f t="shared" si="356"/>
        <v>0</v>
      </c>
      <c r="AK237" s="16">
        <f t="shared" si="356"/>
        <v>0</v>
      </c>
      <c r="AL237" s="16">
        <f t="shared" si="356"/>
        <v>0</v>
      </c>
      <c r="AM237" s="16">
        <f t="shared" si="356"/>
        <v>0</v>
      </c>
      <c r="AN237" s="16">
        <f t="shared" si="356"/>
        <v>0</v>
      </c>
      <c r="AO237" s="16">
        <f t="shared" si="356"/>
        <v>0</v>
      </c>
      <c r="AP237" s="10"/>
      <c r="AQ237" s="10"/>
      <c r="AR237" s="10"/>
      <c r="AS237" s="10" t="str">
        <f t="shared" ref="AS237" ca="1" si="362">IFERROR(__xludf.DUMMYFUNCTION("split(F216,"","",true,true)")," BoostVC")</f>
        <v xml:space="preserve"> BoostVC</v>
      </c>
      <c r="AT237" s="10"/>
      <c r="AU237" s="10"/>
      <c r="AV237" s="10"/>
      <c r="AW237" s="10"/>
      <c r="AX237" s="10"/>
      <c r="AY237" s="10"/>
      <c r="AZ237" s="10"/>
      <c r="BA237" s="10"/>
      <c r="BB237" s="10"/>
      <c r="BC237" s="10"/>
      <c r="BD237" s="10"/>
      <c r="BE237" s="10"/>
      <c r="BF237" s="10"/>
      <c r="BG237" s="10"/>
      <c r="BH237" s="10"/>
      <c r="BI237" s="10"/>
      <c r="BJ237" s="10"/>
      <c r="BK237" s="10"/>
      <c r="BM237" s="10"/>
    </row>
    <row r="238" spans="1:65" ht="12.75">
      <c r="A238" s="18">
        <v>42711</v>
      </c>
      <c r="B238" s="20" t="s">
        <v>580</v>
      </c>
      <c r="C238" s="19">
        <v>21500000</v>
      </c>
      <c r="D238" s="19"/>
      <c r="E238" s="10" t="s">
        <v>51</v>
      </c>
      <c r="F238" s="20" t="s">
        <v>581</v>
      </c>
      <c r="G238" s="21" t="s">
        <v>582</v>
      </c>
      <c r="H238" s="14" t="str">
        <f t="array" ref="H238">IFERROR(INDEX([1]Companies!$G:$G,MATCH(B238,[1]Companies!$A:$A,0)),"")</f>
        <v>South Africa</v>
      </c>
      <c r="I238" s="14" t="str">
        <f t="shared" si="329"/>
        <v>South Africa</v>
      </c>
      <c r="J238" s="14" t="str">
        <f t="array" ref="J238">IFERROR(INDEX([1]Companies!$Y:$Y,MATCH(B238,[1]Companies!$A:$A,0)),"")</f>
        <v>Public Transportation, Taxi Service, Transportation</v>
      </c>
      <c r="K238" s="14" t="str">
        <f t="array" ref="K238">IFERROR(INDEX([1]Companies!$X:$X,MATCH(B238,[1]Companies!$A:$A,0)),"")</f>
        <v>Travel &amp; Leisure</v>
      </c>
      <c r="L238" s="14" t="str">
        <f>VLOOKUP(B238,[1]Companies!$A$1:$C$5243,1,FALSE)</f>
        <v>Zebra Cabs</v>
      </c>
      <c r="M238" s="15">
        <f t="shared" si="330"/>
        <v>0.9</v>
      </c>
      <c r="N238" s="10" t="str">
        <f t="shared" si="347"/>
        <v>42711Zebra Cabs21500000</v>
      </c>
      <c r="O238" s="14" t="str">
        <f t="shared" si="348"/>
        <v/>
      </c>
      <c r="P238" s="14">
        <f t="shared" si="349"/>
        <v>1</v>
      </c>
      <c r="Q238" s="14">
        <f t="array" ref="Q238">IFERROR(INDEX([1]Companies!$D:$D,MATCH(B238,[1]Companies!$A:$A,0)),"")</f>
        <v>2008</v>
      </c>
      <c r="R238" s="17">
        <f t="shared" si="350"/>
        <v>21500000</v>
      </c>
      <c r="S238" s="14">
        <f>VLOOKUP(I238,[1]Lookups!$V$3:$Y$197,4,FALSE)</f>
        <v>0</v>
      </c>
      <c r="T238" s="14" t="str">
        <f>VLOOKUP(E238,[1]Lookups!$H$3:$I$71,2,FALSE)</f>
        <v>6. Private Equity</v>
      </c>
      <c r="U238" s="14" t="str">
        <f>VLOOKUP(K238,[1]Lookups!$B$3:$C$142,2,FALSE)</f>
        <v>Travel &amp; Leisure</v>
      </c>
      <c r="V238" s="14">
        <f t="shared" si="1"/>
        <v>2016</v>
      </c>
      <c r="W238" s="14">
        <f t="shared" si="2"/>
        <v>12</v>
      </c>
      <c r="X238" s="14">
        <f>VLOOKUP(W238,[1]Lookups!$P$3:$S$15,2,FALSE)</f>
        <v>4</v>
      </c>
      <c r="Y238" s="16">
        <f>VLOOKUP(W238,[1]Lookups!$P$3:$U$15,3,FALSE)</f>
        <v>2</v>
      </c>
      <c r="Z238" s="16">
        <f t="shared" si="3"/>
        <v>1</v>
      </c>
      <c r="AA238" s="16" t="str">
        <f t="shared" ca="1" si="356"/>
        <v xml:space="preserve"> BoostVC</v>
      </c>
      <c r="AB238" s="16">
        <f t="shared" si="356"/>
        <v>0</v>
      </c>
      <c r="AC238" s="16">
        <f t="shared" si="356"/>
        <v>0</v>
      </c>
      <c r="AD238" s="16">
        <f t="shared" si="356"/>
        <v>0</v>
      </c>
      <c r="AE238" s="16">
        <f t="shared" si="356"/>
        <v>0</v>
      </c>
      <c r="AF238" s="16">
        <f t="shared" si="356"/>
        <v>0</v>
      </c>
      <c r="AG238" s="16">
        <f t="shared" si="356"/>
        <v>0</v>
      </c>
      <c r="AH238" s="16">
        <f t="shared" si="356"/>
        <v>0</v>
      </c>
      <c r="AI238" s="16">
        <f t="shared" si="356"/>
        <v>0</v>
      </c>
      <c r="AJ238" s="16">
        <f t="shared" si="356"/>
        <v>0</v>
      </c>
      <c r="AK238" s="16">
        <f t="shared" si="356"/>
        <v>0</v>
      </c>
      <c r="AL238" s="16">
        <f t="shared" si="356"/>
        <v>0</v>
      </c>
      <c r="AM238" s="16">
        <f t="shared" si="356"/>
        <v>0</v>
      </c>
      <c r="AN238" s="16">
        <f t="shared" si="356"/>
        <v>0</v>
      </c>
      <c r="AO238" s="16">
        <f t="shared" si="356"/>
        <v>0</v>
      </c>
      <c r="AP238" s="10"/>
      <c r="AQ238" s="10"/>
      <c r="AR238" s="10"/>
      <c r="AS238" s="10" t="str">
        <f t="shared" ref="AS238" ca="1" si="363">IFERROR(__xludf.DUMMYFUNCTION("split(F216,"","",true,true)")," BoostVC")</f>
        <v xml:space="preserve"> BoostVC</v>
      </c>
      <c r="AT238" s="10"/>
      <c r="AU238" s="10"/>
      <c r="AV238" s="10"/>
      <c r="AW238" s="10"/>
      <c r="AX238" s="10"/>
      <c r="AY238" s="10"/>
      <c r="AZ238" s="10"/>
      <c r="BA238" s="10"/>
      <c r="BB238" s="10"/>
      <c r="BC238" s="10"/>
      <c r="BD238" s="10"/>
      <c r="BE238" s="10"/>
      <c r="BF238" s="10"/>
      <c r="BG238" s="10"/>
      <c r="BH238" s="10"/>
      <c r="BI238" s="10"/>
      <c r="BJ238" s="10"/>
      <c r="BK238" s="10"/>
      <c r="BM238" s="10"/>
    </row>
    <row r="239" spans="1:65" ht="12.75">
      <c r="A239" s="9">
        <v>42714</v>
      </c>
      <c r="B239" s="10" t="s">
        <v>583</v>
      </c>
      <c r="C239" s="11" t="s">
        <v>49</v>
      </c>
      <c r="D239" s="12"/>
      <c r="E239" s="14" t="s">
        <v>55</v>
      </c>
      <c r="F239" s="10" t="s">
        <v>584</v>
      </c>
      <c r="G239" s="13" t="s">
        <v>585</v>
      </c>
      <c r="H239" s="14" t="str">
        <f t="array" ref="H239">IFERROR(INDEX([1]Companies!$G:$G,MATCH(B239,[1]Companies!$A:$A,0)),"")</f>
        <v>Egypt</v>
      </c>
      <c r="I239" s="14" t="str">
        <f t="shared" si="329"/>
        <v>Egypt</v>
      </c>
      <c r="J239" s="14" t="str">
        <f t="array" ref="J239">IFERROR(INDEX([1]Companies!$Y:$Y,MATCH(B239,[1]Companies!$A:$A,0)),"")</f>
        <v>Fashion, Jewelry, Marketplace, Retail, Wearables, Wedding</v>
      </c>
      <c r="K239" s="14" t="str">
        <f t="array" ref="K239">IFERROR(INDEX([1]Companies!$X:$X,MATCH(B239,[1]Companies!$A:$A,0)),"")</f>
        <v>E-Commerce &amp; Retail</v>
      </c>
      <c r="L239" s="14" t="str">
        <f>VLOOKUP(B239,[1]Companies!$A$1:$C$5243,1,FALSE)</f>
        <v>La Reina</v>
      </c>
      <c r="M239" s="15">
        <f t="shared" si="330"/>
        <v>0.9</v>
      </c>
      <c r="N239" s="10" t="str">
        <f t="shared" si="347"/>
        <v>42714La ReinaUndisclosed</v>
      </c>
      <c r="O239" s="14" t="str">
        <f t="shared" si="348"/>
        <v/>
      </c>
      <c r="P239" s="14">
        <f t="shared" si="349"/>
        <v>0</v>
      </c>
      <c r="Q239" s="14">
        <f t="array" ref="Q239">IFERROR(INDEX([1]Companies!$D:$D,MATCH(B239,[1]Companies!$A:$A,0)),"")</f>
        <v>2015</v>
      </c>
      <c r="R239" s="17">
        <f t="shared" si="350"/>
        <v>1000000</v>
      </c>
      <c r="S239" s="14">
        <f>VLOOKUP(I239,[1]Lookups!$V$3:$Y$197,4,FALSE)</f>
        <v>0</v>
      </c>
      <c r="T239" s="14" t="str">
        <f>VLOOKUP(E239,[1]Lookups!$H$3:$I$71,2,FALSE)</f>
        <v>1. Grant</v>
      </c>
      <c r="U239" s="14" t="str">
        <f>VLOOKUP(K239,[1]Lookups!$B$3:$C$142,2,FALSE)</f>
        <v>E-commerce &amp; Retail</v>
      </c>
      <c r="V239" s="14">
        <f t="shared" si="1"/>
        <v>2016</v>
      </c>
      <c r="W239" s="14">
        <f t="shared" si="2"/>
        <v>12</v>
      </c>
      <c r="X239" s="14">
        <f>VLOOKUP(W239,[1]Lookups!$P$3:$S$15,2,FALSE)</f>
        <v>4</v>
      </c>
      <c r="Y239" s="16">
        <f>VLOOKUP(W239,[1]Lookups!$P$3:$U$15,3,FALSE)</f>
        <v>2</v>
      </c>
      <c r="Z239" s="16">
        <f t="shared" si="3"/>
        <v>1</v>
      </c>
      <c r="AA239" s="16" t="str">
        <f t="shared" ca="1" si="356"/>
        <v xml:space="preserve"> BoostVC</v>
      </c>
      <c r="AB239" s="16">
        <f t="shared" si="356"/>
        <v>0</v>
      </c>
      <c r="AC239" s="16">
        <f t="shared" si="356"/>
        <v>0</v>
      </c>
      <c r="AD239" s="16">
        <f t="shared" si="356"/>
        <v>0</v>
      </c>
      <c r="AE239" s="16">
        <f t="shared" si="356"/>
        <v>0</v>
      </c>
      <c r="AF239" s="16">
        <f t="shared" si="356"/>
        <v>0</v>
      </c>
      <c r="AG239" s="16">
        <f t="shared" si="356"/>
        <v>0</v>
      </c>
      <c r="AH239" s="16">
        <f t="shared" si="356"/>
        <v>0</v>
      </c>
      <c r="AI239" s="16">
        <f t="shared" si="356"/>
        <v>0</v>
      </c>
      <c r="AJ239" s="16">
        <f t="shared" si="356"/>
        <v>0</v>
      </c>
      <c r="AK239" s="16">
        <f t="shared" si="356"/>
        <v>0</v>
      </c>
      <c r="AL239" s="16">
        <f t="shared" si="356"/>
        <v>0</v>
      </c>
      <c r="AM239" s="16">
        <f t="shared" si="356"/>
        <v>0</v>
      </c>
      <c r="AN239" s="16">
        <f t="shared" si="356"/>
        <v>0</v>
      </c>
      <c r="AO239" s="16">
        <f t="shared" si="356"/>
        <v>0</v>
      </c>
      <c r="AP239" s="10"/>
      <c r="AQ239" s="10"/>
      <c r="AR239" s="10"/>
      <c r="AS239" s="10" t="str">
        <f t="shared" ref="AS239" ca="1" si="364">IFERROR(__xludf.DUMMYFUNCTION("split(F216,"","",true,true)")," BoostVC")</f>
        <v xml:space="preserve"> BoostVC</v>
      </c>
      <c r="AT239" s="10"/>
      <c r="AU239" s="10"/>
      <c r="AV239" s="10"/>
      <c r="AW239" s="10"/>
      <c r="AX239" s="10"/>
      <c r="AY239" s="10"/>
      <c r="AZ239" s="10"/>
      <c r="BA239" s="10"/>
      <c r="BB239" s="10"/>
      <c r="BC239" s="10"/>
      <c r="BD239" s="10"/>
      <c r="BE239" s="10"/>
      <c r="BF239" s="10"/>
      <c r="BG239" s="10"/>
      <c r="BH239" s="10"/>
      <c r="BI239" s="10"/>
      <c r="BJ239" s="10"/>
      <c r="BK239" s="10"/>
      <c r="BM239" s="10"/>
    </row>
    <row r="240" spans="1:65" ht="12.75">
      <c r="A240" s="9">
        <v>42718</v>
      </c>
      <c r="B240" s="10" t="s">
        <v>586</v>
      </c>
      <c r="C240" s="11">
        <v>3500</v>
      </c>
      <c r="D240" s="12"/>
      <c r="E240" s="10" t="s">
        <v>45</v>
      </c>
      <c r="F240" s="10" t="s">
        <v>49</v>
      </c>
      <c r="G240" s="13" t="s">
        <v>587</v>
      </c>
      <c r="H240" s="14" t="str">
        <f t="array" ref="H240">IFERROR(INDEX([1]Companies!$G:$G,MATCH(B240,[1]Companies!$A:$A,0)),"")</f>
        <v>Cameroon</v>
      </c>
      <c r="I240" s="14" t="str">
        <f t="shared" si="329"/>
        <v>Cameroon</v>
      </c>
      <c r="J240" s="14" t="str">
        <f t="array" ref="J240">IFERROR(INDEX([1]Companies!$Y:$Y,MATCH(B240,[1]Companies!$A:$A,0)),"")</f>
        <v>Crowdfunding, FinTech</v>
      </c>
      <c r="K240" s="14" t="str">
        <f t="array" ref="K240">IFERROR(INDEX([1]Companies!$X:$X,MATCH(B240,[1]Companies!$A:$A,0)),"")</f>
        <v>Financial Services</v>
      </c>
      <c r="L240" s="14" t="str">
        <f>VLOOKUP(B240,[1]Companies!$A$1:$C$5243,1,FALSE)</f>
        <v>Guanxi Invest</v>
      </c>
      <c r="M240" s="15">
        <f t="shared" si="330"/>
        <v>0.9</v>
      </c>
      <c r="N240" s="10" t="str">
        <f t="shared" si="347"/>
        <v>42718Guanxi Invest3500</v>
      </c>
      <c r="O240" s="14" t="str">
        <f t="shared" si="348"/>
        <v/>
      </c>
      <c r="P240" s="14">
        <f t="shared" si="349"/>
        <v>1</v>
      </c>
      <c r="Q240" s="14">
        <f t="array" ref="Q240">IFERROR(INDEX([1]Companies!$D:$D,MATCH(B240,[1]Companies!$A:$A,0)),"")</f>
        <v>2017</v>
      </c>
      <c r="R240" s="17">
        <f t="shared" si="350"/>
        <v>3500</v>
      </c>
      <c r="S240" s="14">
        <f>VLOOKUP(I240,[1]Lookups!$V$3:$Y$197,4,FALSE)</f>
        <v>0</v>
      </c>
      <c r="T240" s="14" t="str">
        <f>VLOOKUP(E240,[1]Lookups!$H$3:$I$71,2,FALSE)</f>
        <v>2. Seed</v>
      </c>
      <c r="U240" s="14" t="str">
        <f>VLOOKUP(K240,[1]Lookups!$B$3:$C$142,2,FALSE)</f>
        <v>Financial Services</v>
      </c>
      <c r="V240" s="14">
        <f t="shared" si="1"/>
        <v>2016</v>
      </c>
      <c r="W240" s="14">
        <f t="shared" si="2"/>
        <v>12</v>
      </c>
      <c r="X240" s="14">
        <f>VLOOKUP(W240,[1]Lookups!$P$3:$S$15,2,FALSE)</f>
        <v>4</v>
      </c>
      <c r="Y240" s="16">
        <f>VLOOKUP(W240,[1]Lookups!$P$3:$U$15,3,FALSE)</f>
        <v>2</v>
      </c>
      <c r="Z240" s="16">
        <f t="shared" si="3"/>
        <v>1</v>
      </c>
      <c r="AA240" s="16" t="str">
        <f t="shared" ca="1" si="356"/>
        <v xml:space="preserve"> BoostVC</v>
      </c>
      <c r="AB240" s="16">
        <f t="shared" si="356"/>
        <v>0</v>
      </c>
      <c r="AC240" s="16">
        <f t="shared" si="356"/>
        <v>0</v>
      </c>
      <c r="AD240" s="16">
        <f t="shared" si="356"/>
        <v>0</v>
      </c>
      <c r="AE240" s="16">
        <f t="shared" si="356"/>
        <v>0</v>
      </c>
      <c r="AF240" s="16">
        <f t="shared" si="356"/>
        <v>0</v>
      </c>
      <c r="AG240" s="16">
        <f t="shared" si="356"/>
        <v>0</v>
      </c>
      <c r="AH240" s="16">
        <f t="shared" si="356"/>
        <v>0</v>
      </c>
      <c r="AI240" s="16">
        <f t="shared" si="356"/>
        <v>0</v>
      </c>
      <c r="AJ240" s="16">
        <f t="shared" si="356"/>
        <v>0</v>
      </c>
      <c r="AK240" s="16">
        <f t="shared" si="356"/>
        <v>0</v>
      </c>
      <c r="AL240" s="16">
        <f t="shared" si="356"/>
        <v>0</v>
      </c>
      <c r="AM240" s="16">
        <f t="shared" si="356"/>
        <v>0</v>
      </c>
      <c r="AN240" s="16">
        <f t="shared" si="356"/>
        <v>0</v>
      </c>
      <c r="AO240" s="16">
        <f t="shared" si="356"/>
        <v>0</v>
      </c>
      <c r="AP240" s="10"/>
      <c r="AQ240" s="10"/>
      <c r="AR240" s="10"/>
      <c r="AS240" s="10" t="str">
        <f t="shared" ref="AS240" ca="1" si="365">IFERROR(__xludf.DUMMYFUNCTION("split(F216,"","",true,true)")," BoostVC")</f>
        <v xml:space="preserve"> BoostVC</v>
      </c>
      <c r="AT240" s="10"/>
      <c r="AU240" s="10"/>
      <c r="AV240" s="10"/>
      <c r="AW240" s="10"/>
      <c r="AX240" s="10"/>
      <c r="AY240" s="10"/>
      <c r="AZ240" s="10"/>
      <c r="BA240" s="10"/>
      <c r="BB240" s="10"/>
      <c r="BC240" s="10"/>
      <c r="BD240" s="10"/>
      <c r="BE240" s="10"/>
      <c r="BF240" s="10"/>
      <c r="BG240" s="10"/>
      <c r="BH240" s="10"/>
      <c r="BI240" s="10"/>
      <c r="BJ240" s="10"/>
      <c r="BK240" s="10"/>
      <c r="BM240" s="10"/>
    </row>
    <row r="241" spans="1:65" ht="12.75">
      <c r="A241" s="18">
        <v>42734</v>
      </c>
      <c r="B241" s="14" t="s">
        <v>222</v>
      </c>
      <c r="C241" s="19">
        <v>5000000</v>
      </c>
      <c r="D241" s="19"/>
      <c r="E241" s="14" t="s">
        <v>112</v>
      </c>
      <c r="F241" s="14" t="s">
        <v>588</v>
      </c>
      <c r="G241" s="13" t="s">
        <v>589</v>
      </c>
      <c r="H241" s="14" t="str">
        <f t="array" ref="H241">IFERROR(INDEX([1]Companies!$G:$G,MATCH(B241,[1]Companies!$A:$A,0)),"")</f>
        <v>Egypt</v>
      </c>
      <c r="I241" s="14" t="str">
        <f t="shared" si="329"/>
        <v>Egypt</v>
      </c>
      <c r="J241" s="14" t="str">
        <f t="array" ref="J241">IFERROR(INDEX([1]Companies!$Y:$Y,MATCH(B241,[1]Companies!$A:$A,0)),"")</f>
        <v>Healthcare, Internet, Marketplace, Medical, Paas, Saas</v>
      </c>
      <c r="K241" s="14" t="str">
        <f t="array" ref="K241">IFERROR(INDEX([1]Companies!$X:$X,MATCH(B241,[1]Companies!$A:$A,0)),"")</f>
        <v>Healthcare &amp; Pharma</v>
      </c>
      <c r="L241" s="14" t="str">
        <f>VLOOKUP(B241,[1]Companies!$A$1:$C$5243,1,FALSE)</f>
        <v>Vezeeta</v>
      </c>
      <c r="M241" s="15">
        <f t="shared" si="330"/>
        <v>0.9</v>
      </c>
      <c r="N241" s="10" t="str">
        <f t="shared" si="347"/>
        <v>42734Vezeeta5000000</v>
      </c>
      <c r="O241" s="14" t="str">
        <f t="shared" si="348"/>
        <v/>
      </c>
      <c r="P241" s="14">
        <f t="shared" si="349"/>
        <v>1</v>
      </c>
      <c r="Q241" s="14">
        <f t="array" ref="Q241">IFERROR(INDEX([1]Companies!$D:$D,MATCH(B241,[1]Companies!$A:$A,0)),"")</f>
        <v>2012</v>
      </c>
      <c r="R241" s="17">
        <f t="shared" si="350"/>
        <v>23500000</v>
      </c>
      <c r="S241" s="14">
        <f>VLOOKUP(I241,[1]Lookups!$V$3:$Y$197,4,FALSE)</f>
        <v>0</v>
      </c>
      <c r="T241" s="14" t="str">
        <f>VLOOKUP(E241,[1]Lookups!$H$3:$I$71,2,FALSE)</f>
        <v>3. Early Venture</v>
      </c>
      <c r="U241" s="14" t="str">
        <f>VLOOKUP(K241,[1]Lookups!$B$3:$C$142,2,FALSE)</f>
        <v>Health &amp; Pharmaceuticals</v>
      </c>
      <c r="V241" s="14">
        <f t="shared" si="1"/>
        <v>2016</v>
      </c>
      <c r="W241" s="14">
        <f t="shared" si="2"/>
        <v>12</v>
      </c>
      <c r="X241" s="14">
        <f>VLOOKUP(W241,[1]Lookups!$P$3:$S$15,2,FALSE)</f>
        <v>4</v>
      </c>
      <c r="Y241" s="16">
        <f>VLOOKUP(W241,[1]Lookups!$P$3:$U$15,3,FALSE)</f>
        <v>2</v>
      </c>
      <c r="Z241" s="16">
        <f t="shared" si="3"/>
        <v>4</v>
      </c>
      <c r="AA241" s="16" t="str">
        <f t="shared" ca="1" si="356"/>
        <v xml:space="preserve"> BoostVC</v>
      </c>
      <c r="AB241" s="16" t="str">
        <f t="shared" ca="1" si="356"/>
        <v xml:space="preserve"> Silicon Badia</v>
      </c>
      <c r="AC241" s="16" t="str">
        <f t="shared" ca="1" si="356"/>
        <v xml:space="preserve"> TDF Capital</v>
      </c>
      <c r="AD241" s="16" t="str">
        <f t="shared" ca="1" si="356"/>
        <v xml:space="preserve"> Vostok New Ventures</v>
      </c>
      <c r="AE241" s="16">
        <f t="shared" si="356"/>
        <v>0</v>
      </c>
      <c r="AF241" s="16">
        <f t="shared" si="356"/>
        <v>0</v>
      </c>
      <c r="AG241" s="16">
        <f t="shared" si="356"/>
        <v>0</v>
      </c>
      <c r="AH241" s="16">
        <f t="shared" si="356"/>
        <v>0</v>
      </c>
      <c r="AI241" s="16">
        <f t="shared" si="356"/>
        <v>0</v>
      </c>
      <c r="AJ241" s="16">
        <f t="shared" si="356"/>
        <v>0</v>
      </c>
      <c r="AK241" s="16">
        <f t="shared" si="356"/>
        <v>0</v>
      </c>
      <c r="AL241" s="16">
        <f t="shared" si="356"/>
        <v>0</v>
      </c>
      <c r="AM241" s="16">
        <f t="shared" si="356"/>
        <v>0</v>
      </c>
      <c r="AN241" s="16">
        <f t="shared" si="356"/>
        <v>0</v>
      </c>
      <c r="AO241" s="16">
        <f t="shared" si="356"/>
        <v>0</v>
      </c>
      <c r="AP241" s="10"/>
      <c r="AQ241" s="10"/>
      <c r="AR241" s="10"/>
      <c r="AS241" s="10" t="str">
        <f t="shared" ref="AS241:AS243" ca="1" si="366">IFERROR(__xludf.DUMMYFUNCTION("split(F216,"","",true,true)")," BoostVC")</f>
        <v xml:space="preserve"> BoostVC</v>
      </c>
      <c r="AT241" s="10" t="str">
        <f ca="1">IFERROR(__xludf.DUMMYFUNCTION("""COMPUTED_VALUE""")," Silicon Badia")</f>
        <v xml:space="preserve"> Silicon Badia</v>
      </c>
      <c r="AU241" s="10" t="str">
        <f ca="1">IFERROR(__xludf.DUMMYFUNCTION("""COMPUTED_VALUE""")," TDF Capital")</f>
        <v xml:space="preserve"> TDF Capital</v>
      </c>
      <c r="AV241" s="10" t="str">
        <f ca="1">IFERROR(__xludf.DUMMYFUNCTION("""COMPUTED_VALUE""")," Vostok New Ventures")</f>
        <v xml:space="preserve"> Vostok New Ventures</v>
      </c>
      <c r="AW241" s="10"/>
      <c r="AX241" s="10"/>
      <c r="AY241" s="10"/>
      <c r="AZ241" s="10"/>
      <c r="BA241" s="10"/>
      <c r="BB241" s="10"/>
      <c r="BC241" s="10"/>
      <c r="BD241" s="10"/>
      <c r="BE241" s="10"/>
      <c r="BF241" s="10"/>
      <c r="BG241" s="10"/>
      <c r="BH241" s="10"/>
      <c r="BI241" s="10"/>
      <c r="BJ241" s="10"/>
      <c r="BK241" s="10"/>
      <c r="BM241" s="10"/>
    </row>
    <row r="242" spans="1:65" ht="12.75">
      <c r="A242" s="9">
        <v>42734</v>
      </c>
      <c r="B242" s="10" t="s">
        <v>136</v>
      </c>
      <c r="C242" s="11">
        <v>1500000</v>
      </c>
      <c r="D242" s="12"/>
      <c r="E242" s="10" t="s">
        <v>45</v>
      </c>
      <c r="F242" s="13" t="s">
        <v>137</v>
      </c>
      <c r="G242" s="10"/>
      <c r="H242" s="14"/>
      <c r="I242" s="14"/>
      <c r="J242" s="14"/>
      <c r="K242" s="14"/>
      <c r="L242" s="14"/>
      <c r="M242" s="15"/>
      <c r="N242" s="10"/>
      <c r="O242" s="14"/>
      <c r="P242" s="14"/>
      <c r="Q242" s="14"/>
      <c r="R242" s="14"/>
      <c r="S242" s="14"/>
      <c r="T242" s="14"/>
      <c r="U242" s="14"/>
      <c r="V242" s="14">
        <f t="shared" si="1"/>
        <v>2016</v>
      </c>
      <c r="W242" s="14">
        <f t="shared" si="2"/>
        <v>12</v>
      </c>
      <c r="X242" s="14">
        <f>VLOOKUP(W242,[1]Lookups!$P$3:$S$15,2,FALSE)</f>
        <v>4</v>
      </c>
      <c r="Y242" s="16">
        <f>VLOOKUP(W242,[1]Lookups!$P$3:$U$15,3,FALSE)</f>
        <v>2</v>
      </c>
      <c r="Z242" s="16">
        <f t="shared" si="3"/>
        <v>1</v>
      </c>
      <c r="AA242" s="26" t="str">
        <f t="shared" ca="1" si="356"/>
        <v xml:space="preserve"> BoostVC</v>
      </c>
      <c r="AB242" s="16">
        <f t="shared" si="356"/>
        <v>0</v>
      </c>
      <c r="AC242" s="16">
        <f t="shared" si="356"/>
        <v>0</v>
      </c>
      <c r="AD242" s="16">
        <f t="shared" si="356"/>
        <v>0</v>
      </c>
      <c r="AE242" s="16">
        <f t="shared" si="356"/>
        <v>0</v>
      </c>
      <c r="AF242" s="16">
        <f t="shared" si="356"/>
        <v>0</v>
      </c>
      <c r="AG242" s="16">
        <f t="shared" si="356"/>
        <v>0</v>
      </c>
      <c r="AH242" s="16">
        <f t="shared" si="356"/>
        <v>0</v>
      </c>
      <c r="AI242" s="16">
        <f t="shared" si="356"/>
        <v>0</v>
      </c>
      <c r="AJ242" s="16">
        <f t="shared" si="356"/>
        <v>0</v>
      </c>
      <c r="AK242" s="16">
        <f t="shared" si="356"/>
        <v>0</v>
      </c>
      <c r="AL242" s="16">
        <f t="shared" si="356"/>
        <v>0</v>
      </c>
      <c r="AM242" s="16">
        <f t="shared" si="356"/>
        <v>0</v>
      </c>
      <c r="AN242" s="16">
        <f t="shared" si="356"/>
        <v>0</v>
      </c>
      <c r="AO242" s="16">
        <f t="shared" si="356"/>
        <v>0</v>
      </c>
      <c r="AP242" s="10"/>
      <c r="AQ242" s="10"/>
      <c r="AR242" s="10"/>
      <c r="AS242" s="13" t="str">
        <f t="shared" ca="1" si="366"/>
        <v xml:space="preserve"> BoostVC</v>
      </c>
      <c r="AT242" s="10"/>
      <c r="AU242" s="10"/>
      <c r="AV242" s="10"/>
      <c r="AW242" s="10"/>
      <c r="AX242" s="10"/>
      <c r="AY242" s="10"/>
      <c r="AZ242" s="10"/>
      <c r="BA242" s="10"/>
      <c r="BB242" s="10"/>
      <c r="BC242" s="10"/>
      <c r="BD242" s="10"/>
      <c r="BE242" s="10"/>
      <c r="BF242" s="10"/>
      <c r="BG242" s="10"/>
      <c r="BH242" s="10"/>
      <c r="BI242" s="10"/>
      <c r="BJ242" s="10"/>
      <c r="BK242" s="10"/>
      <c r="BM242" s="10"/>
    </row>
    <row r="243" spans="1:65" ht="12.75">
      <c r="A243" s="9">
        <v>42736</v>
      </c>
      <c r="B243" s="10" t="s">
        <v>590</v>
      </c>
      <c r="C243" s="11">
        <v>5000</v>
      </c>
      <c r="D243" s="12"/>
      <c r="E243" s="10" t="s">
        <v>45</v>
      </c>
      <c r="F243" s="10" t="s">
        <v>591</v>
      </c>
      <c r="G243" s="10" t="s">
        <v>590</v>
      </c>
      <c r="H243" s="14"/>
      <c r="I243" s="14"/>
      <c r="J243" s="14"/>
      <c r="K243" s="14"/>
      <c r="L243" s="14"/>
      <c r="M243" s="15"/>
      <c r="N243" s="10"/>
      <c r="O243" s="14"/>
      <c r="P243" s="14"/>
      <c r="Q243" s="14"/>
      <c r="R243" s="14"/>
      <c r="S243" s="14"/>
      <c r="T243" s="14"/>
      <c r="U243" s="14"/>
      <c r="V243" s="14">
        <f t="shared" si="1"/>
        <v>2017</v>
      </c>
      <c r="W243" s="14">
        <f t="shared" si="2"/>
        <v>1</v>
      </c>
      <c r="X243" s="14">
        <f>VLOOKUP(W243,[1]Lookups!$P$3:$S$15,2,FALSE)</f>
        <v>1</v>
      </c>
      <c r="Y243" s="16">
        <f>VLOOKUP(W243,[1]Lookups!$P$3:$U$15,3,FALSE)</f>
        <v>1</v>
      </c>
      <c r="Z243" s="16">
        <f t="shared" si="3"/>
        <v>1</v>
      </c>
      <c r="AA243" s="16" t="str">
        <f t="shared" ca="1" si="356"/>
        <v xml:space="preserve"> BoostVC</v>
      </c>
      <c r="AB243" s="16">
        <f t="shared" si="356"/>
        <v>0</v>
      </c>
      <c r="AC243" s="16">
        <f t="shared" si="356"/>
        <v>0</v>
      </c>
      <c r="AD243" s="16">
        <f t="shared" si="356"/>
        <v>0</v>
      </c>
      <c r="AE243" s="16">
        <f t="shared" si="356"/>
        <v>0</v>
      </c>
      <c r="AF243" s="16">
        <f t="shared" si="356"/>
        <v>0</v>
      </c>
      <c r="AG243" s="16">
        <f t="shared" si="356"/>
        <v>0</v>
      </c>
      <c r="AH243" s="16">
        <f t="shared" si="356"/>
        <v>0</v>
      </c>
      <c r="AI243" s="16">
        <f t="shared" si="356"/>
        <v>0</v>
      </c>
      <c r="AJ243" s="16">
        <f t="shared" si="356"/>
        <v>0</v>
      </c>
      <c r="AK243" s="16">
        <f t="shared" si="356"/>
        <v>0</v>
      </c>
      <c r="AL243" s="16">
        <f t="shared" si="356"/>
        <v>0</v>
      </c>
      <c r="AM243" s="16">
        <f t="shared" si="356"/>
        <v>0</v>
      </c>
      <c r="AN243" s="16">
        <f t="shared" si="356"/>
        <v>0</v>
      </c>
      <c r="AO243" s="16">
        <f t="shared" si="356"/>
        <v>0</v>
      </c>
      <c r="AP243" s="10"/>
      <c r="AQ243" s="10"/>
      <c r="AR243" s="10"/>
      <c r="AS243" s="10" t="str">
        <f t="shared" ca="1" si="366"/>
        <v xml:space="preserve"> BoostVC</v>
      </c>
      <c r="AT243" s="10"/>
      <c r="AU243" s="10"/>
      <c r="AV243" s="10"/>
      <c r="AW243" s="10"/>
      <c r="AX243" s="10"/>
      <c r="AY243" s="10"/>
      <c r="AZ243" s="10"/>
      <c r="BA243" s="10"/>
      <c r="BB243" s="10"/>
      <c r="BC243" s="10"/>
      <c r="BD243" s="10"/>
      <c r="BE243" s="10"/>
      <c r="BF243" s="10"/>
      <c r="BG243" s="10"/>
      <c r="BH243" s="10"/>
      <c r="BI243" s="10"/>
      <c r="BJ243" s="10"/>
      <c r="BK243" s="10"/>
      <c r="BM243" s="10"/>
    </row>
    <row r="244" spans="1:65" ht="12.75">
      <c r="A244" s="9">
        <v>42751</v>
      </c>
      <c r="B244" s="10" t="s">
        <v>183</v>
      </c>
      <c r="C244" s="11">
        <v>5500000</v>
      </c>
      <c r="D244" s="12"/>
      <c r="E244" s="10" t="s">
        <v>55</v>
      </c>
      <c r="F244" s="10" t="s">
        <v>592</v>
      </c>
      <c r="G244" s="13" t="s">
        <v>593</v>
      </c>
      <c r="H244" s="14" t="str">
        <f t="array" ref="H244">IFERROR(INDEX([1]Companies!$G:$G,MATCH(B244,[1]Companies!$A:$A,0)),"")</f>
        <v>Kenya</v>
      </c>
      <c r="I244" s="14" t="str">
        <f t="shared" ref="I244:I252" si="367">IF(LEN(TRIM(H244))-LEN(SUBSTITUTE(TRIM(H244),",","")) &gt; 0,TRIM(RIGHT(H244,LEN(H244)-FIND(",",H244))),H244)</f>
        <v>Kenya</v>
      </c>
      <c r="J244" s="14" t="str">
        <f t="array" ref="J244">IFERROR(INDEX([1]Companies!$Y:$Y,MATCH(B244,[1]Companies!$A:$A,0)),"")</f>
        <v>Energy, Renewable Energy, Solar</v>
      </c>
      <c r="K244" s="14" t="str">
        <f t="array" ref="K244">IFERROR(INDEX([1]Companies!$X:$X,MATCH(B244,[1]Companies!$A:$A,0)),"")</f>
        <v>Energy &amp; Environment Resources</v>
      </c>
      <c r="L244" s="14" t="str">
        <f>VLOOKUP(B244,[1]Companies!$A$1:$C$5243,1,FALSE)</f>
        <v>d.light</v>
      </c>
      <c r="M244" s="15">
        <f t="shared" ref="M244:M252" si="368">COUNTA(B244:K244)/(COUNTBLANK(B244:K244) + COUNTA(B244:K244))</f>
        <v>0.9</v>
      </c>
      <c r="N244" s="10" t="str">
        <f t="shared" ref="N244:N252" si="369">CONCATENATE(A244,B244,C244)</f>
        <v>42751d.light5500000</v>
      </c>
      <c r="O244" s="14" t="str">
        <f t="shared" ref="O244:O252" si="370">IF(A244 = "","",IF(COUNTIF(N:N,CONCATENATE(A244,B244,C244))&gt;1,"Duplicated",""))</f>
        <v/>
      </c>
      <c r="P244" s="14">
        <f t="shared" ref="P244:P252" si="371">IF(C244="Undisclosed",0,1)</f>
        <v>1</v>
      </c>
      <c r="Q244" s="14">
        <f t="array" ref="Q244">IFERROR(INDEX([1]Companies!$D:$D,MATCH(B244,[1]Companies!$A:$A,0)),"")</f>
        <v>2007</v>
      </c>
      <c r="R244" s="17">
        <f t="shared" ref="R244:R252" si="372">SUMIF(B:B,B244,C:C)</f>
        <v>167500000</v>
      </c>
      <c r="S244" s="14">
        <f>VLOOKUP(I244,[1]Lookups!$V$3:$Y$197,4,FALSE)</f>
        <v>0</v>
      </c>
      <c r="T244" s="14" t="str">
        <f>VLOOKUP(E244,[1]Lookups!$H$3:$I$71,2,FALSE)</f>
        <v>1. Grant</v>
      </c>
      <c r="U244" s="14" t="e">
        <f>VLOOKUP(K244,[1]Lookups!$B$3:$C$142,2,FALSE)</f>
        <v>#N/A</v>
      </c>
      <c r="V244" s="14">
        <f t="shared" si="1"/>
        <v>2017</v>
      </c>
      <c r="W244" s="14">
        <f t="shared" si="2"/>
        <v>1</v>
      </c>
      <c r="X244" s="14">
        <f>VLOOKUP(W244,[1]Lookups!$P$3:$S$15,2,FALSE)</f>
        <v>1</v>
      </c>
      <c r="Y244" s="16">
        <f>VLOOKUP(W244,[1]Lookups!$P$3:$U$15,3,FALSE)</f>
        <v>1</v>
      </c>
      <c r="Z244" s="16">
        <f t="shared" si="3"/>
        <v>2</v>
      </c>
      <c r="AA244" s="16" t="str">
        <f t="shared" ca="1" si="356"/>
        <v xml:space="preserve"> BoostVC</v>
      </c>
      <c r="AB244" s="16" t="str">
        <f t="shared" ca="1" si="356"/>
        <v xml:space="preserve"> Beyond the Grid</v>
      </c>
      <c r="AC244" s="16">
        <f t="shared" si="356"/>
        <v>0</v>
      </c>
      <c r="AD244" s="16">
        <f t="shared" si="356"/>
        <v>0</v>
      </c>
      <c r="AE244" s="16">
        <f t="shared" si="356"/>
        <v>0</v>
      </c>
      <c r="AF244" s="16">
        <f t="shared" si="356"/>
        <v>0</v>
      </c>
      <c r="AG244" s="16">
        <f t="shared" si="356"/>
        <v>0</v>
      </c>
      <c r="AH244" s="16">
        <f t="shared" si="356"/>
        <v>0</v>
      </c>
      <c r="AI244" s="16">
        <f t="shared" si="356"/>
        <v>0</v>
      </c>
      <c r="AJ244" s="16">
        <f t="shared" si="356"/>
        <v>0</v>
      </c>
      <c r="AK244" s="16">
        <f t="shared" si="356"/>
        <v>0</v>
      </c>
      <c r="AL244" s="16">
        <f t="shared" si="356"/>
        <v>0</v>
      </c>
      <c r="AM244" s="16">
        <f t="shared" si="356"/>
        <v>0</v>
      </c>
      <c r="AN244" s="16">
        <f t="shared" si="356"/>
        <v>0</v>
      </c>
      <c r="AO244" s="16">
        <f t="shared" si="356"/>
        <v>0</v>
      </c>
      <c r="AP244" s="10"/>
      <c r="AQ244" s="10"/>
      <c r="AR244" s="10"/>
      <c r="AS244" s="10" t="str">
        <f t="shared" ref="AS244" ca="1" si="373">IFERROR(__xludf.DUMMYFUNCTION("split(F216,"","",true,true)")," BoostVC")</f>
        <v xml:space="preserve"> BoostVC</v>
      </c>
      <c r="AT244" s="10" t="str">
        <f ca="1">IFERROR(__xludf.DUMMYFUNCTION("""COMPUTED_VALUE""")," Beyond the Grid")</f>
        <v xml:space="preserve"> Beyond the Grid</v>
      </c>
      <c r="AU244" s="10"/>
      <c r="AV244" s="10"/>
      <c r="AW244" s="10"/>
      <c r="AX244" s="10"/>
      <c r="AY244" s="10"/>
      <c r="AZ244" s="10"/>
      <c r="BA244" s="10"/>
      <c r="BB244" s="10"/>
      <c r="BC244" s="10"/>
      <c r="BD244" s="10"/>
      <c r="BE244" s="10"/>
      <c r="BF244" s="10"/>
      <c r="BG244" s="10"/>
      <c r="BH244" s="10"/>
      <c r="BI244" s="10"/>
      <c r="BJ244" s="10"/>
      <c r="BK244" s="10"/>
      <c r="BM244" s="10"/>
    </row>
    <row r="245" spans="1:65" ht="12.75">
      <c r="A245" s="9">
        <v>42751</v>
      </c>
      <c r="B245" s="10" t="s">
        <v>183</v>
      </c>
      <c r="C245" s="11">
        <v>5000000</v>
      </c>
      <c r="D245" s="12"/>
      <c r="E245" s="10" t="s">
        <v>55</v>
      </c>
      <c r="F245" s="10" t="s">
        <v>594</v>
      </c>
      <c r="G245" s="13" t="s">
        <v>595</v>
      </c>
      <c r="H245" s="14" t="str">
        <f t="array" ref="H245">IFERROR(INDEX([1]Companies!$G:$G,MATCH(B245,[1]Companies!$A:$A,0)),"")</f>
        <v>Kenya</v>
      </c>
      <c r="I245" s="14" t="str">
        <f t="shared" si="367"/>
        <v>Kenya</v>
      </c>
      <c r="J245" s="14" t="str">
        <f t="array" ref="J245">IFERROR(INDEX([1]Companies!$Y:$Y,MATCH(B245,[1]Companies!$A:$A,0)),"")</f>
        <v>Energy, Renewable Energy, Solar</v>
      </c>
      <c r="K245" s="14" t="str">
        <f t="array" ref="K245">IFERROR(INDEX([1]Companies!$X:$X,MATCH(B245,[1]Companies!$A:$A,0)),"")</f>
        <v>Energy &amp; Environment Resources</v>
      </c>
      <c r="L245" s="14" t="str">
        <f>VLOOKUP(B245,[1]Companies!$A$1:$C$5243,1,FALSE)</f>
        <v>d.light</v>
      </c>
      <c r="M245" s="15">
        <f t="shared" si="368"/>
        <v>0.9</v>
      </c>
      <c r="N245" s="10" t="str">
        <f t="shared" si="369"/>
        <v>42751d.light5000000</v>
      </c>
      <c r="O245" s="14" t="str">
        <f t="shared" si="370"/>
        <v/>
      </c>
      <c r="P245" s="14">
        <f t="shared" si="371"/>
        <v>1</v>
      </c>
      <c r="Q245" s="14">
        <f t="array" ref="Q245">IFERROR(INDEX([1]Companies!$D:$D,MATCH(B245,[1]Companies!$A:$A,0)),"")</f>
        <v>2007</v>
      </c>
      <c r="R245" s="17">
        <f t="shared" si="372"/>
        <v>167500000</v>
      </c>
      <c r="S245" s="14">
        <f>VLOOKUP(I245,[1]Lookups!$V$3:$Y$197,4,FALSE)</f>
        <v>0</v>
      </c>
      <c r="T245" s="14" t="str">
        <f>VLOOKUP(E245,[1]Lookups!$H$3:$I$71,2,FALSE)</f>
        <v>1. Grant</v>
      </c>
      <c r="U245" s="14" t="e">
        <f>VLOOKUP(K245,[1]Lookups!$B$3:$C$142,2,FALSE)</f>
        <v>#N/A</v>
      </c>
      <c r="V245" s="14">
        <f t="shared" si="1"/>
        <v>2017</v>
      </c>
      <c r="W245" s="14">
        <f t="shared" si="2"/>
        <v>1</v>
      </c>
      <c r="X245" s="14">
        <f>VLOOKUP(W245,[1]Lookups!$P$3:$S$15,2,FALSE)</f>
        <v>1</v>
      </c>
      <c r="Y245" s="16">
        <f>VLOOKUP(W245,[1]Lookups!$P$3:$U$15,3,FALSE)</f>
        <v>1</v>
      </c>
      <c r="Z245" s="16">
        <f t="shared" si="3"/>
        <v>1</v>
      </c>
      <c r="AA245" s="16" t="str">
        <f t="shared" ca="1" si="356"/>
        <v xml:space="preserve"> BoostVC</v>
      </c>
      <c r="AB245" s="16">
        <f t="shared" si="356"/>
        <v>0</v>
      </c>
      <c r="AC245" s="16">
        <f t="shared" si="356"/>
        <v>0</v>
      </c>
      <c r="AD245" s="16">
        <f t="shared" si="356"/>
        <v>0</v>
      </c>
      <c r="AE245" s="16">
        <f t="shared" si="356"/>
        <v>0</v>
      </c>
      <c r="AF245" s="16">
        <f t="shared" si="356"/>
        <v>0</v>
      </c>
      <c r="AG245" s="16">
        <f t="shared" si="356"/>
        <v>0</v>
      </c>
      <c r="AH245" s="16">
        <f t="shared" si="356"/>
        <v>0</v>
      </c>
      <c r="AI245" s="16">
        <f t="shared" si="356"/>
        <v>0</v>
      </c>
      <c r="AJ245" s="16">
        <f t="shared" si="356"/>
        <v>0</v>
      </c>
      <c r="AK245" s="16">
        <f t="shared" si="356"/>
        <v>0</v>
      </c>
      <c r="AL245" s="16">
        <f t="shared" si="356"/>
        <v>0</v>
      </c>
      <c r="AM245" s="16">
        <f t="shared" si="356"/>
        <v>0</v>
      </c>
      <c r="AN245" s="16">
        <f t="shared" si="356"/>
        <v>0</v>
      </c>
      <c r="AO245" s="16">
        <f t="shared" si="356"/>
        <v>0</v>
      </c>
      <c r="AP245" s="10"/>
      <c r="AQ245" s="10"/>
      <c r="AR245" s="10"/>
      <c r="AS245" s="10" t="str">
        <f t="shared" ref="AS245" ca="1" si="374">IFERROR(__xludf.DUMMYFUNCTION("split(F216,"","",true,true)")," BoostVC")</f>
        <v xml:space="preserve"> BoostVC</v>
      </c>
      <c r="AT245" s="10"/>
      <c r="AU245" s="10"/>
      <c r="AV245" s="10"/>
      <c r="AW245" s="10"/>
      <c r="AX245" s="10"/>
      <c r="AY245" s="10"/>
      <c r="AZ245" s="10"/>
      <c r="BA245" s="10"/>
      <c r="BB245" s="10"/>
      <c r="BC245" s="10"/>
      <c r="BD245" s="10"/>
      <c r="BE245" s="10"/>
      <c r="BF245" s="10"/>
      <c r="BG245" s="10"/>
      <c r="BH245" s="10"/>
      <c r="BI245" s="10"/>
      <c r="BJ245" s="10"/>
      <c r="BK245" s="10"/>
      <c r="BM245" s="10"/>
    </row>
    <row r="246" spans="1:65" ht="12.75">
      <c r="A246" s="9">
        <v>42752</v>
      </c>
      <c r="B246" s="10" t="s">
        <v>596</v>
      </c>
      <c r="C246" s="11" t="s">
        <v>49</v>
      </c>
      <c r="D246" s="12"/>
      <c r="E246" s="10" t="s">
        <v>45</v>
      </c>
      <c r="F246" s="10" t="s">
        <v>597</v>
      </c>
      <c r="G246" s="13" t="s">
        <v>598</v>
      </c>
      <c r="H246" s="14" t="str">
        <f t="array" ref="H246">IFERROR(INDEX([1]Companies!$G:$G,MATCH(B246,[1]Companies!$A:$A,0)),"")</f>
        <v>Ethiopia</v>
      </c>
      <c r="I246" s="14" t="str">
        <f t="shared" si="367"/>
        <v>Ethiopia</v>
      </c>
      <c r="J246" s="14" t="str">
        <f t="array" ref="J246">IFERROR(INDEX([1]Companies!$Y:$Y,MATCH(B246,[1]Companies!$A:$A,0)),"")</f>
        <v>Agriculture, Artificial Intelligence, Biotechnology, Food and Beverage, Health Care</v>
      </c>
      <c r="K246" s="14" t="str">
        <f t="array" ref="K246">IFERROR(INDEX([1]Companies!$X:$X,MATCH(B246,[1]Companies!$A:$A,0)),"")</f>
        <v>Agriculture</v>
      </c>
      <c r="L246" s="14" t="str">
        <f>VLOOKUP(B246,[1]Companies!$A$1:$C$5243,1,FALSE)</f>
        <v>GreenPath Food</v>
      </c>
      <c r="M246" s="15">
        <f t="shared" si="368"/>
        <v>0.9</v>
      </c>
      <c r="N246" s="10" t="str">
        <f t="shared" si="369"/>
        <v>42752GreenPath FoodUndisclosed</v>
      </c>
      <c r="O246" s="14" t="str">
        <f t="shared" si="370"/>
        <v/>
      </c>
      <c r="P246" s="14">
        <f t="shared" si="371"/>
        <v>0</v>
      </c>
      <c r="Q246" s="14">
        <f t="array" ref="Q246">IFERROR(INDEX([1]Companies!$D:$D,MATCH(B246,[1]Companies!$A:$A,0)),"")</f>
        <v>2014</v>
      </c>
      <c r="R246" s="17">
        <f t="shared" si="372"/>
        <v>1000000</v>
      </c>
      <c r="S246" s="14">
        <f>VLOOKUP(I246,[1]Lookups!$V$3:$Y$197,4,FALSE)</f>
        <v>0</v>
      </c>
      <c r="T246" s="14" t="str">
        <f>VLOOKUP(E246,[1]Lookups!$H$3:$I$71,2,FALSE)</f>
        <v>2. Seed</v>
      </c>
      <c r="U246" s="14" t="str">
        <f>VLOOKUP(K246,[1]Lookups!$B$3:$C$142,2,FALSE)</f>
        <v>Agriculture</v>
      </c>
      <c r="V246" s="14">
        <f t="shared" si="1"/>
        <v>2017</v>
      </c>
      <c r="W246" s="14">
        <f t="shared" si="2"/>
        <v>1</v>
      </c>
      <c r="X246" s="14">
        <f>VLOOKUP(W246,[1]Lookups!$P$3:$S$15,2,FALSE)</f>
        <v>1</v>
      </c>
      <c r="Y246" s="16">
        <f>VLOOKUP(W246,[1]Lookups!$P$3:$U$15,3,FALSE)</f>
        <v>1</v>
      </c>
      <c r="Z246" s="16">
        <f t="shared" si="3"/>
        <v>1</v>
      </c>
      <c r="AA246" s="16" t="str">
        <f t="shared" ca="1" si="356"/>
        <v xml:space="preserve"> BoostVC</v>
      </c>
      <c r="AB246" s="16">
        <f t="shared" si="356"/>
        <v>0</v>
      </c>
      <c r="AC246" s="16">
        <f t="shared" si="356"/>
        <v>0</v>
      </c>
      <c r="AD246" s="16">
        <f t="shared" si="356"/>
        <v>0</v>
      </c>
      <c r="AE246" s="16">
        <f t="shared" si="356"/>
        <v>0</v>
      </c>
      <c r="AF246" s="16">
        <f t="shared" si="356"/>
        <v>0</v>
      </c>
      <c r="AG246" s="16">
        <f t="shared" si="356"/>
        <v>0</v>
      </c>
      <c r="AH246" s="16">
        <f t="shared" si="356"/>
        <v>0</v>
      </c>
      <c r="AI246" s="16">
        <f t="shared" si="356"/>
        <v>0</v>
      </c>
      <c r="AJ246" s="16">
        <f t="shared" si="356"/>
        <v>0</v>
      </c>
      <c r="AK246" s="16">
        <f t="shared" si="356"/>
        <v>0</v>
      </c>
      <c r="AL246" s="16">
        <f t="shared" si="356"/>
        <v>0</v>
      </c>
      <c r="AM246" s="16">
        <f t="shared" si="356"/>
        <v>0</v>
      </c>
      <c r="AN246" s="16">
        <f t="shared" si="356"/>
        <v>0</v>
      </c>
      <c r="AO246" s="16">
        <f t="shared" si="356"/>
        <v>0</v>
      </c>
      <c r="AP246" s="10"/>
      <c r="AQ246" s="10"/>
      <c r="AR246" s="10"/>
      <c r="AS246" s="10" t="str">
        <f t="shared" ref="AS246" ca="1" si="375">IFERROR(__xludf.DUMMYFUNCTION("split(F216,"","",true,true)")," BoostVC")</f>
        <v xml:space="preserve"> BoostVC</v>
      </c>
      <c r="AT246" s="10"/>
      <c r="AU246" s="10"/>
      <c r="AV246" s="10"/>
      <c r="AW246" s="10"/>
      <c r="AX246" s="10"/>
      <c r="AY246" s="10"/>
      <c r="AZ246" s="10"/>
      <c r="BA246" s="10"/>
      <c r="BB246" s="10"/>
      <c r="BC246" s="10"/>
      <c r="BD246" s="10"/>
      <c r="BE246" s="10"/>
      <c r="BF246" s="10"/>
      <c r="BG246" s="10"/>
      <c r="BH246" s="10"/>
      <c r="BI246" s="10"/>
      <c r="BJ246" s="10"/>
      <c r="BK246" s="10"/>
      <c r="BM246" s="10"/>
    </row>
    <row r="247" spans="1:65" ht="12.75">
      <c r="A247" s="9">
        <v>42765</v>
      </c>
      <c r="B247" s="10" t="s">
        <v>367</v>
      </c>
      <c r="C247" s="11">
        <v>23400</v>
      </c>
      <c r="D247" s="12"/>
      <c r="E247" s="10" t="s">
        <v>55</v>
      </c>
      <c r="F247" s="10" t="s">
        <v>599</v>
      </c>
      <c r="G247" s="13" t="s">
        <v>600</v>
      </c>
      <c r="H247" s="14" t="str">
        <f t="array" ref="H247">IFERROR(INDEX([1]Companies!$G:$G,MATCH(B247,[1]Companies!$A:$A,0)),"")</f>
        <v>Egypt</v>
      </c>
      <c r="I247" s="14" t="str">
        <f t="shared" si="367"/>
        <v>Egypt</v>
      </c>
      <c r="J247" s="14" t="str">
        <f t="array" ref="J247">IFERROR(INDEX([1]Companies!$Y:$Y,MATCH(B247,[1]Companies!$A:$A,0)),"")</f>
        <v>Artificial Intelligence, Big Data, Consumer, Delivery, Grocery, Predictive Analytics, Retail, Software, Supply Chain Management</v>
      </c>
      <c r="K247" s="14" t="str">
        <f t="array" ref="K247">IFERROR(INDEX([1]Companies!$X:$X,MATCH(B247,[1]Companies!$A:$A,0)),"")</f>
        <v>E-Commerce &amp; Retail</v>
      </c>
      <c r="L247" s="14" t="str">
        <f>VLOOKUP(B247,[1]Companies!$A$1:$C$5243,1,FALSE)</f>
        <v>Werpx</v>
      </c>
      <c r="M247" s="15">
        <f t="shared" si="368"/>
        <v>0.9</v>
      </c>
      <c r="N247" s="10" t="str">
        <f t="shared" si="369"/>
        <v>42765Werpx23400</v>
      </c>
      <c r="O247" s="14" t="str">
        <f t="shared" si="370"/>
        <v/>
      </c>
      <c r="P247" s="14">
        <f t="shared" si="371"/>
        <v>1</v>
      </c>
      <c r="Q247" s="14">
        <f t="array" ref="Q247">IFERROR(INDEX([1]Companies!$D:$D,MATCH(B247,[1]Companies!$A:$A,0)),"")</f>
        <v>2017</v>
      </c>
      <c r="R247" s="17">
        <f t="shared" si="372"/>
        <v>103900</v>
      </c>
      <c r="S247" s="14">
        <f>VLOOKUP(I247,[1]Lookups!$V$3:$Y$197,4,FALSE)</f>
        <v>0</v>
      </c>
      <c r="T247" s="14" t="str">
        <f>VLOOKUP(E247,[1]Lookups!$H$3:$I$71,2,FALSE)</f>
        <v>1. Grant</v>
      </c>
      <c r="U247" s="14" t="str">
        <f>VLOOKUP(K247,[1]Lookups!$B$3:$C$142,2,FALSE)</f>
        <v>E-commerce &amp; Retail</v>
      </c>
      <c r="V247" s="14">
        <f t="shared" si="1"/>
        <v>2017</v>
      </c>
      <c r="W247" s="14">
        <f t="shared" si="2"/>
        <v>1</v>
      </c>
      <c r="X247" s="14">
        <f>VLOOKUP(W247,[1]Lookups!$P$3:$S$15,2,FALSE)</f>
        <v>1</v>
      </c>
      <c r="Y247" s="16">
        <f>VLOOKUP(W247,[1]Lookups!$P$3:$U$15,3,FALSE)</f>
        <v>1</v>
      </c>
      <c r="Z247" s="16">
        <f t="shared" si="3"/>
        <v>1</v>
      </c>
      <c r="AA247" s="16" t="str">
        <f t="shared" ca="1" si="356"/>
        <v xml:space="preserve"> BoostVC</v>
      </c>
      <c r="AB247" s="16">
        <f t="shared" si="356"/>
        <v>0</v>
      </c>
      <c r="AC247" s="16">
        <f t="shared" si="356"/>
        <v>0</v>
      </c>
      <c r="AD247" s="16">
        <f t="shared" si="356"/>
        <v>0</v>
      </c>
      <c r="AE247" s="16">
        <f t="shared" si="356"/>
        <v>0</v>
      </c>
      <c r="AF247" s="16">
        <f t="shared" si="356"/>
        <v>0</v>
      </c>
      <c r="AG247" s="16">
        <f t="shared" si="356"/>
        <v>0</v>
      </c>
      <c r="AH247" s="16">
        <f t="shared" si="356"/>
        <v>0</v>
      </c>
      <c r="AI247" s="16">
        <f t="shared" si="356"/>
        <v>0</v>
      </c>
      <c r="AJ247" s="16">
        <f t="shared" si="356"/>
        <v>0</v>
      </c>
      <c r="AK247" s="16">
        <f t="shared" si="356"/>
        <v>0</v>
      </c>
      <c r="AL247" s="16">
        <f t="shared" si="356"/>
        <v>0</v>
      </c>
      <c r="AM247" s="16">
        <f t="shared" si="356"/>
        <v>0</v>
      </c>
      <c r="AN247" s="16">
        <f t="shared" si="356"/>
        <v>0</v>
      </c>
      <c r="AO247" s="16">
        <f t="shared" si="356"/>
        <v>0</v>
      </c>
      <c r="AP247" s="10"/>
      <c r="AQ247" s="10"/>
      <c r="AR247" s="10"/>
      <c r="AS247" s="10" t="str">
        <f t="shared" ref="AS247" ca="1" si="376">IFERROR(__xludf.DUMMYFUNCTION("split(F216,"","",true,true)")," BoostVC")</f>
        <v xml:space="preserve"> BoostVC</v>
      </c>
      <c r="AT247" s="10"/>
      <c r="AU247" s="10"/>
      <c r="AV247" s="10"/>
      <c r="AW247" s="10"/>
      <c r="AX247" s="10"/>
      <c r="AY247" s="10"/>
      <c r="AZ247" s="10"/>
      <c r="BA247" s="10"/>
      <c r="BB247" s="10"/>
      <c r="BC247" s="10"/>
      <c r="BD247" s="10"/>
      <c r="BE247" s="10"/>
      <c r="BF247" s="10"/>
      <c r="BG247" s="10"/>
      <c r="BH247" s="10"/>
      <c r="BI247" s="10"/>
      <c r="BJ247" s="10"/>
      <c r="BK247" s="10"/>
      <c r="BM247" s="10"/>
    </row>
    <row r="248" spans="1:65" ht="12.75">
      <c r="A248" s="18">
        <v>42767</v>
      </c>
      <c r="B248" s="14" t="s">
        <v>601</v>
      </c>
      <c r="C248" s="19" t="s">
        <v>49</v>
      </c>
      <c r="D248" s="22"/>
      <c r="E248" s="14" t="s">
        <v>45</v>
      </c>
      <c r="F248" s="14" t="s">
        <v>602</v>
      </c>
      <c r="G248" s="21" t="s">
        <v>603</v>
      </c>
      <c r="H248" s="14" t="str">
        <f t="array" ref="H248">IFERROR(INDEX([1]Companies!$G:$G,MATCH(B248,[1]Companies!$A:$A,0)),"")</f>
        <v>Mauritius</v>
      </c>
      <c r="I248" s="14" t="str">
        <f t="shared" si="367"/>
        <v>Mauritius</v>
      </c>
      <c r="J248" s="14" t="str">
        <f t="array" ref="J248">IFERROR(INDEX([1]Companies!$Y:$Y,MATCH(B248,[1]Companies!$A:$A,0)),"")</f>
        <v>Electronics, Solar</v>
      </c>
      <c r="K248" s="14" t="str">
        <f t="array" ref="K248">IFERROR(INDEX([1]Companies!$X:$X,MATCH(B248,[1]Companies!$A:$A,0)),"")</f>
        <v>Renewables &amp; Environment</v>
      </c>
      <c r="L248" s="14" t="str">
        <f>VLOOKUP(B248,[1]Companies!$A$1:$C$5243,1,FALSE)</f>
        <v>Daystar Power Africa</v>
      </c>
      <c r="M248" s="15">
        <f t="shared" si="368"/>
        <v>0.9</v>
      </c>
      <c r="N248" s="10" t="str">
        <f t="shared" si="369"/>
        <v>42767Daystar Power AfricaUndisclosed</v>
      </c>
      <c r="O248" s="14" t="str">
        <f t="shared" si="370"/>
        <v/>
      </c>
      <c r="P248" s="14">
        <f t="shared" si="371"/>
        <v>0</v>
      </c>
      <c r="Q248" s="14">
        <f t="array" ref="Q248">IFERROR(INDEX([1]Companies!$D:$D,MATCH(B248,[1]Companies!$A:$A,0)),"")</f>
        <v>2017</v>
      </c>
      <c r="R248" s="17">
        <f t="shared" si="372"/>
        <v>26560000</v>
      </c>
      <c r="S248" s="14">
        <f>VLOOKUP(I248,[1]Lookups!$V$3:$Y$197,4,FALSE)</f>
        <v>0</v>
      </c>
      <c r="T248" s="14" t="str">
        <f>VLOOKUP(E248,[1]Lookups!$H$3:$I$71,2,FALSE)</f>
        <v>2. Seed</v>
      </c>
      <c r="U248" s="14" t="str">
        <f>VLOOKUP(K248,[1]Lookups!$B$3:$C$142,2,FALSE)</f>
        <v>Energy &amp; Resources</v>
      </c>
      <c r="V248" s="14">
        <f t="shared" si="1"/>
        <v>2017</v>
      </c>
      <c r="W248" s="14">
        <f t="shared" si="2"/>
        <v>2</v>
      </c>
      <c r="X248" s="14">
        <f>VLOOKUP(W248,[1]Lookups!$P$3:$S$15,2,FALSE)</f>
        <v>1</v>
      </c>
      <c r="Y248" s="16">
        <f>VLOOKUP(W248,[1]Lookups!$P$3:$U$15,3,FALSE)</f>
        <v>1</v>
      </c>
      <c r="Z248" s="16">
        <f t="shared" si="3"/>
        <v>1</v>
      </c>
      <c r="AA248" s="16" t="str">
        <f t="shared" ref="AA248:AO263" ca="1" si="377">AS248</f>
        <v xml:space="preserve"> BoostVC</v>
      </c>
      <c r="AB248" s="16">
        <f t="shared" si="377"/>
        <v>0</v>
      </c>
      <c r="AC248" s="16">
        <f t="shared" si="377"/>
        <v>0</v>
      </c>
      <c r="AD248" s="16">
        <f t="shared" si="377"/>
        <v>0</v>
      </c>
      <c r="AE248" s="16">
        <f t="shared" si="377"/>
        <v>0</v>
      </c>
      <c r="AF248" s="16">
        <f t="shared" si="377"/>
        <v>0</v>
      </c>
      <c r="AG248" s="16">
        <f t="shared" si="377"/>
        <v>0</v>
      </c>
      <c r="AH248" s="16">
        <f t="shared" si="377"/>
        <v>0</v>
      </c>
      <c r="AI248" s="16">
        <f t="shared" si="377"/>
        <v>0</v>
      </c>
      <c r="AJ248" s="16">
        <f t="shared" si="377"/>
        <v>0</v>
      </c>
      <c r="AK248" s="16">
        <f t="shared" si="377"/>
        <v>0</v>
      </c>
      <c r="AL248" s="16">
        <f t="shared" si="377"/>
        <v>0</v>
      </c>
      <c r="AM248" s="16">
        <f t="shared" si="377"/>
        <v>0</v>
      </c>
      <c r="AN248" s="16">
        <f t="shared" si="377"/>
        <v>0</v>
      </c>
      <c r="AO248" s="16">
        <f t="shared" si="377"/>
        <v>0</v>
      </c>
      <c r="AP248" s="10"/>
      <c r="AQ248" s="10"/>
      <c r="AR248" s="10"/>
      <c r="AS248" s="10" t="str">
        <f t="shared" ref="AS248" ca="1" si="378">IFERROR(__xludf.DUMMYFUNCTION("split(F216,"","",true,true)")," BoostVC")</f>
        <v xml:space="preserve"> BoostVC</v>
      </c>
      <c r="AT248" s="25"/>
      <c r="AU248" s="25"/>
      <c r="AV248" s="25"/>
      <c r="AW248" s="25"/>
      <c r="AX248" s="25"/>
      <c r="AY248" s="25"/>
      <c r="AZ248" s="25"/>
      <c r="BA248" s="25"/>
      <c r="BB248" s="25"/>
      <c r="BC248" s="25"/>
      <c r="BD248" s="25"/>
      <c r="BE248" s="25"/>
      <c r="BF248" s="25"/>
      <c r="BG248" s="25"/>
      <c r="BH248" s="25"/>
      <c r="BI248" s="25"/>
      <c r="BJ248" s="25"/>
      <c r="BK248" s="25"/>
      <c r="BM248" s="25"/>
    </row>
    <row r="249" spans="1:65" ht="12.75">
      <c r="A249" s="9">
        <v>42767</v>
      </c>
      <c r="B249" s="10" t="s">
        <v>604</v>
      </c>
      <c r="C249" s="11">
        <v>100000</v>
      </c>
      <c r="D249" s="12"/>
      <c r="E249" s="14" t="s">
        <v>234</v>
      </c>
      <c r="F249" s="10" t="s">
        <v>605</v>
      </c>
      <c r="G249" s="13" t="s">
        <v>606</v>
      </c>
      <c r="H249" s="14" t="str">
        <f t="array" ref="H249">IFERROR(INDEX([1]Companies!$G:$G,MATCH(B249,[1]Companies!$A:$A,0)),"")</f>
        <v>Rwanda</v>
      </c>
      <c r="I249" s="14" t="str">
        <f t="shared" si="367"/>
        <v>Rwanda</v>
      </c>
      <c r="J249" s="14" t="str">
        <f t="array" ref="J249">IFERROR(INDEX([1]Companies!$Y:$Y,MATCH(B249,[1]Companies!$A:$A,0)),"")</f>
        <v>Renewables &amp; Environment</v>
      </c>
      <c r="K249" s="14" t="str">
        <f t="array" ref="K249">IFERROR(INDEX([1]Companies!$X:$X,MATCH(B249,[1]Companies!$A:$A,0)),"")</f>
        <v>Energy &amp; Environment Resources</v>
      </c>
      <c r="L249" s="14" t="str">
        <f>VLOOKUP(B249,[1]Companies!$A$1:$C$5243,1,FALSE)</f>
        <v>OffGridBox</v>
      </c>
      <c r="M249" s="15">
        <f t="shared" si="368"/>
        <v>0.9</v>
      </c>
      <c r="N249" s="10" t="str">
        <f t="shared" si="369"/>
        <v>42767OffGridBox100000</v>
      </c>
      <c r="O249" s="14" t="str">
        <f t="shared" si="370"/>
        <v/>
      </c>
      <c r="P249" s="14">
        <f t="shared" si="371"/>
        <v>1</v>
      </c>
      <c r="Q249" s="14">
        <f t="array" ref="Q249">IFERROR(INDEX([1]Companies!$D:$D,MATCH(B249,[1]Companies!$A:$A,0)),"")</f>
        <v>2016</v>
      </c>
      <c r="R249" s="17">
        <f t="shared" si="372"/>
        <v>3705000</v>
      </c>
      <c r="S249" s="14">
        <f>VLOOKUP(I249,[1]Lookups!$V$3:$Y$197,4,FALSE)</f>
        <v>0</v>
      </c>
      <c r="T249" s="14" t="str">
        <f>VLOOKUP(E249,[1]Lookups!$H$3:$I$71,2,FALSE)</f>
        <v>2. Seed</v>
      </c>
      <c r="U249" s="14" t="e">
        <f>VLOOKUP(K249,[1]Lookups!$B$3:$C$142,2,FALSE)</f>
        <v>#N/A</v>
      </c>
      <c r="V249" s="14">
        <f t="shared" si="1"/>
        <v>2017</v>
      </c>
      <c r="W249" s="14">
        <f t="shared" si="2"/>
        <v>2</v>
      </c>
      <c r="X249" s="14">
        <f>VLOOKUP(W249,[1]Lookups!$P$3:$S$15,2,FALSE)</f>
        <v>1</v>
      </c>
      <c r="Y249" s="16">
        <f>VLOOKUP(W249,[1]Lookups!$P$3:$U$15,3,FALSE)</f>
        <v>1</v>
      </c>
      <c r="Z249" s="16">
        <f t="shared" si="3"/>
        <v>3</v>
      </c>
      <c r="AA249" s="16" t="str">
        <f t="shared" ca="1" si="377"/>
        <v xml:space="preserve"> BoostVC</v>
      </c>
      <c r="AB249" s="16" t="str">
        <f t="shared" ca="1" si="377"/>
        <v xml:space="preserve"> Right Side Capital Management</v>
      </c>
      <c r="AC249" s="16" t="str">
        <f t="shared" ca="1" si="377"/>
        <v xml:space="preserve"> Techstars Boston Accelerator</v>
      </c>
      <c r="AD249" s="16">
        <f t="shared" si="377"/>
        <v>0</v>
      </c>
      <c r="AE249" s="16">
        <f t="shared" si="377"/>
        <v>0</v>
      </c>
      <c r="AF249" s="16">
        <f t="shared" si="377"/>
        <v>0</v>
      </c>
      <c r="AG249" s="16">
        <f t="shared" si="377"/>
        <v>0</v>
      </c>
      <c r="AH249" s="16">
        <f t="shared" si="377"/>
        <v>0</v>
      </c>
      <c r="AI249" s="16">
        <f t="shared" si="377"/>
        <v>0</v>
      </c>
      <c r="AJ249" s="16">
        <f t="shared" si="377"/>
        <v>0</v>
      </c>
      <c r="AK249" s="16">
        <f t="shared" si="377"/>
        <v>0</v>
      </c>
      <c r="AL249" s="16">
        <f t="shared" si="377"/>
        <v>0</v>
      </c>
      <c r="AM249" s="16">
        <f t="shared" si="377"/>
        <v>0</v>
      </c>
      <c r="AN249" s="16">
        <f t="shared" si="377"/>
        <v>0</v>
      </c>
      <c r="AO249" s="16">
        <f t="shared" si="377"/>
        <v>0</v>
      </c>
      <c r="AP249" s="10"/>
      <c r="AQ249" s="10"/>
      <c r="AR249" s="10"/>
      <c r="AS249" s="10" t="str">
        <f t="shared" ref="AS249" ca="1" si="379">IFERROR(__xludf.DUMMYFUNCTION("split(F216,"","",true,true)")," BoostVC")</f>
        <v xml:space="preserve"> BoostVC</v>
      </c>
      <c r="AT249" s="10" t="str">
        <f ca="1">IFERROR(__xludf.DUMMYFUNCTION("""COMPUTED_VALUE""")," Right Side Capital Management")</f>
        <v xml:space="preserve"> Right Side Capital Management</v>
      </c>
      <c r="AU249" s="10" t="str">
        <f ca="1">IFERROR(__xludf.DUMMYFUNCTION("""COMPUTED_VALUE""")," Techstars Boston Accelerator")</f>
        <v xml:space="preserve"> Techstars Boston Accelerator</v>
      </c>
      <c r="AV249" s="10"/>
      <c r="AW249" s="10"/>
      <c r="AX249" s="10"/>
      <c r="AY249" s="10"/>
      <c r="AZ249" s="10"/>
      <c r="BA249" s="10"/>
      <c r="BB249" s="10"/>
      <c r="BC249" s="10"/>
      <c r="BD249" s="10"/>
      <c r="BE249" s="10"/>
      <c r="BF249" s="10"/>
      <c r="BG249" s="10"/>
      <c r="BH249" s="10"/>
      <c r="BI249" s="10"/>
      <c r="BJ249" s="10"/>
      <c r="BK249" s="10"/>
      <c r="BM249" s="10"/>
    </row>
    <row r="250" spans="1:65" ht="12.75">
      <c r="A250" s="9">
        <v>42770</v>
      </c>
      <c r="B250" s="10" t="s">
        <v>607</v>
      </c>
      <c r="C250" s="11">
        <v>180000</v>
      </c>
      <c r="D250" s="12"/>
      <c r="E250" s="10" t="s">
        <v>45</v>
      </c>
      <c r="F250" s="10" t="s">
        <v>49</v>
      </c>
      <c r="G250" s="13" t="s">
        <v>608</v>
      </c>
      <c r="H250" s="14" t="str">
        <f t="array" ref="H250">IFERROR(INDEX([1]Companies!$G:$G,MATCH(B250,[1]Companies!$A:$A,0)),"")</f>
        <v>Angola</v>
      </c>
      <c r="I250" s="14" t="str">
        <f t="shared" si="367"/>
        <v>Angola</v>
      </c>
      <c r="J250" s="14" t="str">
        <f t="array" ref="J250">IFERROR(INDEX([1]Companies!$Y:$Y,MATCH(B250,[1]Companies!$A:$A,0)),"")</f>
        <v>Delivery Service, E-Commerce, Food Delivery, Mobile Apps, Taxi Service</v>
      </c>
      <c r="K250" s="14" t="str">
        <f t="array" ref="K250">IFERROR(INDEX([1]Companies!$X:$X,MATCH(B250,[1]Companies!$A:$A,0)),"")</f>
        <v>E-Commerce &amp; Retail</v>
      </c>
      <c r="L250" s="14" t="str">
        <f>VLOOKUP(B250,[1]Companies!$A$1:$C$5243,1,FALSE)</f>
        <v>Tupuca</v>
      </c>
      <c r="M250" s="15">
        <f t="shared" si="368"/>
        <v>0.9</v>
      </c>
      <c r="N250" s="10" t="str">
        <f t="shared" si="369"/>
        <v>42770Tupuca180000</v>
      </c>
      <c r="O250" s="14" t="str">
        <f t="shared" si="370"/>
        <v/>
      </c>
      <c r="P250" s="14">
        <f t="shared" si="371"/>
        <v>1</v>
      </c>
      <c r="Q250" s="14">
        <f t="array" ref="Q250">IFERROR(INDEX([1]Companies!$D:$D,MATCH(B250,[1]Companies!$A:$A,0)),"")</f>
        <v>2015</v>
      </c>
      <c r="R250" s="17">
        <f t="shared" si="372"/>
        <v>520000</v>
      </c>
      <c r="S250" s="14">
        <f>VLOOKUP(I250,[1]Lookups!$V$3:$Y$197,4,FALSE)</f>
        <v>0</v>
      </c>
      <c r="T250" s="14" t="str">
        <f>VLOOKUP(E250,[1]Lookups!$H$3:$I$71,2,FALSE)</f>
        <v>2. Seed</v>
      </c>
      <c r="U250" s="14" t="str">
        <f>VLOOKUP(K250,[1]Lookups!$B$3:$C$142,2,FALSE)</f>
        <v>E-commerce &amp; Retail</v>
      </c>
      <c r="V250" s="14">
        <f t="shared" si="1"/>
        <v>2017</v>
      </c>
      <c r="W250" s="14">
        <f t="shared" si="2"/>
        <v>2</v>
      </c>
      <c r="X250" s="14">
        <f>VLOOKUP(W250,[1]Lookups!$P$3:$S$15,2,FALSE)</f>
        <v>1</v>
      </c>
      <c r="Y250" s="16">
        <f>VLOOKUP(W250,[1]Lookups!$P$3:$U$15,3,FALSE)</f>
        <v>1</v>
      </c>
      <c r="Z250" s="16">
        <f t="shared" si="3"/>
        <v>1</v>
      </c>
      <c r="AA250" s="16" t="str">
        <f t="shared" ca="1" si="377"/>
        <v xml:space="preserve"> BoostVC</v>
      </c>
      <c r="AB250" s="16">
        <f t="shared" si="377"/>
        <v>0</v>
      </c>
      <c r="AC250" s="16">
        <f t="shared" si="377"/>
        <v>0</v>
      </c>
      <c r="AD250" s="16">
        <f t="shared" si="377"/>
        <v>0</v>
      </c>
      <c r="AE250" s="16">
        <f t="shared" si="377"/>
        <v>0</v>
      </c>
      <c r="AF250" s="16">
        <f t="shared" si="377"/>
        <v>0</v>
      </c>
      <c r="AG250" s="16">
        <f t="shared" si="377"/>
        <v>0</v>
      </c>
      <c r="AH250" s="16">
        <f t="shared" si="377"/>
        <v>0</v>
      </c>
      <c r="AI250" s="16">
        <f t="shared" si="377"/>
        <v>0</v>
      </c>
      <c r="AJ250" s="16">
        <f t="shared" si="377"/>
        <v>0</v>
      </c>
      <c r="AK250" s="16">
        <f t="shared" si="377"/>
        <v>0</v>
      </c>
      <c r="AL250" s="16">
        <f t="shared" si="377"/>
        <v>0</v>
      </c>
      <c r="AM250" s="16">
        <f t="shared" si="377"/>
        <v>0</v>
      </c>
      <c r="AN250" s="16">
        <f t="shared" si="377"/>
        <v>0</v>
      </c>
      <c r="AO250" s="16">
        <f t="shared" si="377"/>
        <v>0</v>
      </c>
      <c r="AP250" s="10"/>
      <c r="AQ250" s="10"/>
      <c r="AR250" s="10"/>
      <c r="AS250" s="10" t="str">
        <f t="shared" ref="AS250" ca="1" si="380">IFERROR(__xludf.DUMMYFUNCTION("split(F216,"","",true,true)")," BoostVC")</f>
        <v xml:space="preserve"> BoostVC</v>
      </c>
      <c r="AT250" s="10"/>
      <c r="AU250" s="10"/>
      <c r="AV250" s="10"/>
      <c r="AW250" s="10"/>
      <c r="AX250" s="10"/>
      <c r="AY250" s="10"/>
      <c r="AZ250" s="10"/>
      <c r="BA250" s="10"/>
      <c r="BB250" s="10"/>
      <c r="BC250" s="10"/>
      <c r="BD250" s="10"/>
      <c r="BE250" s="10"/>
      <c r="BF250" s="10"/>
      <c r="BG250" s="10"/>
      <c r="BH250" s="10"/>
      <c r="BI250" s="10"/>
      <c r="BJ250" s="10"/>
      <c r="BK250" s="10"/>
      <c r="BM250" s="10"/>
    </row>
    <row r="251" spans="1:65" ht="12.75">
      <c r="A251" s="9">
        <v>42771</v>
      </c>
      <c r="B251" s="10" t="s">
        <v>140</v>
      </c>
      <c r="C251" s="11">
        <v>1000000</v>
      </c>
      <c r="D251" s="12"/>
      <c r="E251" s="10" t="s">
        <v>112</v>
      </c>
      <c r="F251" s="10" t="s">
        <v>609</v>
      </c>
      <c r="G251" s="13" t="s">
        <v>610</v>
      </c>
      <c r="H251" s="14" t="str">
        <f t="array" ref="H251">IFERROR(INDEX([1]Companies!$G:$G,MATCH(B251,[1]Companies!$A:$A,0)),"")</f>
        <v>Egypt</v>
      </c>
      <c r="I251" s="14" t="str">
        <f t="shared" si="367"/>
        <v>Egypt</v>
      </c>
      <c r="J251" s="14" t="str">
        <f t="array" ref="J251">IFERROR(INDEX([1]Companies!$Y:$Y,MATCH(B251,[1]Companies!$A:$A,0)),"")</f>
        <v xml:space="preserve">Online trading, E-Shipping </v>
      </c>
      <c r="K251" s="14" t="str">
        <f t="array" ref="K251">IFERROR(INDEX([1]Companies!$X:$X,MATCH(B251,[1]Companies!$A:$A,0)),"")</f>
        <v>E-Commerce &amp; Retail</v>
      </c>
      <c r="L251" s="14" t="str">
        <f>VLOOKUP(B251,[1]Companies!$A$1:$C$5243,1,FALSE)</f>
        <v>Edfa3ly</v>
      </c>
      <c r="M251" s="15">
        <f t="shared" si="368"/>
        <v>0.9</v>
      </c>
      <c r="N251" s="10" t="str">
        <f t="shared" si="369"/>
        <v>42771Edfa3ly1000000</v>
      </c>
      <c r="O251" s="14" t="str">
        <f t="shared" si="370"/>
        <v/>
      </c>
      <c r="P251" s="14">
        <f t="shared" si="371"/>
        <v>1</v>
      </c>
      <c r="Q251" s="14">
        <f t="array" ref="Q251">IFERROR(INDEX([1]Companies!$D:$D,MATCH(B251,[1]Companies!$A:$A,0)),"")</f>
        <v>2010</v>
      </c>
      <c r="R251" s="17">
        <f t="shared" si="372"/>
        <v>1000000</v>
      </c>
      <c r="S251" s="14">
        <f>VLOOKUP(I251,[1]Lookups!$V$3:$Y$197,4,FALSE)</f>
        <v>0</v>
      </c>
      <c r="T251" s="14" t="str">
        <f>VLOOKUP(E251,[1]Lookups!$H$3:$I$71,2,FALSE)</f>
        <v>3. Early Venture</v>
      </c>
      <c r="U251" s="14" t="str">
        <f>VLOOKUP(K251,[1]Lookups!$B$3:$C$142,2,FALSE)</f>
        <v>E-commerce &amp; Retail</v>
      </c>
      <c r="V251" s="14">
        <f t="shared" si="1"/>
        <v>2017</v>
      </c>
      <c r="W251" s="14">
        <f t="shared" si="2"/>
        <v>2</v>
      </c>
      <c r="X251" s="14">
        <f>VLOOKUP(W251,[1]Lookups!$P$3:$S$15,2,FALSE)</f>
        <v>1</v>
      </c>
      <c r="Y251" s="16">
        <f>VLOOKUP(W251,[1]Lookups!$P$3:$U$15,3,FALSE)</f>
        <v>1</v>
      </c>
      <c r="Z251" s="16">
        <f t="shared" si="3"/>
        <v>2</v>
      </c>
      <c r="AA251" s="16" t="str">
        <f t="shared" ca="1" si="377"/>
        <v xml:space="preserve"> BoostVC</v>
      </c>
      <c r="AB251" s="16" t="str">
        <f t="shared" ca="1" si="377"/>
        <v xml:space="preserve"> ACE &amp; Company</v>
      </c>
      <c r="AC251" s="16">
        <f t="shared" si="377"/>
        <v>0</v>
      </c>
      <c r="AD251" s="16">
        <f t="shared" si="377"/>
        <v>0</v>
      </c>
      <c r="AE251" s="16">
        <f t="shared" si="377"/>
        <v>0</v>
      </c>
      <c r="AF251" s="16">
        <f t="shared" si="377"/>
        <v>0</v>
      </c>
      <c r="AG251" s="16">
        <f t="shared" si="377"/>
        <v>0</v>
      </c>
      <c r="AH251" s="16">
        <f t="shared" si="377"/>
        <v>0</v>
      </c>
      <c r="AI251" s="16">
        <f t="shared" si="377"/>
        <v>0</v>
      </c>
      <c r="AJ251" s="16">
        <f t="shared" si="377"/>
        <v>0</v>
      </c>
      <c r="AK251" s="16">
        <f t="shared" si="377"/>
        <v>0</v>
      </c>
      <c r="AL251" s="16">
        <f t="shared" si="377"/>
        <v>0</v>
      </c>
      <c r="AM251" s="16">
        <f t="shared" si="377"/>
        <v>0</v>
      </c>
      <c r="AN251" s="16">
        <f t="shared" si="377"/>
        <v>0</v>
      </c>
      <c r="AO251" s="16">
        <f t="shared" si="377"/>
        <v>0</v>
      </c>
      <c r="AP251" s="10"/>
      <c r="AQ251" s="10"/>
      <c r="AR251" s="10"/>
      <c r="AS251" s="10" t="str">
        <f t="shared" ref="AS251" ca="1" si="381">IFERROR(__xludf.DUMMYFUNCTION("split(F216,"","",true,true)")," BoostVC")</f>
        <v xml:space="preserve"> BoostVC</v>
      </c>
      <c r="AT251" s="10" t="str">
        <f ca="1">IFERROR(__xludf.DUMMYFUNCTION("""COMPUTED_VALUE""")," ACE &amp; Company")</f>
        <v xml:space="preserve"> ACE &amp; Company</v>
      </c>
      <c r="AU251" s="10"/>
      <c r="AV251" s="10"/>
      <c r="AW251" s="10"/>
      <c r="AX251" s="10"/>
      <c r="AY251" s="10"/>
      <c r="AZ251" s="10"/>
      <c r="BA251" s="10"/>
      <c r="BB251" s="10"/>
      <c r="BC251" s="10"/>
      <c r="BD251" s="10"/>
      <c r="BE251" s="10"/>
      <c r="BF251" s="10"/>
      <c r="BG251" s="10"/>
      <c r="BH251" s="10"/>
      <c r="BI251" s="10"/>
      <c r="BJ251" s="10"/>
      <c r="BK251" s="10"/>
      <c r="BM251" s="10"/>
    </row>
    <row r="252" spans="1:65" ht="12.75">
      <c r="A252" s="9">
        <v>42774</v>
      </c>
      <c r="B252" s="13" t="s">
        <v>611</v>
      </c>
      <c r="C252" s="11">
        <v>112000</v>
      </c>
      <c r="D252" s="12"/>
      <c r="E252" s="10" t="s">
        <v>45</v>
      </c>
      <c r="F252" s="10" t="s">
        <v>226</v>
      </c>
      <c r="G252" s="13" t="s">
        <v>612</v>
      </c>
      <c r="H252" s="14" t="str">
        <f t="array" ref="H252">IFERROR(INDEX([1]Companies!$G:$G,MATCH(B252,[1]Companies!$A:$A,0)),"")</f>
        <v>Nigeria</v>
      </c>
      <c r="I252" s="14" t="str">
        <f t="shared" si="367"/>
        <v>Nigeria</v>
      </c>
      <c r="J252" s="14" t="str">
        <f t="array" ref="J252">IFERROR(INDEX([1]Companies!$Y:$Y,MATCH(B252,[1]Companies!$A:$A,0)),"")</f>
        <v>Online Printing, Business cards, Letterheads, Envelopes, Gift Items, Paper Bags, Stickers, Rollup Banner, Magic Mugs, Logo Mugs and Photo Mugs, Handbills, Greeting Cards, Invitations, PostCards, Graphic Designs, and Wedding Products Invitations, Gift Items and more</v>
      </c>
      <c r="K252" s="14" t="str">
        <f t="array" ref="K252">IFERROR(INDEX([1]Companies!$X:$X,MATCH(B252,[1]Companies!$A:$A,0)),"")</f>
        <v>Media &amp; Entertainment</v>
      </c>
      <c r="L252" s="21" t="str">
        <f>VLOOKUP(B252,[1]Companies!$A$1:$C$5243,1,FALSE)</f>
        <v>Printivo.com</v>
      </c>
      <c r="M252" s="15">
        <f t="shared" si="368"/>
        <v>0.9</v>
      </c>
      <c r="N252" s="10" t="str">
        <f t="shared" si="369"/>
        <v>42774Printivo.com112000</v>
      </c>
      <c r="O252" s="14" t="str">
        <f t="shared" si="370"/>
        <v/>
      </c>
      <c r="P252" s="14">
        <f t="shared" si="371"/>
        <v>1</v>
      </c>
      <c r="Q252" s="14">
        <f t="array" ref="Q252">IFERROR(INDEX([1]Companies!$D:$D,MATCH(B252,[1]Companies!$A:$A,0)),"")</f>
        <v>2013</v>
      </c>
      <c r="R252" s="17">
        <f t="shared" si="372"/>
        <v>162000</v>
      </c>
      <c r="S252" s="14">
        <f>VLOOKUP(I252,[1]Lookups!$V$3:$Y$197,4,FALSE)</f>
        <v>0</v>
      </c>
      <c r="T252" s="14" t="str">
        <f>VLOOKUP(E252,[1]Lookups!$H$3:$I$71,2,FALSE)</f>
        <v>2. Seed</v>
      </c>
      <c r="U252" s="14" t="str">
        <f>VLOOKUP(K252,[1]Lookups!$B$3:$C$142,2,FALSE)</f>
        <v>Media &amp; Entertainment</v>
      </c>
      <c r="V252" s="14">
        <f t="shared" si="1"/>
        <v>2017</v>
      </c>
      <c r="W252" s="14">
        <f t="shared" si="2"/>
        <v>2</v>
      </c>
      <c r="X252" s="14">
        <f>VLOOKUP(W252,[1]Lookups!$P$3:$S$15,2,FALSE)</f>
        <v>1</v>
      </c>
      <c r="Y252" s="16">
        <f>VLOOKUP(W252,[1]Lookups!$P$3:$U$15,3,FALSE)</f>
        <v>1</v>
      </c>
      <c r="Z252" s="16">
        <f t="shared" si="3"/>
        <v>1</v>
      </c>
      <c r="AA252" s="16" t="str">
        <f t="shared" ca="1" si="377"/>
        <v xml:space="preserve"> BoostVC</v>
      </c>
      <c r="AB252" s="16">
        <f t="shared" si="377"/>
        <v>0</v>
      </c>
      <c r="AC252" s="16">
        <f t="shared" si="377"/>
        <v>0</v>
      </c>
      <c r="AD252" s="16">
        <f t="shared" si="377"/>
        <v>0</v>
      </c>
      <c r="AE252" s="16">
        <f t="shared" si="377"/>
        <v>0</v>
      </c>
      <c r="AF252" s="16">
        <f t="shared" si="377"/>
        <v>0</v>
      </c>
      <c r="AG252" s="16">
        <f t="shared" si="377"/>
        <v>0</v>
      </c>
      <c r="AH252" s="16">
        <f t="shared" si="377"/>
        <v>0</v>
      </c>
      <c r="AI252" s="16">
        <f t="shared" si="377"/>
        <v>0</v>
      </c>
      <c r="AJ252" s="16">
        <f t="shared" si="377"/>
        <v>0</v>
      </c>
      <c r="AK252" s="16">
        <f t="shared" si="377"/>
        <v>0</v>
      </c>
      <c r="AL252" s="16">
        <f t="shared" si="377"/>
        <v>0</v>
      </c>
      <c r="AM252" s="16">
        <f t="shared" si="377"/>
        <v>0</v>
      </c>
      <c r="AN252" s="16">
        <f t="shared" si="377"/>
        <v>0</v>
      </c>
      <c r="AO252" s="16">
        <f t="shared" si="377"/>
        <v>0</v>
      </c>
      <c r="AP252" s="10"/>
      <c r="AQ252" s="10"/>
      <c r="AR252" s="10"/>
      <c r="AS252" s="10" t="str">
        <f t="shared" ref="AS252:AS253" ca="1" si="382">IFERROR(__xludf.DUMMYFUNCTION("split(F216,"","",true,true)")," BoostVC")</f>
        <v xml:space="preserve"> BoostVC</v>
      </c>
      <c r="AT252" s="10"/>
      <c r="AU252" s="10"/>
      <c r="AV252" s="10"/>
      <c r="AW252" s="10"/>
      <c r="AX252" s="10"/>
      <c r="AY252" s="10"/>
      <c r="AZ252" s="10"/>
      <c r="BA252" s="10"/>
      <c r="BB252" s="10"/>
      <c r="BC252" s="10"/>
      <c r="BD252" s="10"/>
      <c r="BE252" s="10"/>
      <c r="BF252" s="10"/>
      <c r="BG252" s="10"/>
      <c r="BH252" s="10"/>
      <c r="BI252" s="10"/>
      <c r="BJ252" s="10"/>
      <c r="BK252" s="10"/>
      <c r="BM252" s="10"/>
    </row>
    <row r="253" spans="1:65" ht="12.75">
      <c r="A253" s="9">
        <v>42781</v>
      </c>
      <c r="B253" s="10" t="s">
        <v>292</v>
      </c>
      <c r="C253" s="11">
        <v>1280000</v>
      </c>
      <c r="D253" s="12"/>
      <c r="E253" s="10" t="s">
        <v>69</v>
      </c>
      <c r="F253" s="10" t="s">
        <v>613</v>
      </c>
      <c r="G253" s="10" t="s">
        <v>292</v>
      </c>
      <c r="H253" s="14"/>
      <c r="I253" s="14"/>
      <c r="J253" s="14"/>
      <c r="K253" s="14"/>
      <c r="L253" s="14"/>
      <c r="M253" s="15"/>
      <c r="N253" s="10"/>
      <c r="O253" s="14"/>
      <c r="P253" s="14"/>
      <c r="Q253" s="14"/>
      <c r="R253" s="14"/>
      <c r="S253" s="14"/>
      <c r="T253" s="14"/>
      <c r="U253" s="14"/>
      <c r="V253" s="14">
        <f t="shared" si="1"/>
        <v>2017</v>
      </c>
      <c r="W253" s="14">
        <f t="shared" si="2"/>
        <v>2</v>
      </c>
      <c r="X253" s="14">
        <f>VLOOKUP(W253,[1]Lookups!$P$3:$S$15,2,FALSE)</f>
        <v>1</v>
      </c>
      <c r="Y253" s="16">
        <f>VLOOKUP(W253,[1]Lookups!$P$3:$U$15,3,FALSE)</f>
        <v>1</v>
      </c>
      <c r="Z253" s="16">
        <f t="shared" si="3"/>
        <v>3</v>
      </c>
      <c r="AA253" s="16" t="str">
        <f t="shared" ca="1" si="377"/>
        <v xml:space="preserve"> BoostVC</v>
      </c>
      <c r="AB253" s="16" t="str">
        <f t="shared" ca="1" si="377"/>
        <v xml:space="preserve"> South Carolina Angels</v>
      </c>
      <c r="AC253" s="16" t="str">
        <f t="shared" ca="1" si="377"/>
        <v xml:space="preserve"> Sacramento Angels</v>
      </c>
      <c r="AD253" s="16">
        <f t="shared" si="377"/>
        <v>0</v>
      </c>
      <c r="AE253" s="16">
        <f t="shared" si="377"/>
        <v>0</v>
      </c>
      <c r="AF253" s="16">
        <f t="shared" si="377"/>
        <v>0</v>
      </c>
      <c r="AG253" s="16">
        <f t="shared" si="377"/>
        <v>0</v>
      </c>
      <c r="AH253" s="16">
        <f t="shared" si="377"/>
        <v>0</v>
      </c>
      <c r="AI253" s="16">
        <f t="shared" si="377"/>
        <v>0</v>
      </c>
      <c r="AJ253" s="16">
        <f t="shared" si="377"/>
        <v>0</v>
      </c>
      <c r="AK253" s="16">
        <f t="shared" si="377"/>
        <v>0</v>
      </c>
      <c r="AL253" s="16">
        <f t="shared" si="377"/>
        <v>0</v>
      </c>
      <c r="AM253" s="16">
        <f t="shared" si="377"/>
        <v>0</v>
      </c>
      <c r="AN253" s="16">
        <f t="shared" si="377"/>
        <v>0</v>
      </c>
      <c r="AO253" s="16">
        <f t="shared" si="377"/>
        <v>0</v>
      </c>
      <c r="AP253" s="10"/>
      <c r="AQ253" s="10"/>
      <c r="AR253" s="10"/>
      <c r="AS253" s="10" t="str">
        <f t="shared" ca="1" si="382"/>
        <v xml:space="preserve"> BoostVC</v>
      </c>
      <c r="AT253" s="10" t="str">
        <f ca="1">IFERROR(__xludf.DUMMYFUNCTION("""COMPUTED_VALUE""")," South Carolina Angels")</f>
        <v xml:space="preserve"> South Carolina Angels</v>
      </c>
      <c r="AU253" s="10" t="str">
        <f ca="1">IFERROR(__xludf.DUMMYFUNCTION("""COMPUTED_VALUE""")," Sacramento Angels")</f>
        <v xml:space="preserve"> Sacramento Angels</v>
      </c>
      <c r="AV253" s="10"/>
      <c r="AW253" s="10"/>
      <c r="AX253" s="10"/>
      <c r="AY253" s="10"/>
      <c r="AZ253" s="10"/>
      <c r="BA253" s="10"/>
      <c r="BB253" s="10"/>
      <c r="BC253" s="10"/>
      <c r="BD253" s="10"/>
      <c r="BE253" s="10"/>
      <c r="BF253" s="10"/>
      <c r="BG253" s="10"/>
      <c r="BH253" s="10"/>
      <c r="BI253" s="10"/>
      <c r="BJ253" s="10"/>
      <c r="BK253" s="10"/>
      <c r="BM253" s="10"/>
    </row>
    <row r="254" spans="1:65" ht="12.75">
      <c r="A254" s="18">
        <v>42788</v>
      </c>
      <c r="B254" s="14" t="s">
        <v>614</v>
      </c>
      <c r="C254" s="19">
        <v>5000000</v>
      </c>
      <c r="D254" s="19"/>
      <c r="E254" s="14" t="s">
        <v>91</v>
      </c>
      <c r="F254" s="14" t="s">
        <v>615</v>
      </c>
      <c r="G254" s="27" t="s">
        <v>616</v>
      </c>
      <c r="H254" s="14" t="str">
        <f t="array" ref="H254">IFERROR(INDEX([1]Companies!$G:$G,MATCH(B254,[1]Companies!$A:$A,0)),"")</f>
        <v>United Kingdom</v>
      </c>
      <c r="I254" s="14" t="str">
        <f t="shared" ref="I254:I271" si="383">IF(LEN(TRIM(H254))-LEN(SUBSTITUTE(TRIM(H254),",","")) &gt; 0,TRIM(RIGHT(H254,LEN(H254)-FIND(",",H254))),H254)</f>
        <v>United Kingdom</v>
      </c>
      <c r="J254" s="14" t="str">
        <f t="array" ref="J254">IFERROR(INDEX([1]Companies!$Y:$Y,MATCH(B254,[1]Companies!$A:$A,0)),"")</f>
        <v>Energy, Renewable Energy, Solar</v>
      </c>
      <c r="K254" s="14" t="str">
        <f t="array" ref="K254">IFERROR(INDEX([1]Companies!$X:$X,MATCH(B254,[1]Companies!$A:$A,0)),"")</f>
        <v>Energy &amp; Environment Resources</v>
      </c>
      <c r="L254" s="14" t="str">
        <f>VLOOKUP(B254,[1]Companies!$A$1:$C$5243,1,FALSE)</f>
        <v>Azuri Technologies</v>
      </c>
      <c r="M254" s="15">
        <f t="shared" ref="M254:M271" si="384">COUNTA(B254:K254)/(COUNTBLANK(B254:K254) + COUNTA(B254:K254))</f>
        <v>0.9</v>
      </c>
      <c r="N254" s="10" t="str">
        <f t="shared" ref="N254:N255" si="385">CONCATENATE(A254,B254,C254)</f>
        <v>42788Azuri Technologies5000000</v>
      </c>
      <c r="O254" s="14" t="str">
        <f t="shared" ref="O254:O255" si="386">IF(A254 = "","",IF(COUNTIF(N:N,CONCATENATE(A254,B254,C254))&gt;1,"Duplicated",""))</f>
        <v/>
      </c>
      <c r="P254" s="14">
        <f t="shared" ref="P254:P255" si="387">IF(C254="Undisclosed",0,1)</f>
        <v>1</v>
      </c>
      <c r="Q254" s="14">
        <f t="array" ref="Q254">IFERROR(INDEX([1]Companies!$D:$D,MATCH(B254,[1]Companies!$A:$A,0)),"")</f>
        <v>2012</v>
      </c>
      <c r="R254" s="17">
        <f t="shared" ref="R254:R255" si="388">SUMIF(B:B,B254,C:C)</f>
        <v>53511500</v>
      </c>
      <c r="S254" s="14">
        <f>VLOOKUP(I254,[1]Lookups!$V$3:$Y$197,4,FALSE)</f>
        <v>1</v>
      </c>
      <c r="T254" s="14" t="str">
        <f>VLOOKUP(E254,[1]Lookups!$H$3:$I$71,2,FALSE)</f>
        <v>5. Debt Financing</v>
      </c>
      <c r="U254" s="14" t="e">
        <f>VLOOKUP(K254,[1]Lookups!$B$3:$C$142,2,FALSE)</f>
        <v>#N/A</v>
      </c>
      <c r="V254" s="14">
        <f t="shared" si="1"/>
        <v>2017</v>
      </c>
      <c r="W254" s="14">
        <f t="shared" si="2"/>
        <v>2</v>
      </c>
      <c r="X254" s="14">
        <f>VLOOKUP(W254,[1]Lookups!$P$3:$S$15,2,FALSE)</f>
        <v>1</v>
      </c>
      <c r="Y254" s="16">
        <f>VLOOKUP(W254,[1]Lookups!$P$3:$U$15,3,FALSE)</f>
        <v>1</v>
      </c>
      <c r="Z254" s="16">
        <f t="shared" si="3"/>
        <v>1</v>
      </c>
      <c r="AA254" s="16" t="str">
        <f t="shared" ca="1" si="377"/>
        <v xml:space="preserve"> BoostVC</v>
      </c>
      <c r="AB254" s="16">
        <f t="shared" si="377"/>
        <v>0</v>
      </c>
      <c r="AC254" s="16">
        <f t="shared" si="377"/>
        <v>0</v>
      </c>
      <c r="AD254" s="16">
        <f t="shared" si="377"/>
        <v>0</v>
      </c>
      <c r="AE254" s="16">
        <f t="shared" si="377"/>
        <v>0</v>
      </c>
      <c r="AF254" s="16">
        <f t="shared" si="377"/>
        <v>0</v>
      </c>
      <c r="AG254" s="16">
        <f t="shared" si="377"/>
        <v>0</v>
      </c>
      <c r="AH254" s="16">
        <f t="shared" si="377"/>
        <v>0</v>
      </c>
      <c r="AI254" s="16">
        <f t="shared" si="377"/>
        <v>0</v>
      </c>
      <c r="AJ254" s="16">
        <f t="shared" si="377"/>
        <v>0</v>
      </c>
      <c r="AK254" s="16">
        <f t="shared" si="377"/>
        <v>0</v>
      </c>
      <c r="AL254" s="16">
        <f t="shared" si="377"/>
        <v>0</v>
      </c>
      <c r="AM254" s="16">
        <f t="shared" si="377"/>
        <v>0</v>
      </c>
      <c r="AN254" s="16">
        <f t="shared" si="377"/>
        <v>0</v>
      </c>
      <c r="AO254" s="16">
        <f t="shared" si="377"/>
        <v>0</v>
      </c>
      <c r="AP254" s="10"/>
      <c r="AQ254" s="10"/>
      <c r="AR254" s="10"/>
      <c r="AS254" s="10" t="str">
        <f t="shared" ref="AS254" ca="1" si="389">IFERROR(__xludf.DUMMYFUNCTION("split(F216,"","",true,true)")," BoostVC")</f>
        <v xml:space="preserve"> BoostVC</v>
      </c>
      <c r="AT254" s="10"/>
      <c r="AU254" s="10"/>
      <c r="AV254" s="10"/>
      <c r="AW254" s="10"/>
      <c r="AX254" s="10"/>
      <c r="AY254" s="10"/>
      <c r="AZ254" s="10"/>
      <c r="BA254" s="10"/>
      <c r="BB254" s="10"/>
      <c r="BC254" s="10"/>
      <c r="BD254" s="10"/>
      <c r="BE254" s="10"/>
      <c r="BF254" s="10"/>
      <c r="BG254" s="10"/>
      <c r="BH254" s="10"/>
      <c r="BI254" s="10"/>
      <c r="BJ254" s="10"/>
      <c r="BK254" s="10"/>
      <c r="BM254" s="10"/>
    </row>
    <row r="255" spans="1:65" ht="12.75">
      <c r="A255" s="9">
        <v>42789</v>
      </c>
      <c r="B255" s="10" t="s">
        <v>617</v>
      </c>
      <c r="C255" s="11">
        <v>224000</v>
      </c>
      <c r="D255" s="12"/>
      <c r="E255" s="10" t="s">
        <v>48</v>
      </c>
      <c r="F255" s="10" t="s">
        <v>618</v>
      </c>
      <c r="G255" s="13" t="s">
        <v>619</v>
      </c>
      <c r="H255" s="14" t="str">
        <f t="array" ref="H255">IFERROR(INDEX([1]Companies!$G:$G,MATCH(B255,[1]Companies!$A:$A,0)),"")</f>
        <v>Ivory Coast</v>
      </c>
      <c r="I255" s="14" t="str">
        <f t="shared" si="383"/>
        <v>Ivory Coast</v>
      </c>
      <c r="J255" s="14" t="str">
        <f t="array" ref="J255">IFERROR(INDEX([1]Companies!$Y:$Y,MATCH(B255,[1]Companies!$A:$A,0)),"")</f>
        <v>Art, E-Commerce, Fashion, Handmade</v>
      </c>
      <c r="K255" s="14" t="str">
        <f t="array" ref="K255">IFERROR(INDEX([1]Companies!$X:$X,MATCH(B255,[1]Companies!$A:$A,0)),"")</f>
        <v>E-Commerce &amp; Retail</v>
      </c>
      <c r="L255" s="14" t="str">
        <f>VLOOKUP(B255,[1]Companies!$A$1:$C$5243,1,FALSE)</f>
        <v>Afrikrea</v>
      </c>
      <c r="M255" s="15">
        <f t="shared" si="384"/>
        <v>0.9</v>
      </c>
      <c r="N255" s="10" t="str">
        <f t="shared" si="385"/>
        <v>42789Afrikrea224000</v>
      </c>
      <c r="O255" s="14" t="str">
        <f t="shared" si="386"/>
        <v/>
      </c>
      <c r="P255" s="14">
        <f t="shared" si="387"/>
        <v>1</v>
      </c>
      <c r="Q255" s="14">
        <f t="array" ref="Q255">IFERROR(INDEX([1]Companies!$D:$D,MATCH(B255,[1]Companies!$A:$A,0)),"")</f>
        <v>2012</v>
      </c>
      <c r="R255" s="17">
        <f t="shared" si="388"/>
        <v>1069000</v>
      </c>
      <c r="S255" s="14">
        <f>VLOOKUP(I255,[1]Lookups!$V$3:$Y$197,4,FALSE)</f>
        <v>0</v>
      </c>
      <c r="T255" s="14" t="str">
        <f>VLOOKUP(E255,[1]Lookups!$H$3:$I$71,2,FALSE)</f>
        <v>2. Seed</v>
      </c>
      <c r="U255" s="14" t="str">
        <f>VLOOKUP(K255,[1]Lookups!$B$3:$C$142,2,FALSE)</f>
        <v>E-commerce &amp; Retail</v>
      </c>
      <c r="V255" s="14">
        <f t="shared" si="1"/>
        <v>2017</v>
      </c>
      <c r="W255" s="14">
        <f t="shared" si="2"/>
        <v>2</v>
      </c>
      <c r="X255" s="14">
        <f>VLOOKUP(W255,[1]Lookups!$P$3:$S$15,2,FALSE)</f>
        <v>1</v>
      </c>
      <c r="Y255" s="16">
        <f>VLOOKUP(W255,[1]Lookups!$P$3:$U$15,3,FALSE)</f>
        <v>1</v>
      </c>
      <c r="Z255" s="16">
        <f t="shared" si="3"/>
        <v>1</v>
      </c>
      <c r="AA255" s="16" t="str">
        <f t="shared" ca="1" si="377"/>
        <v xml:space="preserve"> BoostVC</v>
      </c>
      <c r="AB255" s="16">
        <f t="shared" si="377"/>
        <v>0</v>
      </c>
      <c r="AC255" s="16">
        <f t="shared" si="377"/>
        <v>0</v>
      </c>
      <c r="AD255" s="16">
        <f t="shared" si="377"/>
        <v>0</v>
      </c>
      <c r="AE255" s="16">
        <f t="shared" si="377"/>
        <v>0</v>
      </c>
      <c r="AF255" s="16">
        <f t="shared" si="377"/>
        <v>0</v>
      </c>
      <c r="AG255" s="16">
        <f t="shared" si="377"/>
        <v>0</v>
      </c>
      <c r="AH255" s="16">
        <f t="shared" si="377"/>
        <v>0</v>
      </c>
      <c r="AI255" s="16">
        <f t="shared" si="377"/>
        <v>0</v>
      </c>
      <c r="AJ255" s="16">
        <f t="shared" si="377"/>
        <v>0</v>
      </c>
      <c r="AK255" s="16">
        <f t="shared" si="377"/>
        <v>0</v>
      </c>
      <c r="AL255" s="16">
        <f t="shared" si="377"/>
        <v>0</v>
      </c>
      <c r="AM255" s="16">
        <f t="shared" si="377"/>
        <v>0</v>
      </c>
      <c r="AN255" s="16">
        <f t="shared" si="377"/>
        <v>0</v>
      </c>
      <c r="AO255" s="16">
        <f t="shared" si="377"/>
        <v>0</v>
      </c>
      <c r="AP255" s="10"/>
      <c r="AQ255" s="10"/>
      <c r="AR255" s="10"/>
      <c r="AS255" s="10" t="str">
        <f t="shared" ref="AS255" ca="1" si="390">IFERROR(__xludf.DUMMYFUNCTION("split(F216,"","",true,true)")," BoostVC")</f>
        <v xml:space="preserve"> BoostVC</v>
      </c>
      <c r="AT255" s="10"/>
      <c r="AU255" s="10"/>
      <c r="AV255" s="10"/>
      <c r="AW255" s="10"/>
      <c r="AX255" s="10"/>
      <c r="AY255" s="10"/>
      <c r="AZ255" s="10"/>
      <c r="BA255" s="10"/>
      <c r="BB255" s="10"/>
      <c r="BC255" s="10"/>
      <c r="BD255" s="10"/>
      <c r="BE255" s="10"/>
      <c r="BF255" s="10"/>
      <c r="BG255" s="10"/>
      <c r="BH255" s="10"/>
      <c r="BI255" s="10"/>
      <c r="BJ255" s="10"/>
      <c r="BK255" s="10"/>
      <c r="BM255" s="10"/>
    </row>
    <row r="256" spans="1:65" ht="12.75">
      <c r="A256" s="9">
        <v>42800</v>
      </c>
      <c r="B256" s="10" t="s">
        <v>620</v>
      </c>
      <c r="C256" s="11" t="s">
        <v>49</v>
      </c>
      <c r="D256" s="12"/>
      <c r="E256" s="10" t="s">
        <v>51</v>
      </c>
      <c r="F256" s="10" t="s">
        <v>621</v>
      </c>
      <c r="G256" s="13" t="s">
        <v>622</v>
      </c>
      <c r="H256" s="14" t="str">
        <f t="array" ref="H256">IFERROR(INDEX([1]Companies!$G:$G,MATCH(B256,[1]Companies!$A:$A,0)),"")</f>
        <v>Nigeria</v>
      </c>
      <c r="I256" s="14" t="str">
        <f t="shared" si="383"/>
        <v>Nigeria</v>
      </c>
      <c r="J256" s="14" t="str">
        <f t="array" ref="J256">IFERROR(INDEX([1]Companies!$Y:$Y,MATCH(B256,[1]Companies!$A:$A,0)),"")</f>
        <v>Payments, Software</v>
      </c>
      <c r="K256" s="14" t="str">
        <f t="array" ref="K256">IFERROR(INDEX([1]Companies!$X:$X,MATCH(B256,[1]Companies!$A:$A,0)),"")</f>
        <v>Financial Services</v>
      </c>
      <c r="L256" s="14" t="str">
        <f>VLOOKUP(B256,[1]Companies!$A$1:$C$5243,1,FALSE)</f>
        <v>Interswitch</v>
      </c>
      <c r="M256" s="15">
        <f t="shared" si="384"/>
        <v>0.9</v>
      </c>
      <c r="N256" s="10"/>
      <c r="O256" s="14"/>
      <c r="P256" s="14"/>
      <c r="Q256" s="14"/>
      <c r="R256" s="14"/>
      <c r="S256" s="14"/>
      <c r="T256" s="14"/>
      <c r="U256" s="14"/>
      <c r="V256" s="14">
        <f t="shared" si="1"/>
        <v>2017</v>
      </c>
      <c r="W256" s="14">
        <f t="shared" si="2"/>
        <v>3</v>
      </c>
      <c r="X256" s="14">
        <f>VLOOKUP(W256,[1]Lookups!$P$3:$S$15,2,FALSE)</f>
        <v>1</v>
      </c>
      <c r="Y256" s="16">
        <f>VLOOKUP(W256,[1]Lookups!$P$3:$U$15,3,FALSE)</f>
        <v>1</v>
      </c>
      <c r="Z256" s="16">
        <f t="shared" si="3"/>
        <v>1</v>
      </c>
      <c r="AA256" s="16" t="str">
        <f t="shared" ca="1" si="377"/>
        <v xml:space="preserve"> BoostVC</v>
      </c>
      <c r="AB256" s="16">
        <f t="shared" si="377"/>
        <v>0</v>
      </c>
      <c r="AC256" s="16">
        <f t="shared" si="377"/>
        <v>0</v>
      </c>
      <c r="AD256" s="16">
        <f t="shared" si="377"/>
        <v>0</v>
      </c>
      <c r="AE256" s="16">
        <f t="shared" si="377"/>
        <v>0</v>
      </c>
      <c r="AF256" s="16">
        <f t="shared" si="377"/>
        <v>0</v>
      </c>
      <c r="AG256" s="16">
        <f t="shared" si="377"/>
        <v>0</v>
      </c>
      <c r="AH256" s="16">
        <f t="shared" si="377"/>
        <v>0</v>
      </c>
      <c r="AI256" s="16">
        <f t="shared" si="377"/>
        <v>0</v>
      </c>
      <c r="AJ256" s="16">
        <f t="shared" si="377"/>
        <v>0</v>
      </c>
      <c r="AK256" s="16">
        <f t="shared" si="377"/>
        <v>0</v>
      </c>
      <c r="AL256" s="16">
        <f t="shared" si="377"/>
        <v>0</v>
      </c>
      <c r="AM256" s="16">
        <f t="shared" si="377"/>
        <v>0</v>
      </c>
      <c r="AN256" s="16">
        <f t="shared" si="377"/>
        <v>0</v>
      </c>
      <c r="AO256" s="16">
        <f t="shared" si="377"/>
        <v>0</v>
      </c>
      <c r="AP256" s="10"/>
      <c r="AQ256" s="10"/>
      <c r="AR256" s="10"/>
      <c r="AS256" s="10" t="str">
        <f t="shared" ref="AS256" ca="1" si="391">IFERROR(__xludf.DUMMYFUNCTION("split(F216,"","",true,true)")," BoostVC")</f>
        <v xml:space="preserve"> BoostVC</v>
      </c>
      <c r="AT256" s="10"/>
      <c r="AU256" s="10"/>
      <c r="AV256" s="10"/>
      <c r="AW256" s="10"/>
      <c r="AX256" s="10"/>
      <c r="AY256" s="10"/>
      <c r="AZ256" s="10"/>
      <c r="BA256" s="10"/>
      <c r="BB256" s="10"/>
      <c r="BC256" s="10"/>
      <c r="BD256" s="10"/>
      <c r="BE256" s="10"/>
      <c r="BF256" s="10"/>
      <c r="BG256" s="10"/>
      <c r="BH256" s="10"/>
      <c r="BI256" s="10"/>
      <c r="BJ256" s="10"/>
      <c r="BK256" s="10"/>
      <c r="BM256" s="10"/>
    </row>
    <row r="257" spans="1:65" ht="12.75">
      <c r="A257" s="9">
        <v>42808</v>
      </c>
      <c r="B257" s="10" t="s">
        <v>623</v>
      </c>
      <c r="C257" s="11" t="s">
        <v>49</v>
      </c>
      <c r="D257" s="12"/>
      <c r="E257" s="10" t="s">
        <v>45</v>
      </c>
      <c r="F257" s="10" t="s">
        <v>624</v>
      </c>
      <c r="G257" s="13" t="s">
        <v>625</v>
      </c>
      <c r="H257" s="14" t="str">
        <f t="array" ref="H257">IFERROR(INDEX([1]Companies!$G:$G,MATCH(B257,[1]Companies!$A:$A,0)),"")</f>
        <v>Egypt</v>
      </c>
      <c r="I257" s="14" t="str">
        <f t="shared" si="383"/>
        <v>Egypt</v>
      </c>
      <c r="J257" s="14" t="str">
        <f t="array" ref="J257">IFERROR(INDEX([1]Companies!$Y:$Y,MATCH(B257,[1]Companies!$A:$A,0)),"")</f>
        <v>Technology, Logistics, Courier, and Transportation</v>
      </c>
      <c r="K257" s="14" t="str">
        <f t="array" ref="K257">IFERROR(INDEX([1]Companies!$X:$X,MATCH(B257,[1]Companies!$A:$A,0)),"")</f>
        <v>Transport &amp; Logistics</v>
      </c>
      <c r="L257" s="14" t="str">
        <f>VLOOKUP(B257,[1]Companies!$A$1:$C$5243,1,FALSE)</f>
        <v>Bosta</v>
      </c>
      <c r="M257" s="15">
        <f t="shared" si="384"/>
        <v>0.9</v>
      </c>
      <c r="N257" s="10" t="str">
        <f t="shared" ref="N257:N271" si="392">CONCATENATE(A257,B257,C257)</f>
        <v>42808BostaUndisclosed</v>
      </c>
      <c r="O257" s="14" t="str">
        <f t="shared" ref="O257:O271" si="393">IF(A257 = "","",IF(COUNTIF(N:N,CONCATENATE(A257,B257,C257))&gt;1,"Duplicated",""))</f>
        <v/>
      </c>
      <c r="P257" s="14">
        <f t="shared" ref="P257:P271" si="394">IF(C257="Undisclosed",0,1)</f>
        <v>0</v>
      </c>
      <c r="Q257" s="14">
        <f t="array" ref="Q257">IFERROR(INDEX([1]Companies!$D:$D,MATCH(B257,[1]Companies!$A:$A,0)),"")</f>
        <v>2016</v>
      </c>
      <c r="R257" s="17">
        <f t="shared" ref="R257:R271" si="395">SUMIF(B:B,B257,C:C)</f>
        <v>300000</v>
      </c>
      <c r="S257" s="14">
        <f>VLOOKUP(I257,[1]Lookups!$V$3:$Y$197,4,FALSE)</f>
        <v>0</v>
      </c>
      <c r="T257" s="14" t="str">
        <f>VLOOKUP(E257,[1]Lookups!$H$3:$I$71,2,FALSE)</f>
        <v>2. Seed</v>
      </c>
      <c r="U257" s="14" t="str">
        <f>VLOOKUP(K257,[1]Lookups!$B$3:$C$142,2,FALSE)</f>
        <v>Transport &amp; Logistics</v>
      </c>
      <c r="V257" s="14">
        <f t="shared" ref="V257:V511" si="396">YEAR(A257)</f>
        <v>2017</v>
      </c>
      <c r="W257" s="14">
        <f t="shared" ref="W257:W511" si="397">MONTH(A257)</f>
        <v>3</v>
      </c>
      <c r="X257" s="14">
        <f>VLOOKUP(W257,[1]Lookups!$P$3:$S$15,2,FALSE)</f>
        <v>1</v>
      </c>
      <c r="Y257" s="16">
        <f>VLOOKUP(W257,[1]Lookups!$P$3:$U$15,3,FALSE)</f>
        <v>1</v>
      </c>
      <c r="Z257" s="16">
        <f t="shared" ref="Z257:Z511" si="398">LEN(F257)-LEN(SUBSTITUTE(F257,",",""))+1</f>
        <v>1</v>
      </c>
      <c r="AA257" s="16" t="str">
        <f t="shared" ca="1" si="377"/>
        <v xml:space="preserve"> BoostVC</v>
      </c>
      <c r="AB257" s="16">
        <f t="shared" si="377"/>
        <v>0</v>
      </c>
      <c r="AC257" s="16">
        <f t="shared" si="377"/>
        <v>0</v>
      </c>
      <c r="AD257" s="16">
        <f t="shared" si="377"/>
        <v>0</v>
      </c>
      <c r="AE257" s="16">
        <f t="shared" si="377"/>
        <v>0</v>
      </c>
      <c r="AF257" s="16">
        <f t="shared" si="377"/>
        <v>0</v>
      </c>
      <c r="AG257" s="16">
        <f t="shared" si="377"/>
        <v>0</v>
      </c>
      <c r="AH257" s="16">
        <f t="shared" si="377"/>
        <v>0</v>
      </c>
      <c r="AI257" s="16">
        <f t="shared" si="377"/>
        <v>0</v>
      </c>
      <c r="AJ257" s="16">
        <f t="shared" si="377"/>
        <v>0</v>
      </c>
      <c r="AK257" s="16">
        <f t="shared" si="377"/>
        <v>0</v>
      </c>
      <c r="AL257" s="16">
        <f t="shared" si="377"/>
        <v>0</v>
      </c>
      <c r="AM257" s="16">
        <f t="shared" si="377"/>
        <v>0</v>
      </c>
      <c r="AN257" s="16">
        <f t="shared" si="377"/>
        <v>0</v>
      </c>
      <c r="AO257" s="16">
        <f t="shared" si="377"/>
        <v>0</v>
      </c>
      <c r="AP257" s="10"/>
      <c r="AQ257" s="10"/>
      <c r="AR257" s="10"/>
      <c r="AS257" s="10" t="str">
        <f t="shared" ref="AS257" ca="1" si="399">IFERROR(__xludf.DUMMYFUNCTION("split(F216,"","",true,true)")," BoostVC")</f>
        <v xml:space="preserve"> BoostVC</v>
      </c>
      <c r="AT257" s="10"/>
      <c r="AU257" s="10"/>
      <c r="AV257" s="10"/>
      <c r="AW257" s="10"/>
      <c r="AX257" s="10"/>
      <c r="AY257" s="10"/>
      <c r="AZ257" s="10"/>
      <c r="BA257" s="10"/>
      <c r="BB257" s="10"/>
      <c r="BC257" s="10"/>
      <c r="BD257" s="10"/>
      <c r="BE257" s="10"/>
      <c r="BF257" s="10"/>
      <c r="BG257" s="10"/>
      <c r="BH257" s="10"/>
      <c r="BI257" s="10"/>
      <c r="BJ257" s="10"/>
      <c r="BK257" s="10"/>
      <c r="BM257" s="10"/>
    </row>
    <row r="258" spans="1:65" ht="12.75">
      <c r="A258" s="18">
        <v>42809</v>
      </c>
      <c r="B258" s="14" t="s">
        <v>626</v>
      </c>
      <c r="C258" s="19">
        <v>48000000</v>
      </c>
      <c r="D258" s="19"/>
      <c r="E258" s="14" t="s">
        <v>51</v>
      </c>
      <c r="F258" s="14" t="s">
        <v>627</v>
      </c>
      <c r="G258" s="21" t="s">
        <v>628</v>
      </c>
      <c r="H258" s="14" t="str">
        <f t="array" ref="H258">IFERROR(INDEX([1]Companies!$G:$G,MATCH(B258,[1]Companies!$A:$A,0)),"")</f>
        <v>Kenya</v>
      </c>
      <c r="I258" s="14" t="str">
        <f t="shared" si="383"/>
        <v>Kenya</v>
      </c>
      <c r="J258" s="14" t="str">
        <f t="array" ref="J258">IFERROR(INDEX([1]Companies!$Y:$Y,MATCH(B258,[1]Companies!$A:$A,0)),"")</f>
        <v>Logistics, Property Management, Real Estate</v>
      </c>
      <c r="K258" s="14" t="str">
        <f t="array" ref="K258">IFERROR(INDEX([1]Companies!$X:$X,MATCH(B258,[1]Companies!$A:$A,0)),"")</f>
        <v>Real Estate</v>
      </c>
      <c r="L258" s="14" t="str">
        <f>VLOOKUP(B258,[1]Companies!$A$1:$C$5243,1,FALSE)</f>
        <v>Africa Logistics Properties</v>
      </c>
      <c r="M258" s="15">
        <f t="shared" si="384"/>
        <v>0.9</v>
      </c>
      <c r="N258" s="10" t="str">
        <f t="shared" si="392"/>
        <v>42809Africa Logistics Properties48000000</v>
      </c>
      <c r="O258" s="14" t="str">
        <f t="shared" si="393"/>
        <v/>
      </c>
      <c r="P258" s="14">
        <f t="shared" si="394"/>
        <v>1</v>
      </c>
      <c r="Q258" s="14">
        <f t="array" ref="Q258">IFERROR(INDEX([1]Companies!$D:$D,MATCH(B258,[1]Companies!$A:$A,0)),"")</f>
        <v>2015</v>
      </c>
      <c r="R258" s="17">
        <f t="shared" si="395"/>
        <v>52000000</v>
      </c>
      <c r="S258" s="14">
        <f>VLOOKUP(I258,[1]Lookups!$V$3:$Y$197,4,FALSE)</f>
        <v>0</v>
      </c>
      <c r="T258" s="14" t="str">
        <f>VLOOKUP(E258,[1]Lookups!$H$3:$I$71,2,FALSE)</f>
        <v>6. Private Equity</v>
      </c>
      <c r="U258" s="14" t="str">
        <f>VLOOKUP(K258,[1]Lookups!$B$3:$C$142,2,FALSE)</f>
        <v>Construction &amp; Real Estate</v>
      </c>
      <c r="V258" s="14">
        <f t="shared" si="396"/>
        <v>2017</v>
      </c>
      <c r="W258" s="14">
        <f t="shared" si="397"/>
        <v>3</v>
      </c>
      <c r="X258" s="14">
        <f>VLOOKUP(W258,[1]Lookups!$P$3:$S$15,2,FALSE)</f>
        <v>1</v>
      </c>
      <c r="Y258" s="16">
        <f>VLOOKUP(W258,[1]Lookups!$P$3:$U$15,3,FALSE)</f>
        <v>1</v>
      </c>
      <c r="Z258" s="16">
        <f t="shared" si="398"/>
        <v>4</v>
      </c>
      <c r="AA258" s="16" t="str">
        <f t="shared" ca="1" si="377"/>
        <v xml:space="preserve"> BoostVC</v>
      </c>
      <c r="AB258" s="16" t="str">
        <f t="shared" ca="1" si="377"/>
        <v xml:space="preserve"> Maris Capital</v>
      </c>
      <c r="AC258" s="16" t="str">
        <f t="shared" ca="1" si="377"/>
        <v xml:space="preserve"> International Finance Corporation (IFC)</v>
      </c>
      <c r="AD258" s="16" t="str">
        <f t="shared" ca="1" si="377"/>
        <v xml:space="preserve"> CDC Group</v>
      </c>
      <c r="AE258" s="16">
        <f t="shared" si="377"/>
        <v>0</v>
      </c>
      <c r="AF258" s="16">
        <f t="shared" si="377"/>
        <v>0</v>
      </c>
      <c r="AG258" s="16">
        <f t="shared" si="377"/>
        <v>0</v>
      </c>
      <c r="AH258" s="16">
        <f t="shared" si="377"/>
        <v>0</v>
      </c>
      <c r="AI258" s="16">
        <f t="shared" si="377"/>
        <v>0</v>
      </c>
      <c r="AJ258" s="16">
        <f t="shared" si="377"/>
        <v>0</v>
      </c>
      <c r="AK258" s="16">
        <f t="shared" si="377"/>
        <v>0</v>
      </c>
      <c r="AL258" s="16">
        <f t="shared" si="377"/>
        <v>0</v>
      </c>
      <c r="AM258" s="16">
        <f t="shared" si="377"/>
        <v>0</v>
      </c>
      <c r="AN258" s="16">
        <f t="shared" si="377"/>
        <v>0</v>
      </c>
      <c r="AO258" s="16">
        <f t="shared" si="377"/>
        <v>0</v>
      </c>
      <c r="AP258" s="10"/>
      <c r="AQ258" s="10"/>
      <c r="AR258" s="10"/>
      <c r="AS258" s="10" t="str">
        <f t="shared" ref="AS258" ca="1" si="400">IFERROR(__xludf.DUMMYFUNCTION("split(F216,"","",true,true)")," BoostVC")</f>
        <v xml:space="preserve"> BoostVC</v>
      </c>
      <c r="AT258" s="10" t="str">
        <f ca="1">IFERROR(__xludf.DUMMYFUNCTION("""COMPUTED_VALUE""")," Maris Capital")</f>
        <v xml:space="preserve"> Maris Capital</v>
      </c>
      <c r="AU258" s="10" t="str">
        <f ca="1">IFERROR(__xludf.DUMMYFUNCTION("""COMPUTED_VALUE""")," International Finance Corporation (IFC)")</f>
        <v xml:space="preserve"> International Finance Corporation (IFC)</v>
      </c>
      <c r="AV258" s="10" t="str">
        <f ca="1">IFERROR(__xludf.DUMMYFUNCTION("""COMPUTED_VALUE""")," CDC Group")</f>
        <v xml:space="preserve"> CDC Group</v>
      </c>
      <c r="AW258" s="10"/>
      <c r="AX258" s="10"/>
      <c r="AY258" s="10"/>
      <c r="AZ258" s="10"/>
      <c r="BA258" s="10"/>
      <c r="BB258" s="10"/>
      <c r="BC258" s="10"/>
      <c r="BD258" s="10"/>
      <c r="BE258" s="10"/>
      <c r="BF258" s="10"/>
      <c r="BG258" s="10"/>
      <c r="BH258" s="10"/>
      <c r="BI258" s="10"/>
      <c r="BJ258" s="10"/>
      <c r="BK258" s="10"/>
      <c r="BM258" s="10"/>
    </row>
    <row r="259" spans="1:65" ht="12.75">
      <c r="A259" s="9">
        <v>42814</v>
      </c>
      <c r="B259" s="10" t="s">
        <v>629</v>
      </c>
      <c r="C259" s="11">
        <v>120000</v>
      </c>
      <c r="D259" s="12"/>
      <c r="E259" s="10" t="s">
        <v>45</v>
      </c>
      <c r="F259" s="10" t="s">
        <v>305</v>
      </c>
      <c r="G259" s="13" t="s">
        <v>630</v>
      </c>
      <c r="H259" s="14" t="str">
        <f t="array" ref="H259">IFERROR(INDEX([1]Companies!$G:$G,MATCH(B259,[1]Companies!$A:$A,0)),"")</f>
        <v>Morocco</v>
      </c>
      <c r="I259" s="14" t="str">
        <f t="shared" si="383"/>
        <v>Morocco</v>
      </c>
      <c r="J259" s="14" t="str">
        <f t="array" ref="J259">IFERROR(INDEX([1]Companies!$Y:$Y,MATCH(B259,[1]Companies!$A:$A,0)),"")</f>
        <v>B2B, E-Commerce, E-Commerce Platforms</v>
      </c>
      <c r="K259" s="14" t="str">
        <f t="array" ref="K259">IFERROR(INDEX([1]Companies!$X:$X,MATCH(B259,[1]Companies!$A:$A,0)),"")</f>
        <v>E-Commerce &amp; Retail</v>
      </c>
      <c r="L259" s="14" t="str">
        <f>VLOOKUP(B259,[1]Companies!$A$1:$C$5243,1,FALSE)</f>
        <v>WaystoCap</v>
      </c>
      <c r="M259" s="15">
        <f t="shared" si="384"/>
        <v>0.9</v>
      </c>
      <c r="N259" s="10" t="str">
        <f t="shared" si="392"/>
        <v>42814WaystoCap120000</v>
      </c>
      <c r="O259" s="14" t="str">
        <f t="shared" si="393"/>
        <v/>
      </c>
      <c r="P259" s="14">
        <f t="shared" si="394"/>
        <v>1</v>
      </c>
      <c r="Q259" s="14">
        <f t="array" ref="Q259">IFERROR(INDEX([1]Companies!$D:$D,MATCH(B259,[1]Companies!$A:$A,0)),"")</f>
        <v>2014</v>
      </c>
      <c r="R259" s="17">
        <f t="shared" si="395"/>
        <v>3120000</v>
      </c>
      <c r="S259" s="14">
        <f>VLOOKUP(I259,[1]Lookups!$V$3:$Y$197,4,FALSE)</f>
        <v>0</v>
      </c>
      <c r="T259" s="14" t="str">
        <f>VLOOKUP(E259,[1]Lookups!$H$3:$I$71,2,FALSE)</f>
        <v>2. Seed</v>
      </c>
      <c r="U259" s="14" t="str">
        <f>VLOOKUP(K259,[1]Lookups!$B$3:$C$142,2,FALSE)</f>
        <v>E-commerce &amp; Retail</v>
      </c>
      <c r="V259" s="14">
        <f t="shared" si="396"/>
        <v>2017</v>
      </c>
      <c r="W259" s="14">
        <f t="shared" si="397"/>
        <v>3</v>
      </c>
      <c r="X259" s="14">
        <f>VLOOKUP(W259,[1]Lookups!$P$3:$S$15,2,FALSE)</f>
        <v>1</v>
      </c>
      <c r="Y259" s="16">
        <f>VLOOKUP(W259,[1]Lookups!$P$3:$U$15,3,FALSE)</f>
        <v>1</v>
      </c>
      <c r="Z259" s="16">
        <f t="shared" si="398"/>
        <v>1</v>
      </c>
      <c r="AA259" s="16" t="str">
        <f t="shared" ca="1" si="377"/>
        <v xml:space="preserve"> BoostVC</v>
      </c>
      <c r="AB259" s="16">
        <f t="shared" si="377"/>
        <v>0</v>
      </c>
      <c r="AC259" s="16">
        <f t="shared" si="377"/>
        <v>0</v>
      </c>
      <c r="AD259" s="16">
        <f t="shared" si="377"/>
        <v>0</v>
      </c>
      <c r="AE259" s="16">
        <f t="shared" si="377"/>
        <v>0</v>
      </c>
      <c r="AF259" s="16">
        <f t="shared" si="377"/>
        <v>0</v>
      </c>
      <c r="AG259" s="16">
        <f t="shared" si="377"/>
        <v>0</v>
      </c>
      <c r="AH259" s="16">
        <f t="shared" si="377"/>
        <v>0</v>
      </c>
      <c r="AI259" s="16">
        <f t="shared" si="377"/>
        <v>0</v>
      </c>
      <c r="AJ259" s="16">
        <f t="shared" si="377"/>
        <v>0</v>
      </c>
      <c r="AK259" s="16">
        <f t="shared" si="377"/>
        <v>0</v>
      </c>
      <c r="AL259" s="16">
        <f t="shared" si="377"/>
        <v>0</v>
      </c>
      <c r="AM259" s="16">
        <f t="shared" si="377"/>
        <v>0</v>
      </c>
      <c r="AN259" s="16">
        <f t="shared" si="377"/>
        <v>0</v>
      </c>
      <c r="AO259" s="16">
        <f t="shared" si="377"/>
        <v>0</v>
      </c>
      <c r="AP259" s="10"/>
      <c r="AQ259" s="10"/>
      <c r="AR259" s="10"/>
      <c r="AS259" s="10" t="str">
        <f t="shared" ref="AS259" ca="1" si="401">IFERROR(__xludf.DUMMYFUNCTION("split(F216,"","",true,true)")," BoostVC")</f>
        <v xml:space="preserve"> BoostVC</v>
      </c>
      <c r="AT259" s="10"/>
      <c r="AU259" s="10"/>
      <c r="AV259" s="10"/>
      <c r="AW259" s="10"/>
      <c r="AX259" s="10"/>
      <c r="AY259" s="10"/>
      <c r="AZ259" s="10"/>
      <c r="BA259" s="10"/>
      <c r="BB259" s="10"/>
      <c r="BC259" s="10"/>
      <c r="BD259" s="10"/>
      <c r="BE259" s="10"/>
      <c r="BF259" s="10"/>
      <c r="BG259" s="10"/>
      <c r="BH259" s="10"/>
      <c r="BI259" s="10"/>
      <c r="BJ259" s="10"/>
      <c r="BK259" s="10"/>
      <c r="BM259" s="10"/>
    </row>
    <row r="260" spans="1:65" ht="12.75">
      <c r="A260" s="18">
        <v>42814</v>
      </c>
      <c r="B260" s="14" t="s">
        <v>573</v>
      </c>
      <c r="C260" s="19">
        <v>120000</v>
      </c>
      <c r="D260" s="19"/>
      <c r="E260" s="14" t="s">
        <v>45</v>
      </c>
      <c r="F260" s="14" t="s">
        <v>305</v>
      </c>
      <c r="G260" s="21" t="s">
        <v>631</v>
      </c>
      <c r="H260" s="14" t="str">
        <f t="array" ref="H260">IFERROR(INDEX([1]Companies!$G:$G,MATCH(B260,[1]Companies!$A:$A,0)),"")</f>
        <v>Nigeria</v>
      </c>
      <c r="I260" s="14" t="str">
        <f t="shared" si="383"/>
        <v>Nigeria</v>
      </c>
      <c r="J260" s="14" t="str">
        <f t="array" ref="J260">IFERROR(INDEX([1]Companies!$Y:$Y,MATCH(B260,[1]Companies!$A:$A,0)),"")</f>
        <v>Blockchain, Micro-Loans</v>
      </c>
      <c r="K260" s="14" t="str">
        <f t="array" ref="K260">IFERROR(INDEX([1]Companies!$X:$X,MATCH(B260,[1]Companies!$A:$A,0)),"")</f>
        <v>Financial Services</v>
      </c>
      <c r="L260" s="14" t="str">
        <f>VLOOKUP(B260,[1]Companies!$A$1:$C$5243,1,FALSE)</f>
        <v>Aella Credit</v>
      </c>
      <c r="M260" s="15">
        <f t="shared" si="384"/>
        <v>0.9</v>
      </c>
      <c r="N260" s="10" t="str">
        <f t="shared" si="392"/>
        <v>42814Aella Credit120000</v>
      </c>
      <c r="O260" s="14" t="str">
        <f t="shared" si="393"/>
        <v/>
      </c>
      <c r="P260" s="14">
        <f t="shared" si="394"/>
        <v>1</v>
      </c>
      <c r="Q260" s="14">
        <f t="array" ref="Q260">IFERROR(INDEX([1]Companies!$D:$D,MATCH(B260,[1]Companies!$A:$A,0)),"")</f>
        <v>2015</v>
      </c>
      <c r="R260" s="17">
        <f t="shared" si="395"/>
        <v>270000</v>
      </c>
      <c r="S260" s="14">
        <f>VLOOKUP(I260,[1]Lookups!$V$3:$Y$197,4,FALSE)</f>
        <v>0</v>
      </c>
      <c r="T260" s="14" t="str">
        <f>VLOOKUP(E260,[1]Lookups!$H$3:$I$71,2,FALSE)</f>
        <v>2. Seed</v>
      </c>
      <c r="U260" s="14" t="str">
        <f>VLOOKUP(K260,[1]Lookups!$B$3:$C$142,2,FALSE)</f>
        <v>Financial Services</v>
      </c>
      <c r="V260" s="14">
        <f t="shared" si="396"/>
        <v>2017</v>
      </c>
      <c r="W260" s="14">
        <f t="shared" si="397"/>
        <v>3</v>
      </c>
      <c r="X260" s="14">
        <f>VLOOKUP(W260,[1]Lookups!$P$3:$S$15,2,FALSE)</f>
        <v>1</v>
      </c>
      <c r="Y260" s="16">
        <f>VLOOKUP(W260,[1]Lookups!$P$3:$U$15,3,FALSE)</f>
        <v>1</v>
      </c>
      <c r="Z260" s="16">
        <f t="shared" si="398"/>
        <v>1</v>
      </c>
      <c r="AA260" s="16" t="str">
        <f t="shared" ca="1" si="377"/>
        <v xml:space="preserve"> BoostVC</v>
      </c>
      <c r="AB260" s="16">
        <f t="shared" si="377"/>
        <v>0</v>
      </c>
      <c r="AC260" s="16">
        <f t="shared" si="377"/>
        <v>0</v>
      </c>
      <c r="AD260" s="16">
        <f t="shared" si="377"/>
        <v>0</v>
      </c>
      <c r="AE260" s="16">
        <f t="shared" si="377"/>
        <v>0</v>
      </c>
      <c r="AF260" s="16">
        <f t="shared" si="377"/>
        <v>0</v>
      </c>
      <c r="AG260" s="16">
        <f t="shared" si="377"/>
        <v>0</v>
      </c>
      <c r="AH260" s="16">
        <f t="shared" si="377"/>
        <v>0</v>
      </c>
      <c r="AI260" s="16">
        <f t="shared" si="377"/>
        <v>0</v>
      </c>
      <c r="AJ260" s="16">
        <f t="shared" si="377"/>
        <v>0</v>
      </c>
      <c r="AK260" s="16">
        <f t="shared" si="377"/>
        <v>0</v>
      </c>
      <c r="AL260" s="16">
        <f t="shared" si="377"/>
        <v>0</v>
      </c>
      <c r="AM260" s="16">
        <f t="shared" si="377"/>
        <v>0</v>
      </c>
      <c r="AN260" s="16">
        <f t="shared" si="377"/>
        <v>0</v>
      </c>
      <c r="AO260" s="16">
        <f t="shared" si="377"/>
        <v>0</v>
      </c>
      <c r="AP260" s="10"/>
      <c r="AQ260" s="10"/>
      <c r="AR260" s="10"/>
      <c r="AS260" s="10" t="str">
        <f t="shared" ref="AS260" ca="1" si="402">IFERROR(__xludf.DUMMYFUNCTION("split(F216,"","",true,true)")," BoostVC")</f>
        <v xml:space="preserve"> BoostVC</v>
      </c>
      <c r="AT260" s="23"/>
      <c r="AU260" s="23"/>
      <c r="AV260" s="23"/>
      <c r="AW260" s="23"/>
      <c r="AX260" s="23"/>
      <c r="AY260" s="23"/>
      <c r="AZ260" s="23"/>
      <c r="BA260" s="23"/>
      <c r="BB260" s="23"/>
      <c r="BC260" s="23"/>
      <c r="BD260" s="23"/>
      <c r="BE260" s="23"/>
      <c r="BF260" s="23"/>
      <c r="BG260" s="23"/>
      <c r="BH260" s="23"/>
      <c r="BI260" s="23"/>
      <c r="BJ260" s="23"/>
      <c r="BK260" s="23"/>
      <c r="BM260" s="23"/>
    </row>
    <row r="261" spans="1:65" ht="12.75">
      <c r="A261" s="9">
        <v>42815</v>
      </c>
      <c r="B261" s="10" t="s">
        <v>632</v>
      </c>
      <c r="C261" s="11">
        <v>120000</v>
      </c>
      <c r="D261" s="12"/>
      <c r="E261" s="14" t="s">
        <v>45</v>
      </c>
      <c r="F261" s="10" t="s">
        <v>305</v>
      </c>
      <c r="G261" s="13" t="s">
        <v>633</v>
      </c>
      <c r="H261" s="14" t="str">
        <f t="array" ref="H261">IFERROR(INDEX([1]Companies!$G:$G,MATCH(B261,[1]Companies!$A:$A,0)),"")</f>
        <v>Nigeria</v>
      </c>
      <c r="I261" s="14" t="str">
        <f t="shared" si="383"/>
        <v>Nigeria</v>
      </c>
      <c r="J261" s="14" t="str">
        <f t="array" ref="J261">IFERROR(INDEX([1]Companies!$Y:$Y,MATCH(B261,[1]Companies!$A:$A,0)),"")</f>
        <v>Artificial Intelligence, Banking, Finance, Financial Services, FinTech</v>
      </c>
      <c r="K261" s="14" t="str">
        <f t="array" ref="K261">IFERROR(INDEX([1]Companies!$X:$X,MATCH(B261,[1]Companies!$A:$A,0)),"")</f>
        <v>Financial Services</v>
      </c>
      <c r="L261" s="14" t="str">
        <f>VLOOKUP(B261,[1]Companies!$A$1:$C$5243,1,FALSE)</f>
        <v>Kudi</v>
      </c>
      <c r="M261" s="15">
        <f t="shared" si="384"/>
        <v>0.9</v>
      </c>
      <c r="N261" s="10" t="str">
        <f t="shared" si="392"/>
        <v>42815Kudi120000</v>
      </c>
      <c r="O261" s="14" t="str">
        <f t="shared" si="393"/>
        <v/>
      </c>
      <c r="P261" s="14">
        <f t="shared" si="394"/>
        <v>1</v>
      </c>
      <c r="Q261" s="14">
        <f t="array" ref="Q261">IFERROR(INDEX([1]Companies!$D:$D,MATCH(B261,[1]Companies!$A:$A,0)),"")</f>
        <v>2016</v>
      </c>
      <c r="R261" s="17">
        <f t="shared" si="395"/>
        <v>5120000</v>
      </c>
      <c r="S261" s="14">
        <f>VLOOKUP(I261,[1]Lookups!$V$3:$Y$197,4,FALSE)</f>
        <v>0</v>
      </c>
      <c r="T261" s="14" t="str">
        <f>VLOOKUP(E261,[1]Lookups!$H$3:$I$71,2,FALSE)</f>
        <v>2. Seed</v>
      </c>
      <c r="U261" s="14" t="str">
        <f>VLOOKUP(K261,[1]Lookups!$B$3:$C$142,2,FALSE)</f>
        <v>Financial Services</v>
      </c>
      <c r="V261" s="14">
        <f t="shared" si="396"/>
        <v>2017</v>
      </c>
      <c r="W261" s="14">
        <f t="shared" si="397"/>
        <v>3</v>
      </c>
      <c r="X261" s="14">
        <f>VLOOKUP(W261,[1]Lookups!$P$3:$S$15,2,FALSE)</f>
        <v>1</v>
      </c>
      <c r="Y261" s="16">
        <f>VLOOKUP(W261,[1]Lookups!$P$3:$U$15,3,FALSE)</f>
        <v>1</v>
      </c>
      <c r="Z261" s="16">
        <f t="shared" si="398"/>
        <v>1</v>
      </c>
      <c r="AA261" s="16" t="str">
        <f t="shared" ca="1" si="377"/>
        <v xml:space="preserve"> BoostVC</v>
      </c>
      <c r="AB261" s="16">
        <f t="shared" si="377"/>
        <v>0</v>
      </c>
      <c r="AC261" s="16">
        <f t="shared" si="377"/>
        <v>0</v>
      </c>
      <c r="AD261" s="16">
        <f t="shared" si="377"/>
        <v>0</v>
      </c>
      <c r="AE261" s="16">
        <f t="shared" si="377"/>
        <v>0</v>
      </c>
      <c r="AF261" s="16">
        <f t="shared" si="377"/>
        <v>0</v>
      </c>
      <c r="AG261" s="16">
        <f t="shared" si="377"/>
        <v>0</v>
      </c>
      <c r="AH261" s="16">
        <f t="shared" si="377"/>
        <v>0</v>
      </c>
      <c r="AI261" s="16">
        <f t="shared" si="377"/>
        <v>0</v>
      </c>
      <c r="AJ261" s="16">
        <f t="shared" si="377"/>
        <v>0</v>
      </c>
      <c r="AK261" s="16">
        <f t="shared" si="377"/>
        <v>0</v>
      </c>
      <c r="AL261" s="16">
        <f t="shared" si="377"/>
        <v>0</v>
      </c>
      <c r="AM261" s="16">
        <f t="shared" si="377"/>
        <v>0</v>
      </c>
      <c r="AN261" s="16">
        <f t="shared" si="377"/>
        <v>0</v>
      </c>
      <c r="AO261" s="16">
        <f t="shared" si="377"/>
        <v>0</v>
      </c>
      <c r="AP261" s="10"/>
      <c r="AQ261" s="10"/>
      <c r="AR261" s="10"/>
      <c r="AS261" s="10" t="str">
        <f t="shared" ref="AS261" ca="1" si="403">IFERROR(__xludf.DUMMYFUNCTION("split(F216,"","",true,true)")," BoostVC")</f>
        <v xml:space="preserve"> BoostVC</v>
      </c>
      <c r="AT261" s="10"/>
      <c r="AU261" s="10"/>
      <c r="AV261" s="10"/>
      <c r="AW261" s="10"/>
      <c r="AX261" s="10"/>
      <c r="AY261" s="10"/>
      <c r="AZ261" s="10"/>
      <c r="BA261" s="10"/>
      <c r="BB261" s="10"/>
      <c r="BC261" s="10"/>
      <c r="BD261" s="10"/>
      <c r="BE261" s="10"/>
      <c r="BF261" s="10"/>
      <c r="BG261" s="10"/>
      <c r="BH261" s="10"/>
      <c r="BI261" s="10"/>
      <c r="BJ261" s="10"/>
      <c r="BK261" s="10"/>
      <c r="BM261" s="10"/>
    </row>
    <row r="262" spans="1:65" ht="12.75">
      <c r="A262" s="9">
        <v>42821</v>
      </c>
      <c r="B262" s="10" t="s">
        <v>183</v>
      </c>
      <c r="C262" s="11">
        <v>25000000</v>
      </c>
      <c r="D262" s="12"/>
      <c r="E262" s="10" t="s">
        <v>328</v>
      </c>
      <c r="F262" s="10" t="s">
        <v>634</v>
      </c>
      <c r="G262" s="13" t="s">
        <v>635</v>
      </c>
      <c r="H262" s="14" t="str">
        <f t="array" ref="H262">IFERROR(INDEX([1]Companies!$G:$G,MATCH(B262,[1]Companies!$A:$A,0)),"")</f>
        <v>Kenya</v>
      </c>
      <c r="I262" s="14" t="str">
        <f t="shared" si="383"/>
        <v>Kenya</v>
      </c>
      <c r="J262" s="14" t="str">
        <f t="array" ref="J262">IFERROR(INDEX([1]Companies!$Y:$Y,MATCH(B262,[1]Companies!$A:$A,0)),"")</f>
        <v>Energy, Renewable Energy, Solar</v>
      </c>
      <c r="K262" s="14" t="str">
        <f t="array" ref="K262">IFERROR(INDEX([1]Companies!$X:$X,MATCH(B262,[1]Companies!$A:$A,0)),"")</f>
        <v>Energy &amp; Environment Resources</v>
      </c>
      <c r="L262" s="14" t="str">
        <f>VLOOKUP(B262,[1]Companies!$A$1:$C$5243,1,FALSE)</f>
        <v>d.light</v>
      </c>
      <c r="M262" s="15">
        <f t="shared" si="384"/>
        <v>0.9</v>
      </c>
      <c r="N262" s="10" t="str">
        <f t="shared" si="392"/>
        <v>42821d.light25000000</v>
      </c>
      <c r="O262" s="14" t="str">
        <f t="shared" si="393"/>
        <v/>
      </c>
      <c r="P262" s="14">
        <f t="shared" si="394"/>
        <v>1</v>
      </c>
      <c r="Q262" s="14">
        <f t="array" ref="Q262">IFERROR(INDEX([1]Companies!$D:$D,MATCH(B262,[1]Companies!$A:$A,0)),"")</f>
        <v>2007</v>
      </c>
      <c r="R262" s="17">
        <f t="shared" si="395"/>
        <v>167500000</v>
      </c>
      <c r="S262" s="14">
        <f>VLOOKUP(I262,[1]Lookups!$V$3:$Y$197,4,FALSE)</f>
        <v>0</v>
      </c>
      <c r="T262" s="14" t="str">
        <f>VLOOKUP(E262,[1]Lookups!$H$3:$I$71,2,FALSE)</f>
        <v>4. Late Venture</v>
      </c>
      <c r="U262" s="14" t="e">
        <f>VLOOKUP(K262,[1]Lookups!$B$3:$C$142,2,FALSE)</f>
        <v>#N/A</v>
      </c>
      <c r="V262" s="14">
        <f t="shared" si="396"/>
        <v>2017</v>
      </c>
      <c r="W262" s="14">
        <f t="shared" si="397"/>
        <v>3</v>
      </c>
      <c r="X262" s="14">
        <f>VLOOKUP(W262,[1]Lookups!$P$3:$S$15,2,FALSE)</f>
        <v>1</v>
      </c>
      <c r="Y262" s="16">
        <f>VLOOKUP(W262,[1]Lookups!$P$3:$U$15,3,FALSE)</f>
        <v>1</v>
      </c>
      <c r="Z262" s="16">
        <f t="shared" si="398"/>
        <v>1</v>
      </c>
      <c r="AA262" s="16" t="str">
        <f t="shared" ca="1" si="377"/>
        <v xml:space="preserve"> BoostVC</v>
      </c>
      <c r="AB262" s="16">
        <f t="shared" si="377"/>
        <v>0</v>
      </c>
      <c r="AC262" s="16">
        <f t="shared" si="377"/>
        <v>0</v>
      </c>
      <c r="AD262" s="16">
        <f t="shared" si="377"/>
        <v>0</v>
      </c>
      <c r="AE262" s="16">
        <f t="shared" si="377"/>
        <v>0</v>
      </c>
      <c r="AF262" s="16">
        <f t="shared" si="377"/>
        <v>0</v>
      </c>
      <c r="AG262" s="16">
        <f t="shared" si="377"/>
        <v>0</v>
      </c>
      <c r="AH262" s="16">
        <f t="shared" si="377"/>
        <v>0</v>
      </c>
      <c r="AI262" s="16">
        <f t="shared" si="377"/>
        <v>0</v>
      </c>
      <c r="AJ262" s="16">
        <f t="shared" si="377"/>
        <v>0</v>
      </c>
      <c r="AK262" s="16">
        <f t="shared" si="377"/>
        <v>0</v>
      </c>
      <c r="AL262" s="16">
        <f t="shared" si="377"/>
        <v>0</v>
      </c>
      <c r="AM262" s="16">
        <f t="shared" si="377"/>
        <v>0</v>
      </c>
      <c r="AN262" s="16">
        <f t="shared" si="377"/>
        <v>0</v>
      </c>
      <c r="AO262" s="16">
        <f t="shared" si="377"/>
        <v>0</v>
      </c>
      <c r="AP262" s="10"/>
      <c r="AQ262" s="10"/>
      <c r="AR262" s="10"/>
      <c r="AS262" s="10" t="str">
        <f t="shared" ref="AS262" ca="1" si="404">IFERROR(__xludf.DUMMYFUNCTION("split(F216,"","",true,true)")," BoostVC")</f>
        <v xml:space="preserve"> BoostVC</v>
      </c>
      <c r="AT262" s="10"/>
      <c r="AU262" s="10"/>
      <c r="AV262" s="10"/>
      <c r="AW262" s="10"/>
      <c r="AX262" s="10"/>
      <c r="AY262" s="10"/>
      <c r="AZ262" s="10"/>
      <c r="BA262" s="10"/>
      <c r="BB262" s="10"/>
      <c r="BC262" s="10"/>
      <c r="BD262" s="10"/>
      <c r="BE262" s="10"/>
      <c r="BF262" s="10"/>
      <c r="BG262" s="10"/>
      <c r="BH262" s="10"/>
      <c r="BI262" s="10"/>
      <c r="BJ262" s="10"/>
      <c r="BK262" s="10"/>
      <c r="BM262" s="10"/>
    </row>
    <row r="263" spans="1:65" ht="12.75">
      <c r="A263" s="9">
        <v>42822</v>
      </c>
      <c r="B263" s="10" t="s">
        <v>636</v>
      </c>
      <c r="C263" s="11">
        <v>5000000</v>
      </c>
      <c r="D263" s="12"/>
      <c r="E263" s="10" t="s">
        <v>51</v>
      </c>
      <c r="F263" s="10" t="s">
        <v>637</v>
      </c>
      <c r="G263" s="13" t="s">
        <v>638</v>
      </c>
      <c r="H263" s="14" t="str">
        <f t="array" ref="H263">IFERROR(INDEX([1]Companies!$G:$G,MATCH(B263,[1]Companies!$A:$A,0)),"")</f>
        <v>Kenya</v>
      </c>
      <c r="I263" s="14" t="str">
        <f t="shared" si="383"/>
        <v>Kenya</v>
      </c>
      <c r="J263" s="14" t="str">
        <f t="array" ref="J263">IFERROR(INDEX([1]Companies!$Y:$Y,MATCH(B263,[1]Companies!$A:$A,0)),"")</f>
        <v>Apps, Mobile Apps, Wellness</v>
      </c>
      <c r="K263" s="14" t="str">
        <f t="array" ref="K263">IFERROR(INDEX([1]Companies!$X:$X,MATCH(B263,[1]Companies!$A:$A,0)),"")</f>
        <v>Healthcare &amp; Pharma</v>
      </c>
      <c r="L263" s="14" t="str">
        <f>VLOOKUP(B263,[1]Companies!$A$1:$C$5243,1,FALSE)</f>
        <v>Mydawa</v>
      </c>
      <c r="M263" s="15">
        <f t="shared" si="384"/>
        <v>0.9</v>
      </c>
      <c r="N263" s="10" t="str">
        <f t="shared" si="392"/>
        <v>42822Mydawa5000000</v>
      </c>
      <c r="O263" s="14" t="str">
        <f t="shared" si="393"/>
        <v/>
      </c>
      <c r="P263" s="14">
        <f t="shared" si="394"/>
        <v>1</v>
      </c>
      <c r="Q263" s="14">
        <f t="array" ref="Q263">IFERROR(INDEX([1]Companies!$D:$D,MATCH(B263,[1]Companies!$A:$A,0)),"")</f>
        <v>2015</v>
      </c>
      <c r="R263" s="17">
        <f t="shared" si="395"/>
        <v>8000000</v>
      </c>
      <c r="S263" s="14">
        <f>VLOOKUP(I263,[1]Lookups!$V$3:$Y$197,4,FALSE)</f>
        <v>0</v>
      </c>
      <c r="T263" s="14" t="str">
        <f>VLOOKUP(E263,[1]Lookups!$H$3:$I$71,2,FALSE)</f>
        <v>6. Private Equity</v>
      </c>
      <c r="U263" s="14" t="str">
        <f>VLOOKUP(K263,[1]Lookups!$B$3:$C$142,2,FALSE)</f>
        <v>Health &amp; Pharmaceuticals</v>
      </c>
      <c r="V263" s="14">
        <f t="shared" si="396"/>
        <v>2017</v>
      </c>
      <c r="W263" s="14">
        <f t="shared" si="397"/>
        <v>3</v>
      </c>
      <c r="X263" s="14">
        <f>VLOOKUP(W263,[1]Lookups!$P$3:$S$15,2,FALSE)</f>
        <v>1</v>
      </c>
      <c r="Y263" s="16">
        <f>VLOOKUP(W263,[1]Lookups!$P$3:$U$15,3,FALSE)</f>
        <v>1</v>
      </c>
      <c r="Z263" s="16">
        <f t="shared" si="398"/>
        <v>1</v>
      </c>
      <c r="AA263" s="16" t="str">
        <f t="shared" ca="1" si="377"/>
        <v xml:space="preserve"> BoostVC</v>
      </c>
      <c r="AB263" s="16">
        <f t="shared" si="377"/>
        <v>0</v>
      </c>
      <c r="AC263" s="16">
        <f t="shared" si="377"/>
        <v>0</v>
      </c>
      <c r="AD263" s="16">
        <f t="shared" si="377"/>
        <v>0</v>
      </c>
      <c r="AE263" s="16">
        <f t="shared" si="377"/>
        <v>0</v>
      </c>
      <c r="AF263" s="16">
        <f t="shared" si="377"/>
        <v>0</v>
      </c>
      <c r="AG263" s="16">
        <f t="shared" si="377"/>
        <v>0</v>
      </c>
      <c r="AH263" s="16">
        <f t="shared" si="377"/>
        <v>0</v>
      </c>
      <c r="AI263" s="16">
        <f t="shared" si="377"/>
        <v>0</v>
      </c>
      <c r="AJ263" s="16">
        <f t="shared" si="377"/>
        <v>0</v>
      </c>
      <c r="AK263" s="16">
        <f t="shared" si="377"/>
        <v>0</v>
      </c>
      <c r="AL263" s="16">
        <f t="shared" si="377"/>
        <v>0</v>
      </c>
      <c r="AM263" s="16">
        <f t="shared" si="377"/>
        <v>0</v>
      </c>
      <c r="AN263" s="16">
        <f t="shared" si="377"/>
        <v>0</v>
      </c>
      <c r="AO263" s="16">
        <f t="shared" si="377"/>
        <v>0</v>
      </c>
      <c r="AP263" s="10"/>
      <c r="AQ263" s="10"/>
      <c r="AR263" s="10"/>
      <c r="AS263" s="10" t="str">
        <f t="shared" ref="AS263" ca="1" si="405">IFERROR(__xludf.DUMMYFUNCTION("split(F216,"","",true,true)")," BoostVC")</f>
        <v xml:space="preserve"> BoostVC</v>
      </c>
      <c r="AT263" s="10"/>
      <c r="AU263" s="10"/>
      <c r="AV263" s="10"/>
      <c r="AW263" s="10"/>
      <c r="AX263" s="10"/>
      <c r="AY263" s="10"/>
      <c r="AZ263" s="10"/>
      <c r="BA263" s="10"/>
      <c r="BB263" s="10"/>
      <c r="BC263" s="10"/>
      <c r="BD263" s="10"/>
      <c r="BE263" s="10"/>
      <c r="BF263" s="10"/>
      <c r="BG263" s="10"/>
      <c r="BH263" s="10"/>
      <c r="BI263" s="10"/>
      <c r="BJ263" s="10"/>
      <c r="BK263" s="10"/>
      <c r="BM263" s="10"/>
    </row>
    <row r="264" spans="1:65" ht="12.75">
      <c r="A264" s="9">
        <v>42823</v>
      </c>
      <c r="B264" s="10" t="s">
        <v>639</v>
      </c>
      <c r="C264" s="11">
        <v>1286000</v>
      </c>
      <c r="D264" s="12"/>
      <c r="E264" s="14" t="s">
        <v>45</v>
      </c>
      <c r="F264" s="10" t="s">
        <v>131</v>
      </c>
      <c r="G264" s="13" t="s">
        <v>640</v>
      </c>
      <c r="H264" s="14" t="str">
        <f t="array" ref="H264">IFERROR(INDEX([1]Companies!$G:$G,MATCH(B264,[1]Companies!$A:$A,0)),"")</f>
        <v>Nigeria</v>
      </c>
      <c r="I264" s="14" t="str">
        <f t="shared" si="383"/>
        <v>Nigeria</v>
      </c>
      <c r="J264" s="14" t="str">
        <f t="array" ref="J264">IFERROR(INDEX([1]Companies!$Y:$Y,MATCH(B264,[1]Companies!$A:$A,0)),"")</f>
        <v>Fintech, Small Medium Businesses, Working Capital, Frontier &amp; Emerging Markets, and Credit Score</v>
      </c>
      <c r="K264" s="14" t="str">
        <f t="array" ref="K264">IFERROR(INDEX([1]Companies!$X:$X,MATCH(B264,[1]Companies!$A:$A,0)),"")</f>
        <v>Financial Services</v>
      </c>
      <c r="L264" s="14" t="str">
        <f>VLOOKUP(B264,[1]Companies!$A$1:$C$5243,1,FALSE)</f>
        <v>Lidya</v>
      </c>
      <c r="M264" s="15">
        <f t="shared" si="384"/>
        <v>0.9</v>
      </c>
      <c r="N264" s="10" t="str">
        <f t="shared" si="392"/>
        <v>42823Lidya1286000</v>
      </c>
      <c r="O264" s="14" t="str">
        <f t="shared" si="393"/>
        <v/>
      </c>
      <c r="P264" s="14">
        <f t="shared" si="394"/>
        <v>1</v>
      </c>
      <c r="Q264" s="14">
        <f t="array" ref="Q264">IFERROR(INDEX([1]Companies!$D:$D,MATCH(B264,[1]Companies!$A:$A,0)),"")</f>
        <v>2016</v>
      </c>
      <c r="R264" s="17">
        <f t="shared" si="395"/>
        <v>8186000</v>
      </c>
      <c r="S264" s="14">
        <f>VLOOKUP(I264,[1]Lookups!$V$3:$Y$197,4,FALSE)</f>
        <v>0</v>
      </c>
      <c r="T264" s="14" t="str">
        <f>VLOOKUP(E264,[1]Lookups!$H$3:$I$71,2,FALSE)</f>
        <v>2. Seed</v>
      </c>
      <c r="U264" s="14" t="str">
        <f>VLOOKUP(K264,[1]Lookups!$B$3:$C$142,2,FALSE)</f>
        <v>Financial Services</v>
      </c>
      <c r="V264" s="14">
        <f t="shared" si="396"/>
        <v>2017</v>
      </c>
      <c r="W264" s="14">
        <f t="shared" si="397"/>
        <v>3</v>
      </c>
      <c r="X264" s="14">
        <f>VLOOKUP(W264,[1]Lookups!$P$3:$S$15,2,FALSE)</f>
        <v>1</v>
      </c>
      <c r="Y264" s="16">
        <f>VLOOKUP(W264,[1]Lookups!$P$3:$U$15,3,FALSE)</f>
        <v>1</v>
      </c>
      <c r="Z264" s="16">
        <f t="shared" si="398"/>
        <v>1</v>
      </c>
      <c r="AA264" s="16" t="str">
        <f t="shared" ref="AA264:AO279" ca="1" si="406">AS264</f>
        <v xml:space="preserve"> BoostVC</v>
      </c>
      <c r="AB264" s="16">
        <f t="shared" si="406"/>
        <v>0</v>
      </c>
      <c r="AC264" s="16">
        <f t="shared" si="406"/>
        <v>0</v>
      </c>
      <c r="AD264" s="16">
        <f t="shared" si="406"/>
        <v>0</v>
      </c>
      <c r="AE264" s="16">
        <f t="shared" si="406"/>
        <v>0</v>
      </c>
      <c r="AF264" s="16">
        <f t="shared" si="406"/>
        <v>0</v>
      </c>
      <c r="AG264" s="16">
        <f t="shared" si="406"/>
        <v>0</v>
      </c>
      <c r="AH264" s="16">
        <f t="shared" si="406"/>
        <v>0</v>
      </c>
      <c r="AI264" s="16">
        <f t="shared" si="406"/>
        <v>0</v>
      </c>
      <c r="AJ264" s="16">
        <f t="shared" si="406"/>
        <v>0</v>
      </c>
      <c r="AK264" s="16">
        <f t="shared" si="406"/>
        <v>0</v>
      </c>
      <c r="AL264" s="16">
        <f t="shared" si="406"/>
        <v>0</v>
      </c>
      <c r="AM264" s="16">
        <f t="shared" si="406"/>
        <v>0</v>
      </c>
      <c r="AN264" s="16">
        <f t="shared" si="406"/>
        <v>0</v>
      </c>
      <c r="AO264" s="16">
        <f t="shared" si="406"/>
        <v>0</v>
      </c>
      <c r="AP264" s="10"/>
      <c r="AQ264" s="10"/>
      <c r="AR264" s="10"/>
      <c r="AS264" s="10" t="str">
        <f t="shared" ref="AS264" ca="1" si="407">IFERROR(__xludf.DUMMYFUNCTION("split(F216,"","",true,true)")," BoostVC")</f>
        <v xml:space="preserve"> BoostVC</v>
      </c>
      <c r="AT264" s="10"/>
      <c r="AU264" s="10"/>
      <c r="AV264" s="10"/>
      <c r="AW264" s="10"/>
      <c r="AX264" s="10"/>
      <c r="AY264" s="10"/>
      <c r="AZ264" s="10"/>
      <c r="BA264" s="10"/>
      <c r="BB264" s="10"/>
      <c r="BC264" s="10"/>
      <c r="BD264" s="10"/>
      <c r="BE264" s="10"/>
      <c r="BF264" s="10"/>
      <c r="BG264" s="10"/>
      <c r="BH264" s="10"/>
      <c r="BI264" s="10"/>
      <c r="BJ264" s="10"/>
      <c r="BK264" s="10"/>
      <c r="BM264" s="10"/>
    </row>
    <row r="265" spans="1:65" ht="12.75">
      <c r="A265" s="9">
        <v>42826</v>
      </c>
      <c r="B265" s="10" t="s">
        <v>193</v>
      </c>
      <c r="C265" s="11">
        <v>1000000</v>
      </c>
      <c r="D265" s="12"/>
      <c r="E265" s="10" t="s">
        <v>91</v>
      </c>
      <c r="F265" s="10" t="s">
        <v>641</v>
      </c>
      <c r="G265" s="13" t="s">
        <v>642</v>
      </c>
      <c r="H265" s="14" t="str">
        <f t="array" ref="H265">IFERROR(INDEX([1]Companies!$G:$G,MATCH(B265,[1]Companies!$A:$A,0)),"")</f>
        <v>Nigeria</v>
      </c>
      <c r="I265" s="14" t="str">
        <f t="shared" si="383"/>
        <v>Nigeria</v>
      </c>
      <c r="J265" s="14" t="str">
        <f t="array" ref="J265">IFERROR(INDEX([1]Companies!$Y:$Y,MATCH(B265,[1]Companies!$A:$A,0)),"")</f>
        <v>Microfinance, Distributed Systems, Machine Learning, Functional Programming, Parallel Programming, Microservices, and Metaprogramming.</v>
      </c>
      <c r="K265" s="14" t="str">
        <f t="array" ref="K265">IFERROR(INDEX([1]Companies!$X:$X,MATCH(B265,[1]Companies!$A:$A,0)),"")</f>
        <v>Financial Services</v>
      </c>
      <c r="L265" s="14" t="str">
        <f>VLOOKUP(B265,[1]Companies!$A$1:$C$5243,1,FALSE)</f>
        <v>Mines</v>
      </c>
      <c r="M265" s="15">
        <f t="shared" si="384"/>
        <v>0.9</v>
      </c>
      <c r="N265" s="10" t="str">
        <f t="shared" si="392"/>
        <v>42826Mines1000000</v>
      </c>
      <c r="O265" s="14" t="str">
        <f t="shared" si="393"/>
        <v/>
      </c>
      <c r="P265" s="14">
        <f t="shared" si="394"/>
        <v>1</v>
      </c>
      <c r="Q265" s="14">
        <f t="array" ref="Q265">IFERROR(INDEX([1]Companies!$D:$D,MATCH(B265,[1]Companies!$A:$A,0)),"")</f>
        <v>2014</v>
      </c>
      <c r="R265" s="17">
        <f t="shared" si="395"/>
        <v>17138000</v>
      </c>
      <c r="S265" s="14">
        <f>VLOOKUP(I265,[1]Lookups!$V$3:$Y$197,4,FALSE)</f>
        <v>0</v>
      </c>
      <c r="T265" s="14" t="str">
        <f>VLOOKUP(E265,[1]Lookups!$H$3:$I$71,2,FALSE)</f>
        <v>5. Debt Financing</v>
      </c>
      <c r="U265" s="14" t="str">
        <f>VLOOKUP(K265,[1]Lookups!$B$3:$C$142,2,FALSE)</f>
        <v>Financial Services</v>
      </c>
      <c r="V265" s="14">
        <f t="shared" si="396"/>
        <v>2017</v>
      </c>
      <c r="W265" s="14">
        <f t="shared" si="397"/>
        <v>4</v>
      </c>
      <c r="X265" s="14">
        <f>VLOOKUP(W265,[1]Lookups!$P$3:$S$15,2,FALSE)</f>
        <v>2</v>
      </c>
      <c r="Y265" s="16">
        <f>VLOOKUP(W265,[1]Lookups!$P$3:$U$15,3,FALSE)</f>
        <v>1</v>
      </c>
      <c r="Z265" s="16">
        <f t="shared" si="398"/>
        <v>1</v>
      </c>
      <c r="AA265" s="16" t="str">
        <f t="shared" ca="1" si="406"/>
        <v xml:space="preserve"> BoostVC</v>
      </c>
      <c r="AB265" s="16">
        <f t="shared" si="406"/>
        <v>0</v>
      </c>
      <c r="AC265" s="16">
        <f t="shared" si="406"/>
        <v>0</v>
      </c>
      <c r="AD265" s="16">
        <f t="shared" si="406"/>
        <v>0</v>
      </c>
      <c r="AE265" s="16">
        <f t="shared" si="406"/>
        <v>0</v>
      </c>
      <c r="AF265" s="16">
        <f t="shared" si="406"/>
        <v>0</v>
      </c>
      <c r="AG265" s="16">
        <f t="shared" si="406"/>
        <v>0</v>
      </c>
      <c r="AH265" s="16">
        <f t="shared" si="406"/>
        <v>0</v>
      </c>
      <c r="AI265" s="16">
        <f t="shared" si="406"/>
        <v>0</v>
      </c>
      <c r="AJ265" s="16">
        <f t="shared" si="406"/>
        <v>0</v>
      </c>
      <c r="AK265" s="16">
        <f t="shared" si="406"/>
        <v>0</v>
      </c>
      <c r="AL265" s="16">
        <f t="shared" si="406"/>
        <v>0</v>
      </c>
      <c r="AM265" s="16">
        <f t="shared" si="406"/>
        <v>0</v>
      </c>
      <c r="AN265" s="16">
        <f t="shared" si="406"/>
        <v>0</v>
      </c>
      <c r="AO265" s="16">
        <f t="shared" si="406"/>
        <v>0</v>
      </c>
      <c r="AP265" s="10"/>
      <c r="AQ265" s="10"/>
      <c r="AR265" s="10"/>
      <c r="AS265" s="10" t="str">
        <f t="shared" ref="AS265" ca="1" si="408">IFERROR(__xludf.DUMMYFUNCTION("split(F216,"","",true,true)")," BoostVC")</f>
        <v xml:space="preserve"> BoostVC</v>
      </c>
      <c r="AT265" s="10"/>
      <c r="AU265" s="10"/>
      <c r="AV265" s="10"/>
      <c r="AW265" s="10"/>
      <c r="AX265" s="10"/>
      <c r="AY265" s="10"/>
      <c r="AZ265" s="10"/>
      <c r="BA265" s="10"/>
      <c r="BB265" s="10"/>
      <c r="BC265" s="10"/>
      <c r="BD265" s="10"/>
      <c r="BE265" s="10"/>
      <c r="BF265" s="10"/>
      <c r="BG265" s="10"/>
      <c r="BH265" s="10"/>
      <c r="BI265" s="10"/>
      <c r="BJ265" s="10"/>
      <c r="BK265" s="10"/>
      <c r="BM265" s="10"/>
    </row>
    <row r="266" spans="1:65" ht="12.75">
      <c r="A266" s="18">
        <v>42828</v>
      </c>
      <c r="B266" s="14" t="s">
        <v>643</v>
      </c>
      <c r="C266" s="19">
        <v>1100000</v>
      </c>
      <c r="D266" s="19"/>
      <c r="E266" s="14" t="s">
        <v>45</v>
      </c>
      <c r="F266" s="14" t="s">
        <v>644</v>
      </c>
      <c r="G266" s="21" t="s">
        <v>645</v>
      </c>
      <c r="H266" s="14" t="str">
        <f t="array" ref="H266">IFERROR(INDEX([1]Companies!$G:$G,MATCH(B266,[1]Companies!$A:$A,0)),"")</f>
        <v>Kenya</v>
      </c>
      <c r="I266" s="14" t="str">
        <f t="shared" si="383"/>
        <v>Kenya</v>
      </c>
      <c r="J266" s="14" t="str">
        <f t="array" ref="J266">IFERROR(INDEX([1]Companies!$Y:$Y,MATCH(B266,[1]Companies!$A:$A,0)),"")</f>
        <v>FinTech, Marketing, Lending, Micro-Loans</v>
      </c>
      <c r="K266" s="14" t="str">
        <f t="array" ref="K266">IFERROR(INDEX([1]Companies!$X:$X,MATCH(B266,[1]Companies!$A:$A,0)),"")</f>
        <v>Financial Services</v>
      </c>
      <c r="L266" s="14" t="str">
        <f>VLOOKUP(B266,[1]Companies!$A$1:$C$5243,1,FALSE)</f>
        <v>Alternative Circle</v>
      </c>
      <c r="M266" s="15">
        <f t="shared" si="384"/>
        <v>0.9</v>
      </c>
      <c r="N266" s="10" t="str">
        <f t="shared" si="392"/>
        <v>42828Alternative Circle1100000</v>
      </c>
      <c r="O266" s="14" t="str">
        <f t="shared" si="393"/>
        <v/>
      </c>
      <c r="P266" s="14">
        <f t="shared" si="394"/>
        <v>1</v>
      </c>
      <c r="Q266" s="14">
        <f t="array" ref="Q266">IFERROR(INDEX([1]Companies!$D:$D,MATCH(B266,[1]Companies!$A:$A,0)),"")</f>
        <v>2016</v>
      </c>
      <c r="R266" s="17">
        <f t="shared" si="395"/>
        <v>1100000</v>
      </c>
      <c r="S266" s="14">
        <f>VLOOKUP(I266,[1]Lookups!$V$3:$Y$197,4,FALSE)</f>
        <v>0</v>
      </c>
      <c r="T266" s="14" t="str">
        <f>VLOOKUP(E266,[1]Lookups!$H$3:$I$71,2,FALSE)</f>
        <v>2. Seed</v>
      </c>
      <c r="U266" s="14" t="str">
        <f>VLOOKUP(K266,[1]Lookups!$B$3:$C$142,2,FALSE)</f>
        <v>Financial Services</v>
      </c>
      <c r="V266" s="14">
        <f t="shared" si="396"/>
        <v>2017</v>
      </c>
      <c r="W266" s="14">
        <f t="shared" si="397"/>
        <v>4</v>
      </c>
      <c r="X266" s="14">
        <f>VLOOKUP(W266,[1]Lookups!$P$3:$S$15,2,FALSE)</f>
        <v>2</v>
      </c>
      <c r="Y266" s="16">
        <f>VLOOKUP(W266,[1]Lookups!$P$3:$U$15,3,FALSE)</f>
        <v>1</v>
      </c>
      <c r="Z266" s="16">
        <f t="shared" si="398"/>
        <v>1</v>
      </c>
      <c r="AA266" s="16" t="str">
        <f t="shared" ca="1" si="406"/>
        <v xml:space="preserve"> BoostVC</v>
      </c>
      <c r="AB266" s="16">
        <f t="shared" si="406"/>
        <v>0</v>
      </c>
      <c r="AC266" s="16">
        <f t="shared" si="406"/>
        <v>0</v>
      </c>
      <c r="AD266" s="16">
        <f t="shared" si="406"/>
        <v>0</v>
      </c>
      <c r="AE266" s="16">
        <f t="shared" si="406"/>
        <v>0</v>
      </c>
      <c r="AF266" s="16">
        <f t="shared" si="406"/>
        <v>0</v>
      </c>
      <c r="AG266" s="16">
        <f t="shared" si="406"/>
        <v>0</v>
      </c>
      <c r="AH266" s="16">
        <f t="shared" si="406"/>
        <v>0</v>
      </c>
      <c r="AI266" s="16">
        <f t="shared" si="406"/>
        <v>0</v>
      </c>
      <c r="AJ266" s="16">
        <f t="shared" si="406"/>
        <v>0</v>
      </c>
      <c r="AK266" s="16">
        <f t="shared" si="406"/>
        <v>0</v>
      </c>
      <c r="AL266" s="16">
        <f t="shared" si="406"/>
        <v>0</v>
      </c>
      <c r="AM266" s="16">
        <f t="shared" si="406"/>
        <v>0</v>
      </c>
      <c r="AN266" s="16">
        <f t="shared" si="406"/>
        <v>0</v>
      </c>
      <c r="AO266" s="16">
        <f t="shared" si="406"/>
        <v>0</v>
      </c>
      <c r="AP266" s="10"/>
      <c r="AQ266" s="10"/>
      <c r="AR266" s="10"/>
      <c r="AS266" s="10" t="str">
        <f t="shared" ref="AS266" ca="1" si="409">IFERROR(__xludf.DUMMYFUNCTION("split(F216,"","",true,true)")," BoostVC")</f>
        <v xml:space="preserve"> BoostVC</v>
      </c>
      <c r="AT266" s="10"/>
      <c r="AU266" s="10"/>
      <c r="AV266" s="10"/>
      <c r="AW266" s="10"/>
      <c r="AX266" s="10"/>
      <c r="AY266" s="10"/>
      <c r="AZ266" s="10"/>
      <c r="BA266" s="10"/>
      <c r="BB266" s="10"/>
      <c r="BC266" s="10"/>
      <c r="BD266" s="10"/>
      <c r="BE266" s="10"/>
      <c r="BF266" s="10"/>
      <c r="BG266" s="10"/>
      <c r="BH266" s="10"/>
      <c r="BI266" s="10"/>
      <c r="BJ266" s="10"/>
      <c r="BK266" s="10"/>
      <c r="BM266" s="10"/>
    </row>
    <row r="267" spans="1:65" ht="12.75">
      <c r="A267" s="9">
        <v>42830</v>
      </c>
      <c r="B267" s="10" t="s">
        <v>491</v>
      </c>
      <c r="C267" s="11">
        <v>250000</v>
      </c>
      <c r="D267" s="12"/>
      <c r="E267" s="10" t="s">
        <v>69</v>
      </c>
      <c r="F267" s="10" t="s">
        <v>646</v>
      </c>
      <c r="G267" s="13" t="s">
        <v>647</v>
      </c>
      <c r="H267" s="14" t="str">
        <f t="array" ref="H267">IFERROR(INDEX([1]Companies!$G:$G,MATCH(B267,[1]Companies!$A:$A,0)),"")</f>
        <v>United States</v>
      </c>
      <c r="I267" s="14" t="str">
        <f t="shared" si="383"/>
        <v>United States</v>
      </c>
      <c r="J267" s="14" t="str">
        <f t="array" ref="J267">IFERROR(INDEX([1]Companies!$Y:$Y,MATCH(B267,[1]Companies!$A:$A,0)),"")</f>
        <v>Payments, Fintech, Financial Technology</v>
      </c>
      <c r="K267" s="14" t="str">
        <f t="array" ref="K267">IFERROR(INDEX([1]Companies!$X:$X,MATCH(B267,[1]Companies!$A:$A,0)),"")</f>
        <v>Financial Services</v>
      </c>
      <c r="L267" s="14" t="str">
        <f>VLOOKUP(B267,[1]Companies!$A$1:$C$5243,1,FALSE)</f>
        <v>Flutterwave</v>
      </c>
      <c r="M267" s="15">
        <f t="shared" si="384"/>
        <v>0.9</v>
      </c>
      <c r="N267" s="10" t="str">
        <f t="shared" si="392"/>
        <v>42830Flutterwave250000</v>
      </c>
      <c r="O267" s="14" t="str">
        <f t="shared" si="393"/>
        <v/>
      </c>
      <c r="P267" s="14">
        <f t="shared" si="394"/>
        <v>1</v>
      </c>
      <c r="Q267" s="14">
        <f t="array" ref="Q267">IFERROR(INDEX([1]Companies!$D:$D,MATCH(B267,[1]Companies!$A:$A,0)),"")</f>
        <v>2016</v>
      </c>
      <c r="R267" s="17">
        <f t="shared" si="395"/>
        <v>20300000</v>
      </c>
      <c r="S267" s="14" t="e">
        <f>VLOOKUP(I267,[1]Lookups!$V$3:$Y$197,4,FALSE)</f>
        <v>#N/A</v>
      </c>
      <c r="T267" s="14" t="str">
        <f>VLOOKUP(E267,[1]Lookups!$H$3:$I$71,2,FALSE)</f>
        <v>3. Early Venture</v>
      </c>
      <c r="U267" s="14" t="str">
        <f>VLOOKUP(K267,[1]Lookups!$B$3:$C$142,2,FALSE)</f>
        <v>Financial Services</v>
      </c>
      <c r="V267" s="14">
        <f t="shared" si="396"/>
        <v>2017</v>
      </c>
      <c r="W267" s="14">
        <f t="shared" si="397"/>
        <v>4</v>
      </c>
      <c r="X267" s="14">
        <f>VLOOKUP(W267,[1]Lookups!$P$3:$S$15,2,FALSE)</f>
        <v>2</v>
      </c>
      <c r="Y267" s="16">
        <f>VLOOKUP(W267,[1]Lookups!$P$3:$U$15,3,FALSE)</f>
        <v>1</v>
      </c>
      <c r="Z267" s="16">
        <f t="shared" si="398"/>
        <v>1</v>
      </c>
      <c r="AA267" s="16" t="str">
        <f t="shared" ca="1" si="406"/>
        <v xml:space="preserve"> BoostVC</v>
      </c>
      <c r="AB267" s="16">
        <f t="shared" si="406"/>
        <v>0</v>
      </c>
      <c r="AC267" s="16">
        <f t="shared" si="406"/>
        <v>0</v>
      </c>
      <c r="AD267" s="16">
        <f t="shared" si="406"/>
        <v>0</v>
      </c>
      <c r="AE267" s="16">
        <f t="shared" si="406"/>
        <v>0</v>
      </c>
      <c r="AF267" s="16">
        <f t="shared" si="406"/>
        <v>0</v>
      </c>
      <c r="AG267" s="16">
        <f t="shared" si="406"/>
        <v>0</v>
      </c>
      <c r="AH267" s="16">
        <f t="shared" si="406"/>
        <v>0</v>
      </c>
      <c r="AI267" s="16">
        <f t="shared" si="406"/>
        <v>0</v>
      </c>
      <c r="AJ267" s="16">
        <f t="shared" si="406"/>
        <v>0</v>
      </c>
      <c r="AK267" s="16">
        <f t="shared" si="406"/>
        <v>0</v>
      </c>
      <c r="AL267" s="16">
        <f t="shared" si="406"/>
        <v>0</v>
      </c>
      <c r="AM267" s="16">
        <f t="shared" si="406"/>
        <v>0</v>
      </c>
      <c r="AN267" s="16">
        <f t="shared" si="406"/>
        <v>0</v>
      </c>
      <c r="AO267" s="16">
        <f t="shared" si="406"/>
        <v>0</v>
      </c>
      <c r="AP267" s="10"/>
      <c r="AQ267" s="10"/>
      <c r="AR267" s="10"/>
      <c r="AS267" s="10" t="str">
        <f t="shared" ref="AS267" ca="1" si="410">IFERROR(__xludf.DUMMYFUNCTION("split(F216,"","",true,true)")," BoostVC")</f>
        <v xml:space="preserve"> BoostVC</v>
      </c>
      <c r="AT267" s="10"/>
      <c r="AU267" s="10"/>
      <c r="AV267" s="10"/>
      <c r="AW267" s="10"/>
      <c r="AX267" s="10"/>
      <c r="AY267" s="10"/>
      <c r="AZ267" s="10"/>
      <c r="BA267" s="10"/>
      <c r="BB267" s="10"/>
      <c r="BC267" s="10"/>
      <c r="BD267" s="10"/>
      <c r="BE267" s="10"/>
      <c r="BF267" s="10"/>
      <c r="BG267" s="10"/>
      <c r="BH267" s="10"/>
      <c r="BI267" s="10"/>
      <c r="BJ267" s="10"/>
      <c r="BK267" s="10"/>
      <c r="BM267" s="10"/>
    </row>
    <row r="268" spans="1:65" ht="12.75">
      <c r="A268" s="9">
        <v>42831</v>
      </c>
      <c r="B268" s="10" t="s">
        <v>648</v>
      </c>
      <c r="C268" s="11">
        <v>21500</v>
      </c>
      <c r="D268" s="12"/>
      <c r="E268" s="10" t="s">
        <v>55</v>
      </c>
      <c r="F268" s="10" t="s">
        <v>49</v>
      </c>
      <c r="G268" s="13" t="s">
        <v>649</v>
      </c>
      <c r="H268" s="14" t="str">
        <f t="array" ref="H268">IFERROR(INDEX([1]Companies!$G:$G,MATCH(B268,[1]Companies!$A:$A,0)),"")</f>
        <v>Nigeria</v>
      </c>
      <c r="I268" s="14" t="str">
        <f t="shared" si="383"/>
        <v>Nigeria</v>
      </c>
      <c r="J268" s="14" t="str">
        <f t="array" ref="J268">IFERROR(INDEX([1]Companies!$Y:$Y,MATCH(B268,[1]Companies!$A:$A,0)),"")</f>
        <v>EdTech, Enterprise Resource Planning (ERP), SaaS</v>
      </c>
      <c r="K268" s="14" t="str">
        <f t="array" ref="K268">IFERROR(INDEX([1]Companies!$X:$X,MATCH(B268,[1]Companies!$A:$A,0)),"")</f>
        <v>Education</v>
      </c>
      <c r="L268" s="14" t="str">
        <f>VLOOKUP(B268,[1]Companies!$A$1:$C$5243,1,FALSE)</f>
        <v>Edves</v>
      </c>
      <c r="M268" s="15">
        <f t="shared" si="384"/>
        <v>0.9</v>
      </c>
      <c r="N268" s="10" t="str">
        <f t="shared" si="392"/>
        <v>42831Edves21500</v>
      </c>
      <c r="O268" s="14" t="str">
        <f t="shared" si="393"/>
        <v/>
      </c>
      <c r="P268" s="14">
        <f t="shared" si="394"/>
        <v>1</v>
      </c>
      <c r="Q268" s="14">
        <f t="array" ref="Q268">IFERROR(INDEX([1]Companies!$D:$D,MATCH(B268,[1]Companies!$A:$A,0)),"")</f>
        <v>2016</v>
      </c>
      <c r="R268" s="17">
        <f t="shared" si="395"/>
        <v>191500</v>
      </c>
      <c r="S268" s="14">
        <f>VLOOKUP(I268,[1]Lookups!$V$3:$Y$197,4,FALSE)</f>
        <v>0</v>
      </c>
      <c r="T268" s="14" t="str">
        <f>VLOOKUP(E268,[1]Lookups!$H$3:$I$71,2,FALSE)</f>
        <v>1. Grant</v>
      </c>
      <c r="U268" s="14" t="str">
        <f>VLOOKUP(K268,[1]Lookups!$B$3:$C$142,2,FALSE)</f>
        <v>Education</v>
      </c>
      <c r="V268" s="14">
        <f t="shared" si="396"/>
        <v>2017</v>
      </c>
      <c r="W268" s="14">
        <f t="shared" si="397"/>
        <v>4</v>
      </c>
      <c r="X268" s="14">
        <f>VLOOKUP(W268,[1]Lookups!$P$3:$S$15,2,FALSE)</f>
        <v>2</v>
      </c>
      <c r="Y268" s="16">
        <f>VLOOKUP(W268,[1]Lookups!$P$3:$U$15,3,FALSE)</f>
        <v>1</v>
      </c>
      <c r="Z268" s="16">
        <f t="shared" si="398"/>
        <v>1</v>
      </c>
      <c r="AA268" s="16" t="str">
        <f t="shared" ca="1" si="406"/>
        <v xml:space="preserve"> BoostVC</v>
      </c>
      <c r="AB268" s="16">
        <f t="shared" si="406"/>
        <v>0</v>
      </c>
      <c r="AC268" s="16">
        <f t="shared" si="406"/>
        <v>0</v>
      </c>
      <c r="AD268" s="16">
        <f t="shared" si="406"/>
        <v>0</v>
      </c>
      <c r="AE268" s="16">
        <f t="shared" si="406"/>
        <v>0</v>
      </c>
      <c r="AF268" s="16">
        <f t="shared" si="406"/>
        <v>0</v>
      </c>
      <c r="AG268" s="16">
        <f t="shared" si="406"/>
        <v>0</v>
      </c>
      <c r="AH268" s="16">
        <f t="shared" si="406"/>
        <v>0</v>
      </c>
      <c r="AI268" s="16">
        <f t="shared" si="406"/>
        <v>0</v>
      </c>
      <c r="AJ268" s="16">
        <f t="shared" si="406"/>
        <v>0</v>
      </c>
      <c r="AK268" s="16">
        <f t="shared" si="406"/>
        <v>0</v>
      </c>
      <c r="AL268" s="16">
        <f t="shared" si="406"/>
        <v>0</v>
      </c>
      <c r="AM268" s="16">
        <f t="shared" si="406"/>
        <v>0</v>
      </c>
      <c r="AN268" s="16">
        <f t="shared" si="406"/>
        <v>0</v>
      </c>
      <c r="AO268" s="16">
        <f t="shared" si="406"/>
        <v>0</v>
      </c>
      <c r="AP268" s="10"/>
      <c r="AQ268" s="10"/>
      <c r="AR268" s="10"/>
      <c r="AS268" s="10" t="str">
        <f t="shared" ref="AS268" ca="1" si="411">IFERROR(__xludf.DUMMYFUNCTION("split(F216,"","",true,true)")," BoostVC")</f>
        <v xml:space="preserve"> BoostVC</v>
      </c>
      <c r="AT268" s="10"/>
      <c r="AU268" s="10"/>
      <c r="AV268" s="10"/>
      <c r="AW268" s="10"/>
      <c r="AX268" s="10"/>
      <c r="AY268" s="10"/>
      <c r="AZ268" s="10"/>
      <c r="BA268" s="10"/>
      <c r="BB268" s="10"/>
      <c r="BC268" s="10"/>
      <c r="BD268" s="10"/>
      <c r="BE268" s="10"/>
      <c r="BF268" s="10"/>
      <c r="BG268" s="10"/>
      <c r="BH268" s="10"/>
      <c r="BI268" s="10"/>
      <c r="BJ268" s="10"/>
      <c r="BK268" s="10"/>
      <c r="BM268" s="10"/>
    </row>
    <row r="269" spans="1:65" ht="12.75">
      <c r="A269" s="9">
        <v>42834</v>
      </c>
      <c r="B269" s="10" t="s">
        <v>650</v>
      </c>
      <c r="C269" s="11">
        <v>1500000</v>
      </c>
      <c r="D269" s="12"/>
      <c r="E269" s="10" t="s">
        <v>69</v>
      </c>
      <c r="F269" s="10" t="s">
        <v>651</v>
      </c>
      <c r="G269" s="13" t="s">
        <v>652</v>
      </c>
      <c r="H269" s="14" t="str">
        <f t="array" ref="H269">IFERROR(INDEX([1]Companies!$G:$G,MATCH(B269,[1]Companies!$A:$A,0)),"")</f>
        <v>Egypt</v>
      </c>
      <c r="I269" s="14" t="str">
        <f t="shared" si="383"/>
        <v>Egypt</v>
      </c>
      <c r="J269" s="14" t="str">
        <f t="array" ref="J269">IFERROR(INDEX([1]Companies!$Y:$Y,MATCH(B269,[1]Companies!$A:$A,0)),"")</f>
        <v>Ediscovery, Hospitality, Mobile, Restaurants, Food and Beverages</v>
      </c>
      <c r="K269" s="14" t="str">
        <f t="array" ref="K269">IFERROR(INDEX([1]Companies!$X:$X,MATCH(B269,[1]Companies!$A:$A,0)),"")</f>
        <v>E-Commerce &amp; Retail</v>
      </c>
      <c r="L269" s="14" t="str">
        <f>VLOOKUP(B269,[1]Companies!$A$1:$C$5243,1,FALSE)</f>
        <v>Elmenus</v>
      </c>
      <c r="M269" s="15">
        <f t="shared" si="384"/>
        <v>0.9</v>
      </c>
      <c r="N269" s="10" t="str">
        <f t="shared" si="392"/>
        <v>42834Elmenus1500000</v>
      </c>
      <c r="O269" s="14" t="str">
        <f t="shared" si="393"/>
        <v/>
      </c>
      <c r="P269" s="14">
        <f t="shared" si="394"/>
        <v>1</v>
      </c>
      <c r="Q269" s="14">
        <f t="array" ref="Q269">IFERROR(INDEX([1]Companies!$D:$D,MATCH(B269,[1]Companies!$A:$A,0)),"")</f>
        <v>2011</v>
      </c>
      <c r="R269" s="17">
        <f t="shared" si="395"/>
        <v>1500000</v>
      </c>
      <c r="S269" s="14">
        <f>VLOOKUP(I269,[1]Lookups!$V$3:$Y$197,4,FALSE)</f>
        <v>0</v>
      </c>
      <c r="T269" s="14" t="str">
        <f>VLOOKUP(E269,[1]Lookups!$H$3:$I$71,2,FALSE)</f>
        <v>3. Early Venture</v>
      </c>
      <c r="U269" s="14" t="str">
        <f>VLOOKUP(K269,[1]Lookups!$B$3:$C$142,2,FALSE)</f>
        <v>E-commerce &amp; Retail</v>
      </c>
      <c r="V269" s="14">
        <f t="shared" si="396"/>
        <v>2017</v>
      </c>
      <c r="W269" s="14">
        <f t="shared" si="397"/>
        <v>4</v>
      </c>
      <c r="X269" s="14">
        <f>VLOOKUP(W269,[1]Lookups!$P$3:$S$15,2,FALSE)</f>
        <v>2</v>
      </c>
      <c r="Y269" s="16">
        <f>VLOOKUP(W269,[1]Lookups!$P$3:$U$15,3,FALSE)</f>
        <v>1</v>
      </c>
      <c r="Z269" s="16">
        <f t="shared" si="398"/>
        <v>1</v>
      </c>
      <c r="AA269" s="16" t="str">
        <f t="shared" ca="1" si="406"/>
        <v xml:space="preserve"> BoostVC</v>
      </c>
      <c r="AB269" s="16">
        <f t="shared" si="406"/>
        <v>0</v>
      </c>
      <c r="AC269" s="16">
        <f t="shared" si="406"/>
        <v>0</v>
      </c>
      <c r="AD269" s="16">
        <f t="shared" si="406"/>
        <v>0</v>
      </c>
      <c r="AE269" s="16">
        <f t="shared" si="406"/>
        <v>0</v>
      </c>
      <c r="AF269" s="16">
        <f t="shared" si="406"/>
        <v>0</v>
      </c>
      <c r="AG269" s="16">
        <f t="shared" si="406"/>
        <v>0</v>
      </c>
      <c r="AH269" s="16">
        <f t="shared" si="406"/>
        <v>0</v>
      </c>
      <c r="AI269" s="16">
        <f t="shared" si="406"/>
        <v>0</v>
      </c>
      <c r="AJ269" s="16">
        <f t="shared" si="406"/>
        <v>0</v>
      </c>
      <c r="AK269" s="16">
        <f t="shared" si="406"/>
        <v>0</v>
      </c>
      <c r="AL269" s="16">
        <f t="shared" si="406"/>
        <v>0</v>
      </c>
      <c r="AM269" s="16">
        <f t="shared" si="406"/>
        <v>0</v>
      </c>
      <c r="AN269" s="16">
        <f t="shared" si="406"/>
        <v>0</v>
      </c>
      <c r="AO269" s="16">
        <f t="shared" si="406"/>
        <v>0</v>
      </c>
      <c r="AP269" s="10"/>
      <c r="AQ269" s="10"/>
      <c r="AR269" s="10"/>
      <c r="AS269" s="10" t="str">
        <f t="shared" ref="AS269" ca="1" si="412">IFERROR(__xludf.DUMMYFUNCTION("split(F216,"","",true,true)")," BoostVC")</f>
        <v xml:space="preserve"> BoostVC</v>
      </c>
      <c r="AT269" s="10"/>
      <c r="AU269" s="10"/>
      <c r="AV269" s="10"/>
      <c r="AW269" s="10"/>
      <c r="AX269" s="10"/>
      <c r="AY269" s="10"/>
      <c r="AZ269" s="10"/>
      <c r="BA269" s="10"/>
      <c r="BB269" s="10"/>
      <c r="BC269" s="10"/>
      <c r="BD269" s="10"/>
      <c r="BE269" s="10"/>
      <c r="BF269" s="10"/>
      <c r="BG269" s="10"/>
      <c r="BH269" s="10"/>
      <c r="BI269" s="10"/>
      <c r="BJ269" s="10"/>
      <c r="BK269" s="10"/>
      <c r="BM269" s="10"/>
    </row>
    <row r="270" spans="1:65" ht="12.75">
      <c r="A270" s="18">
        <v>42836</v>
      </c>
      <c r="B270" s="14" t="s">
        <v>202</v>
      </c>
      <c r="C270" s="19">
        <v>69000000</v>
      </c>
      <c r="D270" s="19"/>
      <c r="E270" s="14" t="s">
        <v>653</v>
      </c>
      <c r="F270" s="14" t="s">
        <v>654</v>
      </c>
      <c r="G270" s="21" t="s">
        <v>655</v>
      </c>
      <c r="H270" s="14" t="str">
        <f t="array" ref="H270">IFERROR(INDEX([1]Companies!$G:$G,MATCH(B270,[1]Companies!$A:$A,0)),"")</f>
        <v>South Africa</v>
      </c>
      <c r="I270" s="14" t="str">
        <f t="shared" si="383"/>
        <v>South Africa</v>
      </c>
      <c r="J270" s="14" t="str">
        <f t="array" ref="J270">IFERROR(INDEX([1]Companies!$Y:$Y,MATCH(B270,[1]Companies!$A:$A,0)),"")</f>
        <v>E-Commerce, Logistics, Retail</v>
      </c>
      <c r="K270" s="14" t="str">
        <f t="array" ref="K270">IFERROR(INDEX([1]Companies!$X:$X,MATCH(B270,[1]Companies!$A:$A,0)),"")</f>
        <v>E-Commerce &amp; Retail</v>
      </c>
      <c r="L270" s="14" t="str">
        <f>VLOOKUP(B270,[1]Companies!$A$1:$C$5243,1,FALSE)</f>
        <v>Takealot</v>
      </c>
      <c r="M270" s="15">
        <f t="shared" si="384"/>
        <v>0.9</v>
      </c>
      <c r="N270" s="10" t="str">
        <f t="shared" si="392"/>
        <v>42836Takealot69000000</v>
      </c>
      <c r="O270" s="14" t="str">
        <f t="shared" si="393"/>
        <v/>
      </c>
      <c r="P270" s="14">
        <f t="shared" si="394"/>
        <v>1</v>
      </c>
      <c r="Q270" s="14">
        <f t="array" ref="Q270">IFERROR(INDEX([1]Companies!$D:$D,MATCH(B270,[1]Companies!$A:$A,0)),"")</f>
        <v>2011</v>
      </c>
      <c r="R270" s="17">
        <f t="shared" si="395"/>
        <v>169000000</v>
      </c>
      <c r="S270" s="14">
        <f>VLOOKUP(I270,[1]Lookups!$V$3:$Y$197,4,FALSE)</f>
        <v>0</v>
      </c>
      <c r="T270" s="14" t="str">
        <f>VLOOKUP(E270,[1]Lookups!$H$3:$I$71,2,FALSE)</f>
        <v>4. Late Venture</v>
      </c>
      <c r="U270" s="14" t="str">
        <f>VLOOKUP(K270,[1]Lookups!$B$3:$C$142,2,FALSE)</f>
        <v>E-commerce &amp; Retail</v>
      </c>
      <c r="V270" s="14">
        <f t="shared" si="396"/>
        <v>2017</v>
      </c>
      <c r="W270" s="14">
        <f t="shared" si="397"/>
        <v>4</v>
      </c>
      <c r="X270" s="14">
        <f>VLOOKUP(W270,[1]Lookups!$P$3:$S$15,2,FALSE)</f>
        <v>2</v>
      </c>
      <c r="Y270" s="16">
        <f>VLOOKUP(W270,[1]Lookups!$P$3:$U$15,3,FALSE)</f>
        <v>1</v>
      </c>
      <c r="Z270" s="16">
        <f t="shared" si="398"/>
        <v>1</v>
      </c>
      <c r="AA270" s="16" t="str">
        <f t="shared" ca="1" si="406"/>
        <v xml:space="preserve"> BoostVC</v>
      </c>
      <c r="AB270" s="16">
        <f t="shared" si="406"/>
        <v>0</v>
      </c>
      <c r="AC270" s="16">
        <f t="shared" si="406"/>
        <v>0</v>
      </c>
      <c r="AD270" s="16">
        <f t="shared" si="406"/>
        <v>0</v>
      </c>
      <c r="AE270" s="16">
        <f t="shared" si="406"/>
        <v>0</v>
      </c>
      <c r="AF270" s="16">
        <f t="shared" si="406"/>
        <v>0</v>
      </c>
      <c r="AG270" s="16">
        <f t="shared" si="406"/>
        <v>0</v>
      </c>
      <c r="AH270" s="16">
        <f t="shared" si="406"/>
        <v>0</v>
      </c>
      <c r="AI270" s="16">
        <f t="shared" si="406"/>
        <v>0</v>
      </c>
      <c r="AJ270" s="16">
        <f t="shared" si="406"/>
        <v>0</v>
      </c>
      <c r="AK270" s="16">
        <f t="shared" si="406"/>
        <v>0</v>
      </c>
      <c r="AL270" s="16">
        <f t="shared" si="406"/>
        <v>0</v>
      </c>
      <c r="AM270" s="16">
        <f t="shared" si="406"/>
        <v>0</v>
      </c>
      <c r="AN270" s="16">
        <f t="shared" si="406"/>
        <v>0</v>
      </c>
      <c r="AO270" s="16">
        <f t="shared" si="406"/>
        <v>0</v>
      </c>
      <c r="AP270" s="10"/>
      <c r="AQ270" s="10"/>
      <c r="AR270" s="10"/>
      <c r="AS270" s="10" t="str">
        <f t="shared" ref="AS270" ca="1" si="413">IFERROR(__xludf.DUMMYFUNCTION("split(F216,"","",true,true)")," BoostVC")</f>
        <v xml:space="preserve"> BoostVC</v>
      </c>
      <c r="AT270" s="10"/>
      <c r="AU270" s="10"/>
      <c r="AV270" s="10"/>
      <c r="AW270" s="10"/>
      <c r="AX270" s="10"/>
      <c r="AY270" s="10"/>
      <c r="AZ270" s="10"/>
      <c r="BA270" s="10"/>
      <c r="BB270" s="10"/>
      <c r="BC270" s="10"/>
      <c r="BD270" s="10"/>
      <c r="BE270" s="10"/>
      <c r="BF270" s="10"/>
      <c r="BG270" s="10"/>
      <c r="BH270" s="10"/>
      <c r="BI270" s="10"/>
      <c r="BJ270" s="10"/>
      <c r="BK270" s="10"/>
      <c r="BM270" s="10"/>
    </row>
    <row r="271" spans="1:65" ht="12.75">
      <c r="A271" s="9">
        <v>42838</v>
      </c>
      <c r="B271" s="10" t="s">
        <v>656</v>
      </c>
      <c r="C271" s="11" t="s">
        <v>49</v>
      </c>
      <c r="D271" s="12"/>
      <c r="E271" s="14" t="s">
        <v>55</v>
      </c>
      <c r="F271" s="10" t="s">
        <v>657</v>
      </c>
      <c r="G271" s="13" t="s">
        <v>658</v>
      </c>
      <c r="H271" s="14" t="str">
        <f t="array" ref="H271">IFERROR(INDEX([1]Companies!$G:$G,MATCH(B271,[1]Companies!$A:$A,0)),"")</f>
        <v>Zambia</v>
      </c>
      <c r="I271" s="14" t="str">
        <f t="shared" si="383"/>
        <v>Zambia</v>
      </c>
      <c r="J271" s="14" t="str">
        <f t="array" ref="J271">IFERROR(INDEX([1]Companies!$Y:$Y,MATCH(B271,[1]Companies!$A:$A,0)),"")</f>
        <v>Information Services, Information Technology, Technical Support</v>
      </c>
      <c r="K271" s="14" t="str">
        <f t="array" ref="K271">IFERROR(INDEX([1]Companies!$X:$X,MATCH(B271,[1]Companies!$A:$A,0)),"")</f>
        <v>Information Technology</v>
      </c>
      <c r="L271" s="14" t="str">
        <f>VLOOKUP(B271,[1]Companies!$A$1:$C$5243,1,FALSE)</f>
        <v>Outsource Now</v>
      </c>
      <c r="M271" s="15">
        <f t="shared" si="384"/>
        <v>0.9</v>
      </c>
      <c r="N271" s="10" t="str">
        <f t="shared" si="392"/>
        <v>42838Outsource NowUndisclosed</v>
      </c>
      <c r="O271" s="14" t="str">
        <f t="shared" si="393"/>
        <v/>
      </c>
      <c r="P271" s="14">
        <f t="shared" si="394"/>
        <v>0</v>
      </c>
      <c r="Q271" s="14">
        <f t="array" ref="Q271">IFERROR(INDEX([1]Companies!$D:$D,MATCH(B271,[1]Companies!$A:$A,0)),"")</f>
        <v>2017</v>
      </c>
      <c r="R271" s="17">
        <f t="shared" si="395"/>
        <v>0</v>
      </c>
      <c r="S271" s="14">
        <f>VLOOKUP(I271,[1]Lookups!$V$3:$Y$197,4,FALSE)</f>
        <v>0</v>
      </c>
      <c r="T271" s="14" t="str">
        <f>VLOOKUP(E271,[1]Lookups!$H$3:$I$71,2,FALSE)</f>
        <v>1. Grant</v>
      </c>
      <c r="U271" s="14" t="str">
        <f>VLOOKUP(K271,[1]Lookups!$B$3:$C$142,2,FALSE)</f>
        <v>Other Technologies &amp; Information Technology</v>
      </c>
      <c r="V271" s="14">
        <f t="shared" si="396"/>
        <v>2017</v>
      </c>
      <c r="W271" s="14">
        <f t="shared" si="397"/>
        <v>4</v>
      </c>
      <c r="X271" s="14">
        <f>VLOOKUP(W271,[1]Lookups!$P$3:$S$15,2,FALSE)</f>
        <v>2</v>
      </c>
      <c r="Y271" s="16">
        <f>VLOOKUP(W271,[1]Lookups!$P$3:$U$15,3,FALSE)</f>
        <v>1</v>
      </c>
      <c r="Z271" s="16">
        <f t="shared" si="398"/>
        <v>1</v>
      </c>
      <c r="AA271" s="16" t="str">
        <f t="shared" ca="1" si="406"/>
        <v xml:space="preserve"> BoostVC</v>
      </c>
      <c r="AB271" s="16">
        <f t="shared" si="406"/>
        <v>0</v>
      </c>
      <c r="AC271" s="16">
        <f t="shared" si="406"/>
        <v>0</v>
      </c>
      <c r="AD271" s="16">
        <f t="shared" si="406"/>
        <v>0</v>
      </c>
      <c r="AE271" s="16">
        <f t="shared" si="406"/>
        <v>0</v>
      </c>
      <c r="AF271" s="16">
        <f t="shared" si="406"/>
        <v>0</v>
      </c>
      <c r="AG271" s="16">
        <f t="shared" si="406"/>
        <v>0</v>
      </c>
      <c r="AH271" s="16">
        <f t="shared" si="406"/>
        <v>0</v>
      </c>
      <c r="AI271" s="16">
        <f t="shared" si="406"/>
        <v>0</v>
      </c>
      <c r="AJ271" s="16">
        <f t="shared" si="406"/>
        <v>0</v>
      </c>
      <c r="AK271" s="16">
        <f t="shared" si="406"/>
        <v>0</v>
      </c>
      <c r="AL271" s="16">
        <f t="shared" si="406"/>
        <v>0</v>
      </c>
      <c r="AM271" s="16">
        <f t="shared" si="406"/>
        <v>0</v>
      </c>
      <c r="AN271" s="16">
        <f t="shared" si="406"/>
        <v>0</v>
      </c>
      <c r="AO271" s="16">
        <f t="shared" si="406"/>
        <v>0</v>
      </c>
      <c r="AP271" s="10"/>
      <c r="AQ271" s="10"/>
      <c r="AR271" s="10"/>
      <c r="AS271" s="10" t="str">
        <f t="shared" ref="AS271" ca="1" si="414">IFERROR(__xludf.DUMMYFUNCTION("split(F216,"","",true,true)")," BoostVC")</f>
        <v xml:space="preserve"> BoostVC</v>
      </c>
      <c r="AT271" s="10"/>
      <c r="AU271" s="10"/>
      <c r="AV271" s="10"/>
      <c r="AW271" s="10"/>
      <c r="AX271" s="10"/>
      <c r="AY271" s="10"/>
      <c r="AZ271" s="10"/>
      <c r="BA271" s="10"/>
      <c r="BB271" s="10"/>
      <c r="BC271" s="10"/>
      <c r="BD271" s="10"/>
      <c r="BE271" s="10"/>
      <c r="BF271" s="10"/>
      <c r="BG271" s="10"/>
      <c r="BH271" s="10"/>
      <c r="BI271" s="10"/>
      <c r="BJ271" s="10"/>
      <c r="BK271" s="10"/>
      <c r="BM271" s="10"/>
    </row>
    <row r="272" spans="1:65" ht="12.75">
      <c r="A272" s="9">
        <v>42838</v>
      </c>
      <c r="B272" s="10" t="s">
        <v>44</v>
      </c>
      <c r="C272" s="11">
        <v>3600000</v>
      </c>
      <c r="D272" s="12"/>
      <c r="E272" s="10" t="s">
        <v>51</v>
      </c>
      <c r="F272" s="10" t="s">
        <v>659</v>
      </c>
      <c r="G272" s="13" t="s">
        <v>47</v>
      </c>
      <c r="H272" s="14"/>
      <c r="I272" s="14"/>
      <c r="J272" s="14"/>
      <c r="K272" s="14"/>
      <c r="L272" s="14"/>
      <c r="M272" s="15"/>
      <c r="N272" s="10"/>
      <c r="O272" s="14"/>
      <c r="P272" s="14"/>
      <c r="Q272" s="14"/>
      <c r="R272" s="14"/>
      <c r="S272" s="14"/>
      <c r="T272" s="14"/>
      <c r="U272" s="14"/>
      <c r="V272" s="14">
        <f t="shared" si="396"/>
        <v>2017</v>
      </c>
      <c r="W272" s="14">
        <f t="shared" si="397"/>
        <v>4</v>
      </c>
      <c r="X272" s="14">
        <f>VLOOKUP(W272,[1]Lookups!$P$3:$S$15,2,FALSE)</f>
        <v>2</v>
      </c>
      <c r="Y272" s="16">
        <f>VLOOKUP(W272,[1]Lookups!$P$3:$U$15,3,FALSE)</f>
        <v>1</v>
      </c>
      <c r="Z272" s="16">
        <f t="shared" si="398"/>
        <v>1</v>
      </c>
      <c r="AA272" s="16" t="str">
        <f t="shared" ca="1" si="406"/>
        <v>#REF!</v>
      </c>
      <c r="AB272" s="16">
        <f t="shared" si="406"/>
        <v>0</v>
      </c>
      <c r="AC272" s="16">
        <f t="shared" si="406"/>
        <v>0</v>
      </c>
      <c r="AD272" s="16">
        <f t="shared" si="406"/>
        <v>0</v>
      </c>
      <c r="AE272" s="16">
        <f t="shared" si="406"/>
        <v>0</v>
      </c>
      <c r="AF272" s="16">
        <f t="shared" si="406"/>
        <v>0</v>
      </c>
      <c r="AG272" s="16">
        <f t="shared" si="406"/>
        <v>0</v>
      </c>
      <c r="AH272" s="16">
        <f t="shared" si="406"/>
        <v>0</v>
      </c>
      <c r="AI272" s="16">
        <f t="shared" si="406"/>
        <v>0</v>
      </c>
      <c r="AJ272" s="16">
        <f t="shared" si="406"/>
        <v>0</v>
      </c>
      <c r="AK272" s="16">
        <f t="shared" si="406"/>
        <v>0</v>
      </c>
      <c r="AL272" s="16">
        <f t="shared" si="406"/>
        <v>0</v>
      </c>
      <c r="AM272" s="16">
        <f t="shared" si="406"/>
        <v>0</v>
      </c>
      <c r="AN272" s="16">
        <f t="shared" si="406"/>
        <v>0</v>
      </c>
      <c r="AO272" s="16">
        <f t="shared" si="406"/>
        <v>0</v>
      </c>
      <c r="AP272" s="10"/>
      <c r="AQ272" s="10"/>
      <c r="AR272" s="10"/>
      <c r="AS272" s="10" t="str">
        <f ca="1">IFERROR(__xludf.DUMMYFUNCTION("split(#REF!,"","",true,true)"),"#REF!")</f>
        <v>#REF!</v>
      </c>
      <c r="AT272" s="10"/>
      <c r="AU272" s="10"/>
      <c r="AV272" s="10"/>
      <c r="AW272" s="10"/>
      <c r="AX272" s="10"/>
      <c r="AY272" s="10"/>
      <c r="AZ272" s="10"/>
      <c r="BA272" s="10"/>
      <c r="BB272" s="10"/>
      <c r="BC272" s="10"/>
      <c r="BD272" s="10"/>
      <c r="BE272" s="10"/>
      <c r="BF272" s="10"/>
      <c r="BG272" s="10"/>
      <c r="BH272" s="10"/>
      <c r="BI272" s="10"/>
      <c r="BJ272" s="10"/>
      <c r="BK272" s="10"/>
      <c r="BM272" s="10"/>
    </row>
    <row r="273" spans="1:65" ht="12.75">
      <c r="A273" s="9">
        <v>42846</v>
      </c>
      <c r="B273" s="10" t="s">
        <v>372</v>
      </c>
      <c r="C273" s="11">
        <v>1400000</v>
      </c>
      <c r="D273" s="12"/>
      <c r="E273" s="14" t="s">
        <v>45</v>
      </c>
      <c r="F273" s="10" t="s">
        <v>660</v>
      </c>
      <c r="G273" s="13" t="s">
        <v>661</v>
      </c>
      <c r="H273" s="14" t="str">
        <f t="array" ref="H273">IFERROR(INDEX([1]Companies!$G:$G,MATCH(B273,[1]Companies!$A:$A,0)),"")</f>
        <v>Kenya</v>
      </c>
      <c r="I273" s="14" t="str">
        <f t="shared" ref="I273:I278" si="415">IF(LEN(TRIM(H273))-LEN(SUBSTITUTE(TRIM(H273),",","")) &gt; 0,TRIM(RIGHT(H273,LEN(H273)-FIND(",",H273))),H273)</f>
        <v>Kenya</v>
      </c>
      <c r="J273" s="14" t="str">
        <f t="array" ref="J273">IFERROR(INDEX([1]Companies!$Y:$Y,MATCH(B273,[1]Companies!$A:$A,0)),"")</f>
        <v>Clean Energy, Oil and Gas</v>
      </c>
      <c r="K273" s="14" t="str">
        <f t="array" ref="K273">IFERROR(INDEX([1]Companies!$X:$X,MATCH(B273,[1]Companies!$A:$A,0)),"")</f>
        <v>Energy &amp; Environment Resources</v>
      </c>
      <c r="L273" s="14" t="str">
        <f>VLOOKUP(B273,[1]Companies!$A$1:$C$5243,1,FALSE)</f>
        <v>PayGo Energy</v>
      </c>
      <c r="M273" s="15">
        <f t="shared" ref="M273:M278" si="416">COUNTA(B273:K273)/(COUNTBLANK(B273:K273) + COUNTA(B273:K273))</f>
        <v>0.9</v>
      </c>
      <c r="N273" s="10" t="str">
        <f t="shared" ref="N273:N278" si="417">CONCATENATE(A273,B273,C273)</f>
        <v>42846PayGo Energy1400000</v>
      </c>
      <c r="O273" s="14" t="str">
        <f t="shared" ref="O273:O278" si="418">IF(A273 = "","",IF(COUNTIF(N:N,CONCATENATE(A273,B273,C273))&gt;1,"Duplicated",""))</f>
        <v/>
      </c>
      <c r="P273" s="14">
        <f t="shared" ref="P273:P278" si="419">IF(C273="Undisclosed",0,1)</f>
        <v>1</v>
      </c>
      <c r="Q273" s="14">
        <f t="array" ref="Q273">IFERROR(INDEX([1]Companies!$D:$D,MATCH(B273,[1]Companies!$A:$A,0)),"")</f>
        <v>2014</v>
      </c>
      <c r="R273" s="17">
        <f t="shared" ref="R273:R278" si="420">SUMIF(B:B,B273,C:C)</f>
        <v>4900000</v>
      </c>
      <c r="S273" s="14">
        <f>VLOOKUP(I273,[1]Lookups!$V$3:$Y$197,4,FALSE)</f>
        <v>0</v>
      </c>
      <c r="T273" s="14" t="str">
        <f>VLOOKUP(E273,[1]Lookups!$H$3:$I$71,2,FALSE)</f>
        <v>2. Seed</v>
      </c>
      <c r="U273" s="14" t="e">
        <f>VLOOKUP(K273,[1]Lookups!$B$3:$C$142,2,FALSE)</f>
        <v>#N/A</v>
      </c>
      <c r="V273" s="14">
        <f t="shared" si="396"/>
        <v>2017</v>
      </c>
      <c r="W273" s="14">
        <f t="shared" si="397"/>
        <v>4</v>
      </c>
      <c r="X273" s="14">
        <f>VLOOKUP(W273,[1]Lookups!$P$3:$S$15,2,FALSE)</f>
        <v>2</v>
      </c>
      <c r="Y273" s="16">
        <f>VLOOKUP(W273,[1]Lookups!$P$3:$U$15,3,FALSE)</f>
        <v>1</v>
      </c>
      <c r="Z273" s="16">
        <f t="shared" si="398"/>
        <v>7</v>
      </c>
      <c r="AA273" s="16" t="str">
        <f t="shared" ca="1" si="406"/>
        <v>Village Capital</v>
      </c>
      <c r="AB273" s="16" t="str">
        <f t="shared" ca="1" si="406"/>
        <v xml:space="preserve"> Novastar Ventures</v>
      </c>
      <c r="AC273" s="16" t="str">
        <f t="shared" ca="1" si="406"/>
        <v xml:space="preserve"> Global Partnerships/Eleos Social Venture Fund</v>
      </c>
      <c r="AD273" s="16" t="str">
        <f t="shared" ca="1" si="406"/>
        <v xml:space="preserve"> Global Innovation Fund</v>
      </c>
      <c r="AE273" s="16" t="str">
        <f t="shared" ca="1" si="406"/>
        <v xml:space="preserve"> Energy Access Ventures</v>
      </c>
      <c r="AF273" s="16" t="str">
        <f t="shared" ca="1" si="406"/>
        <v xml:space="preserve"> D-Prize</v>
      </c>
      <c r="AG273" s="16" t="str">
        <f t="shared" ca="1" si="406"/>
        <v xml:space="preserve"> Aster</v>
      </c>
      <c r="AH273" s="16">
        <f t="shared" si="406"/>
        <v>0</v>
      </c>
      <c r="AI273" s="16">
        <f t="shared" si="406"/>
        <v>0</v>
      </c>
      <c r="AJ273" s="16">
        <f t="shared" si="406"/>
        <v>0</v>
      </c>
      <c r="AK273" s="16">
        <f t="shared" si="406"/>
        <v>0</v>
      </c>
      <c r="AL273" s="16">
        <f t="shared" si="406"/>
        <v>0</v>
      </c>
      <c r="AM273" s="16">
        <f t="shared" si="406"/>
        <v>0</v>
      </c>
      <c r="AN273" s="16">
        <f t="shared" si="406"/>
        <v>0</v>
      </c>
      <c r="AO273" s="16">
        <f t="shared" si="406"/>
        <v>0</v>
      </c>
      <c r="AP273" s="10"/>
      <c r="AQ273" s="10"/>
      <c r="AR273" s="10"/>
      <c r="AS273" s="10" t="str">
        <f t="shared" ref="AS273" ca="1" si="421">IFERROR(__xludf.DUMMYFUNCTION("split(F273,"","",true,true)"),"Village Capital")</f>
        <v>Village Capital</v>
      </c>
      <c r="AT273" s="10" t="str">
        <f ca="1">IFERROR(__xludf.DUMMYFUNCTION("""COMPUTED_VALUE""")," Novastar Ventures")</f>
        <v xml:space="preserve"> Novastar Ventures</v>
      </c>
      <c r="AU273" s="10" t="str">
        <f ca="1">IFERROR(__xludf.DUMMYFUNCTION("""COMPUTED_VALUE""")," Global Partnerships/Eleos Social Venture Fund")</f>
        <v xml:space="preserve"> Global Partnerships/Eleos Social Venture Fund</v>
      </c>
      <c r="AV273" s="10" t="str">
        <f ca="1">IFERROR(__xludf.DUMMYFUNCTION("""COMPUTED_VALUE""")," Global Innovation Fund")</f>
        <v xml:space="preserve"> Global Innovation Fund</v>
      </c>
      <c r="AW273" s="10" t="str">
        <f ca="1">IFERROR(__xludf.DUMMYFUNCTION("""COMPUTED_VALUE""")," Energy Access Ventures")</f>
        <v xml:space="preserve"> Energy Access Ventures</v>
      </c>
      <c r="AX273" s="10" t="str">
        <f ca="1">IFERROR(__xludf.DUMMYFUNCTION("""COMPUTED_VALUE""")," D-Prize")</f>
        <v xml:space="preserve"> D-Prize</v>
      </c>
      <c r="AY273" s="10" t="str">
        <f ca="1">IFERROR(__xludf.DUMMYFUNCTION("""COMPUTED_VALUE""")," Aster")</f>
        <v xml:space="preserve"> Aster</v>
      </c>
      <c r="AZ273" s="10"/>
      <c r="BA273" s="10"/>
      <c r="BB273" s="10"/>
      <c r="BC273" s="10"/>
      <c r="BD273" s="10"/>
      <c r="BE273" s="10"/>
      <c r="BF273" s="10"/>
      <c r="BG273" s="10"/>
      <c r="BH273" s="10"/>
      <c r="BI273" s="10"/>
      <c r="BJ273" s="10"/>
      <c r="BK273" s="10"/>
      <c r="BM273" s="10"/>
    </row>
    <row r="274" spans="1:65" ht="12.75">
      <c r="A274" s="18">
        <v>42851</v>
      </c>
      <c r="B274" s="14" t="s">
        <v>662</v>
      </c>
      <c r="C274" s="19">
        <v>17000</v>
      </c>
      <c r="D274" s="22"/>
      <c r="E274" s="14" t="s">
        <v>45</v>
      </c>
      <c r="F274" s="14" t="s">
        <v>663</v>
      </c>
      <c r="G274" s="21" t="s">
        <v>664</v>
      </c>
      <c r="H274" s="14" t="str">
        <f t="array" ref="H274">IFERROR(INDEX([1]Companies!$G:$G,MATCH(B274,[1]Companies!$A:$A,0)),"")</f>
        <v>South Africa</v>
      </c>
      <c r="I274" s="14" t="str">
        <f t="shared" si="415"/>
        <v>South Africa</v>
      </c>
      <c r="J274" s="14" t="str">
        <f t="array" ref="J274">IFERROR(INDEX([1]Companies!$Y:$Y,MATCH(B274,[1]Companies!$A:$A,0)),"")</f>
        <v>Data Analytics, Aerial Engineering Design and Manufacture, Machine Learning, and Image Processing, Agtech, Drones, Farming, Software</v>
      </c>
      <c r="K274" s="14" t="str">
        <f t="array" ref="K274">IFERROR(INDEX([1]Companies!$X:$X,MATCH(B274,[1]Companies!$A:$A,0)),"")</f>
        <v>Emerging Technologies</v>
      </c>
      <c r="L274" s="14" t="str">
        <f>VLOOKUP(B274,[1]Companies!$A$1:$C$5243,1,FALSE)</f>
        <v>Aerobotics</v>
      </c>
      <c r="M274" s="15">
        <f t="shared" si="416"/>
        <v>0.9</v>
      </c>
      <c r="N274" s="10" t="str">
        <f t="shared" si="417"/>
        <v>42851Aerobotics17000</v>
      </c>
      <c r="O274" s="14" t="str">
        <f t="shared" si="418"/>
        <v/>
      </c>
      <c r="P274" s="14">
        <f t="shared" si="419"/>
        <v>1</v>
      </c>
      <c r="Q274" s="14">
        <f t="array" ref="Q274">IFERROR(INDEX([1]Companies!$D:$D,MATCH(B274,[1]Companies!$A:$A,0)),"")</f>
        <v>2014</v>
      </c>
      <c r="R274" s="17">
        <f t="shared" si="420"/>
        <v>4667000</v>
      </c>
      <c r="S274" s="14">
        <f>VLOOKUP(I274,[1]Lookups!$V$3:$Y$197,4,FALSE)</f>
        <v>0</v>
      </c>
      <c r="T274" s="14" t="str">
        <f>VLOOKUP(E274,[1]Lookups!$H$3:$I$71,2,FALSE)</f>
        <v>2. Seed</v>
      </c>
      <c r="U274" s="14" t="str">
        <f>VLOOKUP(K274,[1]Lookups!$B$3:$C$142,2,FALSE)</f>
        <v>Emerging Technologies</v>
      </c>
      <c r="V274" s="14">
        <f t="shared" si="396"/>
        <v>2017</v>
      </c>
      <c r="W274" s="14">
        <f t="shared" si="397"/>
        <v>4</v>
      </c>
      <c r="X274" s="14">
        <f>VLOOKUP(W274,[1]Lookups!$P$3:$S$15,2,FALSE)</f>
        <v>2</v>
      </c>
      <c r="Y274" s="16">
        <f>VLOOKUP(W274,[1]Lookups!$P$3:$U$15,3,FALSE)</f>
        <v>1</v>
      </c>
      <c r="Z274" s="16">
        <f t="shared" si="398"/>
        <v>2</v>
      </c>
      <c r="AA274" s="16" t="str">
        <f t="shared" ca="1" si="406"/>
        <v>Village Capital</v>
      </c>
      <c r="AB274" s="16" t="str">
        <f t="shared" ca="1" si="406"/>
        <v xml:space="preserve"> Startupbootcamp InsurTech London
</v>
      </c>
      <c r="AC274" s="16">
        <f t="shared" si="406"/>
        <v>0</v>
      </c>
      <c r="AD274" s="16">
        <f t="shared" si="406"/>
        <v>0</v>
      </c>
      <c r="AE274" s="16">
        <f t="shared" si="406"/>
        <v>0</v>
      </c>
      <c r="AF274" s="16">
        <f t="shared" si="406"/>
        <v>0</v>
      </c>
      <c r="AG274" s="16">
        <f t="shared" si="406"/>
        <v>0</v>
      </c>
      <c r="AH274" s="16">
        <f t="shared" si="406"/>
        <v>0</v>
      </c>
      <c r="AI274" s="16">
        <f t="shared" si="406"/>
        <v>0</v>
      </c>
      <c r="AJ274" s="16">
        <f t="shared" si="406"/>
        <v>0</v>
      </c>
      <c r="AK274" s="16">
        <f t="shared" si="406"/>
        <v>0</v>
      </c>
      <c r="AL274" s="16">
        <f t="shared" si="406"/>
        <v>0</v>
      </c>
      <c r="AM274" s="16">
        <f t="shared" si="406"/>
        <v>0</v>
      </c>
      <c r="AN274" s="16">
        <f t="shared" si="406"/>
        <v>0</v>
      </c>
      <c r="AO274" s="16">
        <f t="shared" si="406"/>
        <v>0</v>
      </c>
      <c r="AP274" s="10"/>
      <c r="AQ274" s="10"/>
      <c r="AR274" s="10"/>
      <c r="AS274" s="10" t="str">
        <f t="shared" ref="AS274" ca="1" si="422">IFERROR(__xludf.DUMMYFUNCTION("split(F273,"","",true,true)"),"Village Capital")</f>
        <v>Village Capital</v>
      </c>
      <c r="AT274" s="10" t="str">
        <f ca="1">IFERROR(__xludf.DUMMYFUNCTION("""COMPUTED_VALUE""")," Startupbootcamp InsurTech London
")</f>
        <v xml:space="preserve"> Startupbootcamp InsurTech London
</v>
      </c>
      <c r="AU274" s="10"/>
      <c r="AV274" s="10"/>
      <c r="AW274" s="10"/>
      <c r="AX274" s="10"/>
      <c r="AY274" s="10"/>
      <c r="AZ274" s="10"/>
      <c r="BA274" s="10"/>
      <c r="BB274" s="10"/>
      <c r="BC274" s="10"/>
      <c r="BD274" s="10"/>
      <c r="BE274" s="10"/>
      <c r="BF274" s="10"/>
      <c r="BG274" s="10"/>
      <c r="BH274" s="10"/>
      <c r="BI274" s="10"/>
      <c r="BJ274" s="10"/>
      <c r="BK274" s="10"/>
      <c r="BM274" s="10"/>
    </row>
    <row r="275" spans="1:65" ht="12.75">
      <c r="A275" s="9">
        <v>42852</v>
      </c>
      <c r="B275" s="10" t="s">
        <v>244</v>
      </c>
      <c r="C275" s="11" t="s">
        <v>49</v>
      </c>
      <c r="D275" s="12"/>
      <c r="E275" s="10" t="s">
        <v>55</v>
      </c>
      <c r="F275" s="10" t="s">
        <v>665</v>
      </c>
      <c r="G275" s="13" t="s">
        <v>666</v>
      </c>
      <c r="H275" s="14" t="str">
        <f t="array" ref="H275">IFERROR(INDEX([1]Companies!$G:$G,MATCH(B275,[1]Companies!$A:$A,0)),"")</f>
        <v>Rwanda</v>
      </c>
      <c r="I275" s="14" t="str">
        <f t="shared" si="415"/>
        <v>Rwanda</v>
      </c>
      <c r="J275" s="14" t="str">
        <f t="array" ref="J275">IFERROR(INDEX([1]Companies!$Y:$Y,MATCH(B275,[1]Companies!$A:$A,0)),"")</f>
        <v>Apps, Public Safety, Taxi Service, Transportation, Ride-hailing</v>
      </c>
      <c r="K275" s="14" t="str">
        <f t="array" ref="K275">IFERROR(INDEX([1]Companies!$X:$X,MATCH(B275,[1]Companies!$A:$A,0)),"")</f>
        <v>Transport &amp; Logistics</v>
      </c>
      <c r="L275" s="14" t="str">
        <f>VLOOKUP(B275,[1]Companies!$A$1:$C$5243,1,FALSE)</f>
        <v>CanGo</v>
      </c>
      <c r="M275" s="15">
        <f t="shared" si="416"/>
        <v>0.9</v>
      </c>
      <c r="N275" s="10" t="str">
        <f t="shared" si="417"/>
        <v>42852CanGoUndisclosed</v>
      </c>
      <c r="O275" s="14" t="str">
        <f t="shared" si="418"/>
        <v/>
      </c>
      <c r="P275" s="14">
        <f t="shared" si="419"/>
        <v>0</v>
      </c>
      <c r="Q275" s="14">
        <f t="array" ref="Q275">IFERROR(INDEX([1]Companies!$D:$D,MATCH(B275,[1]Companies!$A:$A,0)),"")</f>
        <v>2015</v>
      </c>
      <c r="R275" s="17">
        <f t="shared" si="420"/>
        <v>131000</v>
      </c>
      <c r="S275" s="14">
        <f>VLOOKUP(I275,[1]Lookups!$V$3:$Y$197,4,FALSE)</f>
        <v>0</v>
      </c>
      <c r="T275" s="14" t="str">
        <f>VLOOKUP(E275,[1]Lookups!$H$3:$I$71,2,FALSE)</f>
        <v>1. Grant</v>
      </c>
      <c r="U275" s="14" t="str">
        <f>VLOOKUP(K275,[1]Lookups!$B$3:$C$142,2,FALSE)</f>
        <v>Transport &amp; Logistics</v>
      </c>
      <c r="V275" s="14">
        <f t="shared" si="396"/>
        <v>2017</v>
      </c>
      <c r="W275" s="14">
        <f t="shared" si="397"/>
        <v>4</v>
      </c>
      <c r="X275" s="14">
        <f>VLOOKUP(W275,[1]Lookups!$P$3:$S$15,2,FALSE)</f>
        <v>2</v>
      </c>
      <c r="Y275" s="16">
        <f>VLOOKUP(W275,[1]Lookups!$P$3:$U$15,3,FALSE)</f>
        <v>1</v>
      </c>
      <c r="Z275" s="16">
        <f t="shared" si="398"/>
        <v>1</v>
      </c>
      <c r="AA275" s="16" t="str">
        <f t="shared" ca="1" si="406"/>
        <v>Village Capital</v>
      </c>
      <c r="AB275" s="16">
        <f t="shared" si="406"/>
        <v>0</v>
      </c>
      <c r="AC275" s="16">
        <f t="shared" si="406"/>
        <v>0</v>
      </c>
      <c r="AD275" s="16">
        <f t="shared" si="406"/>
        <v>0</v>
      </c>
      <c r="AE275" s="16">
        <f t="shared" si="406"/>
        <v>0</v>
      </c>
      <c r="AF275" s="16">
        <f t="shared" si="406"/>
        <v>0</v>
      </c>
      <c r="AG275" s="16">
        <f t="shared" si="406"/>
        <v>0</v>
      </c>
      <c r="AH275" s="16">
        <f t="shared" si="406"/>
        <v>0</v>
      </c>
      <c r="AI275" s="16">
        <f t="shared" si="406"/>
        <v>0</v>
      </c>
      <c r="AJ275" s="16">
        <f t="shared" si="406"/>
        <v>0</v>
      </c>
      <c r="AK275" s="16">
        <f t="shared" si="406"/>
        <v>0</v>
      </c>
      <c r="AL275" s="16">
        <f t="shared" si="406"/>
        <v>0</v>
      </c>
      <c r="AM275" s="16">
        <f t="shared" si="406"/>
        <v>0</v>
      </c>
      <c r="AN275" s="16">
        <f t="shared" si="406"/>
        <v>0</v>
      </c>
      <c r="AO275" s="16">
        <f t="shared" si="406"/>
        <v>0</v>
      </c>
      <c r="AP275" s="10"/>
      <c r="AQ275" s="10"/>
      <c r="AR275" s="10"/>
      <c r="AS275" s="10" t="str">
        <f t="shared" ref="AS275" ca="1" si="423">IFERROR(__xludf.DUMMYFUNCTION("split(F273,"","",true,true)"),"Village Capital")</f>
        <v>Village Capital</v>
      </c>
      <c r="AT275" s="10"/>
      <c r="AU275" s="10"/>
      <c r="AV275" s="10"/>
      <c r="AW275" s="10"/>
      <c r="AX275" s="10"/>
      <c r="AY275" s="10"/>
      <c r="AZ275" s="10"/>
      <c r="BA275" s="10"/>
      <c r="BB275" s="10"/>
      <c r="BC275" s="10"/>
      <c r="BD275" s="10"/>
      <c r="BE275" s="10"/>
      <c r="BF275" s="10"/>
      <c r="BG275" s="10"/>
      <c r="BH275" s="10"/>
      <c r="BI275" s="10"/>
      <c r="BJ275" s="10"/>
      <c r="BK275" s="10"/>
      <c r="BM275" s="10"/>
    </row>
    <row r="276" spans="1:65" ht="12.75">
      <c r="A276" s="9">
        <v>42852</v>
      </c>
      <c r="B276" s="10" t="s">
        <v>399</v>
      </c>
      <c r="C276" s="11" t="s">
        <v>49</v>
      </c>
      <c r="D276" s="12"/>
      <c r="E276" s="10" t="s">
        <v>55</v>
      </c>
      <c r="F276" s="10" t="s">
        <v>665</v>
      </c>
      <c r="G276" s="13" t="s">
        <v>667</v>
      </c>
      <c r="H276" s="14" t="str">
        <f t="array" ref="H276">IFERROR(INDEX([1]Companies!$G:$G,MATCH(B276,[1]Companies!$A:$A,0)),"")</f>
        <v>Kenya</v>
      </c>
      <c r="I276" s="14" t="str">
        <f t="shared" si="415"/>
        <v>Kenya</v>
      </c>
      <c r="J276" s="14" t="str">
        <f t="array" ref="J276">IFERROR(INDEX([1]Companies!$Y:$Y,MATCH(B276,[1]Companies!$A:$A,0)),"")</f>
        <v>mCommerce, Distribution, and Agriculture</v>
      </c>
      <c r="K276" s="14" t="str">
        <f t="array" ref="K276">IFERROR(INDEX([1]Companies!$X:$X,MATCH(B276,[1]Companies!$A:$A,0)),"")</f>
        <v>E-Commerce &amp; Retail</v>
      </c>
      <c r="L276" s="14" t="str">
        <f>VLOOKUP(B276,[1]Companies!$A$1:$C$5243,1,FALSE)</f>
        <v>Twiga Foods</v>
      </c>
      <c r="M276" s="15">
        <f t="shared" si="416"/>
        <v>0.9</v>
      </c>
      <c r="N276" s="10" t="str">
        <f t="shared" si="417"/>
        <v>42852Twiga FoodsUndisclosed</v>
      </c>
      <c r="O276" s="14" t="str">
        <f t="shared" si="418"/>
        <v/>
      </c>
      <c r="P276" s="14">
        <f t="shared" si="419"/>
        <v>0</v>
      </c>
      <c r="Q276" s="14">
        <f t="array" ref="Q276">IFERROR(INDEX([1]Companies!$D:$D,MATCH(B276,[1]Companies!$A:$A,0)),"")</f>
        <v>2013</v>
      </c>
      <c r="R276" s="17">
        <f t="shared" si="420"/>
        <v>40350000</v>
      </c>
      <c r="S276" s="14">
        <f>VLOOKUP(I276,[1]Lookups!$V$3:$Y$197,4,FALSE)</f>
        <v>0</v>
      </c>
      <c r="T276" s="14" t="str">
        <f>VLOOKUP(E276,[1]Lookups!$H$3:$I$71,2,FALSE)</f>
        <v>1. Grant</v>
      </c>
      <c r="U276" s="14" t="str">
        <f>VLOOKUP(K276,[1]Lookups!$B$3:$C$142,2,FALSE)</f>
        <v>E-commerce &amp; Retail</v>
      </c>
      <c r="V276" s="14">
        <f t="shared" si="396"/>
        <v>2017</v>
      </c>
      <c r="W276" s="14">
        <f t="shared" si="397"/>
        <v>4</v>
      </c>
      <c r="X276" s="14">
        <f>VLOOKUP(W276,[1]Lookups!$P$3:$S$15,2,FALSE)</f>
        <v>2</v>
      </c>
      <c r="Y276" s="16">
        <f>VLOOKUP(W276,[1]Lookups!$P$3:$U$15,3,FALSE)</f>
        <v>1</v>
      </c>
      <c r="Z276" s="16">
        <f t="shared" si="398"/>
        <v>1</v>
      </c>
      <c r="AA276" s="16" t="str">
        <f t="shared" ca="1" si="406"/>
        <v>Village Capital</v>
      </c>
      <c r="AB276" s="16">
        <f t="shared" si="406"/>
        <v>0</v>
      </c>
      <c r="AC276" s="16">
        <f t="shared" si="406"/>
        <v>0</v>
      </c>
      <c r="AD276" s="16">
        <f t="shared" si="406"/>
        <v>0</v>
      </c>
      <c r="AE276" s="16">
        <f t="shared" si="406"/>
        <v>0</v>
      </c>
      <c r="AF276" s="16">
        <f t="shared" si="406"/>
        <v>0</v>
      </c>
      <c r="AG276" s="16">
        <f t="shared" si="406"/>
        <v>0</v>
      </c>
      <c r="AH276" s="16">
        <f t="shared" si="406"/>
        <v>0</v>
      </c>
      <c r="AI276" s="16">
        <f t="shared" si="406"/>
        <v>0</v>
      </c>
      <c r="AJ276" s="16">
        <f t="shared" si="406"/>
        <v>0</v>
      </c>
      <c r="AK276" s="16">
        <f t="shared" si="406"/>
        <v>0</v>
      </c>
      <c r="AL276" s="16">
        <f t="shared" si="406"/>
        <v>0</v>
      </c>
      <c r="AM276" s="16">
        <f t="shared" si="406"/>
        <v>0</v>
      </c>
      <c r="AN276" s="16">
        <f t="shared" si="406"/>
        <v>0</v>
      </c>
      <c r="AO276" s="16">
        <f t="shared" si="406"/>
        <v>0</v>
      </c>
      <c r="AP276" s="10"/>
      <c r="AQ276" s="10"/>
      <c r="AR276" s="10"/>
      <c r="AS276" s="10" t="str">
        <f t="shared" ref="AS276" ca="1" si="424">IFERROR(__xludf.DUMMYFUNCTION("split(F273,"","",true,true)"),"Village Capital")</f>
        <v>Village Capital</v>
      </c>
      <c r="AT276" s="10"/>
      <c r="AU276" s="10"/>
      <c r="AV276" s="10"/>
      <c r="AW276" s="10"/>
      <c r="AX276" s="10"/>
      <c r="AY276" s="10"/>
      <c r="AZ276" s="10"/>
      <c r="BA276" s="10"/>
      <c r="BB276" s="10"/>
      <c r="BC276" s="10"/>
      <c r="BD276" s="10"/>
      <c r="BE276" s="10"/>
      <c r="BF276" s="10"/>
      <c r="BG276" s="10"/>
      <c r="BH276" s="10"/>
      <c r="BI276" s="10"/>
      <c r="BJ276" s="10"/>
      <c r="BK276" s="10"/>
      <c r="BM276" s="10"/>
    </row>
    <row r="277" spans="1:65" ht="12.75">
      <c r="A277" s="9">
        <v>42856</v>
      </c>
      <c r="B277" s="10" t="s">
        <v>477</v>
      </c>
      <c r="C277" s="11" t="s">
        <v>49</v>
      </c>
      <c r="D277" s="12"/>
      <c r="E277" s="10" t="s">
        <v>234</v>
      </c>
      <c r="F277" s="10" t="s">
        <v>232</v>
      </c>
      <c r="G277" s="13" t="s">
        <v>668</v>
      </c>
      <c r="H277" s="14" t="str">
        <f t="array" ref="H277">IFERROR(INDEX([1]Companies!$G:$G,MATCH(B277,[1]Companies!$A:$A,0)),"")</f>
        <v>Egypt</v>
      </c>
      <c r="I277" s="14" t="str">
        <f t="shared" si="415"/>
        <v>Egypt</v>
      </c>
      <c r="J277" s="14" t="str">
        <f t="array" ref="J277">IFERROR(INDEX([1]Companies!$Y:$Y,MATCH(B277,[1]Companies!$A:$A,0)),"")</f>
        <v>E-Commerce, Education, Internet</v>
      </c>
      <c r="K277" s="14" t="str">
        <f t="array" ref="K277">IFERROR(INDEX([1]Companies!$X:$X,MATCH(B277,[1]Companies!$A:$A,0)),"")</f>
        <v>Education</v>
      </c>
      <c r="L277" s="14" t="str">
        <f>VLOOKUP(B277,[1]Companies!$A$1:$C$5243,1,FALSE)</f>
        <v>Orcas​</v>
      </c>
      <c r="M277" s="15">
        <f t="shared" si="416"/>
        <v>0.9</v>
      </c>
      <c r="N277" s="10" t="str">
        <f t="shared" si="417"/>
        <v>42856Orcas​Undisclosed</v>
      </c>
      <c r="O277" s="14" t="str">
        <f t="shared" si="418"/>
        <v/>
      </c>
      <c r="P277" s="14">
        <f t="shared" si="419"/>
        <v>0</v>
      </c>
      <c r="Q277" s="14">
        <f t="array" ref="Q277">IFERROR(INDEX([1]Companies!$D:$D,MATCH(B277,[1]Companies!$A:$A,0)),"")</f>
        <v>2014</v>
      </c>
      <c r="R277" s="17">
        <f t="shared" si="420"/>
        <v>500000</v>
      </c>
      <c r="S277" s="14">
        <f>VLOOKUP(I277,[1]Lookups!$V$3:$Y$197,4,FALSE)</f>
        <v>0</v>
      </c>
      <c r="T277" s="14" t="str">
        <f>VLOOKUP(E277,[1]Lookups!$H$3:$I$71,2,FALSE)</f>
        <v>2. Seed</v>
      </c>
      <c r="U277" s="14" t="str">
        <f>VLOOKUP(K277,[1]Lookups!$B$3:$C$142,2,FALSE)</f>
        <v>Education</v>
      </c>
      <c r="V277" s="14">
        <f t="shared" si="396"/>
        <v>2017</v>
      </c>
      <c r="W277" s="14">
        <f t="shared" si="397"/>
        <v>5</v>
      </c>
      <c r="X277" s="14">
        <f>VLOOKUP(W277,[1]Lookups!$P$3:$S$15,2,FALSE)</f>
        <v>2</v>
      </c>
      <c r="Y277" s="16">
        <f>VLOOKUP(W277,[1]Lookups!$P$3:$U$15,3,FALSE)</f>
        <v>1</v>
      </c>
      <c r="Z277" s="16">
        <f t="shared" si="398"/>
        <v>1</v>
      </c>
      <c r="AA277" s="16" t="str">
        <f t="shared" ca="1" si="406"/>
        <v>Village Capital</v>
      </c>
      <c r="AB277" s="16">
        <f t="shared" si="406"/>
        <v>0</v>
      </c>
      <c r="AC277" s="16">
        <f t="shared" si="406"/>
        <v>0</v>
      </c>
      <c r="AD277" s="16">
        <f t="shared" si="406"/>
        <v>0</v>
      </c>
      <c r="AE277" s="16">
        <f t="shared" si="406"/>
        <v>0</v>
      </c>
      <c r="AF277" s="16">
        <f t="shared" si="406"/>
        <v>0</v>
      </c>
      <c r="AG277" s="16">
        <f t="shared" si="406"/>
        <v>0</v>
      </c>
      <c r="AH277" s="16">
        <f t="shared" si="406"/>
        <v>0</v>
      </c>
      <c r="AI277" s="16">
        <f t="shared" si="406"/>
        <v>0</v>
      </c>
      <c r="AJ277" s="16">
        <f t="shared" si="406"/>
        <v>0</v>
      </c>
      <c r="AK277" s="16">
        <f t="shared" si="406"/>
        <v>0</v>
      </c>
      <c r="AL277" s="16">
        <f t="shared" si="406"/>
        <v>0</v>
      </c>
      <c r="AM277" s="16">
        <f t="shared" si="406"/>
        <v>0</v>
      </c>
      <c r="AN277" s="16">
        <f t="shared" si="406"/>
        <v>0</v>
      </c>
      <c r="AO277" s="16">
        <f t="shared" si="406"/>
        <v>0</v>
      </c>
      <c r="AP277" s="10"/>
      <c r="AQ277" s="10"/>
      <c r="AR277" s="10"/>
      <c r="AS277" s="10" t="str">
        <f t="shared" ref="AS277" ca="1" si="425">IFERROR(__xludf.DUMMYFUNCTION("split(F273,"","",true,true)"),"Village Capital")</f>
        <v>Village Capital</v>
      </c>
      <c r="AT277" s="10"/>
      <c r="AU277" s="10"/>
      <c r="AV277" s="10"/>
      <c r="AW277" s="10"/>
      <c r="AX277" s="10"/>
      <c r="AY277" s="10"/>
      <c r="AZ277" s="10"/>
      <c r="BA277" s="10"/>
      <c r="BB277" s="10"/>
      <c r="BC277" s="10"/>
      <c r="BD277" s="10"/>
      <c r="BE277" s="10"/>
      <c r="BF277" s="10"/>
      <c r="BG277" s="10"/>
      <c r="BH277" s="10"/>
      <c r="BI277" s="10"/>
      <c r="BJ277" s="10"/>
      <c r="BK277" s="10"/>
      <c r="BM277" s="10"/>
    </row>
    <row r="278" spans="1:65" ht="12.75">
      <c r="A278" s="18">
        <v>42856</v>
      </c>
      <c r="B278" s="14" t="s">
        <v>669</v>
      </c>
      <c r="C278" s="19">
        <v>5000000</v>
      </c>
      <c r="D278" s="19"/>
      <c r="E278" s="14" t="s">
        <v>69</v>
      </c>
      <c r="F278" s="20" t="s">
        <v>670</v>
      </c>
      <c r="G278" s="21" t="s">
        <v>671</v>
      </c>
      <c r="H278" s="14" t="str">
        <f t="array" ref="H278">IFERROR(INDEX([1]Companies!$G:$G,MATCH(B278,[1]Companies!$A:$A,0)),"")</f>
        <v>Nigeria</v>
      </c>
      <c r="I278" s="14" t="str">
        <f t="shared" si="415"/>
        <v>Nigeria</v>
      </c>
      <c r="J278" s="14" t="str">
        <f t="array" ref="J278">IFERROR(INDEX([1]Companies!$Y:$Y,MATCH(B278,[1]Companies!$A:$A,0)),"")</f>
        <v>Automotive, E-Commerce, E-Commerce Platforms</v>
      </c>
      <c r="K278" s="14" t="str">
        <f t="array" ref="K278">IFERROR(INDEX([1]Companies!$X:$X,MATCH(B278,[1]Companies!$A:$A,0)),"")</f>
        <v>E-Commerce &amp; Retail</v>
      </c>
      <c r="L278" s="14" t="str">
        <f>VLOOKUP(B278,[1]Companies!$A$1:$C$5243,1,FALSE)</f>
        <v>Cars45</v>
      </c>
      <c r="M278" s="15">
        <f t="shared" si="416"/>
        <v>0.9</v>
      </c>
      <c r="N278" s="10" t="str">
        <f t="shared" si="417"/>
        <v>42856Cars455000000</v>
      </c>
      <c r="O278" s="14" t="str">
        <f t="shared" si="418"/>
        <v/>
      </c>
      <c r="P278" s="14">
        <f t="shared" si="419"/>
        <v>1</v>
      </c>
      <c r="Q278" s="14">
        <f t="array" ref="Q278">IFERROR(INDEX([1]Companies!$D:$D,MATCH(B278,[1]Companies!$A:$A,0)),"")</f>
        <v>2016</v>
      </c>
      <c r="R278" s="17">
        <f t="shared" si="420"/>
        <v>5000000</v>
      </c>
      <c r="S278" s="14">
        <f>VLOOKUP(I278,[1]Lookups!$V$3:$Y$197,4,FALSE)</f>
        <v>0</v>
      </c>
      <c r="T278" s="14" t="str">
        <f>VLOOKUP(E278,[1]Lookups!$H$3:$I$71,2,FALSE)</f>
        <v>3. Early Venture</v>
      </c>
      <c r="U278" s="14" t="str">
        <f>VLOOKUP(K278,[1]Lookups!$B$3:$C$142,2,FALSE)</f>
        <v>E-commerce &amp; Retail</v>
      </c>
      <c r="V278" s="14">
        <f t="shared" si="396"/>
        <v>2017</v>
      </c>
      <c r="W278" s="14">
        <f t="shared" si="397"/>
        <v>5</v>
      </c>
      <c r="X278" s="14">
        <f>VLOOKUP(W278,[1]Lookups!$P$3:$S$15,2,FALSE)</f>
        <v>2</v>
      </c>
      <c r="Y278" s="16">
        <f>VLOOKUP(W278,[1]Lookups!$P$3:$U$15,3,FALSE)</f>
        <v>1</v>
      </c>
      <c r="Z278" s="16">
        <f t="shared" si="398"/>
        <v>5</v>
      </c>
      <c r="AA278" s="16" t="str">
        <f t="shared" ca="1" si="406"/>
        <v>Village Capital</v>
      </c>
      <c r="AB278" s="16" t="str">
        <f t="shared" ca="1" si="406"/>
        <v xml:space="preserve"> Balderton Capital Balderton Capital</v>
      </c>
      <c r="AC278" s="16" t="str">
        <f t="shared" ca="1" si="406"/>
        <v xml:space="preserve"> TPG Growth</v>
      </c>
      <c r="AD278" s="16" t="str">
        <f t="shared" ca="1" si="406"/>
        <v xml:space="preserve"> EchoVC Partners</v>
      </c>
      <c r="AE278" s="16" t="str">
        <f t="shared" ca="1" si="406"/>
        <v xml:space="preserve"> Frontier Car Group</v>
      </c>
      <c r="AF278" s="16">
        <f t="shared" si="406"/>
        <v>0</v>
      </c>
      <c r="AG278" s="16">
        <f t="shared" si="406"/>
        <v>0</v>
      </c>
      <c r="AH278" s="16">
        <f t="shared" si="406"/>
        <v>0</v>
      </c>
      <c r="AI278" s="16">
        <f t="shared" si="406"/>
        <v>0</v>
      </c>
      <c r="AJ278" s="16">
        <f t="shared" si="406"/>
        <v>0</v>
      </c>
      <c r="AK278" s="16">
        <f t="shared" si="406"/>
        <v>0</v>
      </c>
      <c r="AL278" s="16">
        <f t="shared" si="406"/>
        <v>0</v>
      </c>
      <c r="AM278" s="16">
        <f t="shared" si="406"/>
        <v>0</v>
      </c>
      <c r="AN278" s="16">
        <f t="shared" si="406"/>
        <v>0</v>
      </c>
      <c r="AO278" s="16">
        <f t="shared" si="406"/>
        <v>0</v>
      </c>
      <c r="AP278" s="10"/>
      <c r="AQ278" s="10"/>
      <c r="AR278" s="10"/>
      <c r="AS278" s="10" t="str">
        <f t="shared" ref="AS278:AS279" ca="1" si="426">IFERROR(__xludf.DUMMYFUNCTION("split(F273,"","",true,true)"),"Village Capital")</f>
        <v>Village Capital</v>
      </c>
      <c r="AT278" s="10" t="str">
        <f ca="1">IFERROR(__xludf.DUMMYFUNCTION("""COMPUTED_VALUE""")," Balderton Capital Balderton Capital")</f>
        <v xml:space="preserve"> Balderton Capital Balderton Capital</v>
      </c>
      <c r="AU278" s="10" t="str">
        <f ca="1">IFERROR(__xludf.DUMMYFUNCTION("""COMPUTED_VALUE""")," TPG Growth")</f>
        <v xml:space="preserve"> TPG Growth</v>
      </c>
      <c r="AV278" s="10" t="str">
        <f ca="1">IFERROR(__xludf.DUMMYFUNCTION("""COMPUTED_VALUE""")," EchoVC Partners")</f>
        <v xml:space="preserve"> EchoVC Partners</v>
      </c>
      <c r="AW278" s="10" t="str">
        <f ca="1">IFERROR(__xludf.DUMMYFUNCTION("""COMPUTED_VALUE""")," Frontier Car Group")</f>
        <v xml:space="preserve"> Frontier Car Group</v>
      </c>
      <c r="AX278" s="10"/>
      <c r="AY278" s="10"/>
      <c r="AZ278" s="10"/>
      <c r="BA278" s="10"/>
      <c r="BB278" s="10"/>
      <c r="BC278" s="10"/>
      <c r="BD278" s="10"/>
      <c r="BE278" s="10"/>
      <c r="BF278" s="10"/>
      <c r="BG278" s="10"/>
      <c r="BH278" s="10"/>
      <c r="BI278" s="10"/>
      <c r="BJ278" s="10"/>
      <c r="BK278" s="10"/>
      <c r="BM278" s="10"/>
    </row>
    <row r="279" spans="1:65" ht="12.75">
      <c r="A279" s="9">
        <v>42857</v>
      </c>
      <c r="B279" s="10" t="s">
        <v>295</v>
      </c>
      <c r="C279" s="11">
        <v>50000</v>
      </c>
      <c r="D279" s="12"/>
      <c r="E279" s="10" t="s">
        <v>55</v>
      </c>
      <c r="F279" s="10" t="s">
        <v>672</v>
      </c>
      <c r="G279" s="13" t="s">
        <v>673</v>
      </c>
      <c r="H279" s="14"/>
      <c r="I279" s="14"/>
      <c r="J279" s="14"/>
      <c r="K279" s="14"/>
      <c r="L279" s="14"/>
      <c r="M279" s="15"/>
      <c r="N279" s="10"/>
      <c r="O279" s="14"/>
      <c r="P279" s="14"/>
      <c r="Q279" s="14"/>
      <c r="R279" s="14"/>
      <c r="S279" s="14"/>
      <c r="T279" s="14"/>
      <c r="U279" s="14"/>
      <c r="V279" s="14">
        <f t="shared" si="396"/>
        <v>2017</v>
      </c>
      <c r="W279" s="14">
        <f t="shared" si="397"/>
        <v>5</v>
      </c>
      <c r="X279" s="14">
        <f>VLOOKUP(W279,[1]Lookups!$P$3:$S$15,2,FALSE)</f>
        <v>2</v>
      </c>
      <c r="Y279" s="16">
        <f>VLOOKUP(W279,[1]Lookups!$P$3:$U$15,3,FALSE)</f>
        <v>1</v>
      </c>
      <c r="Z279" s="16">
        <f t="shared" si="398"/>
        <v>1</v>
      </c>
      <c r="AA279" s="16" t="str">
        <f t="shared" ca="1" si="406"/>
        <v>Village Capital</v>
      </c>
      <c r="AB279" s="16">
        <f t="shared" si="406"/>
        <v>0</v>
      </c>
      <c r="AC279" s="16">
        <f t="shared" si="406"/>
        <v>0</v>
      </c>
      <c r="AD279" s="16">
        <f t="shared" si="406"/>
        <v>0</v>
      </c>
      <c r="AE279" s="16">
        <f t="shared" si="406"/>
        <v>0</v>
      </c>
      <c r="AF279" s="16">
        <f t="shared" si="406"/>
        <v>0</v>
      </c>
      <c r="AG279" s="16">
        <f t="shared" si="406"/>
        <v>0</v>
      </c>
      <c r="AH279" s="16">
        <f t="shared" si="406"/>
        <v>0</v>
      </c>
      <c r="AI279" s="16">
        <f t="shared" si="406"/>
        <v>0</v>
      </c>
      <c r="AJ279" s="16">
        <f t="shared" si="406"/>
        <v>0</v>
      </c>
      <c r="AK279" s="16">
        <f t="shared" si="406"/>
        <v>0</v>
      </c>
      <c r="AL279" s="16">
        <f t="shared" si="406"/>
        <v>0</v>
      </c>
      <c r="AM279" s="16">
        <f t="shared" si="406"/>
        <v>0</v>
      </c>
      <c r="AN279" s="16">
        <f t="shared" si="406"/>
        <v>0</v>
      </c>
      <c r="AO279" s="16">
        <f t="shared" si="406"/>
        <v>0</v>
      </c>
      <c r="AP279" s="10"/>
      <c r="AQ279" s="10"/>
      <c r="AR279" s="10"/>
      <c r="AS279" s="10" t="str">
        <f t="shared" ca="1" si="426"/>
        <v>Village Capital</v>
      </c>
      <c r="AT279" s="10"/>
      <c r="AU279" s="10"/>
      <c r="AV279" s="10"/>
      <c r="AW279" s="10"/>
      <c r="AX279" s="10"/>
      <c r="AY279" s="10"/>
      <c r="AZ279" s="10"/>
      <c r="BA279" s="10"/>
      <c r="BB279" s="10"/>
      <c r="BC279" s="10"/>
      <c r="BD279" s="10"/>
      <c r="BE279" s="10"/>
      <c r="BF279" s="10"/>
      <c r="BG279" s="10"/>
      <c r="BH279" s="10"/>
      <c r="BI279" s="10"/>
      <c r="BJ279" s="10"/>
      <c r="BK279" s="10"/>
      <c r="BM279" s="10"/>
    </row>
    <row r="280" spans="1:65" ht="12.75">
      <c r="A280" s="18">
        <v>42858</v>
      </c>
      <c r="B280" s="14" t="s">
        <v>674</v>
      </c>
      <c r="C280" s="19">
        <v>750000</v>
      </c>
      <c r="D280" s="19"/>
      <c r="E280" s="14" t="s">
        <v>69</v>
      </c>
      <c r="F280" s="14" t="s">
        <v>651</v>
      </c>
      <c r="G280" s="21" t="s">
        <v>675</v>
      </c>
      <c r="H280" s="14" t="str">
        <f t="array" ref="H280">IFERROR(INDEX([1]Companies!$G:$G,MATCH(B280,[1]Companies!$A:$A,0)),"")</f>
        <v>Egypt</v>
      </c>
      <c r="I280" s="14" t="str">
        <f t="shared" ref="I280:I281" si="427">IF(LEN(TRIM(H280))-LEN(SUBSTITUTE(TRIM(H280),",","")) &gt; 0,TRIM(RIGHT(H280,LEN(H280)-FIND(",",H280))),H280)</f>
        <v>Egypt</v>
      </c>
      <c r="J280" s="14" t="str">
        <f t="array" ref="J280">IFERROR(INDEX([1]Companies!$Y:$Y,MATCH(B280,[1]Companies!$A:$A,0)),"")</f>
        <v>Apps, Delivery Service, Shopping</v>
      </c>
      <c r="K280" s="14" t="str">
        <f t="array" ref="K280">IFERROR(INDEX([1]Companies!$X:$X,MATCH(B280,[1]Companies!$A:$A,0)),"")</f>
        <v>E-Commerce &amp; Retail</v>
      </c>
      <c r="L280" s="14" t="str">
        <f>VLOOKUP(B280,[1]Companies!$A$1:$C$5243,1,FALSE)</f>
        <v>Goodsmart</v>
      </c>
      <c r="M280" s="15">
        <f t="shared" ref="M280:M281" si="428">COUNTA(B280:K280)/(COUNTBLANK(B280:K280) + COUNTA(B280:K280))</f>
        <v>0.9</v>
      </c>
      <c r="N280" s="10" t="str">
        <f t="shared" ref="N280:N281" si="429">CONCATENATE(A280,B280,C280)</f>
        <v>42858GoodsMart750000</v>
      </c>
      <c r="O280" s="14" t="str">
        <f t="shared" ref="O280:O281" si="430">IF(A280 = "","",IF(COUNTIF(N:N,CONCATENATE(A280,B280,C280))&gt;1,"Duplicated",""))</f>
        <v/>
      </c>
      <c r="P280" s="14">
        <f t="shared" ref="P280:P281" si="431">IF(C280="Undisclosed",0,1)</f>
        <v>1</v>
      </c>
      <c r="Q280" s="14">
        <f t="array" ref="Q280">IFERROR(INDEX([1]Companies!$D:$D,MATCH(B280,[1]Companies!$A:$A,0)),"")</f>
        <v>2013</v>
      </c>
      <c r="R280" s="17">
        <f t="shared" ref="R280:R281" si="432">SUMIF(B:B,B280,C:C)</f>
        <v>750000</v>
      </c>
      <c r="S280" s="14">
        <f>VLOOKUP(I280,[1]Lookups!$V$3:$Y$197,4,FALSE)</f>
        <v>0</v>
      </c>
      <c r="T280" s="14" t="str">
        <f>VLOOKUP(E280,[1]Lookups!$H$3:$I$71,2,FALSE)</f>
        <v>3. Early Venture</v>
      </c>
      <c r="U280" s="14" t="str">
        <f>VLOOKUP(K280,[1]Lookups!$B$3:$C$142,2,FALSE)</f>
        <v>E-commerce &amp; Retail</v>
      </c>
      <c r="V280" s="14">
        <f t="shared" si="396"/>
        <v>2017</v>
      </c>
      <c r="W280" s="14">
        <f t="shared" si="397"/>
        <v>5</v>
      </c>
      <c r="X280" s="14">
        <f>VLOOKUP(W280,[1]Lookups!$P$3:$S$15,2,FALSE)</f>
        <v>2</v>
      </c>
      <c r="Y280" s="16">
        <f>VLOOKUP(W280,[1]Lookups!$P$3:$U$15,3,FALSE)</f>
        <v>1</v>
      </c>
      <c r="Z280" s="16">
        <f t="shared" si="398"/>
        <v>1</v>
      </c>
      <c r="AA280" s="16" t="str">
        <f t="shared" ref="AA280:AO295" ca="1" si="433">AS280</f>
        <v>Village Capital</v>
      </c>
      <c r="AB280" s="16">
        <f t="shared" si="433"/>
        <v>0</v>
      </c>
      <c r="AC280" s="16">
        <f t="shared" si="433"/>
        <v>0</v>
      </c>
      <c r="AD280" s="16">
        <f t="shared" si="433"/>
        <v>0</v>
      </c>
      <c r="AE280" s="16">
        <f t="shared" si="433"/>
        <v>0</v>
      </c>
      <c r="AF280" s="16">
        <f t="shared" si="433"/>
        <v>0</v>
      </c>
      <c r="AG280" s="16">
        <f t="shared" si="433"/>
        <v>0</v>
      </c>
      <c r="AH280" s="16">
        <f t="shared" si="433"/>
        <v>0</v>
      </c>
      <c r="AI280" s="16">
        <f t="shared" si="433"/>
        <v>0</v>
      </c>
      <c r="AJ280" s="16">
        <f t="shared" si="433"/>
        <v>0</v>
      </c>
      <c r="AK280" s="16">
        <f t="shared" si="433"/>
        <v>0</v>
      </c>
      <c r="AL280" s="16">
        <f t="shared" si="433"/>
        <v>0</v>
      </c>
      <c r="AM280" s="16">
        <f t="shared" si="433"/>
        <v>0</v>
      </c>
      <c r="AN280" s="16">
        <f t="shared" si="433"/>
        <v>0</v>
      </c>
      <c r="AO280" s="16">
        <f t="shared" si="433"/>
        <v>0</v>
      </c>
      <c r="AP280" s="10"/>
      <c r="AQ280" s="10"/>
      <c r="AR280" s="10"/>
      <c r="AS280" s="10" t="str">
        <f t="shared" ref="AS280" ca="1" si="434">IFERROR(__xludf.DUMMYFUNCTION("split(F273,"","",true,true)"),"Village Capital")</f>
        <v>Village Capital</v>
      </c>
      <c r="AT280" s="10"/>
      <c r="AU280" s="10"/>
      <c r="AV280" s="10"/>
      <c r="AW280" s="10"/>
      <c r="AX280" s="10"/>
      <c r="AY280" s="10"/>
      <c r="AZ280" s="10"/>
      <c r="BA280" s="10"/>
      <c r="BB280" s="10"/>
      <c r="BC280" s="10"/>
      <c r="BD280" s="10"/>
      <c r="BE280" s="10"/>
      <c r="BF280" s="10"/>
      <c r="BG280" s="10"/>
      <c r="BH280" s="10"/>
      <c r="BI280" s="10"/>
      <c r="BJ280" s="10"/>
      <c r="BK280" s="10"/>
      <c r="BM280" s="10"/>
    </row>
    <row r="281" spans="1:65" ht="12.75">
      <c r="A281" s="9">
        <v>42858</v>
      </c>
      <c r="B281" s="10" t="s">
        <v>604</v>
      </c>
      <c r="C281" s="11">
        <v>705000</v>
      </c>
      <c r="D281" s="12"/>
      <c r="E281" s="10" t="s">
        <v>48</v>
      </c>
      <c r="F281" s="10" t="s">
        <v>676</v>
      </c>
      <c r="G281" s="13" t="s">
        <v>677</v>
      </c>
      <c r="H281" s="14" t="str">
        <f t="array" ref="H281">IFERROR(INDEX([1]Companies!$G:$G,MATCH(B281,[1]Companies!$A:$A,0)),"")</f>
        <v>Rwanda</v>
      </c>
      <c r="I281" s="14" t="str">
        <f t="shared" si="427"/>
        <v>Rwanda</v>
      </c>
      <c r="J281" s="14" t="str">
        <f t="array" ref="J281">IFERROR(INDEX([1]Companies!$Y:$Y,MATCH(B281,[1]Companies!$A:$A,0)),"")</f>
        <v>Renewables &amp; Environment</v>
      </c>
      <c r="K281" s="14" t="str">
        <f t="array" ref="K281">IFERROR(INDEX([1]Companies!$X:$X,MATCH(B281,[1]Companies!$A:$A,0)),"")</f>
        <v>Energy &amp; Environment Resources</v>
      </c>
      <c r="L281" s="14" t="str">
        <f>VLOOKUP(B281,[1]Companies!$A$1:$C$5243,1,FALSE)</f>
        <v>OffGridBox</v>
      </c>
      <c r="M281" s="15">
        <f t="shared" si="428"/>
        <v>0.9</v>
      </c>
      <c r="N281" s="10" t="str">
        <f t="shared" si="429"/>
        <v>42858OffGridBox705000</v>
      </c>
      <c r="O281" s="14" t="str">
        <f t="shared" si="430"/>
        <v/>
      </c>
      <c r="P281" s="14">
        <f t="shared" si="431"/>
        <v>1</v>
      </c>
      <c r="Q281" s="14">
        <f t="array" ref="Q281">IFERROR(INDEX([1]Companies!$D:$D,MATCH(B281,[1]Companies!$A:$A,0)),"")</f>
        <v>2016</v>
      </c>
      <c r="R281" s="17">
        <f t="shared" si="432"/>
        <v>3705000</v>
      </c>
      <c r="S281" s="14">
        <f>VLOOKUP(I281,[1]Lookups!$V$3:$Y$197,4,FALSE)</f>
        <v>0</v>
      </c>
      <c r="T281" s="14" t="str">
        <f>VLOOKUP(E281,[1]Lookups!$H$3:$I$71,2,FALSE)</f>
        <v>2. Seed</v>
      </c>
      <c r="U281" s="14" t="e">
        <f>VLOOKUP(K281,[1]Lookups!$B$3:$C$142,2,FALSE)</f>
        <v>#N/A</v>
      </c>
      <c r="V281" s="14">
        <f t="shared" si="396"/>
        <v>2017</v>
      </c>
      <c r="W281" s="14">
        <f t="shared" si="397"/>
        <v>5</v>
      </c>
      <c r="X281" s="14">
        <f>VLOOKUP(W281,[1]Lookups!$P$3:$S$15,2,FALSE)</f>
        <v>2</v>
      </c>
      <c r="Y281" s="16">
        <f>VLOOKUP(W281,[1]Lookups!$P$3:$U$15,3,FALSE)</f>
        <v>1</v>
      </c>
      <c r="Z281" s="16">
        <f t="shared" si="398"/>
        <v>8</v>
      </c>
      <c r="AA281" s="16" t="str">
        <f t="shared" ca="1" si="433"/>
        <v>Village Capital</v>
      </c>
      <c r="AB281" s="16" t="str">
        <f t="shared" ca="1" si="433"/>
        <v xml:space="preserve"> Ty Danco</v>
      </c>
      <c r="AC281" s="16" t="str">
        <f t="shared" ca="1" si="433"/>
        <v xml:space="preserve"> Ground Squirrel Ventures</v>
      </c>
      <c r="AD281" s="16" t="str">
        <f t="shared" ca="1" si="433"/>
        <v xml:space="preserve"> Troy Billett</v>
      </c>
      <c r="AE281" s="16" t="str">
        <f t="shared" ca="1" si="433"/>
        <v xml:space="preserve"> Rob Stevens</v>
      </c>
      <c r="AF281" s="16" t="str">
        <f t="shared" ca="1" si="433"/>
        <v xml:space="preserve"> Warren Katz</v>
      </c>
      <c r="AG281" s="16" t="str">
        <f t="shared" ca="1" si="433"/>
        <v xml:space="preserve"> Mike Zelnick</v>
      </c>
      <c r="AH281" s="16" t="str">
        <f t="shared" ca="1" si="433"/>
        <v xml:space="preserve"> Marco Cecchini</v>
      </c>
      <c r="AI281" s="16">
        <f t="shared" si="433"/>
        <v>0</v>
      </c>
      <c r="AJ281" s="16">
        <f t="shared" si="433"/>
        <v>0</v>
      </c>
      <c r="AK281" s="16">
        <f t="shared" si="433"/>
        <v>0</v>
      </c>
      <c r="AL281" s="16">
        <f t="shared" si="433"/>
        <v>0</v>
      </c>
      <c r="AM281" s="16">
        <f t="shared" si="433"/>
        <v>0</v>
      </c>
      <c r="AN281" s="16">
        <f t="shared" si="433"/>
        <v>0</v>
      </c>
      <c r="AO281" s="16">
        <f t="shared" si="433"/>
        <v>0</v>
      </c>
      <c r="AP281" s="10"/>
      <c r="AQ281" s="10"/>
      <c r="AR281" s="10"/>
      <c r="AS281" s="10" t="str">
        <f t="shared" ref="AS281" ca="1" si="435">IFERROR(__xludf.DUMMYFUNCTION("split(F273,"","",true,true)"),"Village Capital")</f>
        <v>Village Capital</v>
      </c>
      <c r="AT281" s="10" t="str">
        <f ca="1">IFERROR(__xludf.DUMMYFUNCTION("""COMPUTED_VALUE""")," Ty Danco")</f>
        <v xml:space="preserve"> Ty Danco</v>
      </c>
      <c r="AU281" s="10" t="str">
        <f ca="1">IFERROR(__xludf.DUMMYFUNCTION("""COMPUTED_VALUE""")," Ground Squirrel Ventures")</f>
        <v xml:space="preserve"> Ground Squirrel Ventures</v>
      </c>
      <c r="AV281" s="10" t="str">
        <f ca="1">IFERROR(__xludf.DUMMYFUNCTION("""COMPUTED_VALUE""")," Troy Billett")</f>
        <v xml:space="preserve"> Troy Billett</v>
      </c>
      <c r="AW281" s="10" t="str">
        <f ca="1">IFERROR(__xludf.DUMMYFUNCTION("""COMPUTED_VALUE""")," Rob Stevens")</f>
        <v xml:space="preserve"> Rob Stevens</v>
      </c>
      <c r="AX281" s="10" t="str">
        <f ca="1">IFERROR(__xludf.DUMMYFUNCTION("""COMPUTED_VALUE""")," Warren Katz")</f>
        <v xml:space="preserve"> Warren Katz</v>
      </c>
      <c r="AY281" s="10" t="str">
        <f ca="1">IFERROR(__xludf.DUMMYFUNCTION("""COMPUTED_VALUE""")," Mike Zelnick")</f>
        <v xml:space="preserve"> Mike Zelnick</v>
      </c>
      <c r="AZ281" s="10" t="str">
        <f ca="1">IFERROR(__xludf.DUMMYFUNCTION("""COMPUTED_VALUE""")," Marco Cecchini")</f>
        <v xml:space="preserve"> Marco Cecchini</v>
      </c>
      <c r="BA281" s="10"/>
      <c r="BB281" s="10"/>
      <c r="BC281" s="10"/>
      <c r="BD281" s="10"/>
      <c r="BE281" s="10"/>
      <c r="BF281" s="10"/>
      <c r="BG281" s="10"/>
      <c r="BH281" s="10"/>
      <c r="BI281" s="10"/>
      <c r="BJ281" s="10"/>
      <c r="BK281" s="10"/>
      <c r="BM281" s="10"/>
    </row>
    <row r="282" spans="1:65" ht="12.75">
      <c r="A282" s="9">
        <v>42858</v>
      </c>
      <c r="B282" s="10" t="s">
        <v>50</v>
      </c>
      <c r="C282" s="11">
        <v>6700000</v>
      </c>
      <c r="D282" s="12"/>
      <c r="E282" s="10" t="s">
        <v>69</v>
      </c>
      <c r="F282" s="10" t="s">
        <v>678</v>
      </c>
      <c r="G282" s="13" t="s">
        <v>679</v>
      </c>
      <c r="H282" s="14"/>
      <c r="I282" s="14"/>
      <c r="J282" s="14"/>
      <c r="K282" s="14"/>
      <c r="L282" s="14"/>
      <c r="M282" s="15"/>
      <c r="N282" s="10"/>
      <c r="O282" s="14"/>
      <c r="P282" s="14"/>
      <c r="Q282" s="14"/>
      <c r="R282" s="14"/>
      <c r="S282" s="14"/>
      <c r="T282" s="14"/>
      <c r="U282" s="14"/>
      <c r="V282" s="14">
        <f t="shared" si="396"/>
        <v>2017</v>
      </c>
      <c r="W282" s="14">
        <f t="shared" si="397"/>
        <v>5</v>
      </c>
      <c r="X282" s="14">
        <f>VLOOKUP(W282,[1]Lookups!$P$3:$S$15,2,FALSE)</f>
        <v>2</v>
      </c>
      <c r="Y282" s="16">
        <f>VLOOKUP(W282,[1]Lookups!$P$3:$U$15,3,FALSE)</f>
        <v>1</v>
      </c>
      <c r="Z282" s="16">
        <f t="shared" si="398"/>
        <v>2</v>
      </c>
      <c r="AA282" s="16" t="str">
        <f t="shared" ca="1" si="433"/>
        <v>#REF!</v>
      </c>
      <c r="AB282" s="16">
        <f t="shared" si="433"/>
        <v>0</v>
      </c>
      <c r="AC282" s="16">
        <f t="shared" si="433"/>
        <v>0</v>
      </c>
      <c r="AD282" s="16">
        <f t="shared" si="433"/>
        <v>0</v>
      </c>
      <c r="AE282" s="16">
        <f t="shared" si="433"/>
        <v>0</v>
      </c>
      <c r="AF282" s="16">
        <f t="shared" si="433"/>
        <v>0</v>
      </c>
      <c r="AG282" s="16">
        <f t="shared" si="433"/>
        <v>0</v>
      </c>
      <c r="AH282" s="16">
        <f t="shared" si="433"/>
        <v>0</v>
      </c>
      <c r="AI282" s="16">
        <f t="shared" si="433"/>
        <v>0</v>
      </c>
      <c r="AJ282" s="16">
        <f t="shared" si="433"/>
        <v>0</v>
      </c>
      <c r="AK282" s="16">
        <f t="shared" si="433"/>
        <v>0</v>
      </c>
      <c r="AL282" s="16">
        <f t="shared" si="433"/>
        <v>0</v>
      </c>
      <c r="AM282" s="16">
        <f t="shared" si="433"/>
        <v>0</v>
      </c>
      <c r="AN282" s="16">
        <f t="shared" si="433"/>
        <v>0</v>
      </c>
      <c r="AO282" s="16">
        <f t="shared" si="433"/>
        <v>0</v>
      </c>
      <c r="AP282" s="10"/>
      <c r="AQ282" s="10"/>
      <c r="AR282" s="10"/>
      <c r="AS282" s="10" t="str">
        <f ca="1">IFERROR(__xludf.DUMMYFUNCTION("split(#REF!,"","",true,true)"),"#REF!")</f>
        <v>#REF!</v>
      </c>
      <c r="AT282" s="10"/>
      <c r="AU282" s="10"/>
      <c r="AV282" s="10"/>
      <c r="AW282" s="10"/>
      <c r="AX282" s="10"/>
      <c r="AY282" s="10"/>
      <c r="AZ282" s="10"/>
      <c r="BA282" s="10"/>
      <c r="BB282" s="10"/>
      <c r="BC282" s="10"/>
      <c r="BD282" s="10"/>
      <c r="BE282" s="10"/>
      <c r="BF282" s="10"/>
      <c r="BG282" s="10"/>
      <c r="BH282" s="10"/>
      <c r="BI282" s="10"/>
      <c r="BJ282" s="10"/>
      <c r="BK282" s="10"/>
      <c r="BM282" s="10"/>
    </row>
    <row r="283" spans="1:65" ht="12.75">
      <c r="A283" s="9">
        <v>42865</v>
      </c>
      <c r="B283" s="13" t="s">
        <v>611</v>
      </c>
      <c r="C283" s="11">
        <v>50000</v>
      </c>
      <c r="D283" s="12"/>
      <c r="E283" s="10" t="s">
        <v>45</v>
      </c>
      <c r="F283" s="10" t="s">
        <v>646</v>
      </c>
      <c r="G283" s="13" t="s">
        <v>680</v>
      </c>
      <c r="H283" s="14" t="str">
        <f t="array" ref="H283">IFERROR(INDEX([1]Companies!$G:$G,MATCH(B283,[1]Companies!$A:$A,0)),"")</f>
        <v>Nigeria</v>
      </c>
      <c r="I283" s="14" t="str">
        <f>IF(LEN(TRIM(H283))-LEN(SUBSTITUTE(TRIM(H283),",","")) &gt; 0,TRIM(RIGHT(H283,LEN(H283)-FIND(",",H283))),H283)</f>
        <v>Nigeria</v>
      </c>
      <c r="J283" s="14" t="str">
        <f t="array" ref="J283">IFERROR(INDEX([1]Companies!$Y:$Y,MATCH(B283,[1]Companies!$A:$A,0)),"")</f>
        <v>Online Printing, Business cards, Letterheads, Envelopes, Gift Items, Paper Bags, Stickers, Rollup Banner, Magic Mugs, Logo Mugs and Photo Mugs, Handbills, Greeting Cards, Invitations, PostCards, Graphic Designs, and Wedding Products Invitations, Gift Items and more</v>
      </c>
      <c r="K283" s="14" t="str">
        <f t="array" ref="K283">IFERROR(INDEX([1]Companies!$X:$X,MATCH(B283,[1]Companies!$A:$A,0)),"")</f>
        <v>Media &amp; Entertainment</v>
      </c>
      <c r="L283" s="21" t="str">
        <f>VLOOKUP(B283,[1]Companies!$A$1:$C$5243,1,FALSE)</f>
        <v>Printivo.com</v>
      </c>
      <c r="M283" s="15">
        <f>COUNTA(B283:K283)/(COUNTBLANK(B283:K283) + COUNTA(B283:K283))</f>
        <v>0.9</v>
      </c>
      <c r="N283" s="10" t="str">
        <f>CONCATENATE(A283,B283,C283)</f>
        <v>42865Printivo.com50000</v>
      </c>
      <c r="O283" s="14" t="str">
        <f>IF(A283 = "","",IF(COUNTIF(N:N,CONCATENATE(A283,B283,C283))&gt;1,"Duplicated",""))</f>
        <v/>
      </c>
      <c r="P283" s="14">
        <f>IF(C283="Undisclosed",0,1)</f>
        <v>1</v>
      </c>
      <c r="Q283" s="14">
        <f t="array" ref="Q283">IFERROR(INDEX([1]Companies!$D:$D,MATCH(B283,[1]Companies!$A:$A,0)),"")</f>
        <v>2013</v>
      </c>
      <c r="R283" s="17">
        <f>SUMIF(B:B,B283,C:C)</f>
        <v>162000</v>
      </c>
      <c r="S283" s="14">
        <f>VLOOKUP(I283,[1]Lookups!$V$3:$Y$197,4,FALSE)</f>
        <v>0</v>
      </c>
      <c r="T283" s="14" t="str">
        <f>VLOOKUP(E283,[1]Lookups!$H$3:$I$71,2,FALSE)</f>
        <v>2. Seed</v>
      </c>
      <c r="U283" s="14" t="str">
        <f>VLOOKUP(K283,[1]Lookups!$B$3:$C$142,2,FALSE)</f>
        <v>Media &amp; Entertainment</v>
      </c>
      <c r="V283" s="14">
        <f t="shared" si="396"/>
        <v>2017</v>
      </c>
      <c r="W283" s="14">
        <f t="shared" si="397"/>
        <v>5</v>
      </c>
      <c r="X283" s="14">
        <f>VLOOKUP(W283,[1]Lookups!$P$3:$S$15,2,FALSE)</f>
        <v>2</v>
      </c>
      <c r="Y283" s="16">
        <f>VLOOKUP(W283,[1]Lookups!$P$3:$U$15,3,FALSE)</f>
        <v>1</v>
      </c>
      <c r="Z283" s="16">
        <f t="shared" si="398"/>
        <v>1</v>
      </c>
      <c r="AA283" s="16" t="str">
        <f t="shared" ca="1" si="433"/>
        <v>LoftyInc Capital Management</v>
      </c>
      <c r="AB283" s="16">
        <f t="shared" si="433"/>
        <v>0</v>
      </c>
      <c r="AC283" s="16">
        <f t="shared" si="433"/>
        <v>0</v>
      </c>
      <c r="AD283" s="16">
        <f t="shared" si="433"/>
        <v>0</v>
      </c>
      <c r="AE283" s="16">
        <f t="shared" si="433"/>
        <v>0</v>
      </c>
      <c r="AF283" s="16">
        <f t="shared" si="433"/>
        <v>0</v>
      </c>
      <c r="AG283" s="16">
        <f t="shared" si="433"/>
        <v>0</v>
      </c>
      <c r="AH283" s="16">
        <f t="shared" si="433"/>
        <v>0</v>
      </c>
      <c r="AI283" s="16">
        <f t="shared" si="433"/>
        <v>0</v>
      </c>
      <c r="AJ283" s="16">
        <f t="shared" si="433"/>
        <v>0</v>
      </c>
      <c r="AK283" s="16">
        <f t="shared" si="433"/>
        <v>0</v>
      </c>
      <c r="AL283" s="16">
        <f t="shared" si="433"/>
        <v>0</v>
      </c>
      <c r="AM283" s="16">
        <f t="shared" si="433"/>
        <v>0</v>
      </c>
      <c r="AN283" s="16">
        <f t="shared" si="433"/>
        <v>0</v>
      </c>
      <c r="AO283" s="16">
        <f t="shared" si="433"/>
        <v>0</v>
      </c>
      <c r="AP283" s="10"/>
      <c r="AQ283" s="10"/>
      <c r="AR283" s="10"/>
      <c r="AS283" s="10" t="str">
        <f t="shared" ref="AS283:AS284" ca="1" si="436">IFERROR(__xludf.DUMMYFUNCTION("split(F283,"","",true,true)"),"LoftyInc Capital Management")</f>
        <v>LoftyInc Capital Management</v>
      </c>
      <c r="AT283" s="10"/>
      <c r="AU283" s="10"/>
      <c r="AV283" s="10"/>
      <c r="AW283" s="10"/>
      <c r="AX283" s="10"/>
      <c r="AY283" s="10"/>
      <c r="AZ283" s="10"/>
      <c r="BA283" s="10"/>
      <c r="BB283" s="10"/>
      <c r="BC283" s="10"/>
      <c r="BD283" s="10"/>
      <c r="BE283" s="10"/>
      <c r="BF283" s="10"/>
      <c r="BG283" s="10"/>
      <c r="BH283" s="10"/>
      <c r="BI283" s="10"/>
      <c r="BJ283" s="10"/>
      <c r="BK283" s="10"/>
      <c r="BM283" s="10"/>
    </row>
    <row r="284" spans="1:65" ht="12.75">
      <c r="A284" s="9">
        <v>42866</v>
      </c>
      <c r="B284" s="10" t="s">
        <v>626</v>
      </c>
      <c r="C284" s="11">
        <v>4000000</v>
      </c>
      <c r="D284" s="12"/>
      <c r="E284" s="10" t="s">
        <v>51</v>
      </c>
      <c r="F284" s="10" t="s">
        <v>236</v>
      </c>
      <c r="G284" s="13" t="s">
        <v>681</v>
      </c>
      <c r="H284" s="14"/>
      <c r="I284" s="14"/>
      <c r="J284" s="14"/>
      <c r="K284" s="14"/>
      <c r="L284" s="14"/>
      <c r="M284" s="15"/>
      <c r="N284" s="10"/>
      <c r="O284" s="14"/>
      <c r="P284" s="14"/>
      <c r="Q284" s="14"/>
      <c r="R284" s="17"/>
      <c r="S284" s="14"/>
      <c r="T284" s="14"/>
      <c r="U284" s="14"/>
      <c r="V284" s="14">
        <f t="shared" si="396"/>
        <v>2017</v>
      </c>
      <c r="W284" s="14">
        <f t="shared" si="397"/>
        <v>5</v>
      </c>
      <c r="X284" s="14">
        <f>VLOOKUP(W284,[1]Lookups!$P$3:$S$15,2,FALSE)</f>
        <v>2</v>
      </c>
      <c r="Y284" s="16">
        <f>VLOOKUP(W284,[1]Lookups!$P$3:$U$15,3,FALSE)</f>
        <v>1</v>
      </c>
      <c r="Z284" s="16">
        <f t="shared" si="398"/>
        <v>1</v>
      </c>
      <c r="AA284" s="16" t="str">
        <f t="shared" ca="1" si="433"/>
        <v>LoftyInc Capital Management</v>
      </c>
      <c r="AB284" s="16">
        <f t="shared" si="433"/>
        <v>0</v>
      </c>
      <c r="AC284" s="16">
        <f t="shared" si="433"/>
        <v>0</v>
      </c>
      <c r="AD284" s="16">
        <f t="shared" si="433"/>
        <v>0</v>
      </c>
      <c r="AE284" s="16">
        <f t="shared" si="433"/>
        <v>0</v>
      </c>
      <c r="AF284" s="16">
        <f t="shared" si="433"/>
        <v>0</v>
      </c>
      <c r="AG284" s="16">
        <f t="shared" si="433"/>
        <v>0</v>
      </c>
      <c r="AH284" s="16">
        <f t="shared" si="433"/>
        <v>0</v>
      </c>
      <c r="AI284" s="16">
        <f t="shared" si="433"/>
        <v>0</v>
      </c>
      <c r="AJ284" s="16">
        <f t="shared" si="433"/>
        <v>0</v>
      </c>
      <c r="AK284" s="16">
        <f t="shared" si="433"/>
        <v>0</v>
      </c>
      <c r="AL284" s="16">
        <f t="shared" si="433"/>
        <v>0</v>
      </c>
      <c r="AM284" s="16">
        <f t="shared" si="433"/>
        <v>0</v>
      </c>
      <c r="AN284" s="16">
        <f t="shared" si="433"/>
        <v>0</v>
      </c>
      <c r="AO284" s="16">
        <f t="shared" si="433"/>
        <v>0</v>
      </c>
      <c r="AP284" s="10"/>
      <c r="AQ284" s="10"/>
      <c r="AR284" s="10"/>
      <c r="AS284" s="10" t="str">
        <f t="shared" ca="1" si="436"/>
        <v>LoftyInc Capital Management</v>
      </c>
      <c r="AT284" s="10"/>
      <c r="AU284" s="10"/>
      <c r="AV284" s="10"/>
      <c r="AW284" s="10"/>
      <c r="AX284" s="10"/>
      <c r="AY284" s="10"/>
      <c r="AZ284" s="10"/>
      <c r="BA284" s="10"/>
      <c r="BB284" s="10"/>
      <c r="BC284" s="10"/>
      <c r="BD284" s="10"/>
      <c r="BE284" s="10"/>
      <c r="BF284" s="10"/>
      <c r="BG284" s="10"/>
      <c r="BH284" s="10"/>
      <c r="BI284" s="10"/>
      <c r="BJ284" s="10"/>
      <c r="BK284" s="10"/>
      <c r="BM284" s="10"/>
    </row>
    <row r="285" spans="1:65" ht="12.75">
      <c r="A285" s="9">
        <v>42870</v>
      </c>
      <c r="B285" s="10" t="s">
        <v>682</v>
      </c>
      <c r="C285" s="11">
        <v>20000</v>
      </c>
      <c r="D285" s="12"/>
      <c r="E285" s="14" t="s">
        <v>45</v>
      </c>
      <c r="F285" s="10" t="s">
        <v>516</v>
      </c>
      <c r="G285" s="13" t="s">
        <v>683</v>
      </c>
      <c r="H285" s="14" t="str">
        <f t="array" ref="H285">IFERROR(INDEX([1]Companies!$G:$G,MATCH(B285,[1]Companies!$A:$A,0)),"")</f>
        <v>Nigeria</v>
      </c>
      <c r="I285" s="14" t="str">
        <f t="shared" ref="I285:I332" si="437">IF(LEN(TRIM(H285))-LEN(SUBSTITUTE(TRIM(H285),",","")) &gt; 0,TRIM(RIGHT(H285,LEN(H285)-FIND(",",H285))),H285)</f>
        <v>Nigeria</v>
      </c>
      <c r="J285" s="14" t="str">
        <f t="array" ref="J285">IFERROR(INDEX([1]Companies!$Y:$Y,MATCH(B285,[1]Companies!$A:$A,0)),"")</f>
        <v>Agriculture, AgTech, Information Technology</v>
      </c>
      <c r="K285" s="14" t="str">
        <f t="array" ref="K285">IFERROR(INDEX([1]Companies!$X:$X,MATCH(B285,[1]Companies!$A:$A,0)),"")</f>
        <v>Agriculture</v>
      </c>
      <c r="L285" s="14" t="str">
        <f>VLOOKUP(B285,[1]Companies!$A$1:$C$5243,1,FALSE)</f>
        <v>Thrive Agric</v>
      </c>
      <c r="M285" s="15">
        <f t="shared" ref="M285:M332" si="438">COUNTA(B285:K285)/(COUNTBLANK(B285:K285) + COUNTA(B285:K285))</f>
        <v>0.9</v>
      </c>
      <c r="N285" s="10" t="str">
        <f t="shared" ref="N285:N322" si="439">CONCATENATE(A285,B285,C285)</f>
        <v>42870Thrive Agric20000</v>
      </c>
      <c r="O285" s="14" t="str">
        <f t="shared" ref="O285:O322" si="440">IF(A285 = "","",IF(COUNTIF(N:N,CONCATENATE(A285,B285,C285))&gt;1,"Duplicated",""))</f>
        <v/>
      </c>
      <c r="P285" s="14">
        <f t="shared" ref="P285:P322" si="441">IF(C285="Undisclosed",0,1)</f>
        <v>1</v>
      </c>
      <c r="Q285" s="14">
        <f t="array" ref="Q285">IFERROR(INDEX([1]Companies!$D:$D,MATCH(B285,[1]Companies!$A:$A,0)),"")</f>
        <v>2016</v>
      </c>
      <c r="R285" s="17">
        <f t="shared" ref="R285:R322" si="442">SUMIF(B:B,B285,C:C)</f>
        <v>620000</v>
      </c>
      <c r="S285" s="14">
        <f>VLOOKUP(I285,[1]Lookups!$V$3:$Y$197,4,FALSE)</f>
        <v>0</v>
      </c>
      <c r="T285" s="14" t="str">
        <f>VLOOKUP(E285,[1]Lookups!$H$3:$I$71,2,FALSE)</f>
        <v>2. Seed</v>
      </c>
      <c r="U285" s="14" t="str">
        <f>VLOOKUP(K285,[1]Lookups!$B$3:$C$142,2,FALSE)</f>
        <v>Agriculture</v>
      </c>
      <c r="V285" s="14">
        <f t="shared" si="396"/>
        <v>2017</v>
      </c>
      <c r="W285" s="14">
        <f t="shared" si="397"/>
        <v>5</v>
      </c>
      <c r="X285" s="14">
        <f>VLOOKUP(W285,[1]Lookups!$P$3:$S$15,2,FALSE)</f>
        <v>2</v>
      </c>
      <c r="Y285" s="16">
        <f>VLOOKUP(W285,[1]Lookups!$P$3:$U$15,3,FALSE)</f>
        <v>1</v>
      </c>
      <c r="Z285" s="16">
        <f t="shared" si="398"/>
        <v>1</v>
      </c>
      <c r="AA285" s="16" t="str">
        <f t="shared" ca="1" si="433"/>
        <v>LoftyInc Capital Management</v>
      </c>
      <c r="AB285" s="16">
        <f t="shared" si="433"/>
        <v>0</v>
      </c>
      <c r="AC285" s="16">
        <f t="shared" si="433"/>
        <v>0</v>
      </c>
      <c r="AD285" s="16">
        <f t="shared" si="433"/>
        <v>0</v>
      </c>
      <c r="AE285" s="16">
        <f t="shared" si="433"/>
        <v>0</v>
      </c>
      <c r="AF285" s="16">
        <f t="shared" si="433"/>
        <v>0</v>
      </c>
      <c r="AG285" s="16">
        <f t="shared" si="433"/>
        <v>0</v>
      </c>
      <c r="AH285" s="16">
        <f t="shared" si="433"/>
        <v>0</v>
      </c>
      <c r="AI285" s="16">
        <f t="shared" si="433"/>
        <v>0</v>
      </c>
      <c r="AJ285" s="16">
        <f t="shared" si="433"/>
        <v>0</v>
      </c>
      <c r="AK285" s="16">
        <f t="shared" si="433"/>
        <v>0</v>
      </c>
      <c r="AL285" s="16">
        <f t="shared" si="433"/>
        <v>0</v>
      </c>
      <c r="AM285" s="16">
        <f t="shared" si="433"/>
        <v>0</v>
      </c>
      <c r="AN285" s="16">
        <f t="shared" si="433"/>
        <v>0</v>
      </c>
      <c r="AO285" s="16">
        <f t="shared" si="433"/>
        <v>0</v>
      </c>
      <c r="AP285" s="10"/>
      <c r="AQ285" s="10"/>
      <c r="AR285" s="10"/>
      <c r="AS285" s="10" t="str">
        <f t="shared" ref="AS285" ca="1" si="443">IFERROR(__xludf.DUMMYFUNCTION("split(F283,"","",true,true)"),"LoftyInc Capital Management")</f>
        <v>LoftyInc Capital Management</v>
      </c>
      <c r="AT285" s="10"/>
      <c r="AU285" s="10"/>
      <c r="AV285" s="10"/>
      <c r="AW285" s="10"/>
      <c r="AX285" s="10"/>
      <c r="AY285" s="10"/>
      <c r="AZ285" s="10"/>
      <c r="BA285" s="10"/>
      <c r="BB285" s="10"/>
      <c r="BC285" s="10"/>
      <c r="BD285" s="10"/>
      <c r="BE285" s="10"/>
      <c r="BF285" s="10"/>
      <c r="BG285" s="10"/>
      <c r="BH285" s="10"/>
      <c r="BI285" s="10"/>
      <c r="BJ285" s="10"/>
      <c r="BK285" s="10"/>
      <c r="BM285" s="10"/>
    </row>
    <row r="286" spans="1:65" ht="12.75">
      <c r="A286" s="18">
        <v>42871</v>
      </c>
      <c r="B286" s="14" t="s">
        <v>222</v>
      </c>
      <c r="C286" s="19">
        <v>1500000</v>
      </c>
      <c r="D286" s="19"/>
      <c r="E286" s="14" t="s">
        <v>112</v>
      </c>
      <c r="F286" s="14" t="s">
        <v>684</v>
      </c>
      <c r="G286" s="27" t="s">
        <v>685</v>
      </c>
      <c r="H286" s="14" t="str">
        <f t="array" ref="H286">IFERROR(INDEX([1]Companies!$G:$G,MATCH(B286,[1]Companies!$A:$A,0)),"")</f>
        <v>Egypt</v>
      </c>
      <c r="I286" s="14" t="str">
        <f t="shared" si="437"/>
        <v>Egypt</v>
      </c>
      <c r="J286" s="14" t="str">
        <f t="array" ref="J286">IFERROR(INDEX([1]Companies!$Y:$Y,MATCH(B286,[1]Companies!$A:$A,0)),"")</f>
        <v>Healthcare, Internet, Marketplace, Medical, Paas, Saas</v>
      </c>
      <c r="K286" s="14" t="str">
        <f t="array" ref="K286">IFERROR(INDEX([1]Companies!$X:$X,MATCH(B286,[1]Companies!$A:$A,0)),"")</f>
        <v>Healthcare &amp; Pharma</v>
      </c>
      <c r="L286" s="14" t="str">
        <f>VLOOKUP(B286,[1]Companies!$A$1:$C$5243,1,FALSE)</f>
        <v>Vezeeta</v>
      </c>
      <c r="M286" s="15">
        <f t="shared" si="438"/>
        <v>0.9</v>
      </c>
      <c r="N286" s="10" t="str">
        <f t="shared" si="439"/>
        <v>42871Vezeeta1500000</v>
      </c>
      <c r="O286" s="14" t="str">
        <f t="shared" si="440"/>
        <v/>
      </c>
      <c r="P286" s="14">
        <f t="shared" si="441"/>
        <v>1</v>
      </c>
      <c r="Q286" s="14">
        <f t="array" ref="Q286">IFERROR(INDEX([1]Companies!$D:$D,MATCH(B286,[1]Companies!$A:$A,0)),"")</f>
        <v>2012</v>
      </c>
      <c r="R286" s="17">
        <f t="shared" si="442"/>
        <v>23500000</v>
      </c>
      <c r="S286" s="14">
        <f>VLOOKUP(I286,[1]Lookups!$V$3:$Y$197,4,FALSE)</f>
        <v>0</v>
      </c>
      <c r="T286" s="14" t="str">
        <f>VLOOKUP(E286,[1]Lookups!$H$3:$I$71,2,FALSE)</f>
        <v>3. Early Venture</v>
      </c>
      <c r="U286" s="14" t="str">
        <f>VLOOKUP(K286,[1]Lookups!$B$3:$C$142,2,FALSE)</f>
        <v>Health &amp; Pharmaceuticals</v>
      </c>
      <c r="V286" s="14">
        <f t="shared" si="396"/>
        <v>2017</v>
      </c>
      <c r="W286" s="14">
        <f t="shared" si="397"/>
        <v>5</v>
      </c>
      <c r="X286" s="14">
        <f>VLOOKUP(W286,[1]Lookups!$P$3:$S$15,2,FALSE)</f>
        <v>2</v>
      </c>
      <c r="Y286" s="16">
        <f>VLOOKUP(W286,[1]Lookups!$P$3:$U$15,3,FALSE)</f>
        <v>1</v>
      </c>
      <c r="Z286" s="16">
        <f t="shared" si="398"/>
        <v>4</v>
      </c>
      <c r="AA286" s="16" t="str">
        <f t="shared" ca="1" si="433"/>
        <v>LoftyInc Capital Management</v>
      </c>
      <c r="AB286" s="16" t="str">
        <f t="shared" ca="1" si="433"/>
        <v xml:space="preserve"> Silicon Badia</v>
      </c>
      <c r="AC286" s="16" t="str">
        <f t="shared" ca="1" si="433"/>
        <v xml:space="preserve"> Vostok New Ventures</v>
      </c>
      <c r="AD286" s="16" t="str">
        <f t="shared" ca="1" si="433"/>
        <v xml:space="preserve"> Vulkan Equity</v>
      </c>
      <c r="AE286" s="16">
        <f t="shared" si="433"/>
        <v>0</v>
      </c>
      <c r="AF286" s="16">
        <f t="shared" si="433"/>
        <v>0</v>
      </c>
      <c r="AG286" s="16">
        <f t="shared" si="433"/>
        <v>0</v>
      </c>
      <c r="AH286" s="16">
        <f t="shared" si="433"/>
        <v>0</v>
      </c>
      <c r="AI286" s="16">
        <f t="shared" si="433"/>
        <v>0</v>
      </c>
      <c r="AJ286" s="16">
        <f t="shared" si="433"/>
        <v>0</v>
      </c>
      <c r="AK286" s="16">
        <f t="shared" si="433"/>
        <v>0</v>
      </c>
      <c r="AL286" s="16">
        <f t="shared" si="433"/>
        <v>0</v>
      </c>
      <c r="AM286" s="16">
        <f t="shared" si="433"/>
        <v>0</v>
      </c>
      <c r="AN286" s="16">
        <f t="shared" si="433"/>
        <v>0</v>
      </c>
      <c r="AO286" s="16">
        <f t="shared" si="433"/>
        <v>0</v>
      </c>
      <c r="AP286" s="10"/>
      <c r="AQ286" s="10"/>
      <c r="AR286" s="10"/>
      <c r="AS286" s="10" t="str">
        <f t="shared" ref="AS286" ca="1" si="444">IFERROR(__xludf.DUMMYFUNCTION("split(F283,"","",true,true)"),"LoftyInc Capital Management")</f>
        <v>LoftyInc Capital Management</v>
      </c>
      <c r="AT286" s="10" t="str">
        <f ca="1">IFERROR(__xludf.DUMMYFUNCTION("""COMPUTED_VALUE""")," Silicon Badia")</f>
        <v xml:space="preserve"> Silicon Badia</v>
      </c>
      <c r="AU286" s="10" t="str">
        <f ca="1">IFERROR(__xludf.DUMMYFUNCTION("""COMPUTED_VALUE""")," Vostok New Ventures")</f>
        <v xml:space="preserve"> Vostok New Ventures</v>
      </c>
      <c r="AV286" s="10" t="str">
        <f ca="1">IFERROR(__xludf.DUMMYFUNCTION("""COMPUTED_VALUE""")," Vulkan Equity")</f>
        <v xml:space="preserve"> Vulkan Equity</v>
      </c>
      <c r="AW286" s="10"/>
      <c r="AX286" s="10"/>
      <c r="AY286" s="10"/>
      <c r="AZ286" s="10"/>
      <c r="BA286" s="10"/>
      <c r="BB286" s="10"/>
      <c r="BC286" s="10"/>
      <c r="BD286" s="10"/>
      <c r="BE286" s="10"/>
      <c r="BF286" s="10"/>
      <c r="BG286" s="10"/>
      <c r="BH286" s="10"/>
      <c r="BI286" s="10"/>
      <c r="BJ286" s="10"/>
      <c r="BK286" s="10"/>
      <c r="BM286" s="10"/>
    </row>
    <row r="287" spans="1:65" ht="12.75">
      <c r="A287" s="9">
        <v>42877</v>
      </c>
      <c r="B287" s="10" t="s">
        <v>686</v>
      </c>
      <c r="C287" s="11">
        <v>2100000</v>
      </c>
      <c r="D287" s="12"/>
      <c r="E287" s="14" t="s">
        <v>45</v>
      </c>
      <c r="F287" s="10" t="s">
        <v>687</v>
      </c>
      <c r="G287" s="13" t="s">
        <v>688</v>
      </c>
      <c r="H287" s="14" t="str">
        <f t="array" ref="H287">IFERROR(INDEX([1]Companies!$G:$G,MATCH(B287,[1]Companies!$A:$A,0)),"")</f>
        <v>Nigeria</v>
      </c>
      <c r="I287" s="14" t="str">
        <f t="shared" si="437"/>
        <v>Nigeria</v>
      </c>
      <c r="J287" s="14" t="str">
        <f t="array" ref="J287">IFERROR(INDEX([1]Companies!$Y:$Y,MATCH(B287,[1]Companies!$A:$A,0)),"")</f>
        <v>Internet, WIFI, VOIP, and IPTV</v>
      </c>
      <c r="K287" s="14" t="str">
        <f t="array" ref="K287">IFERROR(INDEX([1]Companies!$X:$X,MATCH(B287,[1]Companies!$A:$A,0)),"")</f>
        <v>Information Technology</v>
      </c>
      <c r="L287" s="14" t="str">
        <f>VLOOKUP(B287,[1]Companies!$A$1:$C$5243,1,FALSE)</f>
        <v>Tizeti</v>
      </c>
      <c r="M287" s="15">
        <f t="shared" si="438"/>
        <v>0.9</v>
      </c>
      <c r="N287" s="10" t="str">
        <f t="shared" si="439"/>
        <v>42877Tizeti2100000</v>
      </c>
      <c r="O287" s="14" t="str">
        <f t="shared" si="440"/>
        <v/>
      </c>
      <c r="P287" s="14">
        <f t="shared" si="441"/>
        <v>1</v>
      </c>
      <c r="Q287" s="14">
        <f t="array" ref="Q287">IFERROR(INDEX([1]Companies!$D:$D,MATCH(B287,[1]Companies!$A:$A,0)),"")</f>
        <v>2014</v>
      </c>
      <c r="R287" s="17">
        <f t="shared" si="442"/>
        <v>5100000</v>
      </c>
      <c r="S287" s="14">
        <f>VLOOKUP(I287,[1]Lookups!$V$3:$Y$197,4,FALSE)</f>
        <v>0</v>
      </c>
      <c r="T287" s="14" t="str">
        <f>VLOOKUP(E287,[1]Lookups!$H$3:$I$71,2,FALSE)</f>
        <v>2. Seed</v>
      </c>
      <c r="U287" s="14" t="str">
        <f>VLOOKUP(K287,[1]Lookups!$B$3:$C$142,2,FALSE)</f>
        <v>Other Technologies &amp; Information Technology</v>
      </c>
      <c r="V287" s="14">
        <f t="shared" si="396"/>
        <v>2017</v>
      </c>
      <c r="W287" s="14">
        <f t="shared" si="397"/>
        <v>5</v>
      </c>
      <c r="X287" s="14">
        <f>VLOOKUP(W287,[1]Lookups!$P$3:$S$15,2,FALSE)</f>
        <v>2</v>
      </c>
      <c r="Y287" s="16">
        <f>VLOOKUP(W287,[1]Lookups!$P$3:$U$15,3,FALSE)</f>
        <v>1</v>
      </c>
      <c r="Z287" s="16">
        <f t="shared" si="398"/>
        <v>12</v>
      </c>
      <c r="AA287" s="16" t="str">
        <f t="shared" ca="1" si="433"/>
        <v>LoftyInc Capital Management</v>
      </c>
      <c r="AB287" s="16" t="str">
        <f t="shared" ca="1" si="433"/>
        <v xml:space="preserve"> Y Combinator</v>
      </c>
      <c r="AC287" s="16" t="str">
        <f t="shared" ca="1" si="433"/>
        <v xml:space="preserve"> Western Technology Investment</v>
      </c>
      <c r="AD287" s="16" t="str">
        <f t="shared" ca="1" si="433"/>
        <v xml:space="preserve"> Vy Capital</v>
      </c>
      <c r="AE287" s="16" t="str">
        <f t="shared" ca="1" si="433"/>
        <v xml:space="preserve"> Social Capital</v>
      </c>
      <c r="AF287" s="16" t="str">
        <f t="shared" ca="1" si="433"/>
        <v xml:space="preserve"> Picus Capital</v>
      </c>
      <c r="AG287" s="16" t="str">
        <f t="shared" ca="1" si="433"/>
        <v xml:space="preserve"> Michael Seibel</v>
      </c>
      <c r="AH287" s="16" t="str">
        <f t="shared" ca="1" si="433"/>
        <v xml:space="preserve"> Lynett Capital</v>
      </c>
      <c r="AI287" s="16" t="str">
        <f t="shared" ca="1" si="433"/>
        <v xml:space="preserve"> Golden Palm Investments</v>
      </c>
      <c r="AJ287" s="16" t="str">
        <f t="shared" ca="1" si="433"/>
        <v xml:space="preserve"> Gabriel Hammond</v>
      </c>
      <c r="AK287" s="16" t="str">
        <f t="shared" ca="1" si="433"/>
        <v xml:space="preserve"> Friále</v>
      </c>
      <c r="AL287" s="16" t="str">
        <f t="shared" ca="1" si="433"/>
        <v xml:space="preserve"> ACE &amp; Company</v>
      </c>
      <c r="AM287" s="16">
        <f t="shared" si="433"/>
        <v>0</v>
      </c>
      <c r="AN287" s="16">
        <f t="shared" si="433"/>
        <v>0</v>
      </c>
      <c r="AO287" s="16">
        <f t="shared" si="433"/>
        <v>0</v>
      </c>
      <c r="AP287" s="10"/>
      <c r="AQ287" s="10"/>
      <c r="AR287" s="10"/>
      <c r="AS287" s="10" t="str">
        <f t="shared" ref="AS287" ca="1" si="445">IFERROR(__xludf.DUMMYFUNCTION("split(F283,"","",true,true)"),"LoftyInc Capital Management")</f>
        <v>LoftyInc Capital Management</v>
      </c>
      <c r="AT287" s="10" t="str">
        <f ca="1">IFERROR(__xludf.DUMMYFUNCTION("""COMPUTED_VALUE""")," Y Combinator")</f>
        <v xml:space="preserve"> Y Combinator</v>
      </c>
      <c r="AU287" s="10" t="str">
        <f ca="1">IFERROR(__xludf.DUMMYFUNCTION("""COMPUTED_VALUE""")," Western Technology Investment")</f>
        <v xml:space="preserve"> Western Technology Investment</v>
      </c>
      <c r="AV287" s="10" t="str">
        <f ca="1">IFERROR(__xludf.DUMMYFUNCTION("""COMPUTED_VALUE""")," Vy Capital")</f>
        <v xml:space="preserve"> Vy Capital</v>
      </c>
      <c r="AW287" s="10" t="str">
        <f ca="1">IFERROR(__xludf.DUMMYFUNCTION("""COMPUTED_VALUE""")," Social Capital")</f>
        <v xml:space="preserve"> Social Capital</v>
      </c>
      <c r="AX287" s="10" t="str">
        <f ca="1">IFERROR(__xludf.DUMMYFUNCTION("""COMPUTED_VALUE""")," Picus Capital")</f>
        <v xml:space="preserve"> Picus Capital</v>
      </c>
      <c r="AY287" s="10" t="str">
        <f ca="1">IFERROR(__xludf.DUMMYFUNCTION("""COMPUTED_VALUE""")," Michael Seibel")</f>
        <v xml:space="preserve"> Michael Seibel</v>
      </c>
      <c r="AZ287" s="10" t="str">
        <f ca="1">IFERROR(__xludf.DUMMYFUNCTION("""COMPUTED_VALUE""")," Lynett Capital")</f>
        <v xml:space="preserve"> Lynett Capital</v>
      </c>
      <c r="BA287" s="10" t="str">
        <f ca="1">IFERROR(__xludf.DUMMYFUNCTION("""COMPUTED_VALUE""")," Golden Palm Investments")</f>
        <v xml:space="preserve"> Golden Palm Investments</v>
      </c>
      <c r="BB287" s="10" t="str">
        <f ca="1">IFERROR(__xludf.DUMMYFUNCTION("""COMPUTED_VALUE""")," Gabriel Hammond")</f>
        <v xml:space="preserve"> Gabriel Hammond</v>
      </c>
      <c r="BC287" s="10" t="str">
        <f ca="1">IFERROR(__xludf.DUMMYFUNCTION("""COMPUTED_VALUE""")," Friále")</f>
        <v xml:space="preserve"> Friále</v>
      </c>
      <c r="BD287" s="10" t="str">
        <f ca="1">IFERROR(__xludf.DUMMYFUNCTION("""COMPUTED_VALUE""")," ACE &amp; Company")</f>
        <v xml:space="preserve"> ACE &amp; Company</v>
      </c>
      <c r="BE287" s="10"/>
      <c r="BF287" s="10"/>
      <c r="BG287" s="10"/>
      <c r="BH287" s="10"/>
      <c r="BI287" s="10"/>
      <c r="BJ287" s="10"/>
      <c r="BK287" s="10"/>
      <c r="BM287" s="10"/>
    </row>
    <row r="288" spans="1:65" ht="12.75">
      <c r="A288" s="9">
        <v>42878</v>
      </c>
      <c r="B288" s="10" t="s">
        <v>491</v>
      </c>
      <c r="C288" s="11">
        <v>50000</v>
      </c>
      <c r="D288" s="12"/>
      <c r="E288" s="14" t="s">
        <v>55</v>
      </c>
      <c r="F288" s="10" t="s">
        <v>689</v>
      </c>
      <c r="G288" s="13" t="s">
        <v>690</v>
      </c>
      <c r="H288" s="14" t="str">
        <f t="array" ref="H288">IFERROR(INDEX([1]Companies!$G:$G,MATCH(B288,[1]Companies!$A:$A,0)),"")</f>
        <v>United States</v>
      </c>
      <c r="I288" s="14" t="str">
        <f t="shared" si="437"/>
        <v>United States</v>
      </c>
      <c r="J288" s="14" t="str">
        <f t="array" ref="J288">IFERROR(INDEX([1]Companies!$Y:$Y,MATCH(B288,[1]Companies!$A:$A,0)),"")</f>
        <v>Payments, Fintech, Financial Technology</v>
      </c>
      <c r="K288" s="14" t="str">
        <f t="array" ref="K288">IFERROR(INDEX([1]Companies!$X:$X,MATCH(B288,[1]Companies!$A:$A,0)),"")</f>
        <v>Financial Services</v>
      </c>
      <c r="L288" s="14" t="str">
        <f>VLOOKUP(B288,[1]Companies!$A$1:$C$5243,1,FALSE)</f>
        <v>Flutterwave</v>
      </c>
      <c r="M288" s="15">
        <f t="shared" si="438"/>
        <v>0.9</v>
      </c>
      <c r="N288" s="10" t="str">
        <f t="shared" si="439"/>
        <v>42878Flutterwave50000</v>
      </c>
      <c r="O288" s="14" t="str">
        <f t="shared" si="440"/>
        <v/>
      </c>
      <c r="P288" s="14">
        <f t="shared" si="441"/>
        <v>1</v>
      </c>
      <c r="Q288" s="14">
        <f t="array" ref="Q288">IFERROR(INDEX([1]Companies!$D:$D,MATCH(B288,[1]Companies!$A:$A,0)),"")</f>
        <v>2016</v>
      </c>
      <c r="R288" s="17">
        <f t="shared" si="442"/>
        <v>20300000</v>
      </c>
      <c r="S288" s="14" t="e">
        <f>VLOOKUP(I288,[1]Lookups!$V$3:$Y$197,4,FALSE)</f>
        <v>#N/A</v>
      </c>
      <c r="T288" s="14" t="str">
        <f>VLOOKUP(E288,[1]Lookups!$H$3:$I$71,2,FALSE)</f>
        <v>1. Grant</v>
      </c>
      <c r="U288" s="14" t="str">
        <f>VLOOKUP(K288,[1]Lookups!$B$3:$C$142,2,FALSE)</f>
        <v>Financial Services</v>
      </c>
      <c r="V288" s="14">
        <f t="shared" si="396"/>
        <v>2017</v>
      </c>
      <c r="W288" s="14">
        <f t="shared" si="397"/>
        <v>5</v>
      </c>
      <c r="X288" s="14">
        <f>VLOOKUP(W288,[1]Lookups!$P$3:$S$15,2,FALSE)</f>
        <v>2</v>
      </c>
      <c r="Y288" s="16">
        <f>VLOOKUP(W288,[1]Lookups!$P$3:$U$15,3,FALSE)</f>
        <v>1</v>
      </c>
      <c r="Z288" s="16">
        <f t="shared" si="398"/>
        <v>1</v>
      </c>
      <c r="AA288" s="16" t="str">
        <f t="shared" ca="1" si="433"/>
        <v>LoftyInc Capital Management</v>
      </c>
      <c r="AB288" s="16">
        <f t="shared" si="433"/>
        <v>0</v>
      </c>
      <c r="AC288" s="16">
        <f t="shared" si="433"/>
        <v>0</v>
      </c>
      <c r="AD288" s="16">
        <f t="shared" si="433"/>
        <v>0</v>
      </c>
      <c r="AE288" s="16">
        <f t="shared" si="433"/>
        <v>0</v>
      </c>
      <c r="AF288" s="16">
        <f t="shared" si="433"/>
        <v>0</v>
      </c>
      <c r="AG288" s="16">
        <f t="shared" si="433"/>
        <v>0</v>
      </c>
      <c r="AH288" s="16">
        <f t="shared" si="433"/>
        <v>0</v>
      </c>
      <c r="AI288" s="16">
        <f t="shared" si="433"/>
        <v>0</v>
      </c>
      <c r="AJ288" s="16">
        <f t="shared" si="433"/>
        <v>0</v>
      </c>
      <c r="AK288" s="16">
        <f t="shared" si="433"/>
        <v>0</v>
      </c>
      <c r="AL288" s="16">
        <f t="shared" si="433"/>
        <v>0</v>
      </c>
      <c r="AM288" s="16">
        <f t="shared" si="433"/>
        <v>0</v>
      </c>
      <c r="AN288" s="16">
        <f t="shared" si="433"/>
        <v>0</v>
      </c>
      <c r="AO288" s="16">
        <f t="shared" si="433"/>
        <v>0</v>
      </c>
      <c r="AP288" s="10"/>
      <c r="AQ288" s="10"/>
      <c r="AR288" s="10"/>
      <c r="AS288" s="10" t="str">
        <f t="shared" ref="AS288" ca="1" si="446">IFERROR(__xludf.DUMMYFUNCTION("split(F283,"","",true,true)"),"LoftyInc Capital Management")</f>
        <v>LoftyInc Capital Management</v>
      </c>
      <c r="AT288" s="10"/>
      <c r="AU288" s="10"/>
      <c r="AV288" s="10"/>
      <c r="AW288" s="10"/>
      <c r="AX288" s="10"/>
      <c r="AY288" s="10"/>
      <c r="AZ288" s="10"/>
      <c r="BA288" s="10"/>
      <c r="BB288" s="10"/>
      <c r="BC288" s="10"/>
      <c r="BD288" s="10"/>
      <c r="BE288" s="10"/>
      <c r="BF288" s="10"/>
      <c r="BG288" s="10"/>
      <c r="BH288" s="10"/>
      <c r="BI288" s="10"/>
      <c r="BJ288" s="10"/>
      <c r="BK288" s="10"/>
      <c r="BM288" s="10"/>
    </row>
    <row r="289" spans="1:65" ht="12.75">
      <c r="A289" s="9">
        <v>42878</v>
      </c>
      <c r="B289" s="10" t="s">
        <v>166</v>
      </c>
      <c r="C289" s="11">
        <v>50000</v>
      </c>
      <c r="D289" s="12"/>
      <c r="E289" s="14" t="s">
        <v>55</v>
      </c>
      <c r="F289" s="10" t="s">
        <v>689</v>
      </c>
      <c r="G289" s="13" t="s">
        <v>691</v>
      </c>
      <c r="H289" s="14" t="str">
        <f t="array" ref="H289">IFERROR(INDEX([1]Companies!$G:$G,MATCH(B289,[1]Companies!$A:$A,0)),"")</f>
        <v>South Africa</v>
      </c>
      <c r="I289" s="14" t="str">
        <f t="shared" si="437"/>
        <v>South Africa</v>
      </c>
      <c r="J289" s="14" t="str">
        <f t="array" ref="J289">IFERROR(INDEX([1]Companies!$Y:$Y,MATCH(B289,[1]Companies!$A:$A,0)),"")</f>
        <v>Technology, Mobile Money, Big Data, Digital Financial Services, Mobile Financial Services, Financial Technology</v>
      </c>
      <c r="K289" s="14" t="str">
        <f t="array" ref="K289">IFERROR(INDEX([1]Companies!$X:$X,MATCH(B289,[1]Companies!$A:$A,0)),"")</f>
        <v>Financial Services</v>
      </c>
      <c r="L289" s="14" t="str">
        <f>VLOOKUP(B289,[1]Companies!$A$1:$C$5243,1,FALSE)</f>
        <v>Jumo</v>
      </c>
      <c r="M289" s="15">
        <f t="shared" si="438"/>
        <v>0.9</v>
      </c>
      <c r="N289" s="10" t="str">
        <f t="shared" si="439"/>
        <v>42878Jumo50000</v>
      </c>
      <c r="O289" s="14" t="str">
        <f t="shared" si="440"/>
        <v/>
      </c>
      <c r="P289" s="14">
        <f t="shared" si="441"/>
        <v>1</v>
      </c>
      <c r="Q289" s="14">
        <f t="array" ref="Q289">IFERROR(INDEX([1]Companies!$D:$D,MATCH(B289,[1]Companies!$A:$A,0)),"")</f>
        <v>2014</v>
      </c>
      <c r="R289" s="17">
        <f t="shared" si="442"/>
        <v>91700000</v>
      </c>
      <c r="S289" s="14">
        <f>VLOOKUP(I289,[1]Lookups!$V$3:$Y$197,4,FALSE)</f>
        <v>0</v>
      </c>
      <c r="T289" s="14" t="str">
        <f>VLOOKUP(E289,[1]Lookups!$H$3:$I$71,2,FALSE)</f>
        <v>1. Grant</v>
      </c>
      <c r="U289" s="14" t="str">
        <f>VLOOKUP(K289,[1]Lookups!$B$3:$C$142,2,FALSE)</f>
        <v>Financial Services</v>
      </c>
      <c r="V289" s="14">
        <f t="shared" si="396"/>
        <v>2017</v>
      </c>
      <c r="W289" s="14">
        <f t="shared" si="397"/>
        <v>5</v>
      </c>
      <c r="X289" s="14">
        <f>VLOOKUP(W289,[1]Lookups!$P$3:$S$15,2,FALSE)</f>
        <v>2</v>
      </c>
      <c r="Y289" s="16">
        <f>VLOOKUP(W289,[1]Lookups!$P$3:$U$15,3,FALSE)</f>
        <v>1</v>
      </c>
      <c r="Z289" s="16">
        <f t="shared" si="398"/>
        <v>1</v>
      </c>
      <c r="AA289" s="16" t="str">
        <f t="shared" ca="1" si="433"/>
        <v>LoftyInc Capital Management</v>
      </c>
      <c r="AB289" s="16">
        <f t="shared" si="433"/>
        <v>0</v>
      </c>
      <c r="AC289" s="16">
        <f t="shared" si="433"/>
        <v>0</v>
      </c>
      <c r="AD289" s="16">
        <f t="shared" si="433"/>
        <v>0</v>
      </c>
      <c r="AE289" s="16">
        <f t="shared" si="433"/>
        <v>0</v>
      </c>
      <c r="AF289" s="16">
        <f t="shared" si="433"/>
        <v>0</v>
      </c>
      <c r="AG289" s="16">
        <f t="shared" si="433"/>
        <v>0</v>
      </c>
      <c r="AH289" s="16">
        <f t="shared" si="433"/>
        <v>0</v>
      </c>
      <c r="AI289" s="16">
        <f t="shared" si="433"/>
        <v>0</v>
      </c>
      <c r="AJ289" s="16">
        <f t="shared" si="433"/>
        <v>0</v>
      </c>
      <c r="AK289" s="16">
        <f t="shared" si="433"/>
        <v>0</v>
      </c>
      <c r="AL289" s="16">
        <f t="shared" si="433"/>
        <v>0</v>
      </c>
      <c r="AM289" s="16">
        <f t="shared" si="433"/>
        <v>0</v>
      </c>
      <c r="AN289" s="16">
        <f t="shared" si="433"/>
        <v>0</v>
      </c>
      <c r="AO289" s="16">
        <f t="shared" si="433"/>
        <v>0</v>
      </c>
      <c r="AP289" s="10"/>
      <c r="AQ289" s="10"/>
      <c r="AR289" s="10"/>
      <c r="AS289" s="10" t="str">
        <f t="shared" ref="AS289" ca="1" si="447">IFERROR(__xludf.DUMMYFUNCTION("split(F283,"","",true,true)"),"LoftyInc Capital Management")</f>
        <v>LoftyInc Capital Management</v>
      </c>
      <c r="AT289" s="10"/>
      <c r="AU289" s="10"/>
      <c r="AV289" s="10"/>
      <c r="AW289" s="10"/>
      <c r="AX289" s="10"/>
      <c r="AY289" s="10"/>
      <c r="AZ289" s="10"/>
      <c r="BA289" s="10"/>
      <c r="BB289" s="10"/>
      <c r="BC289" s="10"/>
      <c r="BD289" s="10"/>
      <c r="BE289" s="10"/>
      <c r="BF289" s="10"/>
      <c r="BG289" s="10"/>
      <c r="BH289" s="10"/>
      <c r="BI289" s="10"/>
      <c r="BJ289" s="10"/>
      <c r="BK289" s="10"/>
      <c r="BM289" s="10"/>
    </row>
    <row r="290" spans="1:65" ht="12.75">
      <c r="A290" s="9">
        <v>42878</v>
      </c>
      <c r="B290" s="10" t="s">
        <v>399</v>
      </c>
      <c r="C290" s="11">
        <v>50000</v>
      </c>
      <c r="D290" s="12"/>
      <c r="E290" s="14" t="s">
        <v>55</v>
      </c>
      <c r="F290" s="10" t="s">
        <v>689</v>
      </c>
      <c r="G290" s="13" t="s">
        <v>692</v>
      </c>
      <c r="H290" s="14" t="str">
        <f t="array" ref="H290">IFERROR(INDEX([1]Companies!$G:$G,MATCH(B290,[1]Companies!$A:$A,0)),"")</f>
        <v>Kenya</v>
      </c>
      <c r="I290" s="14" t="str">
        <f t="shared" si="437"/>
        <v>Kenya</v>
      </c>
      <c r="J290" s="14" t="str">
        <f t="array" ref="J290">IFERROR(INDEX([1]Companies!$Y:$Y,MATCH(B290,[1]Companies!$A:$A,0)),"")</f>
        <v>mCommerce, Distribution, and Agriculture</v>
      </c>
      <c r="K290" s="14" t="str">
        <f t="array" ref="K290">IFERROR(INDEX([1]Companies!$X:$X,MATCH(B290,[1]Companies!$A:$A,0)),"")</f>
        <v>E-Commerce &amp; Retail</v>
      </c>
      <c r="L290" s="14" t="str">
        <f>VLOOKUP(B290,[1]Companies!$A$1:$C$5243,1,FALSE)</f>
        <v>Twiga Foods</v>
      </c>
      <c r="M290" s="15">
        <f t="shared" si="438"/>
        <v>0.9</v>
      </c>
      <c r="N290" s="10" t="str">
        <f t="shared" si="439"/>
        <v>42878Twiga Foods50000</v>
      </c>
      <c r="O290" s="14" t="str">
        <f t="shared" si="440"/>
        <v/>
      </c>
      <c r="P290" s="14">
        <f t="shared" si="441"/>
        <v>1</v>
      </c>
      <c r="Q290" s="14">
        <f t="array" ref="Q290">IFERROR(INDEX([1]Companies!$D:$D,MATCH(B290,[1]Companies!$A:$A,0)),"")</f>
        <v>2013</v>
      </c>
      <c r="R290" s="17">
        <f t="shared" si="442"/>
        <v>40350000</v>
      </c>
      <c r="S290" s="14">
        <f>VLOOKUP(I290,[1]Lookups!$V$3:$Y$197,4,FALSE)</f>
        <v>0</v>
      </c>
      <c r="T290" s="14" t="str">
        <f>VLOOKUP(E290,[1]Lookups!$H$3:$I$71,2,FALSE)</f>
        <v>1. Grant</v>
      </c>
      <c r="U290" s="14" t="str">
        <f>VLOOKUP(K290,[1]Lookups!$B$3:$C$142,2,FALSE)</f>
        <v>E-commerce &amp; Retail</v>
      </c>
      <c r="V290" s="14">
        <f t="shared" si="396"/>
        <v>2017</v>
      </c>
      <c r="W290" s="14">
        <f t="shared" si="397"/>
        <v>5</v>
      </c>
      <c r="X290" s="14">
        <f>VLOOKUP(W290,[1]Lookups!$P$3:$S$15,2,FALSE)</f>
        <v>2</v>
      </c>
      <c r="Y290" s="16">
        <f>VLOOKUP(W290,[1]Lookups!$P$3:$U$15,3,FALSE)</f>
        <v>1</v>
      </c>
      <c r="Z290" s="16">
        <f t="shared" si="398"/>
        <v>1</v>
      </c>
      <c r="AA290" s="16" t="str">
        <f t="shared" ca="1" si="433"/>
        <v>LoftyInc Capital Management</v>
      </c>
      <c r="AB290" s="16">
        <f t="shared" si="433"/>
        <v>0</v>
      </c>
      <c r="AC290" s="16">
        <f t="shared" si="433"/>
        <v>0</v>
      </c>
      <c r="AD290" s="16">
        <f t="shared" si="433"/>
        <v>0</v>
      </c>
      <c r="AE290" s="16">
        <f t="shared" si="433"/>
        <v>0</v>
      </c>
      <c r="AF290" s="16">
        <f t="shared" si="433"/>
        <v>0</v>
      </c>
      <c r="AG290" s="16">
        <f t="shared" si="433"/>
        <v>0</v>
      </c>
      <c r="AH290" s="16">
        <f t="shared" si="433"/>
        <v>0</v>
      </c>
      <c r="AI290" s="16">
        <f t="shared" si="433"/>
        <v>0</v>
      </c>
      <c r="AJ290" s="16">
        <f t="shared" si="433"/>
        <v>0</v>
      </c>
      <c r="AK290" s="16">
        <f t="shared" si="433"/>
        <v>0</v>
      </c>
      <c r="AL290" s="16">
        <f t="shared" si="433"/>
        <v>0</v>
      </c>
      <c r="AM290" s="16">
        <f t="shared" si="433"/>
        <v>0</v>
      </c>
      <c r="AN290" s="16">
        <f t="shared" si="433"/>
        <v>0</v>
      </c>
      <c r="AO290" s="16">
        <f t="shared" si="433"/>
        <v>0</v>
      </c>
      <c r="AP290" s="10"/>
      <c r="AQ290" s="10"/>
      <c r="AR290" s="10"/>
      <c r="AS290" s="10" t="str">
        <f t="shared" ref="AS290" ca="1" si="448">IFERROR(__xludf.DUMMYFUNCTION("split(F283,"","",true,true)"),"LoftyInc Capital Management")</f>
        <v>LoftyInc Capital Management</v>
      </c>
      <c r="AT290" s="10"/>
      <c r="AU290" s="10"/>
      <c r="AV290" s="10"/>
      <c r="AW290" s="10"/>
      <c r="AX290" s="10"/>
      <c r="AY290" s="10"/>
      <c r="AZ290" s="10"/>
      <c r="BA290" s="10"/>
      <c r="BB290" s="10"/>
      <c r="BC290" s="10"/>
      <c r="BD290" s="10"/>
      <c r="BE290" s="10"/>
      <c r="BF290" s="10"/>
      <c r="BG290" s="10"/>
      <c r="BH290" s="10"/>
      <c r="BI290" s="10"/>
      <c r="BJ290" s="10"/>
      <c r="BK290" s="10"/>
      <c r="BM290" s="10"/>
    </row>
    <row r="291" spans="1:65" ht="12.75">
      <c r="A291" s="9">
        <v>42887</v>
      </c>
      <c r="B291" s="10" t="s">
        <v>693</v>
      </c>
      <c r="C291" s="11">
        <v>50000</v>
      </c>
      <c r="D291" s="12"/>
      <c r="E291" s="10" t="s">
        <v>234</v>
      </c>
      <c r="F291" s="10" t="s">
        <v>49</v>
      </c>
      <c r="G291" s="13" t="s">
        <v>694</v>
      </c>
      <c r="H291" s="14" t="str">
        <f t="array" ref="H291">IFERROR(INDEX([1]Companies!$G:$G,MATCH(B291,[1]Companies!$A:$A,0)),"")</f>
        <v>Egypt</v>
      </c>
      <c r="I291" s="14" t="str">
        <f t="shared" si="437"/>
        <v>Egypt</v>
      </c>
      <c r="J291" s="14" t="str">
        <f t="array" ref="J291">IFERROR(INDEX([1]Companies!$Y:$Y,MATCH(B291,[1]Companies!$A:$A,0)),"")</f>
        <v>Tourism, Travel</v>
      </c>
      <c r="K291" s="14" t="str">
        <f t="array" ref="K291">IFERROR(INDEX([1]Companies!$X:$X,MATCH(B291,[1]Companies!$A:$A,0)),"")</f>
        <v>Travel &amp; Leisure</v>
      </c>
      <c r="L291" s="14" t="str">
        <f>VLOOKUP(B291,[1]Companies!$A$1:$C$5243,1,FALSE)</f>
        <v>Tripdizer</v>
      </c>
      <c r="M291" s="15">
        <f t="shared" si="438"/>
        <v>0.9</v>
      </c>
      <c r="N291" s="10" t="str">
        <f t="shared" si="439"/>
        <v>42887Tripdizer50000</v>
      </c>
      <c r="O291" s="14" t="str">
        <f t="shared" si="440"/>
        <v/>
      </c>
      <c r="P291" s="14">
        <f t="shared" si="441"/>
        <v>1</v>
      </c>
      <c r="Q291" s="14">
        <f t="array" ref="Q291">IFERROR(INDEX([1]Companies!$D:$D,MATCH(B291,[1]Companies!$A:$A,0)),"")</f>
        <v>2016</v>
      </c>
      <c r="R291" s="17">
        <f t="shared" si="442"/>
        <v>255000</v>
      </c>
      <c r="S291" s="14">
        <f>VLOOKUP(I291,[1]Lookups!$V$3:$Y$197,4,FALSE)</f>
        <v>0</v>
      </c>
      <c r="T291" s="14" t="str">
        <f>VLOOKUP(E291,[1]Lookups!$H$3:$I$71,2,FALSE)</f>
        <v>2. Seed</v>
      </c>
      <c r="U291" s="14" t="str">
        <f>VLOOKUP(K291,[1]Lookups!$B$3:$C$142,2,FALSE)</f>
        <v>Travel &amp; Leisure</v>
      </c>
      <c r="V291" s="14">
        <f t="shared" si="396"/>
        <v>2017</v>
      </c>
      <c r="W291" s="14">
        <f t="shared" si="397"/>
        <v>6</v>
      </c>
      <c r="X291" s="14">
        <f>VLOOKUP(W291,[1]Lookups!$P$3:$S$15,2,FALSE)</f>
        <v>2</v>
      </c>
      <c r="Y291" s="16">
        <f>VLOOKUP(W291,[1]Lookups!$P$3:$U$15,3,FALSE)</f>
        <v>1</v>
      </c>
      <c r="Z291" s="16">
        <f t="shared" si="398"/>
        <v>1</v>
      </c>
      <c r="AA291" s="16" t="str">
        <f t="shared" ca="1" si="433"/>
        <v>LoftyInc Capital Management</v>
      </c>
      <c r="AB291" s="16">
        <f t="shared" si="433"/>
        <v>0</v>
      </c>
      <c r="AC291" s="16">
        <f t="shared" si="433"/>
        <v>0</v>
      </c>
      <c r="AD291" s="16">
        <f t="shared" si="433"/>
        <v>0</v>
      </c>
      <c r="AE291" s="16">
        <f t="shared" si="433"/>
        <v>0</v>
      </c>
      <c r="AF291" s="16">
        <f t="shared" si="433"/>
        <v>0</v>
      </c>
      <c r="AG291" s="16">
        <f t="shared" si="433"/>
        <v>0</v>
      </c>
      <c r="AH291" s="16">
        <f t="shared" si="433"/>
        <v>0</v>
      </c>
      <c r="AI291" s="16">
        <f t="shared" si="433"/>
        <v>0</v>
      </c>
      <c r="AJ291" s="16">
        <f t="shared" si="433"/>
        <v>0</v>
      </c>
      <c r="AK291" s="16">
        <f t="shared" si="433"/>
        <v>0</v>
      </c>
      <c r="AL291" s="16">
        <f t="shared" si="433"/>
        <v>0</v>
      </c>
      <c r="AM291" s="16">
        <f t="shared" si="433"/>
        <v>0</v>
      </c>
      <c r="AN291" s="16">
        <f t="shared" si="433"/>
        <v>0</v>
      </c>
      <c r="AO291" s="16">
        <f t="shared" si="433"/>
        <v>0</v>
      </c>
      <c r="AP291" s="10"/>
      <c r="AQ291" s="10"/>
      <c r="AR291" s="10"/>
      <c r="AS291" s="10" t="str">
        <f t="shared" ref="AS291" ca="1" si="449">IFERROR(__xludf.DUMMYFUNCTION("split(F283,"","",true,true)"),"LoftyInc Capital Management")</f>
        <v>LoftyInc Capital Management</v>
      </c>
      <c r="AT291" s="10"/>
      <c r="AU291" s="10"/>
      <c r="AV291" s="10"/>
      <c r="AW291" s="10"/>
      <c r="AX291" s="10"/>
      <c r="AY291" s="10"/>
      <c r="AZ291" s="10"/>
      <c r="BA291" s="10"/>
      <c r="BB291" s="10"/>
      <c r="BC291" s="10"/>
      <c r="BD291" s="10"/>
      <c r="BE291" s="10"/>
      <c r="BF291" s="10"/>
      <c r="BG291" s="10"/>
      <c r="BH291" s="10"/>
      <c r="BI291" s="10"/>
      <c r="BJ291" s="10"/>
      <c r="BK291" s="10"/>
      <c r="BM291" s="10"/>
    </row>
    <row r="292" spans="1:65" ht="12.75">
      <c r="A292" s="9">
        <v>42890</v>
      </c>
      <c r="B292" s="10" t="s">
        <v>695</v>
      </c>
      <c r="C292" s="11">
        <v>3000</v>
      </c>
      <c r="D292" s="12"/>
      <c r="E292" s="10" t="s">
        <v>45</v>
      </c>
      <c r="F292" s="10" t="s">
        <v>696</v>
      </c>
      <c r="G292" s="13" t="s">
        <v>697</v>
      </c>
      <c r="H292" s="14" t="str">
        <f t="array" ref="H292">IFERROR(INDEX([1]Companies!$G:$G,MATCH(B292,[1]Companies!$A:$A,0)),"")</f>
        <v>Egypt</v>
      </c>
      <c r="I292" s="14" t="str">
        <f t="shared" si="437"/>
        <v>Egypt</v>
      </c>
      <c r="J292" s="14" t="str">
        <f t="array" ref="J292">IFERROR(INDEX([1]Companies!$Y:$Y,MATCH(B292,[1]Companies!$A:$A,0)),"")</f>
        <v>Presentation Software, Presentations, Productivity Tools, Social Media, Software</v>
      </c>
      <c r="K292" s="14" t="str">
        <f t="array" ref="K292">IFERROR(INDEX([1]Companies!$X:$X,MATCH(B292,[1]Companies!$A:$A,0)),"")</f>
        <v>Media &amp; Entertainment</v>
      </c>
      <c r="L292" s="14" t="str">
        <f>VLOOKUP(B292,[1]Companies!$A$1:$C$5243,1,FALSE)</f>
        <v>Imaginators</v>
      </c>
      <c r="M292" s="15">
        <f t="shared" si="438"/>
        <v>0.9</v>
      </c>
      <c r="N292" s="10" t="str">
        <f t="shared" si="439"/>
        <v>42890Imaginators3000</v>
      </c>
      <c r="O292" s="14" t="str">
        <f t="shared" si="440"/>
        <v/>
      </c>
      <c r="P292" s="14">
        <f t="shared" si="441"/>
        <v>1</v>
      </c>
      <c r="Q292" s="14">
        <f t="array" ref="Q292">IFERROR(INDEX([1]Companies!$D:$D,MATCH(B292,[1]Companies!$A:$A,0)),"")</f>
        <v>2016</v>
      </c>
      <c r="R292" s="17">
        <f t="shared" si="442"/>
        <v>7200</v>
      </c>
      <c r="S292" s="14">
        <f>VLOOKUP(I292,[1]Lookups!$V$3:$Y$197,4,FALSE)</f>
        <v>0</v>
      </c>
      <c r="T292" s="14" t="str">
        <f>VLOOKUP(E292,[1]Lookups!$H$3:$I$71,2,FALSE)</f>
        <v>2. Seed</v>
      </c>
      <c r="U292" s="14" t="str">
        <f>VLOOKUP(K292,[1]Lookups!$B$3:$C$142,2,FALSE)</f>
        <v>Media &amp; Entertainment</v>
      </c>
      <c r="V292" s="14">
        <f t="shared" si="396"/>
        <v>2017</v>
      </c>
      <c r="W292" s="14">
        <f t="shared" si="397"/>
        <v>6</v>
      </c>
      <c r="X292" s="14">
        <f>VLOOKUP(W292,[1]Lookups!$P$3:$S$15,2,FALSE)</f>
        <v>2</v>
      </c>
      <c r="Y292" s="16">
        <f>VLOOKUP(W292,[1]Lookups!$P$3:$U$15,3,FALSE)</f>
        <v>1</v>
      </c>
      <c r="Z292" s="16">
        <f t="shared" si="398"/>
        <v>1</v>
      </c>
      <c r="AA292" s="16" t="str">
        <f t="shared" ca="1" si="433"/>
        <v>LoftyInc Capital Management</v>
      </c>
      <c r="AB292" s="16">
        <f t="shared" si="433"/>
        <v>0</v>
      </c>
      <c r="AC292" s="16">
        <f t="shared" si="433"/>
        <v>0</v>
      </c>
      <c r="AD292" s="16">
        <f t="shared" si="433"/>
        <v>0</v>
      </c>
      <c r="AE292" s="16">
        <f t="shared" si="433"/>
        <v>0</v>
      </c>
      <c r="AF292" s="16">
        <f t="shared" si="433"/>
        <v>0</v>
      </c>
      <c r="AG292" s="16">
        <f t="shared" si="433"/>
        <v>0</v>
      </c>
      <c r="AH292" s="16">
        <f t="shared" si="433"/>
        <v>0</v>
      </c>
      <c r="AI292" s="16">
        <f t="shared" si="433"/>
        <v>0</v>
      </c>
      <c r="AJ292" s="16">
        <f t="shared" si="433"/>
        <v>0</v>
      </c>
      <c r="AK292" s="16">
        <f t="shared" si="433"/>
        <v>0</v>
      </c>
      <c r="AL292" s="16">
        <f t="shared" si="433"/>
        <v>0</v>
      </c>
      <c r="AM292" s="16">
        <f t="shared" si="433"/>
        <v>0</v>
      </c>
      <c r="AN292" s="16">
        <f t="shared" si="433"/>
        <v>0</v>
      </c>
      <c r="AO292" s="16">
        <f t="shared" si="433"/>
        <v>0</v>
      </c>
      <c r="AP292" s="10"/>
      <c r="AQ292" s="10"/>
      <c r="AR292" s="10"/>
      <c r="AS292" s="10" t="str">
        <f t="shared" ref="AS292" ca="1" si="450">IFERROR(__xludf.DUMMYFUNCTION("split(F283,"","",true,true)"),"LoftyInc Capital Management")</f>
        <v>LoftyInc Capital Management</v>
      </c>
      <c r="AT292" s="10"/>
      <c r="AU292" s="10"/>
      <c r="AV292" s="10"/>
      <c r="AW292" s="10"/>
      <c r="AX292" s="10"/>
      <c r="AY292" s="10"/>
      <c r="AZ292" s="10"/>
      <c r="BA292" s="10"/>
      <c r="BB292" s="10"/>
      <c r="BC292" s="10"/>
      <c r="BD292" s="10"/>
      <c r="BE292" s="10"/>
      <c r="BF292" s="10"/>
      <c r="BG292" s="10"/>
      <c r="BH292" s="10"/>
      <c r="BI292" s="10"/>
      <c r="BJ292" s="10"/>
      <c r="BK292" s="10"/>
      <c r="BM292" s="10"/>
    </row>
    <row r="293" spans="1:65" ht="12.75">
      <c r="A293" s="9">
        <v>42892</v>
      </c>
      <c r="B293" s="10" t="s">
        <v>629</v>
      </c>
      <c r="C293" s="11">
        <v>3000000</v>
      </c>
      <c r="D293" s="12"/>
      <c r="E293" s="10" t="s">
        <v>45</v>
      </c>
      <c r="F293" s="10" t="s">
        <v>698</v>
      </c>
      <c r="G293" s="13" t="s">
        <v>699</v>
      </c>
      <c r="H293" s="14" t="str">
        <f t="array" ref="H293">IFERROR(INDEX([1]Companies!$G:$G,MATCH(B293,[1]Companies!$A:$A,0)),"")</f>
        <v>Morocco</v>
      </c>
      <c r="I293" s="14" t="str">
        <f t="shared" si="437"/>
        <v>Morocco</v>
      </c>
      <c r="J293" s="14" t="str">
        <f t="array" ref="J293">IFERROR(INDEX([1]Companies!$Y:$Y,MATCH(B293,[1]Companies!$A:$A,0)),"")</f>
        <v>B2B, E-Commerce, E-Commerce Platforms</v>
      </c>
      <c r="K293" s="14" t="str">
        <f t="array" ref="K293">IFERROR(INDEX([1]Companies!$X:$X,MATCH(B293,[1]Companies!$A:$A,0)),"")</f>
        <v>E-Commerce &amp; Retail</v>
      </c>
      <c r="L293" s="14" t="str">
        <f>VLOOKUP(B293,[1]Companies!$A$1:$C$5243,1,FALSE)</f>
        <v>WaystoCap</v>
      </c>
      <c r="M293" s="15">
        <f t="shared" si="438"/>
        <v>0.9</v>
      </c>
      <c r="N293" s="10" t="str">
        <f t="shared" si="439"/>
        <v>42892WaystoCap3000000</v>
      </c>
      <c r="O293" s="14" t="str">
        <f t="shared" si="440"/>
        <v/>
      </c>
      <c r="P293" s="14">
        <f t="shared" si="441"/>
        <v>1</v>
      </c>
      <c r="Q293" s="14">
        <f t="array" ref="Q293">IFERROR(INDEX([1]Companies!$D:$D,MATCH(B293,[1]Companies!$A:$A,0)),"")</f>
        <v>2014</v>
      </c>
      <c r="R293" s="17">
        <f t="shared" si="442"/>
        <v>3120000</v>
      </c>
      <c r="S293" s="14">
        <f>VLOOKUP(I293,[1]Lookups!$V$3:$Y$197,4,FALSE)</f>
        <v>0</v>
      </c>
      <c r="T293" s="14" t="str">
        <f>VLOOKUP(E293,[1]Lookups!$H$3:$I$71,2,FALSE)</f>
        <v>2. Seed</v>
      </c>
      <c r="U293" s="14" t="str">
        <f>VLOOKUP(K293,[1]Lookups!$B$3:$C$142,2,FALSE)</f>
        <v>E-commerce &amp; Retail</v>
      </c>
      <c r="V293" s="14">
        <f t="shared" si="396"/>
        <v>2017</v>
      </c>
      <c r="W293" s="14">
        <f t="shared" si="397"/>
        <v>6</v>
      </c>
      <c r="X293" s="14">
        <f>VLOOKUP(W293,[1]Lookups!$P$3:$S$15,2,FALSE)</f>
        <v>2</v>
      </c>
      <c r="Y293" s="16">
        <f>VLOOKUP(W293,[1]Lookups!$P$3:$U$15,3,FALSE)</f>
        <v>1</v>
      </c>
      <c r="Z293" s="16">
        <f t="shared" si="398"/>
        <v>12</v>
      </c>
      <c r="AA293" s="16" t="str">
        <f t="shared" ca="1" si="433"/>
        <v>LoftyInc Capital Management</v>
      </c>
      <c r="AB293" s="16" t="str">
        <f t="shared" ca="1" si="433"/>
        <v xml:space="preserve"> Soma Capital</v>
      </c>
      <c r="AC293" s="16" t="str">
        <f t="shared" ca="1" si="433"/>
        <v xml:space="preserve"> Pascal Levy-Garboua</v>
      </c>
      <c r="AD293" s="16" t="str">
        <f t="shared" ca="1" si="433"/>
        <v xml:space="preserve"> Palm Drive Capital</v>
      </c>
      <c r="AE293" s="16" t="str">
        <f t="shared" ca="1" si="433"/>
        <v xml:space="preserve"> Neon Capital</v>
      </c>
      <c r="AF293" s="16" t="str">
        <f t="shared" ca="1" si="433"/>
        <v xml:space="preserve"> Michael Seibel</v>
      </c>
      <c r="AG293" s="16" t="str">
        <f t="shared" ca="1" si="433"/>
        <v xml:space="preserve"> Lynett Capital</v>
      </c>
      <c r="AH293" s="16" t="str">
        <f t="shared" ca="1" si="433"/>
        <v xml:space="preserve"> Jude Gomil</v>
      </c>
      <c r="AI293" s="16" t="str">
        <f t="shared" ca="1" si="433"/>
        <v xml:space="preserve"> Endure Capital</v>
      </c>
      <c r="AJ293" s="16" t="str">
        <f t="shared" ca="1" si="433"/>
        <v xml:space="preserve"> Battery Ventures</v>
      </c>
      <c r="AK293" s="16" t="str">
        <f t="shared" ca="1" si="433"/>
        <v xml:space="preserve"> Amino Capital</v>
      </c>
      <c r="AL293" s="16" t="str">
        <f t="shared" ca="1" si="433"/>
        <v xml:space="preserve"> 4DX</v>
      </c>
      <c r="AM293" s="16">
        <f t="shared" si="433"/>
        <v>0</v>
      </c>
      <c r="AN293" s="16">
        <f t="shared" si="433"/>
        <v>0</v>
      </c>
      <c r="AO293" s="16">
        <f t="shared" si="433"/>
        <v>0</v>
      </c>
      <c r="AP293" s="10"/>
      <c r="AQ293" s="10"/>
      <c r="AR293" s="10"/>
      <c r="AS293" s="10" t="str">
        <f t="shared" ref="AS293" ca="1" si="451">IFERROR(__xludf.DUMMYFUNCTION("split(F283,"","",true,true)"),"LoftyInc Capital Management")</f>
        <v>LoftyInc Capital Management</v>
      </c>
      <c r="AT293" s="10" t="str">
        <f ca="1">IFERROR(__xludf.DUMMYFUNCTION("""COMPUTED_VALUE""")," Soma Capital")</f>
        <v xml:space="preserve"> Soma Capital</v>
      </c>
      <c r="AU293" s="10" t="str">
        <f ca="1">IFERROR(__xludf.DUMMYFUNCTION("""COMPUTED_VALUE""")," Pascal Levy-Garboua")</f>
        <v xml:space="preserve"> Pascal Levy-Garboua</v>
      </c>
      <c r="AV293" s="10" t="str">
        <f ca="1">IFERROR(__xludf.DUMMYFUNCTION("""COMPUTED_VALUE""")," Palm Drive Capital")</f>
        <v xml:space="preserve"> Palm Drive Capital</v>
      </c>
      <c r="AW293" s="10" t="str">
        <f ca="1">IFERROR(__xludf.DUMMYFUNCTION("""COMPUTED_VALUE""")," Neon Capital")</f>
        <v xml:space="preserve"> Neon Capital</v>
      </c>
      <c r="AX293" s="10" t="str">
        <f ca="1">IFERROR(__xludf.DUMMYFUNCTION("""COMPUTED_VALUE""")," Michael Seibel")</f>
        <v xml:space="preserve"> Michael Seibel</v>
      </c>
      <c r="AY293" s="10" t="str">
        <f ca="1">IFERROR(__xludf.DUMMYFUNCTION("""COMPUTED_VALUE""")," Lynett Capital")</f>
        <v xml:space="preserve"> Lynett Capital</v>
      </c>
      <c r="AZ293" s="10" t="str">
        <f ca="1">IFERROR(__xludf.DUMMYFUNCTION("""COMPUTED_VALUE""")," Jude Gomil")</f>
        <v xml:space="preserve"> Jude Gomil</v>
      </c>
      <c r="BA293" s="10" t="str">
        <f ca="1">IFERROR(__xludf.DUMMYFUNCTION("""COMPUTED_VALUE""")," Endure Capital")</f>
        <v xml:space="preserve"> Endure Capital</v>
      </c>
      <c r="BB293" s="10" t="str">
        <f ca="1">IFERROR(__xludf.DUMMYFUNCTION("""COMPUTED_VALUE""")," Battery Ventures")</f>
        <v xml:space="preserve"> Battery Ventures</v>
      </c>
      <c r="BC293" s="10" t="str">
        <f ca="1">IFERROR(__xludf.DUMMYFUNCTION("""COMPUTED_VALUE""")," Amino Capital")</f>
        <v xml:space="preserve"> Amino Capital</v>
      </c>
      <c r="BD293" s="10" t="str">
        <f ca="1">IFERROR(__xludf.DUMMYFUNCTION("""COMPUTED_VALUE""")," 4DX")</f>
        <v xml:space="preserve"> 4DX</v>
      </c>
      <c r="BE293" s="10"/>
      <c r="BF293" s="10"/>
      <c r="BG293" s="10"/>
      <c r="BH293" s="10"/>
      <c r="BI293" s="10"/>
      <c r="BJ293" s="10"/>
      <c r="BK293" s="10"/>
      <c r="BM293" s="10"/>
    </row>
    <row r="294" spans="1:65" ht="12.75">
      <c r="A294" s="18">
        <v>42894</v>
      </c>
      <c r="B294" s="14" t="s">
        <v>700</v>
      </c>
      <c r="C294" s="19" t="s">
        <v>49</v>
      </c>
      <c r="D294" s="22"/>
      <c r="E294" s="14" t="s">
        <v>45</v>
      </c>
      <c r="F294" s="14" t="s">
        <v>49</v>
      </c>
      <c r="G294" s="21" t="s">
        <v>701</v>
      </c>
      <c r="H294" s="14" t="str">
        <f t="array" ref="H294">IFERROR(INDEX([1]Companies!$G:$G,MATCH(B294,[1]Companies!$A:$A,0)),"")</f>
        <v>Kenya</v>
      </c>
      <c r="I294" s="14" t="str">
        <f t="shared" si="437"/>
        <v>Kenya</v>
      </c>
      <c r="J294" s="14" t="str">
        <f t="array" ref="J294">IFERROR(INDEX([1]Companies!$Y:$Y,MATCH(B294,[1]Companies!$A:$A,0)),"")</f>
        <v>Financial Services, FinTech, Information Technology</v>
      </c>
      <c r="K294" s="14" t="str">
        <f t="array" ref="K294">IFERROR(INDEX([1]Companies!$X:$X,MATCH(B294,[1]Companies!$A:$A,0)),"")</f>
        <v>Financial Services</v>
      </c>
      <c r="L294" s="14" t="str">
        <f>VLOOKUP(B294,[1]Companies!$A$1:$C$5243,1,FALSE)</f>
        <v>Once Sync Limited</v>
      </c>
      <c r="M294" s="15">
        <f t="shared" si="438"/>
        <v>0.9</v>
      </c>
      <c r="N294" s="10" t="str">
        <f t="shared" si="439"/>
        <v>42894Once Sync LimitedUndisclosed</v>
      </c>
      <c r="O294" s="14" t="str">
        <f t="shared" si="440"/>
        <v/>
      </c>
      <c r="P294" s="14">
        <f t="shared" si="441"/>
        <v>0</v>
      </c>
      <c r="Q294" s="14">
        <f t="array" ref="Q294">IFERROR(INDEX([1]Companies!$D:$D,MATCH(B294,[1]Companies!$A:$A,0)),"")</f>
        <v>2015</v>
      </c>
      <c r="R294" s="17">
        <f t="shared" si="442"/>
        <v>0</v>
      </c>
      <c r="S294" s="14">
        <f>VLOOKUP(I294,[1]Lookups!$V$3:$Y$197,4,FALSE)</f>
        <v>0</v>
      </c>
      <c r="T294" s="14" t="str">
        <f>VLOOKUP(E294,[1]Lookups!$H$3:$I$71,2,FALSE)</f>
        <v>2. Seed</v>
      </c>
      <c r="U294" s="14" t="str">
        <f>VLOOKUP(K294,[1]Lookups!$B$3:$C$142,2,FALSE)</f>
        <v>Financial Services</v>
      </c>
      <c r="V294" s="14">
        <f t="shared" si="396"/>
        <v>2017</v>
      </c>
      <c r="W294" s="14">
        <f t="shared" si="397"/>
        <v>6</v>
      </c>
      <c r="X294" s="14">
        <f>VLOOKUP(W294,[1]Lookups!$P$3:$S$15,2,FALSE)</f>
        <v>2</v>
      </c>
      <c r="Y294" s="16">
        <f>VLOOKUP(W294,[1]Lookups!$P$3:$U$15,3,FALSE)</f>
        <v>1</v>
      </c>
      <c r="Z294" s="16">
        <f t="shared" si="398"/>
        <v>1</v>
      </c>
      <c r="AA294" s="16" t="str">
        <f t="shared" ca="1" si="433"/>
        <v>LoftyInc Capital Management</v>
      </c>
      <c r="AB294" s="16">
        <f t="shared" si="433"/>
        <v>0</v>
      </c>
      <c r="AC294" s="16">
        <f t="shared" si="433"/>
        <v>0</v>
      </c>
      <c r="AD294" s="16">
        <f t="shared" si="433"/>
        <v>0</v>
      </c>
      <c r="AE294" s="16">
        <f t="shared" si="433"/>
        <v>0</v>
      </c>
      <c r="AF294" s="16">
        <f t="shared" si="433"/>
        <v>0</v>
      </c>
      <c r="AG294" s="16">
        <f t="shared" si="433"/>
        <v>0</v>
      </c>
      <c r="AH294" s="16">
        <f t="shared" si="433"/>
        <v>0</v>
      </c>
      <c r="AI294" s="16">
        <f t="shared" si="433"/>
        <v>0</v>
      </c>
      <c r="AJ294" s="16">
        <f t="shared" si="433"/>
        <v>0</v>
      </c>
      <c r="AK294" s="16">
        <f t="shared" si="433"/>
        <v>0</v>
      </c>
      <c r="AL294" s="16">
        <f t="shared" si="433"/>
        <v>0</v>
      </c>
      <c r="AM294" s="16">
        <f t="shared" si="433"/>
        <v>0</v>
      </c>
      <c r="AN294" s="16">
        <f t="shared" si="433"/>
        <v>0</v>
      </c>
      <c r="AO294" s="16">
        <f t="shared" si="433"/>
        <v>0</v>
      </c>
      <c r="AP294" s="10"/>
      <c r="AQ294" s="10"/>
      <c r="AR294" s="10"/>
      <c r="AS294" s="10" t="str">
        <f t="shared" ref="AS294" ca="1" si="452">IFERROR(__xludf.DUMMYFUNCTION("split(F283,"","",true,true)"),"LoftyInc Capital Management")</f>
        <v>LoftyInc Capital Management</v>
      </c>
      <c r="AT294" s="10"/>
      <c r="AU294" s="10"/>
      <c r="AV294" s="10"/>
      <c r="AW294" s="10"/>
      <c r="AX294" s="10"/>
      <c r="AY294" s="10"/>
      <c r="AZ294" s="10"/>
      <c r="BA294" s="10"/>
      <c r="BB294" s="10"/>
      <c r="BC294" s="10"/>
      <c r="BD294" s="10"/>
      <c r="BE294" s="10"/>
      <c r="BF294" s="10"/>
      <c r="BG294" s="10"/>
      <c r="BH294" s="10"/>
      <c r="BI294" s="10"/>
      <c r="BJ294" s="10"/>
      <c r="BK294" s="10"/>
      <c r="BM294" s="10"/>
    </row>
    <row r="295" spans="1:65" ht="12.75">
      <c r="A295" s="18">
        <v>42898</v>
      </c>
      <c r="B295" s="14" t="s">
        <v>702</v>
      </c>
      <c r="C295" s="19" t="s">
        <v>49</v>
      </c>
      <c r="D295" s="19"/>
      <c r="E295" s="14" t="s">
        <v>55</v>
      </c>
      <c r="F295" s="14" t="s">
        <v>49</v>
      </c>
      <c r="G295" s="21" t="s">
        <v>703</v>
      </c>
      <c r="H295" s="14" t="str">
        <f t="array" ref="H295">IFERROR(INDEX([1]Companies!$G:$G,MATCH(B295,[1]Companies!$A:$A,0)),"")</f>
        <v>Nigeria</v>
      </c>
      <c r="I295" s="14" t="str">
        <f t="shared" si="437"/>
        <v>Nigeria</v>
      </c>
      <c r="J295" s="14" t="str">
        <f t="array" ref="J295">IFERROR(INDEX([1]Companies!$Y:$Y,MATCH(B295,[1]Companies!$A:$A,0)),"")</f>
        <v>Parenting, Child Care, Fitness, Health Care, Wellness</v>
      </c>
      <c r="K295" s="14" t="str">
        <f t="array" ref="K295">IFERROR(INDEX([1]Companies!$X:$X,MATCH(B295,[1]Companies!$A:$A,0)),"")</f>
        <v>Social Network</v>
      </c>
      <c r="L295" s="14" t="str">
        <f>VLOOKUP(B295,[1]Companies!$A$1:$C$5243,1,FALSE)</f>
        <v>Babymigo</v>
      </c>
      <c r="M295" s="15">
        <f t="shared" si="438"/>
        <v>0.9</v>
      </c>
      <c r="N295" s="10" t="str">
        <f t="shared" si="439"/>
        <v>42898BabymigoUndisclosed</v>
      </c>
      <c r="O295" s="14" t="str">
        <f t="shared" si="440"/>
        <v/>
      </c>
      <c r="P295" s="14">
        <f t="shared" si="441"/>
        <v>0</v>
      </c>
      <c r="Q295" s="14">
        <f t="array" ref="Q295">IFERROR(INDEX([1]Companies!$D:$D,MATCH(B295,[1]Companies!$A:$A,0)),"")</f>
        <v>2017</v>
      </c>
      <c r="R295" s="17">
        <f t="shared" si="442"/>
        <v>0</v>
      </c>
      <c r="S295" s="14">
        <f>VLOOKUP(I295,[1]Lookups!$V$3:$Y$197,4,FALSE)</f>
        <v>0</v>
      </c>
      <c r="T295" s="14" t="str">
        <f>VLOOKUP(E295,[1]Lookups!$H$3:$I$71,2,FALSE)</f>
        <v>1. Grant</v>
      </c>
      <c r="U295" s="14" t="str">
        <f>VLOOKUP(K295,[1]Lookups!$B$3:$C$142,2,FALSE)</f>
        <v>Media &amp; Entertainment</v>
      </c>
      <c r="V295" s="14">
        <f t="shared" si="396"/>
        <v>2017</v>
      </c>
      <c r="W295" s="14">
        <f t="shared" si="397"/>
        <v>6</v>
      </c>
      <c r="X295" s="14">
        <f>VLOOKUP(W295,[1]Lookups!$P$3:$S$15,2,FALSE)</f>
        <v>2</v>
      </c>
      <c r="Y295" s="16">
        <f>VLOOKUP(W295,[1]Lookups!$P$3:$U$15,3,FALSE)</f>
        <v>1</v>
      </c>
      <c r="Z295" s="16">
        <f t="shared" si="398"/>
        <v>1</v>
      </c>
      <c r="AA295" s="16" t="str">
        <f t="shared" ca="1" si="433"/>
        <v>LoftyInc Capital Management</v>
      </c>
      <c r="AB295" s="16">
        <f t="shared" si="433"/>
        <v>0</v>
      </c>
      <c r="AC295" s="16">
        <f t="shared" si="433"/>
        <v>0</v>
      </c>
      <c r="AD295" s="16">
        <f t="shared" si="433"/>
        <v>0</v>
      </c>
      <c r="AE295" s="16">
        <f t="shared" si="433"/>
        <v>0</v>
      </c>
      <c r="AF295" s="16">
        <f t="shared" si="433"/>
        <v>0</v>
      </c>
      <c r="AG295" s="16">
        <f t="shared" si="433"/>
        <v>0</v>
      </c>
      <c r="AH295" s="16">
        <f t="shared" si="433"/>
        <v>0</v>
      </c>
      <c r="AI295" s="16">
        <f t="shared" si="433"/>
        <v>0</v>
      </c>
      <c r="AJ295" s="16">
        <f t="shared" si="433"/>
        <v>0</v>
      </c>
      <c r="AK295" s="16">
        <f t="shared" si="433"/>
        <v>0</v>
      </c>
      <c r="AL295" s="16">
        <f t="shared" si="433"/>
        <v>0</v>
      </c>
      <c r="AM295" s="16">
        <f t="shared" si="433"/>
        <v>0</v>
      </c>
      <c r="AN295" s="16">
        <f t="shared" si="433"/>
        <v>0</v>
      </c>
      <c r="AO295" s="16">
        <f t="shared" si="433"/>
        <v>0</v>
      </c>
      <c r="AP295" s="10"/>
      <c r="AQ295" s="10"/>
      <c r="AR295" s="10"/>
      <c r="AS295" s="10" t="str">
        <f t="shared" ref="AS295" ca="1" si="453">IFERROR(__xludf.DUMMYFUNCTION("split(F283,"","",true,true)"),"LoftyInc Capital Management")</f>
        <v>LoftyInc Capital Management</v>
      </c>
      <c r="AT295" s="10"/>
      <c r="AU295" s="10"/>
      <c r="AV295" s="10"/>
      <c r="AW295" s="10"/>
      <c r="AX295" s="10"/>
      <c r="AY295" s="10"/>
      <c r="AZ295" s="10"/>
      <c r="BA295" s="10"/>
      <c r="BB295" s="10"/>
      <c r="BC295" s="10"/>
      <c r="BD295" s="10"/>
      <c r="BE295" s="10"/>
      <c r="BF295" s="10"/>
      <c r="BG295" s="10"/>
      <c r="BH295" s="10"/>
      <c r="BI295" s="10"/>
      <c r="BJ295" s="10"/>
      <c r="BK295" s="10"/>
      <c r="BM295" s="10"/>
    </row>
    <row r="296" spans="1:65" ht="12.75">
      <c r="A296" s="9">
        <v>42902</v>
      </c>
      <c r="B296" s="10" t="s">
        <v>372</v>
      </c>
      <c r="C296" s="11" t="s">
        <v>49</v>
      </c>
      <c r="D296" s="12"/>
      <c r="E296" s="14" t="s">
        <v>55</v>
      </c>
      <c r="F296" s="10" t="s">
        <v>704</v>
      </c>
      <c r="G296" s="13" t="s">
        <v>705</v>
      </c>
      <c r="H296" s="14" t="str">
        <f t="array" ref="H296">IFERROR(INDEX([1]Companies!$G:$G,MATCH(B296,[1]Companies!$A:$A,0)),"")</f>
        <v>Kenya</v>
      </c>
      <c r="I296" s="14" t="str">
        <f t="shared" si="437"/>
        <v>Kenya</v>
      </c>
      <c r="J296" s="14" t="str">
        <f t="array" ref="J296">IFERROR(INDEX([1]Companies!$Y:$Y,MATCH(B296,[1]Companies!$A:$A,0)),"")</f>
        <v>Clean Energy, Oil and Gas</v>
      </c>
      <c r="K296" s="14" t="str">
        <f t="array" ref="K296">IFERROR(INDEX([1]Companies!$X:$X,MATCH(B296,[1]Companies!$A:$A,0)),"")</f>
        <v>Energy &amp; Environment Resources</v>
      </c>
      <c r="L296" s="14" t="str">
        <f>VLOOKUP(B296,[1]Companies!$A$1:$C$5243,1,FALSE)</f>
        <v>PayGo Energy</v>
      </c>
      <c r="M296" s="15">
        <f t="shared" si="438"/>
        <v>0.9</v>
      </c>
      <c r="N296" s="10" t="str">
        <f t="shared" si="439"/>
        <v>42902PayGo EnergyUndisclosed</v>
      </c>
      <c r="O296" s="14" t="str">
        <f t="shared" si="440"/>
        <v/>
      </c>
      <c r="P296" s="14">
        <f t="shared" si="441"/>
        <v>0</v>
      </c>
      <c r="Q296" s="14">
        <f t="array" ref="Q296">IFERROR(INDEX([1]Companies!$D:$D,MATCH(B296,[1]Companies!$A:$A,0)),"")</f>
        <v>2014</v>
      </c>
      <c r="R296" s="17">
        <f t="shared" si="442"/>
        <v>4900000</v>
      </c>
      <c r="S296" s="14">
        <f>VLOOKUP(I296,[1]Lookups!$V$3:$Y$197,4,FALSE)</f>
        <v>0</v>
      </c>
      <c r="T296" s="14" t="str">
        <f>VLOOKUP(E296,[1]Lookups!$H$3:$I$71,2,FALSE)</f>
        <v>1. Grant</v>
      </c>
      <c r="U296" s="14" t="e">
        <f>VLOOKUP(K296,[1]Lookups!$B$3:$C$142,2,FALSE)</f>
        <v>#N/A</v>
      </c>
      <c r="V296" s="14">
        <f t="shared" si="396"/>
        <v>2017</v>
      </c>
      <c r="W296" s="14">
        <f t="shared" si="397"/>
        <v>6</v>
      </c>
      <c r="X296" s="14">
        <f>VLOOKUP(W296,[1]Lookups!$P$3:$S$15,2,FALSE)</f>
        <v>2</v>
      </c>
      <c r="Y296" s="16">
        <f>VLOOKUP(W296,[1]Lookups!$P$3:$U$15,3,FALSE)</f>
        <v>1</v>
      </c>
      <c r="Z296" s="16">
        <f t="shared" si="398"/>
        <v>1</v>
      </c>
      <c r="AA296" s="16" t="str">
        <f t="shared" ref="AA296:AO311" ca="1" si="454">AS296</f>
        <v>LoftyInc Capital Management</v>
      </c>
      <c r="AB296" s="16">
        <f t="shared" si="454"/>
        <v>0</v>
      </c>
      <c r="AC296" s="16">
        <f t="shared" si="454"/>
        <v>0</v>
      </c>
      <c r="AD296" s="16">
        <f t="shared" si="454"/>
        <v>0</v>
      </c>
      <c r="AE296" s="16">
        <f t="shared" si="454"/>
        <v>0</v>
      </c>
      <c r="AF296" s="16">
        <f t="shared" si="454"/>
        <v>0</v>
      </c>
      <c r="AG296" s="16">
        <f t="shared" si="454"/>
        <v>0</v>
      </c>
      <c r="AH296" s="16">
        <f t="shared" si="454"/>
        <v>0</v>
      </c>
      <c r="AI296" s="16">
        <f t="shared" si="454"/>
        <v>0</v>
      </c>
      <c r="AJ296" s="16">
        <f t="shared" si="454"/>
        <v>0</v>
      </c>
      <c r="AK296" s="16">
        <f t="shared" si="454"/>
        <v>0</v>
      </c>
      <c r="AL296" s="16">
        <f t="shared" si="454"/>
        <v>0</v>
      </c>
      <c r="AM296" s="16">
        <f t="shared" si="454"/>
        <v>0</v>
      </c>
      <c r="AN296" s="16">
        <f t="shared" si="454"/>
        <v>0</v>
      </c>
      <c r="AO296" s="16">
        <f t="shared" si="454"/>
        <v>0</v>
      </c>
      <c r="AP296" s="10"/>
      <c r="AQ296" s="10"/>
      <c r="AR296" s="10"/>
      <c r="AS296" s="10" t="str">
        <f t="shared" ref="AS296" ca="1" si="455">IFERROR(__xludf.DUMMYFUNCTION("split(F283,"","",true,true)"),"LoftyInc Capital Management")</f>
        <v>LoftyInc Capital Management</v>
      </c>
      <c r="AT296" s="10"/>
      <c r="AU296" s="10"/>
      <c r="AV296" s="10"/>
      <c r="AW296" s="10"/>
      <c r="AX296" s="10"/>
      <c r="AY296" s="10"/>
      <c r="AZ296" s="10"/>
      <c r="BA296" s="10"/>
      <c r="BB296" s="10"/>
      <c r="BC296" s="10"/>
      <c r="BD296" s="10"/>
      <c r="BE296" s="10"/>
      <c r="BF296" s="10"/>
      <c r="BG296" s="10"/>
      <c r="BH296" s="10"/>
      <c r="BI296" s="10"/>
      <c r="BJ296" s="10"/>
      <c r="BK296" s="10"/>
      <c r="BM296" s="10"/>
    </row>
    <row r="297" spans="1:65" ht="12.75">
      <c r="A297" s="9">
        <v>42902</v>
      </c>
      <c r="B297" s="10" t="s">
        <v>706</v>
      </c>
      <c r="C297" s="11" t="s">
        <v>49</v>
      </c>
      <c r="D297" s="12"/>
      <c r="E297" s="14" t="s">
        <v>55</v>
      </c>
      <c r="F297" s="10" t="s">
        <v>704</v>
      </c>
      <c r="G297" s="13" t="s">
        <v>707</v>
      </c>
      <c r="H297" s="14" t="str">
        <f t="array" ref="H297">IFERROR(INDEX([1]Companies!$G:$G,MATCH(B297,[1]Companies!$A:$A,0)),"")</f>
        <v>Kenya</v>
      </c>
      <c r="I297" s="14" t="str">
        <f t="shared" si="437"/>
        <v>Kenya</v>
      </c>
      <c r="J297" s="14" t="str">
        <f t="array" ref="J297">IFERROR(INDEX([1]Companies!$Y:$Y,MATCH(B297,[1]Companies!$A:$A,0)),"")</f>
        <v>FinTech, Information Services, Information Technology, Telecommunications</v>
      </c>
      <c r="K297" s="14" t="str">
        <f t="array" ref="K297">IFERROR(INDEX([1]Companies!$X:$X,MATCH(B297,[1]Companies!$A:$A,0)),"")</f>
        <v>Financial Services</v>
      </c>
      <c r="L297" s="14" t="str">
        <f>VLOOKUP(B297,[1]Companies!$A$1:$C$5243,1,FALSE)</f>
        <v>Mobile Decisioning</v>
      </c>
      <c r="M297" s="15">
        <f t="shared" si="438"/>
        <v>0.9</v>
      </c>
      <c r="N297" s="10" t="str">
        <f t="shared" si="439"/>
        <v>42902Mobile DecisioningUndisclosed</v>
      </c>
      <c r="O297" s="14" t="str">
        <f t="shared" si="440"/>
        <v/>
      </c>
      <c r="P297" s="14">
        <f t="shared" si="441"/>
        <v>0</v>
      </c>
      <c r="Q297" s="14">
        <f t="array" ref="Q297">IFERROR(INDEX([1]Companies!$D:$D,MATCH(B297,[1]Companies!$A:$A,0)),"")</f>
        <v>2010</v>
      </c>
      <c r="R297" s="17">
        <f t="shared" si="442"/>
        <v>0</v>
      </c>
      <c r="S297" s="14">
        <f>VLOOKUP(I297,[1]Lookups!$V$3:$Y$197,4,FALSE)</f>
        <v>0</v>
      </c>
      <c r="T297" s="14" t="str">
        <f>VLOOKUP(E297,[1]Lookups!$H$3:$I$71,2,FALSE)</f>
        <v>1. Grant</v>
      </c>
      <c r="U297" s="14" t="str">
        <f>VLOOKUP(K297,[1]Lookups!$B$3:$C$142,2,FALSE)</f>
        <v>Financial Services</v>
      </c>
      <c r="V297" s="14">
        <f t="shared" si="396"/>
        <v>2017</v>
      </c>
      <c r="W297" s="14">
        <f t="shared" si="397"/>
        <v>6</v>
      </c>
      <c r="X297" s="14">
        <f>VLOOKUP(W297,[1]Lookups!$P$3:$S$15,2,FALSE)</f>
        <v>2</v>
      </c>
      <c r="Y297" s="16">
        <f>VLOOKUP(W297,[1]Lookups!$P$3:$U$15,3,FALSE)</f>
        <v>1</v>
      </c>
      <c r="Z297" s="16">
        <f t="shared" si="398"/>
        <v>1</v>
      </c>
      <c r="AA297" s="16" t="str">
        <f t="shared" ca="1" si="454"/>
        <v>LoftyInc Capital Management</v>
      </c>
      <c r="AB297" s="16">
        <f t="shared" si="454"/>
        <v>0</v>
      </c>
      <c r="AC297" s="16">
        <f t="shared" si="454"/>
        <v>0</v>
      </c>
      <c r="AD297" s="16">
        <f t="shared" si="454"/>
        <v>0</v>
      </c>
      <c r="AE297" s="16">
        <f t="shared" si="454"/>
        <v>0</v>
      </c>
      <c r="AF297" s="16">
        <f t="shared" si="454"/>
        <v>0</v>
      </c>
      <c r="AG297" s="16">
        <f t="shared" si="454"/>
        <v>0</v>
      </c>
      <c r="AH297" s="16">
        <f t="shared" si="454"/>
        <v>0</v>
      </c>
      <c r="AI297" s="16">
        <f t="shared" si="454"/>
        <v>0</v>
      </c>
      <c r="AJ297" s="16">
        <f t="shared" si="454"/>
        <v>0</v>
      </c>
      <c r="AK297" s="16">
        <f t="shared" si="454"/>
        <v>0</v>
      </c>
      <c r="AL297" s="16">
        <f t="shared" si="454"/>
        <v>0</v>
      </c>
      <c r="AM297" s="16">
        <f t="shared" si="454"/>
        <v>0</v>
      </c>
      <c r="AN297" s="16">
        <f t="shared" si="454"/>
        <v>0</v>
      </c>
      <c r="AO297" s="16">
        <f t="shared" si="454"/>
        <v>0</v>
      </c>
      <c r="AP297" s="10"/>
      <c r="AQ297" s="10"/>
      <c r="AR297" s="10"/>
      <c r="AS297" s="10" t="str">
        <f t="shared" ref="AS297" ca="1" si="456">IFERROR(__xludf.DUMMYFUNCTION("split(F283,"","",true,true)"),"LoftyInc Capital Management")</f>
        <v>LoftyInc Capital Management</v>
      </c>
      <c r="AT297" s="10"/>
      <c r="AU297" s="10"/>
      <c r="AV297" s="10"/>
      <c r="AW297" s="10"/>
      <c r="AX297" s="10"/>
      <c r="AY297" s="10"/>
      <c r="AZ297" s="10"/>
      <c r="BA297" s="10"/>
      <c r="BB297" s="10"/>
      <c r="BC297" s="10"/>
      <c r="BD297" s="10"/>
      <c r="BE297" s="10"/>
      <c r="BF297" s="10"/>
      <c r="BG297" s="10"/>
      <c r="BH297" s="10"/>
      <c r="BI297" s="10"/>
      <c r="BJ297" s="10"/>
      <c r="BK297" s="10"/>
      <c r="BM297" s="10"/>
    </row>
    <row r="298" spans="1:65" ht="12.75">
      <c r="A298" s="18">
        <v>42902</v>
      </c>
      <c r="B298" s="14" t="s">
        <v>708</v>
      </c>
      <c r="C298" s="19">
        <v>200000</v>
      </c>
      <c r="D298" s="19"/>
      <c r="E298" s="14" t="s">
        <v>55</v>
      </c>
      <c r="F298" s="14" t="s">
        <v>709</v>
      </c>
      <c r="G298" s="21" t="s">
        <v>710</v>
      </c>
      <c r="H298" s="14" t="str">
        <f t="array" ref="H298">IFERROR(INDEX([1]Companies!$G:$G,MATCH(B298,[1]Companies!$A:$A,0)),"")</f>
        <v>Kenya</v>
      </c>
      <c r="I298" s="14" t="str">
        <f t="shared" si="437"/>
        <v>Kenya</v>
      </c>
      <c r="J298" s="14" t="str">
        <f t="array" ref="J298">IFERROR(INDEX([1]Companies!$Y:$Y,MATCH(B298,[1]Companies!$A:$A,0)),"")</f>
        <v>FinTech, Productivity Tools</v>
      </c>
      <c r="K298" s="14" t="str">
        <f t="array" ref="K298">IFERROR(INDEX([1]Companies!$X:$X,MATCH(B298,[1]Companies!$A:$A,0)),"")</f>
        <v>Financial Services</v>
      </c>
      <c r="L298" s="14" t="str">
        <f>VLOOKUP(B298,[1]Companies!$A$1:$C$5243,1,FALSE)</f>
        <v>Cherehani Africa</v>
      </c>
      <c r="M298" s="15">
        <f t="shared" si="438"/>
        <v>0.9</v>
      </c>
      <c r="N298" s="10" t="str">
        <f t="shared" si="439"/>
        <v>42902Cherehani Africa200000</v>
      </c>
      <c r="O298" s="14" t="str">
        <f t="shared" si="440"/>
        <v/>
      </c>
      <c r="P298" s="14">
        <f t="shared" si="441"/>
        <v>1</v>
      </c>
      <c r="Q298" s="14">
        <f t="array" ref="Q298">IFERROR(INDEX([1]Companies!$D:$D,MATCH(B298,[1]Companies!$A:$A,0)),"")</f>
        <v>2015</v>
      </c>
      <c r="R298" s="17">
        <f t="shared" si="442"/>
        <v>250000</v>
      </c>
      <c r="S298" s="14">
        <f>VLOOKUP(I298,[1]Lookups!$V$3:$Y$197,4,FALSE)</f>
        <v>0</v>
      </c>
      <c r="T298" s="14" t="str">
        <f>VLOOKUP(E298,[1]Lookups!$H$3:$I$71,2,FALSE)</f>
        <v>1. Grant</v>
      </c>
      <c r="U298" s="14" t="str">
        <f>VLOOKUP(K298,[1]Lookups!$B$3:$C$142,2,FALSE)</f>
        <v>Financial Services</v>
      </c>
      <c r="V298" s="14">
        <f t="shared" si="396"/>
        <v>2017</v>
      </c>
      <c r="W298" s="14">
        <f t="shared" si="397"/>
        <v>6</v>
      </c>
      <c r="X298" s="14">
        <f>VLOOKUP(W298,[1]Lookups!$P$3:$S$15,2,FALSE)</f>
        <v>2</v>
      </c>
      <c r="Y298" s="16">
        <f>VLOOKUP(W298,[1]Lookups!$P$3:$U$15,3,FALSE)</f>
        <v>1</v>
      </c>
      <c r="Z298" s="16">
        <f t="shared" si="398"/>
        <v>4</v>
      </c>
      <c r="AA298" s="16" t="str">
        <f t="shared" ca="1" si="454"/>
        <v>LoftyInc Capital Management</v>
      </c>
      <c r="AB298" s="16" t="str">
        <f t="shared" ca="1" si="454"/>
        <v xml:space="preserve"> Spring Accelerator</v>
      </c>
      <c r="AC298" s="16" t="str">
        <f t="shared" ca="1" si="454"/>
        <v xml:space="preserve"> Levi Strauss &amp; Co.</v>
      </c>
      <c r="AD298" s="16" t="str">
        <f t="shared" ca="1" si="454"/>
        <v xml:space="preserve"> Citi Foundation</v>
      </c>
      <c r="AE298" s="16">
        <f t="shared" si="454"/>
        <v>0</v>
      </c>
      <c r="AF298" s="16">
        <f t="shared" si="454"/>
        <v>0</v>
      </c>
      <c r="AG298" s="16">
        <f t="shared" si="454"/>
        <v>0</v>
      </c>
      <c r="AH298" s="16">
        <f t="shared" si="454"/>
        <v>0</v>
      </c>
      <c r="AI298" s="16">
        <f t="shared" si="454"/>
        <v>0</v>
      </c>
      <c r="AJ298" s="16">
        <f t="shared" si="454"/>
        <v>0</v>
      </c>
      <c r="AK298" s="16">
        <f t="shared" si="454"/>
        <v>0</v>
      </c>
      <c r="AL298" s="16">
        <f t="shared" si="454"/>
        <v>0</v>
      </c>
      <c r="AM298" s="16">
        <f t="shared" si="454"/>
        <v>0</v>
      </c>
      <c r="AN298" s="16">
        <f t="shared" si="454"/>
        <v>0</v>
      </c>
      <c r="AO298" s="16">
        <f t="shared" si="454"/>
        <v>0</v>
      </c>
      <c r="AP298" s="10"/>
      <c r="AQ298" s="10"/>
      <c r="AR298" s="10"/>
      <c r="AS298" s="10" t="str">
        <f t="shared" ref="AS298" ca="1" si="457">IFERROR(__xludf.DUMMYFUNCTION("split(F283,"","",true,true)"),"LoftyInc Capital Management")</f>
        <v>LoftyInc Capital Management</v>
      </c>
      <c r="AT298" s="10" t="str">
        <f ca="1">IFERROR(__xludf.DUMMYFUNCTION("""COMPUTED_VALUE""")," Spring Accelerator")</f>
        <v xml:space="preserve"> Spring Accelerator</v>
      </c>
      <c r="AU298" s="10" t="str">
        <f ca="1">IFERROR(__xludf.DUMMYFUNCTION("""COMPUTED_VALUE""")," Levi Strauss &amp; Co.")</f>
        <v xml:space="preserve"> Levi Strauss &amp; Co.</v>
      </c>
      <c r="AV298" s="10" t="str">
        <f ca="1">IFERROR(__xludf.DUMMYFUNCTION("""COMPUTED_VALUE""")," Citi Foundation")</f>
        <v xml:space="preserve"> Citi Foundation</v>
      </c>
      <c r="AW298" s="10"/>
      <c r="AX298" s="10"/>
      <c r="AY298" s="10"/>
      <c r="AZ298" s="10"/>
      <c r="BA298" s="10"/>
      <c r="BB298" s="10"/>
      <c r="BC298" s="10"/>
      <c r="BD298" s="10"/>
      <c r="BE298" s="10"/>
      <c r="BF298" s="10"/>
      <c r="BG298" s="10"/>
      <c r="BH298" s="10"/>
      <c r="BI298" s="10"/>
      <c r="BJ298" s="10"/>
      <c r="BK298" s="10"/>
      <c r="BM298" s="10"/>
    </row>
    <row r="299" spans="1:65" ht="12.75">
      <c r="A299" s="9">
        <v>42903</v>
      </c>
      <c r="B299" s="10" t="s">
        <v>711</v>
      </c>
      <c r="C299" s="11" t="s">
        <v>49</v>
      </c>
      <c r="D299" s="12"/>
      <c r="E299" s="14" t="s">
        <v>45</v>
      </c>
      <c r="F299" s="10" t="s">
        <v>712</v>
      </c>
      <c r="G299" s="13" t="s">
        <v>713</v>
      </c>
      <c r="H299" s="14" t="str">
        <f t="array" ref="H299">IFERROR(INDEX([1]Companies!$G:$G,MATCH(B299,[1]Companies!$A:$A,0)),"")</f>
        <v>Kenya</v>
      </c>
      <c r="I299" s="14" t="str">
        <f t="shared" si="437"/>
        <v>Kenya</v>
      </c>
      <c r="J299" s="14" t="str">
        <f t="array" ref="J299">IFERROR(INDEX([1]Companies!$Y:$Y,MATCH(B299,[1]Companies!$A:$A,0)),"")</f>
        <v>Environmental Engineering, Renewable Energy</v>
      </c>
      <c r="K299" s="14" t="str">
        <f t="array" ref="K299">IFERROR(INDEX([1]Companies!$X:$X,MATCH(B299,[1]Companies!$A:$A,0)),"")</f>
        <v>Energy &amp; Environment Resources</v>
      </c>
      <c r="L299" s="14" t="str">
        <f>VLOOKUP(B299,[1]Companies!$A$1:$C$5243,1,FALSE)</f>
        <v>Pawame</v>
      </c>
      <c r="M299" s="15">
        <f t="shared" si="438"/>
        <v>0.9</v>
      </c>
      <c r="N299" s="10" t="str">
        <f t="shared" si="439"/>
        <v>42903PawameUndisclosed</v>
      </c>
      <c r="O299" s="14" t="str">
        <f t="shared" si="440"/>
        <v/>
      </c>
      <c r="P299" s="14">
        <f t="shared" si="441"/>
        <v>0</v>
      </c>
      <c r="Q299" s="14">
        <f t="array" ref="Q299">IFERROR(INDEX([1]Companies!$D:$D,MATCH(B299,[1]Companies!$A:$A,0)),"")</f>
        <v>2016</v>
      </c>
      <c r="R299" s="17">
        <f t="shared" si="442"/>
        <v>0</v>
      </c>
      <c r="S299" s="14">
        <f>VLOOKUP(I299,[1]Lookups!$V$3:$Y$197,4,FALSE)</f>
        <v>0</v>
      </c>
      <c r="T299" s="14" t="str">
        <f>VLOOKUP(E299,[1]Lookups!$H$3:$I$71,2,FALSE)</f>
        <v>2. Seed</v>
      </c>
      <c r="U299" s="14" t="e">
        <f>VLOOKUP(K299,[1]Lookups!$B$3:$C$142,2,FALSE)</f>
        <v>#N/A</v>
      </c>
      <c r="V299" s="14">
        <f t="shared" si="396"/>
        <v>2017</v>
      </c>
      <c r="W299" s="14">
        <f t="shared" si="397"/>
        <v>6</v>
      </c>
      <c r="X299" s="14">
        <f>VLOOKUP(W299,[1]Lookups!$P$3:$S$15,2,FALSE)</f>
        <v>2</v>
      </c>
      <c r="Y299" s="16">
        <f>VLOOKUP(W299,[1]Lookups!$P$3:$U$15,3,FALSE)</f>
        <v>1</v>
      </c>
      <c r="Z299" s="16">
        <f t="shared" si="398"/>
        <v>1</v>
      </c>
      <c r="AA299" s="16" t="str">
        <f t="shared" ca="1" si="454"/>
        <v>LoftyInc Capital Management</v>
      </c>
      <c r="AB299" s="16">
        <f t="shared" si="454"/>
        <v>0</v>
      </c>
      <c r="AC299" s="16">
        <f t="shared" si="454"/>
        <v>0</v>
      </c>
      <c r="AD299" s="16">
        <f t="shared" si="454"/>
        <v>0</v>
      </c>
      <c r="AE299" s="16">
        <f t="shared" si="454"/>
        <v>0</v>
      </c>
      <c r="AF299" s="16">
        <f t="shared" si="454"/>
        <v>0</v>
      </c>
      <c r="AG299" s="16">
        <f t="shared" si="454"/>
        <v>0</v>
      </c>
      <c r="AH299" s="16">
        <f t="shared" si="454"/>
        <v>0</v>
      </c>
      <c r="AI299" s="16">
        <f t="shared" si="454"/>
        <v>0</v>
      </c>
      <c r="AJ299" s="16">
        <f t="shared" si="454"/>
        <v>0</v>
      </c>
      <c r="AK299" s="16">
        <f t="shared" si="454"/>
        <v>0</v>
      </c>
      <c r="AL299" s="16">
        <f t="shared" si="454"/>
        <v>0</v>
      </c>
      <c r="AM299" s="16">
        <f t="shared" si="454"/>
        <v>0</v>
      </c>
      <c r="AN299" s="16">
        <f t="shared" si="454"/>
        <v>0</v>
      </c>
      <c r="AO299" s="16">
        <f t="shared" si="454"/>
        <v>0</v>
      </c>
      <c r="AP299" s="10"/>
      <c r="AQ299" s="10"/>
      <c r="AR299" s="10"/>
      <c r="AS299" s="10" t="str">
        <f t="shared" ref="AS299" ca="1" si="458">IFERROR(__xludf.DUMMYFUNCTION("split(F283,"","",true,true)"),"LoftyInc Capital Management")</f>
        <v>LoftyInc Capital Management</v>
      </c>
      <c r="AT299" s="10"/>
      <c r="AU299" s="10"/>
      <c r="AV299" s="10"/>
      <c r="AW299" s="10"/>
      <c r="AX299" s="10"/>
      <c r="AY299" s="10"/>
      <c r="AZ299" s="10"/>
      <c r="BA299" s="10"/>
      <c r="BB299" s="10"/>
      <c r="BC299" s="10"/>
      <c r="BD299" s="10"/>
      <c r="BE299" s="10"/>
      <c r="BF299" s="10"/>
      <c r="BG299" s="10"/>
      <c r="BH299" s="10"/>
      <c r="BI299" s="10"/>
      <c r="BJ299" s="10"/>
      <c r="BK299" s="10"/>
      <c r="BM299" s="10"/>
    </row>
    <row r="300" spans="1:65" ht="12.75">
      <c r="A300" s="9">
        <v>42903</v>
      </c>
      <c r="B300" s="10" t="s">
        <v>695</v>
      </c>
      <c r="C300" s="11">
        <v>3000</v>
      </c>
      <c r="D300" s="12"/>
      <c r="E300" s="10" t="s">
        <v>55</v>
      </c>
      <c r="F300" s="10" t="s">
        <v>714</v>
      </c>
      <c r="G300" s="13" t="s">
        <v>715</v>
      </c>
      <c r="H300" s="14" t="str">
        <f t="array" ref="H300">IFERROR(INDEX([1]Companies!$G:$G,MATCH(B300,[1]Companies!$A:$A,0)),"")</f>
        <v>Egypt</v>
      </c>
      <c r="I300" s="14" t="str">
        <f t="shared" si="437"/>
        <v>Egypt</v>
      </c>
      <c r="J300" s="14" t="str">
        <f t="array" ref="J300">IFERROR(INDEX([1]Companies!$Y:$Y,MATCH(B300,[1]Companies!$A:$A,0)),"")</f>
        <v>Presentation Software, Presentations, Productivity Tools, Social Media, Software</v>
      </c>
      <c r="K300" s="14" t="str">
        <f t="array" ref="K300">IFERROR(INDEX([1]Companies!$X:$X,MATCH(B300,[1]Companies!$A:$A,0)),"")</f>
        <v>Media &amp; Entertainment</v>
      </c>
      <c r="L300" s="14" t="str">
        <f>VLOOKUP(B300,[1]Companies!$A$1:$C$5243,1,FALSE)</f>
        <v>Imaginators</v>
      </c>
      <c r="M300" s="15">
        <f t="shared" si="438"/>
        <v>0.9</v>
      </c>
      <c r="N300" s="10" t="str">
        <f t="shared" si="439"/>
        <v>42903Imaginators3000</v>
      </c>
      <c r="O300" s="14" t="str">
        <f t="shared" si="440"/>
        <v/>
      </c>
      <c r="P300" s="14">
        <f t="shared" si="441"/>
        <v>1</v>
      </c>
      <c r="Q300" s="14">
        <f t="array" ref="Q300">IFERROR(INDEX([1]Companies!$D:$D,MATCH(B300,[1]Companies!$A:$A,0)),"")</f>
        <v>2016</v>
      </c>
      <c r="R300" s="17">
        <f t="shared" si="442"/>
        <v>7200</v>
      </c>
      <c r="S300" s="14">
        <f>VLOOKUP(I300,[1]Lookups!$V$3:$Y$197,4,FALSE)</f>
        <v>0</v>
      </c>
      <c r="T300" s="14" t="str">
        <f>VLOOKUP(E300,[1]Lookups!$H$3:$I$71,2,FALSE)</f>
        <v>1. Grant</v>
      </c>
      <c r="U300" s="14" t="str">
        <f>VLOOKUP(K300,[1]Lookups!$B$3:$C$142,2,FALSE)</f>
        <v>Media &amp; Entertainment</v>
      </c>
      <c r="V300" s="14">
        <f t="shared" si="396"/>
        <v>2017</v>
      </c>
      <c r="W300" s="14">
        <f t="shared" si="397"/>
        <v>6</v>
      </c>
      <c r="X300" s="14">
        <f>VLOOKUP(W300,[1]Lookups!$P$3:$S$15,2,FALSE)</f>
        <v>2</v>
      </c>
      <c r="Y300" s="16">
        <f>VLOOKUP(W300,[1]Lookups!$P$3:$U$15,3,FALSE)</f>
        <v>1</v>
      </c>
      <c r="Z300" s="16">
        <f t="shared" si="398"/>
        <v>1</v>
      </c>
      <c r="AA300" s="16" t="str">
        <f t="shared" ca="1" si="454"/>
        <v>LoftyInc Capital Management</v>
      </c>
      <c r="AB300" s="16">
        <f t="shared" si="454"/>
        <v>0</v>
      </c>
      <c r="AC300" s="16">
        <f t="shared" si="454"/>
        <v>0</v>
      </c>
      <c r="AD300" s="16">
        <f t="shared" si="454"/>
        <v>0</v>
      </c>
      <c r="AE300" s="16">
        <f t="shared" si="454"/>
        <v>0</v>
      </c>
      <c r="AF300" s="16">
        <f t="shared" si="454"/>
        <v>0</v>
      </c>
      <c r="AG300" s="16">
        <f t="shared" si="454"/>
        <v>0</v>
      </c>
      <c r="AH300" s="16">
        <f t="shared" si="454"/>
        <v>0</v>
      </c>
      <c r="AI300" s="16">
        <f t="shared" si="454"/>
        <v>0</v>
      </c>
      <c r="AJ300" s="16">
        <f t="shared" si="454"/>
        <v>0</v>
      </c>
      <c r="AK300" s="16">
        <f t="shared" si="454"/>
        <v>0</v>
      </c>
      <c r="AL300" s="16">
        <f t="shared" si="454"/>
        <v>0</v>
      </c>
      <c r="AM300" s="16">
        <f t="shared" si="454"/>
        <v>0</v>
      </c>
      <c r="AN300" s="16">
        <f t="shared" si="454"/>
        <v>0</v>
      </c>
      <c r="AO300" s="16">
        <f t="shared" si="454"/>
        <v>0</v>
      </c>
      <c r="AP300" s="10"/>
      <c r="AQ300" s="10"/>
      <c r="AR300" s="10"/>
      <c r="AS300" s="10" t="str">
        <f t="shared" ref="AS300" ca="1" si="459">IFERROR(__xludf.DUMMYFUNCTION("split(F283,"","",true,true)"),"LoftyInc Capital Management")</f>
        <v>LoftyInc Capital Management</v>
      </c>
      <c r="AT300" s="10"/>
      <c r="AU300" s="10"/>
      <c r="AV300" s="10"/>
      <c r="AW300" s="10"/>
      <c r="AX300" s="10"/>
      <c r="AY300" s="10"/>
      <c r="AZ300" s="10"/>
      <c r="BA300" s="10"/>
      <c r="BB300" s="10"/>
      <c r="BC300" s="10"/>
      <c r="BD300" s="10"/>
      <c r="BE300" s="10"/>
      <c r="BF300" s="10"/>
      <c r="BG300" s="10"/>
      <c r="BH300" s="10"/>
      <c r="BI300" s="10"/>
      <c r="BJ300" s="10"/>
      <c r="BK300" s="10"/>
      <c r="BM300" s="10"/>
    </row>
    <row r="301" spans="1:65" ht="12.75">
      <c r="A301" s="18">
        <v>42905</v>
      </c>
      <c r="B301" s="14" t="s">
        <v>716</v>
      </c>
      <c r="C301" s="19">
        <v>500000</v>
      </c>
      <c r="D301" s="19"/>
      <c r="E301" s="14" t="s">
        <v>45</v>
      </c>
      <c r="F301" s="14" t="s">
        <v>717</v>
      </c>
      <c r="G301" s="21" t="s">
        <v>718</v>
      </c>
      <c r="H301" s="14" t="str">
        <f t="array" ref="H301">IFERROR(INDEX([1]Companies!$G:$G,MATCH(B301,[1]Companies!$A:$A,0)),"")</f>
        <v>Egypt</v>
      </c>
      <c r="I301" s="14" t="str">
        <f t="shared" si="437"/>
        <v>Egypt</v>
      </c>
      <c r="J301" s="14" t="str">
        <f t="array" ref="J301">IFERROR(INDEX([1]Companies!$Y:$Y,MATCH(B301,[1]Companies!$A:$A,0)),"")</f>
        <v>Internet, Mobile Apps, Transportation, Travel, Ride hailing</v>
      </c>
      <c r="K301" s="14" t="str">
        <f t="array" ref="K301">IFERROR(INDEX([1]Companies!$X:$X,MATCH(B301,[1]Companies!$A:$A,0)),"")</f>
        <v>Transport &amp; Logistics</v>
      </c>
      <c r="L301" s="14" t="str">
        <f>VLOOKUP(B301,[1]Companies!$A$1:$C$5243,1,FALSE)</f>
        <v>Swvl</v>
      </c>
      <c r="M301" s="15">
        <f t="shared" si="438"/>
        <v>0.9</v>
      </c>
      <c r="N301" s="10" t="str">
        <f t="shared" si="439"/>
        <v>42905SWVL500000</v>
      </c>
      <c r="O301" s="14" t="str">
        <f t="shared" si="440"/>
        <v/>
      </c>
      <c r="P301" s="14">
        <f t="shared" si="441"/>
        <v>1</v>
      </c>
      <c r="Q301" s="14">
        <f t="array" ref="Q301">IFERROR(INDEX([1]Companies!$D:$D,MATCH(B301,[1]Companies!$A:$A,0)),"")</f>
        <v>2017</v>
      </c>
      <c r="R301" s="17">
        <f t="shared" si="442"/>
        <v>80500000</v>
      </c>
      <c r="S301" s="14">
        <f>VLOOKUP(I301,[1]Lookups!$V$3:$Y$197,4,FALSE)</f>
        <v>0</v>
      </c>
      <c r="T301" s="14" t="str">
        <f>VLOOKUP(E301,[1]Lookups!$H$3:$I$71,2,FALSE)</f>
        <v>2. Seed</v>
      </c>
      <c r="U301" s="14" t="str">
        <f>VLOOKUP(K301,[1]Lookups!$B$3:$C$142,2,FALSE)</f>
        <v>Transport &amp; Logistics</v>
      </c>
      <c r="V301" s="14">
        <f t="shared" si="396"/>
        <v>2017</v>
      </c>
      <c r="W301" s="14">
        <f t="shared" si="397"/>
        <v>6</v>
      </c>
      <c r="X301" s="14">
        <f>VLOOKUP(W301,[1]Lookups!$P$3:$S$15,2,FALSE)</f>
        <v>2</v>
      </c>
      <c r="Y301" s="16">
        <f>VLOOKUP(W301,[1]Lookups!$P$3:$U$15,3,FALSE)</f>
        <v>1</v>
      </c>
      <c r="Z301" s="16">
        <f t="shared" si="398"/>
        <v>1</v>
      </c>
      <c r="AA301" s="16" t="str">
        <f t="shared" ca="1" si="454"/>
        <v>LoftyInc Capital Management</v>
      </c>
      <c r="AB301" s="16">
        <f t="shared" si="454"/>
        <v>0</v>
      </c>
      <c r="AC301" s="16">
        <f t="shared" si="454"/>
        <v>0</v>
      </c>
      <c r="AD301" s="16">
        <f t="shared" si="454"/>
        <v>0</v>
      </c>
      <c r="AE301" s="16">
        <f t="shared" si="454"/>
        <v>0</v>
      </c>
      <c r="AF301" s="16">
        <f t="shared" si="454"/>
        <v>0</v>
      </c>
      <c r="AG301" s="16">
        <f t="shared" si="454"/>
        <v>0</v>
      </c>
      <c r="AH301" s="16">
        <f t="shared" si="454"/>
        <v>0</v>
      </c>
      <c r="AI301" s="16">
        <f t="shared" si="454"/>
        <v>0</v>
      </c>
      <c r="AJ301" s="16">
        <f t="shared" si="454"/>
        <v>0</v>
      </c>
      <c r="AK301" s="16">
        <f t="shared" si="454"/>
        <v>0</v>
      </c>
      <c r="AL301" s="16">
        <f t="shared" si="454"/>
        <v>0</v>
      </c>
      <c r="AM301" s="16">
        <f t="shared" si="454"/>
        <v>0</v>
      </c>
      <c r="AN301" s="16">
        <f t="shared" si="454"/>
        <v>0</v>
      </c>
      <c r="AO301" s="16">
        <f t="shared" si="454"/>
        <v>0</v>
      </c>
      <c r="AP301" s="10"/>
      <c r="AQ301" s="10"/>
      <c r="AR301" s="10"/>
      <c r="AS301" s="10" t="str">
        <f t="shared" ref="AS301" ca="1" si="460">IFERROR(__xludf.DUMMYFUNCTION("split(F283,"","",true,true)"),"LoftyInc Capital Management")</f>
        <v>LoftyInc Capital Management</v>
      </c>
      <c r="AT301" s="10"/>
      <c r="AU301" s="10"/>
      <c r="AV301" s="10"/>
      <c r="AW301" s="10"/>
      <c r="AX301" s="10"/>
      <c r="AY301" s="10"/>
      <c r="AZ301" s="10"/>
      <c r="BA301" s="10"/>
      <c r="BB301" s="10"/>
      <c r="BC301" s="10"/>
      <c r="BD301" s="10"/>
      <c r="BE301" s="10"/>
      <c r="BF301" s="10"/>
      <c r="BG301" s="10"/>
      <c r="BH301" s="10"/>
      <c r="BI301" s="10"/>
      <c r="BJ301" s="10"/>
      <c r="BK301" s="10"/>
      <c r="BM301" s="10"/>
    </row>
    <row r="302" spans="1:65" ht="12.75">
      <c r="A302" s="18">
        <v>42907</v>
      </c>
      <c r="B302" s="14" t="s">
        <v>719</v>
      </c>
      <c r="C302" s="19">
        <v>2000000</v>
      </c>
      <c r="D302" s="19"/>
      <c r="E302" s="14" t="s">
        <v>45</v>
      </c>
      <c r="F302" s="14" t="s">
        <v>720</v>
      </c>
      <c r="G302" s="21" t="s">
        <v>721</v>
      </c>
      <c r="H302" s="14" t="str">
        <f t="array" ref="H302">IFERROR(INDEX([1]Companies!$G:$G,MATCH(B302,[1]Companies!$A:$A,0)),"")</f>
        <v>South Africa</v>
      </c>
      <c r="I302" s="14" t="str">
        <f t="shared" si="437"/>
        <v>South Africa</v>
      </c>
      <c r="J302" s="14" t="str">
        <f t="array" ref="J302">IFERROR(INDEX([1]Companies!$Y:$Y,MATCH(B302,[1]Companies!$A:$A,0)),"")</f>
        <v>Information Technology, Software</v>
      </c>
      <c r="K302" s="14" t="str">
        <f t="array" ref="K302">IFERROR(INDEX([1]Companies!$X:$X,MATCH(B302,[1]Companies!$A:$A,0)),"")</f>
        <v>Emerging Technologies</v>
      </c>
      <c r="L302" s="14" t="str">
        <f>VLOOKUP(B302,[1]Companies!$A$1:$C$5243,1,FALSE)</f>
        <v>Xineoh</v>
      </c>
      <c r="M302" s="15">
        <f t="shared" si="438"/>
        <v>0.9</v>
      </c>
      <c r="N302" s="10" t="str">
        <f t="shared" si="439"/>
        <v>42907Xineoh2000000</v>
      </c>
      <c r="O302" s="14" t="str">
        <f t="shared" si="440"/>
        <v/>
      </c>
      <c r="P302" s="14">
        <f t="shared" si="441"/>
        <v>1</v>
      </c>
      <c r="Q302" s="14">
        <f t="array" ref="Q302">IFERROR(INDEX([1]Companies!$D:$D,MATCH(B302,[1]Companies!$A:$A,0)),"")</f>
        <v>2015</v>
      </c>
      <c r="R302" s="17">
        <f t="shared" si="442"/>
        <v>3500000</v>
      </c>
      <c r="S302" s="14">
        <f>VLOOKUP(I302,[1]Lookups!$V$3:$Y$197,4,FALSE)</f>
        <v>0</v>
      </c>
      <c r="T302" s="14" t="str">
        <f>VLOOKUP(E302,[1]Lookups!$H$3:$I$71,2,FALSE)</f>
        <v>2. Seed</v>
      </c>
      <c r="U302" s="14" t="str">
        <f>VLOOKUP(K302,[1]Lookups!$B$3:$C$142,2,FALSE)</f>
        <v>Emerging Technologies</v>
      </c>
      <c r="V302" s="14">
        <f t="shared" si="396"/>
        <v>2017</v>
      </c>
      <c r="W302" s="14">
        <f t="shared" si="397"/>
        <v>6</v>
      </c>
      <c r="X302" s="14">
        <f>VLOOKUP(W302,[1]Lookups!$P$3:$S$15,2,FALSE)</f>
        <v>2</v>
      </c>
      <c r="Y302" s="16">
        <f>VLOOKUP(W302,[1]Lookups!$P$3:$U$15,3,FALSE)</f>
        <v>1</v>
      </c>
      <c r="Z302" s="16">
        <f t="shared" si="398"/>
        <v>1</v>
      </c>
      <c r="AA302" s="16" t="str">
        <f t="shared" ca="1" si="454"/>
        <v>LoftyInc Capital Management</v>
      </c>
      <c r="AB302" s="16">
        <f t="shared" si="454"/>
        <v>0</v>
      </c>
      <c r="AC302" s="16">
        <f t="shared" si="454"/>
        <v>0</v>
      </c>
      <c r="AD302" s="16">
        <f t="shared" si="454"/>
        <v>0</v>
      </c>
      <c r="AE302" s="16">
        <f t="shared" si="454"/>
        <v>0</v>
      </c>
      <c r="AF302" s="16">
        <f t="shared" si="454"/>
        <v>0</v>
      </c>
      <c r="AG302" s="16">
        <f t="shared" si="454"/>
        <v>0</v>
      </c>
      <c r="AH302" s="16">
        <f t="shared" si="454"/>
        <v>0</v>
      </c>
      <c r="AI302" s="16">
        <f t="shared" si="454"/>
        <v>0</v>
      </c>
      <c r="AJ302" s="16">
        <f t="shared" si="454"/>
        <v>0</v>
      </c>
      <c r="AK302" s="16">
        <f t="shared" si="454"/>
        <v>0</v>
      </c>
      <c r="AL302" s="16">
        <f t="shared" si="454"/>
        <v>0</v>
      </c>
      <c r="AM302" s="16">
        <f t="shared" si="454"/>
        <v>0</v>
      </c>
      <c r="AN302" s="16">
        <f t="shared" si="454"/>
        <v>0</v>
      </c>
      <c r="AO302" s="16">
        <f t="shared" si="454"/>
        <v>0</v>
      </c>
      <c r="AP302" s="10"/>
      <c r="AQ302" s="10"/>
      <c r="AR302" s="10"/>
      <c r="AS302" s="10" t="str">
        <f t="shared" ref="AS302" ca="1" si="461">IFERROR(__xludf.DUMMYFUNCTION("split(F283,"","",true,true)"),"LoftyInc Capital Management")</f>
        <v>LoftyInc Capital Management</v>
      </c>
      <c r="AT302" s="10"/>
      <c r="AU302" s="10"/>
      <c r="AV302" s="10"/>
      <c r="AW302" s="10"/>
      <c r="AX302" s="10"/>
      <c r="AY302" s="10"/>
      <c r="AZ302" s="10"/>
      <c r="BA302" s="10"/>
      <c r="BB302" s="10"/>
      <c r="BC302" s="10"/>
      <c r="BD302" s="10"/>
      <c r="BE302" s="10"/>
      <c r="BF302" s="10"/>
      <c r="BG302" s="10"/>
      <c r="BH302" s="10"/>
      <c r="BI302" s="10"/>
      <c r="BJ302" s="10"/>
      <c r="BK302" s="10"/>
      <c r="BM302" s="10"/>
    </row>
    <row r="303" spans="1:65" ht="12.75">
      <c r="A303" s="18">
        <v>42909</v>
      </c>
      <c r="B303" s="14" t="s">
        <v>312</v>
      </c>
      <c r="C303" s="19">
        <v>1520000</v>
      </c>
      <c r="D303" s="19"/>
      <c r="E303" s="14" t="s">
        <v>45</v>
      </c>
      <c r="F303" s="14" t="s">
        <v>722</v>
      </c>
      <c r="G303" s="21" t="s">
        <v>723</v>
      </c>
      <c r="H303" s="14" t="str">
        <f t="array" ref="H303">IFERROR(INDEX([1]Companies!$G:$G,MATCH(B303,[1]Companies!$A:$A,0)),"")</f>
        <v>South Africa</v>
      </c>
      <c r="I303" s="14" t="str">
        <f t="shared" si="437"/>
        <v>South Africa</v>
      </c>
      <c r="J303" s="14" t="str">
        <f t="array" ref="J303">IFERROR(INDEX([1]Companies!$Y:$Y,MATCH(B303,[1]Companies!$A:$A,0)),"")</f>
        <v>Public Transport Data, Professional Services</v>
      </c>
      <c r="K303" s="14" t="str">
        <f t="array" ref="K303">IFERROR(INDEX([1]Companies!$X:$X,MATCH(B303,[1]Companies!$A:$A,0)),"")</f>
        <v>Transport &amp; Logistics</v>
      </c>
      <c r="L303" s="14" t="str">
        <f>VLOOKUP(B303,[1]Companies!$A$1:$C$5243,1,FALSE)</f>
        <v>WhereIsMyTransport</v>
      </c>
      <c r="M303" s="15">
        <f t="shared" si="438"/>
        <v>0.9</v>
      </c>
      <c r="N303" s="10" t="str">
        <f t="shared" si="439"/>
        <v>42909WhereIsMyTransport1520000</v>
      </c>
      <c r="O303" s="14" t="str">
        <f t="shared" si="440"/>
        <v/>
      </c>
      <c r="P303" s="14">
        <f t="shared" si="441"/>
        <v>1</v>
      </c>
      <c r="Q303" s="14">
        <f t="array" ref="Q303">IFERROR(INDEX([1]Companies!$D:$D,MATCH(B303,[1]Companies!$A:$A,0)),"")</f>
        <v>2015</v>
      </c>
      <c r="R303" s="17">
        <f t="shared" si="442"/>
        <v>5770000</v>
      </c>
      <c r="S303" s="14">
        <f>VLOOKUP(I303,[1]Lookups!$V$3:$Y$197,4,FALSE)</f>
        <v>0</v>
      </c>
      <c r="T303" s="14" t="str">
        <f>VLOOKUP(E303,[1]Lookups!$H$3:$I$71,2,FALSE)</f>
        <v>2. Seed</v>
      </c>
      <c r="U303" s="14" t="str">
        <f>VLOOKUP(K303,[1]Lookups!$B$3:$C$142,2,FALSE)</f>
        <v>Transport &amp; Logistics</v>
      </c>
      <c r="V303" s="14">
        <f t="shared" si="396"/>
        <v>2017</v>
      </c>
      <c r="W303" s="14">
        <f t="shared" si="397"/>
        <v>6</v>
      </c>
      <c r="X303" s="14">
        <f>VLOOKUP(W303,[1]Lookups!$P$3:$S$15,2,FALSE)</f>
        <v>2</v>
      </c>
      <c r="Y303" s="16">
        <f>VLOOKUP(W303,[1]Lookups!$P$3:$U$15,3,FALSE)</f>
        <v>1</v>
      </c>
      <c r="Z303" s="16">
        <f t="shared" si="398"/>
        <v>2</v>
      </c>
      <c r="AA303" s="16" t="str">
        <f t="shared" ca="1" si="454"/>
        <v>LoftyInc Capital Management</v>
      </c>
      <c r="AB303" s="16" t="str">
        <f t="shared" ca="1" si="454"/>
        <v xml:space="preserve"> Bombardier</v>
      </c>
      <c r="AC303" s="16">
        <f t="shared" si="454"/>
        <v>0</v>
      </c>
      <c r="AD303" s="16">
        <f t="shared" si="454"/>
        <v>0</v>
      </c>
      <c r="AE303" s="16">
        <f t="shared" si="454"/>
        <v>0</v>
      </c>
      <c r="AF303" s="16">
        <f t="shared" si="454"/>
        <v>0</v>
      </c>
      <c r="AG303" s="16">
        <f t="shared" si="454"/>
        <v>0</v>
      </c>
      <c r="AH303" s="16">
        <f t="shared" si="454"/>
        <v>0</v>
      </c>
      <c r="AI303" s="16">
        <f t="shared" si="454"/>
        <v>0</v>
      </c>
      <c r="AJ303" s="16">
        <f t="shared" si="454"/>
        <v>0</v>
      </c>
      <c r="AK303" s="16">
        <f t="shared" si="454"/>
        <v>0</v>
      </c>
      <c r="AL303" s="16">
        <f t="shared" si="454"/>
        <v>0</v>
      </c>
      <c r="AM303" s="16">
        <f t="shared" si="454"/>
        <v>0</v>
      </c>
      <c r="AN303" s="16">
        <f t="shared" si="454"/>
        <v>0</v>
      </c>
      <c r="AO303" s="16">
        <f t="shared" si="454"/>
        <v>0</v>
      </c>
      <c r="AP303" s="10"/>
      <c r="AQ303" s="10"/>
      <c r="AR303" s="10"/>
      <c r="AS303" s="10" t="str">
        <f t="shared" ref="AS303" ca="1" si="462">IFERROR(__xludf.DUMMYFUNCTION("split(F283,"","",true,true)"),"LoftyInc Capital Management")</f>
        <v>LoftyInc Capital Management</v>
      </c>
      <c r="AT303" s="10" t="str">
        <f ca="1">IFERROR(__xludf.DUMMYFUNCTION("""COMPUTED_VALUE""")," Bombardier")</f>
        <v xml:space="preserve"> Bombardier</v>
      </c>
      <c r="AU303" s="10"/>
      <c r="AV303" s="10"/>
      <c r="AW303" s="10"/>
      <c r="AX303" s="10"/>
      <c r="AY303" s="10"/>
      <c r="AZ303" s="10"/>
      <c r="BA303" s="10"/>
      <c r="BB303" s="10"/>
      <c r="BC303" s="10"/>
      <c r="BD303" s="10"/>
      <c r="BE303" s="10"/>
      <c r="BF303" s="10"/>
      <c r="BG303" s="10"/>
      <c r="BH303" s="10"/>
      <c r="BI303" s="10"/>
      <c r="BJ303" s="10"/>
      <c r="BK303" s="10"/>
      <c r="BM303" s="10"/>
    </row>
    <row r="304" spans="1:65" ht="12.75">
      <c r="A304" s="18">
        <v>42913</v>
      </c>
      <c r="B304" s="20" t="s">
        <v>724</v>
      </c>
      <c r="C304" s="19">
        <v>600000</v>
      </c>
      <c r="D304" s="19"/>
      <c r="E304" s="14" t="s">
        <v>45</v>
      </c>
      <c r="F304" s="14" t="s">
        <v>725</v>
      </c>
      <c r="G304" s="21" t="s">
        <v>726</v>
      </c>
      <c r="H304" s="14" t="str">
        <f t="array" ref="H304">IFERROR(INDEX([1]Companies!$G:$G,MATCH(B304,[1]Companies!$A:$A,0)),"")</f>
        <v>Tunisia</v>
      </c>
      <c r="I304" s="14" t="str">
        <f t="shared" si="437"/>
        <v>Tunisia</v>
      </c>
      <c r="J304" s="14" t="str">
        <f t="array" ref="J304">IFERROR(INDEX([1]Companies!$Y:$Y,MATCH(B304,[1]Companies!$A:$A,0)),"")</f>
        <v>Video Games, Graphic Designs</v>
      </c>
      <c r="K304" s="14" t="str">
        <f t="array" ref="K304">IFERROR(INDEX([1]Companies!$X:$X,MATCH(B304,[1]Companies!$A:$A,0)),"")</f>
        <v>Media &amp; Entertainment</v>
      </c>
      <c r="L304" s="14" t="str">
        <f>VLOOKUP(B304,[1]Companies!$A$1:$C$5243,1,FALSE)</f>
        <v>Polysmart</v>
      </c>
      <c r="M304" s="15">
        <f t="shared" si="438"/>
        <v>0.9</v>
      </c>
      <c r="N304" s="10" t="str">
        <f t="shared" si="439"/>
        <v>42913Polysmart600000</v>
      </c>
      <c r="O304" s="14" t="str">
        <f t="shared" si="440"/>
        <v/>
      </c>
      <c r="P304" s="14">
        <f t="shared" si="441"/>
        <v>1</v>
      </c>
      <c r="Q304" s="14">
        <f t="array" ref="Q304">IFERROR(INDEX([1]Companies!$D:$D,MATCH(B304,[1]Companies!$A:$A,0)),"")</f>
        <v>2015</v>
      </c>
      <c r="R304" s="17">
        <f t="shared" si="442"/>
        <v>600000</v>
      </c>
      <c r="S304" s="14">
        <f>VLOOKUP(I304,[1]Lookups!$V$3:$Y$197,4,FALSE)</f>
        <v>0</v>
      </c>
      <c r="T304" s="14" t="str">
        <f>VLOOKUP(E304,[1]Lookups!$H$3:$I$71,2,FALSE)</f>
        <v>2. Seed</v>
      </c>
      <c r="U304" s="14" t="str">
        <f>VLOOKUP(K304,[1]Lookups!$B$3:$C$142,2,FALSE)</f>
        <v>Media &amp; Entertainment</v>
      </c>
      <c r="V304" s="14">
        <f t="shared" si="396"/>
        <v>2017</v>
      </c>
      <c r="W304" s="14">
        <f t="shared" si="397"/>
        <v>6</v>
      </c>
      <c r="X304" s="14">
        <f>VLOOKUP(W304,[1]Lookups!$P$3:$S$15,2,FALSE)</f>
        <v>2</v>
      </c>
      <c r="Y304" s="16">
        <f>VLOOKUP(W304,[1]Lookups!$P$3:$U$15,3,FALSE)</f>
        <v>1</v>
      </c>
      <c r="Z304" s="16">
        <f t="shared" si="398"/>
        <v>1</v>
      </c>
      <c r="AA304" s="16" t="str">
        <f t="shared" ca="1" si="454"/>
        <v>LoftyInc Capital Management</v>
      </c>
      <c r="AB304" s="16">
        <f t="shared" si="454"/>
        <v>0</v>
      </c>
      <c r="AC304" s="16">
        <f t="shared" si="454"/>
        <v>0</v>
      </c>
      <c r="AD304" s="16">
        <f t="shared" si="454"/>
        <v>0</v>
      </c>
      <c r="AE304" s="16">
        <f t="shared" si="454"/>
        <v>0</v>
      </c>
      <c r="AF304" s="16">
        <f t="shared" si="454"/>
        <v>0</v>
      </c>
      <c r="AG304" s="16">
        <f t="shared" si="454"/>
        <v>0</v>
      </c>
      <c r="AH304" s="16">
        <f t="shared" si="454"/>
        <v>0</v>
      </c>
      <c r="AI304" s="16">
        <f t="shared" si="454"/>
        <v>0</v>
      </c>
      <c r="AJ304" s="16">
        <f t="shared" si="454"/>
        <v>0</v>
      </c>
      <c r="AK304" s="16">
        <f t="shared" si="454"/>
        <v>0</v>
      </c>
      <c r="AL304" s="16">
        <f t="shared" si="454"/>
        <v>0</v>
      </c>
      <c r="AM304" s="16">
        <f t="shared" si="454"/>
        <v>0</v>
      </c>
      <c r="AN304" s="16">
        <f t="shared" si="454"/>
        <v>0</v>
      </c>
      <c r="AO304" s="16">
        <f t="shared" si="454"/>
        <v>0</v>
      </c>
      <c r="AP304" s="10"/>
      <c r="AQ304" s="10"/>
      <c r="AR304" s="10"/>
      <c r="AS304" s="10" t="str">
        <f t="shared" ref="AS304" ca="1" si="463">IFERROR(__xludf.DUMMYFUNCTION("split(F283,"","",true,true)"),"LoftyInc Capital Management")</f>
        <v>LoftyInc Capital Management</v>
      </c>
      <c r="AT304" s="10"/>
      <c r="AU304" s="10"/>
      <c r="AV304" s="10"/>
      <c r="AW304" s="10"/>
      <c r="AX304" s="10"/>
      <c r="AY304" s="10"/>
      <c r="AZ304" s="10"/>
      <c r="BA304" s="10"/>
      <c r="BB304" s="10"/>
      <c r="BC304" s="10"/>
      <c r="BD304" s="10"/>
      <c r="BE304" s="10"/>
      <c r="BF304" s="10"/>
      <c r="BG304" s="10"/>
      <c r="BH304" s="10"/>
      <c r="BI304" s="10"/>
      <c r="BJ304" s="10"/>
      <c r="BK304" s="10"/>
      <c r="BM304" s="10"/>
    </row>
    <row r="305" spans="1:65" ht="12.75">
      <c r="A305" s="18">
        <v>42914</v>
      </c>
      <c r="B305" s="14" t="s">
        <v>377</v>
      </c>
      <c r="C305" s="19">
        <v>1100000</v>
      </c>
      <c r="D305" s="19"/>
      <c r="E305" s="14" t="s">
        <v>45</v>
      </c>
      <c r="F305" s="14" t="s">
        <v>727</v>
      </c>
      <c r="G305" s="21" t="s">
        <v>728</v>
      </c>
      <c r="H305" s="14" t="str">
        <f t="array" ref="H305">IFERROR(INDEX([1]Companies!$G:$G,MATCH(B305,[1]Companies!$A:$A,0)),"")</f>
        <v>Ghana</v>
      </c>
      <c r="I305" s="14" t="str">
        <f t="shared" si="437"/>
        <v>Ghana</v>
      </c>
      <c r="J305" s="14" t="str">
        <f t="array" ref="J305">IFERROR(INDEX([1]Companies!$Y:$Y,MATCH(B305,[1]Companies!$A:$A,0)),"")</f>
        <v>Digital Marketing, Marketing, Social Media Management</v>
      </c>
      <c r="K305" s="14" t="str">
        <f t="array" ref="K305">IFERROR(INDEX([1]Companies!$X:$X,MATCH(B305,[1]Companies!$A:$A,0)),"")</f>
        <v>Media &amp; Entertainment</v>
      </c>
      <c r="L305" s="14" t="str">
        <f>VLOOKUP(B305,[1]Companies!$A$1:$C$5243,1,FALSE)</f>
        <v>Omg Digital</v>
      </c>
      <c r="M305" s="15">
        <f t="shared" si="438"/>
        <v>0.9</v>
      </c>
      <c r="N305" s="10" t="str">
        <f t="shared" si="439"/>
        <v>42914OMG Digital1100000</v>
      </c>
      <c r="O305" s="14" t="str">
        <f t="shared" si="440"/>
        <v/>
      </c>
      <c r="P305" s="14">
        <f t="shared" si="441"/>
        <v>1</v>
      </c>
      <c r="Q305" s="14">
        <f t="array" ref="Q305">IFERROR(INDEX([1]Companies!$D:$D,MATCH(B305,[1]Companies!$A:$A,0)),"")</f>
        <v>2016</v>
      </c>
      <c r="R305" s="17">
        <f t="shared" si="442"/>
        <v>1220000</v>
      </c>
      <c r="S305" s="14">
        <f>VLOOKUP(I305,[1]Lookups!$V$3:$Y$197,4,FALSE)</f>
        <v>0</v>
      </c>
      <c r="T305" s="14" t="str">
        <f>VLOOKUP(E305,[1]Lookups!$H$3:$I$71,2,FALSE)</f>
        <v>2. Seed</v>
      </c>
      <c r="U305" s="14" t="str">
        <f>VLOOKUP(K305,[1]Lookups!$B$3:$C$142,2,FALSE)</f>
        <v>Media &amp; Entertainment</v>
      </c>
      <c r="V305" s="14">
        <f t="shared" si="396"/>
        <v>2017</v>
      </c>
      <c r="W305" s="14">
        <f t="shared" si="397"/>
        <v>6</v>
      </c>
      <c r="X305" s="14">
        <f>VLOOKUP(W305,[1]Lookups!$P$3:$S$15,2,FALSE)</f>
        <v>2</v>
      </c>
      <c r="Y305" s="16">
        <f>VLOOKUP(W305,[1]Lookups!$P$3:$U$15,3,FALSE)</f>
        <v>1</v>
      </c>
      <c r="Z305" s="16">
        <f t="shared" si="398"/>
        <v>8</v>
      </c>
      <c r="AA305" s="16" t="str">
        <f t="shared" ca="1" si="454"/>
        <v>LoftyInc Capital Management</v>
      </c>
      <c r="AB305" s="16" t="str">
        <f t="shared" ca="1" si="454"/>
        <v xml:space="preserve"> Soma Capital</v>
      </c>
      <c r="AC305" s="16" t="str">
        <f t="shared" ca="1" si="454"/>
        <v xml:space="preserve"> Social Capital</v>
      </c>
      <c r="AD305" s="16" t="str">
        <f t="shared" ca="1" si="454"/>
        <v xml:space="preserve"> M &amp; Y Growth Partners</v>
      </c>
      <c r="AE305" s="16" t="str">
        <f t="shared" ca="1" si="454"/>
        <v xml:space="preserve"> Kima Ventures</v>
      </c>
      <c r="AF305" s="16" t="str">
        <f t="shared" ca="1" si="454"/>
        <v xml:space="preserve"> Josh Buckley</v>
      </c>
      <c r="AG305" s="16" t="str">
        <f t="shared" ca="1" si="454"/>
        <v xml:space="preserve"> Frances Xavier Helgesen</v>
      </c>
      <c r="AH305" s="16" t="str">
        <f t="shared" ca="1" si="454"/>
        <v xml:space="preserve"> Comcast Ventures</v>
      </c>
      <c r="AI305" s="16">
        <f t="shared" si="454"/>
        <v>0</v>
      </c>
      <c r="AJ305" s="16">
        <f t="shared" si="454"/>
        <v>0</v>
      </c>
      <c r="AK305" s="16">
        <f t="shared" si="454"/>
        <v>0</v>
      </c>
      <c r="AL305" s="16">
        <f t="shared" si="454"/>
        <v>0</v>
      </c>
      <c r="AM305" s="16">
        <f t="shared" si="454"/>
        <v>0</v>
      </c>
      <c r="AN305" s="16">
        <f t="shared" si="454"/>
        <v>0</v>
      </c>
      <c r="AO305" s="16">
        <f t="shared" si="454"/>
        <v>0</v>
      </c>
      <c r="AP305" s="10"/>
      <c r="AQ305" s="10"/>
      <c r="AR305" s="10"/>
      <c r="AS305" s="10" t="str">
        <f t="shared" ref="AS305" ca="1" si="464">IFERROR(__xludf.DUMMYFUNCTION("split(F283,"","",true,true)"),"LoftyInc Capital Management")</f>
        <v>LoftyInc Capital Management</v>
      </c>
      <c r="AT305" s="10" t="str">
        <f ca="1">IFERROR(__xludf.DUMMYFUNCTION("""COMPUTED_VALUE""")," Soma Capital")</f>
        <v xml:space="preserve"> Soma Capital</v>
      </c>
      <c r="AU305" s="10" t="str">
        <f ca="1">IFERROR(__xludf.DUMMYFUNCTION("""COMPUTED_VALUE""")," Social Capital")</f>
        <v xml:space="preserve"> Social Capital</v>
      </c>
      <c r="AV305" s="10" t="str">
        <f ca="1">IFERROR(__xludf.DUMMYFUNCTION("""COMPUTED_VALUE""")," M &amp; Y Growth Partners")</f>
        <v xml:space="preserve"> M &amp; Y Growth Partners</v>
      </c>
      <c r="AW305" s="10" t="str">
        <f ca="1">IFERROR(__xludf.DUMMYFUNCTION("""COMPUTED_VALUE""")," Kima Ventures")</f>
        <v xml:space="preserve"> Kima Ventures</v>
      </c>
      <c r="AX305" s="10" t="str">
        <f ca="1">IFERROR(__xludf.DUMMYFUNCTION("""COMPUTED_VALUE""")," Josh Buckley")</f>
        <v xml:space="preserve"> Josh Buckley</v>
      </c>
      <c r="AY305" s="10" t="str">
        <f ca="1">IFERROR(__xludf.DUMMYFUNCTION("""COMPUTED_VALUE""")," Frances Xavier Helgesen")</f>
        <v xml:space="preserve"> Frances Xavier Helgesen</v>
      </c>
      <c r="AZ305" s="10" t="str">
        <f ca="1">IFERROR(__xludf.DUMMYFUNCTION("""COMPUTED_VALUE""")," Comcast Ventures")</f>
        <v xml:space="preserve"> Comcast Ventures</v>
      </c>
      <c r="BA305" s="10"/>
      <c r="BB305" s="10"/>
      <c r="BC305" s="10"/>
      <c r="BD305" s="10"/>
      <c r="BE305" s="10"/>
      <c r="BF305" s="10"/>
      <c r="BG305" s="10"/>
      <c r="BH305" s="10"/>
      <c r="BI305" s="10"/>
      <c r="BJ305" s="10"/>
      <c r="BK305" s="10"/>
      <c r="BM305" s="10"/>
    </row>
    <row r="306" spans="1:65" ht="12.75">
      <c r="A306" s="9">
        <v>42917</v>
      </c>
      <c r="B306" s="10" t="s">
        <v>109</v>
      </c>
      <c r="C306" s="11">
        <v>200000</v>
      </c>
      <c r="D306" s="12"/>
      <c r="E306" s="10" t="s">
        <v>45</v>
      </c>
      <c r="F306" s="10" t="s">
        <v>226</v>
      </c>
      <c r="G306" s="13" t="s">
        <v>111</v>
      </c>
      <c r="H306" s="14" t="str">
        <f t="array" ref="H306">IFERROR(INDEX([1]Companies!$G:$G,MATCH(B306,[1]Companies!$A:$A,0)),"")</f>
        <v>Egypt</v>
      </c>
      <c r="I306" s="14" t="str">
        <f t="shared" si="437"/>
        <v>Egypt</v>
      </c>
      <c r="J306" s="14" t="str">
        <f t="array" ref="J306">IFERROR(INDEX([1]Companies!$Y:$Y,MATCH(B306,[1]Companies!$A:$A,0)),"")</f>
        <v>Services, Gigs</v>
      </c>
      <c r="K306" s="14" t="str">
        <f t="array" ref="K306">IFERROR(INDEX([1]Companies!$X:$X,MATCH(B306,[1]Companies!$A:$A,0)),"")</f>
        <v>E-Commerce &amp; Retail</v>
      </c>
      <c r="L306" s="14" t="str">
        <f>VLOOKUP(B306,[1]Companies!$A$1:$C$5243,1,FALSE)</f>
        <v>Taskty</v>
      </c>
      <c r="M306" s="15">
        <f t="shared" si="438"/>
        <v>0.9</v>
      </c>
      <c r="N306" s="10" t="str">
        <f t="shared" si="439"/>
        <v>42917Taskty200000</v>
      </c>
      <c r="O306" s="14" t="str">
        <f t="shared" si="440"/>
        <v/>
      </c>
      <c r="P306" s="14">
        <f t="shared" si="441"/>
        <v>1</v>
      </c>
      <c r="Q306" s="14">
        <f t="array" ref="Q306">IFERROR(INDEX([1]Companies!$D:$D,MATCH(B306,[1]Companies!$A:$A,0)),"")</f>
        <v>2012</v>
      </c>
      <c r="R306" s="17">
        <f t="shared" si="442"/>
        <v>510000</v>
      </c>
      <c r="S306" s="14">
        <f>VLOOKUP(I306,[1]Lookups!$V$3:$Y$197,4,FALSE)</f>
        <v>0</v>
      </c>
      <c r="T306" s="14" t="str">
        <f>VLOOKUP(E306,[1]Lookups!$H$3:$I$71,2,FALSE)</f>
        <v>2. Seed</v>
      </c>
      <c r="U306" s="14" t="str">
        <f>VLOOKUP(K306,[1]Lookups!$B$3:$C$142,2,FALSE)</f>
        <v>E-commerce &amp; Retail</v>
      </c>
      <c r="V306" s="14">
        <f t="shared" si="396"/>
        <v>2017</v>
      </c>
      <c r="W306" s="14">
        <f t="shared" si="397"/>
        <v>7</v>
      </c>
      <c r="X306" s="14">
        <f>VLOOKUP(W306,[1]Lookups!$P$3:$S$15,2,FALSE)</f>
        <v>3</v>
      </c>
      <c r="Y306" s="16">
        <f>VLOOKUP(W306,[1]Lookups!$P$3:$U$15,3,FALSE)</f>
        <v>2</v>
      </c>
      <c r="Z306" s="16">
        <f t="shared" si="398"/>
        <v>1</v>
      </c>
      <c r="AA306" s="16" t="str">
        <f t="shared" ca="1" si="454"/>
        <v>LoftyInc Capital Management</v>
      </c>
      <c r="AB306" s="16">
        <f t="shared" si="454"/>
        <v>0</v>
      </c>
      <c r="AC306" s="16">
        <f t="shared" si="454"/>
        <v>0</v>
      </c>
      <c r="AD306" s="16">
        <f t="shared" si="454"/>
        <v>0</v>
      </c>
      <c r="AE306" s="16">
        <f t="shared" si="454"/>
        <v>0</v>
      </c>
      <c r="AF306" s="16">
        <f t="shared" si="454"/>
        <v>0</v>
      </c>
      <c r="AG306" s="16">
        <f t="shared" si="454"/>
        <v>0</v>
      </c>
      <c r="AH306" s="16">
        <f t="shared" si="454"/>
        <v>0</v>
      </c>
      <c r="AI306" s="16">
        <f t="shared" si="454"/>
        <v>0</v>
      </c>
      <c r="AJ306" s="16">
        <f t="shared" si="454"/>
        <v>0</v>
      </c>
      <c r="AK306" s="16">
        <f t="shared" si="454"/>
        <v>0</v>
      </c>
      <c r="AL306" s="16">
        <f t="shared" si="454"/>
        <v>0</v>
      </c>
      <c r="AM306" s="16">
        <f t="shared" si="454"/>
        <v>0</v>
      </c>
      <c r="AN306" s="16">
        <f t="shared" si="454"/>
        <v>0</v>
      </c>
      <c r="AO306" s="16">
        <f t="shared" si="454"/>
        <v>0</v>
      </c>
      <c r="AP306" s="10"/>
      <c r="AQ306" s="10"/>
      <c r="AR306" s="10"/>
      <c r="AS306" s="10" t="str">
        <f t="shared" ref="AS306" ca="1" si="465">IFERROR(__xludf.DUMMYFUNCTION("split(F283,"","",true,true)"),"LoftyInc Capital Management")</f>
        <v>LoftyInc Capital Management</v>
      </c>
      <c r="AT306" s="10"/>
      <c r="AU306" s="10"/>
      <c r="AV306" s="10"/>
      <c r="AW306" s="10"/>
      <c r="AX306" s="10"/>
      <c r="AY306" s="10"/>
      <c r="AZ306" s="10"/>
      <c r="BA306" s="10"/>
      <c r="BB306" s="10"/>
      <c r="BC306" s="10"/>
      <c r="BD306" s="10"/>
      <c r="BE306" s="10"/>
      <c r="BF306" s="10"/>
      <c r="BG306" s="10"/>
      <c r="BH306" s="10"/>
      <c r="BI306" s="10"/>
      <c r="BJ306" s="10"/>
      <c r="BK306" s="10"/>
      <c r="BM306" s="10"/>
    </row>
    <row r="307" spans="1:65" ht="12.75">
      <c r="A307" s="9">
        <v>42926</v>
      </c>
      <c r="B307" s="10" t="s">
        <v>632</v>
      </c>
      <c r="C307" s="11" t="s">
        <v>49</v>
      </c>
      <c r="D307" s="12"/>
      <c r="E307" s="14" t="s">
        <v>45</v>
      </c>
      <c r="F307" s="10" t="s">
        <v>729</v>
      </c>
      <c r="G307" s="13" t="s">
        <v>730</v>
      </c>
      <c r="H307" s="14" t="str">
        <f t="array" ref="H307">IFERROR(INDEX([1]Companies!$G:$G,MATCH(B307,[1]Companies!$A:$A,0)),"")</f>
        <v>Nigeria</v>
      </c>
      <c r="I307" s="14" t="str">
        <f t="shared" si="437"/>
        <v>Nigeria</v>
      </c>
      <c r="J307" s="14" t="str">
        <f t="array" ref="J307">IFERROR(INDEX([1]Companies!$Y:$Y,MATCH(B307,[1]Companies!$A:$A,0)),"")</f>
        <v>Artificial Intelligence, Banking, Finance, Financial Services, FinTech</v>
      </c>
      <c r="K307" s="14" t="str">
        <f t="array" ref="K307">IFERROR(INDEX([1]Companies!$X:$X,MATCH(B307,[1]Companies!$A:$A,0)),"")</f>
        <v>Financial Services</v>
      </c>
      <c r="L307" s="14" t="str">
        <f>VLOOKUP(B307,[1]Companies!$A$1:$C$5243,1,FALSE)</f>
        <v>Kudi</v>
      </c>
      <c r="M307" s="15">
        <f t="shared" si="438"/>
        <v>0.9</v>
      </c>
      <c r="N307" s="10" t="str">
        <f t="shared" si="439"/>
        <v>42926KudiUndisclosed</v>
      </c>
      <c r="O307" s="14" t="str">
        <f t="shared" si="440"/>
        <v/>
      </c>
      <c r="P307" s="14">
        <f t="shared" si="441"/>
        <v>0</v>
      </c>
      <c r="Q307" s="14">
        <f t="array" ref="Q307">IFERROR(INDEX([1]Companies!$D:$D,MATCH(B307,[1]Companies!$A:$A,0)),"")</f>
        <v>2016</v>
      </c>
      <c r="R307" s="17">
        <f t="shared" si="442"/>
        <v>5120000</v>
      </c>
      <c r="S307" s="14">
        <f>VLOOKUP(I307,[1]Lookups!$V$3:$Y$197,4,FALSE)</f>
        <v>0</v>
      </c>
      <c r="T307" s="14" t="str">
        <f>VLOOKUP(E307,[1]Lookups!$H$3:$I$71,2,FALSE)</f>
        <v>2. Seed</v>
      </c>
      <c r="U307" s="14" t="str">
        <f>VLOOKUP(K307,[1]Lookups!$B$3:$C$142,2,FALSE)</f>
        <v>Financial Services</v>
      </c>
      <c r="V307" s="14">
        <f t="shared" si="396"/>
        <v>2017</v>
      </c>
      <c r="W307" s="14">
        <f t="shared" si="397"/>
        <v>7</v>
      </c>
      <c r="X307" s="14">
        <f>VLOOKUP(W307,[1]Lookups!$P$3:$S$15,2,FALSE)</f>
        <v>3</v>
      </c>
      <c r="Y307" s="16">
        <f>VLOOKUP(W307,[1]Lookups!$P$3:$U$15,3,FALSE)</f>
        <v>2</v>
      </c>
      <c r="Z307" s="16">
        <f t="shared" si="398"/>
        <v>1</v>
      </c>
      <c r="AA307" s="16" t="str">
        <f t="shared" ca="1" si="454"/>
        <v>LoftyInc Capital Management</v>
      </c>
      <c r="AB307" s="16">
        <f t="shared" si="454"/>
        <v>0</v>
      </c>
      <c r="AC307" s="16">
        <f t="shared" si="454"/>
        <v>0</v>
      </c>
      <c r="AD307" s="16">
        <f t="shared" si="454"/>
        <v>0</v>
      </c>
      <c r="AE307" s="16">
        <f t="shared" si="454"/>
        <v>0</v>
      </c>
      <c r="AF307" s="16">
        <f t="shared" si="454"/>
        <v>0</v>
      </c>
      <c r="AG307" s="16">
        <f t="shared" si="454"/>
        <v>0</v>
      </c>
      <c r="AH307" s="16">
        <f t="shared" si="454"/>
        <v>0</v>
      </c>
      <c r="AI307" s="16">
        <f t="shared" si="454"/>
        <v>0</v>
      </c>
      <c r="AJ307" s="16">
        <f t="shared" si="454"/>
        <v>0</v>
      </c>
      <c r="AK307" s="16">
        <f t="shared" si="454"/>
        <v>0</v>
      </c>
      <c r="AL307" s="16">
        <f t="shared" si="454"/>
        <v>0</v>
      </c>
      <c r="AM307" s="16">
        <f t="shared" si="454"/>
        <v>0</v>
      </c>
      <c r="AN307" s="16">
        <f t="shared" si="454"/>
        <v>0</v>
      </c>
      <c r="AO307" s="16">
        <f t="shared" si="454"/>
        <v>0</v>
      </c>
      <c r="AP307" s="10"/>
      <c r="AQ307" s="10"/>
      <c r="AR307" s="10"/>
      <c r="AS307" s="10" t="str">
        <f t="shared" ref="AS307" ca="1" si="466">IFERROR(__xludf.DUMMYFUNCTION("split(F283,"","",true,true)"),"LoftyInc Capital Management")</f>
        <v>LoftyInc Capital Management</v>
      </c>
      <c r="AT307" s="10"/>
      <c r="AU307" s="10"/>
      <c r="AV307" s="10"/>
      <c r="AW307" s="10"/>
      <c r="AX307" s="10"/>
      <c r="AY307" s="10"/>
      <c r="AZ307" s="10"/>
      <c r="BA307" s="10"/>
      <c r="BB307" s="10"/>
      <c r="BC307" s="10"/>
      <c r="BD307" s="10"/>
      <c r="BE307" s="10"/>
      <c r="BF307" s="10"/>
      <c r="BG307" s="10"/>
      <c r="BH307" s="10"/>
      <c r="BI307" s="10"/>
      <c r="BJ307" s="10"/>
      <c r="BK307" s="10"/>
      <c r="BM307" s="10"/>
    </row>
    <row r="308" spans="1:65" ht="12.75">
      <c r="A308" s="9">
        <v>42933</v>
      </c>
      <c r="B308" s="10" t="s">
        <v>623</v>
      </c>
      <c r="C308" s="11" t="s">
        <v>49</v>
      </c>
      <c r="D308" s="12"/>
      <c r="E308" s="10" t="s">
        <v>45</v>
      </c>
      <c r="F308" s="10" t="s">
        <v>232</v>
      </c>
      <c r="G308" s="13" t="s">
        <v>731</v>
      </c>
      <c r="H308" s="14" t="str">
        <f t="array" ref="H308">IFERROR(INDEX([1]Companies!$G:$G,MATCH(B308,[1]Companies!$A:$A,0)),"")</f>
        <v>Egypt</v>
      </c>
      <c r="I308" s="14" t="str">
        <f t="shared" si="437"/>
        <v>Egypt</v>
      </c>
      <c r="J308" s="14" t="str">
        <f t="array" ref="J308">IFERROR(INDEX([1]Companies!$Y:$Y,MATCH(B308,[1]Companies!$A:$A,0)),"")</f>
        <v>Technology, Logistics, Courier, and Transportation</v>
      </c>
      <c r="K308" s="14" t="str">
        <f t="array" ref="K308">IFERROR(INDEX([1]Companies!$X:$X,MATCH(B308,[1]Companies!$A:$A,0)),"")</f>
        <v>Transport &amp; Logistics</v>
      </c>
      <c r="L308" s="14" t="str">
        <f>VLOOKUP(B308,[1]Companies!$A$1:$C$5243,1,FALSE)</f>
        <v>Bosta</v>
      </c>
      <c r="M308" s="15">
        <f t="shared" si="438"/>
        <v>0.9</v>
      </c>
      <c r="N308" s="10" t="str">
        <f t="shared" si="439"/>
        <v>42933BostaUndisclosed</v>
      </c>
      <c r="O308" s="14" t="str">
        <f t="shared" si="440"/>
        <v/>
      </c>
      <c r="P308" s="14">
        <f t="shared" si="441"/>
        <v>0</v>
      </c>
      <c r="Q308" s="14">
        <f t="array" ref="Q308">IFERROR(INDEX([1]Companies!$D:$D,MATCH(B308,[1]Companies!$A:$A,0)),"")</f>
        <v>2016</v>
      </c>
      <c r="R308" s="17">
        <f t="shared" si="442"/>
        <v>300000</v>
      </c>
      <c r="S308" s="14">
        <f>VLOOKUP(I308,[1]Lookups!$V$3:$Y$197,4,FALSE)</f>
        <v>0</v>
      </c>
      <c r="T308" s="14" t="str">
        <f>VLOOKUP(E308,[1]Lookups!$H$3:$I$71,2,FALSE)</f>
        <v>2. Seed</v>
      </c>
      <c r="U308" s="14" t="str">
        <f>VLOOKUP(K308,[1]Lookups!$B$3:$C$142,2,FALSE)</f>
        <v>Transport &amp; Logistics</v>
      </c>
      <c r="V308" s="14">
        <f t="shared" si="396"/>
        <v>2017</v>
      </c>
      <c r="W308" s="14">
        <f t="shared" si="397"/>
        <v>7</v>
      </c>
      <c r="X308" s="14">
        <f>VLOOKUP(W308,[1]Lookups!$P$3:$S$15,2,FALSE)</f>
        <v>3</v>
      </c>
      <c r="Y308" s="16">
        <f>VLOOKUP(W308,[1]Lookups!$P$3:$U$15,3,FALSE)</f>
        <v>2</v>
      </c>
      <c r="Z308" s="16">
        <f t="shared" si="398"/>
        <v>1</v>
      </c>
      <c r="AA308" s="16" t="str">
        <f t="shared" ca="1" si="454"/>
        <v>LoftyInc Capital Management</v>
      </c>
      <c r="AB308" s="16">
        <f t="shared" si="454"/>
        <v>0</v>
      </c>
      <c r="AC308" s="16">
        <f t="shared" si="454"/>
        <v>0</v>
      </c>
      <c r="AD308" s="16">
        <f t="shared" si="454"/>
        <v>0</v>
      </c>
      <c r="AE308" s="16">
        <f t="shared" si="454"/>
        <v>0</v>
      </c>
      <c r="AF308" s="16">
        <f t="shared" si="454"/>
        <v>0</v>
      </c>
      <c r="AG308" s="16">
        <f t="shared" si="454"/>
        <v>0</v>
      </c>
      <c r="AH308" s="16">
        <f t="shared" si="454"/>
        <v>0</v>
      </c>
      <c r="AI308" s="16">
        <f t="shared" si="454"/>
        <v>0</v>
      </c>
      <c r="AJ308" s="16">
        <f t="shared" si="454"/>
        <v>0</v>
      </c>
      <c r="AK308" s="16">
        <f t="shared" si="454"/>
        <v>0</v>
      </c>
      <c r="AL308" s="16">
        <f t="shared" si="454"/>
        <v>0</v>
      </c>
      <c r="AM308" s="16">
        <f t="shared" si="454"/>
        <v>0</v>
      </c>
      <c r="AN308" s="16">
        <f t="shared" si="454"/>
        <v>0</v>
      </c>
      <c r="AO308" s="16">
        <f t="shared" si="454"/>
        <v>0</v>
      </c>
      <c r="AP308" s="10"/>
      <c r="AQ308" s="10"/>
      <c r="AR308" s="10"/>
      <c r="AS308" s="10" t="str">
        <f t="shared" ref="AS308" ca="1" si="467">IFERROR(__xludf.DUMMYFUNCTION("split(F283,"","",true,true)"),"LoftyInc Capital Management")</f>
        <v>LoftyInc Capital Management</v>
      </c>
      <c r="AT308" s="10"/>
      <c r="AU308" s="10"/>
      <c r="AV308" s="10"/>
      <c r="AW308" s="10"/>
      <c r="AX308" s="10"/>
      <c r="AY308" s="10"/>
      <c r="AZ308" s="10"/>
      <c r="BA308" s="10"/>
      <c r="BB308" s="10"/>
      <c r="BC308" s="10"/>
      <c r="BD308" s="10"/>
      <c r="BE308" s="10"/>
      <c r="BF308" s="10"/>
      <c r="BG308" s="10"/>
      <c r="BH308" s="10"/>
      <c r="BI308" s="10"/>
      <c r="BJ308" s="10"/>
      <c r="BK308" s="10"/>
      <c r="BM308" s="10"/>
    </row>
    <row r="309" spans="1:65" ht="12.75">
      <c r="A309" s="9">
        <v>42941</v>
      </c>
      <c r="B309" s="10" t="s">
        <v>732</v>
      </c>
      <c r="C309" s="11">
        <v>2200000</v>
      </c>
      <c r="D309" s="12"/>
      <c r="E309" s="14" t="s">
        <v>45</v>
      </c>
      <c r="F309" s="29" t="s">
        <v>49</v>
      </c>
      <c r="G309" s="13" t="s">
        <v>733</v>
      </c>
      <c r="H309" s="14" t="str">
        <f t="array" ref="H309">IFERROR(INDEX([1]Companies!$G:$G,MATCH(B309,[1]Companies!$A:$A,0)),"")</f>
        <v>South Africa</v>
      </c>
      <c r="I309" s="14" t="str">
        <f t="shared" si="437"/>
        <v>South Africa</v>
      </c>
      <c r="J309" s="14" t="str">
        <f t="array" ref="J309">IFERROR(INDEX([1]Companies!$Y:$Y,MATCH(B309,[1]Companies!$A:$A,0)),"")</f>
        <v>Health Care, Software, Audiology, audiometry, mHealth, eHealth</v>
      </c>
      <c r="K309" s="14" t="str">
        <f t="array" ref="K309">IFERROR(INDEX([1]Companies!$X:$X,MATCH(B309,[1]Companies!$A:$A,0)),"")</f>
        <v>Healthcare &amp; Pharma</v>
      </c>
      <c r="L309" s="14" t="str">
        <f>VLOOKUP(B309,[1]Companies!$A$1:$C$5243,1,FALSE)</f>
        <v>hearX Group</v>
      </c>
      <c r="M309" s="15">
        <f t="shared" si="438"/>
        <v>0.9</v>
      </c>
      <c r="N309" s="10" t="str">
        <f t="shared" si="439"/>
        <v>42941hearX Group2200000</v>
      </c>
      <c r="O309" s="14" t="str">
        <f t="shared" si="440"/>
        <v/>
      </c>
      <c r="P309" s="14">
        <f t="shared" si="441"/>
        <v>1</v>
      </c>
      <c r="Q309" s="14">
        <f t="array" ref="Q309">IFERROR(INDEX([1]Companies!$D:$D,MATCH(B309,[1]Companies!$A:$A,0)),"")</f>
        <v>2015</v>
      </c>
      <c r="R309" s="17">
        <f t="shared" si="442"/>
        <v>2700000</v>
      </c>
      <c r="S309" s="14">
        <f>VLOOKUP(I309,[1]Lookups!$V$3:$Y$197,4,FALSE)</f>
        <v>0</v>
      </c>
      <c r="T309" s="14" t="str">
        <f>VLOOKUP(E309,[1]Lookups!$H$3:$I$71,2,FALSE)</f>
        <v>2. Seed</v>
      </c>
      <c r="U309" s="14" t="str">
        <f>VLOOKUP(K309,[1]Lookups!$B$3:$C$142,2,FALSE)</f>
        <v>Health &amp; Pharmaceuticals</v>
      </c>
      <c r="V309" s="14">
        <f t="shared" si="396"/>
        <v>2017</v>
      </c>
      <c r="W309" s="14">
        <f t="shared" si="397"/>
        <v>7</v>
      </c>
      <c r="X309" s="14">
        <f>VLOOKUP(W309,[1]Lookups!$P$3:$S$15,2,FALSE)</f>
        <v>3</v>
      </c>
      <c r="Y309" s="16">
        <f>VLOOKUP(W309,[1]Lookups!$P$3:$U$15,3,FALSE)</f>
        <v>2</v>
      </c>
      <c r="Z309" s="16">
        <f t="shared" si="398"/>
        <v>1</v>
      </c>
      <c r="AA309" s="16" t="str">
        <f t="shared" ca="1" si="454"/>
        <v>LoftyInc Capital Management</v>
      </c>
      <c r="AB309" s="16">
        <f t="shared" si="454"/>
        <v>0</v>
      </c>
      <c r="AC309" s="16">
        <f t="shared" si="454"/>
        <v>0</v>
      </c>
      <c r="AD309" s="16">
        <f t="shared" si="454"/>
        <v>0</v>
      </c>
      <c r="AE309" s="16">
        <f t="shared" si="454"/>
        <v>0</v>
      </c>
      <c r="AF309" s="16">
        <f t="shared" si="454"/>
        <v>0</v>
      </c>
      <c r="AG309" s="16">
        <f t="shared" si="454"/>
        <v>0</v>
      </c>
      <c r="AH309" s="16">
        <f t="shared" si="454"/>
        <v>0</v>
      </c>
      <c r="AI309" s="16">
        <f t="shared" si="454"/>
        <v>0</v>
      </c>
      <c r="AJ309" s="16">
        <f t="shared" si="454"/>
        <v>0</v>
      </c>
      <c r="AK309" s="16">
        <f t="shared" si="454"/>
        <v>0</v>
      </c>
      <c r="AL309" s="16">
        <f t="shared" si="454"/>
        <v>0</v>
      </c>
      <c r="AM309" s="16">
        <f t="shared" si="454"/>
        <v>0</v>
      </c>
      <c r="AN309" s="16">
        <f t="shared" si="454"/>
        <v>0</v>
      </c>
      <c r="AO309" s="16">
        <f t="shared" si="454"/>
        <v>0</v>
      </c>
      <c r="AP309" s="10"/>
      <c r="AQ309" s="10"/>
      <c r="AR309" s="10"/>
      <c r="AS309" s="10" t="str">
        <f t="shared" ref="AS309" ca="1" si="468">IFERROR(__xludf.DUMMYFUNCTION("split(F283,"","",true,true)"),"LoftyInc Capital Management")</f>
        <v>LoftyInc Capital Management</v>
      </c>
      <c r="AT309" s="10"/>
      <c r="AU309" s="10"/>
      <c r="AV309" s="10"/>
      <c r="AW309" s="10"/>
      <c r="AX309" s="10"/>
      <c r="AY309" s="10"/>
      <c r="AZ309" s="10"/>
      <c r="BA309" s="10"/>
      <c r="BB309" s="10"/>
      <c r="BC309" s="10"/>
      <c r="BD309" s="10"/>
      <c r="BE309" s="10"/>
      <c r="BF309" s="10"/>
      <c r="BG309" s="10"/>
      <c r="BH309" s="10"/>
      <c r="BI309" s="10"/>
      <c r="BJ309" s="10"/>
      <c r="BK309" s="10"/>
      <c r="BM309" s="10"/>
    </row>
    <row r="310" spans="1:65" ht="12.75">
      <c r="A310" s="9">
        <v>42941</v>
      </c>
      <c r="B310" s="10" t="s">
        <v>732</v>
      </c>
      <c r="C310" s="11">
        <v>500000</v>
      </c>
      <c r="D310" s="12"/>
      <c r="E310" s="10" t="s">
        <v>55</v>
      </c>
      <c r="F310" s="29" t="s">
        <v>49</v>
      </c>
      <c r="G310" s="13" t="s">
        <v>734</v>
      </c>
      <c r="H310" s="14" t="str">
        <f t="array" ref="H310">IFERROR(INDEX([1]Companies!$G:$G,MATCH(B310,[1]Companies!$A:$A,0)),"")</f>
        <v>South Africa</v>
      </c>
      <c r="I310" s="14" t="str">
        <f t="shared" si="437"/>
        <v>South Africa</v>
      </c>
      <c r="J310" s="14" t="str">
        <f t="array" ref="J310">IFERROR(INDEX([1]Companies!$Y:$Y,MATCH(B310,[1]Companies!$A:$A,0)),"")</f>
        <v>Health Care, Software, Audiology, audiometry, mHealth, eHealth</v>
      </c>
      <c r="K310" s="14" t="str">
        <f t="array" ref="K310">IFERROR(INDEX([1]Companies!$X:$X,MATCH(B310,[1]Companies!$A:$A,0)),"")</f>
        <v>Healthcare &amp; Pharma</v>
      </c>
      <c r="L310" s="14" t="str">
        <f>VLOOKUP(B310,[1]Companies!$A$1:$C$5243,1,FALSE)</f>
        <v>hearX Group</v>
      </c>
      <c r="M310" s="15">
        <f t="shared" si="438"/>
        <v>0.9</v>
      </c>
      <c r="N310" s="10" t="str">
        <f t="shared" si="439"/>
        <v>42941hearX Group500000</v>
      </c>
      <c r="O310" s="14" t="str">
        <f t="shared" si="440"/>
        <v/>
      </c>
      <c r="P310" s="14">
        <f t="shared" si="441"/>
        <v>1</v>
      </c>
      <c r="Q310" s="14">
        <f t="array" ref="Q310">IFERROR(INDEX([1]Companies!$D:$D,MATCH(B310,[1]Companies!$A:$A,0)),"")</f>
        <v>2015</v>
      </c>
      <c r="R310" s="17">
        <f t="shared" si="442"/>
        <v>2700000</v>
      </c>
      <c r="S310" s="14">
        <f>VLOOKUP(I310,[1]Lookups!$V$3:$Y$197,4,FALSE)</f>
        <v>0</v>
      </c>
      <c r="T310" s="14" t="str">
        <f>VLOOKUP(E310,[1]Lookups!$H$3:$I$71,2,FALSE)</f>
        <v>1. Grant</v>
      </c>
      <c r="U310" s="14" t="str">
        <f>VLOOKUP(K310,[1]Lookups!$B$3:$C$142,2,FALSE)</f>
        <v>Health &amp; Pharmaceuticals</v>
      </c>
      <c r="V310" s="14">
        <f t="shared" si="396"/>
        <v>2017</v>
      </c>
      <c r="W310" s="14">
        <f t="shared" si="397"/>
        <v>7</v>
      </c>
      <c r="X310" s="14">
        <f>VLOOKUP(W310,[1]Lookups!$P$3:$S$15,2,FALSE)</f>
        <v>3</v>
      </c>
      <c r="Y310" s="16">
        <f>VLOOKUP(W310,[1]Lookups!$P$3:$U$15,3,FALSE)</f>
        <v>2</v>
      </c>
      <c r="Z310" s="16">
        <f t="shared" si="398"/>
        <v>1</v>
      </c>
      <c r="AA310" s="16" t="str">
        <f t="shared" ca="1" si="454"/>
        <v>LoftyInc Capital Management</v>
      </c>
      <c r="AB310" s="16">
        <f t="shared" si="454"/>
        <v>0</v>
      </c>
      <c r="AC310" s="16">
        <f t="shared" si="454"/>
        <v>0</v>
      </c>
      <c r="AD310" s="16">
        <f t="shared" si="454"/>
        <v>0</v>
      </c>
      <c r="AE310" s="16">
        <f t="shared" si="454"/>
        <v>0</v>
      </c>
      <c r="AF310" s="16">
        <f t="shared" si="454"/>
        <v>0</v>
      </c>
      <c r="AG310" s="16">
        <f t="shared" si="454"/>
        <v>0</v>
      </c>
      <c r="AH310" s="16">
        <f t="shared" si="454"/>
        <v>0</v>
      </c>
      <c r="AI310" s="16">
        <f t="shared" si="454"/>
        <v>0</v>
      </c>
      <c r="AJ310" s="16">
        <f t="shared" si="454"/>
        <v>0</v>
      </c>
      <c r="AK310" s="16">
        <f t="shared" si="454"/>
        <v>0</v>
      </c>
      <c r="AL310" s="16">
        <f t="shared" si="454"/>
        <v>0</v>
      </c>
      <c r="AM310" s="16">
        <f t="shared" si="454"/>
        <v>0</v>
      </c>
      <c r="AN310" s="16">
        <f t="shared" si="454"/>
        <v>0</v>
      </c>
      <c r="AO310" s="16">
        <f t="shared" si="454"/>
        <v>0</v>
      </c>
      <c r="AP310" s="10"/>
      <c r="AQ310" s="10"/>
      <c r="AR310" s="10"/>
      <c r="AS310" s="10" t="str">
        <f t="shared" ref="AS310" ca="1" si="469">IFERROR(__xludf.DUMMYFUNCTION("split(F283,"","",true,true)"),"LoftyInc Capital Management")</f>
        <v>LoftyInc Capital Management</v>
      </c>
      <c r="AT310" s="10"/>
      <c r="AU310" s="10"/>
      <c r="AV310" s="10"/>
      <c r="AW310" s="10"/>
      <c r="AX310" s="10"/>
      <c r="AY310" s="10"/>
      <c r="AZ310" s="10"/>
      <c r="BA310" s="10"/>
      <c r="BB310" s="10"/>
      <c r="BC310" s="10"/>
      <c r="BD310" s="10"/>
      <c r="BE310" s="10"/>
      <c r="BF310" s="10"/>
      <c r="BG310" s="10"/>
      <c r="BH310" s="10"/>
      <c r="BI310" s="10"/>
      <c r="BJ310" s="10"/>
      <c r="BK310" s="10"/>
      <c r="BM310" s="10"/>
    </row>
    <row r="311" spans="1:65" ht="12.75">
      <c r="A311" s="9">
        <v>42946</v>
      </c>
      <c r="B311" s="10" t="s">
        <v>399</v>
      </c>
      <c r="C311" s="11">
        <v>2000000</v>
      </c>
      <c r="D311" s="12"/>
      <c r="E311" s="10" t="s">
        <v>55</v>
      </c>
      <c r="F311" s="10" t="s">
        <v>735</v>
      </c>
      <c r="G311" s="13" t="s">
        <v>736</v>
      </c>
      <c r="H311" s="14" t="str">
        <f t="array" ref="H311">IFERROR(INDEX([1]Companies!$G:$G,MATCH(B311,[1]Companies!$A:$A,0)),"")</f>
        <v>Kenya</v>
      </c>
      <c r="I311" s="14" t="str">
        <f t="shared" si="437"/>
        <v>Kenya</v>
      </c>
      <c r="J311" s="14" t="str">
        <f t="array" ref="J311">IFERROR(INDEX([1]Companies!$Y:$Y,MATCH(B311,[1]Companies!$A:$A,0)),"")</f>
        <v>mCommerce, Distribution, and Agriculture</v>
      </c>
      <c r="K311" s="14" t="str">
        <f t="array" ref="K311">IFERROR(INDEX([1]Companies!$X:$X,MATCH(B311,[1]Companies!$A:$A,0)),"")</f>
        <v>E-Commerce &amp; Retail</v>
      </c>
      <c r="L311" s="14" t="str">
        <f>VLOOKUP(B311,[1]Companies!$A$1:$C$5243,1,FALSE)</f>
        <v>Twiga Foods</v>
      </c>
      <c r="M311" s="15">
        <f t="shared" si="438"/>
        <v>0.9</v>
      </c>
      <c r="N311" s="10" t="str">
        <f t="shared" si="439"/>
        <v>42946Twiga Foods2000000</v>
      </c>
      <c r="O311" s="14" t="str">
        <f t="shared" si="440"/>
        <v/>
      </c>
      <c r="P311" s="14">
        <f t="shared" si="441"/>
        <v>1</v>
      </c>
      <c r="Q311" s="14">
        <f t="array" ref="Q311">IFERROR(INDEX([1]Companies!$D:$D,MATCH(B311,[1]Companies!$A:$A,0)),"")</f>
        <v>2013</v>
      </c>
      <c r="R311" s="17">
        <f t="shared" si="442"/>
        <v>40350000</v>
      </c>
      <c r="S311" s="14">
        <f>VLOOKUP(I311,[1]Lookups!$V$3:$Y$197,4,FALSE)</f>
        <v>0</v>
      </c>
      <c r="T311" s="14" t="str">
        <f>VLOOKUP(E311,[1]Lookups!$H$3:$I$71,2,FALSE)</f>
        <v>1. Grant</v>
      </c>
      <c r="U311" s="14" t="str">
        <f>VLOOKUP(K311,[1]Lookups!$B$3:$C$142,2,FALSE)</f>
        <v>E-commerce &amp; Retail</v>
      </c>
      <c r="V311" s="14">
        <f t="shared" si="396"/>
        <v>2017</v>
      </c>
      <c r="W311" s="14">
        <f t="shared" si="397"/>
        <v>7</v>
      </c>
      <c r="X311" s="14">
        <f>VLOOKUP(W311,[1]Lookups!$P$3:$S$15,2,FALSE)</f>
        <v>3</v>
      </c>
      <c r="Y311" s="16">
        <f>VLOOKUP(W311,[1]Lookups!$P$3:$U$15,3,FALSE)</f>
        <v>2</v>
      </c>
      <c r="Z311" s="16">
        <f t="shared" si="398"/>
        <v>1</v>
      </c>
      <c r="AA311" s="16" t="str">
        <f t="shared" ca="1" si="454"/>
        <v>LoftyInc Capital Management</v>
      </c>
      <c r="AB311" s="16">
        <f t="shared" si="454"/>
        <v>0</v>
      </c>
      <c r="AC311" s="16">
        <f t="shared" si="454"/>
        <v>0</v>
      </c>
      <c r="AD311" s="16">
        <f t="shared" si="454"/>
        <v>0</v>
      </c>
      <c r="AE311" s="16">
        <f t="shared" si="454"/>
        <v>0</v>
      </c>
      <c r="AF311" s="16">
        <f t="shared" si="454"/>
        <v>0</v>
      </c>
      <c r="AG311" s="16">
        <f t="shared" si="454"/>
        <v>0</v>
      </c>
      <c r="AH311" s="16">
        <f t="shared" si="454"/>
        <v>0</v>
      </c>
      <c r="AI311" s="16">
        <f t="shared" si="454"/>
        <v>0</v>
      </c>
      <c r="AJ311" s="16">
        <f t="shared" si="454"/>
        <v>0</v>
      </c>
      <c r="AK311" s="16">
        <f t="shared" si="454"/>
        <v>0</v>
      </c>
      <c r="AL311" s="16">
        <f t="shared" si="454"/>
        <v>0</v>
      </c>
      <c r="AM311" s="16">
        <f t="shared" si="454"/>
        <v>0</v>
      </c>
      <c r="AN311" s="16">
        <f t="shared" si="454"/>
        <v>0</v>
      </c>
      <c r="AO311" s="16">
        <f t="shared" si="454"/>
        <v>0</v>
      </c>
      <c r="AP311" s="10"/>
      <c r="AQ311" s="10"/>
      <c r="AR311" s="10"/>
      <c r="AS311" s="10" t="str">
        <f t="shared" ref="AS311" ca="1" si="470">IFERROR(__xludf.DUMMYFUNCTION("split(F283,"","",true,true)"),"LoftyInc Capital Management")</f>
        <v>LoftyInc Capital Management</v>
      </c>
      <c r="AT311" s="10"/>
      <c r="AU311" s="10"/>
      <c r="AV311" s="10"/>
      <c r="AW311" s="10"/>
      <c r="AX311" s="10"/>
      <c r="AY311" s="10"/>
      <c r="AZ311" s="10"/>
      <c r="BA311" s="10"/>
      <c r="BB311" s="10"/>
      <c r="BC311" s="10"/>
      <c r="BD311" s="10"/>
      <c r="BE311" s="10"/>
      <c r="BF311" s="10"/>
      <c r="BG311" s="10"/>
      <c r="BH311" s="10"/>
      <c r="BI311" s="10"/>
      <c r="BJ311" s="10"/>
      <c r="BK311" s="10"/>
      <c r="BM311" s="10"/>
    </row>
    <row r="312" spans="1:65" ht="12.75">
      <c r="A312" s="18">
        <v>42947</v>
      </c>
      <c r="B312" s="14" t="s">
        <v>399</v>
      </c>
      <c r="C312" s="19">
        <v>10300000</v>
      </c>
      <c r="D312" s="19"/>
      <c r="E312" s="14" t="s">
        <v>69</v>
      </c>
      <c r="F312" s="20" t="s">
        <v>737</v>
      </c>
      <c r="G312" s="21" t="s">
        <v>738</v>
      </c>
      <c r="H312" s="14" t="str">
        <f t="array" ref="H312">IFERROR(INDEX([1]Companies!$G:$G,MATCH(B312,[1]Companies!$A:$A,0)),"")</f>
        <v>Kenya</v>
      </c>
      <c r="I312" s="14" t="str">
        <f t="shared" si="437"/>
        <v>Kenya</v>
      </c>
      <c r="J312" s="14" t="str">
        <f t="array" ref="J312">IFERROR(INDEX([1]Companies!$Y:$Y,MATCH(B312,[1]Companies!$A:$A,0)),"")</f>
        <v>mCommerce, Distribution, and Agriculture</v>
      </c>
      <c r="K312" s="14" t="str">
        <f t="array" ref="K312">IFERROR(INDEX([1]Companies!$X:$X,MATCH(B312,[1]Companies!$A:$A,0)),"")</f>
        <v>E-Commerce &amp; Retail</v>
      </c>
      <c r="L312" s="14" t="str">
        <f>VLOOKUP(B312,[1]Companies!$A$1:$C$5243,1,FALSE)</f>
        <v>Twiga Foods</v>
      </c>
      <c r="M312" s="15">
        <f t="shared" si="438"/>
        <v>0.9</v>
      </c>
      <c r="N312" s="10" t="str">
        <f t="shared" si="439"/>
        <v>42947Twiga Foods10300000</v>
      </c>
      <c r="O312" s="14" t="str">
        <f t="shared" si="440"/>
        <v/>
      </c>
      <c r="P312" s="14">
        <f t="shared" si="441"/>
        <v>1</v>
      </c>
      <c r="Q312" s="14">
        <f t="array" ref="Q312">IFERROR(INDEX([1]Companies!$D:$D,MATCH(B312,[1]Companies!$A:$A,0)),"")</f>
        <v>2013</v>
      </c>
      <c r="R312" s="17">
        <f t="shared" si="442"/>
        <v>40350000</v>
      </c>
      <c r="S312" s="14">
        <f>VLOOKUP(I312,[1]Lookups!$V$3:$Y$197,4,FALSE)</f>
        <v>0</v>
      </c>
      <c r="T312" s="14" t="str">
        <f>VLOOKUP(E312,[1]Lookups!$H$3:$I$71,2,FALSE)</f>
        <v>3. Early Venture</v>
      </c>
      <c r="U312" s="14" t="str">
        <f>VLOOKUP(K312,[1]Lookups!$B$3:$C$142,2,FALSE)</f>
        <v>E-commerce &amp; Retail</v>
      </c>
      <c r="V312" s="14">
        <f t="shared" si="396"/>
        <v>2017</v>
      </c>
      <c r="W312" s="14">
        <f t="shared" si="397"/>
        <v>7</v>
      </c>
      <c r="X312" s="14">
        <f>VLOOKUP(W312,[1]Lookups!$P$3:$S$15,2,FALSE)</f>
        <v>3</v>
      </c>
      <c r="Y312" s="16">
        <f>VLOOKUP(W312,[1]Lookups!$P$3:$U$15,3,FALSE)</f>
        <v>2</v>
      </c>
      <c r="Z312" s="16">
        <f t="shared" si="398"/>
        <v>5</v>
      </c>
      <c r="AA312" s="16" t="str">
        <f t="shared" ref="AA312:AO327" ca="1" si="471">AS312</f>
        <v>LoftyInc Capital Management</v>
      </c>
      <c r="AB312" s="16" t="str">
        <f t="shared" ca="1" si="471"/>
        <v xml:space="preserve">  1776 Ventures</v>
      </c>
      <c r="AC312" s="16" t="str">
        <f t="shared" ca="1" si="471"/>
        <v xml:space="preserve"> Wamda Capital</v>
      </c>
      <c r="AD312" s="16" t="str">
        <f t="shared" ca="1" si="471"/>
        <v xml:space="preserve"> DOB Equity</v>
      </c>
      <c r="AE312" s="16" t="str">
        <f t="shared" ca="1" si="471"/>
        <v xml:space="preserve">  Blue Haven Initiative</v>
      </c>
      <c r="AF312" s="16">
        <f t="shared" si="471"/>
        <v>0</v>
      </c>
      <c r="AG312" s="16">
        <f t="shared" si="471"/>
        <v>0</v>
      </c>
      <c r="AH312" s="16">
        <f t="shared" si="471"/>
        <v>0</v>
      </c>
      <c r="AI312" s="16">
        <f t="shared" si="471"/>
        <v>0</v>
      </c>
      <c r="AJ312" s="16">
        <f t="shared" si="471"/>
        <v>0</v>
      </c>
      <c r="AK312" s="16">
        <f t="shared" si="471"/>
        <v>0</v>
      </c>
      <c r="AL312" s="16">
        <f t="shared" si="471"/>
        <v>0</v>
      </c>
      <c r="AM312" s="16">
        <f t="shared" si="471"/>
        <v>0</v>
      </c>
      <c r="AN312" s="16">
        <f t="shared" si="471"/>
        <v>0</v>
      </c>
      <c r="AO312" s="16">
        <f t="shared" si="471"/>
        <v>0</v>
      </c>
      <c r="AP312" s="10"/>
      <c r="AQ312" s="10"/>
      <c r="AR312" s="10"/>
      <c r="AS312" s="10" t="str">
        <f t="shared" ref="AS312" ca="1" si="472">IFERROR(__xludf.DUMMYFUNCTION("split(F283,"","",true,true)"),"LoftyInc Capital Management")</f>
        <v>LoftyInc Capital Management</v>
      </c>
      <c r="AT312" s="10" t="str">
        <f ca="1">IFERROR(__xludf.DUMMYFUNCTION("""COMPUTED_VALUE"""),"  1776 Ventures")</f>
        <v xml:space="preserve">  1776 Ventures</v>
      </c>
      <c r="AU312" s="10" t="str">
        <f ca="1">IFERROR(__xludf.DUMMYFUNCTION("""COMPUTED_VALUE""")," Wamda Capital")</f>
        <v xml:space="preserve"> Wamda Capital</v>
      </c>
      <c r="AV312" s="10" t="str">
        <f ca="1">IFERROR(__xludf.DUMMYFUNCTION("""COMPUTED_VALUE""")," DOB Equity")</f>
        <v xml:space="preserve"> DOB Equity</v>
      </c>
      <c r="AW312" s="10" t="str">
        <f ca="1">IFERROR(__xludf.DUMMYFUNCTION("""COMPUTED_VALUE"""),"  Blue Haven Initiative")</f>
        <v xml:space="preserve">  Blue Haven Initiative</v>
      </c>
      <c r="AX312" s="10"/>
      <c r="AY312" s="10"/>
      <c r="AZ312" s="10"/>
      <c r="BA312" s="10"/>
      <c r="BB312" s="10"/>
      <c r="BC312" s="10"/>
      <c r="BD312" s="10"/>
      <c r="BE312" s="10"/>
      <c r="BF312" s="10"/>
      <c r="BG312" s="10"/>
      <c r="BH312" s="10"/>
      <c r="BI312" s="10"/>
      <c r="BJ312" s="10"/>
      <c r="BK312" s="10"/>
      <c r="BM312" s="10"/>
    </row>
    <row r="313" spans="1:65" ht="12.75">
      <c r="A313" s="18">
        <v>42947</v>
      </c>
      <c r="B313" s="14" t="s">
        <v>457</v>
      </c>
      <c r="C313" s="19">
        <v>227000</v>
      </c>
      <c r="D313" s="19"/>
      <c r="E313" s="14" t="s">
        <v>45</v>
      </c>
      <c r="F313" s="14" t="s">
        <v>739</v>
      </c>
      <c r="G313" s="21" t="s">
        <v>740</v>
      </c>
      <c r="H313" s="14" t="str">
        <f t="array" ref="H313">IFERROR(INDEX([1]Companies!$G:$G,MATCH(B313,[1]Companies!$A:$A,0)),"")</f>
        <v>Ghana</v>
      </c>
      <c r="I313" s="14" t="str">
        <f t="shared" si="437"/>
        <v>Ghana</v>
      </c>
      <c r="J313" s="14" t="str">
        <f t="array" ref="J313">IFERROR(INDEX([1]Companies!$Y:$Y,MATCH(B313,[1]Companies!$A:$A,0)),"")</f>
        <v>E-Learning, Education, Mobile, Higher Education</v>
      </c>
      <c r="K313" s="14" t="str">
        <f t="array" ref="K313">IFERROR(INDEX([1]Companies!$X:$X,MATCH(B313,[1]Companies!$A:$A,0)),"")</f>
        <v>Education</v>
      </c>
      <c r="L313" s="14" t="str">
        <f>VLOOKUP(B313,[1]Companies!$A$1:$C$5243,1,FALSE)</f>
        <v>Chalkboard Education</v>
      </c>
      <c r="M313" s="15">
        <f t="shared" si="438"/>
        <v>0.9</v>
      </c>
      <c r="N313" s="10" t="str">
        <f t="shared" si="439"/>
        <v>42947Chalkboard Education227000</v>
      </c>
      <c r="O313" s="14" t="str">
        <f t="shared" si="440"/>
        <v/>
      </c>
      <c r="P313" s="14">
        <f t="shared" si="441"/>
        <v>1</v>
      </c>
      <c r="Q313" s="14">
        <f t="array" ref="Q313">IFERROR(INDEX([1]Companies!$D:$D,MATCH(B313,[1]Companies!$A:$A,0)),"")</f>
        <v>2015</v>
      </c>
      <c r="R313" s="17">
        <f t="shared" si="442"/>
        <v>464000</v>
      </c>
      <c r="S313" s="14">
        <f>VLOOKUP(I313,[1]Lookups!$V$3:$Y$197,4,FALSE)</f>
        <v>0</v>
      </c>
      <c r="T313" s="14" t="str">
        <f>VLOOKUP(E313,[1]Lookups!$H$3:$I$71,2,FALSE)</f>
        <v>2. Seed</v>
      </c>
      <c r="U313" s="14" t="str">
        <f>VLOOKUP(K313,[1]Lookups!$B$3:$C$142,2,FALSE)</f>
        <v>Education</v>
      </c>
      <c r="V313" s="14">
        <f t="shared" si="396"/>
        <v>2017</v>
      </c>
      <c r="W313" s="14">
        <f t="shared" si="397"/>
        <v>7</v>
      </c>
      <c r="X313" s="14">
        <f>VLOOKUP(W313,[1]Lookups!$P$3:$S$15,2,FALSE)</f>
        <v>3</v>
      </c>
      <c r="Y313" s="16">
        <f>VLOOKUP(W313,[1]Lookups!$P$3:$U$15,3,FALSE)</f>
        <v>2</v>
      </c>
      <c r="Z313" s="16">
        <f t="shared" si="398"/>
        <v>1</v>
      </c>
      <c r="AA313" s="16" t="str">
        <f t="shared" ca="1" si="471"/>
        <v>LoftyInc Capital Management</v>
      </c>
      <c r="AB313" s="16">
        <f t="shared" si="471"/>
        <v>0</v>
      </c>
      <c r="AC313" s="16">
        <f t="shared" si="471"/>
        <v>0</v>
      </c>
      <c r="AD313" s="16">
        <f t="shared" si="471"/>
        <v>0</v>
      </c>
      <c r="AE313" s="16">
        <f t="shared" si="471"/>
        <v>0</v>
      </c>
      <c r="AF313" s="16">
        <f t="shared" si="471"/>
        <v>0</v>
      </c>
      <c r="AG313" s="16">
        <f t="shared" si="471"/>
        <v>0</v>
      </c>
      <c r="AH313" s="16">
        <f t="shared" si="471"/>
        <v>0</v>
      </c>
      <c r="AI313" s="16">
        <f t="shared" si="471"/>
        <v>0</v>
      </c>
      <c r="AJ313" s="16">
        <f t="shared" si="471"/>
        <v>0</v>
      </c>
      <c r="AK313" s="16">
        <f t="shared" si="471"/>
        <v>0</v>
      </c>
      <c r="AL313" s="16">
        <f t="shared" si="471"/>
        <v>0</v>
      </c>
      <c r="AM313" s="16">
        <f t="shared" si="471"/>
        <v>0</v>
      </c>
      <c r="AN313" s="16">
        <f t="shared" si="471"/>
        <v>0</v>
      </c>
      <c r="AO313" s="16">
        <f t="shared" si="471"/>
        <v>0</v>
      </c>
      <c r="AP313" s="10"/>
      <c r="AQ313" s="10"/>
      <c r="AR313" s="10"/>
      <c r="AS313" s="10" t="str">
        <f t="shared" ref="AS313" ca="1" si="473">IFERROR(__xludf.DUMMYFUNCTION("split(F283,"","",true,true)"),"LoftyInc Capital Management")</f>
        <v>LoftyInc Capital Management</v>
      </c>
      <c r="AT313" s="10"/>
      <c r="AU313" s="10"/>
      <c r="AV313" s="10"/>
      <c r="AW313" s="10"/>
      <c r="AX313" s="10"/>
      <c r="AY313" s="10"/>
      <c r="AZ313" s="10"/>
      <c r="BA313" s="10"/>
      <c r="BB313" s="10"/>
      <c r="BC313" s="10"/>
      <c r="BD313" s="10"/>
      <c r="BE313" s="10"/>
      <c r="BF313" s="10"/>
      <c r="BG313" s="10"/>
      <c r="BH313" s="10"/>
      <c r="BI313" s="10"/>
      <c r="BJ313" s="10"/>
      <c r="BK313" s="10"/>
      <c r="BM313" s="10"/>
    </row>
    <row r="314" spans="1:65" ht="12.75">
      <c r="A314" s="9">
        <v>42947</v>
      </c>
      <c r="B314" s="10" t="s">
        <v>480</v>
      </c>
      <c r="C314" s="11">
        <v>150000</v>
      </c>
      <c r="D314" s="12"/>
      <c r="E314" s="10" t="s">
        <v>234</v>
      </c>
      <c r="F314" s="10" t="s">
        <v>741</v>
      </c>
      <c r="G314" s="13" t="s">
        <v>742</v>
      </c>
      <c r="H314" s="14" t="str">
        <f t="array" ref="H314">IFERROR(INDEX([1]Companies!$G:$G,MATCH(B314,[1]Companies!$A:$A,0)),"")</f>
        <v>Kenya</v>
      </c>
      <c r="I314" s="14" t="str">
        <f t="shared" si="437"/>
        <v>Kenya</v>
      </c>
      <c r="J314" s="14" t="str">
        <f t="array" ref="J314">IFERROR(INDEX([1]Companies!$Y:$Y,MATCH(B314,[1]Companies!$A:$A,0)),"")</f>
        <v>Internet, Marketplace, Mobile Payments, Trading Platform</v>
      </c>
      <c r="K314" s="14" t="str">
        <f t="array" ref="K314">IFERROR(INDEX([1]Companies!$X:$X,MATCH(B314,[1]Companies!$A:$A,0)),"")</f>
        <v>E-Commerce &amp; Retail</v>
      </c>
      <c r="L314" s="14" t="str">
        <f>VLOOKUP(B314,[1]Companies!$A$1:$C$5243,1,FALSE)</f>
        <v>Sky.Garden</v>
      </c>
      <c r="M314" s="15">
        <f t="shared" si="438"/>
        <v>0.9</v>
      </c>
      <c r="N314" s="10" t="str">
        <f t="shared" si="439"/>
        <v>42947Sky.Garden150000</v>
      </c>
      <c r="O314" s="14" t="str">
        <f t="shared" si="440"/>
        <v/>
      </c>
      <c r="P314" s="14">
        <f t="shared" si="441"/>
        <v>1</v>
      </c>
      <c r="Q314" s="14">
        <f t="array" ref="Q314">IFERROR(INDEX([1]Companies!$D:$D,MATCH(B314,[1]Companies!$A:$A,0)),"")</f>
        <v>2015</v>
      </c>
      <c r="R314" s="17">
        <f t="shared" si="442"/>
        <v>1724700</v>
      </c>
      <c r="S314" s="14">
        <f>VLOOKUP(I314,[1]Lookups!$V$3:$Y$197,4,FALSE)</f>
        <v>0</v>
      </c>
      <c r="T314" s="14" t="str">
        <f>VLOOKUP(E314,[1]Lookups!$H$3:$I$71,2,FALSE)</f>
        <v>2. Seed</v>
      </c>
      <c r="U314" s="14" t="str">
        <f>VLOOKUP(K314,[1]Lookups!$B$3:$C$142,2,FALSE)</f>
        <v>E-commerce &amp; Retail</v>
      </c>
      <c r="V314" s="14">
        <f t="shared" si="396"/>
        <v>2017</v>
      </c>
      <c r="W314" s="14">
        <f t="shared" si="397"/>
        <v>7</v>
      </c>
      <c r="X314" s="14">
        <f>VLOOKUP(W314,[1]Lookups!$P$3:$S$15,2,FALSE)</f>
        <v>3</v>
      </c>
      <c r="Y314" s="16">
        <f>VLOOKUP(W314,[1]Lookups!$P$3:$U$15,3,FALSE)</f>
        <v>2</v>
      </c>
      <c r="Z314" s="16">
        <f t="shared" si="398"/>
        <v>1</v>
      </c>
      <c r="AA314" s="16" t="str">
        <f t="shared" ca="1" si="471"/>
        <v>LoftyInc Capital Management</v>
      </c>
      <c r="AB314" s="16">
        <f t="shared" si="471"/>
        <v>0</v>
      </c>
      <c r="AC314" s="16">
        <f t="shared" si="471"/>
        <v>0</v>
      </c>
      <c r="AD314" s="16">
        <f t="shared" si="471"/>
        <v>0</v>
      </c>
      <c r="AE314" s="16">
        <f t="shared" si="471"/>
        <v>0</v>
      </c>
      <c r="AF314" s="16">
        <f t="shared" si="471"/>
        <v>0</v>
      </c>
      <c r="AG314" s="16">
        <f t="shared" si="471"/>
        <v>0</v>
      </c>
      <c r="AH314" s="16">
        <f t="shared" si="471"/>
        <v>0</v>
      </c>
      <c r="AI314" s="16">
        <f t="shared" si="471"/>
        <v>0</v>
      </c>
      <c r="AJ314" s="16">
        <f t="shared" si="471"/>
        <v>0</v>
      </c>
      <c r="AK314" s="16">
        <f t="shared" si="471"/>
        <v>0</v>
      </c>
      <c r="AL314" s="16">
        <f t="shared" si="471"/>
        <v>0</v>
      </c>
      <c r="AM314" s="16">
        <f t="shared" si="471"/>
        <v>0</v>
      </c>
      <c r="AN314" s="16">
        <f t="shared" si="471"/>
        <v>0</v>
      </c>
      <c r="AO314" s="16">
        <f t="shared" si="471"/>
        <v>0</v>
      </c>
      <c r="AP314" s="10"/>
      <c r="AQ314" s="10"/>
      <c r="AR314" s="10"/>
      <c r="AS314" s="10" t="str">
        <f t="shared" ref="AS314" ca="1" si="474">IFERROR(__xludf.DUMMYFUNCTION("split(F283,"","",true,true)"),"LoftyInc Capital Management")</f>
        <v>LoftyInc Capital Management</v>
      </c>
      <c r="AT314" s="10"/>
      <c r="AU314" s="10"/>
      <c r="AV314" s="10"/>
      <c r="AW314" s="10"/>
      <c r="AX314" s="10"/>
      <c r="AY314" s="10"/>
      <c r="AZ314" s="10"/>
      <c r="BA314" s="10"/>
      <c r="BB314" s="10"/>
      <c r="BC314" s="10"/>
      <c r="BD314" s="10"/>
      <c r="BE314" s="10"/>
      <c r="BF314" s="10"/>
      <c r="BG314" s="10"/>
      <c r="BH314" s="10"/>
      <c r="BI314" s="10"/>
      <c r="BJ314" s="10"/>
      <c r="BK314" s="10"/>
      <c r="BM314" s="10"/>
    </row>
    <row r="315" spans="1:65" ht="12.75">
      <c r="A315" s="18">
        <v>42948</v>
      </c>
      <c r="B315" s="14" t="s">
        <v>491</v>
      </c>
      <c r="C315" s="19">
        <v>10000000</v>
      </c>
      <c r="D315" s="19"/>
      <c r="E315" s="14" t="s">
        <v>69</v>
      </c>
      <c r="F315" s="20" t="s">
        <v>743</v>
      </c>
      <c r="G315" s="21" t="s">
        <v>744</v>
      </c>
      <c r="H315" s="14" t="str">
        <f t="array" ref="H315">IFERROR(INDEX([1]Companies!$G:$G,MATCH(B315,[1]Companies!$A:$A,0)),"")</f>
        <v>United States</v>
      </c>
      <c r="I315" s="14" t="str">
        <f t="shared" si="437"/>
        <v>United States</v>
      </c>
      <c r="J315" s="14" t="str">
        <f t="array" ref="J315">IFERROR(INDEX([1]Companies!$Y:$Y,MATCH(B315,[1]Companies!$A:$A,0)),"")</f>
        <v>Payments, Fintech, Financial Technology</v>
      </c>
      <c r="K315" s="14" t="str">
        <f t="array" ref="K315">IFERROR(INDEX([1]Companies!$X:$X,MATCH(B315,[1]Companies!$A:$A,0)),"")</f>
        <v>Financial Services</v>
      </c>
      <c r="L315" s="14" t="str">
        <f>VLOOKUP(B315,[1]Companies!$A$1:$C$5243,1,FALSE)</f>
        <v>Flutterwave</v>
      </c>
      <c r="M315" s="15">
        <f t="shared" si="438"/>
        <v>0.9</v>
      </c>
      <c r="N315" s="10" t="str">
        <f t="shared" si="439"/>
        <v>42948Flutterwave10000000</v>
      </c>
      <c r="O315" s="14" t="str">
        <f t="shared" si="440"/>
        <v/>
      </c>
      <c r="P315" s="14">
        <f t="shared" si="441"/>
        <v>1</v>
      </c>
      <c r="Q315" s="14">
        <f t="array" ref="Q315">IFERROR(INDEX([1]Companies!$D:$D,MATCH(B315,[1]Companies!$A:$A,0)),"")</f>
        <v>2016</v>
      </c>
      <c r="R315" s="17">
        <f t="shared" si="442"/>
        <v>20300000</v>
      </c>
      <c r="S315" s="14" t="e">
        <f>VLOOKUP(I315,[1]Lookups!$V$3:$Y$197,4,FALSE)</f>
        <v>#N/A</v>
      </c>
      <c r="T315" s="14" t="str">
        <f>VLOOKUP(E315,[1]Lookups!$H$3:$I$71,2,FALSE)</f>
        <v>3. Early Venture</v>
      </c>
      <c r="U315" s="14" t="str">
        <f>VLOOKUP(K315,[1]Lookups!$B$3:$C$142,2,FALSE)</f>
        <v>Financial Services</v>
      </c>
      <c r="V315" s="14">
        <f t="shared" si="396"/>
        <v>2017</v>
      </c>
      <c r="W315" s="14">
        <f t="shared" si="397"/>
        <v>8</v>
      </c>
      <c r="X315" s="14">
        <f>VLOOKUP(W315,[1]Lookups!$P$3:$S$15,2,FALSE)</f>
        <v>3</v>
      </c>
      <c r="Y315" s="16">
        <f>VLOOKUP(W315,[1]Lookups!$P$3:$U$15,3,FALSE)</f>
        <v>2</v>
      </c>
      <c r="Z315" s="16">
        <f t="shared" si="398"/>
        <v>5</v>
      </c>
      <c r="AA315" s="16" t="str">
        <f t="shared" ca="1" si="471"/>
        <v>LoftyInc Capital Management</v>
      </c>
      <c r="AB315" s="16" t="str">
        <f t="shared" ca="1" si="471"/>
        <v xml:space="preserve"> Plug and Play</v>
      </c>
      <c r="AC315" s="16" t="str">
        <f t="shared" ca="1" si="471"/>
        <v xml:space="preserve"> Greycroft</v>
      </c>
      <c r="AD315" s="16" t="str">
        <f t="shared" ca="1" si="471"/>
        <v xml:space="preserve"> Glynn Capital Management</v>
      </c>
      <c r="AE315" s="16" t="str">
        <f t="shared" ca="1" si="471"/>
        <v xml:space="preserve"> Green Visor Capital</v>
      </c>
      <c r="AF315" s="16">
        <f t="shared" si="471"/>
        <v>0</v>
      </c>
      <c r="AG315" s="16">
        <f t="shared" si="471"/>
        <v>0</v>
      </c>
      <c r="AH315" s="16">
        <f t="shared" si="471"/>
        <v>0</v>
      </c>
      <c r="AI315" s="16">
        <f t="shared" si="471"/>
        <v>0</v>
      </c>
      <c r="AJ315" s="16">
        <f t="shared" si="471"/>
        <v>0</v>
      </c>
      <c r="AK315" s="16">
        <f t="shared" si="471"/>
        <v>0</v>
      </c>
      <c r="AL315" s="16">
        <f t="shared" si="471"/>
        <v>0</v>
      </c>
      <c r="AM315" s="16">
        <f t="shared" si="471"/>
        <v>0</v>
      </c>
      <c r="AN315" s="16">
        <f t="shared" si="471"/>
        <v>0</v>
      </c>
      <c r="AO315" s="16">
        <f t="shared" si="471"/>
        <v>0</v>
      </c>
      <c r="AP315" s="10"/>
      <c r="AQ315" s="10"/>
      <c r="AR315" s="10"/>
      <c r="AS315" s="10" t="str">
        <f t="shared" ref="AS315" ca="1" si="475">IFERROR(__xludf.DUMMYFUNCTION("split(F283,"","",true,true)"),"LoftyInc Capital Management")</f>
        <v>LoftyInc Capital Management</v>
      </c>
      <c r="AT315" s="25" t="str">
        <f ca="1">IFERROR(__xludf.DUMMYFUNCTION("""COMPUTED_VALUE""")," Plug and Play")</f>
        <v xml:space="preserve"> Plug and Play</v>
      </c>
      <c r="AU315" s="25" t="str">
        <f ca="1">IFERROR(__xludf.DUMMYFUNCTION("""COMPUTED_VALUE""")," Greycroft")</f>
        <v xml:space="preserve"> Greycroft</v>
      </c>
      <c r="AV315" s="25" t="str">
        <f ca="1">IFERROR(__xludf.DUMMYFUNCTION("""COMPUTED_VALUE""")," Glynn Capital Management")</f>
        <v xml:space="preserve"> Glynn Capital Management</v>
      </c>
      <c r="AW315" s="25" t="str">
        <f ca="1">IFERROR(__xludf.DUMMYFUNCTION("""COMPUTED_VALUE""")," Green Visor Capital")</f>
        <v xml:space="preserve"> Green Visor Capital</v>
      </c>
      <c r="AX315" s="25"/>
      <c r="AY315" s="25"/>
      <c r="AZ315" s="25"/>
      <c r="BA315" s="25"/>
      <c r="BB315" s="25"/>
      <c r="BC315" s="25"/>
      <c r="BD315" s="25"/>
      <c r="BE315" s="25"/>
      <c r="BF315" s="25"/>
      <c r="BG315" s="25"/>
      <c r="BH315" s="25"/>
      <c r="BI315" s="25"/>
      <c r="BJ315" s="25"/>
      <c r="BK315" s="25"/>
      <c r="BM315" s="25"/>
    </row>
    <row r="316" spans="1:65" ht="12.75">
      <c r="A316" s="18">
        <v>42948</v>
      </c>
      <c r="B316" s="14" t="s">
        <v>482</v>
      </c>
      <c r="C316" s="19">
        <v>200000</v>
      </c>
      <c r="D316" s="19"/>
      <c r="E316" s="14" t="s">
        <v>45</v>
      </c>
      <c r="F316" s="14" t="s">
        <v>226</v>
      </c>
      <c r="G316" s="21" t="s">
        <v>745</v>
      </c>
      <c r="H316" s="14" t="str">
        <f t="array" ref="H316">IFERROR(INDEX([1]Companies!$G:$G,MATCH(B316,[1]Companies!$A:$A,0)),"")</f>
        <v>Egypt</v>
      </c>
      <c r="I316" s="14" t="str">
        <f t="shared" si="437"/>
        <v>Egypt</v>
      </c>
      <c r="J316" s="14" t="str">
        <f t="array" ref="J316">IFERROR(INDEX([1]Companies!$Y:$Y,MATCH(B316,[1]Companies!$A:$A,0)),"")</f>
        <v>E-Commerce, Food and Beverage, Food Delivery, Marketplace</v>
      </c>
      <c r="K316" s="14" t="str">
        <f t="array" ref="K316">IFERROR(INDEX([1]Companies!$X:$X,MATCH(B316,[1]Companies!$A:$A,0)),"")</f>
        <v>E-Commerce &amp; Retail</v>
      </c>
      <c r="L316" s="14" t="str">
        <f>VLOOKUP(B316,[1]Companies!$A$1:$C$5243,1,FALSE)</f>
        <v>Mumm</v>
      </c>
      <c r="M316" s="15">
        <f t="shared" si="438"/>
        <v>0.9</v>
      </c>
      <c r="N316" s="10" t="str">
        <f t="shared" si="439"/>
        <v>42948Mumm200000</v>
      </c>
      <c r="O316" s="14" t="str">
        <f t="shared" si="440"/>
        <v/>
      </c>
      <c r="P316" s="14">
        <f t="shared" si="441"/>
        <v>1</v>
      </c>
      <c r="Q316" s="14">
        <f t="array" ref="Q316">IFERROR(INDEX([1]Companies!$D:$D,MATCH(B316,[1]Companies!$A:$A,0)),"")</f>
        <v>2015</v>
      </c>
      <c r="R316" s="17">
        <f t="shared" si="442"/>
        <v>450000</v>
      </c>
      <c r="S316" s="14">
        <f>VLOOKUP(I316,[1]Lookups!$V$3:$Y$197,4,FALSE)</f>
        <v>0</v>
      </c>
      <c r="T316" s="14" t="str">
        <f>VLOOKUP(E316,[1]Lookups!$H$3:$I$71,2,FALSE)</f>
        <v>2. Seed</v>
      </c>
      <c r="U316" s="14" t="str">
        <f>VLOOKUP(K316,[1]Lookups!$B$3:$C$142,2,FALSE)</f>
        <v>E-commerce &amp; Retail</v>
      </c>
      <c r="V316" s="14">
        <f t="shared" si="396"/>
        <v>2017</v>
      </c>
      <c r="W316" s="14">
        <f t="shared" si="397"/>
        <v>8</v>
      </c>
      <c r="X316" s="14">
        <f>VLOOKUP(W316,[1]Lookups!$P$3:$S$15,2,FALSE)</f>
        <v>3</v>
      </c>
      <c r="Y316" s="16">
        <f>VLOOKUP(W316,[1]Lookups!$P$3:$U$15,3,FALSE)</f>
        <v>2</v>
      </c>
      <c r="Z316" s="16">
        <f t="shared" si="398"/>
        <v>1</v>
      </c>
      <c r="AA316" s="16" t="str">
        <f t="shared" ca="1" si="471"/>
        <v>LoftyInc Capital Management</v>
      </c>
      <c r="AB316" s="16">
        <f t="shared" si="471"/>
        <v>0</v>
      </c>
      <c r="AC316" s="16">
        <f t="shared" si="471"/>
        <v>0</v>
      </c>
      <c r="AD316" s="16">
        <f t="shared" si="471"/>
        <v>0</v>
      </c>
      <c r="AE316" s="16">
        <f t="shared" si="471"/>
        <v>0</v>
      </c>
      <c r="AF316" s="16">
        <f t="shared" si="471"/>
        <v>0</v>
      </c>
      <c r="AG316" s="16">
        <f t="shared" si="471"/>
        <v>0</v>
      </c>
      <c r="AH316" s="16">
        <f t="shared" si="471"/>
        <v>0</v>
      </c>
      <c r="AI316" s="16">
        <f t="shared" si="471"/>
        <v>0</v>
      </c>
      <c r="AJ316" s="16">
        <f t="shared" si="471"/>
        <v>0</v>
      </c>
      <c r="AK316" s="16">
        <f t="shared" si="471"/>
        <v>0</v>
      </c>
      <c r="AL316" s="16">
        <f t="shared" si="471"/>
        <v>0</v>
      </c>
      <c r="AM316" s="16">
        <f t="shared" si="471"/>
        <v>0</v>
      </c>
      <c r="AN316" s="16">
        <f t="shared" si="471"/>
        <v>0</v>
      </c>
      <c r="AO316" s="16">
        <f t="shared" si="471"/>
        <v>0</v>
      </c>
      <c r="AP316" s="10"/>
      <c r="AQ316" s="10"/>
      <c r="AR316" s="10"/>
      <c r="AS316" s="10" t="str">
        <f t="shared" ref="AS316" ca="1" si="476">IFERROR(__xludf.DUMMYFUNCTION("split(F283,"","",true,true)"),"LoftyInc Capital Management")</f>
        <v>LoftyInc Capital Management</v>
      </c>
      <c r="AT316" s="10"/>
      <c r="AU316" s="10"/>
      <c r="AV316" s="10"/>
      <c r="AW316" s="10"/>
      <c r="AX316" s="10"/>
      <c r="AY316" s="10"/>
      <c r="AZ316" s="10"/>
      <c r="BA316" s="10"/>
      <c r="BB316" s="10"/>
      <c r="BC316" s="10"/>
      <c r="BD316" s="10"/>
      <c r="BE316" s="10"/>
      <c r="BF316" s="10"/>
      <c r="BG316" s="10"/>
      <c r="BH316" s="10"/>
      <c r="BI316" s="10"/>
      <c r="BJ316" s="10"/>
      <c r="BK316" s="10"/>
      <c r="BM316" s="10"/>
    </row>
    <row r="317" spans="1:65" ht="12.75">
      <c r="A317" s="18">
        <v>42948</v>
      </c>
      <c r="B317" s="14" t="s">
        <v>746</v>
      </c>
      <c r="C317" s="19">
        <v>100000</v>
      </c>
      <c r="D317" s="22"/>
      <c r="E317" s="14" t="s">
        <v>234</v>
      </c>
      <c r="F317" s="14" t="s">
        <v>747</v>
      </c>
      <c r="G317" s="21" t="s">
        <v>748</v>
      </c>
      <c r="H317" s="14" t="str">
        <f t="array" ref="H317">IFERROR(INDEX([1]Companies!$G:$G,MATCH(B317,[1]Companies!$A:$A,0)),"")</f>
        <v>Nigeria</v>
      </c>
      <c r="I317" s="14" t="str">
        <f t="shared" si="437"/>
        <v>Nigeria</v>
      </c>
      <c r="J317" s="14" t="str">
        <f t="array" ref="J317">IFERROR(INDEX([1]Companies!$Y:$Y,MATCH(B317,[1]Companies!$A:$A,0)),"")</f>
        <v>Farming, Agriculture, Digital Farming, Technology Farming, Agtech</v>
      </c>
      <c r="K317" s="14" t="str">
        <f t="array" ref="K317">IFERROR(INDEX([1]Companies!$X:$X,MATCH(B317,[1]Companies!$A:$A,0)),"")</f>
        <v>Financial Services</v>
      </c>
      <c r="L317" s="14" t="str">
        <f>VLOOKUP(B317,[1]Companies!$A$1:$C$5243,1,FALSE)</f>
        <v>Farmcrowdy</v>
      </c>
      <c r="M317" s="15">
        <f t="shared" si="438"/>
        <v>0.9</v>
      </c>
      <c r="N317" s="10" t="str">
        <f t="shared" si="439"/>
        <v>42948Farmcrowdy100000</v>
      </c>
      <c r="O317" s="14" t="str">
        <f t="shared" si="440"/>
        <v/>
      </c>
      <c r="P317" s="14">
        <f t="shared" si="441"/>
        <v>1</v>
      </c>
      <c r="Q317" s="14">
        <f t="array" ref="Q317">IFERROR(INDEX([1]Companies!$D:$D,MATCH(B317,[1]Companies!$A:$A,0)),"")</f>
        <v>2016</v>
      </c>
      <c r="R317" s="17">
        <f t="shared" si="442"/>
        <v>2450000</v>
      </c>
      <c r="S317" s="14">
        <f>VLOOKUP(I317,[1]Lookups!$V$3:$Y$197,4,FALSE)</f>
        <v>0</v>
      </c>
      <c r="T317" s="14" t="str">
        <f>VLOOKUP(E317,[1]Lookups!$H$3:$I$71,2,FALSE)</f>
        <v>2. Seed</v>
      </c>
      <c r="U317" s="14" t="str">
        <f>VLOOKUP(K317,[1]Lookups!$B$3:$C$142,2,FALSE)</f>
        <v>Financial Services</v>
      </c>
      <c r="V317" s="14">
        <f t="shared" si="396"/>
        <v>2017</v>
      </c>
      <c r="W317" s="14">
        <f t="shared" si="397"/>
        <v>8</v>
      </c>
      <c r="X317" s="14">
        <f>VLOOKUP(W317,[1]Lookups!$P$3:$S$15,2,FALSE)</f>
        <v>3</v>
      </c>
      <c r="Y317" s="16">
        <f>VLOOKUP(W317,[1]Lookups!$P$3:$U$15,3,FALSE)</f>
        <v>2</v>
      </c>
      <c r="Z317" s="16">
        <f t="shared" si="398"/>
        <v>1</v>
      </c>
      <c r="AA317" s="16" t="str">
        <f t="shared" ca="1" si="471"/>
        <v>LoftyInc Capital Management</v>
      </c>
      <c r="AB317" s="16">
        <f t="shared" si="471"/>
        <v>0</v>
      </c>
      <c r="AC317" s="16">
        <f t="shared" si="471"/>
        <v>0</v>
      </c>
      <c r="AD317" s="16">
        <f t="shared" si="471"/>
        <v>0</v>
      </c>
      <c r="AE317" s="16">
        <f t="shared" si="471"/>
        <v>0</v>
      </c>
      <c r="AF317" s="16">
        <f t="shared" si="471"/>
        <v>0</v>
      </c>
      <c r="AG317" s="16">
        <f t="shared" si="471"/>
        <v>0</v>
      </c>
      <c r="AH317" s="16">
        <f t="shared" si="471"/>
        <v>0</v>
      </c>
      <c r="AI317" s="16">
        <f t="shared" si="471"/>
        <v>0</v>
      </c>
      <c r="AJ317" s="16">
        <f t="shared" si="471"/>
        <v>0</v>
      </c>
      <c r="AK317" s="16">
        <f t="shared" si="471"/>
        <v>0</v>
      </c>
      <c r="AL317" s="16">
        <f t="shared" si="471"/>
        <v>0</v>
      </c>
      <c r="AM317" s="16">
        <f t="shared" si="471"/>
        <v>0</v>
      </c>
      <c r="AN317" s="16">
        <f t="shared" si="471"/>
        <v>0</v>
      </c>
      <c r="AO317" s="16">
        <f t="shared" si="471"/>
        <v>0</v>
      </c>
      <c r="AP317" s="10"/>
      <c r="AQ317" s="10"/>
      <c r="AR317" s="10"/>
      <c r="AS317" s="10" t="str">
        <f t="shared" ref="AS317" ca="1" si="477">IFERROR(__xludf.DUMMYFUNCTION("split(F283,"","",true,true)"),"LoftyInc Capital Management")</f>
        <v>LoftyInc Capital Management</v>
      </c>
      <c r="AT317" s="10"/>
      <c r="AU317" s="10"/>
      <c r="AV317" s="10"/>
      <c r="AW317" s="10"/>
      <c r="AX317" s="10"/>
      <c r="AY317" s="10"/>
      <c r="AZ317" s="10"/>
      <c r="BA317" s="10"/>
      <c r="BB317" s="10"/>
      <c r="BC317" s="10"/>
      <c r="BD317" s="10"/>
      <c r="BE317" s="10"/>
      <c r="BF317" s="10"/>
      <c r="BG317" s="10"/>
      <c r="BH317" s="10"/>
      <c r="BI317" s="10"/>
      <c r="BJ317" s="10"/>
      <c r="BK317" s="10"/>
      <c r="BM317" s="10"/>
    </row>
    <row r="318" spans="1:65" ht="12.75">
      <c r="A318" s="18">
        <v>42950</v>
      </c>
      <c r="B318" s="14" t="s">
        <v>662</v>
      </c>
      <c r="C318" s="19">
        <v>600000</v>
      </c>
      <c r="D318" s="19"/>
      <c r="E318" s="14" t="s">
        <v>45</v>
      </c>
      <c r="F318" s="14" t="s">
        <v>749</v>
      </c>
      <c r="G318" s="21" t="s">
        <v>750</v>
      </c>
      <c r="H318" s="14" t="str">
        <f t="array" ref="H318">IFERROR(INDEX([1]Companies!$G:$G,MATCH(B318,[1]Companies!$A:$A,0)),"")</f>
        <v>South Africa</v>
      </c>
      <c r="I318" s="14" t="str">
        <f t="shared" si="437"/>
        <v>South Africa</v>
      </c>
      <c r="J318" s="14" t="str">
        <f t="array" ref="J318">IFERROR(INDEX([1]Companies!$Y:$Y,MATCH(B318,[1]Companies!$A:$A,0)),"")</f>
        <v>Data Analytics, Aerial Engineering Design and Manufacture, Machine Learning, and Image Processing, Agtech, Drones, Farming, Software</v>
      </c>
      <c r="K318" s="14" t="str">
        <f t="array" ref="K318">IFERROR(INDEX([1]Companies!$X:$X,MATCH(B318,[1]Companies!$A:$A,0)),"")</f>
        <v>Emerging Technologies</v>
      </c>
      <c r="L318" s="14" t="str">
        <f>VLOOKUP(B318,[1]Companies!$A$1:$C$5243,1,FALSE)</f>
        <v>Aerobotics</v>
      </c>
      <c r="M318" s="15">
        <f t="shared" si="438"/>
        <v>0.9</v>
      </c>
      <c r="N318" s="10" t="str">
        <f t="shared" si="439"/>
        <v>42950Aerobotics600000</v>
      </c>
      <c r="O318" s="14" t="str">
        <f t="shared" si="440"/>
        <v/>
      </c>
      <c r="P318" s="14">
        <f t="shared" si="441"/>
        <v>1</v>
      </c>
      <c r="Q318" s="14">
        <f t="array" ref="Q318">IFERROR(INDEX([1]Companies!$D:$D,MATCH(B318,[1]Companies!$A:$A,0)),"")</f>
        <v>2014</v>
      </c>
      <c r="R318" s="17">
        <f t="shared" si="442"/>
        <v>4667000</v>
      </c>
      <c r="S318" s="14">
        <f>VLOOKUP(I318,[1]Lookups!$V$3:$Y$197,4,FALSE)</f>
        <v>0</v>
      </c>
      <c r="T318" s="14" t="str">
        <f>VLOOKUP(E318,[1]Lookups!$H$3:$I$71,2,FALSE)</f>
        <v>2. Seed</v>
      </c>
      <c r="U318" s="14" t="str">
        <f>VLOOKUP(K318,[1]Lookups!$B$3:$C$142,2,FALSE)</f>
        <v>Emerging Technologies</v>
      </c>
      <c r="V318" s="14">
        <f t="shared" si="396"/>
        <v>2017</v>
      </c>
      <c r="W318" s="14">
        <f t="shared" si="397"/>
        <v>8</v>
      </c>
      <c r="X318" s="14">
        <f>VLOOKUP(W318,[1]Lookups!$P$3:$S$15,2,FALSE)</f>
        <v>3</v>
      </c>
      <c r="Y318" s="16">
        <f>VLOOKUP(W318,[1]Lookups!$P$3:$U$15,3,FALSE)</f>
        <v>2</v>
      </c>
      <c r="Z318" s="16">
        <f t="shared" si="398"/>
        <v>2</v>
      </c>
      <c r="AA318" s="16" t="str">
        <f t="shared" ca="1" si="471"/>
        <v>LoftyInc Capital Management</v>
      </c>
      <c r="AB318" s="16" t="str">
        <f t="shared" ca="1" si="471"/>
        <v xml:space="preserve"> Savannah Fund</v>
      </c>
      <c r="AC318" s="16">
        <f t="shared" si="471"/>
        <v>0</v>
      </c>
      <c r="AD318" s="16">
        <f t="shared" si="471"/>
        <v>0</v>
      </c>
      <c r="AE318" s="16">
        <f t="shared" si="471"/>
        <v>0</v>
      </c>
      <c r="AF318" s="16">
        <f t="shared" si="471"/>
        <v>0</v>
      </c>
      <c r="AG318" s="16">
        <f t="shared" si="471"/>
        <v>0</v>
      </c>
      <c r="AH318" s="16">
        <f t="shared" si="471"/>
        <v>0</v>
      </c>
      <c r="AI318" s="16">
        <f t="shared" si="471"/>
        <v>0</v>
      </c>
      <c r="AJ318" s="16">
        <f t="shared" si="471"/>
        <v>0</v>
      </c>
      <c r="AK318" s="16">
        <f t="shared" si="471"/>
        <v>0</v>
      </c>
      <c r="AL318" s="16">
        <f t="shared" si="471"/>
        <v>0</v>
      </c>
      <c r="AM318" s="16">
        <f t="shared" si="471"/>
        <v>0</v>
      </c>
      <c r="AN318" s="16">
        <f t="shared" si="471"/>
        <v>0</v>
      </c>
      <c r="AO318" s="16">
        <f t="shared" si="471"/>
        <v>0</v>
      </c>
      <c r="AP318" s="10"/>
      <c r="AQ318" s="10"/>
      <c r="AR318" s="10"/>
      <c r="AS318" s="10" t="str">
        <f t="shared" ref="AS318" ca="1" si="478">IFERROR(__xludf.DUMMYFUNCTION("split(F283,"","",true,true)"),"LoftyInc Capital Management")</f>
        <v>LoftyInc Capital Management</v>
      </c>
      <c r="AT318" s="10" t="str">
        <f ca="1">IFERROR(__xludf.DUMMYFUNCTION("""COMPUTED_VALUE""")," Savannah Fund")</f>
        <v xml:space="preserve"> Savannah Fund</v>
      </c>
      <c r="AU318" s="10"/>
      <c r="AV318" s="10"/>
      <c r="AW318" s="10"/>
      <c r="AX318" s="10"/>
      <c r="AY318" s="10"/>
      <c r="AZ318" s="10"/>
      <c r="BA318" s="10"/>
      <c r="BB318" s="10"/>
      <c r="BC318" s="10"/>
      <c r="BD318" s="10"/>
      <c r="BE318" s="10"/>
      <c r="BF318" s="10"/>
      <c r="BG318" s="10"/>
      <c r="BH318" s="10"/>
      <c r="BI318" s="10"/>
      <c r="BJ318" s="10"/>
      <c r="BK318" s="10"/>
      <c r="BM318" s="10"/>
    </row>
    <row r="319" spans="1:65" ht="12.75">
      <c r="A319" s="18">
        <v>42951</v>
      </c>
      <c r="B319" s="14" t="s">
        <v>457</v>
      </c>
      <c r="C319" s="19">
        <v>237000</v>
      </c>
      <c r="D319" s="19"/>
      <c r="E319" s="14" t="s">
        <v>45</v>
      </c>
      <c r="F319" s="14" t="s">
        <v>739</v>
      </c>
      <c r="G319" s="21" t="s">
        <v>751</v>
      </c>
      <c r="H319" s="14" t="str">
        <f t="array" ref="H319">IFERROR(INDEX([1]Companies!$G:$G,MATCH(B319,[1]Companies!$A:$A,0)),"")</f>
        <v>Ghana</v>
      </c>
      <c r="I319" s="14" t="str">
        <f t="shared" si="437"/>
        <v>Ghana</v>
      </c>
      <c r="J319" s="14" t="str">
        <f t="array" ref="J319">IFERROR(INDEX([1]Companies!$Y:$Y,MATCH(B319,[1]Companies!$A:$A,0)),"")</f>
        <v>E-Learning, Education, Mobile, Higher Education</v>
      </c>
      <c r="K319" s="14" t="str">
        <f t="array" ref="K319">IFERROR(INDEX([1]Companies!$X:$X,MATCH(B319,[1]Companies!$A:$A,0)),"")</f>
        <v>Education</v>
      </c>
      <c r="L319" s="14" t="str">
        <f>VLOOKUP(B319,[1]Companies!$A$1:$C$5243,1,FALSE)</f>
        <v>Chalkboard Education</v>
      </c>
      <c r="M319" s="15">
        <f t="shared" si="438"/>
        <v>0.9</v>
      </c>
      <c r="N319" s="10" t="str">
        <f t="shared" si="439"/>
        <v>42951Chalkboard Education237000</v>
      </c>
      <c r="O319" s="14" t="str">
        <f t="shared" si="440"/>
        <v/>
      </c>
      <c r="P319" s="14">
        <f t="shared" si="441"/>
        <v>1</v>
      </c>
      <c r="Q319" s="14">
        <f t="array" ref="Q319">IFERROR(INDEX([1]Companies!$D:$D,MATCH(B319,[1]Companies!$A:$A,0)),"")</f>
        <v>2015</v>
      </c>
      <c r="R319" s="17">
        <f t="shared" si="442"/>
        <v>464000</v>
      </c>
      <c r="S319" s="14">
        <f>VLOOKUP(I319,[1]Lookups!$V$3:$Y$197,4,FALSE)</f>
        <v>0</v>
      </c>
      <c r="T319" s="14" t="str">
        <f>VLOOKUP(E319,[1]Lookups!$H$3:$I$71,2,FALSE)</f>
        <v>2. Seed</v>
      </c>
      <c r="U319" s="14" t="str">
        <f>VLOOKUP(K319,[1]Lookups!$B$3:$C$142,2,FALSE)</f>
        <v>Education</v>
      </c>
      <c r="V319" s="14">
        <f t="shared" si="396"/>
        <v>2017</v>
      </c>
      <c r="W319" s="14">
        <f t="shared" si="397"/>
        <v>8</v>
      </c>
      <c r="X319" s="14">
        <f>VLOOKUP(W319,[1]Lookups!$P$3:$S$15,2,FALSE)</f>
        <v>3</v>
      </c>
      <c r="Y319" s="16">
        <f>VLOOKUP(W319,[1]Lookups!$P$3:$U$15,3,FALSE)</f>
        <v>2</v>
      </c>
      <c r="Z319" s="16">
        <f t="shared" si="398"/>
        <v>1</v>
      </c>
      <c r="AA319" s="16" t="str">
        <f t="shared" ca="1" si="471"/>
        <v>LoftyInc Capital Management</v>
      </c>
      <c r="AB319" s="16">
        <f t="shared" si="471"/>
        <v>0</v>
      </c>
      <c r="AC319" s="16">
        <f t="shared" si="471"/>
        <v>0</v>
      </c>
      <c r="AD319" s="16">
        <f t="shared" si="471"/>
        <v>0</v>
      </c>
      <c r="AE319" s="16">
        <f t="shared" si="471"/>
        <v>0</v>
      </c>
      <c r="AF319" s="16">
        <f t="shared" si="471"/>
        <v>0</v>
      </c>
      <c r="AG319" s="16">
        <f t="shared" si="471"/>
        <v>0</v>
      </c>
      <c r="AH319" s="16">
        <f t="shared" si="471"/>
        <v>0</v>
      </c>
      <c r="AI319" s="16">
        <f t="shared" si="471"/>
        <v>0</v>
      </c>
      <c r="AJ319" s="16">
        <f t="shared" si="471"/>
        <v>0</v>
      </c>
      <c r="AK319" s="16">
        <f t="shared" si="471"/>
        <v>0</v>
      </c>
      <c r="AL319" s="16">
        <f t="shared" si="471"/>
        <v>0</v>
      </c>
      <c r="AM319" s="16">
        <f t="shared" si="471"/>
        <v>0</v>
      </c>
      <c r="AN319" s="16">
        <f t="shared" si="471"/>
        <v>0</v>
      </c>
      <c r="AO319" s="16">
        <f t="shared" si="471"/>
        <v>0</v>
      </c>
      <c r="AP319" s="10"/>
      <c r="AQ319" s="10"/>
      <c r="AR319" s="10"/>
      <c r="AS319" s="10" t="str">
        <f t="shared" ref="AS319" ca="1" si="479">IFERROR(__xludf.DUMMYFUNCTION("split(F283,"","",true,true)"),"LoftyInc Capital Management")</f>
        <v>LoftyInc Capital Management</v>
      </c>
      <c r="AT319" s="10"/>
      <c r="AU319" s="10"/>
      <c r="AV319" s="10"/>
      <c r="AW319" s="10"/>
      <c r="AX319" s="10"/>
      <c r="AY319" s="10"/>
      <c r="AZ319" s="10"/>
      <c r="BA319" s="10"/>
      <c r="BB319" s="10"/>
      <c r="BC319" s="10"/>
      <c r="BD319" s="10"/>
      <c r="BE319" s="10"/>
      <c r="BF319" s="10"/>
      <c r="BG319" s="10"/>
      <c r="BH319" s="10"/>
      <c r="BI319" s="10"/>
      <c r="BJ319" s="10"/>
      <c r="BK319" s="10"/>
      <c r="BM319" s="10"/>
    </row>
    <row r="320" spans="1:65" ht="12.75">
      <c r="A320" s="9">
        <v>42951</v>
      </c>
      <c r="B320" s="10" t="s">
        <v>480</v>
      </c>
      <c r="C320" s="11">
        <v>100000</v>
      </c>
      <c r="D320" s="12"/>
      <c r="E320" s="10" t="s">
        <v>234</v>
      </c>
      <c r="F320" s="10" t="s">
        <v>741</v>
      </c>
      <c r="G320" s="13" t="s">
        <v>752</v>
      </c>
      <c r="H320" s="14" t="str">
        <f t="array" ref="H320">IFERROR(INDEX([1]Companies!$G:$G,MATCH(B320,[1]Companies!$A:$A,0)),"")</f>
        <v>Kenya</v>
      </c>
      <c r="I320" s="14" t="str">
        <f t="shared" si="437"/>
        <v>Kenya</v>
      </c>
      <c r="J320" s="14" t="str">
        <f t="array" ref="J320">IFERROR(INDEX([1]Companies!$Y:$Y,MATCH(B320,[1]Companies!$A:$A,0)),"")</f>
        <v>Internet, Marketplace, Mobile Payments, Trading Platform</v>
      </c>
      <c r="K320" s="14" t="str">
        <f t="array" ref="K320">IFERROR(INDEX([1]Companies!$X:$X,MATCH(B320,[1]Companies!$A:$A,0)),"")</f>
        <v>E-Commerce &amp; Retail</v>
      </c>
      <c r="L320" s="14" t="str">
        <f>VLOOKUP(B320,[1]Companies!$A$1:$C$5243,1,FALSE)</f>
        <v>Sky.Garden</v>
      </c>
      <c r="M320" s="15">
        <f t="shared" si="438"/>
        <v>0.9</v>
      </c>
      <c r="N320" s="10" t="str">
        <f t="shared" si="439"/>
        <v>42951Sky.Garden100000</v>
      </c>
      <c r="O320" s="14" t="str">
        <f t="shared" si="440"/>
        <v/>
      </c>
      <c r="P320" s="14">
        <f t="shared" si="441"/>
        <v>1</v>
      </c>
      <c r="Q320" s="14">
        <f t="array" ref="Q320">IFERROR(INDEX([1]Companies!$D:$D,MATCH(B320,[1]Companies!$A:$A,0)),"")</f>
        <v>2015</v>
      </c>
      <c r="R320" s="17">
        <f t="shared" si="442"/>
        <v>1724700</v>
      </c>
      <c r="S320" s="14">
        <f>VLOOKUP(I320,[1]Lookups!$V$3:$Y$197,4,FALSE)</f>
        <v>0</v>
      </c>
      <c r="T320" s="14" t="str">
        <f>VLOOKUP(E320,[1]Lookups!$H$3:$I$71,2,FALSE)</f>
        <v>2. Seed</v>
      </c>
      <c r="U320" s="14" t="str">
        <f>VLOOKUP(K320,[1]Lookups!$B$3:$C$142,2,FALSE)</f>
        <v>E-commerce &amp; Retail</v>
      </c>
      <c r="V320" s="14">
        <f t="shared" si="396"/>
        <v>2017</v>
      </c>
      <c r="W320" s="14">
        <f t="shared" si="397"/>
        <v>8</v>
      </c>
      <c r="X320" s="14">
        <f>VLOOKUP(W320,[1]Lookups!$P$3:$S$15,2,FALSE)</f>
        <v>3</v>
      </c>
      <c r="Y320" s="16">
        <f>VLOOKUP(W320,[1]Lookups!$P$3:$U$15,3,FALSE)</f>
        <v>2</v>
      </c>
      <c r="Z320" s="16">
        <f t="shared" si="398"/>
        <v>1</v>
      </c>
      <c r="AA320" s="16" t="str">
        <f t="shared" ca="1" si="471"/>
        <v>LoftyInc Capital Management</v>
      </c>
      <c r="AB320" s="16">
        <f t="shared" si="471"/>
        <v>0</v>
      </c>
      <c r="AC320" s="16">
        <f t="shared" si="471"/>
        <v>0</v>
      </c>
      <c r="AD320" s="16">
        <f t="shared" si="471"/>
        <v>0</v>
      </c>
      <c r="AE320" s="16">
        <f t="shared" si="471"/>
        <v>0</v>
      </c>
      <c r="AF320" s="16">
        <f t="shared" si="471"/>
        <v>0</v>
      </c>
      <c r="AG320" s="16">
        <f t="shared" si="471"/>
        <v>0</v>
      </c>
      <c r="AH320" s="16">
        <f t="shared" si="471"/>
        <v>0</v>
      </c>
      <c r="AI320" s="16">
        <f t="shared" si="471"/>
        <v>0</v>
      </c>
      <c r="AJ320" s="16">
        <f t="shared" si="471"/>
        <v>0</v>
      </c>
      <c r="AK320" s="16">
        <f t="shared" si="471"/>
        <v>0</v>
      </c>
      <c r="AL320" s="16">
        <f t="shared" si="471"/>
        <v>0</v>
      </c>
      <c r="AM320" s="16">
        <f t="shared" si="471"/>
        <v>0</v>
      </c>
      <c r="AN320" s="16">
        <f t="shared" si="471"/>
        <v>0</v>
      </c>
      <c r="AO320" s="16">
        <f t="shared" si="471"/>
        <v>0</v>
      </c>
      <c r="AP320" s="10"/>
      <c r="AQ320" s="10"/>
      <c r="AR320" s="10"/>
      <c r="AS320" s="10" t="str">
        <f t="shared" ref="AS320" ca="1" si="480">IFERROR(__xludf.DUMMYFUNCTION("split(F283,"","",true,true)"),"LoftyInc Capital Management")</f>
        <v>LoftyInc Capital Management</v>
      </c>
      <c r="AT320" s="10"/>
      <c r="AU320" s="10"/>
      <c r="AV320" s="10"/>
      <c r="AW320" s="10"/>
      <c r="AX320" s="10"/>
      <c r="AY320" s="10"/>
      <c r="AZ320" s="10"/>
      <c r="BA320" s="10"/>
      <c r="BB320" s="10"/>
      <c r="BC320" s="10"/>
      <c r="BD320" s="10"/>
      <c r="BE320" s="10"/>
      <c r="BF320" s="10"/>
      <c r="BG320" s="10"/>
      <c r="BH320" s="10"/>
      <c r="BI320" s="10"/>
      <c r="BJ320" s="10"/>
      <c r="BK320" s="10"/>
      <c r="BM320" s="10"/>
    </row>
    <row r="321" spans="1:65" ht="12.75">
      <c r="A321" s="18">
        <v>42954</v>
      </c>
      <c r="B321" s="14" t="s">
        <v>753</v>
      </c>
      <c r="C321" s="19">
        <v>120000</v>
      </c>
      <c r="D321" s="19"/>
      <c r="E321" s="14" t="s">
        <v>45</v>
      </c>
      <c r="F321" s="14" t="s">
        <v>754</v>
      </c>
      <c r="G321" s="21" t="s">
        <v>755</v>
      </c>
      <c r="H321" s="14" t="str">
        <f t="array" ref="H321">IFERROR(INDEX([1]Companies!$G:$G,MATCH(B321,[1]Companies!$A:$A,0)),"")</f>
        <v>Nigeria</v>
      </c>
      <c r="I321" s="14" t="str">
        <f t="shared" si="437"/>
        <v>Nigeria</v>
      </c>
      <c r="J321" s="14" t="str">
        <f t="array" ref="J321">IFERROR(INDEX([1]Companies!$Y:$Y,MATCH(B321,[1]Companies!$A:$A,0)),"")</f>
        <v>B2B, E-Commerce, Marketplace</v>
      </c>
      <c r="K321" s="14" t="str">
        <f t="array" ref="K321">IFERROR(INDEX([1]Companies!$X:$X,MATCH(B321,[1]Companies!$A:$A,0)),"")</f>
        <v>E-Commerce &amp; Retail</v>
      </c>
      <c r="L321" s="14" t="str">
        <f>VLOOKUP(B321,[1]Companies!$A$1:$C$5243,1,FALSE)</f>
        <v>Releaf</v>
      </c>
      <c r="M321" s="15">
        <f t="shared" si="438"/>
        <v>0.9</v>
      </c>
      <c r="N321" s="10" t="str">
        <f t="shared" si="439"/>
        <v>42954Releaf120000</v>
      </c>
      <c r="O321" s="14" t="str">
        <f t="shared" si="440"/>
        <v/>
      </c>
      <c r="P321" s="14">
        <f t="shared" si="441"/>
        <v>1</v>
      </c>
      <c r="Q321" s="14">
        <f t="array" ref="Q321">IFERROR(INDEX([1]Companies!$D:$D,MATCH(B321,[1]Companies!$A:$A,0)),"")</f>
        <v>2017</v>
      </c>
      <c r="R321" s="17">
        <f t="shared" si="442"/>
        <v>120000</v>
      </c>
      <c r="S321" s="14">
        <f>VLOOKUP(I321,[1]Lookups!$V$3:$Y$197,4,FALSE)</f>
        <v>0</v>
      </c>
      <c r="T321" s="14" t="str">
        <f>VLOOKUP(E321,[1]Lookups!$H$3:$I$71,2,FALSE)</f>
        <v>2. Seed</v>
      </c>
      <c r="U321" s="14" t="str">
        <f>VLOOKUP(K321,[1]Lookups!$B$3:$C$142,2,FALSE)</f>
        <v>E-commerce &amp; Retail</v>
      </c>
      <c r="V321" s="14">
        <f t="shared" si="396"/>
        <v>2017</v>
      </c>
      <c r="W321" s="14">
        <f t="shared" si="397"/>
        <v>8</v>
      </c>
      <c r="X321" s="14">
        <f>VLOOKUP(W321,[1]Lookups!$P$3:$S$15,2,FALSE)</f>
        <v>3</v>
      </c>
      <c r="Y321" s="16">
        <f>VLOOKUP(W321,[1]Lookups!$P$3:$U$15,3,FALSE)</f>
        <v>2</v>
      </c>
      <c r="Z321" s="16">
        <f t="shared" si="398"/>
        <v>1</v>
      </c>
      <c r="AA321" s="16" t="str">
        <f t="shared" ca="1" si="471"/>
        <v>LoftyInc Capital Management</v>
      </c>
      <c r="AB321" s="16">
        <f t="shared" si="471"/>
        <v>0</v>
      </c>
      <c r="AC321" s="16">
        <f t="shared" si="471"/>
        <v>0</v>
      </c>
      <c r="AD321" s="16">
        <f t="shared" si="471"/>
        <v>0</v>
      </c>
      <c r="AE321" s="16">
        <f t="shared" si="471"/>
        <v>0</v>
      </c>
      <c r="AF321" s="16">
        <f t="shared" si="471"/>
        <v>0</v>
      </c>
      <c r="AG321" s="16">
        <f t="shared" si="471"/>
        <v>0</v>
      </c>
      <c r="AH321" s="16">
        <f t="shared" si="471"/>
        <v>0</v>
      </c>
      <c r="AI321" s="16">
        <f t="shared" si="471"/>
        <v>0</v>
      </c>
      <c r="AJ321" s="16">
        <f t="shared" si="471"/>
        <v>0</v>
      </c>
      <c r="AK321" s="16">
        <f t="shared" si="471"/>
        <v>0</v>
      </c>
      <c r="AL321" s="16">
        <f t="shared" si="471"/>
        <v>0</v>
      </c>
      <c r="AM321" s="16">
        <f t="shared" si="471"/>
        <v>0</v>
      </c>
      <c r="AN321" s="16">
        <f t="shared" si="471"/>
        <v>0</v>
      </c>
      <c r="AO321" s="16">
        <f t="shared" si="471"/>
        <v>0</v>
      </c>
      <c r="AP321" s="10"/>
      <c r="AQ321" s="10"/>
      <c r="AR321" s="10"/>
      <c r="AS321" s="10" t="str">
        <f t="shared" ref="AS321" ca="1" si="481">IFERROR(__xludf.DUMMYFUNCTION("split(F283,"","",true,true)"),"LoftyInc Capital Management")</f>
        <v>LoftyInc Capital Management</v>
      </c>
      <c r="AT321" s="25"/>
      <c r="AU321" s="25"/>
      <c r="AV321" s="25"/>
      <c r="AW321" s="25"/>
      <c r="AX321" s="25"/>
      <c r="AY321" s="25"/>
      <c r="AZ321" s="25"/>
      <c r="BA321" s="25"/>
      <c r="BB321" s="25"/>
      <c r="BC321" s="25"/>
      <c r="BD321" s="25"/>
      <c r="BE321" s="25"/>
      <c r="BF321" s="25"/>
      <c r="BG321" s="25"/>
      <c r="BH321" s="25"/>
      <c r="BI321" s="25"/>
      <c r="BJ321" s="25"/>
      <c r="BK321" s="25"/>
      <c r="BM321" s="25"/>
    </row>
    <row r="322" spans="1:65" ht="12.75">
      <c r="A322" s="9">
        <v>42955</v>
      </c>
      <c r="B322" s="10" t="s">
        <v>474</v>
      </c>
      <c r="C322" s="11">
        <v>150000</v>
      </c>
      <c r="D322" s="12"/>
      <c r="E322" s="10" t="s">
        <v>45</v>
      </c>
      <c r="F322" s="10" t="s">
        <v>226</v>
      </c>
      <c r="G322" s="13" t="s">
        <v>756</v>
      </c>
      <c r="H322" s="14" t="str">
        <f t="array" ref="H322">IFERROR(INDEX([1]Companies!$G:$G,MATCH(B322,[1]Companies!$A:$A,0)),"")</f>
        <v>South Africa</v>
      </c>
      <c r="I322" s="14" t="str">
        <f t="shared" si="437"/>
        <v>South Africa</v>
      </c>
      <c r="J322" s="14" t="str">
        <f t="array" ref="J322">IFERROR(INDEX([1]Companies!$Y:$Y,MATCH(B322,[1]Companies!$A:$A,0)),"")</f>
        <v>FinTech, E-Payments</v>
      </c>
      <c r="K322" s="14" t="str">
        <f t="array" ref="K322">IFERROR(INDEX([1]Companies!$X:$X,MATCH(B322,[1]Companies!$A:$A,0)),"")</f>
        <v>Financial Services</v>
      </c>
      <c r="L322" s="14" t="str">
        <f>VLOOKUP(B322,[1]Companies!$A$1:$C$5243,1,FALSE)</f>
        <v>Payment24</v>
      </c>
      <c r="M322" s="15">
        <f t="shared" si="438"/>
        <v>0.9</v>
      </c>
      <c r="N322" s="10" t="str">
        <f t="shared" si="439"/>
        <v>42955Payment24150000</v>
      </c>
      <c r="O322" s="14" t="str">
        <f t="shared" si="440"/>
        <v/>
      </c>
      <c r="P322" s="14">
        <f t="shared" si="441"/>
        <v>1</v>
      </c>
      <c r="Q322" s="14">
        <f t="array" ref="Q322">IFERROR(INDEX([1]Companies!$D:$D,MATCH(B322,[1]Companies!$A:$A,0)),"")</f>
        <v>2014</v>
      </c>
      <c r="R322" s="17">
        <f t="shared" si="442"/>
        <v>170000</v>
      </c>
      <c r="S322" s="14">
        <f>VLOOKUP(I322,[1]Lookups!$V$3:$Y$197,4,FALSE)</f>
        <v>0</v>
      </c>
      <c r="T322" s="14" t="str">
        <f>VLOOKUP(E322,[1]Lookups!$H$3:$I$71,2,FALSE)</f>
        <v>2. Seed</v>
      </c>
      <c r="U322" s="14" t="str">
        <f>VLOOKUP(K322,[1]Lookups!$B$3:$C$142,2,FALSE)</f>
        <v>Financial Services</v>
      </c>
      <c r="V322" s="14">
        <f t="shared" si="396"/>
        <v>2017</v>
      </c>
      <c r="W322" s="14">
        <f t="shared" si="397"/>
        <v>8</v>
      </c>
      <c r="X322" s="14">
        <f>VLOOKUP(W322,[1]Lookups!$P$3:$S$15,2,FALSE)</f>
        <v>3</v>
      </c>
      <c r="Y322" s="16">
        <f>VLOOKUP(W322,[1]Lookups!$P$3:$U$15,3,FALSE)</f>
        <v>2</v>
      </c>
      <c r="Z322" s="16">
        <f t="shared" si="398"/>
        <v>1</v>
      </c>
      <c r="AA322" s="16" t="str">
        <f t="shared" ca="1" si="471"/>
        <v>LoftyInc Capital Management</v>
      </c>
      <c r="AB322" s="16">
        <f t="shared" si="471"/>
        <v>0</v>
      </c>
      <c r="AC322" s="16">
        <f t="shared" si="471"/>
        <v>0</v>
      </c>
      <c r="AD322" s="16">
        <f t="shared" si="471"/>
        <v>0</v>
      </c>
      <c r="AE322" s="16">
        <f t="shared" si="471"/>
        <v>0</v>
      </c>
      <c r="AF322" s="16">
        <f t="shared" si="471"/>
        <v>0</v>
      </c>
      <c r="AG322" s="16">
        <f t="shared" si="471"/>
        <v>0</v>
      </c>
      <c r="AH322" s="16">
        <f t="shared" si="471"/>
        <v>0</v>
      </c>
      <c r="AI322" s="16">
        <f t="shared" si="471"/>
        <v>0</v>
      </c>
      <c r="AJ322" s="16">
        <f t="shared" si="471"/>
        <v>0</v>
      </c>
      <c r="AK322" s="16">
        <f t="shared" si="471"/>
        <v>0</v>
      </c>
      <c r="AL322" s="16">
        <f t="shared" si="471"/>
        <v>0</v>
      </c>
      <c r="AM322" s="16">
        <f t="shared" si="471"/>
        <v>0</v>
      </c>
      <c r="AN322" s="16">
        <f t="shared" si="471"/>
        <v>0</v>
      </c>
      <c r="AO322" s="16">
        <f t="shared" si="471"/>
        <v>0</v>
      </c>
      <c r="AP322" s="10"/>
      <c r="AQ322" s="10"/>
      <c r="AR322" s="10"/>
      <c r="AS322" s="10" t="str">
        <f t="shared" ref="AS322" ca="1" si="482">IFERROR(__xludf.DUMMYFUNCTION("split(F283,"","",true,true)"),"LoftyInc Capital Management")</f>
        <v>LoftyInc Capital Management</v>
      </c>
      <c r="AT322" s="10"/>
      <c r="AU322" s="10"/>
      <c r="AV322" s="10"/>
      <c r="AW322" s="10"/>
      <c r="AX322" s="10"/>
      <c r="AY322" s="10"/>
      <c r="AZ322" s="10"/>
      <c r="BA322" s="10"/>
      <c r="BB322" s="10"/>
      <c r="BC322" s="10"/>
      <c r="BD322" s="10"/>
      <c r="BE322" s="10"/>
      <c r="BF322" s="10"/>
      <c r="BG322" s="10"/>
      <c r="BH322" s="10"/>
      <c r="BI322" s="10"/>
      <c r="BJ322" s="10"/>
      <c r="BK322" s="10"/>
      <c r="BM322" s="10"/>
    </row>
    <row r="323" spans="1:65" ht="12.75">
      <c r="A323" s="9">
        <v>42955</v>
      </c>
      <c r="B323" s="10" t="s">
        <v>757</v>
      </c>
      <c r="C323" s="11">
        <v>17000</v>
      </c>
      <c r="D323" s="12"/>
      <c r="E323" s="10" t="s">
        <v>45</v>
      </c>
      <c r="F323" s="10" t="s">
        <v>758</v>
      </c>
      <c r="G323" s="13" t="s">
        <v>759</v>
      </c>
      <c r="H323" s="14" t="str">
        <f t="array" ref="H323">IFERROR(INDEX([1]Companies!$G:$G,MATCH(B323,[1]Companies!$A:$A,0)),"")</f>
        <v>Nigeria</v>
      </c>
      <c r="I323" s="14" t="str">
        <f t="shared" si="437"/>
        <v>Nigeria</v>
      </c>
      <c r="J323" s="14" t="str">
        <f t="array" ref="J323">IFERROR(INDEX([1]Companies!$Y:$Y,MATCH(B323,[1]Companies!$A:$A,0)),"")</f>
        <v>HealthTech</v>
      </c>
      <c r="K323" s="14" t="str">
        <f t="array" ref="K323">IFERROR(INDEX([1]Companies!$X:$X,MATCH(B323,[1]Companies!$A:$A,0)),"")</f>
        <v>Healthcare &amp; Pharma</v>
      </c>
      <c r="L323" s="14" t="str">
        <f>VLOOKUP(B323,[1]Companies!$A$1:$C$5243,1,FALSE)</f>
        <v>MOBIcure</v>
      </c>
      <c r="M323" s="15">
        <f t="shared" si="438"/>
        <v>0.9</v>
      </c>
      <c r="N323" s="10"/>
      <c r="O323" s="14"/>
      <c r="P323" s="14"/>
      <c r="Q323" s="14"/>
      <c r="R323" s="14"/>
      <c r="S323" s="14"/>
      <c r="T323" s="14"/>
      <c r="U323" s="14"/>
      <c r="V323" s="14">
        <f t="shared" si="396"/>
        <v>2017</v>
      </c>
      <c r="W323" s="14">
        <f t="shared" si="397"/>
        <v>8</v>
      </c>
      <c r="X323" s="14">
        <f>VLOOKUP(W323,[1]Lookups!$P$3:$S$15,2,FALSE)</f>
        <v>3</v>
      </c>
      <c r="Y323" s="16">
        <f>VLOOKUP(W323,[1]Lookups!$P$3:$U$15,3,FALSE)</f>
        <v>2</v>
      </c>
      <c r="Z323" s="16">
        <f t="shared" si="398"/>
        <v>1</v>
      </c>
      <c r="AA323" s="16" t="str">
        <f t="shared" ca="1" si="471"/>
        <v>LoftyInc Capital Management</v>
      </c>
      <c r="AB323" s="16">
        <f t="shared" si="471"/>
        <v>0</v>
      </c>
      <c r="AC323" s="16">
        <f t="shared" si="471"/>
        <v>0</v>
      </c>
      <c r="AD323" s="16">
        <f t="shared" si="471"/>
        <v>0</v>
      </c>
      <c r="AE323" s="16">
        <f t="shared" si="471"/>
        <v>0</v>
      </c>
      <c r="AF323" s="16">
        <f t="shared" si="471"/>
        <v>0</v>
      </c>
      <c r="AG323" s="16">
        <f t="shared" si="471"/>
        <v>0</v>
      </c>
      <c r="AH323" s="16">
        <f t="shared" si="471"/>
        <v>0</v>
      </c>
      <c r="AI323" s="16">
        <f t="shared" si="471"/>
        <v>0</v>
      </c>
      <c r="AJ323" s="16">
        <f t="shared" si="471"/>
        <v>0</v>
      </c>
      <c r="AK323" s="16">
        <f t="shared" si="471"/>
        <v>0</v>
      </c>
      <c r="AL323" s="16">
        <f t="shared" si="471"/>
        <v>0</v>
      </c>
      <c r="AM323" s="16">
        <f t="shared" si="471"/>
        <v>0</v>
      </c>
      <c r="AN323" s="16">
        <f t="shared" si="471"/>
        <v>0</v>
      </c>
      <c r="AO323" s="16">
        <f t="shared" si="471"/>
        <v>0</v>
      </c>
      <c r="AP323" s="10"/>
      <c r="AQ323" s="10"/>
      <c r="AR323" s="10"/>
      <c r="AS323" s="10" t="str">
        <f t="shared" ref="AS323" ca="1" si="483">IFERROR(__xludf.DUMMYFUNCTION("split(F283,"","",true,true)"),"LoftyInc Capital Management")</f>
        <v>LoftyInc Capital Management</v>
      </c>
      <c r="AT323" s="10"/>
      <c r="AU323" s="10"/>
      <c r="AV323" s="10"/>
      <c r="AW323" s="10"/>
      <c r="AX323" s="10"/>
      <c r="AY323" s="10"/>
      <c r="AZ323" s="10"/>
      <c r="BA323" s="10"/>
      <c r="BB323" s="10"/>
      <c r="BC323" s="10"/>
      <c r="BD323" s="10"/>
      <c r="BE323" s="10"/>
      <c r="BF323" s="10"/>
      <c r="BG323" s="10"/>
      <c r="BH323" s="10"/>
      <c r="BI323" s="10"/>
      <c r="BJ323" s="10"/>
      <c r="BK323" s="10"/>
      <c r="BM323" s="10"/>
    </row>
    <row r="324" spans="1:65" ht="12.75">
      <c r="A324" s="18">
        <v>42961</v>
      </c>
      <c r="B324" s="14" t="s">
        <v>760</v>
      </c>
      <c r="C324" s="19">
        <v>7150000</v>
      </c>
      <c r="D324" s="19"/>
      <c r="E324" s="14" t="s">
        <v>51</v>
      </c>
      <c r="F324" s="14" t="s">
        <v>761</v>
      </c>
      <c r="G324" s="27" t="s">
        <v>762</v>
      </c>
      <c r="H324" s="14" t="str">
        <f t="array" ref="H324">IFERROR(INDEX([1]Companies!$G:$G,MATCH(B324,[1]Companies!$A:$A,0)),"")</f>
        <v/>
      </c>
      <c r="I324" s="14" t="str">
        <f t="shared" si="437"/>
        <v/>
      </c>
      <c r="J324" s="14" t="str">
        <f t="array" ref="J324">IFERROR(INDEX([1]Companies!$Y:$Y,MATCH(B324,[1]Companies!$A:$A,0)),"")</f>
        <v/>
      </c>
      <c r="K324" s="14" t="str">
        <f t="array" ref="K324">IFERROR(INDEX([1]Companies!$X:$X,MATCH(B324,[1]Companies!$A:$A,0)),"")</f>
        <v/>
      </c>
      <c r="L324" s="14" t="e">
        <f>VLOOKUP(B324,[1]Companies!$A$1:$C$5243,1,FALSE)</f>
        <v>#N/A</v>
      </c>
      <c r="M324" s="15">
        <f t="shared" si="438"/>
        <v>0.6428571428571429</v>
      </c>
      <c r="N324" s="10" t="str">
        <f t="shared" ref="N324:N332" si="484">CONCATENATE(A324,B324,C324)</f>
        <v>42961F7150000</v>
      </c>
      <c r="O324" s="14" t="str">
        <f t="shared" ref="O324:O332" si="485">IF(A324 = "","",IF(COUNTIF(N:N,CONCATENATE(A324,B324,C324))&gt;1,"Duplicated",""))</f>
        <v/>
      </c>
      <c r="P324" s="14">
        <f t="shared" ref="P324:P332" si="486">IF(C324="Undisclosed",0,1)</f>
        <v>1</v>
      </c>
      <c r="Q324" s="14" t="str">
        <f t="array" ref="Q324">IFERROR(INDEX([1]Companies!$D:$D,MATCH(B324,[1]Companies!$A:$A,0)),"")</f>
        <v/>
      </c>
      <c r="R324" s="17">
        <f t="shared" ref="R324:R332" si="487">SUMIF(B:B,B324,C:C)</f>
        <v>7150000</v>
      </c>
      <c r="S324" s="14" t="e">
        <f>VLOOKUP(I324,[1]Lookups!$V$3:$Y$197,4,FALSE)</f>
        <v>#N/A</v>
      </c>
      <c r="T324" s="14" t="str">
        <f>VLOOKUP(E324,[1]Lookups!$H$3:$I$71,2,FALSE)</f>
        <v>6. Private Equity</v>
      </c>
      <c r="U324" s="14" t="e">
        <f>VLOOKUP(K324,[1]Lookups!$B$3:$C$142,2,FALSE)</f>
        <v>#N/A</v>
      </c>
      <c r="V324" s="14">
        <f t="shared" si="396"/>
        <v>2017</v>
      </c>
      <c r="W324" s="14">
        <f t="shared" si="397"/>
        <v>8</v>
      </c>
      <c r="X324" s="14">
        <f>VLOOKUP(W324,[1]Lookups!$P$3:$S$15,2,FALSE)</f>
        <v>3</v>
      </c>
      <c r="Y324" s="16">
        <f>VLOOKUP(W324,[1]Lookups!$P$3:$U$15,3,FALSE)</f>
        <v>2</v>
      </c>
      <c r="Z324" s="16">
        <f t="shared" si="398"/>
        <v>1</v>
      </c>
      <c r="AA324" s="16" t="str">
        <f t="shared" ca="1" si="471"/>
        <v>LoftyInc Capital Management</v>
      </c>
      <c r="AB324" s="16">
        <f t="shared" si="471"/>
        <v>0</v>
      </c>
      <c r="AC324" s="16">
        <f t="shared" si="471"/>
        <v>0</v>
      </c>
      <c r="AD324" s="16">
        <f t="shared" si="471"/>
        <v>0</v>
      </c>
      <c r="AE324" s="16">
        <f t="shared" si="471"/>
        <v>0</v>
      </c>
      <c r="AF324" s="16">
        <f t="shared" si="471"/>
        <v>0</v>
      </c>
      <c r="AG324" s="16">
        <f t="shared" si="471"/>
        <v>0</v>
      </c>
      <c r="AH324" s="16">
        <f t="shared" si="471"/>
        <v>0</v>
      </c>
      <c r="AI324" s="16">
        <f t="shared" si="471"/>
        <v>0</v>
      </c>
      <c r="AJ324" s="16">
        <f t="shared" si="471"/>
        <v>0</v>
      </c>
      <c r="AK324" s="16">
        <f t="shared" si="471"/>
        <v>0</v>
      </c>
      <c r="AL324" s="16">
        <f t="shared" si="471"/>
        <v>0</v>
      </c>
      <c r="AM324" s="16">
        <f t="shared" si="471"/>
        <v>0</v>
      </c>
      <c r="AN324" s="16">
        <f t="shared" si="471"/>
        <v>0</v>
      </c>
      <c r="AO324" s="16">
        <f t="shared" si="471"/>
        <v>0</v>
      </c>
      <c r="AP324" s="10"/>
      <c r="AQ324" s="10"/>
      <c r="AR324" s="10"/>
      <c r="AS324" s="10" t="str">
        <f t="shared" ref="AS324" ca="1" si="488">IFERROR(__xludf.DUMMYFUNCTION("split(F283,"","",true,true)"),"LoftyInc Capital Management")</f>
        <v>LoftyInc Capital Management</v>
      </c>
      <c r="AT324" s="10"/>
      <c r="AU324" s="10"/>
      <c r="AV324" s="10"/>
      <c r="AW324" s="10"/>
      <c r="AX324" s="10"/>
      <c r="AY324" s="10"/>
      <c r="AZ324" s="10"/>
      <c r="BA324" s="10"/>
      <c r="BB324" s="10"/>
      <c r="BC324" s="10"/>
      <c r="BD324" s="10"/>
      <c r="BE324" s="10"/>
      <c r="BF324" s="10"/>
      <c r="BG324" s="10"/>
      <c r="BH324" s="10"/>
      <c r="BI324" s="10"/>
      <c r="BJ324" s="10"/>
      <c r="BK324" s="10"/>
      <c r="BM324" s="10"/>
    </row>
    <row r="325" spans="1:65" ht="12.75">
      <c r="A325" s="18">
        <v>42961</v>
      </c>
      <c r="B325" s="14" t="s">
        <v>763</v>
      </c>
      <c r="C325" s="19">
        <v>1380000</v>
      </c>
      <c r="D325" s="19"/>
      <c r="E325" s="10" t="s">
        <v>328</v>
      </c>
      <c r="F325" s="14" t="s">
        <v>49</v>
      </c>
      <c r="G325" s="21" t="s">
        <v>764</v>
      </c>
      <c r="H325" s="14" t="str">
        <f t="array" ref="H325">IFERROR(INDEX([1]Companies!$G:$G,MATCH(B325,[1]Companies!$A:$A,0)),"")</f>
        <v>South Africa</v>
      </c>
      <c r="I325" s="14" t="str">
        <f t="shared" si="437"/>
        <v>South Africa</v>
      </c>
      <c r="J325" s="14" t="str">
        <f t="array" ref="J325">IFERROR(INDEX([1]Companies!$Y:$Y,MATCH(B325,[1]Companies!$A:$A,0)),"")</f>
        <v>Information Services, Sales, Social Media Marketing</v>
      </c>
      <c r="K325" s="14" t="str">
        <f t="array" ref="K325">IFERROR(INDEX([1]Companies!$X:$X,MATCH(B325,[1]Companies!$A:$A,0)),"")</f>
        <v>E-Commerce &amp; Retail</v>
      </c>
      <c r="L325" s="14" t="str">
        <f>VLOOKUP(B325,[1]Companies!$A$1:$C$5243,1,FALSE)</f>
        <v>Getworth</v>
      </c>
      <c r="M325" s="15">
        <f t="shared" si="438"/>
        <v>0.9</v>
      </c>
      <c r="N325" s="10" t="str">
        <f t="shared" si="484"/>
        <v>42961getWorth1380000</v>
      </c>
      <c r="O325" s="14" t="str">
        <f t="shared" si="485"/>
        <v/>
      </c>
      <c r="P325" s="14">
        <f t="shared" si="486"/>
        <v>1</v>
      </c>
      <c r="Q325" s="14">
        <f t="array" ref="Q325">IFERROR(INDEX([1]Companies!$D:$D,MATCH(B325,[1]Companies!$A:$A,0)),"")</f>
        <v>2016</v>
      </c>
      <c r="R325" s="17">
        <f t="shared" si="487"/>
        <v>1380000</v>
      </c>
      <c r="S325" s="14">
        <f>VLOOKUP(I325,[1]Lookups!$V$3:$Y$197,4,FALSE)</f>
        <v>0</v>
      </c>
      <c r="T325" s="14" t="str">
        <f>VLOOKUP(E325,[1]Lookups!$H$3:$I$71,2,FALSE)</f>
        <v>4. Late Venture</v>
      </c>
      <c r="U325" s="14" t="str">
        <f>VLOOKUP(K325,[1]Lookups!$B$3:$C$142,2,FALSE)</f>
        <v>E-commerce &amp; Retail</v>
      </c>
      <c r="V325" s="14">
        <f t="shared" si="396"/>
        <v>2017</v>
      </c>
      <c r="W325" s="14">
        <f t="shared" si="397"/>
        <v>8</v>
      </c>
      <c r="X325" s="14">
        <f>VLOOKUP(W325,[1]Lookups!$P$3:$S$15,2,FALSE)</f>
        <v>3</v>
      </c>
      <c r="Y325" s="16">
        <f>VLOOKUP(W325,[1]Lookups!$P$3:$U$15,3,FALSE)</f>
        <v>2</v>
      </c>
      <c r="Z325" s="16">
        <f t="shared" si="398"/>
        <v>1</v>
      </c>
      <c r="AA325" s="16" t="str">
        <f t="shared" ca="1" si="471"/>
        <v>LoftyInc Capital Management</v>
      </c>
      <c r="AB325" s="16">
        <f t="shared" si="471"/>
        <v>0</v>
      </c>
      <c r="AC325" s="16">
        <f t="shared" si="471"/>
        <v>0</v>
      </c>
      <c r="AD325" s="16">
        <f t="shared" si="471"/>
        <v>0</v>
      </c>
      <c r="AE325" s="16">
        <f t="shared" si="471"/>
        <v>0</v>
      </c>
      <c r="AF325" s="16">
        <f t="shared" si="471"/>
        <v>0</v>
      </c>
      <c r="AG325" s="16">
        <f t="shared" si="471"/>
        <v>0</v>
      </c>
      <c r="AH325" s="16">
        <f t="shared" si="471"/>
        <v>0</v>
      </c>
      <c r="AI325" s="16">
        <f t="shared" si="471"/>
        <v>0</v>
      </c>
      <c r="AJ325" s="16">
        <f t="shared" si="471"/>
        <v>0</v>
      </c>
      <c r="AK325" s="16">
        <f t="shared" si="471"/>
        <v>0</v>
      </c>
      <c r="AL325" s="16">
        <f t="shared" si="471"/>
        <v>0</v>
      </c>
      <c r="AM325" s="16">
        <f t="shared" si="471"/>
        <v>0</v>
      </c>
      <c r="AN325" s="16">
        <f t="shared" si="471"/>
        <v>0</v>
      </c>
      <c r="AO325" s="16">
        <f t="shared" si="471"/>
        <v>0</v>
      </c>
      <c r="AP325" s="10"/>
      <c r="AQ325" s="10"/>
      <c r="AR325" s="10"/>
      <c r="AS325" s="10" t="str">
        <f t="shared" ref="AS325" ca="1" si="489">IFERROR(__xludf.DUMMYFUNCTION("split(F283,"","",true,true)"),"LoftyInc Capital Management")</f>
        <v>LoftyInc Capital Management</v>
      </c>
      <c r="AT325" s="23"/>
      <c r="AU325" s="23"/>
      <c r="AV325" s="23"/>
      <c r="AW325" s="23"/>
      <c r="AX325" s="23"/>
      <c r="AY325" s="23"/>
      <c r="AZ325" s="23"/>
      <c r="BA325" s="23"/>
      <c r="BB325" s="23"/>
      <c r="BC325" s="23"/>
      <c r="BD325" s="23"/>
      <c r="BE325" s="23"/>
      <c r="BF325" s="23"/>
      <c r="BG325" s="23"/>
      <c r="BH325" s="23"/>
      <c r="BI325" s="23"/>
      <c r="BJ325" s="23"/>
      <c r="BK325" s="23"/>
      <c r="BM325" s="23"/>
    </row>
    <row r="326" spans="1:65" ht="12.75">
      <c r="A326" s="9">
        <v>42961</v>
      </c>
      <c r="B326" s="10" t="s">
        <v>224</v>
      </c>
      <c r="C326" s="11">
        <v>200000</v>
      </c>
      <c r="D326" s="12"/>
      <c r="E326" s="10" t="s">
        <v>45</v>
      </c>
      <c r="F326" s="10" t="s">
        <v>765</v>
      </c>
      <c r="G326" s="13" t="s">
        <v>766</v>
      </c>
      <c r="H326" s="14" t="str">
        <f t="array" ref="H326">IFERROR(INDEX([1]Companies!$G:$G,MATCH(B326,[1]Companies!$A:$A,0)),"")</f>
        <v>Egypt</v>
      </c>
      <c r="I326" s="14" t="str">
        <f t="shared" si="437"/>
        <v>Egypt</v>
      </c>
      <c r="J326" s="14" t="str">
        <f t="array" ref="J326">IFERROR(INDEX([1]Companies!$Y:$Y,MATCH(B326,[1]Companies!$A:$A,0)),"")</f>
        <v>Catering, Delivery, Food and Beverage, Food Delivery, Marketplace, Subscription Service</v>
      </c>
      <c r="K326" s="14" t="str">
        <f t="array" ref="K326">IFERROR(INDEX([1]Companies!$X:$X,MATCH(B326,[1]Companies!$A:$A,0)),"")</f>
        <v>E-Commerce &amp; Retail</v>
      </c>
      <c r="L326" s="14" t="str">
        <f>VLOOKUP(B326,[1]Companies!$A$1:$C$5243,1,FALSE)</f>
        <v>Yumamia</v>
      </c>
      <c r="M326" s="15">
        <f t="shared" si="438"/>
        <v>0.9</v>
      </c>
      <c r="N326" s="10" t="str">
        <f t="shared" si="484"/>
        <v>42961Yumamia200000</v>
      </c>
      <c r="O326" s="14" t="str">
        <f t="shared" si="485"/>
        <v/>
      </c>
      <c r="P326" s="14">
        <f t="shared" si="486"/>
        <v>1</v>
      </c>
      <c r="Q326" s="14">
        <f t="array" ref="Q326">IFERROR(INDEX([1]Companies!$D:$D,MATCH(B326,[1]Companies!$A:$A,0)),"")</f>
        <v>2014</v>
      </c>
      <c r="R326" s="17">
        <f t="shared" si="487"/>
        <v>2750000</v>
      </c>
      <c r="S326" s="14">
        <f>VLOOKUP(I326,[1]Lookups!$V$3:$Y$197,4,FALSE)</f>
        <v>0</v>
      </c>
      <c r="T326" s="14" t="str">
        <f>VLOOKUP(E326,[1]Lookups!$H$3:$I$71,2,FALSE)</f>
        <v>2. Seed</v>
      </c>
      <c r="U326" s="14" t="str">
        <f>VLOOKUP(K326,[1]Lookups!$B$3:$C$142,2,FALSE)</f>
        <v>E-commerce &amp; Retail</v>
      </c>
      <c r="V326" s="14">
        <f t="shared" si="396"/>
        <v>2017</v>
      </c>
      <c r="W326" s="14">
        <f t="shared" si="397"/>
        <v>8</v>
      </c>
      <c r="X326" s="14">
        <f>VLOOKUP(W326,[1]Lookups!$P$3:$S$15,2,FALSE)</f>
        <v>3</v>
      </c>
      <c r="Y326" s="16">
        <f>VLOOKUP(W326,[1]Lookups!$P$3:$U$15,3,FALSE)</f>
        <v>2</v>
      </c>
      <c r="Z326" s="16">
        <f t="shared" si="398"/>
        <v>2</v>
      </c>
      <c r="AA326" s="16" t="str">
        <f t="shared" ca="1" si="471"/>
        <v>LoftyInc Capital Management</v>
      </c>
      <c r="AB326" s="16" t="str">
        <f t="shared" ca="1" si="471"/>
        <v xml:space="preserve"> Faden Media</v>
      </c>
      <c r="AC326" s="16">
        <f t="shared" si="471"/>
        <v>0</v>
      </c>
      <c r="AD326" s="16">
        <f t="shared" si="471"/>
        <v>0</v>
      </c>
      <c r="AE326" s="16">
        <f t="shared" si="471"/>
        <v>0</v>
      </c>
      <c r="AF326" s="16">
        <f t="shared" si="471"/>
        <v>0</v>
      </c>
      <c r="AG326" s="16">
        <f t="shared" si="471"/>
        <v>0</v>
      </c>
      <c r="AH326" s="16">
        <f t="shared" si="471"/>
        <v>0</v>
      </c>
      <c r="AI326" s="16">
        <f t="shared" si="471"/>
        <v>0</v>
      </c>
      <c r="AJ326" s="16">
        <f t="shared" si="471"/>
        <v>0</v>
      </c>
      <c r="AK326" s="16">
        <f t="shared" si="471"/>
        <v>0</v>
      </c>
      <c r="AL326" s="16">
        <f t="shared" si="471"/>
        <v>0</v>
      </c>
      <c r="AM326" s="16">
        <f t="shared" si="471"/>
        <v>0</v>
      </c>
      <c r="AN326" s="16">
        <f t="shared" si="471"/>
        <v>0</v>
      </c>
      <c r="AO326" s="16">
        <f t="shared" si="471"/>
        <v>0</v>
      </c>
      <c r="AP326" s="10"/>
      <c r="AQ326" s="10"/>
      <c r="AR326" s="10"/>
      <c r="AS326" s="10" t="str">
        <f t="shared" ref="AS326" ca="1" si="490">IFERROR(__xludf.DUMMYFUNCTION("split(F283,"","",true,true)"),"LoftyInc Capital Management")</f>
        <v>LoftyInc Capital Management</v>
      </c>
      <c r="AT326" s="10" t="str">
        <f ca="1">IFERROR(__xludf.DUMMYFUNCTION("""COMPUTED_VALUE""")," Faden Media")</f>
        <v xml:space="preserve"> Faden Media</v>
      </c>
      <c r="AU326" s="10"/>
      <c r="AV326" s="10"/>
      <c r="AW326" s="10"/>
      <c r="AX326" s="10"/>
      <c r="AY326" s="10"/>
      <c r="AZ326" s="10"/>
      <c r="BA326" s="10"/>
      <c r="BB326" s="10"/>
      <c r="BC326" s="10"/>
      <c r="BD326" s="10"/>
      <c r="BE326" s="10"/>
      <c r="BF326" s="10"/>
      <c r="BG326" s="10"/>
      <c r="BH326" s="10"/>
      <c r="BI326" s="10"/>
      <c r="BJ326" s="10"/>
      <c r="BK326" s="10"/>
      <c r="BM326" s="10"/>
    </row>
    <row r="327" spans="1:65" ht="12.75">
      <c r="A327" s="9">
        <v>42962</v>
      </c>
      <c r="B327" s="10" t="s">
        <v>372</v>
      </c>
      <c r="C327" s="11" t="s">
        <v>49</v>
      </c>
      <c r="D327" s="12"/>
      <c r="E327" s="10" t="s">
        <v>55</v>
      </c>
      <c r="F327" s="10" t="s">
        <v>735</v>
      </c>
      <c r="G327" s="13" t="s">
        <v>767</v>
      </c>
      <c r="H327" s="14" t="str">
        <f t="array" ref="H327">IFERROR(INDEX([1]Companies!$G:$G,MATCH(B327,[1]Companies!$A:$A,0)),"")</f>
        <v>Kenya</v>
      </c>
      <c r="I327" s="14" t="str">
        <f t="shared" si="437"/>
        <v>Kenya</v>
      </c>
      <c r="J327" s="14" t="str">
        <f t="array" ref="J327">IFERROR(INDEX([1]Companies!$Y:$Y,MATCH(B327,[1]Companies!$A:$A,0)),"")</f>
        <v>Clean Energy, Oil and Gas</v>
      </c>
      <c r="K327" s="14" t="str">
        <f t="array" ref="K327">IFERROR(INDEX([1]Companies!$X:$X,MATCH(B327,[1]Companies!$A:$A,0)),"")</f>
        <v>Energy &amp; Environment Resources</v>
      </c>
      <c r="L327" s="14" t="str">
        <f>VLOOKUP(B327,[1]Companies!$A$1:$C$5243,1,FALSE)</f>
        <v>PayGo Energy</v>
      </c>
      <c r="M327" s="15">
        <f t="shared" si="438"/>
        <v>0.9</v>
      </c>
      <c r="N327" s="10" t="str">
        <f t="shared" si="484"/>
        <v>42962PayGo EnergyUndisclosed</v>
      </c>
      <c r="O327" s="14" t="str">
        <f t="shared" si="485"/>
        <v/>
      </c>
      <c r="P327" s="14">
        <f t="shared" si="486"/>
        <v>0</v>
      </c>
      <c r="Q327" s="14">
        <f t="array" ref="Q327">IFERROR(INDEX([1]Companies!$D:$D,MATCH(B327,[1]Companies!$A:$A,0)),"")</f>
        <v>2014</v>
      </c>
      <c r="R327" s="17">
        <f t="shared" si="487"/>
        <v>4900000</v>
      </c>
      <c r="S327" s="14">
        <f>VLOOKUP(I327,[1]Lookups!$V$3:$Y$197,4,FALSE)</f>
        <v>0</v>
      </c>
      <c r="T327" s="14" t="str">
        <f>VLOOKUP(E327,[1]Lookups!$H$3:$I$71,2,FALSE)</f>
        <v>1. Grant</v>
      </c>
      <c r="U327" s="14" t="e">
        <f>VLOOKUP(K327,[1]Lookups!$B$3:$C$142,2,FALSE)</f>
        <v>#N/A</v>
      </c>
      <c r="V327" s="14">
        <f t="shared" si="396"/>
        <v>2017</v>
      </c>
      <c r="W327" s="14">
        <f t="shared" si="397"/>
        <v>8</v>
      </c>
      <c r="X327" s="14">
        <f>VLOOKUP(W327,[1]Lookups!$P$3:$S$15,2,FALSE)</f>
        <v>3</v>
      </c>
      <c r="Y327" s="16">
        <f>VLOOKUP(W327,[1]Lookups!$P$3:$U$15,3,FALSE)</f>
        <v>2</v>
      </c>
      <c r="Z327" s="16">
        <f t="shared" si="398"/>
        <v>1</v>
      </c>
      <c r="AA327" s="16" t="str">
        <f t="shared" ca="1" si="471"/>
        <v>LoftyInc Capital Management</v>
      </c>
      <c r="AB327" s="16">
        <f t="shared" si="471"/>
        <v>0</v>
      </c>
      <c r="AC327" s="16">
        <f t="shared" si="471"/>
        <v>0</v>
      </c>
      <c r="AD327" s="16">
        <f t="shared" si="471"/>
        <v>0</v>
      </c>
      <c r="AE327" s="16">
        <f t="shared" si="471"/>
        <v>0</v>
      </c>
      <c r="AF327" s="16">
        <f t="shared" si="471"/>
        <v>0</v>
      </c>
      <c r="AG327" s="16">
        <f t="shared" si="471"/>
        <v>0</v>
      </c>
      <c r="AH327" s="16">
        <f t="shared" si="471"/>
        <v>0</v>
      </c>
      <c r="AI327" s="16">
        <f t="shared" si="471"/>
        <v>0</v>
      </c>
      <c r="AJ327" s="16">
        <f t="shared" si="471"/>
        <v>0</v>
      </c>
      <c r="AK327" s="16">
        <f t="shared" si="471"/>
        <v>0</v>
      </c>
      <c r="AL327" s="16">
        <f t="shared" si="471"/>
        <v>0</v>
      </c>
      <c r="AM327" s="16">
        <f t="shared" si="471"/>
        <v>0</v>
      </c>
      <c r="AN327" s="16">
        <f t="shared" si="471"/>
        <v>0</v>
      </c>
      <c r="AO327" s="16">
        <f t="shared" si="471"/>
        <v>0</v>
      </c>
      <c r="AP327" s="10"/>
      <c r="AQ327" s="10"/>
      <c r="AR327" s="10"/>
      <c r="AS327" s="10" t="str">
        <f t="shared" ref="AS327" ca="1" si="491">IFERROR(__xludf.DUMMYFUNCTION("split(F283,"","",true,true)"),"LoftyInc Capital Management")</f>
        <v>LoftyInc Capital Management</v>
      </c>
      <c r="AT327" s="10"/>
      <c r="AU327" s="10"/>
      <c r="AV327" s="10"/>
      <c r="AW327" s="10"/>
      <c r="AX327" s="10"/>
      <c r="AY327" s="10"/>
      <c r="AZ327" s="10"/>
      <c r="BA327" s="10"/>
      <c r="BB327" s="10"/>
      <c r="BC327" s="10"/>
      <c r="BD327" s="10"/>
      <c r="BE327" s="10"/>
      <c r="BF327" s="10"/>
      <c r="BG327" s="10"/>
      <c r="BH327" s="10"/>
      <c r="BI327" s="10"/>
      <c r="BJ327" s="10"/>
      <c r="BK327" s="10"/>
      <c r="BM327" s="10"/>
    </row>
    <row r="328" spans="1:65" ht="12.75">
      <c r="A328" s="18">
        <v>42962</v>
      </c>
      <c r="B328" s="14" t="s">
        <v>768</v>
      </c>
      <c r="C328" s="19">
        <v>1000000</v>
      </c>
      <c r="D328" s="19"/>
      <c r="E328" s="10" t="s">
        <v>328</v>
      </c>
      <c r="F328" s="14" t="s">
        <v>769</v>
      </c>
      <c r="G328" s="21" t="s">
        <v>770</v>
      </c>
      <c r="H328" s="14" t="str">
        <f t="array" ref="H328">IFERROR(INDEX([1]Companies!$G:$G,MATCH(B328,[1]Companies!$A:$A,0)),"")</f>
        <v>South Africa</v>
      </c>
      <c r="I328" s="14" t="str">
        <f t="shared" si="437"/>
        <v>South Africa</v>
      </c>
      <c r="J328" s="14" t="str">
        <f t="array" ref="J328">IFERROR(INDEX([1]Companies!$Y:$Y,MATCH(B328,[1]Companies!$A:$A,0)),"")</f>
        <v>Apps, Marketing, Shopping</v>
      </c>
      <c r="K328" s="14" t="str">
        <f t="array" ref="K328">IFERROR(INDEX([1]Companies!$X:$X,MATCH(B328,[1]Companies!$A:$A,0)),"")</f>
        <v>E-Commerce &amp; Retail</v>
      </c>
      <c r="L328" s="14" t="str">
        <f>VLOOKUP(B328,[1]Companies!$A$1:$C$5243,1,FALSE)</f>
        <v>Snapnsave</v>
      </c>
      <c r="M328" s="15">
        <f t="shared" si="438"/>
        <v>0.9</v>
      </c>
      <c r="N328" s="10" t="str">
        <f t="shared" si="484"/>
        <v>42962SnapnSave1000000</v>
      </c>
      <c r="O328" s="14" t="str">
        <f t="shared" si="485"/>
        <v/>
      </c>
      <c r="P328" s="14">
        <f t="shared" si="486"/>
        <v>1</v>
      </c>
      <c r="Q328" s="14">
        <f t="array" ref="Q328">IFERROR(INDEX([1]Companies!$D:$D,MATCH(B328,[1]Companies!$A:$A,0)),"")</f>
        <v>2015</v>
      </c>
      <c r="R328" s="17">
        <f t="shared" si="487"/>
        <v>1000000</v>
      </c>
      <c r="S328" s="14">
        <f>VLOOKUP(I328,[1]Lookups!$V$3:$Y$197,4,FALSE)</f>
        <v>0</v>
      </c>
      <c r="T328" s="14" t="str">
        <f>VLOOKUP(E328,[1]Lookups!$H$3:$I$71,2,FALSE)</f>
        <v>4. Late Venture</v>
      </c>
      <c r="U328" s="14" t="str">
        <f>VLOOKUP(K328,[1]Lookups!$B$3:$C$142,2,FALSE)</f>
        <v>E-commerce &amp; Retail</v>
      </c>
      <c r="V328" s="14">
        <f t="shared" si="396"/>
        <v>2017</v>
      </c>
      <c r="W328" s="14">
        <f t="shared" si="397"/>
        <v>8</v>
      </c>
      <c r="X328" s="14">
        <f>VLOOKUP(W328,[1]Lookups!$P$3:$S$15,2,FALSE)</f>
        <v>3</v>
      </c>
      <c r="Y328" s="16">
        <f>VLOOKUP(W328,[1]Lookups!$P$3:$U$15,3,FALSE)</f>
        <v>2</v>
      </c>
      <c r="Z328" s="16">
        <f t="shared" si="398"/>
        <v>2</v>
      </c>
      <c r="AA328" s="16" t="str">
        <f t="shared" ref="AA328:AO332" ca="1" si="492">AS328</f>
        <v>LoftyInc Capital Management</v>
      </c>
      <c r="AB328" s="16" t="str">
        <f t="shared" ca="1" si="492"/>
        <v xml:space="preserve"> Smollan</v>
      </c>
      <c r="AC328" s="16">
        <f t="shared" si="492"/>
        <v>0</v>
      </c>
      <c r="AD328" s="16">
        <f t="shared" si="492"/>
        <v>0</v>
      </c>
      <c r="AE328" s="16">
        <f t="shared" si="492"/>
        <v>0</v>
      </c>
      <c r="AF328" s="16">
        <f t="shared" si="492"/>
        <v>0</v>
      </c>
      <c r="AG328" s="16">
        <f t="shared" si="492"/>
        <v>0</v>
      </c>
      <c r="AH328" s="16">
        <f t="shared" si="492"/>
        <v>0</v>
      </c>
      <c r="AI328" s="16">
        <f t="shared" si="492"/>
        <v>0</v>
      </c>
      <c r="AJ328" s="16">
        <f t="shared" si="492"/>
        <v>0</v>
      </c>
      <c r="AK328" s="16">
        <f t="shared" si="492"/>
        <v>0</v>
      </c>
      <c r="AL328" s="16">
        <f t="shared" si="492"/>
        <v>0</v>
      </c>
      <c r="AM328" s="16">
        <f t="shared" si="492"/>
        <v>0</v>
      </c>
      <c r="AN328" s="16">
        <f t="shared" si="492"/>
        <v>0</v>
      </c>
      <c r="AO328" s="16">
        <f t="shared" si="492"/>
        <v>0</v>
      </c>
      <c r="AP328" s="10"/>
      <c r="AQ328" s="10"/>
      <c r="AR328" s="10"/>
      <c r="AS328" s="10" t="str">
        <f t="shared" ref="AS328" ca="1" si="493">IFERROR(__xludf.DUMMYFUNCTION("split(F283,"","",true,true)"),"LoftyInc Capital Management")</f>
        <v>LoftyInc Capital Management</v>
      </c>
      <c r="AT328" s="10" t="str">
        <f ca="1">IFERROR(__xludf.DUMMYFUNCTION("""COMPUTED_VALUE""")," Smollan")</f>
        <v xml:space="preserve"> Smollan</v>
      </c>
      <c r="AU328" s="10"/>
      <c r="AV328" s="10"/>
      <c r="AW328" s="10"/>
      <c r="AX328" s="10"/>
      <c r="AY328" s="10"/>
      <c r="AZ328" s="10"/>
      <c r="BA328" s="10"/>
      <c r="BB328" s="10"/>
      <c r="BC328" s="10"/>
      <c r="BD328" s="10"/>
      <c r="BE328" s="10"/>
      <c r="BF328" s="10"/>
      <c r="BG328" s="10"/>
      <c r="BH328" s="10"/>
      <c r="BI328" s="10"/>
      <c r="BJ328" s="10"/>
      <c r="BK328" s="10"/>
      <c r="BM328" s="10"/>
    </row>
    <row r="329" spans="1:65" ht="12.75">
      <c r="A329" s="9">
        <v>42977</v>
      </c>
      <c r="B329" s="10" t="s">
        <v>771</v>
      </c>
      <c r="C329" s="11">
        <v>64200</v>
      </c>
      <c r="D329" s="12"/>
      <c r="E329" s="10" t="s">
        <v>55</v>
      </c>
      <c r="F329" s="10" t="s">
        <v>772</v>
      </c>
      <c r="G329" s="13" t="s">
        <v>773</v>
      </c>
      <c r="H329" s="14" t="str">
        <f t="array" ref="H329">IFERROR(INDEX([1]Companies!$G:$G,MATCH(B329,[1]Companies!$A:$A,0)),"")</f>
        <v>Uganda</v>
      </c>
      <c r="I329" s="14" t="str">
        <f t="shared" si="437"/>
        <v>Uganda</v>
      </c>
      <c r="J329" s="14" t="str">
        <f t="array" ref="J329">IFERROR(INDEX([1]Companies!$Y:$Y,MATCH(B329,[1]Companies!$A:$A,0)),"")</f>
        <v>Blockchain, Cryptocurrency, FinTech, InsurTech, Mobile Payments</v>
      </c>
      <c r="K329" s="14" t="str">
        <f t="array" ref="K329">IFERROR(INDEX([1]Companies!$X:$X,MATCH(B329,[1]Companies!$A:$A,0)),"")</f>
        <v>Financial Services</v>
      </c>
      <c r="L329" s="14" t="str">
        <f>VLOOKUP(B329,[1]Companies!$A$1:$C$5243,1,FALSE)</f>
        <v>Eversend</v>
      </c>
      <c r="M329" s="15">
        <f t="shared" si="438"/>
        <v>0.9</v>
      </c>
      <c r="N329" s="10" t="str">
        <f t="shared" si="484"/>
        <v>42977Eversend64200</v>
      </c>
      <c r="O329" s="14" t="str">
        <f t="shared" si="485"/>
        <v/>
      </c>
      <c r="P329" s="14">
        <f t="shared" si="486"/>
        <v>1</v>
      </c>
      <c r="Q329" s="14">
        <f t="array" ref="Q329">IFERROR(INDEX([1]Companies!$D:$D,MATCH(B329,[1]Companies!$A:$A,0)),"")</f>
        <v>2017</v>
      </c>
      <c r="R329" s="17">
        <f t="shared" si="487"/>
        <v>255000</v>
      </c>
      <c r="S329" s="14">
        <f>VLOOKUP(I329,[1]Lookups!$V$3:$Y$197,4,FALSE)</f>
        <v>0</v>
      </c>
      <c r="T329" s="14" t="str">
        <f>VLOOKUP(E329,[1]Lookups!$H$3:$I$71,2,FALSE)</f>
        <v>1. Grant</v>
      </c>
      <c r="U329" s="14" t="str">
        <f>VLOOKUP(K329,[1]Lookups!$B$3:$C$142,2,FALSE)</f>
        <v>Financial Services</v>
      </c>
      <c r="V329" s="14">
        <f t="shared" si="396"/>
        <v>2017</v>
      </c>
      <c r="W329" s="14">
        <f t="shared" si="397"/>
        <v>8</v>
      </c>
      <c r="X329" s="14">
        <f>VLOOKUP(W329,[1]Lookups!$P$3:$S$15,2,FALSE)</f>
        <v>3</v>
      </c>
      <c r="Y329" s="16">
        <f>VLOOKUP(W329,[1]Lookups!$P$3:$U$15,3,FALSE)</f>
        <v>2</v>
      </c>
      <c r="Z329" s="16">
        <f t="shared" si="398"/>
        <v>1</v>
      </c>
      <c r="AA329" s="16" t="str">
        <f t="shared" ca="1" si="492"/>
        <v>LoftyInc Capital Management</v>
      </c>
      <c r="AB329" s="16">
        <f t="shared" si="492"/>
        <v>0</v>
      </c>
      <c r="AC329" s="16">
        <f t="shared" si="492"/>
        <v>0</v>
      </c>
      <c r="AD329" s="16">
        <f t="shared" si="492"/>
        <v>0</v>
      </c>
      <c r="AE329" s="16">
        <f t="shared" si="492"/>
        <v>0</v>
      </c>
      <c r="AF329" s="16">
        <f t="shared" si="492"/>
        <v>0</v>
      </c>
      <c r="AG329" s="16">
        <f t="shared" si="492"/>
        <v>0</v>
      </c>
      <c r="AH329" s="16">
        <f t="shared" si="492"/>
        <v>0</v>
      </c>
      <c r="AI329" s="16">
        <f t="shared" si="492"/>
        <v>0</v>
      </c>
      <c r="AJ329" s="16">
        <f t="shared" si="492"/>
        <v>0</v>
      </c>
      <c r="AK329" s="16">
        <f t="shared" si="492"/>
        <v>0</v>
      </c>
      <c r="AL329" s="16">
        <f t="shared" si="492"/>
        <v>0</v>
      </c>
      <c r="AM329" s="16">
        <f t="shared" si="492"/>
        <v>0</v>
      </c>
      <c r="AN329" s="16">
        <f t="shared" si="492"/>
        <v>0</v>
      </c>
      <c r="AO329" s="16">
        <f t="shared" si="492"/>
        <v>0</v>
      </c>
      <c r="AP329" s="10"/>
      <c r="AQ329" s="10"/>
      <c r="AR329" s="10"/>
      <c r="AS329" s="10" t="str">
        <f t="shared" ref="AS329" ca="1" si="494">IFERROR(__xludf.DUMMYFUNCTION("split(F283,"","",true,true)"),"LoftyInc Capital Management")</f>
        <v>LoftyInc Capital Management</v>
      </c>
      <c r="AT329" s="10"/>
      <c r="AU329" s="10"/>
      <c r="AV329" s="10"/>
      <c r="AW329" s="10"/>
      <c r="AX329" s="10"/>
      <c r="AY329" s="10"/>
      <c r="AZ329" s="10"/>
      <c r="BA329" s="10"/>
      <c r="BB329" s="10"/>
      <c r="BC329" s="10"/>
      <c r="BD329" s="10"/>
      <c r="BE329" s="10"/>
      <c r="BF329" s="10"/>
      <c r="BG329" s="10"/>
      <c r="BH329" s="10"/>
      <c r="BI329" s="10"/>
      <c r="BJ329" s="10"/>
      <c r="BK329" s="10"/>
      <c r="BM329" s="10"/>
    </row>
    <row r="330" spans="1:65" ht="12.75">
      <c r="A330" s="18">
        <v>42978</v>
      </c>
      <c r="B330" s="14" t="s">
        <v>204</v>
      </c>
      <c r="C330" s="19">
        <v>6700000</v>
      </c>
      <c r="D330" s="19"/>
      <c r="E330" s="14" t="s">
        <v>69</v>
      </c>
      <c r="F330" s="14" t="s">
        <v>774</v>
      </c>
      <c r="G330" s="21" t="s">
        <v>775</v>
      </c>
      <c r="H330" s="14" t="str">
        <f t="array" ref="H330">IFERROR(INDEX([1]Companies!$G:$G,MATCH(B330,[1]Companies!$A:$A,0)),"")</f>
        <v>Kenya</v>
      </c>
      <c r="I330" s="14" t="str">
        <f t="shared" si="437"/>
        <v>Kenya</v>
      </c>
      <c r="J330" s="14" t="str">
        <f t="array" ref="J330">IFERROR(INDEX([1]Companies!$Y:$Y,MATCH(B330,[1]Companies!$A:$A,0)),"")</f>
        <v>Blockchain, Cryptocurrencies, Exchange, Fintech</v>
      </c>
      <c r="K330" s="14" t="str">
        <f t="array" ref="K330">IFERROR(INDEX([1]Companies!$X:$X,MATCH(B330,[1]Companies!$A:$A,0)),"")</f>
        <v>Financial Services</v>
      </c>
      <c r="L330" s="14" t="str">
        <f>VLOOKUP(B330,[1]Companies!$A$1:$C$5243,1,FALSE)</f>
        <v>Bitpesa</v>
      </c>
      <c r="M330" s="15">
        <f t="shared" si="438"/>
        <v>0.9</v>
      </c>
      <c r="N330" s="10" t="str">
        <f t="shared" si="484"/>
        <v>42978BitPesa6700000</v>
      </c>
      <c r="O330" s="14" t="str">
        <f t="shared" si="485"/>
        <v/>
      </c>
      <c r="P330" s="14">
        <f t="shared" si="486"/>
        <v>1</v>
      </c>
      <c r="Q330" s="14">
        <f t="array" ref="Q330">IFERROR(INDEX([1]Companies!$D:$D,MATCH(B330,[1]Companies!$A:$A,0)),"")</f>
        <v>2013</v>
      </c>
      <c r="R330" s="17">
        <f t="shared" si="487"/>
        <v>14970000</v>
      </c>
      <c r="S330" s="14">
        <f>VLOOKUP(I330,[1]Lookups!$V$3:$Y$197,4,FALSE)</f>
        <v>0</v>
      </c>
      <c r="T330" s="14" t="str">
        <f>VLOOKUP(E330,[1]Lookups!$H$3:$I$71,2,FALSE)</f>
        <v>3. Early Venture</v>
      </c>
      <c r="U330" s="14" t="str">
        <f>VLOOKUP(K330,[1]Lookups!$B$3:$C$142,2,FALSE)</f>
        <v>Financial Services</v>
      </c>
      <c r="V330" s="14">
        <f t="shared" si="396"/>
        <v>2017</v>
      </c>
      <c r="W330" s="14">
        <f t="shared" si="397"/>
        <v>8</v>
      </c>
      <c r="X330" s="14">
        <f>VLOOKUP(W330,[1]Lookups!$P$3:$S$15,2,FALSE)</f>
        <v>3</v>
      </c>
      <c r="Y330" s="16">
        <f>VLOOKUP(W330,[1]Lookups!$P$3:$U$15,3,FALSE)</f>
        <v>2</v>
      </c>
      <c r="Z330" s="16">
        <f t="shared" si="398"/>
        <v>1</v>
      </c>
      <c r="AA330" s="16" t="str">
        <f t="shared" ca="1" si="492"/>
        <v>LoftyInc Capital Management</v>
      </c>
      <c r="AB330" s="16">
        <f t="shared" si="492"/>
        <v>0</v>
      </c>
      <c r="AC330" s="16">
        <f t="shared" si="492"/>
        <v>0</v>
      </c>
      <c r="AD330" s="16">
        <f t="shared" si="492"/>
        <v>0</v>
      </c>
      <c r="AE330" s="16">
        <f t="shared" si="492"/>
        <v>0</v>
      </c>
      <c r="AF330" s="16">
        <f t="shared" si="492"/>
        <v>0</v>
      </c>
      <c r="AG330" s="16">
        <f t="shared" si="492"/>
        <v>0</v>
      </c>
      <c r="AH330" s="16">
        <f t="shared" si="492"/>
        <v>0</v>
      </c>
      <c r="AI330" s="16">
        <f t="shared" si="492"/>
        <v>0</v>
      </c>
      <c r="AJ330" s="16">
        <f t="shared" si="492"/>
        <v>0</v>
      </c>
      <c r="AK330" s="16">
        <f t="shared" si="492"/>
        <v>0</v>
      </c>
      <c r="AL330" s="16">
        <f t="shared" si="492"/>
        <v>0</v>
      </c>
      <c r="AM330" s="16">
        <f t="shared" si="492"/>
        <v>0</v>
      </c>
      <c r="AN330" s="16">
        <f t="shared" si="492"/>
        <v>0</v>
      </c>
      <c r="AO330" s="16">
        <f t="shared" si="492"/>
        <v>0</v>
      </c>
      <c r="AP330" s="10"/>
      <c r="AQ330" s="10"/>
      <c r="AR330" s="10"/>
      <c r="AS330" s="10" t="str">
        <f t="shared" ref="AS330" ca="1" si="495">IFERROR(__xludf.DUMMYFUNCTION("split(F283,"","",true,true)"),"LoftyInc Capital Management")</f>
        <v>LoftyInc Capital Management</v>
      </c>
      <c r="AT330" s="10"/>
      <c r="AU330" s="10"/>
      <c r="AV330" s="10"/>
      <c r="AW330" s="10"/>
      <c r="AX330" s="10"/>
      <c r="AY330" s="10"/>
      <c r="AZ330" s="10"/>
      <c r="BA330" s="10"/>
      <c r="BB330" s="10"/>
      <c r="BC330" s="10"/>
      <c r="BD330" s="10"/>
      <c r="BE330" s="10"/>
      <c r="BF330" s="10"/>
      <c r="BG330" s="10"/>
      <c r="BH330" s="10"/>
      <c r="BI330" s="10"/>
      <c r="BJ330" s="10"/>
      <c r="BK330" s="10"/>
      <c r="BM330" s="10"/>
    </row>
    <row r="331" spans="1:65" ht="12.75">
      <c r="A331" s="18">
        <v>42978</v>
      </c>
      <c r="B331" s="14" t="s">
        <v>776</v>
      </c>
      <c r="C331" s="19">
        <v>60000</v>
      </c>
      <c r="D331" s="22"/>
      <c r="E331" s="10" t="s">
        <v>55</v>
      </c>
      <c r="F331" s="14" t="s">
        <v>777</v>
      </c>
      <c r="G331" s="13" t="s">
        <v>778</v>
      </c>
      <c r="H331" s="14" t="str">
        <f t="array" ref="H331">IFERROR(INDEX([1]Companies!$G:$G,MATCH(B331,[1]Companies!$A:$A,0)),"")</f>
        <v>United States of America</v>
      </c>
      <c r="I331" s="14" t="str">
        <f t="shared" si="437"/>
        <v>United States of America</v>
      </c>
      <c r="J331" s="14" t="str">
        <f t="array" ref="J331">IFERROR(INDEX([1]Companies!$Y:$Y,MATCH(B331,[1]Companies!$A:$A,0)),"")</f>
        <v>Artificial Intelligence, Blockchain, Database, Hardware, Software</v>
      </c>
      <c r="K331" s="14" t="str">
        <f t="array" ref="K331">IFERROR(INDEX([1]Companies!$X:$X,MATCH(B331,[1]Companies!$A:$A,0)),"")</f>
        <v>Emerging Technologies</v>
      </c>
      <c r="L331" s="14" t="str">
        <f>VLOOKUP(B331,[1]Companies!$A$1:$C$5243,1,FALSE)</f>
        <v>RxAll</v>
      </c>
      <c r="M331" s="15">
        <f t="shared" si="438"/>
        <v>0.9</v>
      </c>
      <c r="N331" s="10" t="str">
        <f t="shared" si="484"/>
        <v>42978RxAll60000</v>
      </c>
      <c r="O331" s="14" t="str">
        <f t="shared" si="485"/>
        <v/>
      </c>
      <c r="P331" s="14">
        <f t="shared" si="486"/>
        <v>1</v>
      </c>
      <c r="Q331" s="14">
        <f t="array" ref="Q331">IFERROR(INDEX([1]Companies!$D:$D,MATCH(B331,[1]Companies!$A:$A,0)),"")</f>
        <v>2016</v>
      </c>
      <c r="R331" s="17">
        <f t="shared" si="487"/>
        <v>672000</v>
      </c>
      <c r="S331" s="14">
        <f>VLOOKUP(I331,[1]Lookups!$V$3:$Y$197,4,FALSE)</f>
        <v>1</v>
      </c>
      <c r="T331" s="14" t="str">
        <f>VLOOKUP(E331,[1]Lookups!$H$3:$I$71,2,FALSE)</f>
        <v>1. Grant</v>
      </c>
      <c r="U331" s="14" t="str">
        <f>VLOOKUP(K331,[1]Lookups!$B$3:$C$142,2,FALSE)</f>
        <v>Emerging Technologies</v>
      </c>
      <c r="V331" s="14">
        <f t="shared" si="396"/>
        <v>2017</v>
      </c>
      <c r="W331" s="14">
        <f t="shared" si="397"/>
        <v>8</v>
      </c>
      <c r="X331" s="14">
        <f>VLOOKUP(W331,[1]Lookups!$P$3:$S$15,2,FALSE)</f>
        <v>3</v>
      </c>
      <c r="Y331" s="16">
        <f>VLOOKUP(W331,[1]Lookups!$P$3:$U$15,3,FALSE)</f>
        <v>2</v>
      </c>
      <c r="Z331" s="16">
        <f t="shared" si="398"/>
        <v>2</v>
      </c>
      <c r="AA331" s="16" t="str">
        <f t="shared" ca="1" si="492"/>
        <v>LoftyInc Capital Management</v>
      </c>
      <c r="AB331" s="16" t="str">
        <f t="shared" ca="1" si="492"/>
        <v xml:space="preserve"> Merck and Equilateral Ventures</v>
      </c>
      <c r="AC331" s="16">
        <f t="shared" si="492"/>
        <v>0</v>
      </c>
      <c r="AD331" s="16">
        <f t="shared" si="492"/>
        <v>0</v>
      </c>
      <c r="AE331" s="16">
        <f t="shared" si="492"/>
        <v>0</v>
      </c>
      <c r="AF331" s="16">
        <f t="shared" si="492"/>
        <v>0</v>
      </c>
      <c r="AG331" s="16">
        <f t="shared" si="492"/>
        <v>0</v>
      </c>
      <c r="AH331" s="16">
        <f t="shared" si="492"/>
        <v>0</v>
      </c>
      <c r="AI331" s="16">
        <f t="shared" si="492"/>
        <v>0</v>
      </c>
      <c r="AJ331" s="16">
        <f t="shared" si="492"/>
        <v>0</v>
      </c>
      <c r="AK331" s="16">
        <f t="shared" si="492"/>
        <v>0</v>
      </c>
      <c r="AL331" s="16">
        <f t="shared" si="492"/>
        <v>0</v>
      </c>
      <c r="AM331" s="16">
        <f t="shared" si="492"/>
        <v>0</v>
      </c>
      <c r="AN331" s="16">
        <f t="shared" si="492"/>
        <v>0</v>
      </c>
      <c r="AO331" s="16">
        <f t="shared" si="492"/>
        <v>0</v>
      </c>
      <c r="AP331" s="10"/>
      <c r="AQ331" s="10"/>
      <c r="AR331" s="10"/>
      <c r="AS331" s="10" t="str">
        <f t="shared" ref="AS331" ca="1" si="496">IFERROR(__xludf.DUMMYFUNCTION("split(F283,"","",true,true)"),"LoftyInc Capital Management")</f>
        <v>LoftyInc Capital Management</v>
      </c>
      <c r="AT331" s="10" t="str">
        <f ca="1">IFERROR(__xludf.DUMMYFUNCTION("""COMPUTED_VALUE""")," Merck and Equilateral Ventures")</f>
        <v xml:space="preserve"> Merck and Equilateral Ventures</v>
      </c>
      <c r="AU331" s="10"/>
      <c r="AV331" s="10"/>
      <c r="AW331" s="10"/>
      <c r="AX331" s="10"/>
      <c r="AY331" s="10"/>
      <c r="AZ331" s="10"/>
      <c r="BA331" s="10"/>
      <c r="BB331" s="10"/>
      <c r="BC331" s="10"/>
      <c r="BD331" s="10"/>
      <c r="BE331" s="10"/>
      <c r="BF331" s="10"/>
      <c r="BG331" s="10"/>
      <c r="BH331" s="10"/>
      <c r="BI331" s="10"/>
      <c r="BJ331" s="10"/>
      <c r="BK331" s="10"/>
      <c r="BM331" s="10"/>
    </row>
    <row r="332" spans="1:65" ht="12.75">
      <c r="A332" s="18">
        <v>42979</v>
      </c>
      <c r="B332" s="14" t="s">
        <v>779</v>
      </c>
      <c r="C332" s="19">
        <v>400000</v>
      </c>
      <c r="D332" s="19"/>
      <c r="E332" s="14" t="s">
        <v>45</v>
      </c>
      <c r="F332" s="14" t="s">
        <v>780</v>
      </c>
      <c r="G332" s="21" t="s">
        <v>781</v>
      </c>
      <c r="H332" s="14" t="str">
        <f t="array" ref="H332">IFERROR(INDEX([1]Companies!$G:$G,MATCH(B332,[1]Companies!$A:$A,0)),"")</f>
        <v>South Africa</v>
      </c>
      <c r="I332" s="14" t="str">
        <f t="shared" si="437"/>
        <v>South Africa</v>
      </c>
      <c r="J332" s="14" t="str">
        <f t="array" ref="J332">IFERROR(INDEX([1]Companies!$Y:$Y,MATCH(B332,[1]Companies!$A:$A,0)),"")</f>
        <v>Insurance, InsurTech, Peer to Peer</v>
      </c>
      <c r="K332" s="14" t="str">
        <f t="array" ref="K332">IFERROR(INDEX([1]Companies!$X:$X,MATCH(B332,[1]Companies!$A:$A,0)),"")</f>
        <v>Financial Services</v>
      </c>
      <c r="L332" s="14" t="str">
        <f>VLOOKUP(B332,[1]Companies!$A$1:$C$5243,1,FALSE)</f>
        <v>Pineapple</v>
      </c>
      <c r="M332" s="15">
        <f t="shared" si="438"/>
        <v>0.9</v>
      </c>
      <c r="N332" s="10" t="str">
        <f t="shared" si="484"/>
        <v>42979Pineapple400000</v>
      </c>
      <c r="O332" s="14" t="str">
        <f t="shared" si="485"/>
        <v/>
      </c>
      <c r="P332" s="14">
        <f t="shared" si="486"/>
        <v>1</v>
      </c>
      <c r="Q332" s="14">
        <f t="array" ref="Q332">IFERROR(INDEX([1]Companies!$D:$D,MATCH(B332,[1]Companies!$A:$A,0)),"")</f>
        <v>2017</v>
      </c>
      <c r="R332" s="17">
        <f t="shared" si="487"/>
        <v>400000</v>
      </c>
      <c r="S332" s="14">
        <f>VLOOKUP(I332,[1]Lookups!$V$3:$Y$197,4,FALSE)</f>
        <v>0</v>
      </c>
      <c r="T332" s="14" t="str">
        <f>VLOOKUP(E332,[1]Lookups!$H$3:$I$71,2,FALSE)</f>
        <v>2. Seed</v>
      </c>
      <c r="U332" s="14" t="str">
        <f>VLOOKUP(K332,[1]Lookups!$B$3:$C$142,2,FALSE)</f>
        <v>Financial Services</v>
      </c>
      <c r="V332" s="14">
        <f t="shared" si="396"/>
        <v>2017</v>
      </c>
      <c r="W332" s="14">
        <f t="shared" si="397"/>
        <v>9</v>
      </c>
      <c r="X332" s="14">
        <f>VLOOKUP(W332,[1]Lookups!$P$3:$S$15,2,FALSE)</f>
        <v>3</v>
      </c>
      <c r="Y332" s="16">
        <f>VLOOKUP(W332,[1]Lookups!$P$3:$U$15,3,FALSE)</f>
        <v>2</v>
      </c>
      <c r="Z332" s="16">
        <f t="shared" si="398"/>
        <v>1</v>
      </c>
      <c r="AA332" s="16" t="str">
        <f t="shared" ca="1" si="492"/>
        <v>LoftyInc Capital Management</v>
      </c>
      <c r="AB332" s="16">
        <f t="shared" si="492"/>
        <v>0</v>
      </c>
      <c r="AC332" s="16">
        <f t="shared" si="492"/>
        <v>0</v>
      </c>
      <c r="AD332" s="16">
        <f t="shared" si="492"/>
        <v>0</v>
      </c>
      <c r="AE332" s="16">
        <f t="shared" si="492"/>
        <v>0</v>
      </c>
      <c r="AF332" s="16">
        <f t="shared" si="492"/>
        <v>0</v>
      </c>
      <c r="AG332" s="16">
        <f t="shared" si="492"/>
        <v>0</v>
      </c>
      <c r="AH332" s="16">
        <f t="shared" si="492"/>
        <v>0</v>
      </c>
      <c r="AI332" s="16">
        <f t="shared" si="492"/>
        <v>0</v>
      </c>
      <c r="AJ332" s="16">
        <f t="shared" si="492"/>
        <v>0</v>
      </c>
      <c r="AK332" s="16">
        <f t="shared" si="492"/>
        <v>0</v>
      </c>
      <c r="AL332" s="16">
        <f t="shared" si="492"/>
        <v>0</v>
      </c>
      <c r="AM332" s="16">
        <f t="shared" si="492"/>
        <v>0</v>
      </c>
      <c r="AN332" s="16">
        <f t="shared" si="492"/>
        <v>0</v>
      </c>
      <c r="AO332" s="16">
        <f t="shared" si="492"/>
        <v>0</v>
      </c>
      <c r="AP332" s="10"/>
      <c r="AQ332" s="10"/>
      <c r="AR332" s="10"/>
      <c r="AS332" s="10" t="str">
        <f t="shared" ref="AS332" ca="1" si="497">IFERROR(__xludf.DUMMYFUNCTION("split(F283,"","",true,true)"),"LoftyInc Capital Management")</f>
        <v>LoftyInc Capital Management</v>
      </c>
      <c r="AT332" s="10"/>
      <c r="AU332" s="10"/>
      <c r="AV332" s="10"/>
      <c r="AW332" s="10"/>
      <c r="AX332" s="10"/>
      <c r="AY332" s="10"/>
      <c r="AZ332" s="10"/>
      <c r="BA332" s="10"/>
      <c r="BB332" s="10"/>
      <c r="BC332" s="10"/>
      <c r="BD332" s="10"/>
      <c r="BE332" s="10"/>
      <c r="BF332" s="10"/>
      <c r="BG332" s="10"/>
      <c r="BH332" s="10"/>
      <c r="BI332" s="10"/>
      <c r="BJ332" s="10"/>
      <c r="BK332" s="10"/>
      <c r="BM332" s="10"/>
    </row>
    <row r="333" spans="1:65" ht="12.75">
      <c r="A333" s="18">
        <v>42986</v>
      </c>
      <c r="B333" s="14" t="s">
        <v>782</v>
      </c>
      <c r="C333" s="19">
        <v>150000</v>
      </c>
      <c r="D333" s="19"/>
      <c r="E333" s="14" t="s">
        <v>45</v>
      </c>
      <c r="F333" s="14" t="s">
        <v>487</v>
      </c>
      <c r="G333" s="13" t="s">
        <v>783</v>
      </c>
      <c r="H333" s="14"/>
      <c r="I333" s="14"/>
      <c r="J333" s="14"/>
      <c r="K333" s="14"/>
      <c r="L333" s="14"/>
      <c r="M333" s="15"/>
      <c r="N333" s="10"/>
      <c r="O333" s="14"/>
      <c r="P333" s="14"/>
      <c r="Q333" s="14"/>
      <c r="R333" s="17"/>
      <c r="S333" s="14"/>
      <c r="T333" s="14"/>
      <c r="U333" s="14"/>
      <c r="V333" s="14">
        <f t="shared" si="396"/>
        <v>2017</v>
      </c>
      <c r="W333" s="14">
        <f t="shared" si="397"/>
        <v>9</v>
      </c>
      <c r="X333" s="14">
        <f>VLOOKUP(W333,[1]Lookups!$P$3:$S$15,2,FALSE)</f>
        <v>3</v>
      </c>
      <c r="Y333" s="16">
        <f>VLOOKUP(W333,[1]Lookups!$P$3:$U$15,3,FALSE)</f>
        <v>2</v>
      </c>
      <c r="Z333" s="16">
        <f t="shared" si="398"/>
        <v>1</v>
      </c>
      <c r="AA333" s="16"/>
      <c r="AB333" s="16"/>
      <c r="AC333" s="16"/>
      <c r="AD333" s="16"/>
      <c r="AE333" s="16"/>
      <c r="AF333" s="16"/>
      <c r="AG333" s="16"/>
      <c r="AH333" s="16"/>
      <c r="AI333" s="16"/>
      <c r="AJ333" s="16"/>
      <c r="AK333" s="16"/>
      <c r="AL333" s="16"/>
      <c r="AM333" s="16"/>
      <c r="AN333" s="16"/>
      <c r="AO333" s="16"/>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M333" s="10"/>
    </row>
    <row r="334" spans="1:65" ht="12.75">
      <c r="A334" s="9">
        <v>42992</v>
      </c>
      <c r="B334" s="10" t="s">
        <v>513</v>
      </c>
      <c r="C334" s="11">
        <v>250000</v>
      </c>
      <c r="D334" s="12"/>
      <c r="E334" s="10" t="s">
        <v>45</v>
      </c>
      <c r="F334" s="10" t="s">
        <v>784</v>
      </c>
      <c r="G334" s="13" t="s">
        <v>785</v>
      </c>
      <c r="H334" s="14" t="str">
        <f t="array" ref="H334">IFERROR(INDEX([1]Companies!$G:$G,MATCH(B334,[1]Companies!$A:$A,0)),"")</f>
        <v>Egypt</v>
      </c>
      <c r="I334" s="14" t="str">
        <f t="shared" ref="I334:I337" si="498">IF(LEN(TRIM(H334))-LEN(SUBSTITUTE(TRIM(H334),",","")) &gt; 0,TRIM(RIGHT(H334,LEN(H334)-FIND(",",H334))),H334)</f>
        <v>Egypt</v>
      </c>
      <c r="J334" s="14" t="str">
        <f t="array" ref="J334">IFERROR(INDEX([1]Companies!$Y:$Y,MATCH(B334,[1]Companies!$A:$A,0)),"")</f>
        <v>Banking, Financial Services, Internet, Mobile Payments</v>
      </c>
      <c r="K334" s="14" t="str">
        <f t="array" ref="K334">IFERROR(INDEX([1]Companies!$X:$X,MATCH(B334,[1]Companies!$A:$A,0)),"")</f>
        <v>Financial Services</v>
      </c>
      <c r="L334" s="14" t="str">
        <f>VLOOKUP(B334,[1]Companies!$A$1:$C$5243,1,FALSE)</f>
        <v>Vapulus</v>
      </c>
      <c r="M334" s="15">
        <f t="shared" ref="M334:M337" si="499">COUNTA(B334:K334)/(COUNTBLANK(B334:K334) + COUNTA(B334:K334))</f>
        <v>0.9</v>
      </c>
      <c r="N334" s="10" t="str">
        <f t="shared" ref="N334:N337" si="500">CONCATENATE(A334,B334,C334)</f>
        <v>42992Vapulus250000</v>
      </c>
      <c r="O334" s="14" t="str">
        <f t="shared" ref="O334:O337" si="501">IF(A334 = "","",IF(COUNTIF(N:N,CONCATENATE(A334,B334,C334))&gt;1,"Duplicated",""))</f>
        <v/>
      </c>
      <c r="P334" s="14">
        <f t="shared" ref="P334:P337" si="502">IF(C334="Undisclosed",0,1)</f>
        <v>1</v>
      </c>
      <c r="Q334" s="14">
        <f t="array" ref="Q334">IFERROR(INDEX([1]Companies!$D:$D,MATCH(B334,[1]Companies!$A:$A,0)),"")</f>
        <v>2016</v>
      </c>
      <c r="R334" s="17">
        <f t="shared" ref="R334:R337" si="503">SUMIF(B:B,B334,C:C)</f>
        <v>415000</v>
      </c>
      <c r="S334" s="14">
        <f>VLOOKUP(I334,[1]Lookups!$V$3:$Y$197,4,FALSE)</f>
        <v>0</v>
      </c>
      <c r="T334" s="14" t="str">
        <f>VLOOKUP(E334,[1]Lookups!$H$3:$I$71,2,FALSE)</f>
        <v>2. Seed</v>
      </c>
      <c r="U334" s="14" t="str">
        <f>VLOOKUP(K334,[1]Lookups!$B$3:$C$142,2,FALSE)</f>
        <v>Financial Services</v>
      </c>
      <c r="V334" s="14">
        <f t="shared" si="396"/>
        <v>2017</v>
      </c>
      <c r="W334" s="14">
        <f t="shared" si="397"/>
        <v>9</v>
      </c>
      <c r="X334" s="14">
        <f>VLOOKUP(W334,[1]Lookups!$P$3:$S$15,2,FALSE)</f>
        <v>3</v>
      </c>
      <c r="Y334" s="16">
        <f>VLOOKUP(W334,[1]Lookups!$P$3:$U$15,3,FALSE)</f>
        <v>2</v>
      </c>
      <c r="Z334" s="16">
        <f t="shared" si="398"/>
        <v>1</v>
      </c>
      <c r="AA334" s="16" t="str">
        <f t="shared" ref="AA334:AO349" ca="1" si="504">AS334</f>
        <v>Arabian Venture Capital</v>
      </c>
      <c r="AB334" s="16">
        <f t="shared" si="504"/>
        <v>0</v>
      </c>
      <c r="AC334" s="16">
        <f t="shared" si="504"/>
        <v>0</v>
      </c>
      <c r="AD334" s="16">
        <f t="shared" si="504"/>
        <v>0</v>
      </c>
      <c r="AE334" s="16">
        <f t="shared" si="504"/>
        <v>0</v>
      </c>
      <c r="AF334" s="16">
        <f t="shared" si="504"/>
        <v>0</v>
      </c>
      <c r="AG334" s="16">
        <f t="shared" si="504"/>
        <v>0</v>
      </c>
      <c r="AH334" s="16">
        <f t="shared" si="504"/>
        <v>0</v>
      </c>
      <c r="AI334" s="16">
        <f t="shared" si="504"/>
        <v>0</v>
      </c>
      <c r="AJ334" s="16">
        <f t="shared" si="504"/>
        <v>0</v>
      </c>
      <c r="AK334" s="16">
        <f t="shared" si="504"/>
        <v>0</v>
      </c>
      <c r="AL334" s="16">
        <f t="shared" si="504"/>
        <v>0</v>
      </c>
      <c r="AM334" s="16">
        <f t="shared" si="504"/>
        <v>0</v>
      </c>
      <c r="AN334" s="16">
        <f t="shared" si="504"/>
        <v>0</v>
      </c>
      <c r="AO334" s="16">
        <f t="shared" si="504"/>
        <v>0</v>
      </c>
      <c r="AP334" s="10"/>
      <c r="AQ334" s="10"/>
      <c r="AR334" s="10"/>
      <c r="AS334" s="10" t="str">
        <f t="shared" ref="AS334" ca="1" si="505">IFERROR(__xludf.DUMMYFUNCTION("split(F334,"","",true,true)"),"Arabian Venture Capital")</f>
        <v>Arabian Venture Capital</v>
      </c>
      <c r="AT334" s="10"/>
      <c r="AU334" s="10"/>
      <c r="AV334" s="10"/>
      <c r="AW334" s="10"/>
      <c r="AX334" s="10"/>
      <c r="AY334" s="10"/>
      <c r="AZ334" s="10"/>
      <c r="BA334" s="10"/>
      <c r="BB334" s="10"/>
      <c r="BC334" s="10"/>
      <c r="BD334" s="10"/>
      <c r="BE334" s="10"/>
      <c r="BF334" s="10"/>
      <c r="BG334" s="10"/>
      <c r="BH334" s="10"/>
      <c r="BI334" s="10"/>
      <c r="BJ334" s="10"/>
      <c r="BK334" s="10"/>
      <c r="BM334" s="10"/>
    </row>
    <row r="335" spans="1:65" ht="12.75">
      <c r="A335" s="18">
        <v>42997</v>
      </c>
      <c r="B335" s="14" t="s">
        <v>786</v>
      </c>
      <c r="C335" s="19">
        <v>1000000</v>
      </c>
      <c r="D335" s="19"/>
      <c r="E335" s="14" t="s">
        <v>45</v>
      </c>
      <c r="F335" s="14" t="s">
        <v>787</v>
      </c>
      <c r="G335" s="21" t="s">
        <v>788</v>
      </c>
      <c r="H335" s="14" t="str">
        <f t="array" ref="H335">IFERROR(INDEX([1]Companies!$G:$G,MATCH(B335,[1]Companies!$A:$A,0)),"")</f>
        <v>Kenya</v>
      </c>
      <c r="I335" s="14" t="str">
        <f t="shared" si="498"/>
        <v>Kenya</v>
      </c>
      <c r="J335" s="14" t="str">
        <f t="array" ref="J335">IFERROR(INDEX([1]Companies!$Y:$Y,MATCH(B335,[1]Companies!$A:$A,0)),"")</f>
        <v>Recruiting, Talent, Hiring, Human Resources, Applicant Screening</v>
      </c>
      <c r="K335" s="14" t="str">
        <f t="array" ref="K335">IFERROR(INDEX([1]Companies!$X:$X,MATCH(B335,[1]Companies!$A:$A,0)),"")</f>
        <v>Recruitment</v>
      </c>
      <c r="L335" s="14" t="str">
        <f>VLOOKUP(B335,[1]Companies!$A$1:$C$5243,1,FALSE)</f>
        <v>Shortlist</v>
      </c>
      <c r="M335" s="15">
        <f t="shared" si="499"/>
        <v>0.9</v>
      </c>
      <c r="N335" s="10" t="str">
        <f t="shared" si="500"/>
        <v>42997Shortlist1000000</v>
      </c>
      <c r="O335" s="14" t="str">
        <f t="shared" si="501"/>
        <v/>
      </c>
      <c r="P335" s="14">
        <f t="shared" si="502"/>
        <v>1</v>
      </c>
      <c r="Q335" s="14">
        <f t="array" ref="Q335">IFERROR(INDEX([1]Companies!$D:$D,MATCH(B335,[1]Companies!$A:$A,0)),"")</f>
        <v>2016</v>
      </c>
      <c r="R335" s="17">
        <f t="shared" si="503"/>
        <v>3000000</v>
      </c>
      <c r="S335" s="14">
        <f>VLOOKUP(I335,[1]Lookups!$V$3:$Y$197,4,FALSE)</f>
        <v>0</v>
      </c>
      <c r="T335" s="14" t="str">
        <f>VLOOKUP(E335,[1]Lookups!$H$3:$I$71,2,FALSE)</f>
        <v>2. Seed</v>
      </c>
      <c r="U335" s="14" t="str">
        <f>VLOOKUP(K335,[1]Lookups!$B$3:$C$142,2,FALSE)</f>
        <v>Employment, Talent &amp; Labour</v>
      </c>
      <c r="V335" s="14">
        <f t="shared" si="396"/>
        <v>2017</v>
      </c>
      <c r="W335" s="14">
        <f t="shared" si="397"/>
        <v>9</v>
      </c>
      <c r="X335" s="14">
        <f>VLOOKUP(W335,[1]Lookups!$P$3:$S$15,2,FALSE)</f>
        <v>3</v>
      </c>
      <c r="Y335" s="16">
        <f>VLOOKUP(W335,[1]Lookups!$P$3:$U$15,3,FALSE)</f>
        <v>2</v>
      </c>
      <c r="Z335" s="16">
        <f t="shared" si="398"/>
        <v>4</v>
      </c>
      <c r="AA335" s="16" t="str">
        <f t="shared" ca="1" si="504"/>
        <v>Arabian Venture Capital</v>
      </c>
      <c r="AB335" s="16" t="str">
        <f t="shared" ca="1" si="504"/>
        <v xml:space="preserve"> Zephyr Acorn</v>
      </c>
      <c r="AC335" s="16" t="str">
        <f t="shared" ca="1" si="504"/>
        <v xml:space="preserve"> Spike Ventures</v>
      </c>
      <c r="AD335" s="16" t="str">
        <f t="shared" ca="1" si="504"/>
        <v xml:space="preserve"> Bodley Group</v>
      </c>
      <c r="AE335" s="16">
        <f t="shared" si="504"/>
        <v>0</v>
      </c>
      <c r="AF335" s="16">
        <f t="shared" si="504"/>
        <v>0</v>
      </c>
      <c r="AG335" s="16">
        <f t="shared" si="504"/>
        <v>0</v>
      </c>
      <c r="AH335" s="16">
        <f t="shared" si="504"/>
        <v>0</v>
      </c>
      <c r="AI335" s="16">
        <f t="shared" si="504"/>
        <v>0</v>
      </c>
      <c r="AJ335" s="16">
        <f t="shared" si="504"/>
        <v>0</v>
      </c>
      <c r="AK335" s="16">
        <f t="shared" si="504"/>
        <v>0</v>
      </c>
      <c r="AL335" s="16">
        <f t="shared" si="504"/>
        <v>0</v>
      </c>
      <c r="AM335" s="16">
        <f t="shared" si="504"/>
        <v>0</v>
      </c>
      <c r="AN335" s="16">
        <f t="shared" si="504"/>
        <v>0</v>
      </c>
      <c r="AO335" s="16">
        <f t="shared" si="504"/>
        <v>0</v>
      </c>
      <c r="AP335" s="10"/>
      <c r="AQ335" s="10"/>
      <c r="AR335" s="10"/>
      <c r="AS335" s="10" t="str">
        <f t="shared" ref="AS335" ca="1" si="506">IFERROR(__xludf.DUMMYFUNCTION("split(F334,"","",true,true)"),"Arabian Venture Capital")</f>
        <v>Arabian Venture Capital</v>
      </c>
      <c r="AT335" s="10" t="str">
        <f ca="1">IFERROR(__xludf.DUMMYFUNCTION("""COMPUTED_VALUE""")," Zephyr Acorn")</f>
        <v xml:space="preserve"> Zephyr Acorn</v>
      </c>
      <c r="AU335" s="10" t="str">
        <f ca="1">IFERROR(__xludf.DUMMYFUNCTION("""COMPUTED_VALUE""")," Spike Ventures")</f>
        <v xml:space="preserve"> Spike Ventures</v>
      </c>
      <c r="AV335" s="10" t="str">
        <f ca="1">IFERROR(__xludf.DUMMYFUNCTION("""COMPUTED_VALUE""")," Bodley Group")</f>
        <v xml:space="preserve"> Bodley Group</v>
      </c>
      <c r="AW335" s="10"/>
      <c r="AX335" s="10"/>
      <c r="AY335" s="10"/>
      <c r="AZ335" s="10"/>
      <c r="BA335" s="10"/>
      <c r="BB335" s="10"/>
      <c r="BC335" s="10"/>
      <c r="BD335" s="10"/>
      <c r="BE335" s="10"/>
      <c r="BF335" s="10"/>
      <c r="BG335" s="10"/>
      <c r="BH335" s="10"/>
      <c r="BI335" s="10"/>
      <c r="BJ335" s="10"/>
      <c r="BK335" s="10"/>
      <c r="BM335" s="10"/>
    </row>
    <row r="336" spans="1:65" ht="12.75">
      <c r="A336" s="18">
        <v>43004</v>
      </c>
      <c r="B336" s="14" t="s">
        <v>789</v>
      </c>
      <c r="C336" s="19">
        <v>1500000</v>
      </c>
      <c r="D336" s="19"/>
      <c r="E336" s="10" t="s">
        <v>91</v>
      </c>
      <c r="F336" s="14" t="s">
        <v>790</v>
      </c>
      <c r="G336" s="21" t="s">
        <v>791</v>
      </c>
      <c r="H336" s="14" t="str">
        <f t="array" ref="H336">IFERROR(INDEX([1]Companies!$G:$G,MATCH(B336,[1]Companies!$A:$A,0)),"")</f>
        <v>Kenya</v>
      </c>
      <c r="I336" s="14" t="str">
        <f t="shared" si="498"/>
        <v>Kenya</v>
      </c>
      <c r="J336" s="14" t="str">
        <f t="array" ref="J336">IFERROR(INDEX([1]Companies!$Y:$Y,MATCH(B336,[1]Companies!$A:$A,0)),"")</f>
        <v>Finance, Financial Services, Sustainability</v>
      </c>
      <c r="K336" s="14" t="str">
        <f t="array" ref="K336">IFERROR(INDEX([1]Companies!$X:$X,MATCH(B336,[1]Companies!$A:$A,0)),"")</f>
        <v>Financial Services</v>
      </c>
      <c r="L336" s="14" t="str">
        <f>VLOOKUP(B336,[1]Companies!$A$1:$C$5243,1,FALSE)</f>
        <v>Watu Credit</v>
      </c>
      <c r="M336" s="15">
        <f t="shared" si="499"/>
        <v>0.9</v>
      </c>
      <c r="N336" s="10" t="str">
        <f t="shared" si="500"/>
        <v>43004Watu Credit1500000</v>
      </c>
      <c r="O336" s="14" t="str">
        <f t="shared" si="501"/>
        <v/>
      </c>
      <c r="P336" s="14">
        <f t="shared" si="502"/>
        <v>1</v>
      </c>
      <c r="Q336" s="14">
        <f t="array" ref="Q336">IFERROR(INDEX([1]Companies!$D:$D,MATCH(B336,[1]Companies!$A:$A,0)),"")</f>
        <v>2015</v>
      </c>
      <c r="R336" s="17">
        <f t="shared" si="503"/>
        <v>1500000</v>
      </c>
      <c r="S336" s="14">
        <f>VLOOKUP(I336,[1]Lookups!$V$3:$Y$197,4,FALSE)</f>
        <v>0</v>
      </c>
      <c r="T336" s="14" t="str">
        <f>VLOOKUP(E336,[1]Lookups!$H$3:$I$71,2,FALSE)</f>
        <v>5. Debt Financing</v>
      </c>
      <c r="U336" s="14" t="str">
        <f>VLOOKUP(K336,[1]Lookups!$B$3:$C$142,2,FALSE)</f>
        <v>Financial Services</v>
      </c>
      <c r="V336" s="14">
        <f t="shared" si="396"/>
        <v>2017</v>
      </c>
      <c r="W336" s="14">
        <f t="shared" si="397"/>
        <v>9</v>
      </c>
      <c r="X336" s="14">
        <f>VLOOKUP(W336,[1]Lookups!$P$3:$S$15,2,FALSE)</f>
        <v>3</v>
      </c>
      <c r="Y336" s="16">
        <f>VLOOKUP(W336,[1]Lookups!$P$3:$U$15,3,FALSE)</f>
        <v>2</v>
      </c>
      <c r="Z336" s="16">
        <f t="shared" si="398"/>
        <v>1</v>
      </c>
      <c r="AA336" s="16" t="str">
        <f t="shared" ca="1" si="504"/>
        <v>Arabian Venture Capital</v>
      </c>
      <c r="AB336" s="16">
        <f t="shared" si="504"/>
        <v>0</v>
      </c>
      <c r="AC336" s="16">
        <f t="shared" si="504"/>
        <v>0</v>
      </c>
      <c r="AD336" s="16">
        <f t="shared" si="504"/>
        <v>0</v>
      </c>
      <c r="AE336" s="16">
        <f t="shared" si="504"/>
        <v>0</v>
      </c>
      <c r="AF336" s="16">
        <f t="shared" si="504"/>
        <v>0</v>
      </c>
      <c r="AG336" s="16">
        <f t="shared" si="504"/>
        <v>0</v>
      </c>
      <c r="AH336" s="16">
        <f t="shared" si="504"/>
        <v>0</v>
      </c>
      <c r="AI336" s="16">
        <f t="shared" si="504"/>
        <v>0</v>
      </c>
      <c r="AJ336" s="16">
        <f t="shared" si="504"/>
        <v>0</v>
      </c>
      <c r="AK336" s="16">
        <f t="shared" si="504"/>
        <v>0</v>
      </c>
      <c r="AL336" s="16">
        <f t="shared" si="504"/>
        <v>0</v>
      </c>
      <c r="AM336" s="16">
        <f t="shared" si="504"/>
        <v>0</v>
      </c>
      <c r="AN336" s="16">
        <f t="shared" si="504"/>
        <v>0</v>
      </c>
      <c r="AO336" s="16">
        <f t="shared" si="504"/>
        <v>0</v>
      </c>
      <c r="AP336" s="10"/>
      <c r="AQ336" s="10"/>
      <c r="AR336" s="10"/>
      <c r="AS336" s="10" t="str">
        <f t="shared" ref="AS336" ca="1" si="507">IFERROR(__xludf.DUMMYFUNCTION("split(F334,"","",true,true)"),"Arabian Venture Capital")</f>
        <v>Arabian Venture Capital</v>
      </c>
      <c r="AT336" s="10"/>
      <c r="AU336" s="10"/>
      <c r="AV336" s="10"/>
      <c r="AW336" s="10"/>
      <c r="AX336" s="10"/>
      <c r="AY336" s="10"/>
      <c r="AZ336" s="10"/>
      <c r="BA336" s="10"/>
      <c r="BB336" s="10"/>
      <c r="BC336" s="10"/>
      <c r="BD336" s="10"/>
      <c r="BE336" s="10"/>
      <c r="BF336" s="10"/>
      <c r="BG336" s="10"/>
      <c r="BH336" s="10"/>
      <c r="BI336" s="10"/>
      <c r="BJ336" s="10"/>
      <c r="BK336" s="10"/>
      <c r="BM336" s="10"/>
    </row>
    <row r="337" spans="1:65" ht="12.75">
      <c r="A337" s="9">
        <v>43009</v>
      </c>
      <c r="B337" s="10" t="s">
        <v>792</v>
      </c>
      <c r="C337" s="11">
        <v>300000</v>
      </c>
      <c r="D337" s="12"/>
      <c r="E337" s="14" t="s">
        <v>45</v>
      </c>
      <c r="F337" s="10" t="s">
        <v>49</v>
      </c>
      <c r="G337" s="13" t="s">
        <v>793</v>
      </c>
      <c r="H337" s="14" t="str">
        <f t="array" ref="H337">IFERROR(INDEX([1]Companies!$G:$G,MATCH(B337,[1]Companies!$A:$A,0)),"")</f>
        <v>Kenya</v>
      </c>
      <c r="I337" s="14" t="str">
        <f t="shared" si="498"/>
        <v>Kenya</v>
      </c>
      <c r="J337" s="14" t="str">
        <f t="array" ref="J337">IFERROR(INDEX([1]Companies!$Y:$Y,MATCH(B337,[1]Companies!$A:$A,0)),"")</f>
        <v>Consumer, E-Commerce, Internet, Retail, Marketplace</v>
      </c>
      <c r="K337" s="14" t="str">
        <f t="array" ref="K337">IFERROR(INDEX([1]Companies!$X:$X,MATCH(B337,[1]Companies!$A:$A,0)),"")</f>
        <v>E-Commerce &amp; Retail</v>
      </c>
      <c r="L337" s="14" t="str">
        <f>VLOOKUP(B337,[1]Companies!$A$1:$C$5243,1,FALSE)</f>
        <v>AfricaSokoni</v>
      </c>
      <c r="M337" s="15">
        <f t="shared" si="499"/>
        <v>0.9</v>
      </c>
      <c r="N337" s="10" t="str">
        <f t="shared" si="500"/>
        <v>43009AfricaSokoni300000</v>
      </c>
      <c r="O337" s="14" t="str">
        <f t="shared" si="501"/>
        <v/>
      </c>
      <c r="P337" s="14">
        <f t="shared" si="502"/>
        <v>1</v>
      </c>
      <c r="Q337" s="14">
        <f t="array" ref="Q337">IFERROR(INDEX([1]Companies!$D:$D,MATCH(B337,[1]Companies!$A:$A,0)),"")</f>
        <v>2017</v>
      </c>
      <c r="R337" s="17">
        <f t="shared" si="503"/>
        <v>995000</v>
      </c>
      <c r="S337" s="14">
        <f>VLOOKUP(I337,[1]Lookups!$V$3:$Y$197,4,FALSE)</f>
        <v>0</v>
      </c>
      <c r="T337" s="14" t="str">
        <f>VLOOKUP(E337,[1]Lookups!$H$3:$I$71,2,FALSE)</f>
        <v>2. Seed</v>
      </c>
      <c r="U337" s="14" t="str">
        <f>VLOOKUP(K337,[1]Lookups!$B$3:$C$142,2,FALSE)</f>
        <v>E-commerce &amp; Retail</v>
      </c>
      <c r="V337" s="14">
        <f t="shared" si="396"/>
        <v>2017</v>
      </c>
      <c r="W337" s="14">
        <f t="shared" si="397"/>
        <v>10</v>
      </c>
      <c r="X337" s="14">
        <f>VLOOKUP(W337,[1]Lookups!$P$3:$S$15,2,FALSE)</f>
        <v>4</v>
      </c>
      <c r="Y337" s="16">
        <f>VLOOKUP(W337,[1]Lookups!$P$3:$U$15,3,FALSE)</f>
        <v>2</v>
      </c>
      <c r="Z337" s="16">
        <f t="shared" si="398"/>
        <v>1</v>
      </c>
      <c r="AA337" s="16" t="str">
        <f t="shared" ca="1" si="504"/>
        <v>Arabian Venture Capital</v>
      </c>
      <c r="AB337" s="16">
        <f t="shared" si="504"/>
        <v>0</v>
      </c>
      <c r="AC337" s="16">
        <f t="shared" si="504"/>
        <v>0</v>
      </c>
      <c r="AD337" s="16">
        <f t="shared" si="504"/>
        <v>0</v>
      </c>
      <c r="AE337" s="16">
        <f t="shared" si="504"/>
        <v>0</v>
      </c>
      <c r="AF337" s="16">
        <f t="shared" si="504"/>
        <v>0</v>
      </c>
      <c r="AG337" s="16">
        <f t="shared" si="504"/>
        <v>0</v>
      </c>
      <c r="AH337" s="16">
        <f t="shared" si="504"/>
        <v>0</v>
      </c>
      <c r="AI337" s="16">
        <f t="shared" si="504"/>
        <v>0</v>
      </c>
      <c r="AJ337" s="16">
        <f t="shared" si="504"/>
        <v>0</v>
      </c>
      <c r="AK337" s="16">
        <f t="shared" si="504"/>
        <v>0</v>
      </c>
      <c r="AL337" s="16">
        <f t="shared" si="504"/>
        <v>0</v>
      </c>
      <c r="AM337" s="16">
        <f t="shared" si="504"/>
        <v>0</v>
      </c>
      <c r="AN337" s="16">
        <f t="shared" si="504"/>
        <v>0</v>
      </c>
      <c r="AO337" s="16">
        <f t="shared" si="504"/>
        <v>0</v>
      </c>
      <c r="AP337" s="10"/>
      <c r="AQ337" s="10"/>
      <c r="AR337" s="10"/>
      <c r="AS337" s="10" t="str">
        <f t="shared" ref="AS337:AS338" ca="1" si="508">IFERROR(__xludf.DUMMYFUNCTION("split(F334,"","",true,true)"),"Arabian Venture Capital")</f>
        <v>Arabian Venture Capital</v>
      </c>
      <c r="AT337" s="10"/>
      <c r="AU337" s="10"/>
      <c r="AV337" s="10"/>
      <c r="AW337" s="10"/>
      <c r="AX337" s="10"/>
      <c r="AY337" s="10"/>
      <c r="AZ337" s="10"/>
      <c r="BA337" s="10"/>
      <c r="BB337" s="10"/>
      <c r="BC337" s="10"/>
      <c r="BD337" s="10"/>
      <c r="BE337" s="10"/>
      <c r="BF337" s="10"/>
      <c r="BG337" s="10"/>
      <c r="BH337" s="10"/>
      <c r="BI337" s="10"/>
      <c r="BJ337" s="10"/>
      <c r="BK337" s="10"/>
      <c r="BM337" s="10"/>
    </row>
    <row r="338" spans="1:65" ht="12.75">
      <c r="A338" s="30">
        <v>43011</v>
      </c>
      <c r="B338" s="10" t="s">
        <v>794</v>
      </c>
      <c r="C338" s="12" t="s">
        <v>49</v>
      </c>
      <c r="E338" s="10" t="s">
        <v>51</v>
      </c>
      <c r="F338" s="10" t="s">
        <v>795</v>
      </c>
      <c r="G338" s="13" t="s">
        <v>796</v>
      </c>
      <c r="V338" s="14">
        <f t="shared" si="396"/>
        <v>2017</v>
      </c>
      <c r="W338" s="14">
        <f t="shared" si="397"/>
        <v>10</v>
      </c>
      <c r="X338" s="14">
        <f>VLOOKUP(W338,[1]Lookups!$P$3:$S$15,2,FALSE)</f>
        <v>4</v>
      </c>
      <c r="Y338" s="16">
        <f>VLOOKUP(W338,[1]Lookups!$P$3:$U$15,3,FALSE)</f>
        <v>2</v>
      </c>
      <c r="Z338" s="16">
        <f t="shared" si="398"/>
        <v>1</v>
      </c>
      <c r="AA338" s="16" t="str">
        <f t="shared" ca="1" si="504"/>
        <v>Arabian Venture Capital</v>
      </c>
      <c r="AB338" s="16">
        <f t="shared" si="504"/>
        <v>0</v>
      </c>
      <c r="AC338" s="16">
        <f t="shared" si="504"/>
        <v>0</v>
      </c>
      <c r="AD338" s="16">
        <f t="shared" si="504"/>
        <v>0</v>
      </c>
      <c r="AE338" s="16">
        <f t="shared" si="504"/>
        <v>0</v>
      </c>
      <c r="AF338" s="16">
        <f t="shared" si="504"/>
        <v>0</v>
      </c>
      <c r="AG338" s="16">
        <f t="shared" si="504"/>
        <v>0</v>
      </c>
      <c r="AH338" s="16">
        <f t="shared" si="504"/>
        <v>0</v>
      </c>
      <c r="AI338" s="16">
        <f t="shared" si="504"/>
        <v>0</v>
      </c>
      <c r="AJ338" s="16">
        <f t="shared" si="504"/>
        <v>0</v>
      </c>
      <c r="AK338" s="16">
        <f t="shared" si="504"/>
        <v>0</v>
      </c>
      <c r="AL338" s="16">
        <f t="shared" si="504"/>
        <v>0</v>
      </c>
      <c r="AM338" s="16">
        <f t="shared" si="504"/>
        <v>0</v>
      </c>
      <c r="AN338" s="16">
        <f t="shared" si="504"/>
        <v>0</v>
      </c>
      <c r="AO338" s="16">
        <f t="shared" si="504"/>
        <v>0</v>
      </c>
      <c r="AP338" s="10"/>
      <c r="AQ338" s="10"/>
      <c r="AR338" s="10"/>
      <c r="AS338" s="10" t="str">
        <f t="shared" ca="1" si="508"/>
        <v>Arabian Venture Capital</v>
      </c>
      <c r="AT338" s="10"/>
      <c r="AU338" s="10"/>
      <c r="AV338" s="10"/>
      <c r="AW338" s="10"/>
      <c r="AX338" s="10"/>
      <c r="AY338" s="10"/>
      <c r="AZ338" s="10"/>
      <c r="BA338" s="10"/>
      <c r="BB338" s="10"/>
      <c r="BC338" s="10"/>
      <c r="BD338" s="10"/>
      <c r="BE338" s="10"/>
      <c r="BF338" s="10"/>
      <c r="BG338" s="10"/>
      <c r="BH338" s="10"/>
      <c r="BI338" s="10"/>
      <c r="BJ338" s="10"/>
      <c r="BK338" s="10"/>
      <c r="BM338" s="10"/>
    </row>
    <row r="339" spans="1:65" ht="12.75">
      <c r="A339" s="9">
        <v>43012</v>
      </c>
      <c r="B339" s="10" t="s">
        <v>797</v>
      </c>
      <c r="C339" s="11">
        <v>73000</v>
      </c>
      <c r="D339" s="12"/>
      <c r="E339" s="10" t="s">
        <v>45</v>
      </c>
      <c r="F339" s="10" t="s">
        <v>577</v>
      </c>
      <c r="G339" s="13" t="s">
        <v>798</v>
      </c>
      <c r="H339" s="14" t="str">
        <f t="array" ref="H339">IFERROR(INDEX([1]Companies!$G:$G,MATCH(B339,[1]Companies!$A:$A,0)),"")</f>
        <v>Kenya</v>
      </c>
      <c r="I339" s="14" t="str">
        <f t="shared" ref="I339:I357" si="509">IF(LEN(TRIM(H339))-LEN(SUBSTITUTE(TRIM(H339),",","")) &gt; 0,TRIM(RIGHT(H339,LEN(H339)-FIND(",",H339))),H339)</f>
        <v>Kenya</v>
      </c>
      <c r="J339" s="14" t="str">
        <f t="array" ref="J339">IFERROR(INDEX([1]Companies!$Y:$Y,MATCH(B339,[1]Companies!$A:$A,0)),"")</f>
        <v>Internet, Local, Online Portals, Travel</v>
      </c>
      <c r="K339" s="14" t="str">
        <f t="array" ref="K339">IFERROR(INDEX([1]Companies!$X:$X,MATCH(B339,[1]Companies!$A:$A,0)),"")</f>
        <v>Travel &amp; Leisure</v>
      </c>
      <c r="L339" s="14" t="str">
        <f>VLOOKUP(B339,[1]Companies!$A$1:$C$5243,1,FALSE)</f>
        <v>Cloud9Xp</v>
      </c>
      <c r="M339" s="15">
        <f t="shared" ref="M339:M357" si="510">COUNTA(B339:K339)/(COUNTBLANK(B339:K339) + COUNTA(B339:K339))</f>
        <v>0.9</v>
      </c>
      <c r="N339" s="10" t="str">
        <f t="shared" ref="N339:N345" si="511">CONCATENATE(A339,B339,C339)</f>
        <v>43012Cloud9Xp73000</v>
      </c>
      <c r="O339" s="14" t="str">
        <f t="shared" ref="O339:O345" si="512">IF(A339 = "","",IF(COUNTIF(N:N,CONCATENATE(A339,B339,C339))&gt;1,"Duplicated",""))</f>
        <v/>
      </c>
      <c r="P339" s="14">
        <f t="shared" ref="P339:P345" si="513">IF(C339="Undisclosed",0,1)</f>
        <v>1</v>
      </c>
      <c r="Q339" s="14">
        <f t="array" ref="Q339">IFERROR(INDEX([1]Companies!$D:$D,MATCH(B339,[1]Companies!$A:$A,0)),"")</f>
        <v>2016</v>
      </c>
      <c r="R339" s="17">
        <f t="shared" ref="R339:R345" si="514">SUMIF(B:B,B339,C:C)</f>
        <v>73000</v>
      </c>
      <c r="S339" s="14">
        <f>VLOOKUP(I339,[1]Lookups!$V$3:$Y$197,4,FALSE)</f>
        <v>0</v>
      </c>
      <c r="T339" s="14" t="str">
        <f>VLOOKUP(E339,[1]Lookups!$H$3:$I$71,2,FALSE)</f>
        <v>2. Seed</v>
      </c>
      <c r="U339" s="14" t="str">
        <f>VLOOKUP(K339,[1]Lookups!$B$3:$C$142,2,FALSE)</f>
        <v>Travel &amp; Leisure</v>
      </c>
      <c r="V339" s="14">
        <f t="shared" si="396"/>
        <v>2017</v>
      </c>
      <c r="W339" s="14">
        <f t="shared" si="397"/>
        <v>10</v>
      </c>
      <c r="X339" s="14">
        <f>VLOOKUP(W339,[1]Lookups!$P$3:$S$15,2,FALSE)</f>
        <v>4</v>
      </c>
      <c r="Y339" s="16">
        <f>VLOOKUP(W339,[1]Lookups!$P$3:$U$15,3,FALSE)</f>
        <v>2</v>
      </c>
      <c r="Z339" s="16">
        <f t="shared" si="398"/>
        <v>1</v>
      </c>
      <c r="AA339" s="16" t="str">
        <f t="shared" ca="1" si="504"/>
        <v>Arabian Venture Capital</v>
      </c>
      <c r="AB339" s="16">
        <f t="shared" si="504"/>
        <v>0</v>
      </c>
      <c r="AC339" s="16">
        <f t="shared" si="504"/>
        <v>0</v>
      </c>
      <c r="AD339" s="16">
        <f t="shared" si="504"/>
        <v>0</v>
      </c>
      <c r="AE339" s="16">
        <f t="shared" si="504"/>
        <v>0</v>
      </c>
      <c r="AF339" s="16">
        <f t="shared" si="504"/>
        <v>0</v>
      </c>
      <c r="AG339" s="16">
        <f t="shared" si="504"/>
        <v>0</v>
      </c>
      <c r="AH339" s="16">
        <f t="shared" si="504"/>
        <v>0</v>
      </c>
      <c r="AI339" s="16">
        <f t="shared" si="504"/>
        <v>0</v>
      </c>
      <c r="AJ339" s="16">
        <f t="shared" si="504"/>
        <v>0</v>
      </c>
      <c r="AK339" s="16">
        <f t="shared" si="504"/>
        <v>0</v>
      </c>
      <c r="AL339" s="16">
        <f t="shared" si="504"/>
        <v>0</v>
      </c>
      <c r="AM339" s="16">
        <f t="shared" si="504"/>
        <v>0</v>
      </c>
      <c r="AN339" s="16">
        <f t="shared" si="504"/>
        <v>0</v>
      </c>
      <c r="AO339" s="16">
        <f t="shared" si="504"/>
        <v>0</v>
      </c>
      <c r="AP339" s="10"/>
      <c r="AQ339" s="10"/>
      <c r="AR339" s="10"/>
      <c r="AS339" s="10" t="str">
        <f t="shared" ref="AS339" ca="1" si="515">IFERROR(__xludf.DUMMYFUNCTION("split(F334,"","",true,true)"),"Arabian Venture Capital")</f>
        <v>Arabian Venture Capital</v>
      </c>
      <c r="AT339" s="10"/>
      <c r="AU339" s="10"/>
      <c r="AV339" s="10"/>
      <c r="AW339" s="10"/>
      <c r="AX339" s="10"/>
      <c r="AY339" s="10"/>
      <c r="AZ339" s="10"/>
      <c r="BA339" s="10"/>
      <c r="BB339" s="10"/>
      <c r="BC339" s="10"/>
      <c r="BD339" s="10"/>
      <c r="BE339" s="10"/>
      <c r="BF339" s="10"/>
      <c r="BG339" s="10"/>
      <c r="BH339" s="10"/>
      <c r="BI339" s="10"/>
      <c r="BJ339" s="10"/>
      <c r="BK339" s="10"/>
      <c r="BM339" s="10"/>
    </row>
    <row r="340" spans="1:65" ht="12.75">
      <c r="A340" s="18">
        <v>43014</v>
      </c>
      <c r="B340" s="14" t="s">
        <v>799</v>
      </c>
      <c r="C340" s="19">
        <v>250000</v>
      </c>
      <c r="D340" s="19"/>
      <c r="E340" s="14" t="s">
        <v>45</v>
      </c>
      <c r="F340" s="14" t="s">
        <v>800</v>
      </c>
      <c r="G340" s="21" t="s">
        <v>801</v>
      </c>
      <c r="H340" s="14" t="str">
        <f t="array" ref="H340">IFERROR(INDEX([1]Companies!$G:$G,MATCH(B340,[1]Companies!$A:$A,0)),"")</f>
        <v>Kenya</v>
      </c>
      <c r="I340" s="14" t="str">
        <f t="shared" si="509"/>
        <v>Kenya</v>
      </c>
      <c r="J340" s="14" t="str">
        <f t="array" ref="J340">IFERROR(INDEX([1]Companies!$Y:$Y,MATCH(B340,[1]Companies!$A:$A,0)),"")</f>
        <v>Digital Marketing, Media and Entertainment, Social Media</v>
      </c>
      <c r="K340" s="14" t="str">
        <f t="array" ref="K340">IFERROR(INDEX([1]Companies!$X:$X,MATCH(B340,[1]Companies!$A:$A,0)),"")</f>
        <v>Media &amp; Entertainment</v>
      </c>
      <c r="L340" s="14" t="str">
        <f>VLOOKUP(B340,[1]Companies!$A$1:$C$5243,1,FALSE)</f>
        <v>Zumi</v>
      </c>
      <c r="M340" s="15">
        <f t="shared" si="510"/>
        <v>0.9</v>
      </c>
      <c r="N340" s="10" t="str">
        <f t="shared" si="511"/>
        <v>43014Zumi250000</v>
      </c>
      <c r="O340" s="14" t="str">
        <f t="shared" si="512"/>
        <v/>
      </c>
      <c r="P340" s="14">
        <f t="shared" si="513"/>
        <v>1</v>
      </c>
      <c r="Q340" s="14">
        <f t="array" ref="Q340">IFERROR(INDEX([1]Companies!$D:$D,MATCH(B340,[1]Companies!$A:$A,0)),"")</f>
        <v>2016</v>
      </c>
      <c r="R340" s="17">
        <f t="shared" si="514"/>
        <v>250000</v>
      </c>
      <c r="S340" s="14">
        <f>VLOOKUP(I340,[1]Lookups!$V$3:$Y$197,4,FALSE)</f>
        <v>0</v>
      </c>
      <c r="T340" s="14" t="str">
        <f>VLOOKUP(E340,[1]Lookups!$H$3:$I$71,2,FALSE)</f>
        <v>2. Seed</v>
      </c>
      <c r="U340" s="14" t="str">
        <f>VLOOKUP(K340,[1]Lookups!$B$3:$C$142,2,FALSE)</f>
        <v>Media &amp; Entertainment</v>
      </c>
      <c r="V340" s="14">
        <f t="shared" si="396"/>
        <v>2017</v>
      </c>
      <c r="W340" s="14">
        <f t="shared" si="397"/>
        <v>10</v>
      </c>
      <c r="X340" s="14">
        <f>VLOOKUP(W340,[1]Lookups!$P$3:$S$15,2,FALSE)</f>
        <v>4</v>
      </c>
      <c r="Y340" s="16">
        <f>VLOOKUP(W340,[1]Lookups!$P$3:$U$15,3,FALSE)</f>
        <v>2</v>
      </c>
      <c r="Z340" s="16">
        <f t="shared" si="398"/>
        <v>2</v>
      </c>
      <c r="AA340" s="16" t="str">
        <f t="shared" ca="1" si="504"/>
        <v>Arabian Venture Capital</v>
      </c>
      <c r="AB340" s="16" t="str">
        <f t="shared" ca="1" si="504"/>
        <v xml:space="preserve"> Majlis Investment Management</v>
      </c>
      <c r="AC340" s="16">
        <f t="shared" si="504"/>
        <v>0</v>
      </c>
      <c r="AD340" s="16">
        <f t="shared" si="504"/>
        <v>0</v>
      </c>
      <c r="AE340" s="16">
        <f t="shared" si="504"/>
        <v>0</v>
      </c>
      <c r="AF340" s="16">
        <f t="shared" si="504"/>
        <v>0</v>
      </c>
      <c r="AG340" s="16">
        <f t="shared" si="504"/>
        <v>0</v>
      </c>
      <c r="AH340" s="16">
        <f t="shared" si="504"/>
        <v>0</v>
      </c>
      <c r="AI340" s="16">
        <f t="shared" si="504"/>
        <v>0</v>
      </c>
      <c r="AJ340" s="16">
        <f t="shared" si="504"/>
        <v>0</v>
      </c>
      <c r="AK340" s="16">
        <f t="shared" si="504"/>
        <v>0</v>
      </c>
      <c r="AL340" s="16">
        <f t="shared" si="504"/>
        <v>0</v>
      </c>
      <c r="AM340" s="16">
        <f t="shared" si="504"/>
        <v>0</v>
      </c>
      <c r="AN340" s="16">
        <f t="shared" si="504"/>
        <v>0</v>
      </c>
      <c r="AO340" s="16">
        <f t="shared" si="504"/>
        <v>0</v>
      </c>
      <c r="AP340" s="10"/>
      <c r="AQ340" s="10"/>
      <c r="AR340" s="10"/>
      <c r="AS340" s="10" t="str">
        <f t="shared" ref="AS340" ca="1" si="516">IFERROR(__xludf.DUMMYFUNCTION("split(F334,"","",true,true)"),"Arabian Venture Capital")</f>
        <v>Arabian Venture Capital</v>
      </c>
      <c r="AT340" s="10" t="str">
        <f ca="1">IFERROR(__xludf.DUMMYFUNCTION("""COMPUTED_VALUE""")," Majlis Investment Management")</f>
        <v xml:space="preserve"> Majlis Investment Management</v>
      </c>
      <c r="AU340" s="10"/>
      <c r="AV340" s="10"/>
      <c r="AW340" s="10"/>
      <c r="AX340" s="10"/>
      <c r="AY340" s="10"/>
      <c r="AZ340" s="10"/>
      <c r="BA340" s="10"/>
      <c r="BB340" s="10"/>
      <c r="BC340" s="10"/>
      <c r="BD340" s="10"/>
      <c r="BE340" s="10"/>
      <c r="BF340" s="10"/>
      <c r="BG340" s="10"/>
      <c r="BH340" s="10"/>
      <c r="BI340" s="10"/>
      <c r="BJ340" s="10"/>
      <c r="BK340" s="10"/>
      <c r="BM340" s="10"/>
    </row>
    <row r="341" spans="1:65" ht="12.75">
      <c r="A341" s="18">
        <v>43017</v>
      </c>
      <c r="B341" s="14" t="s">
        <v>301</v>
      </c>
      <c r="C341" s="19">
        <v>3200000</v>
      </c>
      <c r="D341" s="19"/>
      <c r="E341" s="14" t="s">
        <v>69</v>
      </c>
      <c r="F341" s="14" t="s">
        <v>802</v>
      </c>
      <c r="G341" s="21" t="s">
        <v>803</v>
      </c>
      <c r="H341" s="14" t="str">
        <f t="array" ref="H341">IFERROR(INDEX([1]Companies!$G:$G,MATCH(B341,[1]Companies!$A:$A,0)),"")</f>
        <v>Senegal</v>
      </c>
      <c r="I341" s="14" t="str">
        <f t="shared" si="509"/>
        <v>Senegal</v>
      </c>
      <c r="J341" s="14" t="str">
        <f t="array" ref="J341">IFERROR(INDEX([1]Companies!$Y:$Y,MATCH(B341,[1]Companies!$A:$A,0)),"")</f>
        <v>Environmental Consulting, Financial Services, Renewable Energy, Solar</v>
      </c>
      <c r="K341" s="14" t="str">
        <f t="array" ref="K341">IFERROR(INDEX([1]Companies!$X:$X,MATCH(B341,[1]Companies!$A:$A,0)),"")</f>
        <v>Energy &amp; Environment Resources</v>
      </c>
      <c r="L341" s="14" t="str">
        <f>VLOOKUP(B341,[1]Companies!$A$1:$C$5243,1,FALSE)</f>
        <v>Oolu</v>
      </c>
      <c r="M341" s="15">
        <f t="shared" si="510"/>
        <v>0.9</v>
      </c>
      <c r="N341" s="10" t="str">
        <f t="shared" si="511"/>
        <v>43017Oolu3200000</v>
      </c>
      <c r="O341" s="14" t="str">
        <f t="shared" si="512"/>
        <v/>
      </c>
      <c r="P341" s="14">
        <f t="shared" si="513"/>
        <v>1</v>
      </c>
      <c r="Q341" s="14">
        <f t="array" ref="Q341">IFERROR(INDEX([1]Companies!$D:$D,MATCH(B341,[1]Companies!$A:$A,0)),"")</f>
        <v>2015</v>
      </c>
      <c r="R341" s="17">
        <f t="shared" si="514"/>
        <v>4200000</v>
      </c>
      <c r="S341" s="14">
        <f>VLOOKUP(I341,[1]Lookups!$V$3:$Y$197,4,FALSE)</f>
        <v>0</v>
      </c>
      <c r="T341" s="14" t="str">
        <f>VLOOKUP(E341,[1]Lookups!$H$3:$I$71,2,FALSE)</f>
        <v>3. Early Venture</v>
      </c>
      <c r="U341" s="14" t="e">
        <f>VLOOKUP(K341,[1]Lookups!$B$3:$C$142,2,FALSE)</f>
        <v>#N/A</v>
      </c>
      <c r="V341" s="14">
        <f t="shared" si="396"/>
        <v>2017</v>
      </c>
      <c r="W341" s="14">
        <f t="shared" si="397"/>
        <v>10</v>
      </c>
      <c r="X341" s="14">
        <f>VLOOKUP(W341,[1]Lookups!$P$3:$S$15,2,FALSE)</f>
        <v>4</v>
      </c>
      <c r="Y341" s="16">
        <f>VLOOKUP(W341,[1]Lookups!$P$3:$U$15,3,FALSE)</f>
        <v>2</v>
      </c>
      <c r="Z341" s="16">
        <f t="shared" si="398"/>
        <v>2</v>
      </c>
      <c r="AA341" s="16" t="str">
        <f t="shared" ca="1" si="504"/>
        <v>Arabian Venture Capital</v>
      </c>
      <c r="AB341" s="16" t="str">
        <f t="shared" ca="1" si="504"/>
        <v xml:space="preserve"> Persistent Energy Capital</v>
      </c>
      <c r="AC341" s="16">
        <f t="shared" si="504"/>
        <v>0</v>
      </c>
      <c r="AD341" s="16">
        <f t="shared" si="504"/>
        <v>0</v>
      </c>
      <c r="AE341" s="16">
        <f t="shared" si="504"/>
        <v>0</v>
      </c>
      <c r="AF341" s="16">
        <f t="shared" si="504"/>
        <v>0</v>
      </c>
      <c r="AG341" s="16">
        <f t="shared" si="504"/>
        <v>0</v>
      </c>
      <c r="AH341" s="16">
        <f t="shared" si="504"/>
        <v>0</v>
      </c>
      <c r="AI341" s="16">
        <f t="shared" si="504"/>
        <v>0</v>
      </c>
      <c r="AJ341" s="16">
        <f t="shared" si="504"/>
        <v>0</v>
      </c>
      <c r="AK341" s="16">
        <f t="shared" si="504"/>
        <v>0</v>
      </c>
      <c r="AL341" s="16">
        <f t="shared" si="504"/>
        <v>0</v>
      </c>
      <c r="AM341" s="16">
        <f t="shared" si="504"/>
        <v>0</v>
      </c>
      <c r="AN341" s="16">
        <f t="shared" si="504"/>
        <v>0</v>
      </c>
      <c r="AO341" s="16">
        <f t="shared" si="504"/>
        <v>0</v>
      </c>
      <c r="AP341" s="10"/>
      <c r="AQ341" s="10"/>
      <c r="AR341" s="10"/>
      <c r="AS341" s="10" t="str">
        <f t="shared" ref="AS341" ca="1" si="517">IFERROR(__xludf.DUMMYFUNCTION("split(F334,"","",true,true)"),"Arabian Venture Capital")</f>
        <v>Arabian Venture Capital</v>
      </c>
      <c r="AT341" s="10" t="str">
        <f ca="1">IFERROR(__xludf.DUMMYFUNCTION("""COMPUTED_VALUE""")," Persistent Energy Capital")</f>
        <v xml:space="preserve"> Persistent Energy Capital</v>
      </c>
      <c r="AU341" s="10"/>
      <c r="AV341" s="10"/>
      <c r="AW341" s="10"/>
      <c r="AX341" s="10"/>
      <c r="AY341" s="10"/>
      <c r="AZ341" s="10"/>
      <c r="BA341" s="10"/>
      <c r="BB341" s="10"/>
      <c r="BC341" s="10"/>
      <c r="BD341" s="10"/>
      <c r="BE341" s="10"/>
      <c r="BF341" s="10"/>
      <c r="BG341" s="10"/>
      <c r="BH341" s="10"/>
      <c r="BI341" s="10"/>
      <c r="BJ341" s="10"/>
      <c r="BK341" s="10"/>
      <c r="BM341" s="10"/>
    </row>
    <row r="342" spans="1:65" ht="12.75">
      <c r="A342" s="9">
        <v>43018</v>
      </c>
      <c r="B342" s="10" t="s">
        <v>454</v>
      </c>
      <c r="C342" s="11" t="s">
        <v>49</v>
      </c>
      <c r="D342" s="12"/>
      <c r="E342" s="10" t="s">
        <v>653</v>
      </c>
      <c r="F342" s="10" t="s">
        <v>804</v>
      </c>
      <c r="G342" s="13" t="s">
        <v>805</v>
      </c>
      <c r="H342" s="14" t="str">
        <f t="array" ref="H342">IFERROR(INDEX([1]Companies!$G:$G,MATCH(B342,[1]Companies!$A:$A,0)),"")</f>
        <v>Kenya</v>
      </c>
      <c r="I342" s="14" t="str">
        <f t="shared" si="509"/>
        <v>Kenya</v>
      </c>
      <c r="J342" s="14" t="str">
        <f t="array" ref="J342">IFERROR(INDEX([1]Companies!$Y:$Y,MATCH(B342,[1]Companies!$A:$A,0)),"")</f>
        <v>Distribution, Data, Emerging Markets, Logistics, and E-Commerce</v>
      </c>
      <c r="K342" s="14" t="str">
        <f t="array" ref="K342">IFERROR(INDEX([1]Companies!$X:$X,MATCH(B342,[1]Companies!$A:$A,0)),"")</f>
        <v>Transport &amp; Logistics</v>
      </c>
      <c r="L342" s="14" t="str">
        <f>VLOOKUP(B342,[1]Companies!$A$1:$C$5243,1,FALSE)</f>
        <v>Sokowatch</v>
      </c>
      <c r="M342" s="15">
        <f t="shared" si="510"/>
        <v>0.9</v>
      </c>
      <c r="N342" s="10" t="str">
        <f t="shared" si="511"/>
        <v>43018SokowatchUndisclosed</v>
      </c>
      <c r="O342" s="14" t="str">
        <f t="shared" si="512"/>
        <v/>
      </c>
      <c r="P342" s="14">
        <f t="shared" si="513"/>
        <v>0</v>
      </c>
      <c r="Q342" s="14">
        <f t="array" ref="Q342">IFERROR(INDEX([1]Companies!$D:$D,MATCH(B342,[1]Companies!$A:$A,0)),"")</f>
        <v>2015</v>
      </c>
      <c r="R342" s="17">
        <f t="shared" si="514"/>
        <v>4500000</v>
      </c>
      <c r="S342" s="14">
        <f>VLOOKUP(I342,[1]Lookups!$V$3:$Y$197,4,FALSE)</f>
        <v>0</v>
      </c>
      <c r="T342" s="14" t="str">
        <f>VLOOKUP(E342,[1]Lookups!$H$3:$I$71,2,FALSE)</f>
        <v>4. Late Venture</v>
      </c>
      <c r="U342" s="14" t="str">
        <f>VLOOKUP(K342,[1]Lookups!$B$3:$C$142,2,FALSE)</f>
        <v>Transport &amp; Logistics</v>
      </c>
      <c r="V342" s="14">
        <f t="shared" si="396"/>
        <v>2017</v>
      </c>
      <c r="W342" s="14">
        <f t="shared" si="397"/>
        <v>10</v>
      </c>
      <c r="X342" s="14">
        <f>VLOOKUP(W342,[1]Lookups!$P$3:$S$15,2,FALSE)</f>
        <v>4</v>
      </c>
      <c r="Y342" s="16">
        <f>VLOOKUP(W342,[1]Lookups!$P$3:$U$15,3,FALSE)</f>
        <v>2</v>
      </c>
      <c r="Z342" s="16">
        <f t="shared" si="398"/>
        <v>1</v>
      </c>
      <c r="AA342" s="16" t="str">
        <f t="shared" ca="1" si="504"/>
        <v>Arabian Venture Capital</v>
      </c>
      <c r="AB342" s="16">
        <f t="shared" si="504"/>
        <v>0</v>
      </c>
      <c r="AC342" s="16">
        <f t="shared" si="504"/>
        <v>0</v>
      </c>
      <c r="AD342" s="16">
        <f t="shared" si="504"/>
        <v>0</v>
      </c>
      <c r="AE342" s="16">
        <f t="shared" si="504"/>
        <v>0</v>
      </c>
      <c r="AF342" s="16">
        <f t="shared" si="504"/>
        <v>0</v>
      </c>
      <c r="AG342" s="16">
        <f t="shared" si="504"/>
        <v>0</v>
      </c>
      <c r="AH342" s="16">
        <f t="shared" si="504"/>
        <v>0</v>
      </c>
      <c r="AI342" s="16">
        <f t="shared" si="504"/>
        <v>0</v>
      </c>
      <c r="AJ342" s="16">
        <f t="shared" si="504"/>
        <v>0</v>
      </c>
      <c r="AK342" s="16">
        <f t="shared" si="504"/>
        <v>0</v>
      </c>
      <c r="AL342" s="16">
        <f t="shared" si="504"/>
        <v>0</v>
      </c>
      <c r="AM342" s="16">
        <f t="shared" si="504"/>
        <v>0</v>
      </c>
      <c r="AN342" s="16">
        <f t="shared" si="504"/>
        <v>0</v>
      </c>
      <c r="AO342" s="16">
        <f t="shared" si="504"/>
        <v>0</v>
      </c>
      <c r="AP342" s="10"/>
      <c r="AQ342" s="10"/>
      <c r="AR342" s="10"/>
      <c r="AS342" s="10" t="str">
        <f t="shared" ref="AS342" ca="1" si="518">IFERROR(__xludf.DUMMYFUNCTION("split(F334,"","",true,true)"),"Arabian Venture Capital")</f>
        <v>Arabian Venture Capital</v>
      </c>
      <c r="AT342" s="10"/>
      <c r="AU342" s="10"/>
      <c r="AV342" s="10"/>
      <c r="AW342" s="10"/>
      <c r="AX342" s="10"/>
      <c r="AY342" s="10"/>
      <c r="AZ342" s="10"/>
      <c r="BA342" s="10"/>
      <c r="BB342" s="10"/>
      <c r="BC342" s="10"/>
      <c r="BD342" s="10"/>
      <c r="BE342" s="10"/>
      <c r="BF342" s="10"/>
      <c r="BG342" s="10"/>
      <c r="BH342" s="10"/>
      <c r="BI342" s="10"/>
      <c r="BJ342" s="10"/>
      <c r="BK342" s="10"/>
      <c r="BM342" s="10"/>
    </row>
    <row r="343" spans="1:65" ht="12.75">
      <c r="A343" s="9">
        <v>43018</v>
      </c>
      <c r="B343" s="10" t="s">
        <v>68</v>
      </c>
      <c r="C343" s="11">
        <v>80000000</v>
      </c>
      <c r="D343" s="12"/>
      <c r="E343" s="10" t="s">
        <v>91</v>
      </c>
      <c r="F343" s="10" t="s">
        <v>49</v>
      </c>
      <c r="G343" s="13" t="s">
        <v>806</v>
      </c>
      <c r="H343" s="14" t="str">
        <f t="array" ref="H343">IFERROR(INDEX([1]Companies!$G:$G,MATCH(B343,[1]Companies!$A:$A,0)),"")</f>
        <v>Kenya</v>
      </c>
      <c r="I343" s="14" t="str">
        <f t="shared" si="509"/>
        <v>Kenya</v>
      </c>
      <c r="J343" s="14" t="str">
        <f t="array" ref="J343">IFERROR(INDEX([1]Companies!$Y:$Y,MATCH(B343,[1]Companies!$A:$A,0)),"")</f>
        <v>Energy, Financial Services, Mobile</v>
      </c>
      <c r="K343" s="14" t="str">
        <f t="array" ref="K343">IFERROR(INDEX([1]Companies!$X:$X,MATCH(B343,[1]Companies!$A:$A,0)),"")</f>
        <v>Energy &amp; Environment Resources</v>
      </c>
      <c r="L343" s="14" t="str">
        <f>VLOOKUP(B343,[1]Companies!$A$1:$C$5243,1,FALSE)</f>
        <v>M-Kopa</v>
      </c>
      <c r="M343" s="15">
        <f t="shared" si="510"/>
        <v>0.9</v>
      </c>
      <c r="N343" s="10" t="str">
        <f t="shared" si="511"/>
        <v>43018M-KOPA80000000</v>
      </c>
      <c r="O343" s="14" t="str">
        <f t="shared" si="512"/>
        <v/>
      </c>
      <c r="P343" s="14">
        <f t="shared" si="513"/>
        <v>1</v>
      </c>
      <c r="Q343" s="14">
        <f t="array" ref="Q343">IFERROR(INDEX([1]Companies!$D:$D,MATCH(B343,[1]Companies!$A:$A,0)),"")</f>
        <v>2011</v>
      </c>
      <c r="R343" s="17">
        <f t="shared" si="514"/>
        <v>161800000</v>
      </c>
      <c r="S343" s="14">
        <f>VLOOKUP(I343,[1]Lookups!$V$3:$Y$197,4,FALSE)</f>
        <v>0</v>
      </c>
      <c r="T343" s="14" t="str">
        <f>VLOOKUP(E343,[1]Lookups!$H$3:$I$71,2,FALSE)</f>
        <v>5. Debt Financing</v>
      </c>
      <c r="U343" s="14" t="e">
        <f>VLOOKUP(K343,[1]Lookups!$B$3:$C$142,2,FALSE)</f>
        <v>#N/A</v>
      </c>
      <c r="V343" s="14">
        <f t="shared" si="396"/>
        <v>2017</v>
      </c>
      <c r="W343" s="14">
        <f t="shared" si="397"/>
        <v>10</v>
      </c>
      <c r="X343" s="14">
        <f>VLOOKUP(W343,[1]Lookups!$P$3:$S$15,2,FALSE)</f>
        <v>4</v>
      </c>
      <c r="Y343" s="16">
        <f>VLOOKUP(W343,[1]Lookups!$P$3:$U$15,3,FALSE)</f>
        <v>2</v>
      </c>
      <c r="Z343" s="16">
        <f t="shared" si="398"/>
        <v>1</v>
      </c>
      <c r="AA343" s="16" t="str">
        <f t="shared" ca="1" si="504"/>
        <v>Arabian Venture Capital</v>
      </c>
      <c r="AB343" s="16">
        <f t="shared" si="504"/>
        <v>0</v>
      </c>
      <c r="AC343" s="16">
        <f t="shared" si="504"/>
        <v>0</v>
      </c>
      <c r="AD343" s="16">
        <f t="shared" si="504"/>
        <v>0</v>
      </c>
      <c r="AE343" s="16">
        <f t="shared" si="504"/>
        <v>0</v>
      </c>
      <c r="AF343" s="16">
        <f t="shared" si="504"/>
        <v>0</v>
      </c>
      <c r="AG343" s="16">
        <f t="shared" si="504"/>
        <v>0</v>
      </c>
      <c r="AH343" s="16">
        <f t="shared" si="504"/>
        <v>0</v>
      </c>
      <c r="AI343" s="16">
        <f t="shared" si="504"/>
        <v>0</v>
      </c>
      <c r="AJ343" s="16">
        <f t="shared" si="504"/>
        <v>0</v>
      </c>
      <c r="AK343" s="16">
        <f t="shared" si="504"/>
        <v>0</v>
      </c>
      <c r="AL343" s="16">
        <f t="shared" si="504"/>
        <v>0</v>
      </c>
      <c r="AM343" s="16">
        <f t="shared" si="504"/>
        <v>0</v>
      </c>
      <c r="AN343" s="16">
        <f t="shared" si="504"/>
        <v>0</v>
      </c>
      <c r="AO343" s="16">
        <f t="shared" si="504"/>
        <v>0</v>
      </c>
      <c r="AP343" s="10"/>
      <c r="AQ343" s="10"/>
      <c r="AR343" s="10"/>
      <c r="AS343" s="10" t="str">
        <f t="shared" ref="AS343" ca="1" si="519">IFERROR(__xludf.DUMMYFUNCTION("split(F334,"","",true,true)"),"Arabian Venture Capital")</f>
        <v>Arabian Venture Capital</v>
      </c>
      <c r="AT343" s="10"/>
      <c r="AU343" s="10"/>
      <c r="AV343" s="10"/>
      <c r="AW343" s="10"/>
      <c r="AX343" s="10"/>
      <c r="AY343" s="10"/>
      <c r="AZ343" s="10"/>
      <c r="BA343" s="10"/>
      <c r="BB343" s="10"/>
      <c r="BC343" s="10"/>
      <c r="BD343" s="10"/>
      <c r="BE343" s="10"/>
      <c r="BF343" s="10"/>
      <c r="BG343" s="10"/>
      <c r="BH343" s="10"/>
      <c r="BI343" s="10"/>
      <c r="BJ343" s="10"/>
      <c r="BK343" s="10"/>
      <c r="BM343" s="10"/>
    </row>
    <row r="344" spans="1:65" ht="12.75">
      <c r="A344" s="9">
        <v>43019</v>
      </c>
      <c r="B344" s="10" t="s">
        <v>807</v>
      </c>
      <c r="C344" s="11">
        <v>25000</v>
      </c>
      <c r="D344" s="12"/>
      <c r="E344" s="10" t="s">
        <v>55</v>
      </c>
      <c r="F344" s="10" t="s">
        <v>808</v>
      </c>
      <c r="G344" s="13" t="s">
        <v>809</v>
      </c>
      <c r="H344" s="14" t="str">
        <f t="array" ref="H344">IFERROR(INDEX([1]Companies!$G:$G,MATCH(B344,[1]Companies!$A:$A,0)),"")</f>
        <v>Kenya</v>
      </c>
      <c r="I344" s="14" t="str">
        <f t="shared" si="509"/>
        <v>Kenya</v>
      </c>
      <c r="J344" s="14" t="str">
        <f t="array" ref="J344">IFERROR(INDEX([1]Companies!$Y:$Y,MATCH(B344,[1]Companies!$A:$A,0)),"")</f>
        <v>Logistics, Railroad, Transportation</v>
      </c>
      <c r="K344" s="14" t="str">
        <f t="array" ref="K344">IFERROR(INDEX([1]Companies!$X:$X,MATCH(B344,[1]Companies!$A:$A,0)),"")</f>
        <v>Transport &amp; Logistics</v>
      </c>
      <c r="L344" s="14" t="str">
        <f>VLOOKUP(B344,[1]Companies!$A$1:$C$5243,1,FALSE)</f>
        <v>Lori Systems</v>
      </c>
      <c r="M344" s="15">
        <f t="shared" si="510"/>
        <v>0.9</v>
      </c>
      <c r="N344" s="10" t="str">
        <f t="shared" si="511"/>
        <v>43019Lori Systems25000</v>
      </c>
      <c r="O344" s="14" t="str">
        <f t="shared" si="512"/>
        <v/>
      </c>
      <c r="P344" s="14">
        <f t="shared" si="513"/>
        <v>1</v>
      </c>
      <c r="Q344" s="14">
        <f t="array" ref="Q344">IFERROR(INDEX([1]Companies!$D:$D,MATCH(B344,[1]Companies!$A:$A,0)),"")</f>
        <v>2016</v>
      </c>
      <c r="R344" s="17">
        <f t="shared" si="514"/>
        <v>14895000</v>
      </c>
      <c r="S344" s="14">
        <f>VLOOKUP(I344,[1]Lookups!$V$3:$Y$197,4,FALSE)</f>
        <v>0</v>
      </c>
      <c r="T344" s="14" t="str">
        <f>VLOOKUP(E344,[1]Lookups!$H$3:$I$71,2,FALSE)</f>
        <v>1. Grant</v>
      </c>
      <c r="U344" s="14" t="str">
        <f>VLOOKUP(K344,[1]Lookups!$B$3:$C$142,2,FALSE)</f>
        <v>Transport &amp; Logistics</v>
      </c>
      <c r="V344" s="14">
        <f t="shared" si="396"/>
        <v>2017</v>
      </c>
      <c r="W344" s="14">
        <f t="shared" si="397"/>
        <v>10</v>
      </c>
      <c r="X344" s="14">
        <f>VLOOKUP(W344,[1]Lookups!$P$3:$S$15,2,FALSE)</f>
        <v>4</v>
      </c>
      <c r="Y344" s="16">
        <f>VLOOKUP(W344,[1]Lookups!$P$3:$U$15,3,FALSE)</f>
        <v>2</v>
      </c>
      <c r="Z344" s="16">
        <f t="shared" si="398"/>
        <v>1</v>
      </c>
      <c r="AA344" s="16" t="str">
        <f t="shared" ca="1" si="504"/>
        <v>Arabian Venture Capital</v>
      </c>
      <c r="AB344" s="16">
        <f t="shared" si="504"/>
        <v>0</v>
      </c>
      <c r="AC344" s="16">
        <f t="shared" si="504"/>
        <v>0</v>
      </c>
      <c r="AD344" s="16">
        <f t="shared" si="504"/>
        <v>0</v>
      </c>
      <c r="AE344" s="16">
        <f t="shared" si="504"/>
        <v>0</v>
      </c>
      <c r="AF344" s="16">
        <f t="shared" si="504"/>
        <v>0</v>
      </c>
      <c r="AG344" s="16">
        <f t="shared" si="504"/>
        <v>0</v>
      </c>
      <c r="AH344" s="16">
        <f t="shared" si="504"/>
        <v>0</v>
      </c>
      <c r="AI344" s="16">
        <f t="shared" si="504"/>
        <v>0</v>
      </c>
      <c r="AJ344" s="16">
        <f t="shared" si="504"/>
        <v>0</v>
      </c>
      <c r="AK344" s="16">
        <f t="shared" si="504"/>
        <v>0</v>
      </c>
      <c r="AL344" s="16">
        <f t="shared" si="504"/>
        <v>0</v>
      </c>
      <c r="AM344" s="16">
        <f t="shared" si="504"/>
        <v>0</v>
      </c>
      <c r="AN344" s="16">
        <f t="shared" si="504"/>
        <v>0</v>
      </c>
      <c r="AO344" s="16">
        <f t="shared" si="504"/>
        <v>0</v>
      </c>
      <c r="AP344" s="10"/>
      <c r="AQ344" s="10"/>
      <c r="AR344" s="10"/>
      <c r="AS344" s="10" t="str">
        <f t="shared" ref="AS344" ca="1" si="520">IFERROR(__xludf.DUMMYFUNCTION("split(F334,"","",true,true)"),"Arabian Venture Capital")</f>
        <v>Arabian Venture Capital</v>
      </c>
      <c r="AT344" s="10"/>
      <c r="AU344" s="10"/>
      <c r="AV344" s="10"/>
      <c r="AW344" s="10"/>
      <c r="AX344" s="10"/>
      <c r="AY344" s="10"/>
      <c r="AZ344" s="10"/>
      <c r="BA344" s="10"/>
      <c r="BB344" s="10"/>
      <c r="BC344" s="10"/>
      <c r="BD344" s="10"/>
      <c r="BE344" s="10"/>
      <c r="BF344" s="10"/>
      <c r="BG344" s="10"/>
      <c r="BH344" s="10"/>
      <c r="BI344" s="10"/>
      <c r="BJ344" s="10"/>
      <c r="BK344" s="10"/>
      <c r="BM344" s="10"/>
    </row>
    <row r="345" spans="1:65" ht="12.75">
      <c r="A345" s="18">
        <v>43022</v>
      </c>
      <c r="B345" s="14" t="s">
        <v>614</v>
      </c>
      <c r="C345" s="19">
        <v>131500</v>
      </c>
      <c r="D345" s="19"/>
      <c r="E345" s="14" t="s">
        <v>564</v>
      </c>
      <c r="F345" s="14" t="s">
        <v>49</v>
      </c>
      <c r="G345" s="27" t="s">
        <v>810</v>
      </c>
      <c r="H345" s="14" t="str">
        <f t="array" ref="H345">IFERROR(INDEX([1]Companies!$G:$G,MATCH(B345,[1]Companies!$A:$A,0)),"")</f>
        <v>United Kingdom</v>
      </c>
      <c r="I345" s="14" t="str">
        <f t="shared" si="509"/>
        <v>United Kingdom</v>
      </c>
      <c r="J345" s="14" t="str">
        <f t="array" ref="J345">IFERROR(INDEX([1]Companies!$Y:$Y,MATCH(B345,[1]Companies!$A:$A,0)),"")</f>
        <v>Energy, Renewable Energy, Solar</v>
      </c>
      <c r="K345" s="14" t="str">
        <f t="array" ref="K345">IFERROR(INDEX([1]Companies!$X:$X,MATCH(B345,[1]Companies!$A:$A,0)),"")</f>
        <v>Energy &amp; Environment Resources</v>
      </c>
      <c r="L345" s="14" t="str">
        <f>VLOOKUP(B345,[1]Companies!$A$1:$C$5243,1,FALSE)</f>
        <v>Azuri Technologies</v>
      </c>
      <c r="M345" s="15">
        <f t="shared" si="510"/>
        <v>0.9</v>
      </c>
      <c r="N345" s="10" t="str">
        <f t="shared" si="511"/>
        <v>43022Azuri Technologies131500</v>
      </c>
      <c r="O345" s="14" t="str">
        <f t="shared" si="512"/>
        <v/>
      </c>
      <c r="P345" s="14">
        <f t="shared" si="513"/>
        <v>1</v>
      </c>
      <c r="Q345" s="14">
        <f t="array" ref="Q345">IFERROR(INDEX([1]Companies!$D:$D,MATCH(B345,[1]Companies!$A:$A,0)),"")</f>
        <v>2012</v>
      </c>
      <c r="R345" s="17">
        <f t="shared" si="514"/>
        <v>53511500</v>
      </c>
      <c r="S345" s="14">
        <f>VLOOKUP(I345,[1]Lookups!$V$3:$Y$197,4,FALSE)</f>
        <v>1</v>
      </c>
      <c r="T345" s="14" t="str">
        <f>VLOOKUP(E345,[1]Lookups!$H$3:$I$71,2,FALSE)</f>
        <v>7. Offerings</v>
      </c>
      <c r="U345" s="14" t="e">
        <f>VLOOKUP(K345,[1]Lookups!$B$3:$C$142,2,FALSE)</f>
        <v>#N/A</v>
      </c>
      <c r="V345" s="14">
        <f t="shared" si="396"/>
        <v>2017</v>
      </c>
      <c r="W345" s="14">
        <f t="shared" si="397"/>
        <v>10</v>
      </c>
      <c r="X345" s="14">
        <f>VLOOKUP(W345,[1]Lookups!$P$3:$S$15,2,FALSE)</f>
        <v>4</v>
      </c>
      <c r="Y345" s="16">
        <f>VLOOKUP(W345,[1]Lookups!$P$3:$U$15,3,FALSE)</f>
        <v>2</v>
      </c>
      <c r="Z345" s="16">
        <f t="shared" si="398"/>
        <v>1</v>
      </c>
      <c r="AA345" s="16" t="str">
        <f t="shared" ca="1" si="504"/>
        <v>Arabian Venture Capital</v>
      </c>
      <c r="AB345" s="16">
        <f t="shared" si="504"/>
        <v>0</v>
      </c>
      <c r="AC345" s="16">
        <f t="shared" si="504"/>
        <v>0</v>
      </c>
      <c r="AD345" s="16">
        <f t="shared" si="504"/>
        <v>0</v>
      </c>
      <c r="AE345" s="16">
        <f t="shared" si="504"/>
        <v>0</v>
      </c>
      <c r="AF345" s="16">
        <f t="shared" si="504"/>
        <v>0</v>
      </c>
      <c r="AG345" s="16">
        <f t="shared" si="504"/>
        <v>0</v>
      </c>
      <c r="AH345" s="16">
        <f t="shared" si="504"/>
        <v>0</v>
      </c>
      <c r="AI345" s="16">
        <f t="shared" si="504"/>
        <v>0</v>
      </c>
      <c r="AJ345" s="16">
        <f t="shared" si="504"/>
        <v>0</v>
      </c>
      <c r="AK345" s="16">
        <f t="shared" si="504"/>
        <v>0</v>
      </c>
      <c r="AL345" s="16">
        <f t="shared" si="504"/>
        <v>0</v>
      </c>
      <c r="AM345" s="16">
        <f t="shared" si="504"/>
        <v>0</v>
      </c>
      <c r="AN345" s="16">
        <f t="shared" si="504"/>
        <v>0</v>
      </c>
      <c r="AO345" s="16">
        <f t="shared" si="504"/>
        <v>0</v>
      </c>
      <c r="AP345" s="10"/>
      <c r="AQ345" s="10"/>
      <c r="AR345" s="10"/>
      <c r="AS345" s="10" t="str">
        <f t="shared" ref="AS345" ca="1" si="521">IFERROR(__xludf.DUMMYFUNCTION("split(F334,"","",true,true)"),"Arabian Venture Capital")</f>
        <v>Arabian Venture Capital</v>
      </c>
      <c r="AT345" s="10"/>
      <c r="AU345" s="10"/>
      <c r="AV345" s="10"/>
      <c r="AW345" s="10"/>
      <c r="AX345" s="10"/>
      <c r="AY345" s="10"/>
      <c r="AZ345" s="10"/>
      <c r="BA345" s="10"/>
      <c r="BB345" s="10"/>
      <c r="BC345" s="10"/>
      <c r="BD345" s="10"/>
      <c r="BE345" s="10"/>
      <c r="BF345" s="10"/>
      <c r="BG345" s="10"/>
      <c r="BH345" s="10"/>
      <c r="BI345" s="10"/>
      <c r="BJ345" s="10"/>
      <c r="BK345" s="10"/>
      <c r="BM345" s="10"/>
    </row>
    <row r="346" spans="1:65" ht="12.75">
      <c r="A346" s="9">
        <v>43024</v>
      </c>
      <c r="B346" s="10" t="s">
        <v>757</v>
      </c>
      <c r="C346" s="11">
        <v>100000</v>
      </c>
      <c r="D346" s="12"/>
      <c r="E346" s="10" t="s">
        <v>55</v>
      </c>
      <c r="F346" s="10" t="s">
        <v>811</v>
      </c>
      <c r="G346" s="13" t="s">
        <v>812</v>
      </c>
      <c r="H346" s="14" t="str">
        <f t="array" ref="H346">IFERROR(INDEX([1]Companies!$G:$G,MATCH(B346,[1]Companies!$A:$A,0)),"")</f>
        <v>Nigeria</v>
      </c>
      <c r="I346" s="14" t="str">
        <f t="shared" si="509"/>
        <v>Nigeria</v>
      </c>
      <c r="J346" s="14" t="str">
        <f t="array" ref="J346">IFERROR(INDEX([1]Companies!$Y:$Y,MATCH(B346,[1]Companies!$A:$A,0)),"")</f>
        <v>HealthTech</v>
      </c>
      <c r="K346" s="14" t="str">
        <f t="array" ref="K346">IFERROR(INDEX([1]Companies!$X:$X,MATCH(B346,[1]Companies!$A:$A,0)),"")</f>
        <v>Healthcare &amp; Pharma</v>
      </c>
      <c r="L346" s="14" t="str">
        <f>VLOOKUP(B346,[1]Companies!$A$1:$C$5243,1,FALSE)</f>
        <v>MOBIcure</v>
      </c>
      <c r="M346" s="15">
        <f t="shared" si="510"/>
        <v>0.9</v>
      </c>
      <c r="N346" s="10"/>
      <c r="O346" s="14"/>
      <c r="P346" s="14"/>
      <c r="Q346" s="14"/>
      <c r="R346" s="14"/>
      <c r="S346" s="14"/>
      <c r="T346" s="14"/>
      <c r="U346" s="14"/>
      <c r="V346" s="14">
        <f t="shared" si="396"/>
        <v>2017</v>
      </c>
      <c r="W346" s="14">
        <f t="shared" si="397"/>
        <v>10</v>
      </c>
      <c r="X346" s="14">
        <f>VLOOKUP(W346,[1]Lookups!$P$3:$S$15,2,FALSE)</f>
        <v>4</v>
      </c>
      <c r="Y346" s="16">
        <f>VLOOKUP(W346,[1]Lookups!$P$3:$U$15,3,FALSE)</f>
        <v>2</v>
      </c>
      <c r="Z346" s="16">
        <f t="shared" si="398"/>
        <v>1</v>
      </c>
      <c r="AA346" s="16" t="str">
        <f t="shared" ca="1" si="504"/>
        <v>Arabian Venture Capital</v>
      </c>
      <c r="AB346" s="16">
        <f t="shared" si="504"/>
        <v>0</v>
      </c>
      <c r="AC346" s="16">
        <f t="shared" si="504"/>
        <v>0</v>
      </c>
      <c r="AD346" s="16">
        <f t="shared" si="504"/>
        <v>0</v>
      </c>
      <c r="AE346" s="16">
        <f t="shared" si="504"/>
        <v>0</v>
      </c>
      <c r="AF346" s="16">
        <f t="shared" si="504"/>
        <v>0</v>
      </c>
      <c r="AG346" s="16">
        <f t="shared" si="504"/>
        <v>0</v>
      </c>
      <c r="AH346" s="16">
        <f t="shared" si="504"/>
        <v>0</v>
      </c>
      <c r="AI346" s="16">
        <f t="shared" si="504"/>
        <v>0</v>
      </c>
      <c r="AJ346" s="16">
        <f t="shared" si="504"/>
        <v>0</v>
      </c>
      <c r="AK346" s="16">
        <f t="shared" si="504"/>
        <v>0</v>
      </c>
      <c r="AL346" s="16">
        <f t="shared" si="504"/>
        <v>0</v>
      </c>
      <c r="AM346" s="16">
        <f t="shared" si="504"/>
        <v>0</v>
      </c>
      <c r="AN346" s="16">
        <f t="shared" si="504"/>
        <v>0</v>
      </c>
      <c r="AO346" s="16">
        <f t="shared" si="504"/>
        <v>0</v>
      </c>
      <c r="AP346" s="10"/>
      <c r="AQ346" s="10"/>
      <c r="AR346" s="10"/>
      <c r="AS346" s="10" t="str">
        <f t="shared" ref="AS346" ca="1" si="522">IFERROR(__xludf.DUMMYFUNCTION("split(F334,"","",true,true)"),"Arabian Venture Capital")</f>
        <v>Arabian Venture Capital</v>
      </c>
      <c r="AT346" s="10"/>
      <c r="AU346" s="10"/>
      <c r="AV346" s="10"/>
      <c r="AW346" s="10"/>
      <c r="AX346" s="10"/>
      <c r="AY346" s="10"/>
      <c r="AZ346" s="10"/>
      <c r="BA346" s="10"/>
      <c r="BB346" s="10"/>
      <c r="BC346" s="10"/>
      <c r="BD346" s="10"/>
      <c r="BE346" s="10"/>
      <c r="BF346" s="10"/>
      <c r="BG346" s="10"/>
      <c r="BH346" s="10"/>
      <c r="BI346" s="10"/>
      <c r="BJ346" s="10"/>
      <c r="BK346" s="10"/>
      <c r="BM346" s="10"/>
    </row>
    <row r="347" spans="1:65" ht="12.75">
      <c r="A347" s="18">
        <v>43027</v>
      </c>
      <c r="B347" s="14" t="s">
        <v>573</v>
      </c>
      <c r="C347" s="19" t="s">
        <v>49</v>
      </c>
      <c r="D347" s="19"/>
      <c r="E347" s="14" t="s">
        <v>45</v>
      </c>
      <c r="F347" s="14" t="s">
        <v>813</v>
      </c>
      <c r="G347" s="21" t="s">
        <v>814</v>
      </c>
      <c r="H347" s="14" t="str">
        <f t="array" ref="H347">IFERROR(INDEX([1]Companies!$G:$G,MATCH(B347,[1]Companies!$A:$A,0)),"")</f>
        <v>Nigeria</v>
      </c>
      <c r="I347" s="14" t="str">
        <f t="shared" si="509"/>
        <v>Nigeria</v>
      </c>
      <c r="J347" s="14" t="str">
        <f t="array" ref="J347">IFERROR(INDEX([1]Companies!$Y:$Y,MATCH(B347,[1]Companies!$A:$A,0)),"")</f>
        <v>Blockchain, Micro-Loans</v>
      </c>
      <c r="K347" s="14" t="str">
        <f t="array" ref="K347">IFERROR(INDEX([1]Companies!$X:$X,MATCH(B347,[1]Companies!$A:$A,0)),"")</f>
        <v>Financial Services</v>
      </c>
      <c r="L347" s="14" t="str">
        <f>VLOOKUP(B347,[1]Companies!$A$1:$C$5243,1,FALSE)</f>
        <v>Aella Credit</v>
      </c>
      <c r="M347" s="15">
        <f t="shared" si="510"/>
        <v>0.9</v>
      </c>
      <c r="N347" s="10" t="str">
        <f t="shared" ref="N347:N357" si="523">CONCATENATE(A347,B347,C347)</f>
        <v>43027Aella CreditUndisclosed</v>
      </c>
      <c r="O347" s="14" t="str">
        <f t="shared" ref="O347:O357" si="524">IF(A347 = "","",IF(COUNTIF(N:N,CONCATENATE(A347,B347,C347))&gt;1,"Duplicated",""))</f>
        <v/>
      </c>
      <c r="P347" s="14">
        <f t="shared" ref="P347:P357" si="525">IF(C347="Undisclosed",0,1)</f>
        <v>0</v>
      </c>
      <c r="Q347" s="14">
        <f t="array" ref="Q347">IFERROR(INDEX([1]Companies!$D:$D,MATCH(B347,[1]Companies!$A:$A,0)),"")</f>
        <v>2015</v>
      </c>
      <c r="R347" s="17">
        <f t="shared" ref="R347:R357" si="526">SUMIF(B:B,B347,C:C)</f>
        <v>270000</v>
      </c>
      <c r="S347" s="14">
        <f>VLOOKUP(I347,[1]Lookups!$V$3:$Y$197,4,FALSE)</f>
        <v>0</v>
      </c>
      <c r="T347" s="14" t="str">
        <f>VLOOKUP(E347,[1]Lookups!$H$3:$I$71,2,FALSE)</f>
        <v>2. Seed</v>
      </c>
      <c r="U347" s="14" t="str">
        <f>VLOOKUP(K347,[1]Lookups!$B$3:$C$142,2,FALSE)</f>
        <v>Financial Services</v>
      </c>
      <c r="V347" s="14">
        <f t="shared" si="396"/>
        <v>2017</v>
      </c>
      <c r="W347" s="14">
        <f t="shared" si="397"/>
        <v>10</v>
      </c>
      <c r="X347" s="14">
        <f>VLOOKUP(W347,[1]Lookups!$P$3:$S$15,2,FALSE)</f>
        <v>4</v>
      </c>
      <c r="Y347" s="16">
        <f>VLOOKUP(W347,[1]Lookups!$P$3:$U$15,3,FALSE)</f>
        <v>2</v>
      </c>
      <c r="Z347" s="16">
        <f t="shared" si="398"/>
        <v>5</v>
      </c>
      <c r="AA347" s="16" t="str">
        <f t="shared" ca="1" si="504"/>
        <v>Arabian Venture Capital</v>
      </c>
      <c r="AB347" s="16" t="str">
        <f t="shared" ca="1" si="504"/>
        <v xml:space="preserve"> 500 Startups</v>
      </c>
      <c r="AC347" s="16" t="str">
        <f t="shared" ca="1" si="504"/>
        <v xml:space="preserve"> Zeno Ventures</v>
      </c>
      <c r="AD347" s="16" t="str">
        <f t="shared" ca="1" si="504"/>
        <v xml:space="preserve"> Vy Capital</v>
      </c>
      <c r="AE347" s="16" t="str">
        <f t="shared" ca="1" si="504"/>
        <v xml:space="preserve"> Unis Venture Fund</v>
      </c>
      <c r="AF347" s="16">
        <f t="shared" si="504"/>
        <v>0</v>
      </c>
      <c r="AG347" s="16">
        <f t="shared" si="504"/>
        <v>0</v>
      </c>
      <c r="AH347" s="16">
        <f t="shared" si="504"/>
        <v>0</v>
      </c>
      <c r="AI347" s="16">
        <f t="shared" si="504"/>
        <v>0</v>
      </c>
      <c r="AJ347" s="16">
        <f t="shared" si="504"/>
        <v>0</v>
      </c>
      <c r="AK347" s="16">
        <f t="shared" si="504"/>
        <v>0</v>
      </c>
      <c r="AL347" s="16">
        <f t="shared" si="504"/>
        <v>0</v>
      </c>
      <c r="AM347" s="16">
        <f t="shared" si="504"/>
        <v>0</v>
      </c>
      <c r="AN347" s="16">
        <f t="shared" si="504"/>
        <v>0</v>
      </c>
      <c r="AO347" s="16">
        <f t="shared" si="504"/>
        <v>0</v>
      </c>
      <c r="AP347" s="10"/>
      <c r="AQ347" s="10"/>
      <c r="AR347" s="10"/>
      <c r="AS347" s="10" t="str">
        <f t="shared" ref="AS347" ca="1" si="527">IFERROR(__xludf.DUMMYFUNCTION("split(F334,"","",true,true)"),"Arabian Venture Capital")</f>
        <v>Arabian Venture Capital</v>
      </c>
      <c r="AT347" s="10" t="str">
        <f ca="1">IFERROR(__xludf.DUMMYFUNCTION("""COMPUTED_VALUE""")," 500 Startups")</f>
        <v xml:space="preserve"> 500 Startups</v>
      </c>
      <c r="AU347" s="10" t="str">
        <f ca="1">IFERROR(__xludf.DUMMYFUNCTION("""COMPUTED_VALUE""")," Zeno Ventures")</f>
        <v xml:space="preserve"> Zeno Ventures</v>
      </c>
      <c r="AV347" s="10" t="str">
        <f ca="1">IFERROR(__xludf.DUMMYFUNCTION("""COMPUTED_VALUE""")," Vy Capital")</f>
        <v xml:space="preserve"> Vy Capital</v>
      </c>
      <c r="AW347" s="10" t="str">
        <f ca="1">IFERROR(__xludf.DUMMYFUNCTION("""COMPUTED_VALUE""")," Unis Venture Fund")</f>
        <v xml:space="preserve"> Unis Venture Fund</v>
      </c>
      <c r="AX347" s="10"/>
      <c r="AY347" s="10"/>
      <c r="AZ347" s="10"/>
      <c r="BA347" s="10"/>
      <c r="BB347" s="10"/>
      <c r="BC347" s="10"/>
      <c r="BD347" s="10"/>
      <c r="BE347" s="10"/>
      <c r="BF347" s="10"/>
      <c r="BG347" s="10"/>
      <c r="BH347" s="10"/>
      <c r="BI347" s="10"/>
      <c r="BJ347" s="10"/>
      <c r="BK347" s="10"/>
      <c r="BM347" s="10"/>
    </row>
    <row r="348" spans="1:65" ht="12.75">
      <c r="A348" s="18">
        <v>43027</v>
      </c>
      <c r="B348" s="14" t="s">
        <v>530</v>
      </c>
      <c r="C348" s="19">
        <v>1600000</v>
      </c>
      <c r="D348" s="19"/>
      <c r="E348" s="14" t="s">
        <v>45</v>
      </c>
      <c r="F348" s="20" t="s">
        <v>815</v>
      </c>
      <c r="G348" s="21" t="s">
        <v>816</v>
      </c>
      <c r="H348" s="14" t="str">
        <f t="array" ref="H348">IFERROR(INDEX([1]Companies!$G:$G,MATCH(B348,[1]Companies!$A:$A,0)),"")</f>
        <v>South Africa</v>
      </c>
      <c r="I348" s="14" t="str">
        <f t="shared" si="509"/>
        <v>South Africa</v>
      </c>
      <c r="J348" s="14" t="str">
        <f t="array" ref="J348">IFERROR(INDEX([1]Companies!$Y:$Y,MATCH(B348,[1]Companies!$A:$A,0)),"")</f>
        <v>Solar Energy Project Financing, Solar Power, Blockchain, Internet of Things, Ethereum Smart Contracts, Bitcoin</v>
      </c>
      <c r="K348" s="14" t="str">
        <f t="array" ref="K348">IFERROR(INDEX([1]Companies!$X:$X,MATCH(B348,[1]Companies!$A:$A,0)),"")</f>
        <v>Financial Services</v>
      </c>
      <c r="L348" s="14" t="str">
        <f>VLOOKUP(B348,[1]Companies!$A$1:$C$5243,1,FALSE)</f>
        <v xml:space="preserve">The Sun Exchange </v>
      </c>
      <c r="M348" s="15">
        <f t="shared" si="510"/>
        <v>0.9</v>
      </c>
      <c r="N348" s="10" t="str">
        <f t="shared" si="523"/>
        <v>43027The Sun Exchange 1600000</v>
      </c>
      <c r="O348" s="14" t="str">
        <f t="shared" si="524"/>
        <v/>
      </c>
      <c r="P348" s="14">
        <f t="shared" si="525"/>
        <v>1</v>
      </c>
      <c r="Q348" s="14">
        <f t="array" ref="Q348">IFERROR(INDEX([1]Companies!$D:$D,MATCH(B348,[1]Companies!$A:$A,0)),"")</f>
        <v>2015</v>
      </c>
      <c r="R348" s="17">
        <f t="shared" si="526"/>
        <v>3920000</v>
      </c>
      <c r="S348" s="14">
        <f>VLOOKUP(I348,[1]Lookups!$V$3:$Y$197,4,FALSE)</f>
        <v>0</v>
      </c>
      <c r="T348" s="14" t="str">
        <f>VLOOKUP(E348,[1]Lookups!$H$3:$I$71,2,FALSE)</f>
        <v>2. Seed</v>
      </c>
      <c r="U348" s="14" t="str">
        <f>VLOOKUP(K348,[1]Lookups!$B$3:$C$142,2,FALSE)</f>
        <v>Financial Services</v>
      </c>
      <c r="V348" s="14">
        <f t="shared" si="396"/>
        <v>2017</v>
      </c>
      <c r="W348" s="14">
        <f t="shared" si="397"/>
        <v>10</v>
      </c>
      <c r="X348" s="14">
        <f>VLOOKUP(W348,[1]Lookups!$P$3:$S$15,2,FALSE)</f>
        <v>4</v>
      </c>
      <c r="Y348" s="16">
        <f>VLOOKUP(W348,[1]Lookups!$P$3:$U$15,3,FALSE)</f>
        <v>2</v>
      </c>
      <c r="Z348" s="16">
        <f t="shared" si="398"/>
        <v>4</v>
      </c>
      <c r="AA348" s="16" t="str">
        <f t="shared" ca="1" si="504"/>
        <v>Arabian Venture Capital</v>
      </c>
      <c r="AB348" s="16" t="str">
        <f t="shared" ca="1" si="504"/>
        <v xml:space="preserve"> BoostVC</v>
      </c>
      <c r="AC348" s="16" t="str">
        <f t="shared" ca="1" si="504"/>
        <v xml:space="preserve"> Techstars</v>
      </c>
      <c r="AD348" s="16" t="str">
        <f t="shared" ca="1" si="504"/>
        <v xml:space="preserve"> PowerHouse</v>
      </c>
      <c r="AE348" s="16">
        <f t="shared" si="504"/>
        <v>0</v>
      </c>
      <c r="AF348" s="16">
        <f t="shared" si="504"/>
        <v>0</v>
      </c>
      <c r="AG348" s="16">
        <f t="shared" si="504"/>
        <v>0</v>
      </c>
      <c r="AH348" s="16">
        <f t="shared" si="504"/>
        <v>0</v>
      </c>
      <c r="AI348" s="16">
        <f t="shared" si="504"/>
        <v>0</v>
      </c>
      <c r="AJ348" s="16">
        <f t="shared" si="504"/>
        <v>0</v>
      </c>
      <c r="AK348" s="16">
        <f t="shared" si="504"/>
        <v>0</v>
      </c>
      <c r="AL348" s="16">
        <f t="shared" si="504"/>
        <v>0</v>
      </c>
      <c r="AM348" s="16">
        <f t="shared" si="504"/>
        <v>0</v>
      </c>
      <c r="AN348" s="16">
        <f t="shared" si="504"/>
        <v>0</v>
      </c>
      <c r="AO348" s="16">
        <f t="shared" si="504"/>
        <v>0</v>
      </c>
      <c r="AP348" s="10"/>
      <c r="AQ348" s="10"/>
      <c r="AR348" s="10"/>
      <c r="AS348" s="10" t="str">
        <f t="shared" ref="AS348" ca="1" si="528">IFERROR(__xludf.DUMMYFUNCTION("split(F334,"","",true,true)"),"Arabian Venture Capital")</f>
        <v>Arabian Venture Capital</v>
      </c>
      <c r="AT348" s="10" t="str">
        <f ca="1">IFERROR(__xludf.DUMMYFUNCTION("""COMPUTED_VALUE""")," BoostVC")</f>
        <v xml:space="preserve"> BoostVC</v>
      </c>
      <c r="AU348" s="10" t="str">
        <f ca="1">IFERROR(__xludf.DUMMYFUNCTION("""COMPUTED_VALUE""")," Techstars")</f>
        <v xml:space="preserve"> Techstars</v>
      </c>
      <c r="AV348" s="10" t="str">
        <f ca="1">IFERROR(__xludf.DUMMYFUNCTION("""COMPUTED_VALUE""")," PowerHouse")</f>
        <v xml:space="preserve"> PowerHouse</v>
      </c>
      <c r="AW348" s="10"/>
      <c r="AX348" s="10"/>
      <c r="AY348" s="10"/>
      <c r="AZ348" s="10"/>
      <c r="BA348" s="10"/>
      <c r="BB348" s="10"/>
      <c r="BC348" s="10"/>
      <c r="BD348" s="10"/>
      <c r="BE348" s="10"/>
      <c r="BF348" s="10"/>
      <c r="BG348" s="10"/>
      <c r="BH348" s="10"/>
      <c r="BI348" s="10"/>
      <c r="BJ348" s="10"/>
      <c r="BK348" s="10"/>
      <c r="BM348" s="10"/>
    </row>
    <row r="349" spans="1:65" ht="12.75">
      <c r="A349" s="18">
        <v>43031</v>
      </c>
      <c r="B349" s="14" t="s">
        <v>436</v>
      </c>
      <c r="C349" s="19">
        <v>6000000</v>
      </c>
      <c r="D349" s="19"/>
      <c r="E349" s="10" t="s">
        <v>91</v>
      </c>
      <c r="F349" s="20" t="s">
        <v>817</v>
      </c>
      <c r="G349" s="21" t="s">
        <v>818</v>
      </c>
      <c r="H349" s="14" t="str">
        <f t="array" ref="H349">IFERROR(INDEX([1]Companies!$G:$G,MATCH(B349,[1]Companies!$A:$A,0)),"")</f>
        <v>Uganda</v>
      </c>
      <c r="I349" s="14" t="str">
        <f t="shared" si="509"/>
        <v>Uganda</v>
      </c>
      <c r="J349" s="14" t="str">
        <f t="array" ref="J349">IFERROR(INDEX([1]Companies!$Y:$Y,MATCH(B349,[1]Companies!$A:$A,0)),"")</f>
        <v>Solar PV (Solar Home Systems), Rural Off-grid markets in Africa, Financing, and Distribution</v>
      </c>
      <c r="K349" s="14" t="str">
        <f t="array" ref="K349">IFERROR(INDEX([1]Companies!$X:$X,MATCH(B349,[1]Companies!$A:$A,0)),"")</f>
        <v>Energy &amp; Environment Resources</v>
      </c>
      <c r="L349" s="14" t="str">
        <f>VLOOKUP(B349,[1]Companies!$A$1:$C$5243,1,FALSE)</f>
        <v>Solarnow</v>
      </c>
      <c r="M349" s="15">
        <f t="shared" si="510"/>
        <v>0.9</v>
      </c>
      <c r="N349" s="10" t="str">
        <f t="shared" si="523"/>
        <v>43031SolarNow6000000</v>
      </c>
      <c r="O349" s="14" t="str">
        <f t="shared" si="524"/>
        <v/>
      </c>
      <c r="P349" s="14">
        <f t="shared" si="525"/>
        <v>1</v>
      </c>
      <c r="Q349" s="14">
        <f t="array" ref="Q349">IFERROR(INDEX([1]Companies!$D:$D,MATCH(B349,[1]Companies!$A:$A,0)),"")</f>
        <v>2011</v>
      </c>
      <c r="R349" s="17">
        <f t="shared" si="526"/>
        <v>17740000</v>
      </c>
      <c r="S349" s="14">
        <f>VLOOKUP(I349,[1]Lookups!$V$3:$Y$197,4,FALSE)</f>
        <v>0</v>
      </c>
      <c r="T349" s="14" t="str">
        <f>VLOOKUP(E349,[1]Lookups!$H$3:$I$71,2,FALSE)</f>
        <v>5. Debt Financing</v>
      </c>
      <c r="U349" s="14" t="e">
        <f>VLOOKUP(K349,[1]Lookups!$B$3:$C$142,2,FALSE)</f>
        <v>#N/A</v>
      </c>
      <c r="V349" s="14">
        <f t="shared" si="396"/>
        <v>2017</v>
      </c>
      <c r="W349" s="14">
        <f t="shared" si="397"/>
        <v>10</v>
      </c>
      <c r="X349" s="14">
        <f>VLOOKUP(W349,[1]Lookups!$P$3:$S$15,2,FALSE)</f>
        <v>4</v>
      </c>
      <c r="Y349" s="16">
        <f>VLOOKUP(W349,[1]Lookups!$P$3:$U$15,3,FALSE)</f>
        <v>2</v>
      </c>
      <c r="Z349" s="16">
        <f t="shared" si="398"/>
        <v>2</v>
      </c>
      <c r="AA349" s="16" t="str">
        <f t="shared" ca="1" si="504"/>
        <v>Arabian Venture Capital</v>
      </c>
      <c r="AB349" s="16" t="str">
        <f t="shared" ca="1" si="504"/>
        <v xml:space="preserve"> SunFunder</v>
      </c>
      <c r="AC349" s="16">
        <f t="shared" si="504"/>
        <v>0</v>
      </c>
      <c r="AD349" s="16">
        <f t="shared" si="504"/>
        <v>0</v>
      </c>
      <c r="AE349" s="16">
        <f t="shared" si="504"/>
        <v>0</v>
      </c>
      <c r="AF349" s="16">
        <f t="shared" si="504"/>
        <v>0</v>
      </c>
      <c r="AG349" s="16">
        <f t="shared" si="504"/>
        <v>0</v>
      </c>
      <c r="AH349" s="16">
        <f t="shared" si="504"/>
        <v>0</v>
      </c>
      <c r="AI349" s="16">
        <f t="shared" si="504"/>
        <v>0</v>
      </c>
      <c r="AJ349" s="16">
        <f t="shared" si="504"/>
        <v>0</v>
      </c>
      <c r="AK349" s="16">
        <f t="shared" si="504"/>
        <v>0</v>
      </c>
      <c r="AL349" s="16">
        <f t="shared" si="504"/>
        <v>0</v>
      </c>
      <c r="AM349" s="16">
        <f t="shared" si="504"/>
        <v>0</v>
      </c>
      <c r="AN349" s="16">
        <f t="shared" si="504"/>
        <v>0</v>
      </c>
      <c r="AO349" s="16">
        <f t="shared" si="504"/>
        <v>0</v>
      </c>
      <c r="AP349" s="10"/>
      <c r="AQ349" s="10"/>
      <c r="AR349" s="10"/>
      <c r="AS349" s="10" t="str">
        <f t="shared" ref="AS349" ca="1" si="529">IFERROR(__xludf.DUMMYFUNCTION("split(F334,"","",true,true)"),"Arabian Venture Capital")</f>
        <v>Arabian Venture Capital</v>
      </c>
      <c r="AT349" s="10" t="str">
        <f ca="1">IFERROR(__xludf.DUMMYFUNCTION("""COMPUTED_VALUE""")," SunFunder")</f>
        <v xml:space="preserve"> SunFunder</v>
      </c>
      <c r="AU349" s="10"/>
      <c r="AV349" s="10"/>
      <c r="AW349" s="10"/>
      <c r="AX349" s="10"/>
      <c r="AY349" s="10"/>
      <c r="AZ349" s="10"/>
      <c r="BA349" s="10"/>
      <c r="BB349" s="10"/>
      <c r="BC349" s="10"/>
      <c r="BD349" s="10"/>
      <c r="BE349" s="10"/>
      <c r="BF349" s="10"/>
      <c r="BG349" s="10"/>
      <c r="BH349" s="10"/>
      <c r="BI349" s="10"/>
      <c r="BJ349" s="10"/>
      <c r="BK349" s="10"/>
      <c r="BM349" s="10"/>
    </row>
    <row r="350" spans="1:65" ht="12.75">
      <c r="A350" s="18">
        <v>43032</v>
      </c>
      <c r="B350" s="14" t="s">
        <v>819</v>
      </c>
      <c r="C350" s="19">
        <v>499000</v>
      </c>
      <c r="D350" s="19"/>
      <c r="E350" s="14" t="s">
        <v>45</v>
      </c>
      <c r="F350" s="20" t="s">
        <v>820</v>
      </c>
      <c r="G350" s="21" t="s">
        <v>821</v>
      </c>
      <c r="H350" s="14" t="str">
        <f t="array" ref="H350">IFERROR(INDEX([1]Companies!$G:$G,MATCH(B350,[1]Companies!$A:$A,0)),"")</f>
        <v>South Africa</v>
      </c>
      <c r="I350" s="14" t="str">
        <f t="shared" si="509"/>
        <v>South Africa</v>
      </c>
      <c r="J350" s="14" t="str">
        <f t="array" ref="J350">IFERROR(INDEX([1]Companies!$Y:$Y,MATCH(B350,[1]Companies!$A:$A,0)),"")</f>
        <v>Education, Legal, Training, Drones, Edtech</v>
      </c>
      <c r="K350" s="14" t="str">
        <f t="array" ref="K350">IFERROR(INDEX([1]Companies!$X:$X,MATCH(B350,[1]Companies!$A:$A,0)),"")</f>
        <v>Education</v>
      </c>
      <c r="L350" s="14" t="str">
        <f>VLOOKUP(B350,[1]Companies!$A$1:$C$5243,1,FALSE)</f>
        <v>Uav Industries</v>
      </c>
      <c r="M350" s="15">
        <f t="shared" si="510"/>
        <v>0.9</v>
      </c>
      <c r="N350" s="10" t="str">
        <f t="shared" si="523"/>
        <v>43032UAV Industries499000</v>
      </c>
      <c r="O350" s="14" t="str">
        <f t="shared" si="524"/>
        <v/>
      </c>
      <c r="P350" s="14">
        <f t="shared" si="525"/>
        <v>1</v>
      </c>
      <c r="Q350" s="14">
        <f t="array" ref="Q350">IFERROR(INDEX([1]Companies!$D:$D,MATCH(B350,[1]Companies!$A:$A,0)),"")</f>
        <v>2015</v>
      </c>
      <c r="R350" s="17">
        <f t="shared" si="526"/>
        <v>499000</v>
      </c>
      <c r="S350" s="14">
        <f>VLOOKUP(I350,[1]Lookups!$V$3:$Y$197,4,FALSE)</f>
        <v>0</v>
      </c>
      <c r="T350" s="14" t="str">
        <f>VLOOKUP(E350,[1]Lookups!$H$3:$I$71,2,FALSE)</f>
        <v>2. Seed</v>
      </c>
      <c r="U350" s="14" t="str">
        <f>VLOOKUP(K350,[1]Lookups!$B$3:$C$142,2,FALSE)</f>
        <v>Education</v>
      </c>
      <c r="V350" s="14">
        <f t="shared" si="396"/>
        <v>2017</v>
      </c>
      <c r="W350" s="14">
        <f t="shared" si="397"/>
        <v>10</v>
      </c>
      <c r="X350" s="14">
        <f>VLOOKUP(W350,[1]Lookups!$P$3:$S$15,2,FALSE)</f>
        <v>4</v>
      </c>
      <c r="Y350" s="16">
        <f>VLOOKUP(W350,[1]Lookups!$P$3:$U$15,3,FALSE)</f>
        <v>2</v>
      </c>
      <c r="Z350" s="16">
        <f t="shared" si="398"/>
        <v>1</v>
      </c>
      <c r="AA350" s="16" t="str">
        <f t="shared" ref="AA350:AO365" ca="1" si="530">AS350</f>
        <v>Arabian Venture Capital</v>
      </c>
      <c r="AB350" s="16">
        <f t="shared" si="530"/>
        <v>0</v>
      </c>
      <c r="AC350" s="16">
        <f t="shared" si="530"/>
        <v>0</v>
      </c>
      <c r="AD350" s="16">
        <f t="shared" si="530"/>
        <v>0</v>
      </c>
      <c r="AE350" s="16">
        <f t="shared" si="530"/>
        <v>0</v>
      </c>
      <c r="AF350" s="16">
        <f t="shared" si="530"/>
        <v>0</v>
      </c>
      <c r="AG350" s="16">
        <f t="shared" si="530"/>
        <v>0</v>
      </c>
      <c r="AH350" s="16">
        <f t="shared" si="530"/>
        <v>0</v>
      </c>
      <c r="AI350" s="16">
        <f t="shared" si="530"/>
        <v>0</v>
      </c>
      <c r="AJ350" s="16">
        <f t="shared" si="530"/>
        <v>0</v>
      </c>
      <c r="AK350" s="16">
        <f t="shared" si="530"/>
        <v>0</v>
      </c>
      <c r="AL350" s="16">
        <f t="shared" si="530"/>
        <v>0</v>
      </c>
      <c r="AM350" s="16">
        <f t="shared" si="530"/>
        <v>0</v>
      </c>
      <c r="AN350" s="16">
        <f t="shared" si="530"/>
        <v>0</v>
      </c>
      <c r="AO350" s="16">
        <f t="shared" si="530"/>
        <v>0</v>
      </c>
      <c r="AP350" s="10"/>
      <c r="AQ350" s="10"/>
      <c r="AR350" s="10"/>
      <c r="AS350" s="10" t="str">
        <f t="shared" ref="AS350" ca="1" si="531">IFERROR(__xludf.DUMMYFUNCTION("split(F334,"","",true,true)"),"Arabian Venture Capital")</f>
        <v>Arabian Venture Capital</v>
      </c>
      <c r="AT350" s="10"/>
      <c r="AU350" s="10"/>
      <c r="AV350" s="10"/>
      <c r="AW350" s="10"/>
      <c r="AX350" s="10"/>
      <c r="AY350" s="10"/>
      <c r="AZ350" s="10"/>
      <c r="BA350" s="10"/>
      <c r="BB350" s="10"/>
      <c r="BC350" s="10"/>
      <c r="BD350" s="10"/>
      <c r="BE350" s="10"/>
      <c r="BF350" s="10"/>
      <c r="BG350" s="10"/>
      <c r="BH350" s="10"/>
      <c r="BI350" s="10"/>
      <c r="BJ350" s="10"/>
      <c r="BK350" s="10"/>
      <c r="BM350" s="10"/>
    </row>
    <row r="351" spans="1:65" ht="12.75">
      <c r="A351" s="9">
        <v>43034</v>
      </c>
      <c r="B351" s="10" t="s">
        <v>244</v>
      </c>
      <c r="C351" s="11" t="s">
        <v>49</v>
      </c>
      <c r="D351" s="12"/>
      <c r="E351" s="10" t="s">
        <v>45</v>
      </c>
      <c r="F351" s="10" t="s">
        <v>822</v>
      </c>
      <c r="G351" s="13" t="s">
        <v>823</v>
      </c>
      <c r="H351" s="14" t="str">
        <f t="array" ref="H351">IFERROR(INDEX([1]Companies!$G:$G,MATCH(B351,[1]Companies!$A:$A,0)),"")</f>
        <v>Rwanda</v>
      </c>
      <c r="I351" s="14" t="str">
        <f t="shared" si="509"/>
        <v>Rwanda</v>
      </c>
      <c r="J351" s="14" t="str">
        <f t="array" ref="J351">IFERROR(INDEX([1]Companies!$Y:$Y,MATCH(B351,[1]Companies!$A:$A,0)),"")</f>
        <v>Apps, Public Safety, Taxi Service, Transportation, Ride-hailing</v>
      </c>
      <c r="K351" s="14" t="str">
        <f t="array" ref="K351">IFERROR(INDEX([1]Companies!$X:$X,MATCH(B351,[1]Companies!$A:$A,0)),"")</f>
        <v>Transport &amp; Logistics</v>
      </c>
      <c r="L351" s="14" t="str">
        <f>VLOOKUP(B351,[1]Companies!$A$1:$C$5243,1,FALSE)</f>
        <v>CanGo</v>
      </c>
      <c r="M351" s="15">
        <f t="shared" si="510"/>
        <v>0.9</v>
      </c>
      <c r="N351" s="10" t="str">
        <f t="shared" si="523"/>
        <v>43034CanGoUndisclosed</v>
      </c>
      <c r="O351" s="14" t="str">
        <f t="shared" si="524"/>
        <v/>
      </c>
      <c r="P351" s="14">
        <f t="shared" si="525"/>
        <v>0</v>
      </c>
      <c r="Q351" s="14">
        <f t="array" ref="Q351">IFERROR(INDEX([1]Companies!$D:$D,MATCH(B351,[1]Companies!$A:$A,0)),"")</f>
        <v>2015</v>
      </c>
      <c r="R351" s="17">
        <f t="shared" si="526"/>
        <v>131000</v>
      </c>
      <c r="S351" s="14">
        <f>VLOOKUP(I351,[1]Lookups!$V$3:$Y$197,4,FALSE)</f>
        <v>0</v>
      </c>
      <c r="T351" s="14" t="str">
        <f>VLOOKUP(E351,[1]Lookups!$H$3:$I$71,2,FALSE)</f>
        <v>2. Seed</v>
      </c>
      <c r="U351" s="14" t="str">
        <f>VLOOKUP(K351,[1]Lookups!$B$3:$C$142,2,FALSE)</f>
        <v>Transport &amp; Logistics</v>
      </c>
      <c r="V351" s="14">
        <f t="shared" si="396"/>
        <v>2017</v>
      </c>
      <c r="W351" s="14">
        <f t="shared" si="397"/>
        <v>10</v>
      </c>
      <c r="X351" s="14">
        <f>VLOOKUP(W351,[1]Lookups!$P$3:$S$15,2,FALSE)</f>
        <v>4</v>
      </c>
      <c r="Y351" s="16">
        <f>VLOOKUP(W351,[1]Lookups!$P$3:$U$15,3,FALSE)</f>
        <v>2</v>
      </c>
      <c r="Z351" s="16">
        <f t="shared" si="398"/>
        <v>1</v>
      </c>
      <c r="AA351" s="16" t="str">
        <f t="shared" ca="1" si="530"/>
        <v>Arabian Venture Capital</v>
      </c>
      <c r="AB351" s="16">
        <f t="shared" si="530"/>
        <v>0</v>
      </c>
      <c r="AC351" s="16">
        <f t="shared" si="530"/>
        <v>0</v>
      </c>
      <c r="AD351" s="16">
        <f t="shared" si="530"/>
        <v>0</v>
      </c>
      <c r="AE351" s="16">
        <f t="shared" si="530"/>
        <v>0</v>
      </c>
      <c r="AF351" s="16">
        <f t="shared" si="530"/>
        <v>0</v>
      </c>
      <c r="AG351" s="16">
        <f t="shared" si="530"/>
        <v>0</v>
      </c>
      <c r="AH351" s="16">
        <f t="shared" si="530"/>
        <v>0</v>
      </c>
      <c r="AI351" s="16">
        <f t="shared" si="530"/>
        <v>0</v>
      </c>
      <c r="AJ351" s="16">
        <f t="shared" si="530"/>
        <v>0</v>
      </c>
      <c r="AK351" s="16">
        <f t="shared" si="530"/>
        <v>0</v>
      </c>
      <c r="AL351" s="16">
        <f t="shared" si="530"/>
        <v>0</v>
      </c>
      <c r="AM351" s="16">
        <f t="shared" si="530"/>
        <v>0</v>
      </c>
      <c r="AN351" s="16">
        <f t="shared" si="530"/>
        <v>0</v>
      </c>
      <c r="AO351" s="16">
        <f t="shared" si="530"/>
        <v>0</v>
      </c>
      <c r="AP351" s="10"/>
      <c r="AQ351" s="10"/>
      <c r="AR351" s="10"/>
      <c r="AS351" s="10" t="str">
        <f t="shared" ref="AS351" ca="1" si="532">IFERROR(__xludf.DUMMYFUNCTION("split(F334,"","",true,true)"),"Arabian Venture Capital")</f>
        <v>Arabian Venture Capital</v>
      </c>
      <c r="AT351" s="10"/>
      <c r="AU351" s="10"/>
      <c r="AV351" s="10"/>
      <c r="AW351" s="10"/>
      <c r="AX351" s="10"/>
      <c r="AY351" s="10"/>
      <c r="AZ351" s="10"/>
      <c r="BA351" s="10"/>
      <c r="BB351" s="10"/>
      <c r="BC351" s="10"/>
      <c r="BD351" s="10"/>
      <c r="BE351" s="10"/>
      <c r="BF351" s="10"/>
      <c r="BG351" s="10"/>
      <c r="BH351" s="10"/>
      <c r="BI351" s="10"/>
      <c r="BJ351" s="10"/>
      <c r="BK351" s="10"/>
      <c r="BM351" s="10"/>
    </row>
    <row r="352" spans="1:65" ht="12.75">
      <c r="A352" s="9">
        <v>43034</v>
      </c>
      <c r="B352" s="10" t="s">
        <v>824</v>
      </c>
      <c r="C352" s="11">
        <v>17000</v>
      </c>
      <c r="D352" s="12"/>
      <c r="E352" s="10" t="s">
        <v>45</v>
      </c>
      <c r="F352" s="10" t="s">
        <v>825</v>
      </c>
      <c r="G352" s="13" t="s">
        <v>826</v>
      </c>
      <c r="H352" s="14" t="str">
        <f t="array" ref="H352">IFERROR(INDEX([1]Companies!$G:$G,MATCH(B352,[1]Companies!$A:$A,0)),"")</f>
        <v>Egypt</v>
      </c>
      <c r="I352" s="14" t="str">
        <f t="shared" si="509"/>
        <v>Egypt</v>
      </c>
      <c r="J352" s="14" t="str">
        <f t="array" ref="J352">IFERROR(INDEX([1]Companies!$Y:$Y,MATCH(B352,[1]Companies!$A:$A,0)),"")</f>
        <v>Mobile Apps, Software, Transportation</v>
      </c>
      <c r="K352" s="14" t="str">
        <f t="array" ref="K352">IFERROR(INDEX([1]Companies!$X:$X,MATCH(B352,[1]Companies!$A:$A,0)),"")</f>
        <v>Transport &amp; Logistics</v>
      </c>
      <c r="L352" s="14" t="str">
        <f>VLOOKUP(B352,[1]Companies!$A$1:$C$5243,1,FALSE)</f>
        <v>Buseet</v>
      </c>
      <c r="M352" s="15">
        <f t="shared" si="510"/>
        <v>0.9</v>
      </c>
      <c r="N352" s="10" t="str">
        <f t="shared" si="523"/>
        <v>43034Buseet17000</v>
      </c>
      <c r="O352" s="14" t="str">
        <f t="shared" si="524"/>
        <v/>
      </c>
      <c r="P352" s="14">
        <f t="shared" si="525"/>
        <v>1</v>
      </c>
      <c r="Q352" s="14">
        <f t="array" ref="Q352">IFERROR(INDEX([1]Companies!$D:$D,MATCH(B352,[1]Companies!$A:$A,0)),"")</f>
        <v>2016</v>
      </c>
      <c r="R352" s="17">
        <f t="shared" si="526"/>
        <v>417000</v>
      </c>
      <c r="S352" s="14">
        <f>VLOOKUP(I352,[1]Lookups!$V$3:$Y$197,4,FALSE)</f>
        <v>0</v>
      </c>
      <c r="T352" s="14" t="str">
        <f>VLOOKUP(E352,[1]Lookups!$H$3:$I$71,2,FALSE)</f>
        <v>2. Seed</v>
      </c>
      <c r="U352" s="14" t="str">
        <f>VLOOKUP(K352,[1]Lookups!$B$3:$C$142,2,FALSE)</f>
        <v>Transport &amp; Logistics</v>
      </c>
      <c r="V352" s="14">
        <f t="shared" si="396"/>
        <v>2017</v>
      </c>
      <c r="W352" s="14">
        <f t="shared" si="397"/>
        <v>10</v>
      </c>
      <c r="X352" s="14">
        <f>VLOOKUP(W352,[1]Lookups!$P$3:$S$15,2,FALSE)</f>
        <v>4</v>
      </c>
      <c r="Y352" s="16">
        <f>VLOOKUP(W352,[1]Lookups!$P$3:$U$15,3,FALSE)</f>
        <v>2</v>
      </c>
      <c r="Z352" s="16">
        <f t="shared" si="398"/>
        <v>1</v>
      </c>
      <c r="AA352" s="16" t="str">
        <f t="shared" ca="1" si="530"/>
        <v>Arabian Venture Capital</v>
      </c>
      <c r="AB352" s="16">
        <f t="shared" si="530"/>
        <v>0</v>
      </c>
      <c r="AC352" s="16">
        <f t="shared" si="530"/>
        <v>0</v>
      </c>
      <c r="AD352" s="16">
        <f t="shared" si="530"/>
        <v>0</v>
      </c>
      <c r="AE352" s="16">
        <f t="shared" si="530"/>
        <v>0</v>
      </c>
      <c r="AF352" s="16">
        <f t="shared" si="530"/>
        <v>0</v>
      </c>
      <c r="AG352" s="16">
        <f t="shared" si="530"/>
        <v>0</v>
      </c>
      <c r="AH352" s="16">
        <f t="shared" si="530"/>
        <v>0</v>
      </c>
      <c r="AI352" s="16">
        <f t="shared" si="530"/>
        <v>0</v>
      </c>
      <c r="AJ352" s="16">
        <f t="shared" si="530"/>
        <v>0</v>
      </c>
      <c r="AK352" s="16">
        <f t="shared" si="530"/>
        <v>0</v>
      </c>
      <c r="AL352" s="16">
        <f t="shared" si="530"/>
        <v>0</v>
      </c>
      <c r="AM352" s="16">
        <f t="shared" si="530"/>
        <v>0</v>
      </c>
      <c r="AN352" s="16">
        <f t="shared" si="530"/>
        <v>0</v>
      </c>
      <c r="AO352" s="16">
        <f t="shared" si="530"/>
        <v>0</v>
      </c>
      <c r="AP352" s="10"/>
      <c r="AQ352" s="10"/>
      <c r="AR352" s="10"/>
      <c r="AS352" s="10" t="str">
        <f t="shared" ref="AS352" ca="1" si="533">IFERROR(__xludf.DUMMYFUNCTION("split(F334,"","",true,true)"),"Arabian Venture Capital")</f>
        <v>Arabian Venture Capital</v>
      </c>
      <c r="AT352" s="10"/>
      <c r="AU352" s="10"/>
      <c r="AV352" s="10"/>
      <c r="AW352" s="10"/>
      <c r="AX352" s="10"/>
      <c r="AY352" s="10"/>
      <c r="AZ352" s="10"/>
      <c r="BA352" s="10"/>
      <c r="BB352" s="10"/>
      <c r="BC352" s="10"/>
      <c r="BD352" s="10"/>
      <c r="BE352" s="10"/>
      <c r="BF352" s="10"/>
      <c r="BG352" s="10"/>
      <c r="BH352" s="10"/>
      <c r="BI352" s="10"/>
      <c r="BJ352" s="10"/>
      <c r="BK352" s="10"/>
      <c r="BM352" s="10"/>
    </row>
    <row r="353" spans="1:65" ht="12.75">
      <c r="A353" s="18">
        <v>43035</v>
      </c>
      <c r="B353" s="14" t="s">
        <v>464</v>
      </c>
      <c r="C353" s="19">
        <v>13500000</v>
      </c>
      <c r="D353" s="19"/>
      <c r="E353" s="14" t="s">
        <v>112</v>
      </c>
      <c r="F353" s="20" t="s">
        <v>827</v>
      </c>
      <c r="G353" s="21" t="s">
        <v>828</v>
      </c>
      <c r="H353" s="14" t="str">
        <f t="array" ref="H353">IFERROR(INDEX([1]Companies!$G:$G,MATCH(B353,[1]Companies!$A:$A,0)),"")</f>
        <v>Ghana</v>
      </c>
      <c r="I353" s="14" t="str">
        <f t="shared" si="509"/>
        <v>Ghana</v>
      </c>
      <c r="J353" s="14" t="str">
        <f t="array" ref="J353">IFERROR(INDEX([1]Companies!$Y:$Y,MATCH(B353,[1]Companies!$A:$A,0)),"")</f>
        <v>Asset Financing, Pay As You Go Solar, and Solar Energy</v>
      </c>
      <c r="K353" s="14" t="str">
        <f t="array" ref="K353">IFERROR(INDEX([1]Companies!$X:$X,MATCH(B353,[1]Companies!$A:$A,0)),"")</f>
        <v>Energy &amp; Environment Resources</v>
      </c>
      <c r="L353" s="14" t="str">
        <f>VLOOKUP(B353,[1]Companies!$A$1:$C$5243,1,FALSE)</f>
        <v>PEG Africa</v>
      </c>
      <c r="M353" s="15">
        <f t="shared" si="510"/>
        <v>0.9</v>
      </c>
      <c r="N353" s="10" t="str">
        <f t="shared" si="523"/>
        <v>43035PEG Africa13500000</v>
      </c>
      <c r="O353" s="14" t="str">
        <f t="shared" si="524"/>
        <v/>
      </c>
      <c r="P353" s="14">
        <f t="shared" si="525"/>
        <v>1</v>
      </c>
      <c r="Q353" s="14">
        <f t="array" ref="Q353">IFERROR(INDEX([1]Companies!$D:$D,MATCH(B353,[1]Companies!$A:$A,0)),"")</f>
        <v>2013</v>
      </c>
      <c r="R353" s="17">
        <f t="shared" si="526"/>
        <v>52500000</v>
      </c>
      <c r="S353" s="14">
        <f>VLOOKUP(I353,[1]Lookups!$V$3:$Y$197,4,FALSE)</f>
        <v>0</v>
      </c>
      <c r="T353" s="14" t="str">
        <f>VLOOKUP(E353,[1]Lookups!$H$3:$I$71,2,FALSE)</f>
        <v>3. Early Venture</v>
      </c>
      <c r="U353" s="14" t="e">
        <f>VLOOKUP(K353,[1]Lookups!$B$3:$C$142,2,FALSE)</f>
        <v>#N/A</v>
      </c>
      <c r="V353" s="14">
        <f t="shared" si="396"/>
        <v>2017</v>
      </c>
      <c r="W353" s="14">
        <f t="shared" si="397"/>
        <v>10</v>
      </c>
      <c r="X353" s="14">
        <f>VLOOKUP(W353,[1]Lookups!$P$3:$S$15,2,FALSE)</f>
        <v>4</v>
      </c>
      <c r="Y353" s="16">
        <f>VLOOKUP(W353,[1]Lookups!$P$3:$U$15,3,FALSE)</f>
        <v>2</v>
      </c>
      <c r="Z353" s="16">
        <f t="shared" si="398"/>
        <v>5</v>
      </c>
      <c r="AA353" s="16" t="str">
        <f t="shared" ca="1" si="530"/>
        <v>Arabian Venture Capital</v>
      </c>
      <c r="AB353" s="16" t="str">
        <f t="shared" ca="1" si="530"/>
        <v xml:space="preserve"> Investisseurs &amp; Partenaires (I&amp;P)</v>
      </c>
      <c r="AC353" s="16" t="str">
        <f t="shared" ca="1" si="530"/>
        <v xml:space="preserve"> ENGIE Rassembleurs d’Energies</v>
      </c>
      <c r="AD353" s="16" t="str">
        <f t="shared" ca="1" si="530"/>
        <v xml:space="preserve"> Acumen</v>
      </c>
      <c r="AE353" s="16" t="str">
        <f t="shared" ca="1" si="530"/>
        <v xml:space="preserve"> PCG Investments</v>
      </c>
      <c r="AF353" s="16">
        <f t="shared" si="530"/>
        <v>0</v>
      </c>
      <c r="AG353" s="16">
        <f t="shared" si="530"/>
        <v>0</v>
      </c>
      <c r="AH353" s="16">
        <f t="shared" si="530"/>
        <v>0</v>
      </c>
      <c r="AI353" s="16">
        <f t="shared" si="530"/>
        <v>0</v>
      </c>
      <c r="AJ353" s="16">
        <f t="shared" si="530"/>
        <v>0</v>
      </c>
      <c r="AK353" s="16">
        <f t="shared" si="530"/>
        <v>0</v>
      </c>
      <c r="AL353" s="16">
        <f t="shared" si="530"/>
        <v>0</v>
      </c>
      <c r="AM353" s="16">
        <f t="shared" si="530"/>
        <v>0</v>
      </c>
      <c r="AN353" s="16">
        <f t="shared" si="530"/>
        <v>0</v>
      </c>
      <c r="AO353" s="16">
        <f t="shared" si="530"/>
        <v>0</v>
      </c>
      <c r="AP353" s="10"/>
      <c r="AQ353" s="10"/>
      <c r="AR353" s="10"/>
      <c r="AS353" s="10" t="str">
        <f t="shared" ref="AS353" ca="1" si="534">IFERROR(__xludf.DUMMYFUNCTION("split(F334,"","",true,true)"),"Arabian Venture Capital")</f>
        <v>Arabian Venture Capital</v>
      </c>
      <c r="AT353" s="10" t="str">
        <f ca="1">IFERROR(__xludf.DUMMYFUNCTION("""COMPUTED_VALUE""")," Investisseurs &amp; Partenaires (I&amp;P)")</f>
        <v xml:space="preserve"> Investisseurs &amp; Partenaires (I&amp;P)</v>
      </c>
      <c r="AU353" s="10" t="str">
        <f ca="1">IFERROR(__xludf.DUMMYFUNCTION("""COMPUTED_VALUE""")," ENGIE Rassembleurs d’Energies")</f>
        <v xml:space="preserve"> ENGIE Rassembleurs d’Energies</v>
      </c>
      <c r="AV353" s="10" t="str">
        <f ca="1">IFERROR(__xludf.DUMMYFUNCTION("""COMPUTED_VALUE""")," Acumen")</f>
        <v xml:space="preserve"> Acumen</v>
      </c>
      <c r="AW353" s="10" t="str">
        <f ca="1">IFERROR(__xludf.DUMMYFUNCTION("""COMPUTED_VALUE""")," PCG Investments")</f>
        <v xml:space="preserve"> PCG Investments</v>
      </c>
      <c r="AX353" s="10"/>
      <c r="AY353" s="10"/>
      <c r="AZ353" s="10"/>
      <c r="BA353" s="10"/>
      <c r="BB353" s="10"/>
      <c r="BC353" s="10"/>
      <c r="BD353" s="10"/>
      <c r="BE353" s="10"/>
      <c r="BF353" s="10"/>
      <c r="BG353" s="10"/>
      <c r="BH353" s="10"/>
      <c r="BI353" s="10"/>
      <c r="BJ353" s="10"/>
      <c r="BK353" s="10"/>
      <c r="BM353" s="10"/>
    </row>
    <row r="354" spans="1:65" ht="12.75">
      <c r="A354" s="18">
        <v>43038</v>
      </c>
      <c r="B354" s="14" t="s">
        <v>829</v>
      </c>
      <c r="C354" s="19">
        <v>1400000</v>
      </c>
      <c r="D354" s="19"/>
      <c r="E354" s="10" t="s">
        <v>830</v>
      </c>
      <c r="F354" s="20" t="s">
        <v>831</v>
      </c>
      <c r="G354" s="21" t="s">
        <v>832</v>
      </c>
      <c r="H354" s="14" t="str">
        <f t="array" ref="H354">IFERROR(INDEX([1]Companies!$G:$G,MATCH(B354,[1]Companies!$A:$A,0)),"")</f>
        <v>South Africa</v>
      </c>
      <c r="I354" s="14" t="str">
        <f t="shared" si="509"/>
        <v>South Africa</v>
      </c>
      <c r="J354" s="14" t="str">
        <f t="array" ref="J354">IFERROR(INDEX([1]Companies!$Y:$Y,MATCH(B354,[1]Companies!$A:$A,0)),"")</f>
        <v>Financial Services, Information Technology, Insurance</v>
      </c>
      <c r="K354" s="14" t="str">
        <f t="array" ref="K354">IFERROR(INDEX([1]Companies!$X:$X,MATCH(B354,[1]Companies!$A:$A,0)),"")</f>
        <v>Financial Services</v>
      </c>
      <c r="L354" s="14" t="str">
        <f>VLOOKUP(B354,[1]Companies!$A$1:$C$5243,1,FALSE)</f>
        <v>Naked Insurance</v>
      </c>
      <c r="M354" s="15">
        <f t="shared" si="510"/>
        <v>0.9</v>
      </c>
      <c r="N354" s="10" t="str">
        <f t="shared" si="523"/>
        <v>43038Naked Insurance1400000</v>
      </c>
      <c r="O354" s="14" t="str">
        <f t="shared" si="524"/>
        <v/>
      </c>
      <c r="P354" s="14">
        <f t="shared" si="525"/>
        <v>1</v>
      </c>
      <c r="Q354" s="14">
        <f t="array" ref="Q354">IFERROR(INDEX([1]Companies!$D:$D,MATCH(B354,[1]Companies!$A:$A,0)),"")</f>
        <v>2016</v>
      </c>
      <c r="R354" s="17">
        <f t="shared" si="526"/>
        <v>3600000</v>
      </c>
      <c r="S354" s="14">
        <f>VLOOKUP(I354,[1]Lookups!$V$3:$Y$197,4,FALSE)</f>
        <v>0</v>
      </c>
      <c r="T354" s="14" t="str">
        <f>VLOOKUP(E354,[1]Lookups!$H$3:$I$71,2,FALSE)</f>
        <v>4. Late Venture</v>
      </c>
      <c r="U354" s="14" t="str">
        <f>VLOOKUP(K354,[1]Lookups!$B$3:$C$142,2,FALSE)</f>
        <v>Financial Services</v>
      </c>
      <c r="V354" s="14">
        <f t="shared" si="396"/>
        <v>2017</v>
      </c>
      <c r="W354" s="14">
        <f t="shared" si="397"/>
        <v>10</v>
      </c>
      <c r="X354" s="14">
        <f>VLOOKUP(W354,[1]Lookups!$P$3:$S$15,2,FALSE)</f>
        <v>4</v>
      </c>
      <c r="Y354" s="16">
        <f>VLOOKUP(W354,[1]Lookups!$P$3:$U$15,3,FALSE)</f>
        <v>2</v>
      </c>
      <c r="Z354" s="16">
        <f t="shared" si="398"/>
        <v>2</v>
      </c>
      <c r="AA354" s="16" t="str">
        <f t="shared" ca="1" si="530"/>
        <v>Arabian Venture Capital</v>
      </c>
      <c r="AB354" s="16" t="str">
        <f t="shared" ca="1" si="530"/>
        <v xml:space="preserve"> Hollard</v>
      </c>
      <c r="AC354" s="16">
        <f t="shared" si="530"/>
        <v>0</v>
      </c>
      <c r="AD354" s="16">
        <f t="shared" si="530"/>
        <v>0</v>
      </c>
      <c r="AE354" s="16">
        <f t="shared" si="530"/>
        <v>0</v>
      </c>
      <c r="AF354" s="16">
        <f t="shared" si="530"/>
        <v>0</v>
      </c>
      <c r="AG354" s="16">
        <f t="shared" si="530"/>
        <v>0</v>
      </c>
      <c r="AH354" s="16">
        <f t="shared" si="530"/>
        <v>0</v>
      </c>
      <c r="AI354" s="16">
        <f t="shared" si="530"/>
        <v>0</v>
      </c>
      <c r="AJ354" s="16">
        <f t="shared" si="530"/>
        <v>0</v>
      </c>
      <c r="AK354" s="16">
        <f t="shared" si="530"/>
        <v>0</v>
      </c>
      <c r="AL354" s="16">
        <f t="shared" si="530"/>
        <v>0</v>
      </c>
      <c r="AM354" s="16">
        <f t="shared" si="530"/>
        <v>0</v>
      </c>
      <c r="AN354" s="16">
        <f t="shared" si="530"/>
        <v>0</v>
      </c>
      <c r="AO354" s="16">
        <f t="shared" si="530"/>
        <v>0</v>
      </c>
      <c r="AP354" s="10"/>
      <c r="AQ354" s="10"/>
      <c r="AR354" s="10"/>
      <c r="AS354" s="10" t="str">
        <f t="shared" ref="AS354" ca="1" si="535">IFERROR(__xludf.DUMMYFUNCTION("split(F334,"","",true,true)"),"Arabian Venture Capital")</f>
        <v>Arabian Venture Capital</v>
      </c>
      <c r="AT354" s="10" t="str">
        <f ca="1">IFERROR(__xludf.DUMMYFUNCTION("""COMPUTED_VALUE""")," Hollard")</f>
        <v xml:space="preserve"> Hollard</v>
      </c>
      <c r="AU354" s="10"/>
      <c r="AV354" s="10"/>
      <c r="AW354" s="10"/>
      <c r="AX354" s="10"/>
      <c r="AY354" s="10"/>
      <c r="AZ354" s="10"/>
      <c r="BA354" s="10"/>
      <c r="BB354" s="10"/>
      <c r="BC354" s="10"/>
      <c r="BD354" s="10"/>
      <c r="BE354" s="10"/>
      <c r="BF354" s="10"/>
      <c r="BG354" s="10"/>
      <c r="BH354" s="10"/>
      <c r="BI354" s="10"/>
      <c r="BJ354" s="10"/>
      <c r="BK354" s="10"/>
      <c r="BM354" s="10"/>
    </row>
    <row r="355" spans="1:65" ht="12.75">
      <c r="A355" s="18">
        <v>43040</v>
      </c>
      <c r="B355" s="14" t="s">
        <v>833</v>
      </c>
      <c r="C355" s="19">
        <v>1500000</v>
      </c>
      <c r="D355" s="19"/>
      <c r="E355" s="14" t="s">
        <v>45</v>
      </c>
      <c r="F355" s="14" t="s">
        <v>834</v>
      </c>
      <c r="G355" s="21" t="s">
        <v>835</v>
      </c>
      <c r="H355" s="14" t="str">
        <f t="array" ref="H355">IFERROR(INDEX([1]Companies!$G:$G,MATCH(B355,[1]Companies!$A:$A,0)),"")</f>
        <v>Uganda</v>
      </c>
      <c r="I355" s="14" t="str">
        <f t="shared" si="509"/>
        <v>Uganda</v>
      </c>
      <c r="J355" s="14" t="str">
        <f t="array" ref="J355">IFERROR(INDEX([1]Companies!$Y:$Y,MATCH(B355,[1]Companies!$A:$A,0)),"")</f>
        <v>Big Data, Finance, Financial Services, Micro-Loans, Lending</v>
      </c>
      <c r="K355" s="14" t="str">
        <f t="array" ref="K355">IFERROR(INDEX([1]Companies!$X:$X,MATCH(B355,[1]Companies!$A:$A,0)),"")</f>
        <v>Financial Services</v>
      </c>
      <c r="L355" s="14" t="str">
        <f>VLOOKUP(B355,[1]Companies!$A$1:$C$5243,1,FALSE)</f>
        <v>Asaak</v>
      </c>
      <c r="M355" s="15">
        <f t="shared" si="510"/>
        <v>0.9</v>
      </c>
      <c r="N355" s="10" t="str">
        <f t="shared" si="523"/>
        <v>43040Asaak1500000</v>
      </c>
      <c r="O355" s="14" t="str">
        <f t="shared" si="524"/>
        <v/>
      </c>
      <c r="P355" s="14">
        <f t="shared" si="525"/>
        <v>1</v>
      </c>
      <c r="Q355" s="14">
        <f t="array" ref="Q355">IFERROR(INDEX([1]Companies!$D:$D,MATCH(B355,[1]Companies!$A:$A,0)),"")</f>
        <v>2016</v>
      </c>
      <c r="R355" s="17">
        <f t="shared" si="526"/>
        <v>1500000</v>
      </c>
      <c r="S355" s="14">
        <f>VLOOKUP(I355,[1]Lookups!$V$3:$Y$197,4,FALSE)</f>
        <v>0</v>
      </c>
      <c r="T355" s="14" t="str">
        <f>VLOOKUP(E355,[1]Lookups!$H$3:$I$71,2,FALSE)</f>
        <v>2. Seed</v>
      </c>
      <c r="U355" s="14" t="str">
        <f>VLOOKUP(K355,[1]Lookups!$B$3:$C$142,2,FALSE)</f>
        <v>Financial Services</v>
      </c>
      <c r="V355" s="14">
        <f t="shared" si="396"/>
        <v>2017</v>
      </c>
      <c r="W355" s="14">
        <f t="shared" si="397"/>
        <v>11</v>
      </c>
      <c r="X355" s="14">
        <f>VLOOKUP(W355,[1]Lookups!$P$3:$S$15,2,FALSE)</f>
        <v>4</v>
      </c>
      <c r="Y355" s="16">
        <f>VLOOKUP(W355,[1]Lookups!$P$3:$U$15,3,FALSE)</f>
        <v>2</v>
      </c>
      <c r="Z355" s="16">
        <f t="shared" si="398"/>
        <v>6</v>
      </c>
      <c r="AA355" s="16" t="str">
        <f t="shared" ca="1" si="530"/>
        <v>Arabian Venture Capital</v>
      </c>
      <c r="AB355" s="16" t="str">
        <f t="shared" ca="1" si="530"/>
        <v xml:space="preserve"> Social Capital</v>
      </c>
      <c r="AC355" s="16" t="str">
        <f t="shared" ca="1" si="530"/>
        <v xml:space="preserve"> Locke Mountain Ventures</v>
      </c>
      <c r="AD355" s="16" t="str">
        <f t="shared" ca="1" si="530"/>
        <v xml:space="preserve"> HOF Capital</v>
      </c>
      <c r="AE355" s="16" t="str">
        <f t="shared" ca="1" si="530"/>
        <v xml:space="preserve"> Catalyst Fund</v>
      </c>
      <c r="AF355" s="16" t="str">
        <f t="shared" ca="1" si="530"/>
        <v xml:space="preserve"> 500 Startups</v>
      </c>
      <c r="AG355" s="16">
        <f t="shared" si="530"/>
        <v>0</v>
      </c>
      <c r="AH355" s="16">
        <f t="shared" si="530"/>
        <v>0</v>
      </c>
      <c r="AI355" s="16">
        <f t="shared" si="530"/>
        <v>0</v>
      </c>
      <c r="AJ355" s="16">
        <f t="shared" si="530"/>
        <v>0</v>
      </c>
      <c r="AK355" s="16">
        <f t="shared" si="530"/>
        <v>0</v>
      </c>
      <c r="AL355" s="16">
        <f t="shared" si="530"/>
        <v>0</v>
      </c>
      <c r="AM355" s="16">
        <f t="shared" si="530"/>
        <v>0</v>
      </c>
      <c r="AN355" s="16">
        <f t="shared" si="530"/>
        <v>0</v>
      </c>
      <c r="AO355" s="16">
        <f t="shared" si="530"/>
        <v>0</v>
      </c>
      <c r="AP355" s="10"/>
      <c r="AQ355" s="10"/>
      <c r="AR355" s="10"/>
      <c r="AS355" s="10" t="str">
        <f t="shared" ref="AS355" ca="1" si="536">IFERROR(__xludf.DUMMYFUNCTION("split(F334,"","",true,true)"),"Arabian Venture Capital")</f>
        <v>Arabian Venture Capital</v>
      </c>
      <c r="AT355" s="10" t="str">
        <f ca="1">IFERROR(__xludf.DUMMYFUNCTION("""COMPUTED_VALUE""")," Social Capital")</f>
        <v xml:space="preserve"> Social Capital</v>
      </c>
      <c r="AU355" s="10" t="str">
        <f ca="1">IFERROR(__xludf.DUMMYFUNCTION("""COMPUTED_VALUE""")," Locke Mountain Ventures")</f>
        <v xml:space="preserve"> Locke Mountain Ventures</v>
      </c>
      <c r="AV355" s="10" t="str">
        <f ca="1">IFERROR(__xludf.DUMMYFUNCTION("""COMPUTED_VALUE""")," HOF Capital")</f>
        <v xml:space="preserve"> HOF Capital</v>
      </c>
      <c r="AW355" s="10" t="str">
        <f ca="1">IFERROR(__xludf.DUMMYFUNCTION("""COMPUTED_VALUE""")," Catalyst Fund")</f>
        <v xml:space="preserve"> Catalyst Fund</v>
      </c>
      <c r="AX355" s="10" t="str">
        <f ca="1">IFERROR(__xludf.DUMMYFUNCTION("""COMPUTED_VALUE""")," 500 Startups")</f>
        <v xml:space="preserve"> 500 Startups</v>
      </c>
      <c r="AY355" s="10"/>
      <c r="AZ355" s="10"/>
      <c r="BA355" s="10"/>
      <c r="BB355" s="10"/>
      <c r="BC355" s="10"/>
      <c r="BD355" s="10"/>
      <c r="BE355" s="10"/>
      <c r="BF355" s="10"/>
      <c r="BG355" s="10"/>
      <c r="BH355" s="10"/>
      <c r="BI355" s="10"/>
      <c r="BJ355" s="10"/>
      <c r="BK355" s="10"/>
      <c r="BM355" s="10"/>
    </row>
    <row r="356" spans="1:65" ht="12.75">
      <c r="A356" s="9">
        <v>43040</v>
      </c>
      <c r="B356" s="10" t="s">
        <v>836</v>
      </c>
      <c r="C356" s="11">
        <v>8000</v>
      </c>
      <c r="D356" s="12"/>
      <c r="E356" s="10" t="s">
        <v>45</v>
      </c>
      <c r="F356" s="10" t="s">
        <v>49</v>
      </c>
      <c r="G356" s="13" t="s">
        <v>837</v>
      </c>
      <c r="H356" s="14" t="str">
        <f t="array" ref="H356">IFERROR(INDEX([1]Companies!$G:$G,MATCH(B356,[1]Companies!$A:$A,0)),"")</f>
        <v>South Africa</v>
      </c>
      <c r="I356" s="14" t="str">
        <f t="shared" si="509"/>
        <v>South Africa</v>
      </c>
      <c r="J356" s="14" t="str">
        <f t="array" ref="J356">IFERROR(INDEX([1]Companies!$Y:$Y,MATCH(B356,[1]Companies!$A:$A,0)),"")</f>
        <v>Marketplace</v>
      </c>
      <c r="K356" s="14" t="str">
        <f t="array" ref="K356">IFERROR(INDEX([1]Companies!$X:$X,MATCH(B356,[1]Companies!$A:$A,0)),"")</f>
        <v>Recruitment</v>
      </c>
      <c r="L356" s="14" t="str">
        <f>VLOOKUP(B356,[1]Companies!$A$1:$C$5243,1,FALSE)</f>
        <v>JobJack</v>
      </c>
      <c r="M356" s="15">
        <f t="shared" si="510"/>
        <v>0.9</v>
      </c>
      <c r="N356" s="10" t="str">
        <f t="shared" si="523"/>
        <v>43040JobJack8000</v>
      </c>
      <c r="O356" s="14" t="str">
        <f t="shared" si="524"/>
        <v/>
      </c>
      <c r="P356" s="14">
        <f t="shared" si="525"/>
        <v>1</v>
      </c>
      <c r="Q356" s="14">
        <f t="array" ref="Q356">IFERROR(INDEX([1]Companies!$D:$D,MATCH(B356,[1]Companies!$A:$A,0)),"")</f>
        <v>2018</v>
      </c>
      <c r="R356" s="17">
        <f t="shared" si="526"/>
        <v>58000</v>
      </c>
      <c r="S356" s="14">
        <f>VLOOKUP(I356,[1]Lookups!$V$3:$Y$197,4,FALSE)</f>
        <v>0</v>
      </c>
      <c r="T356" s="14" t="str">
        <f>VLOOKUP(E356,[1]Lookups!$H$3:$I$71,2,FALSE)</f>
        <v>2. Seed</v>
      </c>
      <c r="U356" s="14" t="str">
        <f>VLOOKUP(K356,[1]Lookups!$B$3:$C$142,2,FALSE)</f>
        <v>Employment, Talent &amp; Labour</v>
      </c>
      <c r="V356" s="14">
        <f t="shared" si="396"/>
        <v>2017</v>
      </c>
      <c r="W356" s="14">
        <f t="shared" si="397"/>
        <v>11</v>
      </c>
      <c r="X356" s="14">
        <f>VLOOKUP(W356,[1]Lookups!$P$3:$S$15,2,FALSE)</f>
        <v>4</v>
      </c>
      <c r="Y356" s="16">
        <f>VLOOKUP(W356,[1]Lookups!$P$3:$U$15,3,FALSE)</f>
        <v>2</v>
      </c>
      <c r="Z356" s="16">
        <f t="shared" si="398"/>
        <v>1</v>
      </c>
      <c r="AA356" s="16" t="str">
        <f t="shared" ca="1" si="530"/>
        <v>Arabian Venture Capital</v>
      </c>
      <c r="AB356" s="16">
        <f t="shared" si="530"/>
        <v>0</v>
      </c>
      <c r="AC356" s="16">
        <f t="shared" si="530"/>
        <v>0</v>
      </c>
      <c r="AD356" s="16">
        <f t="shared" si="530"/>
        <v>0</v>
      </c>
      <c r="AE356" s="16">
        <f t="shared" si="530"/>
        <v>0</v>
      </c>
      <c r="AF356" s="16">
        <f t="shared" si="530"/>
        <v>0</v>
      </c>
      <c r="AG356" s="16">
        <f t="shared" si="530"/>
        <v>0</v>
      </c>
      <c r="AH356" s="16">
        <f t="shared" si="530"/>
        <v>0</v>
      </c>
      <c r="AI356" s="16">
        <f t="shared" si="530"/>
        <v>0</v>
      </c>
      <c r="AJ356" s="16">
        <f t="shared" si="530"/>
        <v>0</v>
      </c>
      <c r="AK356" s="16">
        <f t="shared" si="530"/>
        <v>0</v>
      </c>
      <c r="AL356" s="16">
        <f t="shared" si="530"/>
        <v>0</v>
      </c>
      <c r="AM356" s="16">
        <f t="shared" si="530"/>
        <v>0</v>
      </c>
      <c r="AN356" s="16">
        <f t="shared" si="530"/>
        <v>0</v>
      </c>
      <c r="AO356" s="16">
        <f t="shared" si="530"/>
        <v>0</v>
      </c>
      <c r="AP356" s="10"/>
      <c r="AQ356" s="10"/>
      <c r="AR356" s="10"/>
      <c r="AS356" s="10" t="str">
        <f t="shared" ref="AS356" ca="1" si="537">IFERROR(__xludf.DUMMYFUNCTION("split(F334,"","",true,true)"),"Arabian Venture Capital")</f>
        <v>Arabian Venture Capital</v>
      </c>
      <c r="AT356" s="10"/>
      <c r="AU356" s="10"/>
      <c r="AV356" s="10"/>
      <c r="AW356" s="10"/>
      <c r="AX356" s="10"/>
      <c r="AY356" s="10"/>
      <c r="AZ356" s="10"/>
      <c r="BA356" s="10"/>
      <c r="BB356" s="10"/>
      <c r="BC356" s="10"/>
      <c r="BD356" s="10"/>
      <c r="BE356" s="10"/>
      <c r="BF356" s="10"/>
      <c r="BG356" s="10"/>
      <c r="BH356" s="10"/>
      <c r="BI356" s="10"/>
      <c r="BJ356" s="10"/>
      <c r="BK356" s="10"/>
      <c r="BM356" s="10"/>
    </row>
    <row r="357" spans="1:65" ht="12.75">
      <c r="A357" s="9">
        <v>43041</v>
      </c>
      <c r="B357" s="10" t="s">
        <v>604</v>
      </c>
      <c r="C357" s="19">
        <v>100000</v>
      </c>
      <c r="D357" s="12"/>
      <c r="E357" s="10" t="s">
        <v>55</v>
      </c>
      <c r="F357" s="10" t="s">
        <v>838</v>
      </c>
      <c r="G357" s="13" t="s">
        <v>839</v>
      </c>
      <c r="H357" s="14" t="str">
        <f t="array" ref="H357">IFERROR(INDEX([1]Companies!$G:$G,MATCH(B357,[1]Companies!$A:$A,0)),"")</f>
        <v>Rwanda</v>
      </c>
      <c r="I357" s="14" t="str">
        <f t="shared" si="509"/>
        <v>Rwanda</v>
      </c>
      <c r="J357" s="14" t="str">
        <f t="array" ref="J357">IFERROR(INDEX([1]Companies!$Y:$Y,MATCH(B357,[1]Companies!$A:$A,0)),"")</f>
        <v>Renewables &amp; Environment</v>
      </c>
      <c r="K357" s="14" t="str">
        <f t="array" ref="K357">IFERROR(INDEX([1]Companies!$X:$X,MATCH(B357,[1]Companies!$A:$A,0)),"")</f>
        <v>Energy &amp; Environment Resources</v>
      </c>
      <c r="L357" s="14" t="str">
        <f>VLOOKUP(B357,[1]Companies!$A$1:$C$5243,1,FALSE)</f>
        <v>OffGridBox</v>
      </c>
      <c r="M357" s="15">
        <f t="shared" si="510"/>
        <v>0.9</v>
      </c>
      <c r="N357" s="10" t="str">
        <f t="shared" si="523"/>
        <v>43041OffGridBox100000</v>
      </c>
      <c r="O357" s="14" t="str">
        <f t="shared" si="524"/>
        <v/>
      </c>
      <c r="P357" s="14">
        <f t="shared" si="525"/>
        <v>1</v>
      </c>
      <c r="Q357" s="14">
        <f t="array" ref="Q357">IFERROR(INDEX([1]Companies!$D:$D,MATCH(B357,[1]Companies!$A:$A,0)),"")</f>
        <v>2016</v>
      </c>
      <c r="R357" s="17">
        <f t="shared" si="526"/>
        <v>3705000</v>
      </c>
      <c r="S357" s="14">
        <f>VLOOKUP(I357,[1]Lookups!$V$3:$Y$197,4,FALSE)</f>
        <v>0</v>
      </c>
      <c r="T357" s="14" t="str">
        <f>VLOOKUP(E357,[1]Lookups!$H$3:$I$71,2,FALSE)</f>
        <v>1. Grant</v>
      </c>
      <c r="U357" s="14" t="e">
        <f>VLOOKUP(K357,[1]Lookups!$B$3:$C$142,2,FALSE)</f>
        <v>#N/A</v>
      </c>
      <c r="V357" s="14">
        <f t="shared" si="396"/>
        <v>2017</v>
      </c>
      <c r="W357" s="14">
        <f t="shared" si="397"/>
        <v>11</v>
      </c>
      <c r="X357" s="14">
        <f>VLOOKUP(W357,[1]Lookups!$P$3:$S$15,2,FALSE)</f>
        <v>4</v>
      </c>
      <c r="Y357" s="16">
        <f>VLOOKUP(W357,[1]Lookups!$P$3:$U$15,3,FALSE)</f>
        <v>2</v>
      </c>
      <c r="Z357" s="16">
        <f t="shared" si="398"/>
        <v>1</v>
      </c>
      <c r="AA357" s="16" t="str">
        <f t="shared" ca="1" si="530"/>
        <v>Arabian Venture Capital</v>
      </c>
      <c r="AB357" s="16">
        <f t="shared" si="530"/>
        <v>0</v>
      </c>
      <c r="AC357" s="16">
        <f t="shared" si="530"/>
        <v>0</v>
      </c>
      <c r="AD357" s="16">
        <f t="shared" si="530"/>
        <v>0</v>
      </c>
      <c r="AE357" s="16">
        <f t="shared" si="530"/>
        <v>0</v>
      </c>
      <c r="AF357" s="16">
        <f t="shared" si="530"/>
        <v>0</v>
      </c>
      <c r="AG357" s="16">
        <f t="shared" si="530"/>
        <v>0</v>
      </c>
      <c r="AH357" s="16">
        <f t="shared" si="530"/>
        <v>0</v>
      </c>
      <c r="AI357" s="16">
        <f t="shared" si="530"/>
        <v>0</v>
      </c>
      <c r="AJ357" s="16">
        <f t="shared" si="530"/>
        <v>0</v>
      </c>
      <c r="AK357" s="16">
        <f t="shared" si="530"/>
        <v>0</v>
      </c>
      <c r="AL357" s="16">
        <f t="shared" si="530"/>
        <v>0</v>
      </c>
      <c r="AM357" s="16">
        <f t="shared" si="530"/>
        <v>0</v>
      </c>
      <c r="AN357" s="16">
        <f t="shared" si="530"/>
        <v>0</v>
      </c>
      <c r="AO357" s="16">
        <f t="shared" si="530"/>
        <v>0</v>
      </c>
      <c r="AP357" s="10"/>
      <c r="AQ357" s="10"/>
      <c r="AR357" s="10"/>
      <c r="AS357" s="10" t="str">
        <f t="shared" ref="AS357" ca="1" si="538">IFERROR(__xludf.DUMMYFUNCTION("split(F334,"","",true,true)"),"Arabian Venture Capital")</f>
        <v>Arabian Venture Capital</v>
      </c>
      <c r="AT357" s="10"/>
      <c r="AU357" s="10"/>
      <c r="AV357" s="10"/>
      <c r="AW357" s="10"/>
      <c r="AX357" s="10"/>
      <c r="AY357" s="10"/>
      <c r="AZ357" s="10"/>
      <c r="BA357" s="10"/>
      <c r="BB357" s="10"/>
      <c r="BC357" s="10"/>
      <c r="BD357" s="10"/>
      <c r="BE357" s="10"/>
      <c r="BF357" s="10"/>
      <c r="BG357" s="10"/>
      <c r="BH357" s="10"/>
      <c r="BI357" s="10"/>
      <c r="BJ357" s="10"/>
      <c r="BK357" s="10"/>
      <c r="BM357" s="10"/>
    </row>
    <row r="358" spans="1:65" ht="12.75">
      <c r="A358" s="9">
        <v>43045</v>
      </c>
      <c r="B358" s="10" t="s">
        <v>178</v>
      </c>
      <c r="C358" s="11">
        <v>6000000</v>
      </c>
      <c r="D358" s="12"/>
      <c r="E358" s="10" t="s">
        <v>51</v>
      </c>
      <c r="F358" s="10" t="s">
        <v>840</v>
      </c>
      <c r="G358" s="13" t="s">
        <v>841</v>
      </c>
      <c r="H358" s="14"/>
      <c r="I358" s="14"/>
      <c r="J358" s="14"/>
      <c r="K358" s="14"/>
      <c r="L358" s="14"/>
      <c r="M358" s="15"/>
      <c r="N358" s="10"/>
      <c r="O358" s="14"/>
      <c r="P358" s="14"/>
      <c r="Q358" s="14"/>
      <c r="R358" s="14"/>
      <c r="S358" s="14"/>
      <c r="T358" s="14"/>
      <c r="U358" s="14"/>
      <c r="V358" s="14">
        <f t="shared" si="396"/>
        <v>2017</v>
      </c>
      <c r="W358" s="14">
        <f t="shared" si="397"/>
        <v>11</v>
      </c>
      <c r="X358" s="14">
        <f>VLOOKUP(W358,[1]Lookups!$P$3:$S$15,2,FALSE)</f>
        <v>4</v>
      </c>
      <c r="Y358" s="16">
        <f>VLOOKUP(W358,[1]Lookups!$P$3:$U$15,3,FALSE)</f>
        <v>2</v>
      </c>
      <c r="Z358" s="16">
        <f t="shared" si="398"/>
        <v>2</v>
      </c>
      <c r="AA358" s="16" t="str">
        <f t="shared" ca="1" si="530"/>
        <v>#REF!</v>
      </c>
      <c r="AB358" s="16">
        <f t="shared" si="530"/>
        <v>0</v>
      </c>
      <c r="AC358" s="16">
        <f t="shared" si="530"/>
        <v>0</v>
      </c>
      <c r="AD358" s="16">
        <f t="shared" si="530"/>
        <v>0</v>
      </c>
      <c r="AE358" s="16">
        <f t="shared" si="530"/>
        <v>0</v>
      </c>
      <c r="AF358" s="16">
        <f t="shared" si="530"/>
        <v>0</v>
      </c>
      <c r="AG358" s="16">
        <f t="shared" si="530"/>
        <v>0</v>
      </c>
      <c r="AH358" s="16">
        <f t="shared" si="530"/>
        <v>0</v>
      </c>
      <c r="AI358" s="16">
        <f t="shared" si="530"/>
        <v>0</v>
      </c>
      <c r="AJ358" s="16">
        <f t="shared" si="530"/>
        <v>0</v>
      </c>
      <c r="AK358" s="16">
        <f t="shared" si="530"/>
        <v>0</v>
      </c>
      <c r="AL358" s="16">
        <f t="shared" si="530"/>
        <v>0</v>
      </c>
      <c r="AM358" s="16">
        <f t="shared" si="530"/>
        <v>0</v>
      </c>
      <c r="AN358" s="16">
        <f t="shared" si="530"/>
        <v>0</v>
      </c>
      <c r="AO358" s="16">
        <f t="shared" si="530"/>
        <v>0</v>
      </c>
      <c r="AP358" s="10"/>
      <c r="AQ358" s="10"/>
      <c r="AR358" s="10"/>
      <c r="AS358" s="10" t="str">
        <f ca="1">IFERROR(__xludf.DUMMYFUNCTION("split(#REF!,"","",true,true)"),"#REF!")</f>
        <v>#REF!</v>
      </c>
      <c r="AT358" s="10"/>
      <c r="AU358" s="10"/>
      <c r="AV358" s="10"/>
      <c r="AW358" s="10"/>
      <c r="AX358" s="10"/>
      <c r="AY358" s="10"/>
      <c r="AZ358" s="10"/>
      <c r="BA358" s="10"/>
      <c r="BB358" s="10"/>
      <c r="BC358" s="10"/>
      <c r="BD358" s="10"/>
      <c r="BE358" s="10"/>
      <c r="BF358" s="10"/>
      <c r="BG358" s="10"/>
      <c r="BH358" s="10"/>
      <c r="BI358" s="10"/>
      <c r="BJ358" s="10"/>
      <c r="BK358" s="10"/>
      <c r="BM358" s="10"/>
    </row>
    <row r="359" spans="1:65" ht="12.75">
      <c r="A359" s="9">
        <v>43046</v>
      </c>
      <c r="B359" s="10" t="s">
        <v>166</v>
      </c>
      <c r="C359" s="11">
        <v>24000000</v>
      </c>
      <c r="D359" s="12"/>
      <c r="E359" s="10" t="s">
        <v>91</v>
      </c>
      <c r="F359" s="10" t="s">
        <v>842</v>
      </c>
      <c r="G359" s="13" t="s">
        <v>843</v>
      </c>
      <c r="H359" s="14" t="str">
        <f t="array" ref="H359">IFERROR(INDEX([1]Companies!$G:$G,MATCH(B359,[1]Companies!$A:$A,0)),"")</f>
        <v>South Africa</v>
      </c>
      <c r="I359" s="14" t="str">
        <f t="shared" ref="I359:I380" si="539">IF(LEN(TRIM(H359))-LEN(SUBSTITUTE(TRIM(H359),",","")) &gt; 0,TRIM(RIGHT(H359,LEN(H359)-FIND(",",H359))),H359)</f>
        <v>South Africa</v>
      </c>
      <c r="J359" s="14" t="str">
        <f t="array" ref="J359">IFERROR(INDEX([1]Companies!$Y:$Y,MATCH(B359,[1]Companies!$A:$A,0)),"")</f>
        <v>Technology, Mobile Money, Big Data, Digital Financial Services, Mobile Financial Services, Financial Technology</v>
      </c>
      <c r="K359" s="14" t="str">
        <f t="array" ref="K359">IFERROR(INDEX([1]Companies!$X:$X,MATCH(B359,[1]Companies!$A:$A,0)),"")</f>
        <v>Financial Services</v>
      </c>
      <c r="L359" s="14" t="str">
        <f>VLOOKUP(B359,[1]Companies!$A$1:$C$5243,1,FALSE)</f>
        <v>Jumo</v>
      </c>
      <c r="M359" s="15">
        <f t="shared" ref="M359:M380" si="540">COUNTA(B359:K359)/(COUNTBLANK(B359:K359) + COUNTA(B359:K359))</f>
        <v>0.9</v>
      </c>
      <c r="N359" s="10" t="str">
        <f t="shared" ref="N359:N380" si="541">CONCATENATE(A359,B359,C359)</f>
        <v>43046Jumo24000000</v>
      </c>
      <c r="O359" s="14" t="str">
        <f t="shared" ref="O359:O380" si="542">IF(A359 = "","",IF(COUNTIF(N:N,CONCATENATE(A359,B359,C359))&gt;1,"Duplicated",""))</f>
        <v/>
      </c>
      <c r="P359" s="14">
        <f t="shared" ref="P359:P380" si="543">IF(C359="Undisclosed",0,1)</f>
        <v>1</v>
      </c>
      <c r="Q359" s="14">
        <f t="array" ref="Q359">IFERROR(INDEX([1]Companies!$D:$D,MATCH(B359,[1]Companies!$A:$A,0)),"")</f>
        <v>2014</v>
      </c>
      <c r="R359" s="17">
        <f t="shared" ref="R359:R380" si="544">SUMIF(B:B,B359,C:C)</f>
        <v>91700000</v>
      </c>
      <c r="S359" s="14">
        <f>VLOOKUP(I359,[1]Lookups!$V$3:$Y$197,4,FALSE)</f>
        <v>0</v>
      </c>
      <c r="T359" s="14" t="str">
        <f>VLOOKUP(E359,[1]Lookups!$H$3:$I$71,2,FALSE)</f>
        <v>5. Debt Financing</v>
      </c>
      <c r="U359" s="14" t="str">
        <f>VLOOKUP(K359,[1]Lookups!$B$3:$C$142,2,FALSE)</f>
        <v>Financial Services</v>
      </c>
      <c r="V359" s="14">
        <f t="shared" si="396"/>
        <v>2017</v>
      </c>
      <c r="W359" s="14">
        <f t="shared" si="397"/>
        <v>11</v>
      </c>
      <c r="X359" s="14">
        <f>VLOOKUP(W359,[1]Lookups!$P$3:$S$15,2,FALSE)</f>
        <v>4</v>
      </c>
      <c r="Y359" s="16">
        <f>VLOOKUP(W359,[1]Lookups!$P$3:$U$15,3,FALSE)</f>
        <v>2</v>
      </c>
      <c r="Z359" s="16">
        <f t="shared" si="398"/>
        <v>1</v>
      </c>
      <c r="AA359" s="16" t="str">
        <f t="shared" ca="1" si="530"/>
        <v>Finnfund (Finnish Fund for Industrial Cooperation Ltd.)</v>
      </c>
      <c r="AB359" s="16">
        <f t="shared" si="530"/>
        <v>0</v>
      </c>
      <c r="AC359" s="16">
        <f t="shared" si="530"/>
        <v>0</v>
      </c>
      <c r="AD359" s="16">
        <f t="shared" si="530"/>
        <v>0</v>
      </c>
      <c r="AE359" s="16">
        <f t="shared" si="530"/>
        <v>0</v>
      </c>
      <c r="AF359" s="16">
        <f t="shared" si="530"/>
        <v>0</v>
      </c>
      <c r="AG359" s="16">
        <f t="shared" si="530"/>
        <v>0</v>
      </c>
      <c r="AH359" s="16">
        <f t="shared" si="530"/>
        <v>0</v>
      </c>
      <c r="AI359" s="16">
        <f t="shared" si="530"/>
        <v>0</v>
      </c>
      <c r="AJ359" s="16">
        <f t="shared" si="530"/>
        <v>0</v>
      </c>
      <c r="AK359" s="16">
        <f t="shared" si="530"/>
        <v>0</v>
      </c>
      <c r="AL359" s="16">
        <f t="shared" si="530"/>
        <v>0</v>
      </c>
      <c r="AM359" s="16">
        <f t="shared" si="530"/>
        <v>0</v>
      </c>
      <c r="AN359" s="16">
        <f t="shared" si="530"/>
        <v>0</v>
      </c>
      <c r="AO359" s="16">
        <f t="shared" si="530"/>
        <v>0</v>
      </c>
      <c r="AP359" s="10"/>
      <c r="AQ359" s="10"/>
      <c r="AR359" s="10"/>
      <c r="AS359" s="10" t="str">
        <f t="shared" ref="AS359" ca="1" si="545">IFERROR(__xludf.DUMMYFUNCTION("split(F359,"","",true,true)"),"Finnfund (Finnish Fund for Industrial Cooperation Ltd.)")</f>
        <v>Finnfund (Finnish Fund for Industrial Cooperation Ltd.)</v>
      </c>
      <c r="AT359" s="10"/>
      <c r="AU359" s="10"/>
      <c r="AV359" s="10"/>
      <c r="AW359" s="10"/>
      <c r="AX359" s="10"/>
      <c r="AY359" s="10"/>
      <c r="AZ359" s="10"/>
      <c r="BA359" s="10"/>
      <c r="BB359" s="10"/>
      <c r="BC359" s="10"/>
      <c r="BD359" s="10"/>
      <c r="BE359" s="10"/>
      <c r="BF359" s="10"/>
      <c r="BG359" s="10"/>
      <c r="BH359" s="10"/>
      <c r="BI359" s="10"/>
      <c r="BJ359" s="10"/>
      <c r="BK359" s="10"/>
      <c r="BM359" s="10"/>
    </row>
    <row r="360" spans="1:65" ht="12.75">
      <c r="A360" s="18">
        <v>43049</v>
      </c>
      <c r="B360" s="14" t="s">
        <v>219</v>
      </c>
      <c r="C360" s="19">
        <v>40000000</v>
      </c>
      <c r="D360" s="19"/>
      <c r="E360" s="14" t="s">
        <v>84</v>
      </c>
      <c r="F360" s="14" t="s">
        <v>844</v>
      </c>
      <c r="G360" s="21" t="s">
        <v>845</v>
      </c>
      <c r="H360" s="14" t="str">
        <f t="array" ref="H360">IFERROR(INDEX([1]Companies!$G:$G,MATCH(B360,[1]Companies!$A:$A,0)),"")</f>
        <v>United States</v>
      </c>
      <c r="I360" s="14" t="str">
        <f t="shared" si="539"/>
        <v>United States</v>
      </c>
      <c r="J360" s="14" t="str">
        <f t="array" ref="J360">IFERROR(INDEX([1]Companies!$Y:$Y,MATCH(B360,[1]Companies!$A:$A,0)),"")</f>
        <v>Edtech, BPO, Recruitment, Software, Training</v>
      </c>
      <c r="K360" s="14" t="str">
        <f t="array" ref="K360">IFERROR(INDEX([1]Companies!$X:$X,MATCH(B360,[1]Companies!$A:$A,0)),"")</f>
        <v>Commercial &amp; Professional Services</v>
      </c>
      <c r="L360" s="14" t="str">
        <f>VLOOKUP(B360,[1]Companies!$A$1:$C$5243,1,FALSE)</f>
        <v>Andela</v>
      </c>
      <c r="M360" s="15">
        <f t="shared" si="540"/>
        <v>0.9</v>
      </c>
      <c r="N360" s="10" t="str">
        <f t="shared" si="541"/>
        <v>43049Andela40000000</v>
      </c>
      <c r="O360" s="14" t="str">
        <f t="shared" si="542"/>
        <v/>
      </c>
      <c r="P360" s="14">
        <f t="shared" si="543"/>
        <v>1</v>
      </c>
      <c r="Q360" s="14">
        <f t="array" ref="Q360">IFERROR(INDEX([1]Companies!$D:$D,MATCH(B360,[1]Companies!$A:$A,0)),"")</f>
        <v>2014</v>
      </c>
      <c r="R360" s="17">
        <f t="shared" si="544"/>
        <v>181000000</v>
      </c>
      <c r="S360" s="14" t="e">
        <f>VLOOKUP(I360,[1]Lookups!$V$3:$Y$197,4,FALSE)</f>
        <v>#N/A</v>
      </c>
      <c r="T360" s="14" t="str">
        <f>VLOOKUP(E360,[1]Lookups!$H$3:$I$71,2,FALSE)</f>
        <v>4. Late Venture</v>
      </c>
      <c r="U360" s="14" t="str">
        <f>VLOOKUP(K360,[1]Lookups!$B$3:$C$142,2,FALSE)</f>
        <v>Other Technologies &amp; Information Technology</v>
      </c>
      <c r="V360" s="14">
        <f t="shared" si="396"/>
        <v>2017</v>
      </c>
      <c r="W360" s="14">
        <f t="shared" si="397"/>
        <v>11</v>
      </c>
      <c r="X360" s="14">
        <f>VLOOKUP(W360,[1]Lookups!$P$3:$S$15,2,FALSE)</f>
        <v>4</v>
      </c>
      <c r="Y360" s="16">
        <f>VLOOKUP(W360,[1]Lookups!$P$3:$U$15,3,FALSE)</f>
        <v>2</v>
      </c>
      <c r="Z360" s="16">
        <f t="shared" si="398"/>
        <v>9</v>
      </c>
      <c r="AA360" s="16" t="str">
        <f t="shared" ca="1" si="530"/>
        <v>Finnfund (Finnish Fund for Industrial Cooperation Ltd.)</v>
      </c>
      <c r="AB360" s="16" t="str">
        <f t="shared" ca="1" si="530"/>
        <v xml:space="preserve"> TLcom Capital Partners</v>
      </c>
      <c r="AC360" s="16" t="str">
        <f t="shared" ca="1" si="530"/>
        <v xml:space="preserve"> Salesforce Ventures</v>
      </c>
      <c r="AD360" s="16" t="str">
        <f t="shared" ca="1" si="530"/>
        <v xml:space="preserve"> Golden Palm Investments</v>
      </c>
      <c r="AE360" s="16" t="str">
        <f t="shared" ca="1" si="530"/>
        <v xml:space="preserve"> GV</v>
      </c>
      <c r="AF360" s="16" t="str">
        <f t="shared" ca="1" si="530"/>
        <v xml:space="preserve"> DBL Partners</v>
      </c>
      <c r="AG360" s="16" t="str">
        <f t="shared" ca="1" si="530"/>
        <v xml:space="preserve"> Chan Zuckerberg Initiative</v>
      </c>
      <c r="AH360" s="16" t="str">
        <f t="shared" ca="1" si="530"/>
        <v xml:space="preserve"> Aera VC</v>
      </c>
      <c r="AI360" s="16" t="str">
        <f t="shared" ca="1" si="530"/>
        <v xml:space="preserve"> Amplo</v>
      </c>
      <c r="AJ360" s="16">
        <f t="shared" si="530"/>
        <v>0</v>
      </c>
      <c r="AK360" s="16">
        <f t="shared" si="530"/>
        <v>0</v>
      </c>
      <c r="AL360" s="16">
        <f t="shared" si="530"/>
        <v>0</v>
      </c>
      <c r="AM360" s="16">
        <f t="shared" si="530"/>
        <v>0</v>
      </c>
      <c r="AN360" s="16">
        <f t="shared" si="530"/>
        <v>0</v>
      </c>
      <c r="AO360" s="16">
        <f t="shared" si="530"/>
        <v>0</v>
      </c>
      <c r="AP360" s="10"/>
      <c r="AQ360" s="10"/>
      <c r="AR360" s="10"/>
      <c r="AS360" s="10" t="str">
        <f t="shared" ref="AS360" ca="1" si="546">IFERROR(__xludf.DUMMYFUNCTION("split(F359,"","",true,true)"),"Finnfund (Finnish Fund for Industrial Cooperation Ltd.)")</f>
        <v>Finnfund (Finnish Fund for Industrial Cooperation Ltd.)</v>
      </c>
      <c r="AT360" s="10" t="str">
        <f ca="1">IFERROR(__xludf.DUMMYFUNCTION("""COMPUTED_VALUE""")," TLcom Capital Partners")</f>
        <v xml:space="preserve"> TLcom Capital Partners</v>
      </c>
      <c r="AU360" s="10" t="str">
        <f ca="1">IFERROR(__xludf.DUMMYFUNCTION("""COMPUTED_VALUE""")," Salesforce Ventures")</f>
        <v xml:space="preserve"> Salesforce Ventures</v>
      </c>
      <c r="AV360" s="10" t="str">
        <f ca="1">IFERROR(__xludf.DUMMYFUNCTION("""COMPUTED_VALUE""")," Golden Palm Investments")</f>
        <v xml:space="preserve"> Golden Palm Investments</v>
      </c>
      <c r="AW360" s="10" t="str">
        <f ca="1">IFERROR(__xludf.DUMMYFUNCTION("""COMPUTED_VALUE""")," GV")</f>
        <v xml:space="preserve"> GV</v>
      </c>
      <c r="AX360" s="10" t="str">
        <f ca="1">IFERROR(__xludf.DUMMYFUNCTION("""COMPUTED_VALUE""")," DBL Partners")</f>
        <v xml:space="preserve"> DBL Partners</v>
      </c>
      <c r="AY360" s="10" t="str">
        <f ca="1">IFERROR(__xludf.DUMMYFUNCTION("""COMPUTED_VALUE""")," Chan Zuckerberg Initiative")</f>
        <v xml:space="preserve"> Chan Zuckerberg Initiative</v>
      </c>
      <c r="AZ360" s="10" t="str">
        <f ca="1">IFERROR(__xludf.DUMMYFUNCTION("""COMPUTED_VALUE""")," Aera VC")</f>
        <v xml:space="preserve"> Aera VC</v>
      </c>
      <c r="BA360" s="10" t="str">
        <f ca="1">IFERROR(__xludf.DUMMYFUNCTION("""COMPUTED_VALUE""")," Amplo")</f>
        <v xml:space="preserve"> Amplo</v>
      </c>
      <c r="BB360" s="10"/>
      <c r="BC360" s="10"/>
      <c r="BD360" s="10"/>
      <c r="BE360" s="10"/>
      <c r="BF360" s="10"/>
      <c r="BG360" s="10"/>
      <c r="BH360" s="10"/>
      <c r="BI360" s="10"/>
      <c r="BJ360" s="10"/>
      <c r="BK360" s="10"/>
      <c r="BM360" s="10"/>
    </row>
    <row r="361" spans="1:65" ht="12.75">
      <c r="A361" s="9">
        <v>43050</v>
      </c>
      <c r="B361" s="10" t="s">
        <v>154</v>
      </c>
      <c r="C361" s="11" t="s">
        <v>49</v>
      </c>
      <c r="D361" s="12"/>
      <c r="E361" s="10" t="s">
        <v>328</v>
      </c>
      <c r="F361" s="10" t="s">
        <v>846</v>
      </c>
      <c r="G361" s="13" t="s">
        <v>847</v>
      </c>
      <c r="H361" s="14" t="str">
        <f t="array" ref="H361">IFERROR(INDEX([1]Companies!$G:$G,MATCH(B361,[1]Companies!$A:$A,0)),"")</f>
        <v>Egypt</v>
      </c>
      <c r="I361" s="14" t="str">
        <f t="shared" si="539"/>
        <v>Egypt</v>
      </c>
      <c r="J361" s="14" t="str">
        <f t="array" ref="J361">IFERROR(INDEX([1]Companies!$Y:$Y,MATCH(B361,[1]Companies!$A:$A,0)),"")</f>
        <v>iOS, Mobile, Software</v>
      </c>
      <c r="K361" s="14" t="str">
        <f t="array" ref="K361">IFERROR(INDEX([1]Companies!$X:$X,MATCH(B361,[1]Companies!$A:$A,0)),"")</f>
        <v>Software</v>
      </c>
      <c r="L361" s="14" t="str">
        <f>VLOOKUP(B361,[1]Companies!$A$1:$C$5243,1,FALSE)</f>
        <v>Instabug</v>
      </c>
      <c r="M361" s="15">
        <f t="shared" si="540"/>
        <v>0.9</v>
      </c>
      <c r="N361" s="10" t="str">
        <f t="shared" si="541"/>
        <v>43050InstabugUndisclosed</v>
      </c>
      <c r="O361" s="14" t="str">
        <f t="shared" si="542"/>
        <v/>
      </c>
      <c r="P361" s="14">
        <f t="shared" si="543"/>
        <v>0</v>
      </c>
      <c r="Q361" s="14">
        <f t="array" ref="Q361">IFERROR(INDEX([1]Companies!$D:$D,MATCH(B361,[1]Companies!$A:$A,0)),"")</f>
        <v>2013</v>
      </c>
      <c r="R361" s="17">
        <f t="shared" si="544"/>
        <v>2120000</v>
      </c>
      <c r="S361" s="14">
        <f>VLOOKUP(I361,[1]Lookups!$V$3:$Y$197,4,FALSE)</f>
        <v>0</v>
      </c>
      <c r="T361" s="14" t="str">
        <f>VLOOKUP(E361,[1]Lookups!$H$3:$I$71,2,FALSE)</f>
        <v>4. Late Venture</v>
      </c>
      <c r="U361" s="14" t="str">
        <f>VLOOKUP(K361,[1]Lookups!$B$3:$C$142,2,FALSE)</f>
        <v>Other Technologies &amp; Information Technology</v>
      </c>
      <c r="V361" s="14">
        <f t="shared" si="396"/>
        <v>2017</v>
      </c>
      <c r="W361" s="14">
        <f t="shared" si="397"/>
        <v>11</v>
      </c>
      <c r="X361" s="14">
        <f>VLOOKUP(W361,[1]Lookups!$P$3:$S$15,2,FALSE)</f>
        <v>4</v>
      </c>
      <c r="Y361" s="16">
        <f>VLOOKUP(W361,[1]Lookups!$P$3:$U$15,3,FALSE)</f>
        <v>2</v>
      </c>
      <c r="Z361" s="16">
        <f t="shared" si="398"/>
        <v>1</v>
      </c>
      <c r="AA361" s="16" t="str">
        <f t="shared" ca="1" si="530"/>
        <v>Finnfund (Finnish Fund for Industrial Cooperation Ltd.)</v>
      </c>
      <c r="AB361" s="16">
        <f t="shared" si="530"/>
        <v>0</v>
      </c>
      <c r="AC361" s="16">
        <f t="shared" si="530"/>
        <v>0</v>
      </c>
      <c r="AD361" s="16">
        <f t="shared" si="530"/>
        <v>0</v>
      </c>
      <c r="AE361" s="16">
        <f t="shared" si="530"/>
        <v>0</v>
      </c>
      <c r="AF361" s="16">
        <f t="shared" si="530"/>
        <v>0</v>
      </c>
      <c r="AG361" s="16">
        <f t="shared" si="530"/>
        <v>0</v>
      </c>
      <c r="AH361" s="16">
        <f t="shared" si="530"/>
        <v>0</v>
      </c>
      <c r="AI361" s="16">
        <f t="shared" si="530"/>
        <v>0</v>
      </c>
      <c r="AJ361" s="16">
        <f t="shared" si="530"/>
        <v>0</v>
      </c>
      <c r="AK361" s="16">
        <f t="shared" si="530"/>
        <v>0</v>
      </c>
      <c r="AL361" s="16">
        <f t="shared" si="530"/>
        <v>0</v>
      </c>
      <c r="AM361" s="16">
        <f t="shared" si="530"/>
        <v>0</v>
      </c>
      <c r="AN361" s="16">
        <f t="shared" si="530"/>
        <v>0</v>
      </c>
      <c r="AO361" s="16">
        <f t="shared" si="530"/>
        <v>0</v>
      </c>
      <c r="AP361" s="10"/>
      <c r="AQ361" s="10"/>
      <c r="AR361" s="10"/>
      <c r="AS361" s="10" t="str">
        <f t="shared" ref="AS361" ca="1" si="547">IFERROR(__xludf.DUMMYFUNCTION("split(F359,"","",true,true)"),"Finnfund (Finnish Fund for Industrial Cooperation Ltd.)")</f>
        <v>Finnfund (Finnish Fund for Industrial Cooperation Ltd.)</v>
      </c>
      <c r="AT361" s="10"/>
      <c r="AU361" s="10"/>
      <c r="AV361" s="10"/>
      <c r="AW361" s="10"/>
      <c r="AX361" s="10"/>
      <c r="AY361" s="10"/>
      <c r="AZ361" s="10"/>
      <c r="BA361" s="10"/>
      <c r="BB361" s="10"/>
      <c r="BC361" s="10"/>
      <c r="BD361" s="10"/>
      <c r="BE361" s="10"/>
      <c r="BF361" s="10"/>
      <c r="BG361" s="10"/>
      <c r="BH361" s="10"/>
      <c r="BI361" s="10"/>
      <c r="BJ361" s="10"/>
      <c r="BK361" s="10"/>
      <c r="BM361" s="10"/>
    </row>
    <row r="362" spans="1:65" ht="12.75">
      <c r="A362" s="9">
        <v>43050</v>
      </c>
      <c r="B362" s="10" t="s">
        <v>166</v>
      </c>
      <c r="C362" s="11">
        <v>150000</v>
      </c>
      <c r="D362" s="12"/>
      <c r="E362" s="10" t="s">
        <v>55</v>
      </c>
      <c r="F362" s="10" t="s">
        <v>848</v>
      </c>
      <c r="G362" s="13" t="s">
        <v>849</v>
      </c>
      <c r="H362" s="14" t="str">
        <f t="array" ref="H362">IFERROR(INDEX([1]Companies!$G:$G,MATCH(B362,[1]Companies!$A:$A,0)),"")</f>
        <v>South Africa</v>
      </c>
      <c r="I362" s="14" t="str">
        <f t="shared" si="539"/>
        <v>South Africa</v>
      </c>
      <c r="J362" s="14" t="str">
        <f t="array" ref="J362">IFERROR(INDEX([1]Companies!$Y:$Y,MATCH(B362,[1]Companies!$A:$A,0)),"")</f>
        <v>Technology, Mobile Money, Big Data, Digital Financial Services, Mobile Financial Services, Financial Technology</v>
      </c>
      <c r="K362" s="14" t="str">
        <f t="array" ref="K362">IFERROR(INDEX([1]Companies!$X:$X,MATCH(B362,[1]Companies!$A:$A,0)),"")</f>
        <v>Financial Services</v>
      </c>
      <c r="L362" s="14" t="str">
        <f>VLOOKUP(B362,[1]Companies!$A$1:$C$5243,1,FALSE)</f>
        <v>Jumo</v>
      </c>
      <c r="M362" s="15">
        <f t="shared" si="540"/>
        <v>0.9</v>
      </c>
      <c r="N362" s="10" t="str">
        <f t="shared" si="541"/>
        <v>43050Jumo150000</v>
      </c>
      <c r="O362" s="14" t="str">
        <f t="shared" si="542"/>
        <v/>
      </c>
      <c r="P362" s="14">
        <f t="shared" si="543"/>
        <v>1</v>
      </c>
      <c r="Q362" s="14">
        <f t="array" ref="Q362">IFERROR(INDEX([1]Companies!$D:$D,MATCH(B362,[1]Companies!$A:$A,0)),"")</f>
        <v>2014</v>
      </c>
      <c r="R362" s="17">
        <f t="shared" si="544"/>
        <v>91700000</v>
      </c>
      <c r="S362" s="14">
        <f>VLOOKUP(I362,[1]Lookups!$V$3:$Y$197,4,FALSE)</f>
        <v>0</v>
      </c>
      <c r="T362" s="14" t="str">
        <f>VLOOKUP(E362,[1]Lookups!$H$3:$I$71,2,FALSE)</f>
        <v>1. Grant</v>
      </c>
      <c r="U362" s="14" t="str">
        <f>VLOOKUP(K362,[1]Lookups!$B$3:$C$142,2,FALSE)</f>
        <v>Financial Services</v>
      </c>
      <c r="V362" s="14">
        <f t="shared" si="396"/>
        <v>2017</v>
      </c>
      <c r="W362" s="14">
        <f t="shared" si="397"/>
        <v>11</v>
      </c>
      <c r="X362" s="14">
        <f>VLOOKUP(W362,[1]Lookups!$P$3:$S$15,2,FALSE)</f>
        <v>4</v>
      </c>
      <c r="Y362" s="16">
        <f>VLOOKUP(W362,[1]Lookups!$P$3:$U$15,3,FALSE)</f>
        <v>2</v>
      </c>
      <c r="Z362" s="16">
        <f t="shared" si="398"/>
        <v>1</v>
      </c>
      <c r="AA362" s="16" t="str">
        <f t="shared" ca="1" si="530"/>
        <v>Finnfund (Finnish Fund for Industrial Cooperation Ltd.)</v>
      </c>
      <c r="AB362" s="16">
        <f t="shared" si="530"/>
        <v>0</v>
      </c>
      <c r="AC362" s="16">
        <f t="shared" si="530"/>
        <v>0</v>
      </c>
      <c r="AD362" s="16">
        <f t="shared" si="530"/>
        <v>0</v>
      </c>
      <c r="AE362" s="16">
        <f t="shared" si="530"/>
        <v>0</v>
      </c>
      <c r="AF362" s="16">
        <f t="shared" si="530"/>
        <v>0</v>
      </c>
      <c r="AG362" s="16">
        <f t="shared" si="530"/>
        <v>0</v>
      </c>
      <c r="AH362" s="16">
        <f t="shared" si="530"/>
        <v>0</v>
      </c>
      <c r="AI362" s="16">
        <f t="shared" si="530"/>
        <v>0</v>
      </c>
      <c r="AJ362" s="16">
        <f t="shared" si="530"/>
        <v>0</v>
      </c>
      <c r="AK362" s="16">
        <f t="shared" si="530"/>
        <v>0</v>
      </c>
      <c r="AL362" s="16">
        <f t="shared" si="530"/>
        <v>0</v>
      </c>
      <c r="AM362" s="16">
        <f t="shared" si="530"/>
        <v>0</v>
      </c>
      <c r="AN362" s="16">
        <f t="shared" si="530"/>
        <v>0</v>
      </c>
      <c r="AO362" s="16">
        <f t="shared" si="530"/>
        <v>0</v>
      </c>
      <c r="AP362" s="10"/>
      <c r="AQ362" s="10"/>
      <c r="AR362" s="10"/>
      <c r="AS362" s="10" t="str">
        <f t="shared" ref="AS362" ca="1" si="548">IFERROR(__xludf.DUMMYFUNCTION("split(F359,"","",true,true)"),"Finnfund (Finnish Fund for Industrial Cooperation Ltd.)")</f>
        <v>Finnfund (Finnish Fund for Industrial Cooperation Ltd.)</v>
      </c>
      <c r="AT362" s="10"/>
      <c r="AU362" s="10"/>
      <c r="AV362" s="10"/>
      <c r="AW362" s="10"/>
      <c r="AX362" s="10"/>
      <c r="AY362" s="10"/>
      <c r="AZ362" s="10"/>
      <c r="BA362" s="10"/>
      <c r="BB362" s="10"/>
      <c r="BC362" s="10"/>
      <c r="BD362" s="10"/>
      <c r="BE362" s="10"/>
      <c r="BF362" s="10"/>
      <c r="BG362" s="10"/>
      <c r="BH362" s="10"/>
      <c r="BI362" s="10"/>
      <c r="BJ362" s="10"/>
      <c r="BK362" s="10"/>
      <c r="BM362" s="10"/>
    </row>
    <row r="363" spans="1:65" ht="12.75">
      <c r="A363" s="18">
        <v>43054</v>
      </c>
      <c r="B363" s="14" t="s">
        <v>265</v>
      </c>
      <c r="C363" s="19">
        <v>3000000</v>
      </c>
      <c r="D363" s="22"/>
      <c r="E363" s="14" t="s">
        <v>45</v>
      </c>
      <c r="F363" s="14" t="s">
        <v>850</v>
      </c>
      <c r="G363" s="21" t="s">
        <v>851</v>
      </c>
      <c r="H363" s="14" t="str">
        <f t="array" ref="H363">IFERROR(INDEX([1]Companies!$G:$G,MATCH(B363,[1]Companies!$A:$A,0)),"")</f>
        <v>Nigeria</v>
      </c>
      <c r="I363" s="14" t="str">
        <f t="shared" si="539"/>
        <v>Nigeria</v>
      </c>
      <c r="J363" s="14" t="str">
        <f t="array" ref="J363">IFERROR(INDEX([1]Companies!$Y:$Y,MATCH(B363,[1]Companies!$A:$A,0)),"")</f>
        <v>Company Information, Data Analysis, Business Development, Investment Research, Company Profiling, News &amp; Analysis, Due Diligence, Africa, Market Research, private equity, and African Data</v>
      </c>
      <c r="K363" s="14" t="str">
        <f t="array" ref="K363">IFERROR(INDEX([1]Companies!$X:$X,MATCH(B363,[1]Companies!$A:$A,0)),"")</f>
        <v>Media &amp; Entertainment</v>
      </c>
      <c r="L363" s="14" t="str">
        <f>VLOOKUP(B363,[1]Companies!$A$1:$C$5243,1,FALSE)</f>
        <v>Asoko Insight</v>
      </c>
      <c r="M363" s="15">
        <f t="shared" si="540"/>
        <v>0.9</v>
      </c>
      <c r="N363" s="10" t="str">
        <f t="shared" si="541"/>
        <v>43054Asoko Insight3000000</v>
      </c>
      <c r="O363" s="14" t="str">
        <f t="shared" si="542"/>
        <v/>
      </c>
      <c r="P363" s="14">
        <f t="shared" si="543"/>
        <v>1</v>
      </c>
      <c r="Q363" s="14">
        <f t="array" ref="Q363">IFERROR(INDEX([1]Companies!$D:$D,MATCH(B363,[1]Companies!$A:$A,0)),"")</f>
        <v>2014</v>
      </c>
      <c r="R363" s="17">
        <f t="shared" si="544"/>
        <v>8000000</v>
      </c>
      <c r="S363" s="14">
        <f>VLOOKUP(I363,[1]Lookups!$V$3:$Y$197,4,FALSE)</f>
        <v>0</v>
      </c>
      <c r="T363" s="14" t="str">
        <f>VLOOKUP(E363,[1]Lookups!$H$3:$I$71,2,FALSE)</f>
        <v>2. Seed</v>
      </c>
      <c r="U363" s="14" t="str">
        <f>VLOOKUP(K363,[1]Lookups!$B$3:$C$142,2,FALSE)</f>
        <v>Media &amp; Entertainment</v>
      </c>
      <c r="V363" s="14">
        <f t="shared" si="396"/>
        <v>2017</v>
      </c>
      <c r="W363" s="14">
        <f t="shared" si="397"/>
        <v>11</v>
      </c>
      <c r="X363" s="14">
        <f>VLOOKUP(W363,[1]Lookups!$P$3:$S$15,2,FALSE)</f>
        <v>4</v>
      </c>
      <c r="Y363" s="16">
        <f>VLOOKUP(W363,[1]Lookups!$P$3:$U$15,3,FALSE)</f>
        <v>2</v>
      </c>
      <c r="Z363" s="16">
        <f t="shared" si="398"/>
        <v>1</v>
      </c>
      <c r="AA363" s="16" t="str">
        <f t="shared" ca="1" si="530"/>
        <v>Finnfund (Finnish Fund for Industrial Cooperation Ltd.)</v>
      </c>
      <c r="AB363" s="16">
        <f t="shared" si="530"/>
        <v>0</v>
      </c>
      <c r="AC363" s="16">
        <f t="shared" si="530"/>
        <v>0</v>
      </c>
      <c r="AD363" s="16">
        <f t="shared" si="530"/>
        <v>0</v>
      </c>
      <c r="AE363" s="16">
        <f t="shared" si="530"/>
        <v>0</v>
      </c>
      <c r="AF363" s="16">
        <f t="shared" si="530"/>
        <v>0</v>
      </c>
      <c r="AG363" s="16">
        <f t="shared" si="530"/>
        <v>0</v>
      </c>
      <c r="AH363" s="16">
        <f t="shared" si="530"/>
        <v>0</v>
      </c>
      <c r="AI363" s="16">
        <f t="shared" si="530"/>
        <v>0</v>
      </c>
      <c r="AJ363" s="16">
        <f t="shared" si="530"/>
        <v>0</v>
      </c>
      <c r="AK363" s="16">
        <f t="shared" si="530"/>
        <v>0</v>
      </c>
      <c r="AL363" s="16">
        <f t="shared" si="530"/>
        <v>0</v>
      </c>
      <c r="AM363" s="16">
        <f t="shared" si="530"/>
        <v>0</v>
      </c>
      <c r="AN363" s="16">
        <f t="shared" si="530"/>
        <v>0</v>
      </c>
      <c r="AO363" s="16">
        <f t="shared" si="530"/>
        <v>0</v>
      </c>
      <c r="AP363" s="10"/>
      <c r="AQ363" s="10"/>
      <c r="AR363" s="10"/>
      <c r="AS363" s="10" t="str">
        <f t="shared" ref="AS363" ca="1" si="549">IFERROR(__xludf.DUMMYFUNCTION("split(F359,"","",true,true)"),"Finnfund (Finnish Fund for Industrial Cooperation Ltd.)")</f>
        <v>Finnfund (Finnish Fund for Industrial Cooperation Ltd.)</v>
      </c>
      <c r="AT363" s="10"/>
      <c r="AU363" s="10"/>
      <c r="AV363" s="10"/>
      <c r="AW363" s="10"/>
      <c r="AX363" s="10"/>
      <c r="AY363" s="10"/>
      <c r="AZ363" s="10"/>
      <c r="BA363" s="10"/>
      <c r="BB363" s="10"/>
      <c r="BC363" s="10"/>
      <c r="BD363" s="10"/>
      <c r="BE363" s="10"/>
      <c r="BF363" s="10"/>
      <c r="BG363" s="10"/>
      <c r="BH363" s="10"/>
      <c r="BI363" s="10"/>
      <c r="BJ363" s="10"/>
      <c r="BK363" s="10"/>
      <c r="BM363" s="10"/>
    </row>
    <row r="364" spans="1:65" ht="12.75">
      <c r="A364" s="9">
        <v>43055</v>
      </c>
      <c r="B364" s="10" t="s">
        <v>145</v>
      </c>
      <c r="C364" s="11">
        <v>2000000</v>
      </c>
      <c r="D364" s="12"/>
      <c r="E364" s="10" t="s">
        <v>69</v>
      </c>
      <c r="F364" s="10" t="s">
        <v>852</v>
      </c>
      <c r="G364" s="13" t="s">
        <v>147</v>
      </c>
      <c r="H364" s="14" t="str">
        <f t="array" ref="H364">IFERROR(INDEX([1]Companies!$G:$G,MATCH(B364,[1]Companies!$A:$A,0)),"")</f>
        <v>Egypt</v>
      </c>
      <c r="I364" s="14" t="str">
        <f t="shared" si="539"/>
        <v>Egypt</v>
      </c>
      <c r="J364" s="14" t="str">
        <f t="array" ref="J364">IFERROR(INDEX([1]Companies!$Y:$Y,MATCH(B364,[1]Companies!$A:$A,0)),"")</f>
        <v>Event Management, Event Apps, Conferences</v>
      </c>
      <c r="K364" s="14" t="str">
        <f t="array" ref="K364">IFERROR(INDEX([1]Companies!$X:$X,MATCH(B364,[1]Companies!$A:$A,0)),"")</f>
        <v>Commercial &amp; Professional Services</v>
      </c>
      <c r="L364" s="14" t="str">
        <f>VLOOKUP(B364,[1]Companies!$A$1:$C$5243,1,FALSE)</f>
        <v>Eventtus</v>
      </c>
      <c r="M364" s="15">
        <f t="shared" si="540"/>
        <v>0.9</v>
      </c>
      <c r="N364" s="10" t="str">
        <f t="shared" si="541"/>
        <v>43055Eventtus2000000</v>
      </c>
      <c r="O364" s="14" t="str">
        <f t="shared" si="542"/>
        <v/>
      </c>
      <c r="P364" s="14">
        <f t="shared" si="543"/>
        <v>1</v>
      </c>
      <c r="Q364" s="14">
        <f t="array" ref="Q364">IFERROR(INDEX([1]Companies!$D:$D,MATCH(B364,[1]Companies!$A:$A,0)),"")</f>
        <v>2012</v>
      </c>
      <c r="R364" s="17">
        <f t="shared" si="544"/>
        <v>2625000</v>
      </c>
      <c r="S364" s="14">
        <f>VLOOKUP(I364,[1]Lookups!$V$3:$Y$197,4,FALSE)</f>
        <v>0</v>
      </c>
      <c r="T364" s="14" t="str">
        <f>VLOOKUP(E364,[1]Lookups!$H$3:$I$71,2,FALSE)</f>
        <v>3. Early Venture</v>
      </c>
      <c r="U364" s="14" t="str">
        <f>VLOOKUP(K364,[1]Lookups!$B$3:$C$142,2,FALSE)</f>
        <v>Other Technologies &amp; Information Technology</v>
      </c>
      <c r="V364" s="14">
        <f t="shared" si="396"/>
        <v>2017</v>
      </c>
      <c r="W364" s="14">
        <f t="shared" si="397"/>
        <v>11</v>
      </c>
      <c r="X364" s="14">
        <f>VLOOKUP(W364,[1]Lookups!$P$3:$S$15,2,FALSE)</f>
        <v>4</v>
      </c>
      <c r="Y364" s="16">
        <f>VLOOKUP(W364,[1]Lookups!$P$3:$U$15,3,FALSE)</f>
        <v>2</v>
      </c>
      <c r="Z364" s="16">
        <f t="shared" si="398"/>
        <v>3</v>
      </c>
      <c r="AA364" s="16" t="str">
        <f t="shared" ca="1" si="530"/>
        <v>Finnfund (Finnish Fund for Industrial Cooperation Ltd.)</v>
      </c>
      <c r="AB364" s="16" t="str">
        <f t="shared" ca="1" si="530"/>
        <v xml:space="preserve"> Vodafone Ventures</v>
      </c>
      <c r="AC364" s="16" t="str">
        <f t="shared" ca="1" si="530"/>
        <v xml:space="preserve"> Algebra Ventures</v>
      </c>
      <c r="AD364" s="16">
        <f t="shared" si="530"/>
        <v>0</v>
      </c>
      <c r="AE364" s="16">
        <f t="shared" si="530"/>
        <v>0</v>
      </c>
      <c r="AF364" s="16">
        <f t="shared" si="530"/>
        <v>0</v>
      </c>
      <c r="AG364" s="16">
        <f t="shared" si="530"/>
        <v>0</v>
      </c>
      <c r="AH364" s="16">
        <f t="shared" si="530"/>
        <v>0</v>
      </c>
      <c r="AI364" s="16">
        <f t="shared" si="530"/>
        <v>0</v>
      </c>
      <c r="AJ364" s="16">
        <f t="shared" si="530"/>
        <v>0</v>
      </c>
      <c r="AK364" s="16">
        <f t="shared" si="530"/>
        <v>0</v>
      </c>
      <c r="AL364" s="16">
        <f t="shared" si="530"/>
        <v>0</v>
      </c>
      <c r="AM364" s="16">
        <f t="shared" si="530"/>
        <v>0</v>
      </c>
      <c r="AN364" s="16">
        <f t="shared" si="530"/>
        <v>0</v>
      </c>
      <c r="AO364" s="16">
        <f t="shared" si="530"/>
        <v>0</v>
      </c>
      <c r="AP364" s="10"/>
      <c r="AQ364" s="10"/>
      <c r="AR364" s="10"/>
      <c r="AS364" s="10" t="str">
        <f t="shared" ref="AS364" ca="1" si="550">IFERROR(__xludf.DUMMYFUNCTION("split(F359,"","",true,true)"),"Finnfund (Finnish Fund for Industrial Cooperation Ltd.)")</f>
        <v>Finnfund (Finnish Fund for Industrial Cooperation Ltd.)</v>
      </c>
      <c r="AT364" s="10" t="str">
        <f ca="1">IFERROR(__xludf.DUMMYFUNCTION("""COMPUTED_VALUE""")," Vodafone Ventures")</f>
        <v xml:space="preserve"> Vodafone Ventures</v>
      </c>
      <c r="AU364" s="10" t="str">
        <f ca="1">IFERROR(__xludf.DUMMYFUNCTION("""COMPUTED_VALUE""")," Algebra Ventures")</f>
        <v xml:space="preserve"> Algebra Ventures</v>
      </c>
      <c r="AV364" s="10"/>
      <c r="AW364" s="10"/>
      <c r="AX364" s="10"/>
      <c r="AY364" s="10"/>
      <c r="AZ364" s="10"/>
      <c r="BA364" s="10"/>
      <c r="BB364" s="10"/>
      <c r="BC364" s="10"/>
      <c r="BD364" s="10"/>
      <c r="BE364" s="10"/>
      <c r="BF364" s="10"/>
      <c r="BG364" s="10"/>
      <c r="BH364" s="10"/>
      <c r="BI364" s="10"/>
      <c r="BJ364" s="10"/>
      <c r="BK364" s="10"/>
      <c r="BM364" s="10"/>
    </row>
    <row r="365" spans="1:65" ht="12.75">
      <c r="A365" s="9">
        <v>43056</v>
      </c>
      <c r="B365" s="10" t="s">
        <v>286</v>
      </c>
      <c r="C365" s="11">
        <v>2000000</v>
      </c>
      <c r="D365" s="12"/>
      <c r="E365" s="10" t="s">
        <v>69</v>
      </c>
      <c r="F365" s="10" t="s">
        <v>236</v>
      </c>
      <c r="G365" s="13" t="s">
        <v>853</v>
      </c>
      <c r="H365" s="14" t="str">
        <f t="array" ref="H365">IFERROR(INDEX([1]Companies!$G:$G,MATCH(B365,[1]Companies!$A:$A,0)),"")</f>
        <v>Kenya</v>
      </c>
      <c r="I365" s="14" t="str">
        <f t="shared" si="539"/>
        <v>Kenya</v>
      </c>
      <c r="J365" s="14" t="str">
        <f t="array" ref="J365">IFERROR(INDEX([1]Companies!$Y:$Y,MATCH(B365,[1]Companies!$A:$A,0)),"")</f>
        <v>Logistics, Deliveries, Courier, Packages, Food Delivery, E-Commerce, Mobile Apps, and On demand courier solutions</v>
      </c>
      <c r="K365" s="14" t="str">
        <f t="array" ref="K365">IFERROR(INDEX([1]Companies!$X:$X,MATCH(B365,[1]Companies!$A:$A,0)),"")</f>
        <v>Transport &amp; Logistics</v>
      </c>
      <c r="L365" s="14" t="str">
        <f>VLOOKUP(B365,[1]Companies!$A$1:$C$5243,1,FALSE)</f>
        <v>Sendy</v>
      </c>
      <c r="M365" s="15">
        <f t="shared" si="540"/>
        <v>0.9</v>
      </c>
      <c r="N365" s="10" t="str">
        <f t="shared" si="541"/>
        <v>43056Sendy2000000</v>
      </c>
      <c r="O365" s="14" t="str">
        <f t="shared" si="542"/>
        <v/>
      </c>
      <c r="P365" s="14">
        <f t="shared" si="543"/>
        <v>1</v>
      </c>
      <c r="Q365" s="14">
        <f t="array" ref="Q365">IFERROR(INDEX([1]Companies!$D:$D,MATCH(B365,[1]Companies!$A:$A,0)),"")</f>
        <v>2014</v>
      </c>
      <c r="R365" s="17">
        <f t="shared" si="544"/>
        <v>10500000</v>
      </c>
      <c r="S365" s="14">
        <f>VLOOKUP(I365,[1]Lookups!$V$3:$Y$197,4,FALSE)</f>
        <v>0</v>
      </c>
      <c r="T365" s="14" t="str">
        <f>VLOOKUP(E365,[1]Lookups!$H$3:$I$71,2,FALSE)</f>
        <v>3. Early Venture</v>
      </c>
      <c r="U365" s="14" t="str">
        <f>VLOOKUP(K365,[1]Lookups!$B$3:$C$142,2,FALSE)</f>
        <v>Transport &amp; Logistics</v>
      </c>
      <c r="V365" s="14">
        <f t="shared" si="396"/>
        <v>2017</v>
      </c>
      <c r="W365" s="14">
        <f t="shared" si="397"/>
        <v>11</v>
      </c>
      <c r="X365" s="14">
        <f>VLOOKUP(W365,[1]Lookups!$P$3:$S$15,2,FALSE)</f>
        <v>4</v>
      </c>
      <c r="Y365" s="16">
        <f>VLOOKUP(W365,[1]Lookups!$P$3:$U$15,3,FALSE)</f>
        <v>2</v>
      </c>
      <c r="Z365" s="16">
        <f t="shared" si="398"/>
        <v>1</v>
      </c>
      <c r="AA365" s="16" t="str">
        <f t="shared" ca="1" si="530"/>
        <v>Finnfund (Finnish Fund for Industrial Cooperation Ltd.)</v>
      </c>
      <c r="AB365" s="16">
        <f t="shared" si="530"/>
        <v>0</v>
      </c>
      <c r="AC365" s="16">
        <f t="shared" si="530"/>
        <v>0</v>
      </c>
      <c r="AD365" s="16">
        <f t="shared" si="530"/>
        <v>0</v>
      </c>
      <c r="AE365" s="16">
        <f t="shared" si="530"/>
        <v>0</v>
      </c>
      <c r="AF365" s="16">
        <f t="shared" si="530"/>
        <v>0</v>
      </c>
      <c r="AG365" s="16">
        <f t="shared" si="530"/>
        <v>0</v>
      </c>
      <c r="AH365" s="16">
        <f t="shared" si="530"/>
        <v>0</v>
      </c>
      <c r="AI365" s="16">
        <f t="shared" si="530"/>
        <v>0</v>
      </c>
      <c r="AJ365" s="16">
        <f t="shared" si="530"/>
        <v>0</v>
      </c>
      <c r="AK365" s="16">
        <f t="shared" si="530"/>
        <v>0</v>
      </c>
      <c r="AL365" s="16">
        <f t="shared" si="530"/>
        <v>0</v>
      </c>
      <c r="AM365" s="16">
        <f t="shared" si="530"/>
        <v>0</v>
      </c>
      <c r="AN365" s="16">
        <f t="shared" si="530"/>
        <v>0</v>
      </c>
      <c r="AO365" s="16">
        <f t="shared" si="530"/>
        <v>0</v>
      </c>
      <c r="AP365" s="10"/>
      <c r="AQ365" s="10"/>
      <c r="AR365" s="10"/>
      <c r="AS365" s="10" t="str">
        <f t="shared" ref="AS365" ca="1" si="551">IFERROR(__xludf.DUMMYFUNCTION("split(F359,"","",true,true)"),"Finnfund (Finnish Fund for Industrial Cooperation Ltd.)")</f>
        <v>Finnfund (Finnish Fund for Industrial Cooperation Ltd.)</v>
      </c>
      <c r="AT365" s="10"/>
      <c r="AU365" s="10"/>
      <c r="AV365" s="10"/>
      <c r="AW365" s="10"/>
      <c r="AX365" s="10"/>
      <c r="AY365" s="10"/>
      <c r="AZ365" s="10"/>
      <c r="BA365" s="10"/>
      <c r="BB365" s="10"/>
      <c r="BC365" s="10"/>
      <c r="BD365" s="10"/>
      <c r="BE365" s="10"/>
      <c r="BF365" s="10"/>
      <c r="BG365" s="10"/>
      <c r="BH365" s="10"/>
      <c r="BI365" s="10"/>
      <c r="BJ365" s="10"/>
      <c r="BK365" s="10"/>
      <c r="BM365" s="10"/>
    </row>
    <row r="366" spans="1:65" ht="12.75">
      <c r="A366" s="9">
        <v>43056</v>
      </c>
      <c r="B366" s="10" t="s">
        <v>854</v>
      </c>
      <c r="C366" s="11">
        <v>710000</v>
      </c>
      <c r="D366" s="12"/>
      <c r="E366" s="10" t="s">
        <v>45</v>
      </c>
      <c r="F366" s="10" t="s">
        <v>855</v>
      </c>
      <c r="G366" s="13" t="s">
        <v>856</v>
      </c>
      <c r="H366" s="14" t="str">
        <f t="array" ref="H366">IFERROR(INDEX([1]Companies!$G:$G,MATCH(B366,[1]Companies!$A:$A,0)),"")</f>
        <v>South Africa</v>
      </c>
      <c r="I366" s="14" t="str">
        <f t="shared" si="539"/>
        <v>South Africa</v>
      </c>
      <c r="J366" s="14" t="str">
        <f t="array" ref="J366">IFERROR(INDEX([1]Companies!$Y:$Y,MATCH(B366,[1]Companies!$A:$A,0)),"")</f>
        <v>Instant EFT Payments</v>
      </c>
      <c r="K366" s="14" t="str">
        <f t="array" ref="K366">IFERROR(INDEX([1]Companies!$X:$X,MATCH(B366,[1]Companies!$A:$A,0)),"")</f>
        <v>Financial Services</v>
      </c>
      <c r="L366" s="14" t="str">
        <f>VLOOKUP(B366,[1]Companies!$A$1:$C$5243,1,FALSE)</f>
        <v>Ozow</v>
      </c>
      <c r="M366" s="15">
        <f t="shared" si="540"/>
        <v>0.9</v>
      </c>
      <c r="N366" s="10" t="str">
        <f t="shared" si="541"/>
        <v>43056Ozow710000</v>
      </c>
      <c r="O366" s="14" t="str">
        <f t="shared" si="542"/>
        <v/>
      </c>
      <c r="P366" s="14">
        <f t="shared" si="543"/>
        <v>1</v>
      </c>
      <c r="Q366" s="14">
        <f t="array" ref="Q366">IFERROR(INDEX([1]Companies!$D:$D,MATCH(B366,[1]Companies!$A:$A,0)),"")</f>
        <v>2014</v>
      </c>
      <c r="R366" s="17">
        <f t="shared" si="544"/>
        <v>710000</v>
      </c>
      <c r="S366" s="14">
        <f>VLOOKUP(I366,[1]Lookups!$V$3:$Y$197,4,FALSE)</f>
        <v>0</v>
      </c>
      <c r="T366" s="14" t="str">
        <f>VLOOKUP(E366,[1]Lookups!$H$3:$I$71,2,FALSE)</f>
        <v>2. Seed</v>
      </c>
      <c r="U366" s="14" t="str">
        <f>VLOOKUP(K366,[1]Lookups!$B$3:$C$142,2,FALSE)</f>
        <v>Financial Services</v>
      </c>
      <c r="V366" s="14">
        <f t="shared" si="396"/>
        <v>2017</v>
      </c>
      <c r="W366" s="14">
        <f t="shared" si="397"/>
        <v>11</v>
      </c>
      <c r="X366" s="14">
        <f>VLOOKUP(W366,[1]Lookups!$P$3:$S$15,2,FALSE)</f>
        <v>4</v>
      </c>
      <c r="Y366" s="16">
        <f>VLOOKUP(W366,[1]Lookups!$P$3:$U$15,3,FALSE)</f>
        <v>2</v>
      </c>
      <c r="Z366" s="16">
        <f t="shared" si="398"/>
        <v>1</v>
      </c>
      <c r="AA366" s="16" t="str">
        <f t="shared" ref="AA366:AO381" ca="1" si="552">AS366</f>
        <v>Finnfund (Finnish Fund for Industrial Cooperation Ltd.)</v>
      </c>
      <c r="AB366" s="16">
        <f t="shared" si="552"/>
        <v>0</v>
      </c>
      <c r="AC366" s="16">
        <f t="shared" si="552"/>
        <v>0</v>
      </c>
      <c r="AD366" s="16">
        <f t="shared" si="552"/>
        <v>0</v>
      </c>
      <c r="AE366" s="16">
        <f t="shared" si="552"/>
        <v>0</v>
      </c>
      <c r="AF366" s="16">
        <f t="shared" si="552"/>
        <v>0</v>
      </c>
      <c r="AG366" s="16">
        <f t="shared" si="552"/>
        <v>0</v>
      </c>
      <c r="AH366" s="16">
        <f t="shared" si="552"/>
        <v>0</v>
      </c>
      <c r="AI366" s="16">
        <f t="shared" si="552"/>
        <v>0</v>
      </c>
      <c r="AJ366" s="16">
        <f t="shared" si="552"/>
        <v>0</v>
      </c>
      <c r="AK366" s="16">
        <f t="shared" si="552"/>
        <v>0</v>
      </c>
      <c r="AL366" s="16">
        <f t="shared" si="552"/>
        <v>0</v>
      </c>
      <c r="AM366" s="16">
        <f t="shared" si="552"/>
        <v>0</v>
      </c>
      <c r="AN366" s="16">
        <f t="shared" si="552"/>
        <v>0</v>
      </c>
      <c r="AO366" s="16">
        <f t="shared" si="552"/>
        <v>0</v>
      </c>
      <c r="AP366" s="10"/>
      <c r="AQ366" s="10"/>
      <c r="AR366" s="10"/>
      <c r="AS366" s="10" t="str">
        <f t="shared" ref="AS366" ca="1" si="553">IFERROR(__xludf.DUMMYFUNCTION("split(F359,"","",true,true)"),"Finnfund (Finnish Fund for Industrial Cooperation Ltd.)")</f>
        <v>Finnfund (Finnish Fund for Industrial Cooperation Ltd.)</v>
      </c>
      <c r="AT366" s="10"/>
      <c r="AU366" s="10"/>
      <c r="AV366" s="10"/>
      <c r="AW366" s="10"/>
      <c r="AX366" s="10"/>
      <c r="AY366" s="10"/>
      <c r="AZ366" s="10"/>
      <c r="BA366" s="10"/>
      <c r="BB366" s="10"/>
      <c r="BC366" s="10"/>
      <c r="BD366" s="10"/>
      <c r="BE366" s="10"/>
      <c r="BF366" s="10"/>
      <c r="BG366" s="10"/>
      <c r="BH366" s="10"/>
      <c r="BI366" s="10"/>
      <c r="BJ366" s="10"/>
      <c r="BK366" s="10"/>
      <c r="BM366" s="10"/>
    </row>
    <row r="367" spans="1:65" ht="12.75">
      <c r="A367" s="18">
        <v>43068</v>
      </c>
      <c r="B367" s="14" t="s">
        <v>662</v>
      </c>
      <c r="C367" s="11">
        <v>50000</v>
      </c>
      <c r="D367" s="22"/>
      <c r="E367" s="14" t="s">
        <v>55</v>
      </c>
      <c r="F367" s="14" t="s">
        <v>689</v>
      </c>
      <c r="G367" s="21" t="s">
        <v>857</v>
      </c>
      <c r="H367" s="14" t="str">
        <f t="array" ref="H367">IFERROR(INDEX([1]Companies!$G:$G,MATCH(B367,[1]Companies!$A:$A,0)),"")</f>
        <v>South Africa</v>
      </c>
      <c r="I367" s="14" t="str">
        <f t="shared" si="539"/>
        <v>South Africa</v>
      </c>
      <c r="J367" s="14" t="str">
        <f t="array" ref="J367">IFERROR(INDEX([1]Companies!$Y:$Y,MATCH(B367,[1]Companies!$A:$A,0)),"")</f>
        <v>Data Analytics, Aerial Engineering Design and Manufacture, Machine Learning, and Image Processing, Agtech, Drones, Farming, Software</v>
      </c>
      <c r="K367" s="14" t="str">
        <f t="array" ref="K367">IFERROR(INDEX([1]Companies!$X:$X,MATCH(B367,[1]Companies!$A:$A,0)),"")</f>
        <v>Emerging Technologies</v>
      </c>
      <c r="L367" s="14" t="str">
        <f>VLOOKUP(B367,[1]Companies!$A$1:$C$5243,1,FALSE)</f>
        <v>Aerobotics</v>
      </c>
      <c r="M367" s="15">
        <f t="shared" si="540"/>
        <v>0.9</v>
      </c>
      <c r="N367" s="10" t="str">
        <f t="shared" si="541"/>
        <v>43068Aerobotics50000</v>
      </c>
      <c r="O367" s="14" t="str">
        <f t="shared" si="542"/>
        <v/>
      </c>
      <c r="P367" s="14">
        <f t="shared" si="543"/>
        <v>1</v>
      </c>
      <c r="Q367" s="14">
        <f t="array" ref="Q367">IFERROR(INDEX([1]Companies!$D:$D,MATCH(B367,[1]Companies!$A:$A,0)),"")</f>
        <v>2014</v>
      </c>
      <c r="R367" s="17">
        <f t="shared" si="544"/>
        <v>4667000</v>
      </c>
      <c r="S367" s="14">
        <f>VLOOKUP(I367,[1]Lookups!$V$3:$Y$197,4,FALSE)</f>
        <v>0</v>
      </c>
      <c r="T367" s="14" t="str">
        <f>VLOOKUP(E367,[1]Lookups!$H$3:$I$71,2,FALSE)</f>
        <v>1. Grant</v>
      </c>
      <c r="U367" s="14" t="str">
        <f>VLOOKUP(K367,[1]Lookups!$B$3:$C$142,2,FALSE)</f>
        <v>Emerging Technologies</v>
      </c>
      <c r="V367" s="14">
        <f t="shared" si="396"/>
        <v>2017</v>
      </c>
      <c r="W367" s="14">
        <f t="shared" si="397"/>
        <v>11</v>
      </c>
      <c r="X367" s="14">
        <f>VLOOKUP(W367,[1]Lookups!$P$3:$S$15,2,FALSE)</f>
        <v>4</v>
      </c>
      <c r="Y367" s="16">
        <f>VLOOKUP(W367,[1]Lookups!$P$3:$U$15,3,FALSE)</f>
        <v>2</v>
      </c>
      <c r="Z367" s="16">
        <f t="shared" si="398"/>
        <v>1</v>
      </c>
      <c r="AA367" s="16" t="str">
        <f t="shared" ca="1" si="552"/>
        <v>Finnfund (Finnish Fund for Industrial Cooperation Ltd.)</v>
      </c>
      <c r="AB367" s="16">
        <f t="shared" si="552"/>
        <v>0</v>
      </c>
      <c r="AC367" s="16">
        <f t="shared" si="552"/>
        <v>0</v>
      </c>
      <c r="AD367" s="16">
        <f t="shared" si="552"/>
        <v>0</v>
      </c>
      <c r="AE367" s="16">
        <f t="shared" si="552"/>
        <v>0</v>
      </c>
      <c r="AF367" s="16">
        <f t="shared" si="552"/>
        <v>0</v>
      </c>
      <c r="AG367" s="16">
        <f t="shared" si="552"/>
        <v>0</v>
      </c>
      <c r="AH367" s="16">
        <f t="shared" si="552"/>
        <v>0</v>
      </c>
      <c r="AI367" s="16">
        <f t="shared" si="552"/>
        <v>0</v>
      </c>
      <c r="AJ367" s="16">
        <f t="shared" si="552"/>
        <v>0</v>
      </c>
      <c r="AK367" s="16">
        <f t="shared" si="552"/>
        <v>0</v>
      </c>
      <c r="AL367" s="16">
        <f t="shared" si="552"/>
        <v>0</v>
      </c>
      <c r="AM367" s="16">
        <f t="shared" si="552"/>
        <v>0</v>
      </c>
      <c r="AN367" s="16">
        <f t="shared" si="552"/>
        <v>0</v>
      </c>
      <c r="AO367" s="16">
        <f t="shared" si="552"/>
        <v>0</v>
      </c>
      <c r="AP367" s="10"/>
      <c r="AQ367" s="10"/>
      <c r="AR367" s="10"/>
      <c r="AS367" s="10" t="str">
        <f t="shared" ref="AS367" ca="1" si="554">IFERROR(__xludf.DUMMYFUNCTION("split(F359,"","",true,true)"),"Finnfund (Finnish Fund for Industrial Cooperation Ltd.)")</f>
        <v>Finnfund (Finnish Fund for Industrial Cooperation Ltd.)</v>
      </c>
      <c r="AT367" s="10"/>
      <c r="AU367" s="10"/>
      <c r="AV367" s="10"/>
      <c r="AW367" s="10"/>
      <c r="AX367" s="10"/>
      <c r="AY367" s="10"/>
      <c r="AZ367" s="10"/>
      <c r="BA367" s="10"/>
      <c r="BB367" s="10"/>
      <c r="BC367" s="10"/>
      <c r="BD367" s="10"/>
      <c r="BE367" s="10"/>
      <c r="BF367" s="10"/>
      <c r="BG367" s="10"/>
      <c r="BH367" s="10"/>
      <c r="BI367" s="10"/>
      <c r="BJ367" s="10"/>
      <c r="BK367" s="10"/>
      <c r="BM367" s="10"/>
    </row>
    <row r="368" spans="1:65" ht="12.75">
      <c r="A368" s="9">
        <v>43068</v>
      </c>
      <c r="B368" s="10" t="s">
        <v>189</v>
      </c>
      <c r="C368" s="11">
        <v>50000</v>
      </c>
      <c r="D368" s="12"/>
      <c r="E368" s="14" t="s">
        <v>55</v>
      </c>
      <c r="F368" s="10" t="s">
        <v>689</v>
      </c>
      <c r="G368" s="13" t="s">
        <v>858</v>
      </c>
      <c r="H368" s="14" t="str">
        <f t="array" ref="H368">IFERROR(INDEX([1]Companies!$G:$G,MATCH(B368,[1]Companies!$A:$A,0)),"")</f>
        <v>Nigeria</v>
      </c>
      <c r="I368" s="14" t="str">
        <f t="shared" si="539"/>
        <v>Nigeria</v>
      </c>
      <c r="J368" s="14" t="str">
        <f t="array" ref="J368">IFERROR(INDEX([1]Companies!$Y:$Y,MATCH(B368,[1]Companies!$A:$A,0)),"")</f>
        <v>Consumer Lending, FinTech</v>
      </c>
      <c r="K368" s="14" t="str">
        <f t="array" ref="K368">IFERROR(INDEX([1]Companies!$X:$X,MATCH(B368,[1]Companies!$A:$A,0)),"")</f>
        <v>Financial Services</v>
      </c>
      <c r="L368" s="14" t="str">
        <f>VLOOKUP(B368,[1]Companies!$A$1:$C$5243,1,FALSE)</f>
        <v>OneFi</v>
      </c>
      <c r="M368" s="15">
        <f t="shared" si="540"/>
        <v>0.9</v>
      </c>
      <c r="N368" s="10" t="str">
        <f t="shared" si="541"/>
        <v>43068OneFi50000</v>
      </c>
      <c r="O368" s="14" t="str">
        <f t="shared" si="542"/>
        <v/>
      </c>
      <c r="P368" s="14">
        <f t="shared" si="543"/>
        <v>1</v>
      </c>
      <c r="Q368" s="14">
        <f t="array" ref="Q368">IFERROR(INDEX([1]Companies!$D:$D,MATCH(B368,[1]Companies!$A:$A,0)),"")</f>
        <v>2012</v>
      </c>
      <c r="R368" s="17">
        <f t="shared" si="544"/>
        <v>15800000</v>
      </c>
      <c r="S368" s="14">
        <f>VLOOKUP(I368,[1]Lookups!$V$3:$Y$197,4,FALSE)</f>
        <v>0</v>
      </c>
      <c r="T368" s="14" t="str">
        <f>VLOOKUP(E368,[1]Lookups!$H$3:$I$71,2,FALSE)</f>
        <v>1. Grant</v>
      </c>
      <c r="U368" s="14" t="str">
        <f>VLOOKUP(K368,[1]Lookups!$B$3:$C$142,2,FALSE)</f>
        <v>Financial Services</v>
      </c>
      <c r="V368" s="14">
        <f t="shared" si="396"/>
        <v>2017</v>
      </c>
      <c r="W368" s="14">
        <f t="shared" si="397"/>
        <v>11</v>
      </c>
      <c r="X368" s="14">
        <f>VLOOKUP(W368,[1]Lookups!$P$3:$S$15,2,FALSE)</f>
        <v>4</v>
      </c>
      <c r="Y368" s="16">
        <f>VLOOKUP(W368,[1]Lookups!$P$3:$U$15,3,FALSE)</f>
        <v>2</v>
      </c>
      <c r="Z368" s="16">
        <f t="shared" si="398"/>
        <v>1</v>
      </c>
      <c r="AA368" s="16" t="str">
        <f t="shared" ca="1" si="552"/>
        <v>Finnfund (Finnish Fund for Industrial Cooperation Ltd.)</v>
      </c>
      <c r="AB368" s="16">
        <f t="shared" si="552"/>
        <v>0</v>
      </c>
      <c r="AC368" s="16">
        <f t="shared" si="552"/>
        <v>0</v>
      </c>
      <c r="AD368" s="16">
        <f t="shared" si="552"/>
        <v>0</v>
      </c>
      <c r="AE368" s="16">
        <f t="shared" si="552"/>
        <v>0</v>
      </c>
      <c r="AF368" s="16">
        <f t="shared" si="552"/>
        <v>0</v>
      </c>
      <c r="AG368" s="16">
        <f t="shared" si="552"/>
        <v>0</v>
      </c>
      <c r="AH368" s="16">
        <f t="shared" si="552"/>
        <v>0</v>
      </c>
      <c r="AI368" s="16">
        <f t="shared" si="552"/>
        <v>0</v>
      </c>
      <c r="AJ368" s="16">
        <f t="shared" si="552"/>
        <v>0</v>
      </c>
      <c r="AK368" s="16">
        <f t="shared" si="552"/>
        <v>0</v>
      </c>
      <c r="AL368" s="16">
        <f t="shared" si="552"/>
        <v>0</v>
      </c>
      <c r="AM368" s="16">
        <f t="shared" si="552"/>
        <v>0</v>
      </c>
      <c r="AN368" s="16">
        <f t="shared" si="552"/>
        <v>0</v>
      </c>
      <c r="AO368" s="16">
        <f t="shared" si="552"/>
        <v>0</v>
      </c>
      <c r="AP368" s="10"/>
      <c r="AQ368" s="10"/>
      <c r="AR368" s="10"/>
      <c r="AS368" s="10" t="str">
        <f t="shared" ref="AS368" ca="1" si="555">IFERROR(__xludf.DUMMYFUNCTION("split(F359,"","",true,true)"),"Finnfund (Finnish Fund for Industrial Cooperation Ltd.)")</f>
        <v>Finnfund (Finnish Fund for Industrial Cooperation Ltd.)</v>
      </c>
      <c r="AT368" s="10"/>
      <c r="AU368" s="10"/>
      <c r="AV368" s="10"/>
      <c r="AW368" s="10"/>
      <c r="AX368" s="10"/>
      <c r="AY368" s="10"/>
      <c r="AZ368" s="10"/>
      <c r="BA368" s="10"/>
      <c r="BB368" s="10"/>
      <c r="BC368" s="10"/>
      <c r="BD368" s="10"/>
      <c r="BE368" s="10"/>
      <c r="BF368" s="10"/>
      <c r="BG368" s="10"/>
      <c r="BH368" s="10"/>
      <c r="BI368" s="10"/>
      <c r="BJ368" s="10"/>
      <c r="BK368" s="10"/>
      <c r="BM368" s="10"/>
    </row>
    <row r="369" spans="1:65" ht="12.75">
      <c r="A369" s="9">
        <v>43069</v>
      </c>
      <c r="B369" s="10" t="s">
        <v>859</v>
      </c>
      <c r="C369" s="11">
        <v>5000</v>
      </c>
      <c r="D369" s="12"/>
      <c r="E369" s="14" t="s">
        <v>234</v>
      </c>
      <c r="F369" s="10" t="s">
        <v>49</v>
      </c>
      <c r="G369" s="13" t="s">
        <v>860</v>
      </c>
      <c r="H369" s="14" t="str">
        <f t="array" ref="H369">IFERROR(INDEX([1]Companies!$G:$G,MATCH(B369,[1]Companies!$A:$A,0)),"")</f>
        <v>Nigeria</v>
      </c>
      <c r="I369" s="14" t="str">
        <f t="shared" si="539"/>
        <v>Nigeria</v>
      </c>
      <c r="J369" s="14" t="str">
        <f t="array" ref="J369">IFERROR(INDEX([1]Companies!$Y:$Y,MATCH(B369,[1]Companies!$A:$A,0)),"")</f>
        <v>Automotive, E-Commerce, Information Technology, Marketplace, Retail Technology</v>
      </c>
      <c r="K369" s="14" t="str">
        <f t="array" ref="K369">IFERROR(INDEX([1]Companies!$X:$X,MATCH(B369,[1]Companies!$A:$A,0)),"")</f>
        <v>E-Commerce &amp; Retail</v>
      </c>
      <c r="L369" s="14" t="str">
        <f>VLOOKUP(B369,[1]Companies!$A$1:$C$5243,1,FALSE)</f>
        <v>Spicyauto</v>
      </c>
      <c r="M369" s="15">
        <f t="shared" si="540"/>
        <v>0.9</v>
      </c>
      <c r="N369" s="10" t="str">
        <f t="shared" si="541"/>
        <v>43069Spicyauto5000</v>
      </c>
      <c r="O369" s="14" t="str">
        <f t="shared" si="542"/>
        <v/>
      </c>
      <c r="P369" s="14">
        <f t="shared" si="543"/>
        <v>1</v>
      </c>
      <c r="Q369" s="14">
        <f t="array" ref="Q369">IFERROR(INDEX([1]Companies!$D:$D,MATCH(B369,[1]Companies!$A:$A,0)),"")</f>
        <v>2018</v>
      </c>
      <c r="R369" s="17">
        <f t="shared" si="544"/>
        <v>5000</v>
      </c>
      <c r="S369" s="14">
        <f>VLOOKUP(I369,[1]Lookups!$V$3:$Y$197,4,FALSE)</f>
        <v>0</v>
      </c>
      <c r="T369" s="14" t="str">
        <f>VLOOKUP(E369,[1]Lookups!$H$3:$I$71,2,FALSE)</f>
        <v>2. Seed</v>
      </c>
      <c r="U369" s="14" t="str">
        <f>VLOOKUP(K369,[1]Lookups!$B$3:$C$142,2,FALSE)</f>
        <v>E-commerce &amp; Retail</v>
      </c>
      <c r="V369" s="14">
        <f t="shared" si="396"/>
        <v>2017</v>
      </c>
      <c r="W369" s="14">
        <f t="shared" si="397"/>
        <v>11</v>
      </c>
      <c r="X369" s="14">
        <f>VLOOKUP(W369,[1]Lookups!$P$3:$S$15,2,FALSE)</f>
        <v>4</v>
      </c>
      <c r="Y369" s="16">
        <f>VLOOKUP(W369,[1]Lookups!$P$3:$U$15,3,FALSE)</f>
        <v>2</v>
      </c>
      <c r="Z369" s="16">
        <f t="shared" si="398"/>
        <v>1</v>
      </c>
      <c r="AA369" s="16" t="str">
        <f t="shared" ca="1" si="552"/>
        <v>Finnfund (Finnish Fund for Industrial Cooperation Ltd.)</v>
      </c>
      <c r="AB369" s="16">
        <f t="shared" si="552"/>
        <v>0</v>
      </c>
      <c r="AC369" s="16">
        <f t="shared" si="552"/>
        <v>0</v>
      </c>
      <c r="AD369" s="16">
        <f t="shared" si="552"/>
        <v>0</v>
      </c>
      <c r="AE369" s="16">
        <f t="shared" si="552"/>
        <v>0</v>
      </c>
      <c r="AF369" s="16">
        <f t="shared" si="552"/>
        <v>0</v>
      </c>
      <c r="AG369" s="16">
        <f t="shared" si="552"/>
        <v>0</v>
      </c>
      <c r="AH369" s="16">
        <f t="shared" si="552"/>
        <v>0</v>
      </c>
      <c r="AI369" s="16">
        <f t="shared" si="552"/>
        <v>0</v>
      </c>
      <c r="AJ369" s="16">
        <f t="shared" si="552"/>
        <v>0</v>
      </c>
      <c r="AK369" s="16">
        <f t="shared" si="552"/>
        <v>0</v>
      </c>
      <c r="AL369" s="16">
        <f t="shared" si="552"/>
        <v>0</v>
      </c>
      <c r="AM369" s="16">
        <f t="shared" si="552"/>
        <v>0</v>
      </c>
      <c r="AN369" s="16">
        <f t="shared" si="552"/>
        <v>0</v>
      </c>
      <c r="AO369" s="16">
        <f t="shared" si="552"/>
        <v>0</v>
      </c>
      <c r="AP369" s="10"/>
      <c r="AQ369" s="10"/>
      <c r="AR369" s="10"/>
      <c r="AS369" s="10" t="str">
        <f t="shared" ref="AS369" ca="1" si="556">IFERROR(__xludf.DUMMYFUNCTION("split(F359,"","",true,true)"),"Finnfund (Finnish Fund for Industrial Cooperation Ltd.)")</f>
        <v>Finnfund (Finnish Fund for Industrial Cooperation Ltd.)</v>
      </c>
      <c r="AT369" s="10"/>
      <c r="AU369" s="10"/>
      <c r="AV369" s="10"/>
      <c r="AW369" s="10"/>
      <c r="AX369" s="10"/>
      <c r="AY369" s="10"/>
      <c r="AZ369" s="10"/>
      <c r="BA369" s="10"/>
      <c r="BB369" s="10"/>
      <c r="BC369" s="10"/>
      <c r="BD369" s="10"/>
      <c r="BE369" s="10"/>
      <c r="BF369" s="10"/>
      <c r="BG369" s="10"/>
      <c r="BH369" s="10"/>
      <c r="BI369" s="10"/>
      <c r="BJ369" s="10"/>
      <c r="BK369" s="10"/>
      <c r="BM369" s="10"/>
    </row>
    <row r="370" spans="1:65" ht="12.75">
      <c r="A370" s="18">
        <v>43070</v>
      </c>
      <c r="B370" s="14" t="s">
        <v>601</v>
      </c>
      <c r="C370" s="19" t="s">
        <v>49</v>
      </c>
      <c r="D370" s="22"/>
      <c r="E370" s="14" t="s">
        <v>45</v>
      </c>
      <c r="F370" s="14" t="s">
        <v>861</v>
      </c>
      <c r="G370" s="21" t="s">
        <v>862</v>
      </c>
      <c r="H370" s="14" t="str">
        <f t="array" ref="H370">IFERROR(INDEX([1]Companies!$G:$G,MATCH(B370,[1]Companies!$A:$A,0)),"")</f>
        <v>Mauritius</v>
      </c>
      <c r="I370" s="14" t="str">
        <f t="shared" si="539"/>
        <v>Mauritius</v>
      </c>
      <c r="J370" s="14" t="str">
        <f t="array" ref="J370">IFERROR(INDEX([1]Companies!$Y:$Y,MATCH(B370,[1]Companies!$A:$A,0)),"")</f>
        <v>Electronics, Solar</v>
      </c>
      <c r="K370" s="14" t="str">
        <f t="array" ref="K370">IFERROR(INDEX([1]Companies!$X:$X,MATCH(B370,[1]Companies!$A:$A,0)),"")</f>
        <v>Renewables &amp; Environment</v>
      </c>
      <c r="L370" s="14" t="str">
        <f>VLOOKUP(B370,[1]Companies!$A$1:$C$5243,1,FALSE)</f>
        <v>Daystar Power Africa</v>
      </c>
      <c r="M370" s="15">
        <f t="shared" si="540"/>
        <v>0.9</v>
      </c>
      <c r="N370" s="10" t="str">
        <f t="shared" si="541"/>
        <v>43070Daystar Power AfricaUndisclosed</v>
      </c>
      <c r="O370" s="14" t="str">
        <f t="shared" si="542"/>
        <v/>
      </c>
      <c r="P370" s="14">
        <f t="shared" si="543"/>
        <v>0</v>
      </c>
      <c r="Q370" s="14">
        <f t="array" ref="Q370">IFERROR(INDEX([1]Companies!$D:$D,MATCH(B370,[1]Companies!$A:$A,0)),"")</f>
        <v>2017</v>
      </c>
      <c r="R370" s="17">
        <f t="shared" si="544"/>
        <v>26560000</v>
      </c>
      <c r="S370" s="14">
        <f>VLOOKUP(I370,[1]Lookups!$V$3:$Y$197,4,FALSE)</f>
        <v>0</v>
      </c>
      <c r="T370" s="14" t="str">
        <f>VLOOKUP(E370,[1]Lookups!$H$3:$I$71,2,FALSE)</f>
        <v>2. Seed</v>
      </c>
      <c r="U370" s="14" t="str">
        <f>VLOOKUP(K370,[1]Lookups!$B$3:$C$142,2,FALSE)</f>
        <v>Energy &amp; Resources</v>
      </c>
      <c r="V370" s="14">
        <f t="shared" si="396"/>
        <v>2017</v>
      </c>
      <c r="W370" s="14">
        <f t="shared" si="397"/>
        <v>12</v>
      </c>
      <c r="X370" s="14">
        <f>VLOOKUP(W370,[1]Lookups!$P$3:$S$15,2,FALSE)</f>
        <v>4</v>
      </c>
      <c r="Y370" s="16">
        <f>VLOOKUP(W370,[1]Lookups!$P$3:$U$15,3,FALSE)</f>
        <v>2</v>
      </c>
      <c r="Z370" s="16">
        <f t="shared" si="398"/>
        <v>1</v>
      </c>
      <c r="AA370" s="16" t="str">
        <f t="shared" ca="1" si="552"/>
        <v>Finnfund (Finnish Fund for Industrial Cooperation Ltd.)</v>
      </c>
      <c r="AB370" s="16">
        <f t="shared" si="552"/>
        <v>0</v>
      </c>
      <c r="AC370" s="16">
        <f t="shared" si="552"/>
        <v>0</v>
      </c>
      <c r="AD370" s="16">
        <f t="shared" si="552"/>
        <v>0</v>
      </c>
      <c r="AE370" s="16">
        <f t="shared" si="552"/>
        <v>0</v>
      </c>
      <c r="AF370" s="16">
        <f t="shared" si="552"/>
        <v>0</v>
      </c>
      <c r="AG370" s="16">
        <f t="shared" si="552"/>
        <v>0</v>
      </c>
      <c r="AH370" s="16">
        <f t="shared" si="552"/>
        <v>0</v>
      </c>
      <c r="AI370" s="16">
        <f t="shared" si="552"/>
        <v>0</v>
      </c>
      <c r="AJ370" s="16">
        <f t="shared" si="552"/>
        <v>0</v>
      </c>
      <c r="AK370" s="16">
        <f t="shared" si="552"/>
        <v>0</v>
      </c>
      <c r="AL370" s="16">
        <f t="shared" si="552"/>
        <v>0</v>
      </c>
      <c r="AM370" s="16">
        <f t="shared" si="552"/>
        <v>0</v>
      </c>
      <c r="AN370" s="16">
        <f t="shared" si="552"/>
        <v>0</v>
      </c>
      <c r="AO370" s="16">
        <f t="shared" si="552"/>
        <v>0</v>
      </c>
      <c r="AP370" s="10"/>
      <c r="AQ370" s="10"/>
      <c r="AR370" s="10"/>
      <c r="AS370" s="10" t="str">
        <f t="shared" ref="AS370" ca="1" si="557">IFERROR(__xludf.DUMMYFUNCTION("split(F359,"","",true,true)"),"Finnfund (Finnish Fund for Industrial Cooperation Ltd.)")</f>
        <v>Finnfund (Finnish Fund for Industrial Cooperation Ltd.)</v>
      </c>
      <c r="AT370" s="10"/>
      <c r="AU370" s="10"/>
      <c r="AV370" s="10"/>
      <c r="AW370" s="10"/>
      <c r="AX370" s="10"/>
      <c r="AY370" s="10"/>
      <c r="AZ370" s="10"/>
      <c r="BA370" s="10"/>
      <c r="BB370" s="10"/>
      <c r="BC370" s="10"/>
      <c r="BD370" s="10"/>
      <c r="BE370" s="10"/>
      <c r="BF370" s="10"/>
      <c r="BG370" s="10"/>
      <c r="BH370" s="10"/>
      <c r="BI370" s="10"/>
      <c r="BJ370" s="10"/>
      <c r="BK370" s="10"/>
      <c r="BM370" s="10"/>
    </row>
    <row r="371" spans="1:65" ht="12.75">
      <c r="A371" s="9">
        <v>43070</v>
      </c>
      <c r="B371" s="10" t="s">
        <v>586</v>
      </c>
      <c r="C371" s="11" t="s">
        <v>49</v>
      </c>
      <c r="D371" s="12"/>
      <c r="E371" s="10" t="s">
        <v>45</v>
      </c>
      <c r="F371" s="10" t="s">
        <v>49</v>
      </c>
      <c r="G371" s="13" t="s">
        <v>863</v>
      </c>
      <c r="H371" s="14" t="str">
        <f t="array" ref="H371">IFERROR(INDEX([1]Companies!$G:$G,MATCH(B371,[1]Companies!$A:$A,0)),"")</f>
        <v>Cameroon</v>
      </c>
      <c r="I371" s="14" t="str">
        <f t="shared" si="539"/>
        <v>Cameroon</v>
      </c>
      <c r="J371" s="14" t="str">
        <f t="array" ref="J371">IFERROR(INDEX([1]Companies!$Y:$Y,MATCH(B371,[1]Companies!$A:$A,0)),"")</f>
        <v>Crowdfunding, FinTech</v>
      </c>
      <c r="K371" s="14" t="str">
        <f t="array" ref="K371">IFERROR(INDEX([1]Companies!$X:$X,MATCH(B371,[1]Companies!$A:$A,0)),"")</f>
        <v>Financial Services</v>
      </c>
      <c r="L371" s="14" t="str">
        <f>VLOOKUP(B371,[1]Companies!$A$1:$C$5243,1,FALSE)</f>
        <v>Guanxi Invest</v>
      </c>
      <c r="M371" s="15">
        <f t="shared" si="540"/>
        <v>0.9</v>
      </c>
      <c r="N371" s="10" t="str">
        <f t="shared" si="541"/>
        <v>43070Guanxi InvestUndisclosed</v>
      </c>
      <c r="O371" s="14" t="str">
        <f t="shared" si="542"/>
        <v/>
      </c>
      <c r="P371" s="14">
        <f t="shared" si="543"/>
        <v>0</v>
      </c>
      <c r="Q371" s="14">
        <f t="array" ref="Q371">IFERROR(INDEX([1]Companies!$D:$D,MATCH(B371,[1]Companies!$A:$A,0)),"")</f>
        <v>2017</v>
      </c>
      <c r="R371" s="17">
        <f t="shared" si="544"/>
        <v>3500</v>
      </c>
      <c r="S371" s="14">
        <f>VLOOKUP(I371,[1]Lookups!$V$3:$Y$197,4,FALSE)</f>
        <v>0</v>
      </c>
      <c r="T371" s="14" t="str">
        <f>VLOOKUP(E371,[1]Lookups!$H$3:$I$71,2,FALSE)</f>
        <v>2. Seed</v>
      </c>
      <c r="U371" s="14" t="str">
        <f>VLOOKUP(K371,[1]Lookups!$B$3:$C$142,2,FALSE)</f>
        <v>Financial Services</v>
      </c>
      <c r="V371" s="14">
        <f t="shared" si="396"/>
        <v>2017</v>
      </c>
      <c r="W371" s="14">
        <f t="shared" si="397"/>
        <v>12</v>
      </c>
      <c r="X371" s="14">
        <f>VLOOKUP(W371,[1]Lookups!$P$3:$S$15,2,FALSE)</f>
        <v>4</v>
      </c>
      <c r="Y371" s="16">
        <f>VLOOKUP(W371,[1]Lookups!$P$3:$U$15,3,FALSE)</f>
        <v>2</v>
      </c>
      <c r="Z371" s="16">
        <f t="shared" si="398"/>
        <v>1</v>
      </c>
      <c r="AA371" s="16" t="str">
        <f t="shared" ca="1" si="552"/>
        <v>Finnfund (Finnish Fund for Industrial Cooperation Ltd.)</v>
      </c>
      <c r="AB371" s="16">
        <f t="shared" si="552"/>
        <v>0</v>
      </c>
      <c r="AC371" s="16">
        <f t="shared" si="552"/>
        <v>0</v>
      </c>
      <c r="AD371" s="16">
        <f t="shared" si="552"/>
        <v>0</v>
      </c>
      <c r="AE371" s="16">
        <f t="shared" si="552"/>
        <v>0</v>
      </c>
      <c r="AF371" s="16">
        <f t="shared" si="552"/>
        <v>0</v>
      </c>
      <c r="AG371" s="16">
        <f t="shared" si="552"/>
        <v>0</v>
      </c>
      <c r="AH371" s="16">
        <f t="shared" si="552"/>
        <v>0</v>
      </c>
      <c r="AI371" s="16">
        <f t="shared" si="552"/>
        <v>0</v>
      </c>
      <c r="AJ371" s="16">
        <f t="shared" si="552"/>
        <v>0</v>
      </c>
      <c r="AK371" s="16">
        <f t="shared" si="552"/>
        <v>0</v>
      </c>
      <c r="AL371" s="16">
        <f t="shared" si="552"/>
        <v>0</v>
      </c>
      <c r="AM371" s="16">
        <f t="shared" si="552"/>
        <v>0</v>
      </c>
      <c r="AN371" s="16">
        <f t="shared" si="552"/>
        <v>0</v>
      </c>
      <c r="AO371" s="16">
        <f t="shared" si="552"/>
        <v>0</v>
      </c>
      <c r="AP371" s="10"/>
      <c r="AQ371" s="10"/>
      <c r="AR371" s="10"/>
      <c r="AS371" s="10" t="str">
        <f t="shared" ref="AS371" ca="1" si="558">IFERROR(__xludf.DUMMYFUNCTION("split(F359,"","",true,true)"),"Finnfund (Finnish Fund for Industrial Cooperation Ltd.)")</f>
        <v>Finnfund (Finnish Fund for Industrial Cooperation Ltd.)</v>
      </c>
      <c r="AT371" s="10"/>
      <c r="AU371" s="10"/>
      <c r="AV371" s="10"/>
      <c r="AW371" s="10"/>
      <c r="AX371" s="10"/>
      <c r="AY371" s="10"/>
      <c r="AZ371" s="10"/>
      <c r="BA371" s="10"/>
      <c r="BB371" s="10"/>
      <c r="BC371" s="10"/>
      <c r="BD371" s="10"/>
      <c r="BE371" s="10"/>
      <c r="BF371" s="10"/>
      <c r="BG371" s="10"/>
      <c r="BH371" s="10"/>
      <c r="BI371" s="10"/>
      <c r="BJ371" s="10"/>
      <c r="BK371" s="10"/>
      <c r="BM371" s="10"/>
    </row>
    <row r="372" spans="1:65" ht="12.75">
      <c r="A372" s="9">
        <v>43070</v>
      </c>
      <c r="B372" s="10" t="s">
        <v>623</v>
      </c>
      <c r="C372" s="11">
        <v>300000</v>
      </c>
      <c r="D372" s="12"/>
      <c r="E372" s="10" t="s">
        <v>45</v>
      </c>
      <c r="F372" s="10" t="s">
        <v>49</v>
      </c>
      <c r="G372" s="13" t="s">
        <v>864</v>
      </c>
      <c r="H372" s="14" t="str">
        <f t="array" ref="H372">IFERROR(INDEX([1]Companies!$G:$G,MATCH(B372,[1]Companies!$A:$A,0)),"")</f>
        <v>Egypt</v>
      </c>
      <c r="I372" s="14" t="str">
        <f t="shared" si="539"/>
        <v>Egypt</v>
      </c>
      <c r="J372" s="14" t="str">
        <f t="array" ref="J372">IFERROR(INDEX([1]Companies!$Y:$Y,MATCH(B372,[1]Companies!$A:$A,0)),"")</f>
        <v>Technology, Logistics, Courier, and Transportation</v>
      </c>
      <c r="K372" s="14" t="str">
        <f t="array" ref="K372">IFERROR(INDEX([1]Companies!$X:$X,MATCH(B372,[1]Companies!$A:$A,0)),"")</f>
        <v>Transport &amp; Logistics</v>
      </c>
      <c r="L372" s="14" t="str">
        <f>VLOOKUP(B372,[1]Companies!$A$1:$C$5243,1,FALSE)</f>
        <v>Bosta</v>
      </c>
      <c r="M372" s="15">
        <f t="shared" si="540"/>
        <v>0.9</v>
      </c>
      <c r="N372" s="10" t="str">
        <f t="shared" si="541"/>
        <v>43070Bosta300000</v>
      </c>
      <c r="O372" s="14" t="str">
        <f t="shared" si="542"/>
        <v/>
      </c>
      <c r="P372" s="14">
        <f t="shared" si="543"/>
        <v>1</v>
      </c>
      <c r="Q372" s="14">
        <f t="array" ref="Q372">IFERROR(INDEX([1]Companies!$D:$D,MATCH(B372,[1]Companies!$A:$A,0)),"")</f>
        <v>2016</v>
      </c>
      <c r="R372" s="17">
        <f t="shared" si="544"/>
        <v>300000</v>
      </c>
      <c r="S372" s="14">
        <f>VLOOKUP(I372,[1]Lookups!$V$3:$Y$197,4,FALSE)</f>
        <v>0</v>
      </c>
      <c r="T372" s="14" t="str">
        <f>VLOOKUP(E372,[1]Lookups!$H$3:$I$71,2,FALSE)</f>
        <v>2. Seed</v>
      </c>
      <c r="U372" s="14" t="str">
        <f>VLOOKUP(K372,[1]Lookups!$B$3:$C$142,2,FALSE)</f>
        <v>Transport &amp; Logistics</v>
      </c>
      <c r="V372" s="14">
        <f t="shared" si="396"/>
        <v>2017</v>
      </c>
      <c r="W372" s="14">
        <f t="shared" si="397"/>
        <v>12</v>
      </c>
      <c r="X372" s="14">
        <f>VLOOKUP(W372,[1]Lookups!$P$3:$S$15,2,FALSE)</f>
        <v>4</v>
      </c>
      <c r="Y372" s="16">
        <f>VLOOKUP(W372,[1]Lookups!$P$3:$U$15,3,FALSE)</f>
        <v>2</v>
      </c>
      <c r="Z372" s="16">
        <f t="shared" si="398"/>
        <v>1</v>
      </c>
      <c r="AA372" s="16" t="str">
        <f t="shared" ca="1" si="552"/>
        <v>Finnfund (Finnish Fund for Industrial Cooperation Ltd.)</v>
      </c>
      <c r="AB372" s="16">
        <f t="shared" si="552"/>
        <v>0</v>
      </c>
      <c r="AC372" s="16">
        <f t="shared" si="552"/>
        <v>0</v>
      </c>
      <c r="AD372" s="16">
        <f t="shared" si="552"/>
        <v>0</v>
      </c>
      <c r="AE372" s="16">
        <f t="shared" si="552"/>
        <v>0</v>
      </c>
      <c r="AF372" s="16">
        <f t="shared" si="552"/>
        <v>0</v>
      </c>
      <c r="AG372" s="16">
        <f t="shared" si="552"/>
        <v>0</v>
      </c>
      <c r="AH372" s="16">
        <f t="shared" si="552"/>
        <v>0</v>
      </c>
      <c r="AI372" s="16">
        <f t="shared" si="552"/>
        <v>0</v>
      </c>
      <c r="AJ372" s="16">
        <f t="shared" si="552"/>
        <v>0</v>
      </c>
      <c r="AK372" s="16">
        <f t="shared" si="552"/>
        <v>0</v>
      </c>
      <c r="AL372" s="16">
        <f t="shared" si="552"/>
        <v>0</v>
      </c>
      <c r="AM372" s="16">
        <f t="shared" si="552"/>
        <v>0</v>
      </c>
      <c r="AN372" s="16">
        <f t="shared" si="552"/>
        <v>0</v>
      </c>
      <c r="AO372" s="16">
        <f t="shared" si="552"/>
        <v>0</v>
      </c>
      <c r="AP372" s="10"/>
      <c r="AQ372" s="10"/>
      <c r="AR372" s="10"/>
      <c r="AS372" s="10" t="str">
        <f t="shared" ref="AS372" ca="1" si="559">IFERROR(__xludf.DUMMYFUNCTION("split(F359,"","",true,true)"),"Finnfund (Finnish Fund for Industrial Cooperation Ltd.)")</f>
        <v>Finnfund (Finnish Fund for Industrial Cooperation Ltd.)</v>
      </c>
      <c r="AT372" s="10"/>
      <c r="AU372" s="10"/>
      <c r="AV372" s="10"/>
      <c r="AW372" s="10"/>
      <c r="AX372" s="10"/>
      <c r="AY372" s="10"/>
      <c r="AZ372" s="10"/>
      <c r="BA372" s="10"/>
      <c r="BB372" s="10"/>
      <c r="BC372" s="10"/>
      <c r="BD372" s="10"/>
      <c r="BE372" s="10"/>
      <c r="BF372" s="10"/>
      <c r="BG372" s="10"/>
      <c r="BH372" s="10"/>
      <c r="BI372" s="10"/>
      <c r="BJ372" s="10"/>
      <c r="BK372" s="10"/>
      <c r="BM372" s="10"/>
    </row>
    <row r="373" spans="1:65" ht="12.75">
      <c r="A373" s="9">
        <v>43070</v>
      </c>
      <c r="B373" s="10" t="s">
        <v>865</v>
      </c>
      <c r="C373" s="11">
        <v>15700</v>
      </c>
      <c r="D373" s="12"/>
      <c r="E373" s="10" t="s">
        <v>55</v>
      </c>
      <c r="F373" s="10" t="s">
        <v>591</v>
      </c>
      <c r="G373" s="13" t="s">
        <v>866</v>
      </c>
      <c r="H373" s="14" t="str">
        <f t="array" ref="H373">IFERROR(INDEX([1]Companies!$G:$G,MATCH(B373,[1]Companies!$A:$A,0)),"")</f>
        <v>Nigeria</v>
      </c>
      <c r="I373" s="14" t="str">
        <f t="shared" si="539"/>
        <v>Nigeria</v>
      </c>
      <c r="J373" s="14" t="str">
        <f t="array" ref="J373">IFERROR(INDEX([1]Companies!$Y:$Y,MATCH(B373,[1]Companies!$A:$A,0)),"")</f>
        <v>Automotive, Security, Software</v>
      </c>
      <c r="K373" s="14" t="str">
        <f t="array" ref="K373">IFERROR(INDEX([1]Companies!$X:$X,MATCH(B373,[1]Companies!$A:$A,0)),"")</f>
        <v>Information Technology</v>
      </c>
      <c r="L373" s="14" t="str">
        <f>VLOOKUP(B373,[1]Companies!$A$1:$C$5243,1,FALSE)</f>
        <v>LegitCar</v>
      </c>
      <c r="M373" s="15">
        <f t="shared" si="540"/>
        <v>0.9</v>
      </c>
      <c r="N373" s="10" t="str">
        <f t="shared" si="541"/>
        <v>43070LegitCar15700</v>
      </c>
      <c r="O373" s="14" t="str">
        <f t="shared" si="542"/>
        <v/>
      </c>
      <c r="P373" s="14">
        <f t="shared" si="543"/>
        <v>1</v>
      </c>
      <c r="Q373" s="14">
        <f t="array" ref="Q373">IFERROR(INDEX([1]Companies!$D:$D,MATCH(B373,[1]Companies!$A:$A,0)),"")</f>
        <v>2016</v>
      </c>
      <c r="R373" s="17">
        <f t="shared" si="544"/>
        <v>15700</v>
      </c>
      <c r="S373" s="14">
        <f>VLOOKUP(I373,[1]Lookups!$V$3:$Y$197,4,FALSE)</f>
        <v>0</v>
      </c>
      <c r="T373" s="14" t="str">
        <f>VLOOKUP(E373,[1]Lookups!$H$3:$I$71,2,FALSE)</f>
        <v>1. Grant</v>
      </c>
      <c r="U373" s="14" t="str">
        <f>VLOOKUP(K373,[1]Lookups!$B$3:$C$142,2,FALSE)</f>
        <v>Other Technologies &amp; Information Technology</v>
      </c>
      <c r="V373" s="14">
        <f t="shared" si="396"/>
        <v>2017</v>
      </c>
      <c r="W373" s="14">
        <f t="shared" si="397"/>
        <v>12</v>
      </c>
      <c r="X373" s="14">
        <f>VLOOKUP(W373,[1]Lookups!$P$3:$S$15,2,FALSE)</f>
        <v>4</v>
      </c>
      <c r="Y373" s="16">
        <f>VLOOKUP(W373,[1]Lookups!$P$3:$U$15,3,FALSE)</f>
        <v>2</v>
      </c>
      <c r="Z373" s="16">
        <f t="shared" si="398"/>
        <v>1</v>
      </c>
      <c r="AA373" s="16" t="str">
        <f t="shared" ca="1" si="552"/>
        <v>Finnfund (Finnish Fund for Industrial Cooperation Ltd.)</v>
      </c>
      <c r="AB373" s="16">
        <f t="shared" si="552"/>
        <v>0</v>
      </c>
      <c r="AC373" s="16">
        <f t="shared" si="552"/>
        <v>0</v>
      </c>
      <c r="AD373" s="16">
        <f t="shared" si="552"/>
        <v>0</v>
      </c>
      <c r="AE373" s="16">
        <f t="shared" si="552"/>
        <v>0</v>
      </c>
      <c r="AF373" s="16">
        <f t="shared" si="552"/>
        <v>0</v>
      </c>
      <c r="AG373" s="16">
        <f t="shared" si="552"/>
        <v>0</v>
      </c>
      <c r="AH373" s="16">
        <f t="shared" si="552"/>
        <v>0</v>
      </c>
      <c r="AI373" s="16">
        <f t="shared" si="552"/>
        <v>0</v>
      </c>
      <c r="AJ373" s="16">
        <f t="shared" si="552"/>
        <v>0</v>
      </c>
      <c r="AK373" s="16">
        <f t="shared" si="552"/>
        <v>0</v>
      </c>
      <c r="AL373" s="16">
        <f t="shared" si="552"/>
        <v>0</v>
      </c>
      <c r="AM373" s="16">
        <f t="shared" si="552"/>
        <v>0</v>
      </c>
      <c r="AN373" s="16">
        <f t="shared" si="552"/>
        <v>0</v>
      </c>
      <c r="AO373" s="16">
        <f t="shared" si="552"/>
        <v>0</v>
      </c>
      <c r="AP373" s="10"/>
      <c r="AQ373" s="10"/>
      <c r="AR373" s="10"/>
      <c r="AS373" s="10" t="str">
        <f t="shared" ref="AS373" ca="1" si="560">IFERROR(__xludf.DUMMYFUNCTION("split(F359,"","",true,true)"),"Finnfund (Finnish Fund for Industrial Cooperation Ltd.)")</f>
        <v>Finnfund (Finnish Fund for Industrial Cooperation Ltd.)</v>
      </c>
      <c r="AT373" s="10"/>
      <c r="AU373" s="10"/>
      <c r="AV373" s="10"/>
      <c r="AW373" s="10"/>
      <c r="AX373" s="10"/>
      <c r="AY373" s="10"/>
      <c r="AZ373" s="10"/>
      <c r="BA373" s="10"/>
      <c r="BB373" s="10"/>
      <c r="BC373" s="10"/>
      <c r="BD373" s="10"/>
      <c r="BE373" s="10"/>
      <c r="BF373" s="10"/>
      <c r="BG373" s="10"/>
      <c r="BH373" s="10"/>
      <c r="BI373" s="10"/>
      <c r="BJ373" s="10"/>
      <c r="BK373" s="10"/>
      <c r="BM373" s="10"/>
    </row>
    <row r="374" spans="1:65" ht="12.75">
      <c r="A374" s="9">
        <v>43074</v>
      </c>
      <c r="B374" s="10" t="s">
        <v>867</v>
      </c>
      <c r="C374" s="11">
        <v>1100000</v>
      </c>
      <c r="D374" s="12"/>
      <c r="E374" s="10" t="s">
        <v>91</v>
      </c>
      <c r="F374" s="10" t="s">
        <v>868</v>
      </c>
      <c r="G374" s="13" t="s">
        <v>869</v>
      </c>
      <c r="H374" s="14" t="str">
        <f t="array" ref="H374">IFERROR(INDEX([1]Companies!$G:$G,MATCH(B374,[1]Companies!$A:$A,0)),"")</f>
        <v>South Africa</v>
      </c>
      <c r="I374" s="14" t="str">
        <f t="shared" si="539"/>
        <v>South Africa</v>
      </c>
      <c r="J374" s="14">
        <f t="array" ref="J374">IFERROR(INDEX([1]Companies!$Y:$Y,MATCH(B374,[1]Companies!$A:$A,0)),"")</f>
        <v>0</v>
      </c>
      <c r="K374" s="14" t="str">
        <f t="array" ref="K374">IFERROR(INDEX([1]Companies!$X:$X,MATCH(B374,[1]Companies!$A:$A,0)),"")</f>
        <v>Education</v>
      </c>
      <c r="L374" s="14" t="str">
        <f>VLOOKUP(B374,[1]Companies!$A$1:$C$5243,1,FALSE)</f>
        <v>Enko Education</v>
      </c>
      <c r="M374" s="15">
        <f t="shared" si="540"/>
        <v>0.9</v>
      </c>
      <c r="N374" s="10" t="str">
        <f t="shared" si="541"/>
        <v>43074Enko Education1100000</v>
      </c>
      <c r="O374" s="14" t="str">
        <f t="shared" si="542"/>
        <v/>
      </c>
      <c r="P374" s="14">
        <f t="shared" si="543"/>
        <v>1</v>
      </c>
      <c r="Q374" s="14">
        <f t="array" ref="Q374">IFERROR(INDEX([1]Companies!$D:$D,MATCH(B374,[1]Companies!$A:$A,0)),"")</f>
        <v>2013</v>
      </c>
      <c r="R374" s="17">
        <f t="shared" si="544"/>
        <v>4700000</v>
      </c>
      <c r="S374" s="14">
        <f>VLOOKUP(I374,[1]Lookups!$V$3:$Y$197,4,FALSE)</f>
        <v>0</v>
      </c>
      <c r="T374" s="14" t="str">
        <f>VLOOKUP(E374,[1]Lookups!$H$3:$I$71,2,FALSE)</f>
        <v>5. Debt Financing</v>
      </c>
      <c r="U374" s="14" t="str">
        <f>VLOOKUP(K374,[1]Lookups!$B$3:$C$142,2,FALSE)</f>
        <v>Education</v>
      </c>
      <c r="V374" s="14">
        <f t="shared" si="396"/>
        <v>2017</v>
      </c>
      <c r="W374" s="14">
        <f t="shared" si="397"/>
        <v>12</v>
      </c>
      <c r="X374" s="14">
        <f>VLOOKUP(W374,[1]Lookups!$P$3:$S$15,2,FALSE)</f>
        <v>4</v>
      </c>
      <c r="Y374" s="16">
        <f>VLOOKUP(W374,[1]Lookups!$P$3:$U$15,3,FALSE)</f>
        <v>2</v>
      </c>
      <c r="Z374" s="16">
        <f t="shared" si="398"/>
        <v>1</v>
      </c>
      <c r="AA374" s="16" t="str">
        <f t="shared" ca="1" si="552"/>
        <v>Finnfund (Finnish Fund for Industrial Cooperation Ltd.)</v>
      </c>
      <c r="AB374" s="16">
        <f t="shared" si="552"/>
        <v>0</v>
      </c>
      <c r="AC374" s="16">
        <f t="shared" si="552"/>
        <v>0</v>
      </c>
      <c r="AD374" s="16">
        <f t="shared" si="552"/>
        <v>0</v>
      </c>
      <c r="AE374" s="16">
        <f t="shared" si="552"/>
        <v>0</v>
      </c>
      <c r="AF374" s="16">
        <f t="shared" si="552"/>
        <v>0</v>
      </c>
      <c r="AG374" s="16">
        <f t="shared" si="552"/>
        <v>0</v>
      </c>
      <c r="AH374" s="16">
        <f t="shared" si="552"/>
        <v>0</v>
      </c>
      <c r="AI374" s="16">
        <f t="shared" si="552"/>
        <v>0</v>
      </c>
      <c r="AJ374" s="16">
        <f t="shared" si="552"/>
        <v>0</v>
      </c>
      <c r="AK374" s="16">
        <f t="shared" si="552"/>
        <v>0</v>
      </c>
      <c r="AL374" s="16">
        <f t="shared" si="552"/>
        <v>0</v>
      </c>
      <c r="AM374" s="16">
        <f t="shared" si="552"/>
        <v>0</v>
      </c>
      <c r="AN374" s="16">
        <f t="shared" si="552"/>
        <v>0</v>
      </c>
      <c r="AO374" s="16">
        <f t="shared" si="552"/>
        <v>0</v>
      </c>
      <c r="AP374" s="10"/>
      <c r="AQ374" s="10"/>
      <c r="AR374" s="10"/>
      <c r="AS374" s="10" t="str">
        <f t="shared" ref="AS374" ca="1" si="561">IFERROR(__xludf.DUMMYFUNCTION("split(F359,"","",true,true)"),"Finnfund (Finnish Fund for Industrial Cooperation Ltd.)")</f>
        <v>Finnfund (Finnish Fund for Industrial Cooperation Ltd.)</v>
      </c>
      <c r="AT374" s="23"/>
      <c r="AU374" s="23"/>
      <c r="AV374" s="23"/>
      <c r="AW374" s="23"/>
      <c r="AX374" s="23"/>
      <c r="AY374" s="23"/>
      <c r="AZ374" s="23"/>
      <c r="BA374" s="23"/>
      <c r="BB374" s="23"/>
      <c r="BC374" s="23"/>
      <c r="BD374" s="23"/>
      <c r="BE374" s="23"/>
      <c r="BF374" s="23"/>
      <c r="BG374" s="23"/>
      <c r="BH374" s="23"/>
      <c r="BI374" s="23"/>
      <c r="BJ374" s="23"/>
      <c r="BK374" s="23"/>
      <c r="BM374" s="23"/>
    </row>
    <row r="375" spans="1:65" ht="12.75">
      <c r="A375" s="9">
        <v>43074</v>
      </c>
      <c r="B375" s="10" t="s">
        <v>695</v>
      </c>
      <c r="C375" s="11">
        <v>1200</v>
      </c>
      <c r="D375" s="12"/>
      <c r="E375" s="10" t="s">
        <v>55</v>
      </c>
      <c r="F375" s="10" t="s">
        <v>870</v>
      </c>
      <c r="G375" s="13" t="s">
        <v>871</v>
      </c>
      <c r="H375" s="14" t="str">
        <f t="array" ref="H375">IFERROR(INDEX([1]Companies!$G:$G,MATCH(B375,[1]Companies!$A:$A,0)),"")</f>
        <v>Egypt</v>
      </c>
      <c r="I375" s="14" t="str">
        <f t="shared" si="539"/>
        <v>Egypt</v>
      </c>
      <c r="J375" s="14" t="str">
        <f t="array" ref="J375">IFERROR(INDEX([1]Companies!$Y:$Y,MATCH(B375,[1]Companies!$A:$A,0)),"")</f>
        <v>Presentation Software, Presentations, Productivity Tools, Social Media, Software</v>
      </c>
      <c r="K375" s="14" t="str">
        <f t="array" ref="K375">IFERROR(INDEX([1]Companies!$X:$X,MATCH(B375,[1]Companies!$A:$A,0)),"")</f>
        <v>Media &amp; Entertainment</v>
      </c>
      <c r="L375" s="14" t="str">
        <f>VLOOKUP(B375,[1]Companies!$A$1:$C$5243,1,FALSE)</f>
        <v>Imaginators</v>
      </c>
      <c r="M375" s="15">
        <f t="shared" si="540"/>
        <v>0.9</v>
      </c>
      <c r="N375" s="10" t="str">
        <f t="shared" si="541"/>
        <v>43074Imaginators1200</v>
      </c>
      <c r="O375" s="14" t="str">
        <f t="shared" si="542"/>
        <v/>
      </c>
      <c r="P375" s="14">
        <f t="shared" si="543"/>
        <v>1</v>
      </c>
      <c r="Q375" s="14">
        <f t="array" ref="Q375">IFERROR(INDEX([1]Companies!$D:$D,MATCH(B375,[1]Companies!$A:$A,0)),"")</f>
        <v>2016</v>
      </c>
      <c r="R375" s="17">
        <f t="shared" si="544"/>
        <v>7200</v>
      </c>
      <c r="S375" s="14">
        <f>VLOOKUP(I375,[1]Lookups!$V$3:$Y$197,4,FALSE)</f>
        <v>0</v>
      </c>
      <c r="T375" s="14" t="str">
        <f>VLOOKUP(E375,[1]Lookups!$H$3:$I$71,2,FALSE)</f>
        <v>1. Grant</v>
      </c>
      <c r="U375" s="14" t="str">
        <f>VLOOKUP(K375,[1]Lookups!$B$3:$C$142,2,FALSE)</f>
        <v>Media &amp; Entertainment</v>
      </c>
      <c r="V375" s="14">
        <f t="shared" si="396"/>
        <v>2017</v>
      </c>
      <c r="W375" s="14">
        <f t="shared" si="397"/>
        <v>12</v>
      </c>
      <c r="X375" s="14">
        <f>VLOOKUP(W375,[1]Lookups!$P$3:$S$15,2,FALSE)</f>
        <v>4</v>
      </c>
      <c r="Y375" s="16">
        <f>VLOOKUP(W375,[1]Lookups!$P$3:$U$15,3,FALSE)</f>
        <v>2</v>
      </c>
      <c r="Z375" s="16">
        <f t="shared" si="398"/>
        <v>1</v>
      </c>
      <c r="AA375" s="16" t="str">
        <f t="shared" ca="1" si="552"/>
        <v>Finnfund (Finnish Fund for Industrial Cooperation Ltd.)</v>
      </c>
      <c r="AB375" s="16">
        <f t="shared" si="552"/>
        <v>0</v>
      </c>
      <c r="AC375" s="16">
        <f t="shared" si="552"/>
        <v>0</v>
      </c>
      <c r="AD375" s="16">
        <f t="shared" si="552"/>
        <v>0</v>
      </c>
      <c r="AE375" s="16">
        <f t="shared" si="552"/>
        <v>0</v>
      </c>
      <c r="AF375" s="16">
        <f t="shared" si="552"/>
        <v>0</v>
      </c>
      <c r="AG375" s="16">
        <f t="shared" si="552"/>
        <v>0</v>
      </c>
      <c r="AH375" s="16">
        <f t="shared" si="552"/>
        <v>0</v>
      </c>
      <c r="AI375" s="16">
        <f t="shared" si="552"/>
        <v>0</v>
      </c>
      <c r="AJ375" s="16">
        <f t="shared" si="552"/>
        <v>0</v>
      </c>
      <c r="AK375" s="16">
        <f t="shared" si="552"/>
        <v>0</v>
      </c>
      <c r="AL375" s="16">
        <f t="shared" si="552"/>
        <v>0</v>
      </c>
      <c r="AM375" s="16">
        <f t="shared" si="552"/>
        <v>0</v>
      </c>
      <c r="AN375" s="16">
        <f t="shared" si="552"/>
        <v>0</v>
      </c>
      <c r="AO375" s="16">
        <f t="shared" si="552"/>
        <v>0</v>
      </c>
      <c r="AP375" s="10"/>
      <c r="AQ375" s="10"/>
      <c r="AR375" s="10"/>
      <c r="AS375" s="10" t="str">
        <f t="shared" ref="AS375" ca="1" si="562">IFERROR(__xludf.DUMMYFUNCTION("split(F359,"","",true,true)"),"Finnfund (Finnish Fund for Industrial Cooperation Ltd.)")</f>
        <v>Finnfund (Finnish Fund for Industrial Cooperation Ltd.)</v>
      </c>
      <c r="AT375" s="10"/>
      <c r="AU375" s="10"/>
      <c r="AV375" s="10"/>
      <c r="AW375" s="10"/>
      <c r="AX375" s="10"/>
      <c r="AY375" s="10"/>
      <c r="AZ375" s="10"/>
      <c r="BA375" s="10"/>
      <c r="BB375" s="10"/>
      <c r="BC375" s="10"/>
      <c r="BD375" s="10"/>
      <c r="BE375" s="10"/>
      <c r="BF375" s="10"/>
      <c r="BG375" s="10"/>
      <c r="BH375" s="10"/>
      <c r="BI375" s="10"/>
      <c r="BJ375" s="10"/>
      <c r="BK375" s="10"/>
      <c r="BM375" s="10"/>
    </row>
    <row r="376" spans="1:65" ht="12.75">
      <c r="A376" s="9">
        <v>43076</v>
      </c>
      <c r="B376" s="10" t="s">
        <v>872</v>
      </c>
      <c r="C376" s="11">
        <v>400000</v>
      </c>
      <c r="D376" s="12"/>
      <c r="E376" s="10" t="s">
        <v>45</v>
      </c>
      <c r="F376" s="10" t="s">
        <v>49</v>
      </c>
      <c r="G376" s="13" t="s">
        <v>873</v>
      </c>
      <c r="H376" s="14" t="str">
        <f t="array" ref="H376">IFERROR(INDEX([1]Companies!$G:$G,MATCH(B376,[1]Companies!$A:$A,0)),"")</f>
        <v>Egypt</v>
      </c>
      <c r="I376" s="14" t="str">
        <f t="shared" si="539"/>
        <v>Egypt</v>
      </c>
      <c r="J376" s="14" t="str">
        <f t="array" ref="J376">IFERROR(INDEX([1]Companies!$Y:$Y,MATCH(B376,[1]Companies!$A:$A,0)),"")</f>
        <v>Information Technology, Shipping</v>
      </c>
      <c r="K376" s="14" t="str">
        <f t="array" ref="K376">IFERROR(INDEX([1]Companies!$X:$X,MATCH(B376,[1]Companies!$A:$A,0)),"")</f>
        <v>Transport &amp; Logistics</v>
      </c>
      <c r="L376" s="14" t="str">
        <f>VLOOKUP(B376,[1]Companies!$A$1:$C$5243,1,FALSE)</f>
        <v>Trukto Technologies</v>
      </c>
      <c r="M376" s="15">
        <f t="shared" si="540"/>
        <v>0.9</v>
      </c>
      <c r="N376" s="10" t="str">
        <f t="shared" si="541"/>
        <v>43076Trukto Technologies400000</v>
      </c>
      <c r="O376" s="14" t="str">
        <f t="shared" si="542"/>
        <v/>
      </c>
      <c r="P376" s="14">
        <f t="shared" si="543"/>
        <v>1</v>
      </c>
      <c r="Q376" s="14">
        <f t="array" ref="Q376">IFERROR(INDEX([1]Companies!$D:$D,MATCH(B376,[1]Companies!$A:$A,0)),"")</f>
        <v>2017</v>
      </c>
      <c r="R376" s="17">
        <f t="shared" si="544"/>
        <v>400000</v>
      </c>
      <c r="S376" s="14">
        <f>VLOOKUP(I376,[1]Lookups!$V$3:$Y$197,4,FALSE)</f>
        <v>0</v>
      </c>
      <c r="T376" s="14" t="str">
        <f>VLOOKUP(E376,[1]Lookups!$H$3:$I$71,2,FALSE)</f>
        <v>2. Seed</v>
      </c>
      <c r="U376" s="14" t="str">
        <f>VLOOKUP(K376,[1]Lookups!$B$3:$C$142,2,FALSE)</f>
        <v>Transport &amp; Logistics</v>
      </c>
      <c r="V376" s="14">
        <f t="shared" si="396"/>
        <v>2017</v>
      </c>
      <c r="W376" s="14">
        <f t="shared" si="397"/>
        <v>12</v>
      </c>
      <c r="X376" s="14">
        <f>VLOOKUP(W376,[1]Lookups!$P$3:$S$15,2,FALSE)</f>
        <v>4</v>
      </c>
      <c r="Y376" s="16">
        <f>VLOOKUP(W376,[1]Lookups!$P$3:$U$15,3,FALSE)</f>
        <v>2</v>
      </c>
      <c r="Z376" s="16">
        <f t="shared" si="398"/>
        <v>1</v>
      </c>
      <c r="AA376" s="16" t="str">
        <f t="shared" ca="1" si="552"/>
        <v>Finnfund (Finnish Fund for Industrial Cooperation Ltd.)</v>
      </c>
      <c r="AB376" s="16">
        <f t="shared" si="552"/>
        <v>0</v>
      </c>
      <c r="AC376" s="16">
        <f t="shared" si="552"/>
        <v>0</v>
      </c>
      <c r="AD376" s="16">
        <f t="shared" si="552"/>
        <v>0</v>
      </c>
      <c r="AE376" s="16">
        <f t="shared" si="552"/>
        <v>0</v>
      </c>
      <c r="AF376" s="16">
        <f t="shared" si="552"/>
        <v>0</v>
      </c>
      <c r="AG376" s="16">
        <f t="shared" si="552"/>
        <v>0</v>
      </c>
      <c r="AH376" s="16">
        <f t="shared" si="552"/>
        <v>0</v>
      </c>
      <c r="AI376" s="16">
        <f t="shared" si="552"/>
        <v>0</v>
      </c>
      <c r="AJ376" s="16">
        <f t="shared" si="552"/>
        <v>0</v>
      </c>
      <c r="AK376" s="16">
        <f t="shared" si="552"/>
        <v>0</v>
      </c>
      <c r="AL376" s="16">
        <f t="shared" si="552"/>
        <v>0</v>
      </c>
      <c r="AM376" s="16">
        <f t="shared" si="552"/>
        <v>0</v>
      </c>
      <c r="AN376" s="16">
        <f t="shared" si="552"/>
        <v>0</v>
      </c>
      <c r="AO376" s="16">
        <f t="shared" si="552"/>
        <v>0</v>
      </c>
      <c r="AP376" s="10"/>
      <c r="AQ376" s="10"/>
      <c r="AR376" s="10"/>
      <c r="AS376" s="10" t="str">
        <f t="shared" ref="AS376" ca="1" si="563">IFERROR(__xludf.DUMMYFUNCTION("split(F359,"","",true,true)"),"Finnfund (Finnish Fund for Industrial Cooperation Ltd.)")</f>
        <v>Finnfund (Finnish Fund for Industrial Cooperation Ltd.)</v>
      </c>
      <c r="AT376" s="10"/>
      <c r="AU376" s="10"/>
      <c r="AV376" s="10"/>
      <c r="AW376" s="10"/>
      <c r="AX376" s="10"/>
      <c r="AY376" s="10"/>
      <c r="AZ376" s="10"/>
      <c r="BA376" s="10"/>
      <c r="BB376" s="10"/>
      <c r="BC376" s="10"/>
      <c r="BD376" s="10"/>
      <c r="BE376" s="10"/>
      <c r="BF376" s="10"/>
      <c r="BG376" s="10"/>
      <c r="BH376" s="10"/>
      <c r="BI376" s="10"/>
      <c r="BJ376" s="10"/>
      <c r="BK376" s="10"/>
      <c r="BM376" s="10"/>
    </row>
    <row r="377" spans="1:65" ht="12.75">
      <c r="A377" s="18">
        <v>43077</v>
      </c>
      <c r="B377" s="14" t="s">
        <v>874</v>
      </c>
      <c r="C377" s="19">
        <v>2000000</v>
      </c>
      <c r="D377" s="19"/>
      <c r="E377" s="14" t="s">
        <v>45</v>
      </c>
      <c r="F377" s="14" t="s">
        <v>875</v>
      </c>
      <c r="G377" s="21" t="s">
        <v>876</v>
      </c>
      <c r="H377" s="14" t="str">
        <f t="array" ref="H377">IFERROR(INDEX([1]Companies!$G:$G,MATCH(B377,[1]Companies!$A:$A,0)),"")</f>
        <v>Egypt</v>
      </c>
      <c r="I377" s="14" t="str">
        <f t="shared" si="539"/>
        <v>Egypt</v>
      </c>
      <c r="J377" s="14" t="str">
        <f t="array" ref="J377">IFERROR(INDEX([1]Companies!$Y:$Y,MATCH(B377,[1]Companies!$A:$A,0)),"")</f>
        <v>Artificial Intelligence, Machine Learning, Messaging, Mobile, Travel, Virtual Assistant</v>
      </c>
      <c r="K377" s="14" t="str">
        <f t="array" ref="K377">IFERROR(INDEX([1]Companies!$X:$X,MATCH(B377,[1]Companies!$A:$A,0)),"")</f>
        <v>E-Commerce &amp; Retail</v>
      </c>
      <c r="L377" s="14" t="str">
        <f>VLOOKUP(B377,[1]Companies!$A$1:$C$5243,1,FALSE)</f>
        <v>Elves</v>
      </c>
      <c r="M377" s="15">
        <f t="shared" si="540"/>
        <v>0.9</v>
      </c>
      <c r="N377" s="10" t="str">
        <f t="shared" si="541"/>
        <v>43077Elves2000000</v>
      </c>
      <c r="O377" s="14" t="str">
        <f t="shared" si="542"/>
        <v/>
      </c>
      <c r="P377" s="14">
        <f t="shared" si="543"/>
        <v>1</v>
      </c>
      <c r="Q377" s="14">
        <f t="array" ref="Q377">IFERROR(INDEX([1]Companies!$D:$D,MATCH(B377,[1]Companies!$A:$A,0)),"")</f>
        <v>2016</v>
      </c>
      <c r="R377" s="17">
        <f t="shared" si="544"/>
        <v>2000000</v>
      </c>
      <c r="S377" s="14">
        <f>VLOOKUP(I377,[1]Lookups!$V$3:$Y$197,4,FALSE)</f>
        <v>0</v>
      </c>
      <c r="T377" s="14" t="str">
        <f>VLOOKUP(E377,[1]Lookups!$H$3:$I$71,2,FALSE)</f>
        <v>2. Seed</v>
      </c>
      <c r="U377" s="14" t="str">
        <f>VLOOKUP(K377,[1]Lookups!$B$3:$C$142,2,FALSE)</f>
        <v>E-commerce &amp; Retail</v>
      </c>
      <c r="V377" s="14">
        <f t="shared" si="396"/>
        <v>2017</v>
      </c>
      <c r="W377" s="14">
        <f t="shared" si="397"/>
        <v>12</v>
      </c>
      <c r="X377" s="14">
        <f>VLOOKUP(W377,[1]Lookups!$P$3:$S$15,2,FALSE)</f>
        <v>4</v>
      </c>
      <c r="Y377" s="16">
        <f>VLOOKUP(W377,[1]Lookups!$P$3:$U$15,3,FALSE)</f>
        <v>2</v>
      </c>
      <c r="Z377" s="16">
        <f t="shared" si="398"/>
        <v>3</v>
      </c>
      <c r="AA377" s="16" t="str">
        <f t="shared" ca="1" si="552"/>
        <v>Finnfund (Finnish Fund for Industrial Cooperation Ltd.)</v>
      </c>
      <c r="AB377" s="16" t="str">
        <f t="shared" ca="1" si="552"/>
        <v xml:space="preserve"> Kauffman Fellows</v>
      </c>
      <c r="AC377" s="16" t="str">
        <f t="shared" ca="1" si="552"/>
        <v xml:space="preserve"> Dubai Angel Investors</v>
      </c>
      <c r="AD377" s="16">
        <f t="shared" si="552"/>
        <v>0</v>
      </c>
      <c r="AE377" s="16">
        <f t="shared" si="552"/>
        <v>0</v>
      </c>
      <c r="AF377" s="16">
        <f t="shared" si="552"/>
        <v>0</v>
      </c>
      <c r="AG377" s="16">
        <f t="shared" si="552"/>
        <v>0</v>
      </c>
      <c r="AH377" s="16">
        <f t="shared" si="552"/>
        <v>0</v>
      </c>
      <c r="AI377" s="16">
        <f t="shared" si="552"/>
        <v>0</v>
      </c>
      <c r="AJ377" s="16">
        <f t="shared" si="552"/>
        <v>0</v>
      </c>
      <c r="AK377" s="16">
        <f t="shared" si="552"/>
        <v>0</v>
      </c>
      <c r="AL377" s="16">
        <f t="shared" si="552"/>
        <v>0</v>
      </c>
      <c r="AM377" s="16">
        <f t="shared" si="552"/>
        <v>0</v>
      </c>
      <c r="AN377" s="16">
        <f t="shared" si="552"/>
        <v>0</v>
      </c>
      <c r="AO377" s="16">
        <f t="shared" si="552"/>
        <v>0</v>
      </c>
      <c r="AP377" s="10"/>
      <c r="AQ377" s="10"/>
      <c r="AR377" s="10"/>
      <c r="AS377" s="10" t="str">
        <f t="shared" ref="AS377" ca="1" si="564">IFERROR(__xludf.DUMMYFUNCTION("split(F359,"","",true,true)"),"Finnfund (Finnish Fund for Industrial Cooperation Ltd.)")</f>
        <v>Finnfund (Finnish Fund for Industrial Cooperation Ltd.)</v>
      </c>
      <c r="AT377" s="10" t="str">
        <f ca="1">IFERROR(__xludf.DUMMYFUNCTION("""COMPUTED_VALUE""")," Kauffman Fellows")</f>
        <v xml:space="preserve"> Kauffman Fellows</v>
      </c>
      <c r="AU377" s="10" t="str">
        <f ca="1">IFERROR(__xludf.DUMMYFUNCTION("""COMPUTED_VALUE""")," Dubai Angel Investors")</f>
        <v xml:space="preserve"> Dubai Angel Investors</v>
      </c>
      <c r="AV377" s="10"/>
      <c r="AW377" s="10"/>
      <c r="AX377" s="10"/>
      <c r="AY377" s="10"/>
      <c r="AZ377" s="10"/>
      <c r="BA377" s="10"/>
      <c r="BB377" s="10"/>
      <c r="BC377" s="10"/>
      <c r="BD377" s="10"/>
      <c r="BE377" s="10"/>
      <c r="BF377" s="10"/>
      <c r="BG377" s="10"/>
      <c r="BH377" s="10"/>
      <c r="BI377" s="10"/>
      <c r="BJ377" s="10"/>
      <c r="BK377" s="10"/>
      <c r="BM377" s="10"/>
    </row>
    <row r="378" spans="1:65" ht="12.75">
      <c r="A378" s="9">
        <v>43079</v>
      </c>
      <c r="B378" s="10" t="s">
        <v>771</v>
      </c>
      <c r="C378" s="11">
        <v>33800</v>
      </c>
      <c r="D378" s="12"/>
      <c r="E378" s="10" t="s">
        <v>91</v>
      </c>
      <c r="F378" s="10" t="s">
        <v>877</v>
      </c>
      <c r="G378" s="13" t="s">
        <v>878</v>
      </c>
      <c r="H378" s="14" t="str">
        <f t="array" ref="H378">IFERROR(INDEX([1]Companies!$G:$G,MATCH(B378,[1]Companies!$A:$A,0)),"")</f>
        <v>Uganda</v>
      </c>
      <c r="I378" s="14" t="str">
        <f t="shared" si="539"/>
        <v>Uganda</v>
      </c>
      <c r="J378" s="14" t="str">
        <f t="array" ref="J378">IFERROR(INDEX([1]Companies!$Y:$Y,MATCH(B378,[1]Companies!$A:$A,0)),"")</f>
        <v>Blockchain, Cryptocurrency, FinTech, InsurTech, Mobile Payments</v>
      </c>
      <c r="K378" s="14" t="str">
        <f t="array" ref="K378">IFERROR(INDEX([1]Companies!$X:$X,MATCH(B378,[1]Companies!$A:$A,0)),"")</f>
        <v>Financial Services</v>
      </c>
      <c r="L378" s="14" t="str">
        <f>VLOOKUP(B378,[1]Companies!$A$1:$C$5243,1,FALSE)</f>
        <v>Eversend</v>
      </c>
      <c r="M378" s="15">
        <f t="shared" si="540"/>
        <v>0.9</v>
      </c>
      <c r="N378" s="10" t="str">
        <f t="shared" si="541"/>
        <v>43079Eversend33800</v>
      </c>
      <c r="O378" s="14" t="str">
        <f t="shared" si="542"/>
        <v/>
      </c>
      <c r="P378" s="14">
        <f t="shared" si="543"/>
        <v>1</v>
      </c>
      <c r="Q378" s="14">
        <f t="array" ref="Q378">IFERROR(INDEX([1]Companies!$D:$D,MATCH(B378,[1]Companies!$A:$A,0)),"")</f>
        <v>2017</v>
      </c>
      <c r="R378" s="17">
        <f t="shared" si="544"/>
        <v>255000</v>
      </c>
      <c r="S378" s="14">
        <f>VLOOKUP(I378,[1]Lookups!$V$3:$Y$197,4,FALSE)</f>
        <v>0</v>
      </c>
      <c r="T378" s="14" t="str">
        <f>VLOOKUP(E378,[1]Lookups!$H$3:$I$71,2,FALSE)</f>
        <v>5. Debt Financing</v>
      </c>
      <c r="U378" s="14" t="str">
        <f>VLOOKUP(K378,[1]Lookups!$B$3:$C$142,2,FALSE)</f>
        <v>Financial Services</v>
      </c>
      <c r="V378" s="14">
        <f t="shared" si="396"/>
        <v>2017</v>
      </c>
      <c r="W378" s="14">
        <f t="shared" si="397"/>
        <v>12</v>
      </c>
      <c r="X378" s="14">
        <f>VLOOKUP(W378,[1]Lookups!$P$3:$S$15,2,FALSE)</f>
        <v>4</v>
      </c>
      <c r="Y378" s="16">
        <f>VLOOKUP(W378,[1]Lookups!$P$3:$U$15,3,FALSE)</f>
        <v>2</v>
      </c>
      <c r="Z378" s="16">
        <f t="shared" si="398"/>
        <v>1</v>
      </c>
      <c r="AA378" s="16" t="str">
        <f t="shared" ca="1" si="552"/>
        <v>Finnfund (Finnish Fund for Industrial Cooperation Ltd.)</v>
      </c>
      <c r="AB378" s="16">
        <f t="shared" si="552"/>
        <v>0</v>
      </c>
      <c r="AC378" s="16">
        <f t="shared" si="552"/>
        <v>0</v>
      </c>
      <c r="AD378" s="16">
        <f t="shared" si="552"/>
        <v>0</v>
      </c>
      <c r="AE378" s="16">
        <f t="shared" si="552"/>
        <v>0</v>
      </c>
      <c r="AF378" s="16">
        <f t="shared" si="552"/>
        <v>0</v>
      </c>
      <c r="AG378" s="16">
        <f t="shared" si="552"/>
        <v>0</v>
      </c>
      <c r="AH378" s="16">
        <f t="shared" si="552"/>
        <v>0</v>
      </c>
      <c r="AI378" s="16">
        <f t="shared" si="552"/>
        <v>0</v>
      </c>
      <c r="AJ378" s="16">
        <f t="shared" si="552"/>
        <v>0</v>
      </c>
      <c r="AK378" s="16">
        <f t="shared" si="552"/>
        <v>0</v>
      </c>
      <c r="AL378" s="16">
        <f t="shared" si="552"/>
        <v>0</v>
      </c>
      <c r="AM378" s="16">
        <f t="shared" si="552"/>
        <v>0</v>
      </c>
      <c r="AN378" s="16">
        <f t="shared" si="552"/>
        <v>0</v>
      </c>
      <c r="AO378" s="16">
        <f t="shared" si="552"/>
        <v>0</v>
      </c>
      <c r="AP378" s="10"/>
      <c r="AQ378" s="10"/>
      <c r="AR378" s="10"/>
      <c r="AS378" s="10" t="str">
        <f t="shared" ref="AS378" ca="1" si="565">IFERROR(__xludf.DUMMYFUNCTION("split(F359,"","",true,true)"),"Finnfund (Finnish Fund for Industrial Cooperation Ltd.)")</f>
        <v>Finnfund (Finnish Fund for Industrial Cooperation Ltd.)</v>
      </c>
      <c r="AT378" s="10"/>
      <c r="AU378" s="10"/>
      <c r="AV378" s="10"/>
      <c r="AW378" s="10"/>
      <c r="AX378" s="10"/>
      <c r="AY378" s="10"/>
      <c r="AZ378" s="10"/>
      <c r="BA378" s="10"/>
      <c r="BB378" s="10"/>
      <c r="BC378" s="10"/>
      <c r="BD378" s="10"/>
      <c r="BE378" s="10"/>
      <c r="BF378" s="10"/>
      <c r="BG378" s="10"/>
      <c r="BH378" s="10"/>
      <c r="BI378" s="10"/>
      <c r="BJ378" s="10"/>
      <c r="BK378" s="10"/>
      <c r="BM378" s="10"/>
    </row>
    <row r="379" spans="1:65" ht="12.75">
      <c r="A379" s="9">
        <v>43079</v>
      </c>
      <c r="B379" s="10" t="s">
        <v>771</v>
      </c>
      <c r="C379" s="11">
        <v>25000</v>
      </c>
      <c r="D379" s="12"/>
      <c r="E379" s="10" t="s">
        <v>234</v>
      </c>
      <c r="F379" s="10" t="s">
        <v>879</v>
      </c>
      <c r="G379" s="13" t="s">
        <v>880</v>
      </c>
      <c r="H379" s="14" t="str">
        <f t="array" ref="H379">IFERROR(INDEX([1]Companies!$G:$G,MATCH(B379,[1]Companies!$A:$A,0)),"")</f>
        <v>Uganda</v>
      </c>
      <c r="I379" s="14" t="str">
        <f t="shared" si="539"/>
        <v>Uganda</v>
      </c>
      <c r="J379" s="14" t="str">
        <f t="array" ref="J379">IFERROR(INDEX([1]Companies!$Y:$Y,MATCH(B379,[1]Companies!$A:$A,0)),"")</f>
        <v>Blockchain, Cryptocurrency, FinTech, InsurTech, Mobile Payments</v>
      </c>
      <c r="K379" s="14" t="str">
        <f t="array" ref="K379">IFERROR(INDEX([1]Companies!$X:$X,MATCH(B379,[1]Companies!$A:$A,0)),"")</f>
        <v>Financial Services</v>
      </c>
      <c r="L379" s="14" t="str">
        <f>VLOOKUP(B379,[1]Companies!$A$1:$C$5243,1,FALSE)</f>
        <v>Eversend</v>
      </c>
      <c r="M379" s="15">
        <f t="shared" si="540"/>
        <v>0.9</v>
      </c>
      <c r="N379" s="10" t="str">
        <f t="shared" si="541"/>
        <v>43079Eversend25000</v>
      </c>
      <c r="O379" s="14" t="str">
        <f t="shared" si="542"/>
        <v/>
      </c>
      <c r="P379" s="14">
        <f t="shared" si="543"/>
        <v>1</v>
      </c>
      <c r="Q379" s="14">
        <f t="array" ref="Q379">IFERROR(INDEX([1]Companies!$D:$D,MATCH(B379,[1]Companies!$A:$A,0)),"")</f>
        <v>2017</v>
      </c>
      <c r="R379" s="17">
        <f t="shared" si="544"/>
        <v>255000</v>
      </c>
      <c r="S379" s="14">
        <f>VLOOKUP(I379,[1]Lookups!$V$3:$Y$197,4,FALSE)</f>
        <v>0</v>
      </c>
      <c r="T379" s="14" t="str">
        <f>VLOOKUP(E379,[1]Lookups!$H$3:$I$71,2,FALSE)</f>
        <v>2. Seed</v>
      </c>
      <c r="U379" s="14" t="str">
        <f>VLOOKUP(K379,[1]Lookups!$B$3:$C$142,2,FALSE)</f>
        <v>Financial Services</v>
      </c>
      <c r="V379" s="14">
        <f t="shared" si="396"/>
        <v>2017</v>
      </c>
      <c r="W379" s="14">
        <f t="shared" si="397"/>
        <v>12</v>
      </c>
      <c r="X379" s="14">
        <f>VLOOKUP(W379,[1]Lookups!$P$3:$S$15,2,FALSE)</f>
        <v>4</v>
      </c>
      <c r="Y379" s="16">
        <f>VLOOKUP(W379,[1]Lookups!$P$3:$U$15,3,FALSE)</f>
        <v>2</v>
      </c>
      <c r="Z379" s="16">
        <f t="shared" si="398"/>
        <v>1</v>
      </c>
      <c r="AA379" s="16" t="str">
        <f t="shared" ca="1" si="552"/>
        <v>Finnfund (Finnish Fund for Industrial Cooperation Ltd.)</v>
      </c>
      <c r="AB379" s="16">
        <f t="shared" si="552"/>
        <v>0</v>
      </c>
      <c r="AC379" s="16">
        <f t="shared" si="552"/>
        <v>0</v>
      </c>
      <c r="AD379" s="16">
        <f t="shared" si="552"/>
        <v>0</v>
      </c>
      <c r="AE379" s="16">
        <f t="shared" si="552"/>
        <v>0</v>
      </c>
      <c r="AF379" s="16">
        <f t="shared" si="552"/>
        <v>0</v>
      </c>
      <c r="AG379" s="16">
        <f t="shared" si="552"/>
        <v>0</v>
      </c>
      <c r="AH379" s="16">
        <f t="shared" si="552"/>
        <v>0</v>
      </c>
      <c r="AI379" s="16">
        <f t="shared" si="552"/>
        <v>0</v>
      </c>
      <c r="AJ379" s="16">
        <f t="shared" si="552"/>
        <v>0</v>
      </c>
      <c r="AK379" s="16">
        <f t="shared" si="552"/>
        <v>0</v>
      </c>
      <c r="AL379" s="16">
        <f t="shared" si="552"/>
        <v>0</v>
      </c>
      <c r="AM379" s="16">
        <f t="shared" si="552"/>
        <v>0</v>
      </c>
      <c r="AN379" s="16">
        <f t="shared" si="552"/>
        <v>0</v>
      </c>
      <c r="AO379" s="16">
        <f t="shared" si="552"/>
        <v>0</v>
      </c>
      <c r="AP379" s="10"/>
      <c r="AQ379" s="10"/>
      <c r="AR379" s="10"/>
      <c r="AS379" s="10" t="str">
        <f t="shared" ref="AS379" ca="1" si="566">IFERROR(__xludf.DUMMYFUNCTION("split(F359,"","",true,true)"),"Finnfund (Finnish Fund for Industrial Cooperation Ltd.)")</f>
        <v>Finnfund (Finnish Fund for Industrial Cooperation Ltd.)</v>
      </c>
      <c r="AT379" s="10"/>
      <c r="AU379" s="10"/>
      <c r="AV379" s="10"/>
      <c r="AW379" s="10"/>
      <c r="AX379" s="10"/>
      <c r="AY379" s="10"/>
      <c r="AZ379" s="10"/>
      <c r="BA379" s="10"/>
      <c r="BB379" s="10"/>
      <c r="BC379" s="10"/>
      <c r="BD379" s="10"/>
      <c r="BE379" s="10"/>
      <c r="BF379" s="10"/>
      <c r="BG379" s="10"/>
      <c r="BH379" s="10"/>
      <c r="BI379" s="10"/>
      <c r="BJ379" s="10"/>
      <c r="BK379" s="10"/>
      <c r="BM379" s="10"/>
    </row>
    <row r="380" spans="1:65" ht="12.75">
      <c r="A380" s="9">
        <v>43080</v>
      </c>
      <c r="B380" s="10" t="s">
        <v>881</v>
      </c>
      <c r="C380" s="11">
        <v>167800</v>
      </c>
      <c r="D380" s="12"/>
      <c r="E380" s="10" t="s">
        <v>45</v>
      </c>
      <c r="F380" s="10" t="s">
        <v>49</v>
      </c>
      <c r="G380" s="13" t="s">
        <v>882</v>
      </c>
      <c r="H380" s="14" t="str">
        <f t="array" ref="H380">IFERROR(INDEX([1]Companies!$G:$G,MATCH(B380,[1]Companies!$A:$A,0)),"")</f>
        <v>South Africa</v>
      </c>
      <c r="I380" s="14" t="str">
        <f t="shared" si="539"/>
        <v>South Africa</v>
      </c>
      <c r="J380" s="14" t="str">
        <f t="array" ref="J380">IFERROR(INDEX([1]Companies!$Y:$Y,MATCH(B380,[1]Companies!$A:$A,0)),"")</f>
        <v>Communities, Consumer, Marketplace, Mobile Apps, Parking, Peer to Peer, Self-Storage</v>
      </c>
      <c r="K380" s="14" t="str">
        <f t="array" ref="K380">IFERROR(INDEX([1]Companies!$X:$X,MATCH(B380,[1]Companies!$A:$A,0)),"")</f>
        <v>Real estate</v>
      </c>
      <c r="L380" s="14" t="str">
        <f>VLOOKUP(B380,[1]Companies!$A$1:$C$5243,1,FALSE)</f>
        <v>Sxuirrel</v>
      </c>
      <c r="M380" s="15">
        <f t="shared" si="540"/>
        <v>0.9</v>
      </c>
      <c r="N380" s="10" t="str">
        <f t="shared" si="541"/>
        <v>43080Sxuirrel167800</v>
      </c>
      <c r="O380" s="14" t="str">
        <f t="shared" si="542"/>
        <v/>
      </c>
      <c r="P380" s="14">
        <f t="shared" si="543"/>
        <v>1</v>
      </c>
      <c r="Q380" s="14">
        <f t="array" ref="Q380">IFERROR(INDEX([1]Companies!$D:$D,MATCH(B380,[1]Companies!$A:$A,0)),"")</f>
        <v>2015</v>
      </c>
      <c r="R380" s="17">
        <f t="shared" si="544"/>
        <v>343800</v>
      </c>
      <c r="S380" s="14">
        <f>VLOOKUP(I380,[1]Lookups!$V$3:$Y$197,4,FALSE)</f>
        <v>0</v>
      </c>
      <c r="T380" s="14" t="str">
        <f>VLOOKUP(E380,[1]Lookups!$H$3:$I$71,2,FALSE)</f>
        <v>2. Seed</v>
      </c>
      <c r="U380" s="14" t="str">
        <f>VLOOKUP(K380,[1]Lookups!$B$3:$C$142,2,FALSE)</f>
        <v>Construction &amp; Real Estate</v>
      </c>
      <c r="V380" s="14">
        <f t="shared" si="396"/>
        <v>2017</v>
      </c>
      <c r="W380" s="14">
        <f t="shared" si="397"/>
        <v>12</v>
      </c>
      <c r="X380" s="14">
        <f>VLOOKUP(W380,[1]Lookups!$P$3:$S$15,2,FALSE)</f>
        <v>4</v>
      </c>
      <c r="Y380" s="16">
        <f>VLOOKUP(W380,[1]Lookups!$P$3:$U$15,3,FALSE)</f>
        <v>2</v>
      </c>
      <c r="Z380" s="16">
        <f t="shared" si="398"/>
        <v>1</v>
      </c>
      <c r="AA380" s="16" t="str">
        <f t="shared" ca="1" si="552"/>
        <v>Finnfund (Finnish Fund for Industrial Cooperation Ltd.)</v>
      </c>
      <c r="AB380" s="16">
        <f t="shared" si="552"/>
        <v>0</v>
      </c>
      <c r="AC380" s="16">
        <f t="shared" si="552"/>
        <v>0</v>
      </c>
      <c r="AD380" s="16">
        <f t="shared" si="552"/>
        <v>0</v>
      </c>
      <c r="AE380" s="16">
        <f t="shared" si="552"/>
        <v>0</v>
      </c>
      <c r="AF380" s="16">
        <f t="shared" si="552"/>
        <v>0</v>
      </c>
      <c r="AG380" s="16">
        <f t="shared" si="552"/>
        <v>0</v>
      </c>
      <c r="AH380" s="16">
        <f t="shared" si="552"/>
        <v>0</v>
      </c>
      <c r="AI380" s="16">
        <f t="shared" si="552"/>
        <v>0</v>
      </c>
      <c r="AJ380" s="16">
        <f t="shared" si="552"/>
        <v>0</v>
      </c>
      <c r="AK380" s="16">
        <f t="shared" si="552"/>
        <v>0</v>
      </c>
      <c r="AL380" s="16">
        <f t="shared" si="552"/>
        <v>0</v>
      </c>
      <c r="AM380" s="16">
        <f t="shared" si="552"/>
        <v>0</v>
      </c>
      <c r="AN380" s="16">
        <f t="shared" si="552"/>
        <v>0</v>
      </c>
      <c r="AO380" s="16">
        <f t="shared" si="552"/>
        <v>0</v>
      </c>
      <c r="AP380" s="10"/>
      <c r="AQ380" s="10"/>
      <c r="AR380" s="10"/>
      <c r="AS380" s="10" t="str">
        <f t="shared" ref="AS380:AS381" ca="1" si="567">IFERROR(__xludf.DUMMYFUNCTION("split(F359,"","",true,true)"),"Finnfund (Finnish Fund for Industrial Cooperation Ltd.)")</f>
        <v>Finnfund (Finnish Fund for Industrial Cooperation Ltd.)</v>
      </c>
      <c r="AT380" s="10"/>
      <c r="AU380" s="10"/>
      <c r="AV380" s="10"/>
      <c r="AW380" s="10"/>
      <c r="AX380" s="10"/>
      <c r="AY380" s="10"/>
      <c r="AZ380" s="10"/>
      <c r="BA380" s="10"/>
      <c r="BB380" s="10"/>
      <c r="BC380" s="10"/>
      <c r="BD380" s="10"/>
      <c r="BE380" s="10"/>
      <c r="BF380" s="10"/>
      <c r="BG380" s="10"/>
      <c r="BH380" s="10"/>
      <c r="BI380" s="10"/>
      <c r="BJ380" s="10"/>
      <c r="BK380" s="10"/>
      <c r="BM380" s="10"/>
    </row>
    <row r="381" spans="1:65" ht="12.75">
      <c r="A381" s="9">
        <v>43080</v>
      </c>
      <c r="B381" s="10" t="s">
        <v>295</v>
      </c>
      <c r="C381" s="11">
        <v>50000</v>
      </c>
      <c r="D381" s="12"/>
      <c r="E381" s="10" t="s">
        <v>55</v>
      </c>
      <c r="F381" s="10" t="s">
        <v>883</v>
      </c>
      <c r="G381" s="13" t="s">
        <v>884</v>
      </c>
      <c r="H381" s="14"/>
      <c r="I381" s="14"/>
      <c r="J381" s="14"/>
      <c r="K381" s="14"/>
      <c r="L381" s="14"/>
      <c r="M381" s="15"/>
      <c r="N381" s="10"/>
      <c r="O381" s="14"/>
      <c r="P381" s="14"/>
      <c r="Q381" s="14"/>
      <c r="R381" s="14"/>
      <c r="S381" s="14"/>
      <c r="T381" s="14"/>
      <c r="U381" s="14"/>
      <c r="V381" s="14">
        <f t="shared" si="396"/>
        <v>2017</v>
      </c>
      <c r="W381" s="14">
        <f t="shared" si="397"/>
        <v>12</v>
      </c>
      <c r="X381" s="14">
        <f>VLOOKUP(W381,[1]Lookups!$P$3:$S$15,2,FALSE)</f>
        <v>4</v>
      </c>
      <c r="Y381" s="16">
        <f>VLOOKUP(W381,[1]Lookups!$P$3:$U$15,3,FALSE)</f>
        <v>2</v>
      </c>
      <c r="Z381" s="16">
        <f t="shared" si="398"/>
        <v>1</v>
      </c>
      <c r="AA381" s="16" t="str">
        <f t="shared" ca="1" si="552"/>
        <v>Finnfund (Finnish Fund for Industrial Cooperation Ltd.)</v>
      </c>
      <c r="AB381" s="16">
        <f t="shared" si="552"/>
        <v>0</v>
      </c>
      <c r="AC381" s="16">
        <f t="shared" si="552"/>
        <v>0</v>
      </c>
      <c r="AD381" s="16">
        <f t="shared" si="552"/>
        <v>0</v>
      </c>
      <c r="AE381" s="16">
        <f t="shared" si="552"/>
        <v>0</v>
      </c>
      <c r="AF381" s="16">
        <f t="shared" si="552"/>
        <v>0</v>
      </c>
      <c r="AG381" s="16">
        <f t="shared" si="552"/>
        <v>0</v>
      </c>
      <c r="AH381" s="16">
        <f t="shared" si="552"/>
        <v>0</v>
      </c>
      <c r="AI381" s="16">
        <f t="shared" si="552"/>
        <v>0</v>
      </c>
      <c r="AJ381" s="16">
        <f t="shared" si="552"/>
        <v>0</v>
      </c>
      <c r="AK381" s="16">
        <f t="shared" si="552"/>
        <v>0</v>
      </c>
      <c r="AL381" s="16">
        <f t="shared" si="552"/>
        <v>0</v>
      </c>
      <c r="AM381" s="16">
        <f t="shared" si="552"/>
        <v>0</v>
      </c>
      <c r="AN381" s="16">
        <f t="shared" si="552"/>
        <v>0</v>
      </c>
      <c r="AO381" s="16">
        <f t="shared" si="552"/>
        <v>0</v>
      </c>
      <c r="AP381" s="10"/>
      <c r="AQ381" s="10"/>
      <c r="AR381" s="10"/>
      <c r="AS381" s="10" t="str">
        <f t="shared" ca="1" si="567"/>
        <v>Finnfund (Finnish Fund for Industrial Cooperation Ltd.)</v>
      </c>
      <c r="AT381" s="10"/>
      <c r="AU381" s="10"/>
      <c r="AV381" s="10"/>
      <c r="AW381" s="10"/>
      <c r="AX381" s="10"/>
      <c r="AY381" s="10"/>
      <c r="AZ381" s="10"/>
      <c r="BA381" s="10"/>
      <c r="BB381" s="10"/>
      <c r="BC381" s="10"/>
      <c r="BD381" s="10"/>
      <c r="BE381" s="10"/>
      <c r="BF381" s="10"/>
      <c r="BG381" s="10"/>
      <c r="BH381" s="10"/>
      <c r="BI381" s="10"/>
      <c r="BJ381" s="10"/>
      <c r="BK381" s="10"/>
      <c r="BM381" s="10"/>
    </row>
    <row r="382" spans="1:65" ht="12.75">
      <c r="A382" s="18">
        <v>43081</v>
      </c>
      <c r="B382" s="14" t="s">
        <v>881</v>
      </c>
      <c r="C382" s="19">
        <v>176000</v>
      </c>
      <c r="D382" s="19"/>
      <c r="E382" s="14" t="s">
        <v>45</v>
      </c>
      <c r="F382" s="14" t="s">
        <v>49</v>
      </c>
      <c r="G382" s="21" t="s">
        <v>885</v>
      </c>
      <c r="H382" s="14" t="str">
        <f t="array" ref="H382">IFERROR(INDEX([1]Companies!$G:$G,MATCH(B382,[1]Companies!$A:$A,0)),"")</f>
        <v>South Africa</v>
      </c>
      <c r="I382" s="14" t="str">
        <f>IF(LEN(TRIM(H382))-LEN(SUBSTITUTE(TRIM(H382),",","")) &gt; 0,TRIM(RIGHT(H382,LEN(H382)-FIND(",",H382))),H382)</f>
        <v>South Africa</v>
      </c>
      <c r="J382" s="14" t="str">
        <f t="array" ref="J382">IFERROR(INDEX([1]Companies!$Y:$Y,MATCH(B382,[1]Companies!$A:$A,0)),"")</f>
        <v>Communities, Consumer, Marketplace, Mobile Apps, Parking, Peer to Peer, Self-Storage</v>
      </c>
      <c r="K382" s="14" t="str">
        <f t="array" ref="K382">IFERROR(INDEX([1]Companies!$X:$X,MATCH(B382,[1]Companies!$A:$A,0)),"")</f>
        <v>Real estate</v>
      </c>
      <c r="L382" s="14" t="str">
        <f>VLOOKUP(B382,[1]Companies!$A$1:$C$5243,1,FALSE)</f>
        <v>Sxuirrel</v>
      </c>
      <c r="M382" s="15">
        <f>COUNTA(B382:K382)/(COUNTBLANK(B382:K382) + COUNTA(B382:K382))</f>
        <v>0.9</v>
      </c>
      <c r="N382" s="10" t="str">
        <f>CONCATENATE(A382,B382,C382)</f>
        <v>43081Sxuirrel176000</v>
      </c>
      <c r="O382" s="14" t="str">
        <f>IF(A382 = "","",IF(COUNTIF(N:N,CONCATENATE(A382,B382,C382))&gt;1,"Duplicated",""))</f>
        <v/>
      </c>
      <c r="P382" s="14">
        <f>IF(C382="Undisclosed",0,1)</f>
        <v>1</v>
      </c>
      <c r="Q382" s="14">
        <f t="array" ref="Q382">IFERROR(INDEX([1]Companies!$D:$D,MATCH(B382,[1]Companies!$A:$A,0)),"")</f>
        <v>2015</v>
      </c>
      <c r="R382" s="17">
        <f>SUMIF(B:B,B382,C:C)</f>
        <v>343800</v>
      </c>
      <c r="S382" s="14">
        <f>VLOOKUP(I382,[1]Lookups!$V$3:$Y$197,4,FALSE)</f>
        <v>0</v>
      </c>
      <c r="T382" s="14" t="str">
        <f>VLOOKUP(E382,[1]Lookups!$H$3:$I$71,2,FALSE)</f>
        <v>2. Seed</v>
      </c>
      <c r="U382" s="14" t="str">
        <f>VLOOKUP(K382,[1]Lookups!$B$3:$C$142,2,FALSE)</f>
        <v>Construction &amp; Real Estate</v>
      </c>
      <c r="V382" s="14">
        <f t="shared" si="396"/>
        <v>2017</v>
      </c>
      <c r="W382" s="14">
        <f t="shared" si="397"/>
        <v>12</v>
      </c>
      <c r="X382" s="14">
        <f>VLOOKUP(W382,[1]Lookups!$P$3:$S$15,2,FALSE)</f>
        <v>4</v>
      </c>
      <c r="Y382" s="16">
        <f>VLOOKUP(W382,[1]Lookups!$P$3:$U$15,3,FALSE)</f>
        <v>2</v>
      </c>
      <c r="Z382" s="16">
        <f t="shared" si="398"/>
        <v>1</v>
      </c>
      <c r="AA382" s="16" t="str">
        <f t="shared" ref="AA382:AO384" ca="1" si="568">AS382</f>
        <v>Finnfund (Finnish Fund for Industrial Cooperation Ltd.)</v>
      </c>
      <c r="AB382" s="16">
        <f t="shared" si="568"/>
        <v>0</v>
      </c>
      <c r="AC382" s="16">
        <f t="shared" si="568"/>
        <v>0</v>
      </c>
      <c r="AD382" s="16">
        <f t="shared" si="568"/>
        <v>0</v>
      </c>
      <c r="AE382" s="16">
        <f t="shared" si="568"/>
        <v>0</v>
      </c>
      <c r="AF382" s="16">
        <f t="shared" si="568"/>
        <v>0</v>
      </c>
      <c r="AG382" s="16">
        <f t="shared" si="568"/>
        <v>0</v>
      </c>
      <c r="AH382" s="16">
        <f t="shared" si="568"/>
        <v>0</v>
      </c>
      <c r="AI382" s="16">
        <f t="shared" si="568"/>
        <v>0</v>
      </c>
      <c r="AJ382" s="16">
        <f t="shared" si="568"/>
        <v>0</v>
      </c>
      <c r="AK382" s="16">
        <f t="shared" si="568"/>
        <v>0</v>
      </c>
      <c r="AL382" s="16">
        <f t="shared" si="568"/>
        <v>0</v>
      </c>
      <c r="AM382" s="16">
        <f t="shared" si="568"/>
        <v>0</v>
      </c>
      <c r="AN382" s="16">
        <f t="shared" si="568"/>
        <v>0</v>
      </c>
      <c r="AO382" s="16">
        <f t="shared" si="568"/>
        <v>0</v>
      </c>
      <c r="AP382" s="10"/>
      <c r="AQ382" s="10"/>
      <c r="AR382" s="10"/>
      <c r="AS382" s="10" t="str">
        <f t="shared" ref="AS382:AS383" ca="1" si="569">IFERROR(__xludf.DUMMYFUNCTION("split(F359,"","",true,true)"),"Finnfund (Finnish Fund for Industrial Cooperation Ltd.)")</f>
        <v>Finnfund (Finnish Fund for Industrial Cooperation Ltd.)</v>
      </c>
      <c r="AT382" s="10"/>
      <c r="AU382" s="10"/>
      <c r="AV382" s="10"/>
      <c r="AW382" s="10"/>
      <c r="AX382" s="10"/>
      <c r="AY382" s="10"/>
      <c r="AZ382" s="10"/>
      <c r="BA382" s="10"/>
      <c r="BB382" s="10"/>
      <c r="BC382" s="10"/>
      <c r="BD382" s="10"/>
      <c r="BE382" s="10"/>
      <c r="BF382" s="10"/>
      <c r="BG382" s="10"/>
      <c r="BH382" s="10"/>
      <c r="BI382" s="10"/>
      <c r="BJ382" s="10"/>
      <c r="BK382" s="10"/>
      <c r="BM382" s="10"/>
    </row>
    <row r="383" spans="1:65" ht="12.75">
      <c r="A383" s="9">
        <v>43084</v>
      </c>
      <c r="B383" s="10" t="s">
        <v>886</v>
      </c>
      <c r="C383" s="11">
        <v>25000</v>
      </c>
      <c r="D383" s="12"/>
      <c r="E383" s="10" t="s">
        <v>55</v>
      </c>
      <c r="F383" s="10" t="s">
        <v>887</v>
      </c>
      <c r="G383" s="13" t="s">
        <v>888</v>
      </c>
      <c r="H383" s="14"/>
      <c r="I383" s="14"/>
      <c r="J383" s="14"/>
      <c r="K383" s="14"/>
      <c r="L383" s="14"/>
      <c r="M383" s="15"/>
      <c r="N383" s="10"/>
      <c r="O383" s="14"/>
      <c r="P383" s="14"/>
      <c r="Q383" s="14"/>
      <c r="R383" s="17"/>
      <c r="S383" s="14"/>
      <c r="T383" s="14"/>
      <c r="U383" s="14"/>
      <c r="V383" s="14">
        <f t="shared" si="396"/>
        <v>2017</v>
      </c>
      <c r="W383" s="14">
        <f t="shared" si="397"/>
        <v>12</v>
      </c>
      <c r="X383" s="14">
        <f>VLOOKUP(W383,[1]Lookups!$P$3:$S$15,2,FALSE)</f>
        <v>4</v>
      </c>
      <c r="Y383" s="16">
        <f>VLOOKUP(W383,[1]Lookups!$P$3:$U$15,3,FALSE)</f>
        <v>2</v>
      </c>
      <c r="Z383" s="16">
        <f t="shared" si="398"/>
        <v>1</v>
      </c>
      <c r="AA383" s="16" t="str">
        <f t="shared" ca="1" si="568"/>
        <v>Finnfund (Finnish Fund for Industrial Cooperation Ltd.)</v>
      </c>
      <c r="AB383" s="16">
        <f t="shared" si="568"/>
        <v>0</v>
      </c>
      <c r="AC383" s="16">
        <f t="shared" si="568"/>
        <v>0</v>
      </c>
      <c r="AD383" s="16">
        <f t="shared" si="568"/>
        <v>0</v>
      </c>
      <c r="AE383" s="16">
        <f t="shared" si="568"/>
        <v>0</v>
      </c>
      <c r="AF383" s="16">
        <f t="shared" si="568"/>
        <v>0</v>
      </c>
      <c r="AG383" s="16">
        <f t="shared" si="568"/>
        <v>0</v>
      </c>
      <c r="AH383" s="16">
        <f t="shared" si="568"/>
        <v>0</v>
      </c>
      <c r="AI383" s="16">
        <f t="shared" si="568"/>
        <v>0</v>
      </c>
      <c r="AJ383" s="16">
        <f t="shared" si="568"/>
        <v>0</v>
      </c>
      <c r="AK383" s="16">
        <f t="shared" si="568"/>
        <v>0</v>
      </c>
      <c r="AL383" s="16">
        <f t="shared" si="568"/>
        <v>0</v>
      </c>
      <c r="AM383" s="16">
        <f t="shared" si="568"/>
        <v>0</v>
      </c>
      <c r="AN383" s="16">
        <f t="shared" si="568"/>
        <v>0</v>
      </c>
      <c r="AO383" s="16">
        <f t="shared" si="568"/>
        <v>0</v>
      </c>
      <c r="AP383" s="10"/>
      <c r="AQ383" s="10"/>
      <c r="AR383" s="10"/>
      <c r="AS383" s="10" t="str">
        <f t="shared" ca="1" si="569"/>
        <v>Finnfund (Finnish Fund for Industrial Cooperation Ltd.)</v>
      </c>
      <c r="AT383" s="10"/>
      <c r="AU383" s="10"/>
      <c r="AV383" s="10"/>
      <c r="AW383" s="10"/>
      <c r="AX383" s="10"/>
      <c r="AY383" s="10"/>
      <c r="AZ383" s="10"/>
      <c r="BA383" s="10"/>
      <c r="BB383" s="10"/>
      <c r="BC383" s="10"/>
      <c r="BD383" s="10"/>
      <c r="BE383" s="10"/>
      <c r="BF383" s="10"/>
      <c r="BG383" s="10"/>
      <c r="BH383" s="10"/>
      <c r="BI383" s="10"/>
      <c r="BJ383" s="10"/>
      <c r="BK383" s="10"/>
      <c r="BM383" s="10"/>
    </row>
    <row r="384" spans="1:65" ht="12.75">
      <c r="A384" s="18">
        <v>43087</v>
      </c>
      <c r="B384" s="14" t="s">
        <v>746</v>
      </c>
      <c r="C384" s="19">
        <v>1000000</v>
      </c>
      <c r="D384" s="22"/>
      <c r="E384" s="14" t="s">
        <v>45</v>
      </c>
      <c r="F384" s="14" t="s">
        <v>889</v>
      </c>
      <c r="G384" s="21" t="s">
        <v>890</v>
      </c>
      <c r="H384" s="14" t="str">
        <f t="array" ref="H384">IFERROR(INDEX([1]Companies!$G:$G,MATCH(B384,[1]Companies!$A:$A,0)),"")</f>
        <v>Nigeria</v>
      </c>
      <c r="I384" s="14" t="str">
        <f>IF(LEN(TRIM(H384))-LEN(SUBSTITUTE(TRIM(H384),",","")) &gt; 0,TRIM(RIGHT(H384,LEN(H384)-FIND(",",H384))),H384)</f>
        <v>Nigeria</v>
      </c>
      <c r="J384" s="14" t="str">
        <f t="array" ref="J384">IFERROR(INDEX([1]Companies!$Y:$Y,MATCH(B384,[1]Companies!$A:$A,0)),"")</f>
        <v>Farming, Agriculture, Digital Farming, Technology Farming, Agtech</v>
      </c>
      <c r="K384" s="14" t="str">
        <f t="array" ref="K384">IFERROR(INDEX([1]Companies!$X:$X,MATCH(B384,[1]Companies!$A:$A,0)),"")</f>
        <v>Financial Services</v>
      </c>
      <c r="L384" s="14" t="str">
        <f>VLOOKUP(B384,[1]Companies!$A$1:$C$5243,1,FALSE)</f>
        <v>Farmcrowdy</v>
      </c>
      <c r="M384" s="15">
        <f>COUNTA(B384:K384)/(COUNTBLANK(B384:K384) + COUNTA(B384:K384))</f>
        <v>0.9</v>
      </c>
      <c r="N384" s="10" t="str">
        <f>CONCATENATE(A384,B384,C384)</f>
        <v>43087Farmcrowdy1000000</v>
      </c>
      <c r="O384" s="14" t="str">
        <f>IF(A384 = "","",IF(COUNTIF(N:N,CONCATENATE(A384,B384,C384))&gt;1,"Duplicated",""))</f>
        <v/>
      </c>
      <c r="P384" s="14">
        <f>IF(C384="Undisclosed",0,1)</f>
        <v>1</v>
      </c>
      <c r="Q384" s="14">
        <f t="array" ref="Q384">IFERROR(INDEX([1]Companies!$D:$D,MATCH(B384,[1]Companies!$A:$A,0)),"")</f>
        <v>2016</v>
      </c>
      <c r="R384" s="17">
        <f>SUMIF(B:B,B384,C:C)</f>
        <v>2450000</v>
      </c>
      <c r="S384" s="14">
        <f>VLOOKUP(I384,[1]Lookups!$V$3:$Y$197,4,FALSE)</f>
        <v>0</v>
      </c>
      <c r="T384" s="14" t="str">
        <f>VLOOKUP(E384,[1]Lookups!$H$3:$I$71,2,FALSE)</f>
        <v>2. Seed</v>
      </c>
      <c r="U384" s="14" t="str">
        <f>VLOOKUP(K384,[1]Lookups!$B$3:$C$142,2,FALSE)</f>
        <v>Financial Services</v>
      </c>
      <c r="V384" s="14">
        <f t="shared" si="396"/>
        <v>2017</v>
      </c>
      <c r="W384" s="14">
        <f t="shared" si="397"/>
        <v>12</v>
      </c>
      <c r="X384" s="14">
        <f>VLOOKUP(W384,[1]Lookups!$P$3:$S$15,2,FALSE)</f>
        <v>4</v>
      </c>
      <c r="Y384" s="16">
        <f>VLOOKUP(W384,[1]Lookups!$P$3:$U$15,3,FALSE)</f>
        <v>2</v>
      </c>
      <c r="Z384" s="16">
        <f t="shared" si="398"/>
        <v>10</v>
      </c>
      <c r="AA384" s="16" t="str">
        <f t="shared" ca="1" si="568"/>
        <v>Finnfund (Finnish Fund for Industrial Cooperation Ltd.)</v>
      </c>
      <c r="AB384" s="16" t="str">
        <f t="shared" ca="1" si="568"/>
        <v>Techstars Atlanta in partnership with Cox Enterprises</v>
      </c>
      <c r="AC384" s="16" t="str">
        <f t="shared" ca="1" si="568"/>
        <v>Techstars</v>
      </c>
      <c r="AD384" s="16" t="str">
        <f t="shared" ca="1" si="568"/>
        <v>Social Capital</v>
      </c>
      <c r="AE384" s="16" t="str">
        <f t="shared" ca="1" si="568"/>
        <v xml:space="preserve"> Michael Cohn</v>
      </c>
      <c r="AF384" s="16" t="str">
        <f t="shared" ca="1" si="568"/>
        <v xml:space="preserve"> Josephine Group</v>
      </c>
      <c r="AG384" s="16" t="str">
        <f t="shared" ca="1" si="568"/>
        <v xml:space="preserve"> Hallett Capital</v>
      </c>
      <c r="AH384" s="16" t="str">
        <f t="shared" ca="1" si="568"/>
        <v xml:space="preserve"> FC Agro Allied SPV</v>
      </c>
      <c r="AI384" s="16" t="str">
        <f t="shared" ca="1" si="568"/>
        <v xml:space="preserve"> Cox Enterprises</v>
      </c>
      <c r="AJ384" s="16" t="str">
        <f t="shared" ca="1" si="568"/>
        <v xml:space="preserve"> Christof Walter</v>
      </c>
      <c r="AK384" s="16">
        <f t="shared" si="568"/>
        <v>0</v>
      </c>
      <c r="AL384" s="16">
        <f t="shared" si="568"/>
        <v>0</v>
      </c>
      <c r="AM384" s="16">
        <f t="shared" si="568"/>
        <v>0</v>
      </c>
      <c r="AN384" s="16">
        <f t="shared" si="568"/>
        <v>0</v>
      </c>
      <c r="AO384" s="16">
        <f t="shared" si="568"/>
        <v>0</v>
      </c>
      <c r="AP384" s="10"/>
      <c r="AQ384" s="10"/>
      <c r="AR384" s="10"/>
      <c r="AS384" s="10" t="str">
        <f t="shared" ref="AS384" ca="1" si="570">IFERROR(__xludf.DUMMYFUNCTION("split(F359,"","",true,true)"),"Finnfund (Finnish Fund for Industrial Cooperation Ltd.)")</f>
        <v>Finnfund (Finnish Fund for Industrial Cooperation Ltd.)</v>
      </c>
      <c r="AT384" s="10" t="str">
        <f ca="1">IFERROR(__xludf.DUMMYFUNCTION("""COMPUTED_VALUE"""),"Techstars Atlanta in partnership with Cox Enterprises")</f>
        <v>Techstars Atlanta in partnership with Cox Enterprises</v>
      </c>
      <c r="AU384" s="10" t="str">
        <f ca="1">IFERROR(__xludf.DUMMYFUNCTION("""COMPUTED_VALUE"""),"Techstars")</f>
        <v>Techstars</v>
      </c>
      <c r="AV384" s="10" t="str">
        <f ca="1">IFERROR(__xludf.DUMMYFUNCTION("""COMPUTED_VALUE"""),"Social Capital")</f>
        <v>Social Capital</v>
      </c>
      <c r="AW384" s="10" t="str">
        <f ca="1">IFERROR(__xludf.DUMMYFUNCTION("""COMPUTED_VALUE""")," Michael Cohn")</f>
        <v xml:space="preserve"> Michael Cohn</v>
      </c>
      <c r="AX384" s="10" t="str">
        <f ca="1">IFERROR(__xludf.DUMMYFUNCTION("""COMPUTED_VALUE""")," Josephine Group")</f>
        <v xml:space="preserve"> Josephine Group</v>
      </c>
      <c r="AY384" s="10" t="str">
        <f ca="1">IFERROR(__xludf.DUMMYFUNCTION("""COMPUTED_VALUE""")," Hallett Capital")</f>
        <v xml:space="preserve"> Hallett Capital</v>
      </c>
      <c r="AZ384" s="10" t="str">
        <f ca="1">IFERROR(__xludf.DUMMYFUNCTION("""COMPUTED_VALUE""")," FC Agro Allied SPV")</f>
        <v xml:space="preserve"> FC Agro Allied SPV</v>
      </c>
      <c r="BA384" s="10" t="str">
        <f ca="1">IFERROR(__xludf.DUMMYFUNCTION("""COMPUTED_VALUE""")," Cox Enterprises")</f>
        <v xml:space="preserve"> Cox Enterprises</v>
      </c>
      <c r="BB384" s="10" t="str">
        <f ca="1">IFERROR(__xludf.DUMMYFUNCTION("""COMPUTED_VALUE""")," Christof Walter")</f>
        <v xml:space="preserve"> Christof Walter</v>
      </c>
      <c r="BC384" s="10"/>
      <c r="BD384" s="10"/>
      <c r="BE384" s="10"/>
      <c r="BF384" s="10"/>
      <c r="BG384" s="10"/>
      <c r="BH384" s="10"/>
      <c r="BI384" s="10"/>
      <c r="BJ384" s="10"/>
      <c r="BK384" s="10"/>
      <c r="BM384" s="10"/>
    </row>
    <row r="385" spans="1:65" ht="12.75">
      <c r="A385" s="18">
        <v>43087</v>
      </c>
      <c r="B385" s="14" t="s">
        <v>623</v>
      </c>
      <c r="C385" s="19" t="s">
        <v>49</v>
      </c>
      <c r="D385" s="22"/>
      <c r="E385" s="14" t="s">
        <v>45</v>
      </c>
      <c r="F385" s="14" t="s">
        <v>794</v>
      </c>
      <c r="G385" s="13" t="s">
        <v>891</v>
      </c>
      <c r="H385" s="14"/>
      <c r="I385" s="14"/>
      <c r="J385" s="14"/>
      <c r="K385" s="14"/>
      <c r="L385" s="14"/>
      <c r="M385" s="15"/>
      <c r="N385" s="10"/>
      <c r="O385" s="14"/>
      <c r="P385" s="14"/>
      <c r="Q385" s="14"/>
      <c r="R385" s="17"/>
      <c r="S385" s="14"/>
      <c r="T385" s="14"/>
      <c r="U385" s="14"/>
      <c r="V385" s="14">
        <f t="shared" si="396"/>
        <v>2017</v>
      </c>
      <c r="W385" s="14">
        <f t="shared" si="397"/>
        <v>12</v>
      </c>
      <c r="X385" s="14">
        <f>VLOOKUP(W385,[1]Lookups!$P$3:$S$15,2,FALSE)</f>
        <v>4</v>
      </c>
      <c r="Y385" s="16">
        <f>VLOOKUP(W385,[1]Lookups!$P$3:$U$15,3,FALSE)</f>
        <v>2</v>
      </c>
      <c r="Z385" s="16">
        <f t="shared" si="398"/>
        <v>1</v>
      </c>
      <c r="AA385" s="16"/>
      <c r="AB385" s="16"/>
      <c r="AC385" s="16"/>
      <c r="AD385" s="16"/>
      <c r="AE385" s="16"/>
      <c r="AF385" s="16"/>
      <c r="AG385" s="16"/>
      <c r="AH385" s="16"/>
      <c r="AI385" s="16"/>
      <c r="AJ385" s="16"/>
      <c r="AK385" s="16"/>
      <c r="AL385" s="16"/>
      <c r="AM385" s="16"/>
      <c r="AN385" s="16"/>
      <c r="AO385" s="16"/>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M385" s="10"/>
    </row>
    <row r="386" spans="1:65" ht="12.75">
      <c r="A386" s="9">
        <v>43089</v>
      </c>
      <c r="B386" s="10" t="s">
        <v>892</v>
      </c>
      <c r="C386" s="11" t="s">
        <v>49</v>
      </c>
      <c r="D386" s="12"/>
      <c r="E386" s="10" t="s">
        <v>45</v>
      </c>
      <c r="F386" s="10" t="s">
        <v>893</v>
      </c>
      <c r="G386" s="13" t="s">
        <v>894</v>
      </c>
      <c r="H386" s="14" t="str">
        <f t="array" ref="H386">IFERROR(INDEX([1]Companies!$G:$G,MATCH(B386,[1]Companies!$A:$A,0)),"")</f>
        <v>Egypt</v>
      </c>
      <c r="I386" s="14" t="str">
        <f t="shared" ref="I386:I402" si="571">IF(LEN(TRIM(H386))-LEN(SUBSTITUTE(TRIM(H386),",","")) &gt; 0,TRIM(RIGHT(H386,LEN(H386)-FIND(",",H386))),H386)</f>
        <v>Egypt</v>
      </c>
      <c r="J386" s="14" t="str">
        <f t="array" ref="J386">IFERROR(INDEX([1]Companies!$Y:$Y,MATCH(B386,[1]Companies!$A:$A,0)),"")</f>
        <v>Health Diagnostics</v>
      </c>
      <c r="K386" s="14" t="str">
        <f t="array" ref="K386">IFERROR(INDEX([1]Companies!$X:$X,MATCH(B386,[1]Companies!$A:$A,0)),"")</f>
        <v>Healthcare &amp; Pharma</v>
      </c>
      <c r="L386" s="14" t="str">
        <f>VLOOKUP(B386,[1]Companies!$A$1:$C$5243,1,FALSE)</f>
        <v>Rology</v>
      </c>
      <c r="M386" s="15">
        <f t="shared" ref="M386:M402" si="572">COUNTA(B386:K386)/(COUNTBLANK(B386:K386) + COUNTA(B386:K386))</f>
        <v>0.9</v>
      </c>
      <c r="N386" s="10" t="str">
        <f t="shared" ref="N386:N402" si="573">CONCATENATE(A386,B386,C386)</f>
        <v>43089RologyUndisclosed</v>
      </c>
      <c r="O386" s="14" t="str">
        <f t="shared" ref="O386:O402" si="574">IF(A386 = "","",IF(COUNTIF(N:N,CONCATENATE(A386,B386,C386))&gt;1,"Duplicated",""))</f>
        <v/>
      </c>
      <c r="P386" s="14">
        <f t="shared" ref="P386:P402" si="575">IF(C386="Undisclosed",0,1)</f>
        <v>0</v>
      </c>
      <c r="Q386" s="14">
        <f t="array" ref="Q386">IFERROR(INDEX([1]Companies!$D:$D,MATCH(B386,[1]Companies!$A:$A,0)),"")</f>
        <v>2017</v>
      </c>
      <c r="R386" s="17">
        <f t="shared" ref="R386:R402" si="576">SUMIF(B:B,B386,C:C)</f>
        <v>0</v>
      </c>
      <c r="S386" s="14">
        <f>VLOOKUP(I386,[1]Lookups!$V$3:$Y$197,4,FALSE)</f>
        <v>0</v>
      </c>
      <c r="T386" s="14" t="str">
        <f>VLOOKUP(E386,[1]Lookups!$H$3:$I$71,2,FALSE)</f>
        <v>2. Seed</v>
      </c>
      <c r="U386" s="14" t="str">
        <f>VLOOKUP(K386,[1]Lookups!$B$3:$C$142,2,FALSE)</f>
        <v>Health &amp; Pharmaceuticals</v>
      </c>
      <c r="V386" s="14">
        <f t="shared" si="396"/>
        <v>2017</v>
      </c>
      <c r="W386" s="14">
        <f t="shared" si="397"/>
        <v>12</v>
      </c>
      <c r="X386" s="14">
        <f>VLOOKUP(W386,[1]Lookups!$P$3:$S$15,2,FALSE)</f>
        <v>4</v>
      </c>
      <c r="Y386" s="16">
        <f>VLOOKUP(W386,[1]Lookups!$P$3:$U$15,3,FALSE)</f>
        <v>2</v>
      </c>
      <c r="Z386" s="16">
        <f t="shared" si="398"/>
        <v>1</v>
      </c>
      <c r="AA386" s="16" t="str">
        <f t="shared" ref="AA386:AO401" ca="1" si="577">AS386</f>
        <v>HIMangel</v>
      </c>
      <c r="AB386" s="16">
        <f t="shared" si="577"/>
        <v>0</v>
      </c>
      <c r="AC386" s="16">
        <f t="shared" si="577"/>
        <v>0</v>
      </c>
      <c r="AD386" s="16">
        <f t="shared" si="577"/>
        <v>0</v>
      </c>
      <c r="AE386" s="16">
        <f t="shared" si="577"/>
        <v>0</v>
      </c>
      <c r="AF386" s="16">
        <f t="shared" si="577"/>
        <v>0</v>
      </c>
      <c r="AG386" s="16">
        <f t="shared" si="577"/>
        <v>0</v>
      </c>
      <c r="AH386" s="16">
        <f t="shared" si="577"/>
        <v>0</v>
      </c>
      <c r="AI386" s="16">
        <f t="shared" si="577"/>
        <v>0</v>
      </c>
      <c r="AJ386" s="16">
        <f t="shared" si="577"/>
        <v>0</v>
      </c>
      <c r="AK386" s="16">
        <f t="shared" si="577"/>
        <v>0</v>
      </c>
      <c r="AL386" s="16">
        <f t="shared" si="577"/>
        <v>0</v>
      </c>
      <c r="AM386" s="16">
        <f t="shared" si="577"/>
        <v>0</v>
      </c>
      <c r="AN386" s="16">
        <f t="shared" si="577"/>
        <v>0</v>
      </c>
      <c r="AO386" s="16">
        <f t="shared" si="577"/>
        <v>0</v>
      </c>
      <c r="AP386" s="10"/>
      <c r="AQ386" s="10"/>
      <c r="AR386" s="10"/>
      <c r="AS386" s="10" t="str">
        <f t="shared" ref="AS386" ca="1" si="578">IFERROR(__xludf.DUMMYFUNCTION("split(F386,"","",true,true)"),"HIMangel")</f>
        <v>HIMangel</v>
      </c>
      <c r="AT386" s="10"/>
      <c r="AU386" s="10"/>
      <c r="AV386" s="10"/>
      <c r="AW386" s="10"/>
      <c r="AX386" s="10"/>
      <c r="AY386" s="10"/>
      <c r="AZ386" s="10"/>
      <c r="BA386" s="10"/>
      <c r="BB386" s="10"/>
      <c r="BC386" s="10"/>
      <c r="BD386" s="10"/>
      <c r="BE386" s="10"/>
      <c r="BF386" s="10"/>
      <c r="BG386" s="10"/>
      <c r="BH386" s="10"/>
      <c r="BI386" s="10"/>
      <c r="BJ386" s="10"/>
      <c r="BK386" s="10"/>
      <c r="BM386" s="10"/>
    </row>
    <row r="387" spans="1:65" ht="12.75">
      <c r="A387" s="9">
        <v>43089</v>
      </c>
      <c r="B387" s="10" t="s">
        <v>895</v>
      </c>
      <c r="C387" s="11" t="s">
        <v>49</v>
      </c>
      <c r="D387" s="12"/>
      <c r="E387" s="10" t="s">
        <v>45</v>
      </c>
      <c r="F387" s="10" t="s">
        <v>893</v>
      </c>
      <c r="G387" s="13" t="s">
        <v>896</v>
      </c>
      <c r="H387" s="14" t="str">
        <f t="array" ref="H387">IFERROR(INDEX([1]Companies!$G:$G,MATCH(B387,[1]Companies!$A:$A,0)),"")</f>
        <v>Egypt</v>
      </c>
      <c r="I387" s="14" t="str">
        <f t="shared" si="571"/>
        <v>Egypt</v>
      </c>
      <c r="J387" s="14" t="str">
        <f t="array" ref="J387">IFERROR(INDEX([1]Companies!$Y:$Y,MATCH(B387,[1]Companies!$A:$A,0)),"")</f>
        <v>CRM, Real Estate</v>
      </c>
      <c r="K387" s="14" t="str">
        <f t="array" ref="K387">IFERROR(INDEX([1]Companies!$X:$X,MATCH(B387,[1]Companies!$A:$A,0)),"")</f>
        <v>Real Estate</v>
      </c>
      <c r="L387" s="14" t="str">
        <f>VLOOKUP(B387,[1]Companies!$A$1:$C$5243,1,FALSE)</f>
        <v>Nozol</v>
      </c>
      <c r="M387" s="15">
        <f t="shared" si="572"/>
        <v>0.9</v>
      </c>
      <c r="N387" s="10" t="str">
        <f t="shared" si="573"/>
        <v>43089NozolUndisclosed</v>
      </c>
      <c r="O387" s="14" t="str">
        <f t="shared" si="574"/>
        <v/>
      </c>
      <c r="P387" s="14">
        <f t="shared" si="575"/>
        <v>0</v>
      </c>
      <c r="Q387" s="14">
        <f t="array" ref="Q387">IFERROR(INDEX([1]Companies!$D:$D,MATCH(B387,[1]Companies!$A:$A,0)),"")</f>
        <v>2016</v>
      </c>
      <c r="R387" s="17">
        <f t="shared" si="576"/>
        <v>0</v>
      </c>
      <c r="S387" s="14">
        <f>VLOOKUP(I387,[1]Lookups!$V$3:$Y$197,4,FALSE)</f>
        <v>0</v>
      </c>
      <c r="T387" s="14" t="str">
        <f>VLOOKUP(E387,[1]Lookups!$H$3:$I$71,2,FALSE)</f>
        <v>2. Seed</v>
      </c>
      <c r="U387" s="14" t="str">
        <f>VLOOKUP(K387,[1]Lookups!$B$3:$C$142,2,FALSE)</f>
        <v>Construction &amp; Real Estate</v>
      </c>
      <c r="V387" s="14">
        <f t="shared" si="396"/>
        <v>2017</v>
      </c>
      <c r="W387" s="14">
        <f t="shared" si="397"/>
        <v>12</v>
      </c>
      <c r="X387" s="14">
        <f>VLOOKUP(W387,[1]Lookups!$P$3:$S$15,2,FALSE)</f>
        <v>4</v>
      </c>
      <c r="Y387" s="16">
        <f>VLOOKUP(W387,[1]Lookups!$P$3:$U$15,3,FALSE)</f>
        <v>2</v>
      </c>
      <c r="Z387" s="16">
        <f t="shared" si="398"/>
        <v>1</v>
      </c>
      <c r="AA387" s="16" t="str">
        <f t="shared" ca="1" si="577"/>
        <v>HIMangel</v>
      </c>
      <c r="AB387" s="16">
        <f t="shared" si="577"/>
        <v>0</v>
      </c>
      <c r="AC387" s="16">
        <f t="shared" si="577"/>
        <v>0</v>
      </c>
      <c r="AD387" s="16">
        <f t="shared" si="577"/>
        <v>0</v>
      </c>
      <c r="AE387" s="16">
        <f t="shared" si="577"/>
        <v>0</v>
      </c>
      <c r="AF387" s="16">
        <f t="shared" si="577"/>
        <v>0</v>
      </c>
      <c r="AG387" s="16">
        <f t="shared" si="577"/>
        <v>0</v>
      </c>
      <c r="AH387" s="16">
        <f t="shared" si="577"/>
        <v>0</v>
      </c>
      <c r="AI387" s="16">
        <f t="shared" si="577"/>
        <v>0</v>
      </c>
      <c r="AJ387" s="16">
        <f t="shared" si="577"/>
        <v>0</v>
      </c>
      <c r="AK387" s="16">
        <f t="shared" si="577"/>
        <v>0</v>
      </c>
      <c r="AL387" s="16">
        <f t="shared" si="577"/>
        <v>0</v>
      </c>
      <c r="AM387" s="16">
        <f t="shared" si="577"/>
        <v>0</v>
      </c>
      <c r="AN387" s="16">
        <f t="shared" si="577"/>
        <v>0</v>
      </c>
      <c r="AO387" s="16">
        <f t="shared" si="577"/>
        <v>0</v>
      </c>
      <c r="AP387" s="10"/>
      <c r="AQ387" s="10"/>
      <c r="AR387" s="10"/>
      <c r="AS387" s="10" t="str">
        <f t="shared" ref="AS387" ca="1" si="579">IFERROR(__xludf.DUMMYFUNCTION("split(F386,"","",true,true)"),"HIMangel")</f>
        <v>HIMangel</v>
      </c>
      <c r="AT387" s="10"/>
      <c r="AU387" s="10"/>
      <c r="AV387" s="10"/>
      <c r="AW387" s="10"/>
      <c r="AX387" s="10"/>
      <c r="AY387" s="10"/>
      <c r="AZ387" s="10"/>
      <c r="BA387" s="10"/>
      <c r="BB387" s="10"/>
      <c r="BC387" s="10"/>
      <c r="BD387" s="10"/>
      <c r="BE387" s="10"/>
      <c r="BF387" s="10"/>
      <c r="BG387" s="10"/>
      <c r="BH387" s="10"/>
      <c r="BI387" s="10"/>
      <c r="BJ387" s="10"/>
      <c r="BK387" s="10"/>
      <c r="BM387" s="10"/>
    </row>
    <row r="388" spans="1:65" ht="12.75">
      <c r="A388" s="9">
        <v>43089</v>
      </c>
      <c r="B388" s="10" t="s">
        <v>569</v>
      </c>
      <c r="C388" s="11">
        <v>279600</v>
      </c>
      <c r="D388" s="12"/>
      <c r="E388" s="10" t="s">
        <v>45</v>
      </c>
      <c r="F388" s="10" t="s">
        <v>570</v>
      </c>
      <c r="G388" s="13" t="s">
        <v>897</v>
      </c>
      <c r="H388" s="14" t="str">
        <f t="array" ref="H388">IFERROR(INDEX([1]Companies!$G:$G,MATCH(B388,[1]Companies!$A:$A,0)),"")</f>
        <v>South Africa</v>
      </c>
      <c r="I388" s="14" t="str">
        <f t="shared" si="571"/>
        <v>South Africa</v>
      </c>
      <c r="J388" s="14" t="str">
        <f t="array" ref="J388">IFERROR(INDEX([1]Companies!$Y:$Y,MATCH(B388,[1]Companies!$A:$A,0)),"")</f>
        <v>Podcasts, Audio, Transcoding, Live-streaming</v>
      </c>
      <c r="K388" s="14" t="str">
        <f t="array" ref="K388">IFERROR(INDEX([1]Companies!$X:$X,MATCH(B388,[1]Companies!$A:$A,0)),"")</f>
        <v>Media &amp; Entertainment</v>
      </c>
      <c r="L388" s="21" t="str">
        <f>VLOOKUP(B388,[1]Companies!$A$1:$C$5243,1,FALSE)</f>
        <v>Iono.Fm</v>
      </c>
      <c r="M388" s="15">
        <f t="shared" si="572"/>
        <v>0.9</v>
      </c>
      <c r="N388" s="10" t="str">
        <f t="shared" si="573"/>
        <v>43089iono.fm279600</v>
      </c>
      <c r="O388" s="14" t="str">
        <f t="shared" si="574"/>
        <v/>
      </c>
      <c r="P388" s="14">
        <f t="shared" si="575"/>
        <v>1</v>
      </c>
      <c r="Q388" s="14">
        <f t="array" ref="Q388">IFERROR(INDEX([1]Companies!$D:$D,MATCH(B388,[1]Companies!$A:$A,0)),"")</f>
        <v>2008</v>
      </c>
      <c r="R388" s="17">
        <f t="shared" si="576"/>
        <v>454600</v>
      </c>
      <c r="S388" s="14">
        <f>VLOOKUP(I388,[1]Lookups!$V$3:$Y$197,4,FALSE)</f>
        <v>0</v>
      </c>
      <c r="T388" s="14" t="str">
        <f>VLOOKUP(E388,[1]Lookups!$H$3:$I$71,2,FALSE)</f>
        <v>2. Seed</v>
      </c>
      <c r="U388" s="14" t="str">
        <f>VLOOKUP(K388,[1]Lookups!$B$3:$C$142,2,FALSE)</f>
        <v>Media &amp; Entertainment</v>
      </c>
      <c r="V388" s="14">
        <f t="shared" si="396"/>
        <v>2017</v>
      </c>
      <c r="W388" s="14">
        <f t="shared" si="397"/>
        <v>12</v>
      </c>
      <c r="X388" s="14">
        <f>VLOOKUP(W388,[1]Lookups!$P$3:$S$15,2,FALSE)</f>
        <v>4</v>
      </c>
      <c r="Y388" s="16">
        <f>VLOOKUP(W388,[1]Lookups!$P$3:$U$15,3,FALSE)</f>
        <v>2</v>
      </c>
      <c r="Z388" s="16">
        <f t="shared" si="398"/>
        <v>1</v>
      </c>
      <c r="AA388" s="16" t="str">
        <f t="shared" ca="1" si="577"/>
        <v>HIMangel</v>
      </c>
      <c r="AB388" s="16">
        <f t="shared" si="577"/>
        <v>0</v>
      </c>
      <c r="AC388" s="16">
        <f t="shared" si="577"/>
        <v>0</v>
      </c>
      <c r="AD388" s="16">
        <f t="shared" si="577"/>
        <v>0</v>
      </c>
      <c r="AE388" s="16">
        <f t="shared" si="577"/>
        <v>0</v>
      </c>
      <c r="AF388" s="16">
        <f t="shared" si="577"/>
        <v>0</v>
      </c>
      <c r="AG388" s="16">
        <f t="shared" si="577"/>
        <v>0</v>
      </c>
      <c r="AH388" s="16">
        <f t="shared" si="577"/>
        <v>0</v>
      </c>
      <c r="AI388" s="16">
        <f t="shared" si="577"/>
        <v>0</v>
      </c>
      <c r="AJ388" s="16">
        <f t="shared" si="577"/>
        <v>0</v>
      </c>
      <c r="AK388" s="16">
        <f t="shared" si="577"/>
        <v>0</v>
      </c>
      <c r="AL388" s="16">
        <f t="shared" si="577"/>
        <v>0</v>
      </c>
      <c r="AM388" s="16">
        <f t="shared" si="577"/>
        <v>0</v>
      </c>
      <c r="AN388" s="16">
        <f t="shared" si="577"/>
        <v>0</v>
      </c>
      <c r="AO388" s="16">
        <f t="shared" si="577"/>
        <v>0</v>
      </c>
      <c r="AP388" s="10"/>
      <c r="AQ388" s="10"/>
      <c r="AR388" s="10"/>
      <c r="AS388" s="10" t="str">
        <f t="shared" ref="AS388" ca="1" si="580">IFERROR(__xludf.DUMMYFUNCTION("split(F386,"","",true,true)"),"HIMangel")</f>
        <v>HIMangel</v>
      </c>
      <c r="AT388" s="25"/>
      <c r="AU388" s="25"/>
      <c r="AV388" s="25"/>
      <c r="AW388" s="25"/>
      <c r="AX388" s="25"/>
      <c r="AY388" s="25"/>
      <c r="AZ388" s="25"/>
      <c r="BA388" s="25"/>
      <c r="BB388" s="25"/>
      <c r="BC388" s="25"/>
      <c r="BD388" s="25"/>
      <c r="BE388" s="25"/>
      <c r="BF388" s="25"/>
      <c r="BG388" s="25"/>
      <c r="BH388" s="25"/>
      <c r="BI388" s="25"/>
      <c r="BJ388" s="25"/>
      <c r="BK388" s="25"/>
      <c r="BM388" s="25"/>
    </row>
    <row r="389" spans="1:65" ht="12.75">
      <c r="A389" s="9">
        <v>43089</v>
      </c>
      <c r="B389" s="10" t="s">
        <v>898</v>
      </c>
      <c r="C389" s="11">
        <v>50000</v>
      </c>
      <c r="D389" s="12"/>
      <c r="E389" s="10" t="s">
        <v>45</v>
      </c>
      <c r="F389" s="10" t="s">
        <v>49</v>
      </c>
      <c r="G389" s="13" t="s">
        <v>899</v>
      </c>
      <c r="H389" s="14" t="str">
        <f t="array" ref="H389">IFERROR(INDEX([1]Companies!$G:$G,MATCH(B389,[1]Companies!$A:$A,0)),"")</f>
        <v>Egypt</v>
      </c>
      <c r="I389" s="14" t="str">
        <f t="shared" si="571"/>
        <v>Egypt</v>
      </c>
      <c r="J389" s="14" t="str">
        <f t="array" ref="J389">IFERROR(INDEX([1]Companies!$Y:$Y,MATCH(B389,[1]Companies!$A:$A,0)),"")</f>
        <v>Artificial Intelligence, Big Data, Machine Learning, Natural Language Processing</v>
      </c>
      <c r="K389" s="14" t="str">
        <f t="array" ref="K389">IFERROR(INDEX([1]Companies!$X:$X,MATCH(B389,[1]Companies!$A:$A,0)),"")</f>
        <v>Information Technology</v>
      </c>
      <c r="L389" s="14" t="str">
        <f>VLOOKUP(B389,[1]Companies!$A$1:$C$5243,1,FALSE)</f>
        <v>WideBot</v>
      </c>
      <c r="M389" s="15">
        <f t="shared" si="572"/>
        <v>0.9</v>
      </c>
      <c r="N389" s="10" t="str">
        <f t="shared" si="573"/>
        <v>43089WideBot50000</v>
      </c>
      <c r="O389" s="14" t="str">
        <f t="shared" si="574"/>
        <v/>
      </c>
      <c r="P389" s="14">
        <f t="shared" si="575"/>
        <v>1</v>
      </c>
      <c r="Q389" s="14">
        <f t="array" ref="Q389">IFERROR(INDEX([1]Companies!$D:$D,MATCH(B389,[1]Companies!$A:$A,0)),"")</f>
        <v>2016</v>
      </c>
      <c r="R389" s="17">
        <f t="shared" si="576"/>
        <v>50000</v>
      </c>
      <c r="S389" s="14">
        <f>VLOOKUP(I389,[1]Lookups!$V$3:$Y$197,4,FALSE)</f>
        <v>0</v>
      </c>
      <c r="T389" s="14" t="str">
        <f>VLOOKUP(E389,[1]Lookups!$H$3:$I$71,2,FALSE)</f>
        <v>2. Seed</v>
      </c>
      <c r="U389" s="14" t="str">
        <f>VLOOKUP(K389,[1]Lookups!$B$3:$C$142,2,FALSE)</f>
        <v>Other Technologies &amp; Information Technology</v>
      </c>
      <c r="V389" s="14">
        <f t="shared" si="396"/>
        <v>2017</v>
      </c>
      <c r="W389" s="14">
        <f t="shared" si="397"/>
        <v>12</v>
      </c>
      <c r="X389" s="14">
        <f>VLOOKUP(W389,[1]Lookups!$P$3:$S$15,2,FALSE)</f>
        <v>4</v>
      </c>
      <c r="Y389" s="16">
        <f>VLOOKUP(W389,[1]Lookups!$P$3:$U$15,3,FALSE)</f>
        <v>2</v>
      </c>
      <c r="Z389" s="16">
        <f t="shared" si="398"/>
        <v>1</v>
      </c>
      <c r="AA389" s="16" t="str">
        <f t="shared" ca="1" si="577"/>
        <v>HIMangel</v>
      </c>
      <c r="AB389" s="16">
        <f t="shared" si="577"/>
        <v>0</v>
      </c>
      <c r="AC389" s="16">
        <f t="shared" si="577"/>
        <v>0</v>
      </c>
      <c r="AD389" s="16">
        <f t="shared" si="577"/>
        <v>0</v>
      </c>
      <c r="AE389" s="16">
        <f t="shared" si="577"/>
        <v>0</v>
      </c>
      <c r="AF389" s="16">
        <f t="shared" si="577"/>
        <v>0</v>
      </c>
      <c r="AG389" s="16">
        <f t="shared" si="577"/>
        <v>0</v>
      </c>
      <c r="AH389" s="16">
        <f t="shared" si="577"/>
        <v>0</v>
      </c>
      <c r="AI389" s="16">
        <f t="shared" si="577"/>
        <v>0</v>
      </c>
      <c r="AJ389" s="16">
        <f t="shared" si="577"/>
        <v>0</v>
      </c>
      <c r="AK389" s="16">
        <f t="shared" si="577"/>
        <v>0</v>
      </c>
      <c r="AL389" s="16">
        <f t="shared" si="577"/>
        <v>0</v>
      </c>
      <c r="AM389" s="16">
        <f t="shared" si="577"/>
        <v>0</v>
      </c>
      <c r="AN389" s="16">
        <f t="shared" si="577"/>
        <v>0</v>
      </c>
      <c r="AO389" s="16">
        <f t="shared" si="577"/>
        <v>0</v>
      </c>
      <c r="AP389" s="10"/>
      <c r="AQ389" s="10"/>
      <c r="AR389" s="10"/>
      <c r="AS389" s="10" t="str">
        <f t="shared" ref="AS389" ca="1" si="581">IFERROR(__xludf.DUMMYFUNCTION("split(F386,"","",true,true)"),"HIMangel")</f>
        <v>HIMangel</v>
      </c>
      <c r="AT389" s="10"/>
      <c r="AU389" s="10"/>
      <c r="AV389" s="10"/>
      <c r="AW389" s="10"/>
      <c r="AX389" s="10"/>
      <c r="AY389" s="10"/>
      <c r="AZ389" s="10"/>
      <c r="BA389" s="10"/>
      <c r="BB389" s="10"/>
      <c r="BC389" s="10"/>
      <c r="BD389" s="10"/>
      <c r="BE389" s="10"/>
      <c r="BF389" s="10"/>
      <c r="BG389" s="10"/>
      <c r="BH389" s="10"/>
      <c r="BI389" s="10"/>
      <c r="BJ389" s="10"/>
      <c r="BK389" s="10"/>
      <c r="BM389" s="10"/>
    </row>
    <row r="390" spans="1:65" ht="12.75">
      <c r="A390" s="9">
        <v>43089</v>
      </c>
      <c r="B390" s="10" t="s">
        <v>900</v>
      </c>
      <c r="C390" s="11">
        <v>9000</v>
      </c>
      <c r="D390" s="12"/>
      <c r="E390" s="10" t="s">
        <v>55</v>
      </c>
      <c r="F390" s="10" t="s">
        <v>49</v>
      </c>
      <c r="G390" s="13" t="s">
        <v>901</v>
      </c>
      <c r="H390" s="14" t="str">
        <f t="array" ref="H390">IFERROR(INDEX([1]Companies!$G:$G,MATCH(B390,[1]Companies!$A:$A,0)),"")</f>
        <v>Egypt</v>
      </c>
      <c r="I390" s="14" t="str">
        <f t="shared" si="571"/>
        <v>Egypt</v>
      </c>
      <c r="J390" s="14" t="str">
        <f t="array" ref="J390">IFERROR(INDEX([1]Companies!$Y:$Y,MATCH(B390,[1]Companies!$A:$A,0)),"")</f>
        <v>Apps, Construction, IT Management, Mobile Apps</v>
      </c>
      <c r="K390" s="14" t="str">
        <f t="array" ref="K390">IFERROR(INDEX([1]Companies!$X:$X,MATCH(B390,[1]Companies!$A:$A,0)),"")</f>
        <v>E-Commerce &amp; Retail</v>
      </c>
      <c r="L390" s="14" t="str">
        <f>VLOOKUP(B390,[1]Companies!$A$1:$C$5243,1,FALSE)</f>
        <v>ElMawkaa</v>
      </c>
      <c r="M390" s="15">
        <f t="shared" si="572"/>
        <v>0.9</v>
      </c>
      <c r="N390" s="10" t="str">
        <f t="shared" si="573"/>
        <v>43089ElMawkaa9000</v>
      </c>
      <c r="O390" s="14" t="str">
        <f t="shared" si="574"/>
        <v/>
      </c>
      <c r="P390" s="14">
        <f t="shared" si="575"/>
        <v>1</v>
      </c>
      <c r="Q390" s="14">
        <f t="array" ref="Q390">IFERROR(INDEX([1]Companies!$D:$D,MATCH(B390,[1]Companies!$A:$A,0)),"")</f>
        <v>2015</v>
      </c>
      <c r="R390" s="17">
        <f t="shared" si="576"/>
        <v>9000</v>
      </c>
      <c r="S390" s="14">
        <f>VLOOKUP(I390,[1]Lookups!$V$3:$Y$197,4,FALSE)</f>
        <v>0</v>
      </c>
      <c r="T390" s="14" t="str">
        <f>VLOOKUP(E390,[1]Lookups!$H$3:$I$71,2,FALSE)</f>
        <v>1. Grant</v>
      </c>
      <c r="U390" s="14" t="str">
        <f>VLOOKUP(K390,[1]Lookups!$B$3:$C$142,2,FALSE)</f>
        <v>E-commerce &amp; Retail</v>
      </c>
      <c r="V390" s="14">
        <f t="shared" si="396"/>
        <v>2017</v>
      </c>
      <c r="W390" s="14">
        <f t="shared" si="397"/>
        <v>12</v>
      </c>
      <c r="X390" s="14">
        <f>VLOOKUP(W390,[1]Lookups!$P$3:$S$15,2,FALSE)</f>
        <v>4</v>
      </c>
      <c r="Y390" s="16">
        <f>VLOOKUP(W390,[1]Lookups!$P$3:$U$15,3,FALSE)</f>
        <v>2</v>
      </c>
      <c r="Z390" s="16">
        <f t="shared" si="398"/>
        <v>1</v>
      </c>
      <c r="AA390" s="16" t="str">
        <f t="shared" ca="1" si="577"/>
        <v>HIMangel</v>
      </c>
      <c r="AB390" s="16">
        <f t="shared" si="577"/>
        <v>0</v>
      </c>
      <c r="AC390" s="16">
        <f t="shared" si="577"/>
        <v>0</v>
      </c>
      <c r="AD390" s="16">
        <f t="shared" si="577"/>
        <v>0</v>
      </c>
      <c r="AE390" s="16">
        <f t="shared" si="577"/>
        <v>0</v>
      </c>
      <c r="AF390" s="16">
        <f t="shared" si="577"/>
        <v>0</v>
      </c>
      <c r="AG390" s="16">
        <f t="shared" si="577"/>
        <v>0</v>
      </c>
      <c r="AH390" s="16">
        <f t="shared" si="577"/>
        <v>0</v>
      </c>
      <c r="AI390" s="16">
        <f t="shared" si="577"/>
        <v>0</v>
      </c>
      <c r="AJ390" s="16">
        <f t="shared" si="577"/>
        <v>0</v>
      </c>
      <c r="AK390" s="16">
        <f t="shared" si="577"/>
        <v>0</v>
      </c>
      <c r="AL390" s="16">
        <f t="shared" si="577"/>
        <v>0</v>
      </c>
      <c r="AM390" s="16">
        <f t="shared" si="577"/>
        <v>0</v>
      </c>
      <c r="AN390" s="16">
        <f t="shared" si="577"/>
        <v>0</v>
      </c>
      <c r="AO390" s="16">
        <f t="shared" si="577"/>
        <v>0</v>
      </c>
      <c r="AP390" s="10"/>
      <c r="AQ390" s="10"/>
      <c r="AR390" s="10"/>
      <c r="AS390" s="10" t="str">
        <f t="shared" ref="AS390" ca="1" si="582">IFERROR(__xludf.DUMMYFUNCTION("split(F386,"","",true,true)"),"HIMangel")</f>
        <v>HIMangel</v>
      </c>
      <c r="AT390" s="10"/>
      <c r="AU390" s="10"/>
      <c r="AV390" s="10"/>
      <c r="AW390" s="10"/>
      <c r="AX390" s="10"/>
      <c r="AY390" s="10"/>
      <c r="AZ390" s="10"/>
      <c r="BA390" s="10"/>
      <c r="BB390" s="10"/>
      <c r="BC390" s="10"/>
      <c r="BD390" s="10"/>
      <c r="BE390" s="10"/>
      <c r="BF390" s="10"/>
      <c r="BG390" s="10"/>
      <c r="BH390" s="10"/>
      <c r="BI390" s="10"/>
      <c r="BJ390" s="10"/>
      <c r="BK390" s="10"/>
      <c r="BM390" s="10"/>
    </row>
    <row r="391" spans="1:65" ht="12.75">
      <c r="A391" s="18">
        <v>43092</v>
      </c>
      <c r="B391" s="14" t="s">
        <v>387</v>
      </c>
      <c r="C391" s="19">
        <v>6600000</v>
      </c>
      <c r="D391" s="19"/>
      <c r="E391" s="14" t="s">
        <v>69</v>
      </c>
      <c r="F391" s="14" t="s">
        <v>902</v>
      </c>
      <c r="G391" s="21" t="s">
        <v>903</v>
      </c>
      <c r="H391" s="14" t="str">
        <f t="array" ref="H391">IFERROR(INDEX([1]Companies!$G:$G,MATCH(B391,[1]Companies!$A:$A,0)),"")</f>
        <v>Ghana</v>
      </c>
      <c r="I391" s="14" t="str">
        <f t="shared" si="571"/>
        <v>Ghana</v>
      </c>
      <c r="J391" s="14" t="str">
        <f t="array" ref="J391">IFERROR(INDEX([1]Companies!$Y:$Y,MATCH(B391,[1]Companies!$A:$A,0)),"")</f>
        <v>Health Care, Information Technology, Management Information Systems, Digital Healthcare</v>
      </c>
      <c r="K391" s="14" t="str">
        <f t="array" ref="K391">IFERROR(INDEX([1]Companies!$X:$X,MATCH(B391,[1]Companies!$A:$A,0)),"")</f>
        <v>Healthcare &amp; Pharma</v>
      </c>
      <c r="L391" s="14" t="str">
        <f>VLOOKUP(B391,[1]Companies!$A$1:$C$5243,1,FALSE)</f>
        <v>mPharma</v>
      </c>
      <c r="M391" s="15">
        <f t="shared" si="572"/>
        <v>0.9</v>
      </c>
      <c r="N391" s="10" t="str">
        <f t="shared" si="573"/>
        <v>43092mPharma6600000</v>
      </c>
      <c r="O391" s="14" t="str">
        <f t="shared" si="574"/>
        <v/>
      </c>
      <c r="P391" s="14">
        <f t="shared" si="575"/>
        <v>1</v>
      </c>
      <c r="Q391" s="14">
        <f t="array" ref="Q391">IFERROR(INDEX([1]Companies!$D:$D,MATCH(B391,[1]Companies!$A:$A,0)),"")</f>
        <v>2014</v>
      </c>
      <c r="R391" s="17">
        <f t="shared" si="576"/>
        <v>25100000</v>
      </c>
      <c r="S391" s="14">
        <f>VLOOKUP(I391,[1]Lookups!$V$3:$Y$197,4,FALSE)</f>
        <v>0</v>
      </c>
      <c r="T391" s="14" t="str">
        <f>VLOOKUP(E391,[1]Lookups!$H$3:$I$71,2,FALSE)</f>
        <v>3. Early Venture</v>
      </c>
      <c r="U391" s="14" t="str">
        <f>VLOOKUP(K391,[1]Lookups!$B$3:$C$142,2,FALSE)</f>
        <v>Health &amp; Pharmaceuticals</v>
      </c>
      <c r="V391" s="14">
        <f t="shared" si="396"/>
        <v>2017</v>
      </c>
      <c r="W391" s="14">
        <f t="shared" si="397"/>
        <v>12</v>
      </c>
      <c r="X391" s="14">
        <f>VLOOKUP(W391,[1]Lookups!$P$3:$S$15,2,FALSE)</f>
        <v>4</v>
      </c>
      <c r="Y391" s="16">
        <f>VLOOKUP(W391,[1]Lookups!$P$3:$U$15,3,FALSE)</f>
        <v>2</v>
      </c>
      <c r="Z391" s="16">
        <f t="shared" si="398"/>
        <v>6</v>
      </c>
      <c r="AA391" s="16" t="str">
        <f t="shared" ca="1" si="577"/>
        <v>HIMangel</v>
      </c>
      <c r="AB391" s="16" t="str">
        <f t="shared" ca="1" si="577"/>
        <v xml:space="preserve"> Breyer Capital</v>
      </c>
      <c r="AC391" s="16" t="str">
        <f t="shared" ca="1" si="577"/>
        <v xml:space="preserve"> Social Capital</v>
      </c>
      <c r="AD391" s="16" t="str">
        <f t="shared" ca="1" si="577"/>
        <v xml:space="preserve"> Golden Palm Investments Holding Co.</v>
      </c>
      <c r="AE391" s="16" t="str">
        <f t="shared" ca="1" si="577"/>
        <v xml:space="preserve"> Shravin Bharti Mittal</v>
      </c>
      <c r="AF391" s="16" t="str">
        <f t="shared" ca="1" si="577"/>
        <v xml:space="preserve"> </v>
      </c>
      <c r="AG391" s="16">
        <f t="shared" si="577"/>
        <v>0</v>
      </c>
      <c r="AH391" s="16">
        <f t="shared" si="577"/>
        <v>0</v>
      </c>
      <c r="AI391" s="16">
        <f t="shared" si="577"/>
        <v>0</v>
      </c>
      <c r="AJ391" s="16">
        <f t="shared" si="577"/>
        <v>0</v>
      </c>
      <c r="AK391" s="16">
        <f t="shared" si="577"/>
        <v>0</v>
      </c>
      <c r="AL391" s="16">
        <f t="shared" si="577"/>
        <v>0</v>
      </c>
      <c r="AM391" s="16">
        <f t="shared" si="577"/>
        <v>0</v>
      </c>
      <c r="AN391" s="16">
        <f t="shared" si="577"/>
        <v>0</v>
      </c>
      <c r="AO391" s="16">
        <f t="shared" si="577"/>
        <v>0</v>
      </c>
      <c r="AP391" s="10"/>
      <c r="AQ391" s="10"/>
      <c r="AR391" s="10"/>
      <c r="AS391" s="10" t="str">
        <f t="shared" ref="AS391" ca="1" si="583">IFERROR(__xludf.DUMMYFUNCTION("split(F386,"","",true,true)"),"HIMangel")</f>
        <v>HIMangel</v>
      </c>
      <c r="AT391" s="10" t="str">
        <f ca="1">IFERROR(__xludf.DUMMYFUNCTION("""COMPUTED_VALUE""")," Breyer Capital")</f>
        <v xml:space="preserve"> Breyer Capital</v>
      </c>
      <c r="AU391" s="10" t="str">
        <f ca="1">IFERROR(__xludf.DUMMYFUNCTION("""COMPUTED_VALUE""")," Social Capital")</f>
        <v xml:space="preserve"> Social Capital</v>
      </c>
      <c r="AV391" s="10" t="str">
        <f ca="1">IFERROR(__xludf.DUMMYFUNCTION("""COMPUTED_VALUE""")," Golden Palm Investments Holding Co.")</f>
        <v xml:space="preserve"> Golden Palm Investments Holding Co.</v>
      </c>
      <c r="AW391" s="10" t="str">
        <f ca="1">IFERROR(__xludf.DUMMYFUNCTION("""COMPUTED_VALUE""")," Shravin Bharti Mittal")</f>
        <v xml:space="preserve"> Shravin Bharti Mittal</v>
      </c>
      <c r="AX391" s="10" t="str">
        <f ca="1">IFERROR(__xludf.DUMMYFUNCTION("""COMPUTED_VALUE""")," ")</f>
        <v xml:space="preserve"> </v>
      </c>
      <c r="AY391" s="10"/>
      <c r="AZ391" s="10"/>
      <c r="BA391" s="10"/>
      <c r="BB391" s="10"/>
      <c r="BC391" s="10"/>
      <c r="BD391" s="10"/>
      <c r="BE391" s="10"/>
      <c r="BF391" s="10"/>
      <c r="BG391" s="10"/>
      <c r="BH391" s="10"/>
      <c r="BI391" s="10"/>
      <c r="BJ391" s="10"/>
      <c r="BK391" s="10"/>
      <c r="BM391" s="10"/>
    </row>
    <row r="392" spans="1:65" ht="12.75">
      <c r="A392" s="9">
        <v>43097</v>
      </c>
      <c r="B392" s="10" t="s">
        <v>904</v>
      </c>
      <c r="C392" s="11">
        <v>525000</v>
      </c>
      <c r="D392" s="12"/>
      <c r="E392" s="10" t="s">
        <v>45</v>
      </c>
      <c r="F392" s="10" t="s">
        <v>905</v>
      </c>
      <c r="G392" s="13" t="s">
        <v>906</v>
      </c>
      <c r="H392" s="14" t="str">
        <f t="array" ref="H392">IFERROR(INDEX([1]Companies!$G:$G,MATCH(B392,[1]Companies!$A:$A,0)),"")</f>
        <v>Egypt</v>
      </c>
      <c r="I392" s="14" t="str">
        <f t="shared" si="571"/>
        <v>Egypt</v>
      </c>
      <c r="J392" s="14" t="str">
        <f t="array" ref="J392">IFERROR(INDEX([1]Companies!$Y:$Y,MATCH(B392,[1]Companies!$A:$A,0)),"")</f>
        <v>Logistics, Ride Sharing, Sharing Economy, Transportation</v>
      </c>
      <c r="K392" s="14" t="str">
        <f t="array" ref="K392">IFERROR(INDEX([1]Companies!$X:$X,MATCH(B392,[1]Companies!$A:$A,0)),"")</f>
        <v>Transport &amp; Logistics</v>
      </c>
      <c r="L392" s="14" t="str">
        <f>VLOOKUP(B392,[1]Companies!$A$1:$C$5243,1,FALSE)</f>
        <v>Halan</v>
      </c>
      <c r="M392" s="15">
        <f t="shared" si="572"/>
        <v>0.9</v>
      </c>
      <c r="N392" s="10" t="str">
        <f t="shared" si="573"/>
        <v>43097Halan525000</v>
      </c>
      <c r="O392" s="14" t="str">
        <f t="shared" si="574"/>
        <v/>
      </c>
      <c r="P392" s="14">
        <f t="shared" si="575"/>
        <v>1</v>
      </c>
      <c r="Q392" s="14">
        <f t="array" ref="Q392">IFERROR(INDEX([1]Companies!$D:$D,MATCH(B392,[1]Companies!$A:$A,0)),"")</f>
        <v>2017</v>
      </c>
      <c r="R392" s="17">
        <f t="shared" si="576"/>
        <v>6909000</v>
      </c>
      <c r="S392" s="14">
        <f>VLOOKUP(I392,[1]Lookups!$V$3:$Y$197,4,FALSE)</f>
        <v>0</v>
      </c>
      <c r="T392" s="14" t="str">
        <f>VLOOKUP(E392,[1]Lookups!$H$3:$I$71,2,FALSE)</f>
        <v>2. Seed</v>
      </c>
      <c r="U392" s="14" t="str">
        <f>VLOOKUP(K392,[1]Lookups!$B$3:$C$142,2,FALSE)</f>
        <v>Transport &amp; Logistics</v>
      </c>
      <c r="V392" s="14">
        <f t="shared" si="396"/>
        <v>2017</v>
      </c>
      <c r="W392" s="14">
        <f t="shared" si="397"/>
        <v>12</v>
      </c>
      <c r="X392" s="14">
        <f>VLOOKUP(W392,[1]Lookups!$P$3:$S$15,2,FALSE)</f>
        <v>4</v>
      </c>
      <c r="Y392" s="16">
        <f>VLOOKUP(W392,[1]Lookups!$P$3:$U$15,3,FALSE)</f>
        <v>2</v>
      </c>
      <c r="Z392" s="16">
        <f t="shared" si="398"/>
        <v>1</v>
      </c>
      <c r="AA392" s="16" t="str">
        <f t="shared" ca="1" si="577"/>
        <v>HIMangel</v>
      </c>
      <c r="AB392" s="16">
        <f t="shared" si="577"/>
        <v>0</v>
      </c>
      <c r="AC392" s="16">
        <f t="shared" si="577"/>
        <v>0</v>
      </c>
      <c r="AD392" s="16">
        <f t="shared" si="577"/>
        <v>0</v>
      </c>
      <c r="AE392" s="16">
        <f t="shared" si="577"/>
        <v>0</v>
      </c>
      <c r="AF392" s="16">
        <f t="shared" si="577"/>
        <v>0</v>
      </c>
      <c r="AG392" s="16">
        <f t="shared" si="577"/>
        <v>0</v>
      </c>
      <c r="AH392" s="16">
        <f t="shared" si="577"/>
        <v>0</v>
      </c>
      <c r="AI392" s="16">
        <f t="shared" si="577"/>
        <v>0</v>
      </c>
      <c r="AJ392" s="16">
        <f t="shared" si="577"/>
        <v>0</v>
      </c>
      <c r="AK392" s="16">
        <f t="shared" si="577"/>
        <v>0</v>
      </c>
      <c r="AL392" s="16">
        <f t="shared" si="577"/>
        <v>0</v>
      </c>
      <c r="AM392" s="16">
        <f t="shared" si="577"/>
        <v>0</v>
      </c>
      <c r="AN392" s="16">
        <f t="shared" si="577"/>
        <v>0</v>
      </c>
      <c r="AO392" s="16">
        <f t="shared" si="577"/>
        <v>0</v>
      </c>
      <c r="AP392" s="10"/>
      <c r="AQ392" s="10"/>
      <c r="AR392" s="10"/>
      <c r="AS392" s="10" t="str">
        <f t="shared" ref="AS392" ca="1" si="584">IFERROR(__xludf.DUMMYFUNCTION("split(F386,"","",true,true)"),"HIMangel")</f>
        <v>HIMangel</v>
      </c>
      <c r="AT392" s="10"/>
      <c r="AU392" s="10"/>
      <c r="AV392" s="10"/>
      <c r="AW392" s="10"/>
      <c r="AX392" s="10"/>
      <c r="AY392" s="10"/>
      <c r="AZ392" s="10"/>
      <c r="BA392" s="10"/>
      <c r="BB392" s="10"/>
      <c r="BC392" s="10"/>
      <c r="BD392" s="10"/>
      <c r="BE392" s="10"/>
      <c r="BF392" s="10"/>
      <c r="BG392" s="10"/>
      <c r="BH392" s="10"/>
      <c r="BI392" s="10"/>
      <c r="BJ392" s="10"/>
      <c r="BK392" s="10"/>
      <c r="BM392" s="10"/>
    </row>
    <row r="393" spans="1:65" ht="12.75">
      <c r="A393" s="9">
        <v>43099</v>
      </c>
      <c r="B393" s="10" t="s">
        <v>907</v>
      </c>
      <c r="C393" s="11">
        <v>1300000</v>
      </c>
      <c r="D393" s="10"/>
      <c r="E393" s="10" t="s">
        <v>45</v>
      </c>
      <c r="F393" s="10" t="s">
        <v>908</v>
      </c>
      <c r="G393" s="10"/>
      <c r="H393" s="14" t="str">
        <f t="array" ref="H393">IFERROR(INDEX([1]Companies!$G:$G,MATCH(B393,[1]Companies!$A:$A,0)),"")</f>
        <v>Kenya</v>
      </c>
      <c r="I393" s="14" t="str">
        <f t="shared" si="571"/>
        <v>Kenya</v>
      </c>
      <c r="J393" s="14" t="str">
        <f t="array" ref="J393">IFERROR(INDEX([1]Companies!$Y:$Y,MATCH(B393,[1]Companies!$A:$A,0)),"")</f>
        <v>Professional Services, Labour</v>
      </c>
      <c r="K393" s="14" t="str">
        <f t="array" ref="K393">IFERROR(INDEX([1]Companies!$X:$X,MATCH(B393,[1]Companies!$A:$A,0)),"")</f>
        <v>Commercial &amp; Professional Services</v>
      </c>
      <c r="L393" s="14" t="str">
        <f>VLOOKUP(B393,[1]Companies!$A$1:$C$5243,1,FALSE)</f>
        <v>Lynk</v>
      </c>
      <c r="M393" s="15">
        <f t="shared" si="572"/>
        <v>0.8</v>
      </c>
      <c r="N393" s="10" t="str">
        <f t="shared" si="573"/>
        <v>43099Lynk1300000</v>
      </c>
      <c r="O393" s="14" t="str">
        <f t="shared" si="574"/>
        <v/>
      </c>
      <c r="P393" s="14">
        <f t="shared" si="575"/>
        <v>1</v>
      </c>
      <c r="Q393" s="14">
        <f t="array" ref="Q393">IFERROR(INDEX([1]Companies!$D:$D,MATCH(B393,[1]Companies!$A:$A,0)),"")</f>
        <v>2017</v>
      </c>
      <c r="R393" s="17">
        <f t="shared" si="576"/>
        <v>3895000</v>
      </c>
      <c r="S393" s="14">
        <f>VLOOKUP(I393,[1]Lookups!$V$3:$Y$197,4,FALSE)</f>
        <v>0</v>
      </c>
      <c r="T393" s="14" t="str">
        <f>VLOOKUP(E393,[1]Lookups!$H$3:$I$71,2,FALSE)</f>
        <v>2. Seed</v>
      </c>
      <c r="U393" s="14" t="str">
        <f>VLOOKUP(K393,[1]Lookups!$B$3:$C$142,2,FALSE)</f>
        <v>Other Technologies &amp; Information Technology</v>
      </c>
      <c r="V393" s="14">
        <f t="shared" si="396"/>
        <v>2017</v>
      </c>
      <c r="W393" s="14">
        <f t="shared" si="397"/>
        <v>12</v>
      </c>
      <c r="X393" s="14">
        <f>VLOOKUP(W393,[1]Lookups!$P$3:$S$15,2,FALSE)</f>
        <v>4</v>
      </c>
      <c r="Y393" s="16">
        <f>VLOOKUP(W393,[1]Lookups!$P$3:$U$15,3,FALSE)</f>
        <v>2</v>
      </c>
      <c r="Z393" s="16">
        <f t="shared" si="398"/>
        <v>4</v>
      </c>
      <c r="AA393" s="16" t="str">
        <f t="shared" ca="1" si="577"/>
        <v>HIMangel</v>
      </c>
      <c r="AB393" s="16" t="str">
        <f t="shared" ca="1" si="577"/>
        <v xml:space="preserve"> Steel Africa</v>
      </c>
      <c r="AC393" s="16" t="str">
        <f t="shared" ca="1" si="577"/>
        <v xml:space="preserve"> Safaricom</v>
      </c>
      <c r="AD393" s="16" t="str">
        <f t="shared" ca="1" si="577"/>
        <v xml:space="preserve"> Mercy Corps</v>
      </c>
      <c r="AE393" s="16">
        <f t="shared" si="577"/>
        <v>0</v>
      </c>
      <c r="AF393" s="16">
        <f t="shared" si="577"/>
        <v>0</v>
      </c>
      <c r="AG393" s="16">
        <f t="shared" si="577"/>
        <v>0</v>
      </c>
      <c r="AH393" s="16">
        <f t="shared" si="577"/>
        <v>0</v>
      </c>
      <c r="AI393" s="16">
        <f t="shared" si="577"/>
        <v>0</v>
      </c>
      <c r="AJ393" s="16">
        <f t="shared" si="577"/>
        <v>0</v>
      </c>
      <c r="AK393" s="16">
        <f t="shared" si="577"/>
        <v>0</v>
      </c>
      <c r="AL393" s="16">
        <f t="shared" si="577"/>
        <v>0</v>
      </c>
      <c r="AM393" s="16">
        <f t="shared" si="577"/>
        <v>0</v>
      </c>
      <c r="AN393" s="16">
        <f t="shared" si="577"/>
        <v>0</v>
      </c>
      <c r="AO393" s="16">
        <f t="shared" si="577"/>
        <v>0</v>
      </c>
      <c r="AP393" s="10"/>
      <c r="AQ393" s="10"/>
      <c r="AR393" s="10"/>
      <c r="AS393" s="10" t="str">
        <f t="shared" ref="AS393" ca="1" si="585">IFERROR(__xludf.DUMMYFUNCTION("split(F386,"","",true,true)"),"HIMangel")</f>
        <v>HIMangel</v>
      </c>
      <c r="AT393" s="10" t="str">
        <f ca="1">IFERROR(__xludf.DUMMYFUNCTION("""COMPUTED_VALUE""")," Steel Africa")</f>
        <v xml:space="preserve"> Steel Africa</v>
      </c>
      <c r="AU393" s="10" t="str">
        <f ca="1">IFERROR(__xludf.DUMMYFUNCTION("""COMPUTED_VALUE""")," Safaricom")</f>
        <v xml:space="preserve"> Safaricom</v>
      </c>
      <c r="AV393" s="10" t="str">
        <f ca="1">IFERROR(__xludf.DUMMYFUNCTION("""COMPUTED_VALUE""")," Mercy Corps")</f>
        <v xml:space="preserve"> Mercy Corps</v>
      </c>
      <c r="AW393" s="10"/>
      <c r="AX393" s="10"/>
      <c r="AY393" s="10"/>
      <c r="AZ393" s="10"/>
      <c r="BA393" s="10"/>
      <c r="BB393" s="10"/>
      <c r="BC393" s="10"/>
      <c r="BD393" s="10"/>
      <c r="BE393" s="10"/>
      <c r="BF393" s="10"/>
      <c r="BG393" s="10"/>
      <c r="BH393" s="10"/>
      <c r="BI393" s="10"/>
      <c r="BJ393" s="10"/>
      <c r="BK393" s="10"/>
      <c r="BM393" s="10"/>
    </row>
    <row r="394" spans="1:65" ht="12.75">
      <c r="A394" s="18">
        <v>43101</v>
      </c>
      <c r="B394" s="14" t="s">
        <v>159</v>
      </c>
      <c r="C394" s="19" t="s">
        <v>49</v>
      </c>
      <c r="D394" s="19"/>
      <c r="E394" s="14" t="s">
        <v>45</v>
      </c>
      <c r="F394" s="14" t="s">
        <v>909</v>
      </c>
      <c r="G394" s="27" t="s">
        <v>910</v>
      </c>
      <c r="H394" s="14" t="str">
        <f t="array" ref="H394">IFERROR(INDEX([1]Companies!$G:$G,MATCH(B394,[1]Companies!$A:$A,0)),"")</f>
        <v>Angola</v>
      </c>
      <c r="I394" s="14" t="str">
        <f t="shared" si="571"/>
        <v>Angola</v>
      </c>
      <c r="J394" s="14" t="str">
        <f t="array" ref="J394">IFERROR(INDEX([1]Companies!$Y:$Y,MATCH(B394,[1]Companies!$A:$A,0)),"")</f>
        <v>Human Resources, Internet, Recruiting</v>
      </c>
      <c r="K394" s="14" t="str">
        <f t="array" ref="K394">IFERROR(INDEX([1]Companies!$X:$X,MATCH(B394,[1]Companies!$A:$A,0)),"")</f>
        <v>Commercial &amp; Professional Services</v>
      </c>
      <c r="L394" s="14" t="str">
        <f>VLOOKUP(B394,[1]Companies!$A$1:$C$5243,1,FALSE)</f>
        <v>Jobartis</v>
      </c>
      <c r="M394" s="15">
        <f t="shared" si="572"/>
        <v>0.9</v>
      </c>
      <c r="N394" s="10" t="str">
        <f t="shared" si="573"/>
        <v>43101JobartisUndisclosed</v>
      </c>
      <c r="O394" s="14" t="str">
        <f t="shared" si="574"/>
        <v/>
      </c>
      <c r="P394" s="14">
        <f t="shared" si="575"/>
        <v>0</v>
      </c>
      <c r="Q394" s="14">
        <f t="array" ref="Q394">IFERROR(INDEX([1]Companies!$D:$D,MATCH(B394,[1]Companies!$A:$A,0)),"")</f>
        <v>2013</v>
      </c>
      <c r="R394" s="17">
        <f t="shared" si="576"/>
        <v>169000</v>
      </c>
      <c r="S394" s="14">
        <f>VLOOKUP(I394,[1]Lookups!$V$3:$Y$197,4,FALSE)</f>
        <v>0</v>
      </c>
      <c r="T394" s="14" t="str">
        <f>VLOOKUP(E394,[1]Lookups!$H$3:$I$71,2,FALSE)</f>
        <v>2. Seed</v>
      </c>
      <c r="U394" s="14" t="str">
        <f>VLOOKUP(K394,[1]Lookups!$B$3:$C$142,2,FALSE)</f>
        <v>Other Technologies &amp; Information Technology</v>
      </c>
      <c r="V394" s="14">
        <f t="shared" si="396"/>
        <v>2018</v>
      </c>
      <c r="W394" s="14">
        <f t="shared" si="397"/>
        <v>1</v>
      </c>
      <c r="X394" s="14">
        <f>VLOOKUP(W394,[1]Lookups!$P$3:$S$15,2,FALSE)</f>
        <v>1</v>
      </c>
      <c r="Y394" s="16">
        <f>VLOOKUP(W394,[1]Lookups!$P$3:$U$15,3,FALSE)</f>
        <v>1</v>
      </c>
      <c r="Z394" s="16">
        <f t="shared" si="398"/>
        <v>1</v>
      </c>
      <c r="AA394" s="16" t="str">
        <f t="shared" ca="1" si="577"/>
        <v>HIMangel</v>
      </c>
      <c r="AB394" s="16">
        <f t="shared" si="577"/>
        <v>0</v>
      </c>
      <c r="AC394" s="16">
        <f t="shared" si="577"/>
        <v>0</v>
      </c>
      <c r="AD394" s="16">
        <f t="shared" si="577"/>
        <v>0</v>
      </c>
      <c r="AE394" s="16">
        <f t="shared" si="577"/>
        <v>0</v>
      </c>
      <c r="AF394" s="16">
        <f t="shared" si="577"/>
        <v>0</v>
      </c>
      <c r="AG394" s="16">
        <f t="shared" si="577"/>
        <v>0</v>
      </c>
      <c r="AH394" s="16">
        <f t="shared" si="577"/>
        <v>0</v>
      </c>
      <c r="AI394" s="16">
        <f t="shared" si="577"/>
        <v>0</v>
      </c>
      <c r="AJ394" s="16">
        <f t="shared" si="577"/>
        <v>0</v>
      </c>
      <c r="AK394" s="16">
        <f t="shared" si="577"/>
        <v>0</v>
      </c>
      <c r="AL394" s="16">
        <f t="shared" si="577"/>
        <v>0</v>
      </c>
      <c r="AM394" s="16">
        <f t="shared" si="577"/>
        <v>0</v>
      </c>
      <c r="AN394" s="16">
        <f t="shared" si="577"/>
        <v>0</v>
      </c>
      <c r="AO394" s="16">
        <f t="shared" si="577"/>
        <v>0</v>
      </c>
      <c r="AP394" s="10"/>
      <c r="AQ394" s="10"/>
      <c r="AR394" s="10"/>
      <c r="AS394" s="10" t="str">
        <f t="shared" ref="AS394" ca="1" si="586">IFERROR(__xludf.DUMMYFUNCTION("split(F386,"","",true,true)"),"HIMangel")</f>
        <v>HIMangel</v>
      </c>
      <c r="AT394" s="10"/>
      <c r="AU394" s="10"/>
      <c r="AV394" s="10"/>
      <c r="AW394" s="10"/>
      <c r="AX394" s="10"/>
      <c r="AY394" s="10"/>
      <c r="AZ394" s="10"/>
      <c r="BA394" s="10"/>
      <c r="BB394" s="10"/>
      <c r="BC394" s="10"/>
      <c r="BD394" s="10"/>
      <c r="BE394" s="10"/>
      <c r="BF394" s="10"/>
      <c r="BG394" s="10"/>
      <c r="BH394" s="10"/>
      <c r="BI394" s="10"/>
      <c r="BJ394" s="10"/>
      <c r="BK394" s="10"/>
      <c r="BM394" s="10"/>
    </row>
    <row r="395" spans="1:65" ht="12.75">
      <c r="A395" s="18">
        <v>43101</v>
      </c>
      <c r="B395" s="14" t="s">
        <v>911</v>
      </c>
      <c r="C395" s="19" t="s">
        <v>49</v>
      </c>
      <c r="D395" s="19"/>
      <c r="E395" s="14" t="s">
        <v>45</v>
      </c>
      <c r="F395" s="14" t="s">
        <v>483</v>
      </c>
      <c r="G395" s="27" t="s">
        <v>912</v>
      </c>
      <c r="H395" s="14" t="str">
        <f t="array" ref="H395">IFERROR(INDEX([1]Companies!$G:$G,MATCH(B395,[1]Companies!$A:$A,0)),"")</f>
        <v>Egypt</v>
      </c>
      <c r="I395" s="14" t="str">
        <f t="shared" si="571"/>
        <v>Egypt</v>
      </c>
      <c r="J395" s="14" t="str">
        <f t="array" ref="J395">IFERROR(INDEX([1]Companies!$Y:$Y,MATCH(B395,[1]Companies!$A:$A,0)),"")</f>
        <v>Payments, Online Payments, Mobile Wallets, Ecommerce, Credit Card Payments, and Cash on Delivery</v>
      </c>
      <c r="K395" s="14" t="str">
        <f t="array" ref="K395">IFERROR(INDEX([1]Companies!$X:$X,MATCH(B395,[1]Companies!$A:$A,0)),"")</f>
        <v>Financial Services</v>
      </c>
      <c r="L395" s="14" t="str">
        <f>VLOOKUP(B395,[1]Companies!$A$1:$C$5243,1,FALSE)</f>
        <v>Accept</v>
      </c>
      <c r="M395" s="15">
        <f t="shared" si="572"/>
        <v>0.9</v>
      </c>
      <c r="N395" s="10" t="str">
        <f t="shared" si="573"/>
        <v>43101AcceptUndisclosed</v>
      </c>
      <c r="O395" s="14" t="str">
        <f t="shared" si="574"/>
        <v/>
      </c>
      <c r="P395" s="14">
        <f t="shared" si="575"/>
        <v>0</v>
      </c>
      <c r="Q395" s="14">
        <f t="array" ref="Q395">IFERROR(INDEX([1]Companies!$D:$D,MATCH(B395,[1]Companies!$A:$A,0)),"")</f>
        <v>2018</v>
      </c>
      <c r="R395" s="17">
        <f t="shared" si="576"/>
        <v>0</v>
      </c>
      <c r="S395" s="14">
        <f>VLOOKUP(I395,[1]Lookups!$V$3:$Y$197,4,FALSE)</f>
        <v>0</v>
      </c>
      <c r="T395" s="14" t="str">
        <f>VLOOKUP(E395,[1]Lookups!$H$3:$I$71,2,FALSE)</f>
        <v>2. Seed</v>
      </c>
      <c r="U395" s="14" t="str">
        <f>VLOOKUP(K395,[1]Lookups!$B$3:$C$142,2,FALSE)</f>
        <v>Financial Services</v>
      </c>
      <c r="V395" s="14">
        <f t="shared" si="396"/>
        <v>2018</v>
      </c>
      <c r="W395" s="14">
        <f t="shared" si="397"/>
        <v>1</v>
      </c>
      <c r="X395" s="14">
        <f>VLOOKUP(W395,[1]Lookups!$P$3:$S$15,2,FALSE)</f>
        <v>1</v>
      </c>
      <c r="Y395" s="16">
        <f>VLOOKUP(W395,[1]Lookups!$P$3:$U$15,3,FALSE)</f>
        <v>1</v>
      </c>
      <c r="Z395" s="16">
        <f t="shared" si="398"/>
        <v>1</v>
      </c>
      <c r="AA395" s="16" t="str">
        <f t="shared" ca="1" si="577"/>
        <v>HIMangel</v>
      </c>
      <c r="AB395" s="16">
        <f t="shared" si="577"/>
        <v>0</v>
      </c>
      <c r="AC395" s="16">
        <f t="shared" si="577"/>
        <v>0</v>
      </c>
      <c r="AD395" s="16">
        <f t="shared" si="577"/>
        <v>0</v>
      </c>
      <c r="AE395" s="16">
        <f t="shared" si="577"/>
        <v>0</v>
      </c>
      <c r="AF395" s="16">
        <f t="shared" si="577"/>
        <v>0</v>
      </c>
      <c r="AG395" s="16">
        <f t="shared" si="577"/>
        <v>0</v>
      </c>
      <c r="AH395" s="16">
        <f t="shared" si="577"/>
        <v>0</v>
      </c>
      <c r="AI395" s="16">
        <f t="shared" si="577"/>
        <v>0</v>
      </c>
      <c r="AJ395" s="16">
        <f t="shared" si="577"/>
        <v>0</v>
      </c>
      <c r="AK395" s="16">
        <f t="shared" si="577"/>
        <v>0</v>
      </c>
      <c r="AL395" s="16">
        <f t="shared" si="577"/>
        <v>0</v>
      </c>
      <c r="AM395" s="16">
        <f t="shared" si="577"/>
        <v>0</v>
      </c>
      <c r="AN395" s="16">
        <f t="shared" si="577"/>
        <v>0</v>
      </c>
      <c r="AO395" s="16">
        <f t="shared" si="577"/>
        <v>0</v>
      </c>
      <c r="AP395" s="10"/>
      <c r="AQ395" s="10"/>
      <c r="AR395" s="10"/>
      <c r="AS395" s="10" t="str">
        <f t="shared" ref="AS395" ca="1" si="587">IFERROR(__xludf.DUMMYFUNCTION("split(F386,"","",true,true)"),"HIMangel")</f>
        <v>HIMangel</v>
      </c>
      <c r="AT395" s="10"/>
      <c r="AU395" s="10"/>
      <c r="AV395" s="10"/>
      <c r="AW395" s="10"/>
      <c r="AX395" s="10"/>
      <c r="AY395" s="10"/>
      <c r="AZ395" s="10"/>
      <c r="BA395" s="10"/>
      <c r="BB395" s="10"/>
      <c r="BC395" s="10"/>
      <c r="BD395" s="10"/>
      <c r="BE395" s="10"/>
      <c r="BF395" s="10"/>
      <c r="BG395" s="10"/>
      <c r="BH395" s="10"/>
      <c r="BI395" s="10"/>
      <c r="BJ395" s="10"/>
      <c r="BK395" s="10"/>
      <c r="BM395" s="10"/>
    </row>
    <row r="396" spans="1:65" ht="12.75">
      <c r="A396" s="18">
        <v>43101</v>
      </c>
      <c r="B396" s="14" t="s">
        <v>913</v>
      </c>
      <c r="C396" s="19">
        <v>300000</v>
      </c>
      <c r="D396" s="19"/>
      <c r="E396" s="14" t="s">
        <v>45</v>
      </c>
      <c r="F396" s="14" t="s">
        <v>49</v>
      </c>
      <c r="G396" s="27" t="s">
        <v>914</v>
      </c>
      <c r="H396" s="14" t="str">
        <f t="array" ref="H396">IFERROR(INDEX([1]Companies!$G:$G,MATCH(B396,[1]Companies!$A:$A,0)),"")</f>
        <v>Morocco</v>
      </c>
      <c r="I396" s="14" t="str">
        <f t="shared" si="571"/>
        <v>Morocco</v>
      </c>
      <c r="J396" s="14" t="str">
        <f t="array" ref="J396">IFERROR(INDEX([1]Companies!$Y:$Y,MATCH(B396,[1]Companies!$A:$A,0)),"")</f>
        <v>Consulting, Digital Media, Information Technology</v>
      </c>
      <c r="K396" s="14" t="str">
        <f t="array" ref="K396">IFERROR(INDEX([1]Companies!$X:$X,MATCH(B396,[1]Companies!$A:$A,0)),"")</f>
        <v>Information Technology</v>
      </c>
      <c r="L396" s="14" t="str">
        <f>VLOOKUP(B396,[1]Companies!$A$1:$C$5243,1,FALSE)</f>
        <v>Scale</v>
      </c>
      <c r="M396" s="15">
        <f t="shared" si="572"/>
        <v>0.9</v>
      </c>
      <c r="N396" s="10" t="str">
        <f t="shared" si="573"/>
        <v>43101Scale300000</v>
      </c>
      <c r="O396" s="14" t="str">
        <f t="shared" si="574"/>
        <v/>
      </c>
      <c r="P396" s="14">
        <f t="shared" si="575"/>
        <v>1</v>
      </c>
      <c r="Q396" s="14">
        <f t="array" ref="Q396">IFERROR(INDEX([1]Companies!$D:$D,MATCH(B396,[1]Companies!$A:$A,0)),"")</f>
        <v>2018</v>
      </c>
      <c r="R396" s="17">
        <f t="shared" si="576"/>
        <v>300000</v>
      </c>
      <c r="S396" s="14">
        <f>VLOOKUP(I396,[1]Lookups!$V$3:$Y$197,4,FALSE)</f>
        <v>0</v>
      </c>
      <c r="T396" s="14" t="str">
        <f>VLOOKUP(E396,[1]Lookups!$H$3:$I$71,2,FALSE)</f>
        <v>2. Seed</v>
      </c>
      <c r="U396" s="14" t="str">
        <f>VLOOKUP(K396,[1]Lookups!$B$3:$C$142,2,FALSE)</f>
        <v>Other Technologies &amp; Information Technology</v>
      </c>
      <c r="V396" s="14">
        <f t="shared" si="396"/>
        <v>2018</v>
      </c>
      <c r="W396" s="14">
        <f t="shared" si="397"/>
        <v>1</v>
      </c>
      <c r="X396" s="14">
        <f>VLOOKUP(W396,[1]Lookups!$P$3:$S$15,2,FALSE)</f>
        <v>1</v>
      </c>
      <c r="Y396" s="16">
        <f>VLOOKUP(W396,[1]Lookups!$P$3:$U$15,3,FALSE)</f>
        <v>1</v>
      </c>
      <c r="Z396" s="16">
        <f t="shared" si="398"/>
        <v>1</v>
      </c>
      <c r="AA396" s="16" t="str">
        <f t="shared" ca="1" si="577"/>
        <v>HIMangel</v>
      </c>
      <c r="AB396" s="16">
        <f t="shared" si="577"/>
        <v>0</v>
      </c>
      <c r="AC396" s="16">
        <f t="shared" si="577"/>
        <v>0</v>
      </c>
      <c r="AD396" s="16">
        <f t="shared" si="577"/>
        <v>0</v>
      </c>
      <c r="AE396" s="16">
        <f t="shared" si="577"/>
        <v>0</v>
      </c>
      <c r="AF396" s="16">
        <f t="shared" si="577"/>
        <v>0</v>
      </c>
      <c r="AG396" s="16">
        <f t="shared" si="577"/>
        <v>0</v>
      </c>
      <c r="AH396" s="16">
        <f t="shared" si="577"/>
        <v>0</v>
      </c>
      <c r="AI396" s="16">
        <f t="shared" si="577"/>
        <v>0</v>
      </c>
      <c r="AJ396" s="16">
        <f t="shared" si="577"/>
        <v>0</v>
      </c>
      <c r="AK396" s="16">
        <f t="shared" si="577"/>
        <v>0</v>
      </c>
      <c r="AL396" s="16">
        <f t="shared" si="577"/>
        <v>0</v>
      </c>
      <c r="AM396" s="16">
        <f t="shared" si="577"/>
        <v>0</v>
      </c>
      <c r="AN396" s="16">
        <f t="shared" si="577"/>
        <v>0</v>
      </c>
      <c r="AO396" s="16">
        <f t="shared" si="577"/>
        <v>0</v>
      </c>
      <c r="AP396" s="10"/>
      <c r="AQ396" s="10"/>
      <c r="AR396" s="10"/>
      <c r="AS396" s="10" t="str">
        <f t="shared" ref="AS396" ca="1" si="588">IFERROR(__xludf.DUMMYFUNCTION("split(F386,"","",true,true)"),"HIMangel")</f>
        <v>HIMangel</v>
      </c>
      <c r="AT396" s="10"/>
      <c r="AU396" s="10"/>
      <c r="AV396" s="10"/>
      <c r="AW396" s="10"/>
      <c r="AX396" s="10"/>
      <c r="AY396" s="10"/>
      <c r="AZ396" s="10"/>
      <c r="BA396" s="10"/>
      <c r="BB396" s="10"/>
      <c r="BC396" s="10"/>
      <c r="BD396" s="10"/>
      <c r="BE396" s="10"/>
      <c r="BF396" s="10"/>
      <c r="BG396" s="10"/>
      <c r="BH396" s="10"/>
      <c r="BI396" s="10"/>
      <c r="BJ396" s="10"/>
      <c r="BK396" s="10"/>
      <c r="BM396" s="10"/>
    </row>
    <row r="397" spans="1:65" ht="12.75">
      <c r="A397" s="18">
        <v>43101</v>
      </c>
      <c r="B397" s="14" t="s">
        <v>915</v>
      </c>
      <c r="C397" s="19">
        <v>250000</v>
      </c>
      <c r="D397" s="19"/>
      <c r="E397" s="14" t="s">
        <v>45</v>
      </c>
      <c r="F397" s="14" t="s">
        <v>916</v>
      </c>
      <c r="G397" s="27" t="s">
        <v>917</v>
      </c>
      <c r="H397" s="14" t="str">
        <f t="array" ref="H397">IFERROR(INDEX([1]Companies!$G:$G,MATCH(B397,[1]Companies!$A:$A,0)),"")</f>
        <v>Egypt</v>
      </c>
      <c r="I397" s="14" t="str">
        <f t="shared" si="571"/>
        <v>Egypt</v>
      </c>
      <c r="J397" s="14" t="str">
        <f t="array" ref="J397">IFERROR(INDEX([1]Companies!$Y:$Y,MATCH(B397,[1]Companies!$A:$A,0)),"")</f>
        <v>Blockchain, Hardware, Internet of Things, Software</v>
      </c>
      <c r="K397" s="14" t="str">
        <f t="array" ref="K397">IFERROR(INDEX([1]Companies!$X:$X,MATCH(B397,[1]Companies!$A:$A,0)),"")</f>
        <v>Emerging Technologies</v>
      </c>
      <c r="L397" s="14" t="str">
        <f>VLOOKUP(B397,[1]Companies!$A$1:$C$5243,1,FALSE)</f>
        <v>Elk</v>
      </c>
      <c r="M397" s="15">
        <f t="shared" si="572"/>
        <v>0.9</v>
      </c>
      <c r="N397" s="10" t="str">
        <f t="shared" si="573"/>
        <v>43101Elk250000</v>
      </c>
      <c r="O397" s="14" t="str">
        <f t="shared" si="574"/>
        <v/>
      </c>
      <c r="P397" s="14">
        <f t="shared" si="575"/>
        <v>1</v>
      </c>
      <c r="Q397" s="14">
        <f t="array" ref="Q397">IFERROR(INDEX([1]Companies!$D:$D,MATCH(B397,[1]Companies!$A:$A,0)),"")</f>
        <v>2017</v>
      </c>
      <c r="R397" s="17">
        <f t="shared" si="576"/>
        <v>325000</v>
      </c>
      <c r="S397" s="14">
        <f>VLOOKUP(I397,[1]Lookups!$V$3:$Y$197,4,FALSE)</f>
        <v>0</v>
      </c>
      <c r="T397" s="14" t="str">
        <f>VLOOKUP(E397,[1]Lookups!$H$3:$I$71,2,FALSE)</f>
        <v>2. Seed</v>
      </c>
      <c r="U397" s="14" t="str">
        <f>VLOOKUP(K397,[1]Lookups!$B$3:$C$142,2,FALSE)</f>
        <v>Emerging Technologies</v>
      </c>
      <c r="V397" s="14">
        <f t="shared" si="396"/>
        <v>2018</v>
      </c>
      <c r="W397" s="14">
        <f t="shared" si="397"/>
        <v>1</v>
      </c>
      <c r="X397" s="14">
        <f>VLOOKUP(W397,[1]Lookups!$P$3:$S$15,2,FALSE)</f>
        <v>1</v>
      </c>
      <c r="Y397" s="16">
        <f>VLOOKUP(W397,[1]Lookups!$P$3:$U$15,3,FALSE)</f>
        <v>1</v>
      </c>
      <c r="Z397" s="16">
        <f t="shared" si="398"/>
        <v>6</v>
      </c>
      <c r="AA397" s="16" t="str">
        <f t="shared" ca="1" si="577"/>
        <v>HIMangel</v>
      </c>
      <c r="AB397" s="16" t="str">
        <f t="shared" ca="1" si="577"/>
        <v xml:space="preserve"> 500 Startups</v>
      </c>
      <c r="AC397" s="16" t="str">
        <f t="shared" ca="1" si="577"/>
        <v xml:space="preserve"> Flat5Labs</v>
      </c>
      <c r="AD397" s="16" t="str">
        <f t="shared" ca="1" si="577"/>
        <v xml:space="preserve"> Khaled Alashmouny</v>
      </c>
      <c r="AE397" s="16" t="str">
        <f t="shared" ca="1" si="577"/>
        <v xml:space="preserve"> Karim Hussein</v>
      </c>
      <c r="AF397" s="16" t="str">
        <f t="shared" ca="1" si="577"/>
        <v xml:space="preserve"> Con O'Donnell</v>
      </c>
      <c r="AG397" s="16">
        <f t="shared" si="577"/>
        <v>0</v>
      </c>
      <c r="AH397" s="16">
        <f t="shared" si="577"/>
        <v>0</v>
      </c>
      <c r="AI397" s="16">
        <f t="shared" si="577"/>
        <v>0</v>
      </c>
      <c r="AJ397" s="16">
        <f t="shared" si="577"/>
        <v>0</v>
      </c>
      <c r="AK397" s="16">
        <f t="shared" si="577"/>
        <v>0</v>
      </c>
      <c r="AL397" s="16">
        <f t="shared" si="577"/>
        <v>0</v>
      </c>
      <c r="AM397" s="16">
        <f t="shared" si="577"/>
        <v>0</v>
      </c>
      <c r="AN397" s="16">
        <f t="shared" si="577"/>
        <v>0</v>
      </c>
      <c r="AO397" s="16">
        <f t="shared" si="577"/>
        <v>0</v>
      </c>
      <c r="AP397" s="10"/>
      <c r="AQ397" s="10"/>
      <c r="AR397" s="10"/>
      <c r="AS397" s="10" t="str">
        <f t="shared" ref="AS397" ca="1" si="589">IFERROR(__xludf.DUMMYFUNCTION("split(F386,"","",true,true)"),"HIMangel")</f>
        <v>HIMangel</v>
      </c>
      <c r="AT397" s="10" t="str">
        <f ca="1">IFERROR(__xludf.DUMMYFUNCTION("""COMPUTED_VALUE""")," 500 Startups")</f>
        <v xml:space="preserve"> 500 Startups</v>
      </c>
      <c r="AU397" s="10" t="str">
        <f ca="1">IFERROR(__xludf.DUMMYFUNCTION("""COMPUTED_VALUE""")," Flat5Labs")</f>
        <v xml:space="preserve"> Flat5Labs</v>
      </c>
      <c r="AV397" s="10" t="str">
        <f ca="1">IFERROR(__xludf.DUMMYFUNCTION("""COMPUTED_VALUE""")," Khaled Alashmouny")</f>
        <v xml:space="preserve"> Khaled Alashmouny</v>
      </c>
      <c r="AW397" s="10" t="str">
        <f ca="1">IFERROR(__xludf.DUMMYFUNCTION("""COMPUTED_VALUE""")," Karim Hussein")</f>
        <v xml:space="preserve"> Karim Hussein</v>
      </c>
      <c r="AX397" s="10" t="str">
        <f ca="1">IFERROR(__xludf.DUMMYFUNCTION("""COMPUTED_VALUE""")," Con O'Donnell")</f>
        <v xml:space="preserve"> Con O'Donnell</v>
      </c>
      <c r="AY397" s="10"/>
      <c r="AZ397" s="10"/>
      <c r="BA397" s="10"/>
      <c r="BB397" s="10"/>
      <c r="BC397" s="10"/>
      <c r="BD397" s="10"/>
      <c r="BE397" s="10"/>
      <c r="BF397" s="10"/>
      <c r="BG397" s="10"/>
      <c r="BH397" s="10"/>
      <c r="BI397" s="10"/>
      <c r="BJ397" s="10"/>
      <c r="BK397" s="10"/>
      <c r="BM397" s="10"/>
    </row>
    <row r="398" spans="1:65" ht="12.75">
      <c r="A398" s="9">
        <v>43101</v>
      </c>
      <c r="B398" s="10" t="s">
        <v>918</v>
      </c>
      <c r="C398" s="11">
        <v>75000</v>
      </c>
      <c r="D398" s="12"/>
      <c r="E398" s="10" t="s">
        <v>45</v>
      </c>
      <c r="F398" s="10" t="s">
        <v>49</v>
      </c>
      <c r="G398" s="13" t="s">
        <v>919</v>
      </c>
      <c r="H398" s="14" t="str">
        <f t="array" ref="H398">IFERROR(INDEX([1]Companies!$G:$G,MATCH(B398,[1]Companies!$A:$A,0)),"")</f>
        <v>Botswana</v>
      </c>
      <c r="I398" s="14" t="str">
        <f t="shared" si="571"/>
        <v>Botswana</v>
      </c>
      <c r="J398" s="14" t="str">
        <f t="array" ref="J398">IFERROR(INDEX([1]Companies!$Y:$Y,MATCH(B398,[1]Companies!$A:$A,0)),"")</f>
        <v>Food &amp; Beverages</v>
      </c>
      <c r="K398" s="14" t="str">
        <f t="array" ref="K398">IFERROR(INDEX([1]Companies!$X:$X,MATCH(B398,[1]Companies!$A:$A,0)),"")</f>
        <v>E-Commerce &amp; Retail</v>
      </c>
      <c r="L398" s="14" t="str">
        <f>VLOOKUP(B398,[1]Companies!$A$1:$C$5243,1,FALSE)</f>
        <v>MyFoodness</v>
      </c>
      <c r="M398" s="15">
        <f t="shared" si="572"/>
        <v>0.9</v>
      </c>
      <c r="N398" s="10" t="str">
        <f t="shared" si="573"/>
        <v>43101MyFoodness75000</v>
      </c>
      <c r="O398" s="14" t="str">
        <f t="shared" si="574"/>
        <v/>
      </c>
      <c r="P398" s="14">
        <f t="shared" si="575"/>
        <v>1</v>
      </c>
      <c r="Q398" s="14">
        <f t="array" ref="Q398">IFERROR(INDEX([1]Companies!$D:$D,MATCH(B398,[1]Companies!$A:$A,0)),"")</f>
        <v>2017</v>
      </c>
      <c r="R398" s="17">
        <f t="shared" si="576"/>
        <v>75000</v>
      </c>
      <c r="S398" s="14">
        <f>VLOOKUP(I398,[1]Lookups!$V$3:$Y$197,4,FALSE)</f>
        <v>0</v>
      </c>
      <c r="T398" s="14" t="str">
        <f>VLOOKUP(E398,[1]Lookups!$H$3:$I$71,2,FALSE)</f>
        <v>2. Seed</v>
      </c>
      <c r="U398" s="14" t="str">
        <f>VLOOKUP(K398,[1]Lookups!$B$3:$C$142,2,FALSE)</f>
        <v>E-commerce &amp; Retail</v>
      </c>
      <c r="V398" s="14">
        <f t="shared" si="396"/>
        <v>2018</v>
      </c>
      <c r="W398" s="14">
        <f t="shared" si="397"/>
        <v>1</v>
      </c>
      <c r="X398" s="14">
        <f>VLOOKUP(W398,[1]Lookups!$P$3:$S$15,2,FALSE)</f>
        <v>1</v>
      </c>
      <c r="Y398" s="16">
        <f>VLOOKUP(W398,[1]Lookups!$P$3:$U$15,3,FALSE)</f>
        <v>1</v>
      </c>
      <c r="Z398" s="16">
        <f t="shared" si="398"/>
        <v>1</v>
      </c>
      <c r="AA398" s="16" t="str">
        <f t="shared" ca="1" si="577"/>
        <v>HIMangel</v>
      </c>
      <c r="AB398" s="16">
        <f t="shared" si="577"/>
        <v>0</v>
      </c>
      <c r="AC398" s="16">
        <f t="shared" si="577"/>
        <v>0</v>
      </c>
      <c r="AD398" s="16">
        <f t="shared" si="577"/>
        <v>0</v>
      </c>
      <c r="AE398" s="16">
        <f t="shared" si="577"/>
        <v>0</v>
      </c>
      <c r="AF398" s="16">
        <f t="shared" si="577"/>
        <v>0</v>
      </c>
      <c r="AG398" s="16">
        <f t="shared" si="577"/>
        <v>0</v>
      </c>
      <c r="AH398" s="16">
        <f t="shared" si="577"/>
        <v>0</v>
      </c>
      <c r="AI398" s="16">
        <f t="shared" si="577"/>
        <v>0</v>
      </c>
      <c r="AJ398" s="16">
        <f t="shared" si="577"/>
        <v>0</v>
      </c>
      <c r="AK398" s="16">
        <f t="shared" si="577"/>
        <v>0</v>
      </c>
      <c r="AL398" s="16">
        <f t="shared" si="577"/>
        <v>0</v>
      </c>
      <c r="AM398" s="16">
        <f t="shared" si="577"/>
        <v>0</v>
      </c>
      <c r="AN398" s="16">
        <f t="shared" si="577"/>
        <v>0</v>
      </c>
      <c r="AO398" s="16">
        <f t="shared" si="577"/>
        <v>0</v>
      </c>
      <c r="AP398" s="10"/>
      <c r="AQ398" s="10"/>
      <c r="AR398" s="10"/>
      <c r="AS398" s="10" t="str">
        <f t="shared" ref="AS398" ca="1" si="590">IFERROR(__xludf.DUMMYFUNCTION("split(F386,"","",true,true)"),"HIMangel")</f>
        <v>HIMangel</v>
      </c>
      <c r="AT398" s="10"/>
      <c r="AU398" s="10"/>
      <c r="AV398" s="10"/>
      <c r="AW398" s="10"/>
      <c r="AX398" s="10"/>
      <c r="AY398" s="10"/>
      <c r="AZ398" s="10"/>
      <c r="BA398" s="10"/>
      <c r="BB398" s="10"/>
      <c r="BC398" s="10"/>
      <c r="BD398" s="10"/>
      <c r="BE398" s="10"/>
      <c r="BF398" s="10"/>
      <c r="BG398" s="10"/>
      <c r="BH398" s="10"/>
      <c r="BI398" s="10"/>
      <c r="BJ398" s="10"/>
      <c r="BK398" s="10"/>
      <c r="BM398" s="10"/>
    </row>
    <row r="399" spans="1:65" ht="12.75">
      <c r="A399" s="18">
        <v>43101</v>
      </c>
      <c r="B399" s="14" t="s">
        <v>920</v>
      </c>
      <c r="C399" s="19">
        <v>70000</v>
      </c>
      <c r="D399" s="19"/>
      <c r="E399" s="14" t="s">
        <v>45</v>
      </c>
      <c r="F399" s="14" t="s">
        <v>921</v>
      </c>
      <c r="G399" s="27" t="s">
        <v>922</v>
      </c>
      <c r="H399" s="14" t="str">
        <f t="array" ref="H399">IFERROR(INDEX([1]Companies!$G:$G,MATCH(B399,[1]Companies!$A:$A,0)),"")</f>
        <v>South Africa</v>
      </c>
      <c r="I399" s="14" t="str">
        <f t="shared" si="571"/>
        <v>South Africa</v>
      </c>
      <c r="J399" s="14" t="str">
        <f t="array" ref="J399">IFERROR(INDEX([1]Companies!$Y:$Y,MATCH(B399,[1]Companies!$A:$A,0)),"")</f>
        <v>e-commerce, Product and Service Advice for Moms, Events and Competitions for families, Data/Analytic Reports, retail, Product Testing, and Product Trials</v>
      </c>
      <c r="K399" s="14" t="str">
        <f t="array" ref="K399">IFERROR(INDEX([1]Companies!$X:$X,MATCH(B399,[1]Companies!$A:$A,0)),"")</f>
        <v>E-Commerce &amp; Retail</v>
      </c>
      <c r="L399" s="14" t="str">
        <f>VLOOKUP(B399,[1]Companies!$A$1:$C$5243,1,FALSE)</f>
        <v>You, Baby and I</v>
      </c>
      <c r="M399" s="15">
        <f t="shared" si="572"/>
        <v>0.9</v>
      </c>
      <c r="N399" s="10" t="str">
        <f t="shared" si="573"/>
        <v>43101You, Baby and I70000</v>
      </c>
      <c r="O399" s="14" t="str">
        <f t="shared" si="574"/>
        <v/>
      </c>
      <c r="P399" s="14">
        <f t="shared" si="575"/>
        <v>1</v>
      </c>
      <c r="Q399" s="14">
        <f t="array" ref="Q399">IFERROR(INDEX([1]Companies!$D:$D,MATCH(B399,[1]Companies!$A:$A,0)),"")</f>
        <v>2014</v>
      </c>
      <c r="R399" s="17">
        <f t="shared" si="576"/>
        <v>70000</v>
      </c>
      <c r="S399" s="14">
        <f>VLOOKUP(I399,[1]Lookups!$V$3:$Y$197,4,FALSE)</f>
        <v>0</v>
      </c>
      <c r="T399" s="14" t="str">
        <f>VLOOKUP(E399,[1]Lookups!$H$3:$I$71,2,FALSE)</f>
        <v>2. Seed</v>
      </c>
      <c r="U399" s="14" t="str">
        <f>VLOOKUP(K399,[1]Lookups!$B$3:$C$142,2,FALSE)</f>
        <v>E-commerce &amp; Retail</v>
      </c>
      <c r="V399" s="14">
        <f t="shared" si="396"/>
        <v>2018</v>
      </c>
      <c r="W399" s="14">
        <f t="shared" si="397"/>
        <v>1</v>
      </c>
      <c r="X399" s="14">
        <f>VLOOKUP(W399,[1]Lookups!$P$3:$S$15,2,FALSE)</f>
        <v>1</v>
      </c>
      <c r="Y399" s="16">
        <f>VLOOKUP(W399,[1]Lookups!$P$3:$U$15,3,FALSE)</f>
        <v>1</v>
      </c>
      <c r="Z399" s="16">
        <f t="shared" si="398"/>
        <v>1</v>
      </c>
      <c r="AA399" s="16" t="str">
        <f t="shared" ca="1" si="577"/>
        <v>HIMangel</v>
      </c>
      <c r="AB399" s="16">
        <f t="shared" si="577"/>
        <v>0</v>
      </c>
      <c r="AC399" s="16">
        <f t="shared" si="577"/>
        <v>0</v>
      </c>
      <c r="AD399" s="16">
        <f t="shared" si="577"/>
        <v>0</v>
      </c>
      <c r="AE399" s="16">
        <f t="shared" si="577"/>
        <v>0</v>
      </c>
      <c r="AF399" s="16">
        <f t="shared" si="577"/>
        <v>0</v>
      </c>
      <c r="AG399" s="16">
        <f t="shared" si="577"/>
        <v>0</v>
      </c>
      <c r="AH399" s="16">
        <f t="shared" si="577"/>
        <v>0</v>
      </c>
      <c r="AI399" s="16">
        <f t="shared" si="577"/>
        <v>0</v>
      </c>
      <c r="AJ399" s="16">
        <f t="shared" si="577"/>
        <v>0</v>
      </c>
      <c r="AK399" s="16">
        <f t="shared" si="577"/>
        <v>0</v>
      </c>
      <c r="AL399" s="16">
        <f t="shared" si="577"/>
        <v>0</v>
      </c>
      <c r="AM399" s="16">
        <f t="shared" si="577"/>
        <v>0</v>
      </c>
      <c r="AN399" s="16">
        <f t="shared" si="577"/>
        <v>0</v>
      </c>
      <c r="AO399" s="16">
        <f t="shared" si="577"/>
        <v>0</v>
      </c>
      <c r="AP399" s="10"/>
      <c r="AQ399" s="10"/>
      <c r="AR399" s="10"/>
      <c r="AS399" s="10" t="str">
        <f t="shared" ref="AS399" ca="1" si="591">IFERROR(__xludf.DUMMYFUNCTION("split(F386,"","",true,true)"),"HIMangel")</f>
        <v>HIMangel</v>
      </c>
      <c r="AT399" s="10"/>
      <c r="AU399" s="10"/>
      <c r="AV399" s="10"/>
      <c r="AW399" s="10"/>
      <c r="AX399" s="10"/>
      <c r="AY399" s="10"/>
      <c r="AZ399" s="10"/>
      <c r="BA399" s="10"/>
      <c r="BB399" s="10"/>
      <c r="BC399" s="10"/>
      <c r="BD399" s="10"/>
      <c r="BE399" s="10"/>
      <c r="BF399" s="10"/>
      <c r="BG399" s="10"/>
      <c r="BH399" s="10"/>
      <c r="BI399" s="10"/>
      <c r="BJ399" s="10"/>
      <c r="BK399" s="10"/>
      <c r="BM399" s="10"/>
    </row>
    <row r="400" spans="1:65" ht="12.75">
      <c r="A400" s="18">
        <v>43101</v>
      </c>
      <c r="B400" s="14" t="s">
        <v>923</v>
      </c>
      <c r="C400" s="19">
        <v>35000</v>
      </c>
      <c r="D400" s="19"/>
      <c r="E400" s="14" t="s">
        <v>45</v>
      </c>
      <c r="F400" s="14" t="s">
        <v>924</v>
      </c>
      <c r="G400" s="27" t="s">
        <v>925</v>
      </c>
      <c r="H400" s="14" t="str">
        <f t="array" ref="H400">IFERROR(INDEX([1]Companies!$G:$G,MATCH(B400,[1]Companies!$A:$A,0)),"")</f>
        <v>Egypt</v>
      </c>
      <c r="I400" s="14" t="str">
        <f t="shared" si="571"/>
        <v>Egypt</v>
      </c>
      <c r="J400" s="14" t="str">
        <f t="array" ref="J400">IFERROR(INDEX([1]Companies!$Y:$Y,MATCH(B400,[1]Companies!$A:$A,0)),"")</f>
        <v>FinTech</v>
      </c>
      <c r="K400" s="14" t="str">
        <f t="array" ref="K400">IFERROR(INDEX([1]Companies!$X:$X,MATCH(B400,[1]Companies!$A:$A,0)),"")</f>
        <v>Financial Services</v>
      </c>
      <c r="L400" s="14" t="str">
        <f>VLOOKUP(B400,[1]Companies!$A$1:$C$5243,1,FALSE)</f>
        <v>Xpay</v>
      </c>
      <c r="M400" s="15">
        <f t="shared" si="572"/>
        <v>0.9</v>
      </c>
      <c r="N400" s="10" t="str">
        <f t="shared" si="573"/>
        <v>43101Xpay35000</v>
      </c>
      <c r="O400" s="14" t="str">
        <f t="shared" si="574"/>
        <v/>
      </c>
      <c r="P400" s="14">
        <f t="shared" si="575"/>
        <v>1</v>
      </c>
      <c r="Q400" s="14">
        <f t="array" ref="Q400">IFERROR(INDEX([1]Companies!$D:$D,MATCH(B400,[1]Companies!$A:$A,0)),"")</f>
        <v>2018</v>
      </c>
      <c r="R400" s="17">
        <f t="shared" si="576"/>
        <v>285000</v>
      </c>
      <c r="S400" s="14">
        <f>VLOOKUP(I400,[1]Lookups!$V$3:$Y$197,4,FALSE)</f>
        <v>0</v>
      </c>
      <c r="T400" s="14" t="str">
        <f>VLOOKUP(E400,[1]Lookups!$H$3:$I$71,2,FALSE)</f>
        <v>2. Seed</v>
      </c>
      <c r="U400" s="14" t="str">
        <f>VLOOKUP(K400,[1]Lookups!$B$3:$C$142,2,FALSE)</f>
        <v>Financial Services</v>
      </c>
      <c r="V400" s="14">
        <f t="shared" si="396"/>
        <v>2018</v>
      </c>
      <c r="W400" s="14">
        <f t="shared" si="397"/>
        <v>1</v>
      </c>
      <c r="X400" s="14">
        <f>VLOOKUP(W400,[1]Lookups!$P$3:$S$15,2,FALSE)</f>
        <v>1</v>
      </c>
      <c r="Y400" s="16">
        <f>VLOOKUP(W400,[1]Lookups!$P$3:$U$15,3,FALSE)</f>
        <v>1</v>
      </c>
      <c r="Z400" s="16">
        <f t="shared" si="398"/>
        <v>1</v>
      </c>
      <c r="AA400" s="16" t="str">
        <f t="shared" ca="1" si="577"/>
        <v>HIMangel</v>
      </c>
      <c r="AB400" s="16">
        <f t="shared" si="577"/>
        <v>0</v>
      </c>
      <c r="AC400" s="16">
        <f t="shared" si="577"/>
        <v>0</v>
      </c>
      <c r="AD400" s="16">
        <f t="shared" si="577"/>
        <v>0</v>
      </c>
      <c r="AE400" s="16">
        <f t="shared" si="577"/>
        <v>0</v>
      </c>
      <c r="AF400" s="16">
        <f t="shared" si="577"/>
        <v>0</v>
      </c>
      <c r="AG400" s="16">
        <f t="shared" si="577"/>
        <v>0</v>
      </c>
      <c r="AH400" s="16">
        <f t="shared" si="577"/>
        <v>0</v>
      </c>
      <c r="AI400" s="16">
        <f t="shared" si="577"/>
        <v>0</v>
      </c>
      <c r="AJ400" s="16">
        <f t="shared" si="577"/>
        <v>0</v>
      </c>
      <c r="AK400" s="16">
        <f t="shared" si="577"/>
        <v>0</v>
      </c>
      <c r="AL400" s="16">
        <f t="shared" si="577"/>
        <v>0</v>
      </c>
      <c r="AM400" s="16">
        <f t="shared" si="577"/>
        <v>0</v>
      </c>
      <c r="AN400" s="16">
        <f t="shared" si="577"/>
        <v>0</v>
      </c>
      <c r="AO400" s="16">
        <f t="shared" si="577"/>
        <v>0</v>
      </c>
      <c r="AP400" s="10"/>
      <c r="AQ400" s="10"/>
      <c r="AR400" s="10"/>
      <c r="AS400" s="10" t="str">
        <f t="shared" ref="AS400" ca="1" si="592">IFERROR(__xludf.DUMMYFUNCTION("split(F386,"","",true,true)"),"HIMangel")</f>
        <v>HIMangel</v>
      </c>
      <c r="AT400" s="10"/>
      <c r="AU400" s="10"/>
      <c r="AV400" s="10"/>
      <c r="AW400" s="10"/>
      <c r="AX400" s="10"/>
      <c r="AY400" s="10"/>
      <c r="AZ400" s="10"/>
      <c r="BA400" s="10"/>
      <c r="BB400" s="10"/>
      <c r="BC400" s="10"/>
      <c r="BD400" s="10"/>
      <c r="BE400" s="10"/>
      <c r="BF400" s="10"/>
      <c r="BG400" s="10"/>
      <c r="BH400" s="10"/>
      <c r="BI400" s="10"/>
      <c r="BJ400" s="10"/>
      <c r="BK400" s="10"/>
      <c r="BM400" s="10"/>
    </row>
    <row r="401" spans="1:65" ht="12.75">
      <c r="A401" s="18">
        <v>43101</v>
      </c>
      <c r="B401" s="14" t="s">
        <v>926</v>
      </c>
      <c r="C401" s="19">
        <v>30000</v>
      </c>
      <c r="D401" s="19"/>
      <c r="E401" s="14" t="s">
        <v>45</v>
      </c>
      <c r="F401" s="14" t="s">
        <v>49</v>
      </c>
      <c r="G401" s="27" t="s">
        <v>927</v>
      </c>
      <c r="H401" s="14" t="str">
        <f t="array" ref="H401">IFERROR(INDEX([1]Companies!$G:$G,MATCH(B401,[1]Companies!$A:$A,0)),"")</f>
        <v>Egypt</v>
      </c>
      <c r="I401" s="14" t="str">
        <f t="shared" si="571"/>
        <v>Egypt</v>
      </c>
      <c r="J401" s="14" t="str">
        <f t="array" ref="J401">IFERROR(INDEX([1]Companies!$Y:$Y,MATCH(B401,[1]Companies!$A:$A,0)),"")</f>
        <v>B2B, Information Services, Information Technology, Internet, Marketplace</v>
      </c>
      <c r="K401" s="14" t="str">
        <f t="array" ref="K401">IFERROR(INDEX([1]Companies!$X:$X,MATCH(B401,[1]Companies!$A:$A,0)),"")</f>
        <v>Information Technology</v>
      </c>
      <c r="L401" s="14" t="str">
        <f>VLOOKUP(B401,[1]Companies!$A$1:$C$5243,1,FALSE)</f>
        <v>Teradix</v>
      </c>
      <c r="M401" s="15">
        <f t="shared" si="572"/>
        <v>0.9</v>
      </c>
      <c r="N401" s="10" t="str">
        <f t="shared" si="573"/>
        <v>43101Teradix30000</v>
      </c>
      <c r="O401" s="14" t="str">
        <f t="shared" si="574"/>
        <v/>
      </c>
      <c r="P401" s="14">
        <f t="shared" si="575"/>
        <v>1</v>
      </c>
      <c r="Q401" s="14">
        <f t="array" ref="Q401">IFERROR(INDEX([1]Companies!$D:$D,MATCH(B401,[1]Companies!$A:$A,0)),"")</f>
        <v>2018</v>
      </c>
      <c r="R401" s="17">
        <f t="shared" si="576"/>
        <v>30000</v>
      </c>
      <c r="S401" s="14">
        <f>VLOOKUP(I401,[1]Lookups!$V$3:$Y$197,4,FALSE)</f>
        <v>0</v>
      </c>
      <c r="T401" s="14" t="str">
        <f>VLOOKUP(E401,[1]Lookups!$H$3:$I$71,2,FALSE)</f>
        <v>2. Seed</v>
      </c>
      <c r="U401" s="14" t="str">
        <f>VLOOKUP(K401,[1]Lookups!$B$3:$C$142,2,FALSE)</f>
        <v>Other Technologies &amp; Information Technology</v>
      </c>
      <c r="V401" s="14">
        <f t="shared" si="396"/>
        <v>2018</v>
      </c>
      <c r="W401" s="14">
        <f t="shared" si="397"/>
        <v>1</v>
      </c>
      <c r="X401" s="14">
        <f>VLOOKUP(W401,[1]Lookups!$P$3:$S$15,2,FALSE)</f>
        <v>1</v>
      </c>
      <c r="Y401" s="16">
        <f>VLOOKUP(W401,[1]Lookups!$P$3:$U$15,3,FALSE)</f>
        <v>1</v>
      </c>
      <c r="Z401" s="16">
        <f t="shared" si="398"/>
        <v>1</v>
      </c>
      <c r="AA401" s="16" t="str">
        <f t="shared" ca="1" si="577"/>
        <v>HIMangel</v>
      </c>
      <c r="AB401" s="16">
        <f t="shared" si="577"/>
        <v>0</v>
      </c>
      <c r="AC401" s="16">
        <f t="shared" si="577"/>
        <v>0</v>
      </c>
      <c r="AD401" s="16">
        <f t="shared" si="577"/>
        <v>0</v>
      </c>
      <c r="AE401" s="16">
        <f t="shared" si="577"/>
        <v>0</v>
      </c>
      <c r="AF401" s="16">
        <f t="shared" si="577"/>
        <v>0</v>
      </c>
      <c r="AG401" s="16">
        <f t="shared" si="577"/>
        <v>0</v>
      </c>
      <c r="AH401" s="16">
        <f t="shared" si="577"/>
        <v>0</v>
      </c>
      <c r="AI401" s="16">
        <f t="shared" si="577"/>
        <v>0</v>
      </c>
      <c r="AJ401" s="16">
        <f t="shared" si="577"/>
        <v>0</v>
      </c>
      <c r="AK401" s="16">
        <f t="shared" si="577"/>
        <v>0</v>
      </c>
      <c r="AL401" s="16">
        <f t="shared" si="577"/>
        <v>0</v>
      </c>
      <c r="AM401" s="16">
        <f t="shared" si="577"/>
        <v>0</v>
      </c>
      <c r="AN401" s="16">
        <f t="shared" si="577"/>
        <v>0</v>
      </c>
      <c r="AO401" s="16">
        <f t="shared" si="577"/>
        <v>0</v>
      </c>
      <c r="AP401" s="10"/>
      <c r="AQ401" s="10"/>
      <c r="AR401" s="10"/>
      <c r="AS401" s="10" t="str">
        <f t="shared" ref="AS401" ca="1" si="593">IFERROR(__xludf.DUMMYFUNCTION("split(F386,"","",true,true)"),"HIMangel")</f>
        <v>HIMangel</v>
      </c>
      <c r="AT401" s="10"/>
      <c r="AU401" s="10"/>
      <c r="AV401" s="10"/>
      <c r="AW401" s="10"/>
      <c r="AX401" s="10"/>
      <c r="AY401" s="10"/>
      <c r="AZ401" s="10"/>
      <c r="BA401" s="10"/>
      <c r="BB401" s="10"/>
      <c r="BC401" s="10"/>
      <c r="BD401" s="10"/>
      <c r="BE401" s="10"/>
      <c r="BF401" s="10"/>
      <c r="BG401" s="10"/>
      <c r="BH401" s="10"/>
      <c r="BI401" s="10"/>
      <c r="BJ401" s="10"/>
      <c r="BK401" s="10"/>
      <c r="BM401" s="10"/>
    </row>
    <row r="402" spans="1:65" ht="12.75">
      <c r="A402" s="9">
        <v>43101</v>
      </c>
      <c r="B402" s="10" t="s">
        <v>928</v>
      </c>
      <c r="C402" s="11">
        <v>18000</v>
      </c>
      <c r="D402" s="12"/>
      <c r="E402" s="10" t="s">
        <v>45</v>
      </c>
      <c r="F402" s="10" t="s">
        <v>49</v>
      </c>
      <c r="G402" s="13" t="s">
        <v>929</v>
      </c>
      <c r="H402" s="14" t="str">
        <f t="array" ref="H402">IFERROR(INDEX([1]Companies!$G:$G,MATCH(B402,[1]Companies!$A:$A,0)),"")</f>
        <v>Egypt</v>
      </c>
      <c r="I402" s="14" t="str">
        <f t="shared" si="571"/>
        <v>Egypt</v>
      </c>
      <c r="J402" s="14" t="str">
        <f t="array" ref="J402">IFERROR(INDEX([1]Companies!$Y:$Y,MATCH(B402,[1]Companies!$A:$A,0)),"")</f>
        <v>Delivery, E-Commerce, Internet, Logistics</v>
      </c>
      <c r="K402" s="14" t="str">
        <f t="array" ref="K402">IFERROR(INDEX([1]Companies!$X:$X,MATCH(B402,[1]Companies!$A:$A,0)),"")</f>
        <v>Transport &amp; Logistics</v>
      </c>
      <c r="L402" s="14" t="str">
        <f>VLOOKUP(B402,[1]Companies!$A$1:$C$5243,1,FALSE)</f>
        <v>Zaagel Xpress</v>
      </c>
      <c r="M402" s="15">
        <f t="shared" si="572"/>
        <v>0.9</v>
      </c>
      <c r="N402" s="10" t="str">
        <f t="shared" si="573"/>
        <v>43101Zaagel Xpress18000</v>
      </c>
      <c r="O402" s="14" t="str">
        <f t="shared" si="574"/>
        <v/>
      </c>
      <c r="P402" s="14">
        <f t="shared" si="575"/>
        <v>1</v>
      </c>
      <c r="Q402" s="14">
        <f t="array" ref="Q402">IFERROR(INDEX([1]Companies!$D:$D,MATCH(B402,[1]Companies!$A:$A,0)),"")</f>
        <v>2013</v>
      </c>
      <c r="R402" s="17">
        <f t="shared" si="576"/>
        <v>18000</v>
      </c>
      <c r="S402" s="14">
        <f>VLOOKUP(I402,[1]Lookups!$V$3:$Y$197,4,FALSE)</f>
        <v>0</v>
      </c>
      <c r="T402" s="14" t="str">
        <f>VLOOKUP(E402,[1]Lookups!$H$3:$I$71,2,FALSE)</f>
        <v>2. Seed</v>
      </c>
      <c r="U402" s="14" t="str">
        <f>VLOOKUP(K402,[1]Lookups!$B$3:$C$142,2,FALSE)</f>
        <v>Transport &amp; Logistics</v>
      </c>
      <c r="V402" s="14">
        <f t="shared" si="396"/>
        <v>2018</v>
      </c>
      <c r="W402" s="14">
        <f t="shared" si="397"/>
        <v>1</v>
      </c>
      <c r="X402" s="14">
        <f>VLOOKUP(W402,[1]Lookups!$P$3:$S$15,2,FALSE)</f>
        <v>1</v>
      </c>
      <c r="Y402" s="16">
        <f>VLOOKUP(W402,[1]Lookups!$P$3:$U$15,3,FALSE)</f>
        <v>1</v>
      </c>
      <c r="Z402" s="16">
        <f t="shared" si="398"/>
        <v>1</v>
      </c>
      <c r="AA402" s="16" t="str">
        <f t="shared" ref="AA402:AO417" ca="1" si="594">AS402</f>
        <v>HIMangel</v>
      </c>
      <c r="AB402" s="16">
        <f t="shared" si="594"/>
        <v>0</v>
      </c>
      <c r="AC402" s="16">
        <f t="shared" si="594"/>
        <v>0</v>
      </c>
      <c r="AD402" s="16">
        <f t="shared" si="594"/>
        <v>0</v>
      </c>
      <c r="AE402" s="16">
        <f t="shared" si="594"/>
        <v>0</v>
      </c>
      <c r="AF402" s="16">
        <f t="shared" si="594"/>
        <v>0</v>
      </c>
      <c r="AG402" s="16">
        <f t="shared" si="594"/>
        <v>0</v>
      </c>
      <c r="AH402" s="16">
        <f t="shared" si="594"/>
        <v>0</v>
      </c>
      <c r="AI402" s="16">
        <f t="shared" si="594"/>
        <v>0</v>
      </c>
      <c r="AJ402" s="16">
        <f t="shared" si="594"/>
        <v>0</v>
      </c>
      <c r="AK402" s="16">
        <f t="shared" si="594"/>
        <v>0</v>
      </c>
      <c r="AL402" s="16">
        <f t="shared" si="594"/>
        <v>0</v>
      </c>
      <c r="AM402" s="16">
        <f t="shared" si="594"/>
        <v>0</v>
      </c>
      <c r="AN402" s="16">
        <f t="shared" si="594"/>
        <v>0</v>
      </c>
      <c r="AO402" s="16">
        <f t="shared" si="594"/>
        <v>0</v>
      </c>
      <c r="AP402" s="10"/>
      <c r="AQ402" s="10"/>
      <c r="AR402" s="10"/>
      <c r="AS402" s="10" t="str">
        <f t="shared" ref="AS402:AS403" ca="1" si="595">IFERROR(__xludf.DUMMYFUNCTION("split(F386,"","",true,true)"),"HIMangel")</f>
        <v>HIMangel</v>
      </c>
      <c r="AT402" s="10"/>
      <c r="AU402" s="10"/>
      <c r="AV402" s="10"/>
      <c r="AW402" s="10"/>
      <c r="AX402" s="10"/>
      <c r="AY402" s="10"/>
      <c r="AZ402" s="10"/>
      <c r="BA402" s="10"/>
      <c r="BB402" s="10"/>
      <c r="BC402" s="10"/>
      <c r="BD402" s="10"/>
      <c r="BE402" s="10"/>
      <c r="BF402" s="10"/>
      <c r="BG402" s="10"/>
      <c r="BH402" s="10"/>
      <c r="BI402" s="10"/>
      <c r="BJ402" s="10"/>
      <c r="BK402" s="10"/>
      <c r="BM402" s="10"/>
    </row>
    <row r="403" spans="1:65" ht="12.75">
      <c r="A403" s="9">
        <v>43101</v>
      </c>
      <c r="B403" s="10" t="s">
        <v>590</v>
      </c>
      <c r="C403" s="11">
        <v>10000</v>
      </c>
      <c r="D403" s="12"/>
      <c r="E403" s="10" t="s">
        <v>45</v>
      </c>
      <c r="F403" s="10" t="s">
        <v>930</v>
      </c>
      <c r="G403" s="10" t="s">
        <v>590</v>
      </c>
      <c r="H403" s="14"/>
      <c r="I403" s="14"/>
      <c r="J403" s="14"/>
      <c r="K403" s="14"/>
      <c r="L403" s="14"/>
      <c r="M403" s="15"/>
      <c r="N403" s="10"/>
      <c r="O403" s="14"/>
      <c r="P403" s="14"/>
      <c r="Q403" s="14"/>
      <c r="R403" s="14"/>
      <c r="S403" s="14"/>
      <c r="T403" s="14"/>
      <c r="U403" s="14"/>
      <c r="V403" s="14">
        <f t="shared" si="396"/>
        <v>2018</v>
      </c>
      <c r="W403" s="14">
        <f t="shared" si="397"/>
        <v>1</v>
      </c>
      <c r="X403" s="14">
        <f>VLOOKUP(W403,[1]Lookups!$P$3:$S$15,2,FALSE)</f>
        <v>1</v>
      </c>
      <c r="Y403" s="16">
        <f>VLOOKUP(W403,[1]Lookups!$P$3:$U$15,3,FALSE)</f>
        <v>1</v>
      </c>
      <c r="Z403" s="16">
        <f t="shared" si="398"/>
        <v>1</v>
      </c>
      <c r="AA403" s="16" t="str">
        <f t="shared" ca="1" si="594"/>
        <v>HIMangel</v>
      </c>
      <c r="AB403" s="16">
        <f t="shared" si="594"/>
        <v>0</v>
      </c>
      <c r="AC403" s="16">
        <f t="shared" si="594"/>
        <v>0</v>
      </c>
      <c r="AD403" s="16">
        <f t="shared" si="594"/>
        <v>0</v>
      </c>
      <c r="AE403" s="16">
        <f t="shared" si="594"/>
        <v>0</v>
      </c>
      <c r="AF403" s="16">
        <f t="shared" si="594"/>
        <v>0</v>
      </c>
      <c r="AG403" s="16">
        <f t="shared" si="594"/>
        <v>0</v>
      </c>
      <c r="AH403" s="16">
        <f t="shared" si="594"/>
        <v>0</v>
      </c>
      <c r="AI403" s="16">
        <f t="shared" si="594"/>
        <v>0</v>
      </c>
      <c r="AJ403" s="16">
        <f t="shared" si="594"/>
        <v>0</v>
      </c>
      <c r="AK403" s="16">
        <f t="shared" si="594"/>
        <v>0</v>
      </c>
      <c r="AL403" s="16">
        <f t="shared" si="594"/>
        <v>0</v>
      </c>
      <c r="AM403" s="16">
        <f t="shared" si="594"/>
        <v>0</v>
      </c>
      <c r="AN403" s="16">
        <f t="shared" si="594"/>
        <v>0</v>
      </c>
      <c r="AO403" s="16">
        <f t="shared" si="594"/>
        <v>0</v>
      </c>
      <c r="AP403" s="10"/>
      <c r="AQ403" s="10"/>
      <c r="AR403" s="10"/>
      <c r="AS403" s="10" t="str">
        <f t="shared" ca="1" si="595"/>
        <v>HIMangel</v>
      </c>
      <c r="AT403" s="10"/>
      <c r="AU403" s="10"/>
      <c r="AV403" s="10"/>
      <c r="AW403" s="10"/>
      <c r="AX403" s="10"/>
      <c r="AY403" s="10"/>
      <c r="AZ403" s="10"/>
      <c r="BA403" s="10"/>
      <c r="BB403" s="10"/>
      <c r="BC403" s="10"/>
      <c r="BD403" s="10"/>
      <c r="BE403" s="10"/>
      <c r="BF403" s="10"/>
      <c r="BG403" s="10"/>
      <c r="BH403" s="10"/>
      <c r="BI403" s="10"/>
      <c r="BJ403" s="10"/>
      <c r="BK403" s="10"/>
      <c r="BM403" s="10"/>
    </row>
    <row r="404" spans="1:65" ht="12.75">
      <c r="A404" s="18">
        <v>43101</v>
      </c>
      <c r="B404" s="14" t="s">
        <v>421</v>
      </c>
      <c r="C404" s="19">
        <v>1100000</v>
      </c>
      <c r="D404" s="19"/>
      <c r="E404" s="14" t="s">
        <v>69</v>
      </c>
      <c r="F404" s="14" t="s">
        <v>49</v>
      </c>
      <c r="G404" s="27" t="s">
        <v>931</v>
      </c>
      <c r="H404" s="14" t="str">
        <f t="array" ref="H404">IFERROR(INDEX([1]Companies!$G:$G,MATCH(B404,[1]Companies!$A:$A,0)),"")</f>
        <v>Uganda</v>
      </c>
      <c r="I404" s="14" t="str">
        <f t="shared" ref="I404:I433" si="596">IF(LEN(TRIM(H404))-LEN(SUBSTITUTE(TRIM(H404),",","")) &gt; 0,TRIM(RIGHT(H404,LEN(H404)-FIND(",",H404))),H404)</f>
        <v>Uganda</v>
      </c>
      <c r="J404" s="14" t="str">
        <f t="array" ref="J404">IFERROR(INDEX([1]Companies!$Y:$Y,MATCH(B404,[1]Companies!$A:$A,0)),"")</f>
        <v>Apps, Consumer, Transportation</v>
      </c>
      <c r="K404" s="14" t="str">
        <f t="array" ref="K404">IFERROR(INDEX([1]Companies!$X:$X,MATCH(B404,[1]Companies!$A:$A,0)),"")</f>
        <v>Transport &amp; Logistics</v>
      </c>
      <c r="L404" s="14" t="str">
        <f>VLOOKUP(B404,[1]Companies!$A$1:$C$5243,1,FALSE)</f>
        <v>Safeboda</v>
      </c>
      <c r="M404" s="15">
        <f t="shared" ref="M404:M433" si="597">COUNTA(B404:K404)/(COUNTBLANK(B404:K404) + COUNTA(B404:K404))</f>
        <v>0.9</v>
      </c>
      <c r="N404" s="10" t="str">
        <f t="shared" ref="N404:N411" si="598">CONCATENATE(A404,B404,C404)</f>
        <v>43101SafeBoda1100000</v>
      </c>
      <c r="O404" s="14" t="str">
        <f t="shared" ref="O404:O411" si="599">IF(A404 = "","",IF(COUNTIF(N:N,CONCATENATE(A404,B404,C404))&gt;1,"Duplicated",""))</f>
        <v/>
      </c>
      <c r="P404" s="14">
        <f t="shared" ref="P404:P411" si="600">IF(C404="Undisclosed",0,1)</f>
        <v>1</v>
      </c>
      <c r="Q404" s="14">
        <f t="array" ref="Q404">IFERROR(INDEX([1]Companies!$D:$D,MATCH(B404,[1]Companies!$A:$A,0)),"")</f>
        <v>2015</v>
      </c>
      <c r="R404" s="17">
        <f t="shared" ref="R404:R411" si="601">SUMIF(B:B,B404,C:C)</f>
        <v>1327000</v>
      </c>
      <c r="S404" s="14">
        <f>VLOOKUP(I404,[1]Lookups!$V$3:$Y$197,4,FALSE)</f>
        <v>0</v>
      </c>
      <c r="T404" s="14" t="str">
        <f>VLOOKUP(E404,[1]Lookups!$H$3:$I$71,2,FALSE)</f>
        <v>3. Early Venture</v>
      </c>
      <c r="U404" s="14" t="str">
        <f>VLOOKUP(K404,[1]Lookups!$B$3:$C$142,2,FALSE)</f>
        <v>Transport &amp; Logistics</v>
      </c>
      <c r="V404" s="14">
        <f t="shared" si="396"/>
        <v>2018</v>
      </c>
      <c r="W404" s="14">
        <f t="shared" si="397"/>
        <v>1</v>
      </c>
      <c r="X404" s="14">
        <f>VLOOKUP(W404,[1]Lookups!$P$3:$S$15,2,FALSE)</f>
        <v>1</v>
      </c>
      <c r="Y404" s="16">
        <f>VLOOKUP(W404,[1]Lookups!$P$3:$U$15,3,FALSE)</f>
        <v>1</v>
      </c>
      <c r="Z404" s="16">
        <f t="shared" si="398"/>
        <v>1</v>
      </c>
      <c r="AA404" s="16" t="str">
        <f t="shared" ca="1" si="594"/>
        <v>HIMangel</v>
      </c>
      <c r="AB404" s="16">
        <f t="shared" si="594"/>
        <v>0</v>
      </c>
      <c r="AC404" s="16">
        <f t="shared" si="594"/>
        <v>0</v>
      </c>
      <c r="AD404" s="16">
        <f t="shared" si="594"/>
        <v>0</v>
      </c>
      <c r="AE404" s="16">
        <f t="shared" si="594"/>
        <v>0</v>
      </c>
      <c r="AF404" s="16">
        <f t="shared" si="594"/>
        <v>0</v>
      </c>
      <c r="AG404" s="16">
        <f t="shared" si="594"/>
        <v>0</v>
      </c>
      <c r="AH404" s="16">
        <f t="shared" si="594"/>
        <v>0</v>
      </c>
      <c r="AI404" s="16">
        <f t="shared" si="594"/>
        <v>0</v>
      </c>
      <c r="AJ404" s="16">
        <f t="shared" si="594"/>
        <v>0</v>
      </c>
      <c r="AK404" s="16">
        <f t="shared" si="594"/>
        <v>0</v>
      </c>
      <c r="AL404" s="16">
        <f t="shared" si="594"/>
        <v>0</v>
      </c>
      <c r="AM404" s="16">
        <f t="shared" si="594"/>
        <v>0</v>
      </c>
      <c r="AN404" s="16">
        <f t="shared" si="594"/>
        <v>0</v>
      </c>
      <c r="AO404" s="16">
        <f t="shared" si="594"/>
        <v>0</v>
      </c>
      <c r="AP404" s="10"/>
      <c r="AQ404" s="10"/>
      <c r="AR404" s="10"/>
      <c r="AS404" s="10" t="str">
        <f t="shared" ref="AS404" ca="1" si="602">IFERROR(__xludf.DUMMYFUNCTION("split(F386,"","",true,true)"),"HIMangel")</f>
        <v>HIMangel</v>
      </c>
      <c r="AT404" s="10"/>
      <c r="AU404" s="10"/>
      <c r="AV404" s="10"/>
      <c r="AW404" s="10"/>
      <c r="AX404" s="10"/>
      <c r="AY404" s="10"/>
      <c r="AZ404" s="10"/>
      <c r="BA404" s="10"/>
      <c r="BB404" s="10"/>
      <c r="BC404" s="10"/>
      <c r="BD404" s="10"/>
      <c r="BE404" s="10"/>
      <c r="BF404" s="10"/>
      <c r="BG404" s="10"/>
      <c r="BH404" s="10"/>
      <c r="BI404" s="10"/>
      <c r="BJ404" s="10"/>
      <c r="BK404" s="10"/>
      <c r="BM404" s="10"/>
    </row>
    <row r="405" spans="1:65" ht="12.75">
      <c r="A405" s="18">
        <v>43102</v>
      </c>
      <c r="B405" s="14" t="s">
        <v>932</v>
      </c>
      <c r="C405" s="19">
        <v>1700000</v>
      </c>
      <c r="D405" s="19"/>
      <c r="E405" s="14" t="s">
        <v>69</v>
      </c>
      <c r="F405" s="14" t="s">
        <v>933</v>
      </c>
      <c r="G405" s="27" t="s">
        <v>934</v>
      </c>
      <c r="H405" s="14" t="str">
        <f t="array" ref="H405">IFERROR(INDEX([1]Companies!$G:$G,MATCH(B405,[1]Companies!$A:$A,0)),"")</f>
        <v>Morocco</v>
      </c>
      <c r="I405" s="14" t="str">
        <f t="shared" si="596"/>
        <v>Morocco</v>
      </c>
      <c r="J405" s="14" t="str">
        <f t="array" ref="J405">IFERROR(INDEX([1]Companies!$Y:$Y,MATCH(B405,[1]Companies!$A:$A,0)),"")</f>
        <v>Advertising Platforms, Media and Entertainment, News, Psychology</v>
      </c>
      <c r="K405" s="14" t="str">
        <f t="array" ref="K405">IFERROR(INDEX([1]Companies!$X:$X,MATCH(B405,[1]Companies!$A:$A,0)),"")</f>
        <v>Media &amp; Entertainment</v>
      </c>
      <c r="L405" s="14" t="str">
        <f>VLOOKUP(B405,[1]Companies!$A$1:$C$5243,1,FALSE)</f>
        <v>Buzzkito</v>
      </c>
      <c r="M405" s="15">
        <f t="shared" si="597"/>
        <v>0.9</v>
      </c>
      <c r="N405" s="10" t="str">
        <f t="shared" si="598"/>
        <v>43102Buzzkito1700000</v>
      </c>
      <c r="O405" s="14" t="str">
        <f t="shared" si="599"/>
        <v/>
      </c>
      <c r="P405" s="14">
        <f t="shared" si="600"/>
        <v>1</v>
      </c>
      <c r="Q405" s="14">
        <f t="array" ref="Q405">IFERROR(INDEX([1]Companies!$D:$D,MATCH(B405,[1]Companies!$A:$A,0)),"")</f>
        <v>2006</v>
      </c>
      <c r="R405" s="17">
        <f t="shared" si="601"/>
        <v>1700000</v>
      </c>
      <c r="S405" s="14">
        <f>VLOOKUP(I405,[1]Lookups!$V$3:$Y$197,4,FALSE)</f>
        <v>0</v>
      </c>
      <c r="T405" s="14" t="str">
        <f>VLOOKUP(E405,[1]Lookups!$H$3:$I$71,2,FALSE)</f>
        <v>3. Early Venture</v>
      </c>
      <c r="U405" s="14" t="str">
        <f>VLOOKUP(K405,[1]Lookups!$B$3:$C$142,2,FALSE)</f>
        <v>Media &amp; Entertainment</v>
      </c>
      <c r="V405" s="14">
        <f t="shared" si="396"/>
        <v>2018</v>
      </c>
      <c r="W405" s="14">
        <f t="shared" si="397"/>
        <v>1</v>
      </c>
      <c r="X405" s="14">
        <f>VLOOKUP(W405,[1]Lookups!$P$3:$S$15,2,FALSE)</f>
        <v>1</v>
      </c>
      <c r="Y405" s="16">
        <f>VLOOKUP(W405,[1]Lookups!$P$3:$U$15,3,FALSE)</f>
        <v>1</v>
      </c>
      <c r="Z405" s="16">
        <f t="shared" si="398"/>
        <v>1</v>
      </c>
      <c r="AA405" s="16" t="str">
        <f t="shared" ca="1" si="594"/>
        <v>HIMangel</v>
      </c>
      <c r="AB405" s="16">
        <f t="shared" si="594"/>
        <v>0</v>
      </c>
      <c r="AC405" s="16">
        <f t="shared" si="594"/>
        <v>0</v>
      </c>
      <c r="AD405" s="16">
        <f t="shared" si="594"/>
        <v>0</v>
      </c>
      <c r="AE405" s="16">
        <f t="shared" si="594"/>
        <v>0</v>
      </c>
      <c r="AF405" s="16">
        <f t="shared" si="594"/>
        <v>0</v>
      </c>
      <c r="AG405" s="16">
        <f t="shared" si="594"/>
        <v>0</v>
      </c>
      <c r="AH405" s="16">
        <f t="shared" si="594"/>
        <v>0</v>
      </c>
      <c r="AI405" s="16">
        <f t="shared" si="594"/>
        <v>0</v>
      </c>
      <c r="AJ405" s="16">
        <f t="shared" si="594"/>
        <v>0</v>
      </c>
      <c r="AK405" s="16">
        <f t="shared" si="594"/>
        <v>0</v>
      </c>
      <c r="AL405" s="16">
        <f t="shared" si="594"/>
        <v>0</v>
      </c>
      <c r="AM405" s="16">
        <f t="shared" si="594"/>
        <v>0</v>
      </c>
      <c r="AN405" s="16">
        <f t="shared" si="594"/>
        <v>0</v>
      </c>
      <c r="AO405" s="16">
        <f t="shared" si="594"/>
        <v>0</v>
      </c>
      <c r="AP405" s="10"/>
      <c r="AQ405" s="10"/>
      <c r="AR405" s="10"/>
      <c r="AS405" s="10" t="str">
        <f t="shared" ref="AS405" ca="1" si="603">IFERROR(__xludf.DUMMYFUNCTION("split(F386,"","",true,true)"),"HIMangel")</f>
        <v>HIMangel</v>
      </c>
      <c r="AT405" s="10"/>
      <c r="AU405" s="10"/>
      <c r="AV405" s="10"/>
      <c r="AW405" s="10"/>
      <c r="AX405" s="10"/>
      <c r="AY405" s="10"/>
      <c r="AZ405" s="10"/>
      <c r="BA405" s="10"/>
      <c r="BB405" s="10"/>
      <c r="BC405" s="10"/>
      <c r="BD405" s="10"/>
      <c r="BE405" s="10"/>
      <c r="BF405" s="10"/>
      <c r="BG405" s="10"/>
      <c r="BH405" s="10"/>
      <c r="BI405" s="10"/>
      <c r="BJ405" s="10"/>
      <c r="BK405" s="10"/>
      <c r="BM405" s="10"/>
    </row>
    <row r="406" spans="1:65" ht="12.75">
      <c r="A406" s="18">
        <v>43102</v>
      </c>
      <c r="B406" s="14" t="s">
        <v>935</v>
      </c>
      <c r="C406" s="19">
        <v>1000000</v>
      </c>
      <c r="D406" s="19"/>
      <c r="E406" s="14" t="s">
        <v>45</v>
      </c>
      <c r="F406" s="14" t="s">
        <v>49</v>
      </c>
      <c r="G406" s="27" t="s">
        <v>936</v>
      </c>
      <c r="H406" s="14" t="str">
        <f t="array" ref="H406">IFERROR(INDEX([1]Companies!$G:$G,MATCH(B406,[1]Companies!$A:$A,0)),"")</f>
        <v>Nigeria</v>
      </c>
      <c r="I406" s="14" t="str">
        <f t="shared" si="596"/>
        <v>Nigeria</v>
      </c>
      <c r="J406" s="14" t="str">
        <f t="array" ref="J406">IFERROR(INDEX([1]Companies!$Y:$Y,MATCH(B406,[1]Companies!$A:$A,0)),"")</f>
        <v>Energy, PaaS, Renewable Energy</v>
      </c>
      <c r="K406" s="14" t="str">
        <f t="array" ref="K406">IFERROR(INDEX([1]Companies!$X:$X,MATCH(B406,[1]Companies!$A:$A,0)),"")</f>
        <v>Energy &amp; Environment Resources</v>
      </c>
      <c r="L406" s="14" t="str">
        <f>VLOOKUP(B406,[1]Companies!$A$1:$C$5243,1,FALSE)</f>
        <v>Rensource</v>
      </c>
      <c r="M406" s="15">
        <f t="shared" si="597"/>
        <v>0.9</v>
      </c>
      <c r="N406" s="10" t="str">
        <f t="shared" si="598"/>
        <v>43102Rensource1000000</v>
      </c>
      <c r="O406" s="14" t="str">
        <f t="shared" si="599"/>
        <v/>
      </c>
      <c r="P406" s="14">
        <f t="shared" si="600"/>
        <v>1</v>
      </c>
      <c r="Q406" s="14">
        <f t="array" ref="Q406">IFERROR(INDEX([1]Companies!$D:$D,MATCH(B406,[1]Companies!$A:$A,0)),"")</f>
        <v>2015</v>
      </c>
      <c r="R406" s="17">
        <f t="shared" si="601"/>
        <v>1580000</v>
      </c>
      <c r="S406" s="14">
        <f>VLOOKUP(I406,[1]Lookups!$V$3:$Y$197,4,FALSE)</f>
        <v>0</v>
      </c>
      <c r="T406" s="14" t="str">
        <f>VLOOKUP(E406,[1]Lookups!$H$3:$I$71,2,FALSE)</f>
        <v>2. Seed</v>
      </c>
      <c r="U406" s="14" t="e">
        <f>VLOOKUP(K406,[1]Lookups!$B$3:$C$142,2,FALSE)</f>
        <v>#N/A</v>
      </c>
      <c r="V406" s="14">
        <f t="shared" si="396"/>
        <v>2018</v>
      </c>
      <c r="W406" s="14">
        <f t="shared" si="397"/>
        <v>1</v>
      </c>
      <c r="X406" s="14">
        <f>VLOOKUP(W406,[1]Lookups!$P$3:$S$15,2,FALSE)</f>
        <v>1</v>
      </c>
      <c r="Y406" s="16">
        <f>VLOOKUP(W406,[1]Lookups!$P$3:$U$15,3,FALSE)</f>
        <v>1</v>
      </c>
      <c r="Z406" s="16">
        <f t="shared" si="398"/>
        <v>1</v>
      </c>
      <c r="AA406" s="16" t="str">
        <f t="shared" ca="1" si="594"/>
        <v>HIMangel</v>
      </c>
      <c r="AB406" s="16">
        <f t="shared" si="594"/>
        <v>0</v>
      </c>
      <c r="AC406" s="16">
        <f t="shared" si="594"/>
        <v>0</v>
      </c>
      <c r="AD406" s="16">
        <f t="shared" si="594"/>
        <v>0</v>
      </c>
      <c r="AE406" s="16">
        <f t="shared" si="594"/>
        <v>0</v>
      </c>
      <c r="AF406" s="16">
        <f t="shared" si="594"/>
        <v>0</v>
      </c>
      <c r="AG406" s="16">
        <f t="shared" si="594"/>
        <v>0</v>
      </c>
      <c r="AH406" s="16">
        <f t="shared" si="594"/>
        <v>0</v>
      </c>
      <c r="AI406" s="16">
        <f t="shared" si="594"/>
        <v>0</v>
      </c>
      <c r="AJ406" s="16">
        <f t="shared" si="594"/>
        <v>0</v>
      </c>
      <c r="AK406" s="16">
        <f t="shared" si="594"/>
        <v>0</v>
      </c>
      <c r="AL406" s="16">
        <f t="shared" si="594"/>
        <v>0</v>
      </c>
      <c r="AM406" s="16">
        <f t="shared" si="594"/>
        <v>0</v>
      </c>
      <c r="AN406" s="16">
        <f t="shared" si="594"/>
        <v>0</v>
      </c>
      <c r="AO406" s="16">
        <f t="shared" si="594"/>
        <v>0</v>
      </c>
      <c r="AP406" s="10"/>
      <c r="AQ406" s="10"/>
      <c r="AR406" s="10"/>
      <c r="AS406" s="10" t="str">
        <f t="shared" ref="AS406" ca="1" si="604">IFERROR(__xludf.DUMMYFUNCTION("split(F386,"","",true,true)"),"HIMangel")</f>
        <v>HIMangel</v>
      </c>
      <c r="AT406" s="10"/>
      <c r="AU406" s="10"/>
      <c r="AV406" s="10"/>
      <c r="AW406" s="10"/>
      <c r="AX406" s="10"/>
      <c r="AY406" s="10"/>
      <c r="AZ406" s="10"/>
      <c r="BA406" s="10"/>
      <c r="BB406" s="10"/>
      <c r="BC406" s="10"/>
      <c r="BD406" s="10"/>
      <c r="BE406" s="10"/>
      <c r="BF406" s="10"/>
      <c r="BG406" s="10"/>
      <c r="BH406" s="10"/>
      <c r="BI406" s="10"/>
      <c r="BJ406" s="10"/>
      <c r="BK406" s="10"/>
      <c r="BM406" s="10"/>
    </row>
    <row r="407" spans="1:65" ht="12.75">
      <c r="A407" s="18">
        <v>43104</v>
      </c>
      <c r="B407" s="14" t="s">
        <v>937</v>
      </c>
      <c r="C407" s="19">
        <v>120000</v>
      </c>
      <c r="D407" s="19"/>
      <c r="E407" s="14" t="s">
        <v>45</v>
      </c>
      <c r="F407" s="14" t="s">
        <v>305</v>
      </c>
      <c r="G407" s="27" t="s">
        <v>938</v>
      </c>
      <c r="H407" s="14" t="str">
        <f t="array" ref="H407">IFERROR(INDEX([1]Companies!$G:$G,MATCH(B407,[1]Companies!$A:$A,0)),"")</f>
        <v>South Africa</v>
      </c>
      <c r="I407" s="14" t="str">
        <f t="shared" si="596"/>
        <v>South Africa</v>
      </c>
      <c r="J407" s="14" t="str">
        <f t="array" ref="J407">IFERROR(INDEX([1]Companies!$Y:$Y,MATCH(B407,[1]Companies!$A:$A,0)),"")</f>
        <v>Aerospace, Fleet Management, Manufacturing</v>
      </c>
      <c r="K407" s="14" t="str">
        <f t="array" ref="K407">IFERROR(INDEX([1]Companies!$X:$X,MATCH(B407,[1]Companies!$A:$A,0)),"")</f>
        <v>Transport &amp; Logistics</v>
      </c>
      <c r="L407" s="14" t="str">
        <f>VLOOKUP(B407,[1]Companies!$A$1:$C$5243,1,FALSE)</f>
        <v>Passerine Aircraft Corporation</v>
      </c>
      <c r="M407" s="15">
        <f t="shared" si="597"/>
        <v>0.9</v>
      </c>
      <c r="N407" s="10" t="str">
        <f t="shared" si="598"/>
        <v>43104Passerine Aircraft Corporation120000</v>
      </c>
      <c r="O407" s="14" t="str">
        <f t="shared" si="599"/>
        <v/>
      </c>
      <c r="P407" s="14">
        <f t="shared" si="600"/>
        <v>1</v>
      </c>
      <c r="Q407" s="14">
        <f t="array" ref="Q407">IFERROR(INDEX([1]Companies!$D:$D,MATCH(B407,[1]Companies!$A:$A,0)),"")</f>
        <v>2017</v>
      </c>
      <c r="R407" s="17">
        <f t="shared" si="601"/>
        <v>120000</v>
      </c>
      <c r="S407" s="14">
        <f>VLOOKUP(I407,[1]Lookups!$V$3:$Y$197,4,FALSE)</f>
        <v>0</v>
      </c>
      <c r="T407" s="14" t="str">
        <f>VLOOKUP(E407,[1]Lookups!$H$3:$I$71,2,FALSE)</f>
        <v>2. Seed</v>
      </c>
      <c r="U407" s="14" t="str">
        <f>VLOOKUP(K407,[1]Lookups!$B$3:$C$142,2,FALSE)</f>
        <v>Transport &amp; Logistics</v>
      </c>
      <c r="V407" s="14">
        <f t="shared" si="396"/>
        <v>2018</v>
      </c>
      <c r="W407" s="14">
        <f t="shared" si="397"/>
        <v>1</v>
      </c>
      <c r="X407" s="14">
        <f>VLOOKUP(W407,[1]Lookups!$P$3:$S$15,2,FALSE)</f>
        <v>1</v>
      </c>
      <c r="Y407" s="16">
        <f>VLOOKUP(W407,[1]Lookups!$P$3:$U$15,3,FALSE)</f>
        <v>1</v>
      </c>
      <c r="Z407" s="16">
        <f t="shared" si="398"/>
        <v>1</v>
      </c>
      <c r="AA407" s="16" t="str">
        <f t="shared" ca="1" si="594"/>
        <v>HIMangel</v>
      </c>
      <c r="AB407" s="16">
        <f t="shared" si="594"/>
        <v>0</v>
      </c>
      <c r="AC407" s="16">
        <f t="shared" si="594"/>
        <v>0</v>
      </c>
      <c r="AD407" s="16">
        <f t="shared" si="594"/>
        <v>0</v>
      </c>
      <c r="AE407" s="16">
        <f t="shared" si="594"/>
        <v>0</v>
      </c>
      <c r="AF407" s="16">
        <f t="shared" si="594"/>
        <v>0</v>
      </c>
      <c r="AG407" s="16">
        <f t="shared" si="594"/>
        <v>0</v>
      </c>
      <c r="AH407" s="16">
        <f t="shared" si="594"/>
        <v>0</v>
      </c>
      <c r="AI407" s="16">
        <f t="shared" si="594"/>
        <v>0</v>
      </c>
      <c r="AJ407" s="16">
        <f t="shared" si="594"/>
        <v>0</v>
      </c>
      <c r="AK407" s="16">
        <f t="shared" si="594"/>
        <v>0</v>
      </c>
      <c r="AL407" s="16">
        <f t="shared" si="594"/>
        <v>0</v>
      </c>
      <c r="AM407" s="16">
        <f t="shared" si="594"/>
        <v>0</v>
      </c>
      <c r="AN407" s="16">
        <f t="shared" si="594"/>
        <v>0</v>
      </c>
      <c r="AO407" s="16">
        <f t="shared" si="594"/>
        <v>0</v>
      </c>
      <c r="AP407" s="10"/>
      <c r="AQ407" s="10"/>
      <c r="AR407" s="10"/>
      <c r="AS407" s="10" t="str">
        <f t="shared" ref="AS407" ca="1" si="605">IFERROR(__xludf.DUMMYFUNCTION("split(F386,"","",true,true)"),"HIMangel")</f>
        <v>HIMangel</v>
      </c>
      <c r="AT407" s="10"/>
      <c r="AU407" s="10"/>
      <c r="AV407" s="10"/>
      <c r="AW407" s="10"/>
      <c r="AX407" s="10"/>
      <c r="AY407" s="10"/>
      <c r="AZ407" s="10"/>
      <c r="BA407" s="10"/>
      <c r="BB407" s="10"/>
      <c r="BC407" s="10"/>
      <c r="BD407" s="10"/>
      <c r="BE407" s="10"/>
      <c r="BF407" s="10"/>
      <c r="BG407" s="10"/>
      <c r="BH407" s="10"/>
      <c r="BI407" s="10"/>
      <c r="BJ407" s="10"/>
      <c r="BK407" s="10"/>
      <c r="BM407" s="10"/>
    </row>
    <row r="408" spans="1:65" ht="12.75">
      <c r="A408" s="18">
        <v>43104</v>
      </c>
      <c r="B408" s="14" t="s">
        <v>807</v>
      </c>
      <c r="C408" s="19">
        <v>6170000</v>
      </c>
      <c r="D408" s="19"/>
      <c r="E408" s="14" t="s">
        <v>45</v>
      </c>
      <c r="F408" s="14" t="s">
        <v>939</v>
      </c>
      <c r="G408" s="27" t="s">
        <v>940</v>
      </c>
      <c r="H408" s="14" t="str">
        <f t="array" ref="H408">IFERROR(INDEX([1]Companies!$G:$G,MATCH(B408,[1]Companies!$A:$A,0)),"")</f>
        <v>Kenya</v>
      </c>
      <c r="I408" s="14" t="str">
        <f t="shared" si="596"/>
        <v>Kenya</v>
      </c>
      <c r="J408" s="14" t="str">
        <f t="array" ref="J408">IFERROR(INDEX([1]Companies!$Y:$Y,MATCH(B408,[1]Companies!$A:$A,0)),"")</f>
        <v>Logistics, Railroad, Transportation</v>
      </c>
      <c r="K408" s="14" t="str">
        <f t="array" ref="K408">IFERROR(INDEX([1]Companies!$X:$X,MATCH(B408,[1]Companies!$A:$A,0)),"")</f>
        <v>Transport &amp; Logistics</v>
      </c>
      <c r="L408" s="14" t="str">
        <f>VLOOKUP(B408,[1]Companies!$A$1:$C$5243,1,FALSE)</f>
        <v>Lori Systems</v>
      </c>
      <c r="M408" s="15">
        <f t="shared" si="597"/>
        <v>0.9</v>
      </c>
      <c r="N408" s="10" t="str">
        <f t="shared" si="598"/>
        <v>43104Lori Systems6170000</v>
      </c>
      <c r="O408" s="14" t="str">
        <f t="shared" si="599"/>
        <v/>
      </c>
      <c r="P408" s="14">
        <f t="shared" si="600"/>
        <v>1</v>
      </c>
      <c r="Q408" s="14">
        <f t="array" ref="Q408">IFERROR(INDEX([1]Companies!$D:$D,MATCH(B408,[1]Companies!$A:$A,0)),"")</f>
        <v>2016</v>
      </c>
      <c r="R408" s="17">
        <f t="shared" si="601"/>
        <v>14895000</v>
      </c>
      <c r="S408" s="14">
        <f>VLOOKUP(I408,[1]Lookups!$V$3:$Y$197,4,FALSE)</f>
        <v>0</v>
      </c>
      <c r="T408" s="14" t="str">
        <f>VLOOKUP(E408,[1]Lookups!$H$3:$I$71,2,FALSE)</f>
        <v>2. Seed</v>
      </c>
      <c r="U408" s="14" t="str">
        <f>VLOOKUP(K408,[1]Lookups!$B$3:$C$142,2,FALSE)</f>
        <v>Transport &amp; Logistics</v>
      </c>
      <c r="V408" s="14">
        <f t="shared" si="396"/>
        <v>2018</v>
      </c>
      <c r="W408" s="14">
        <f t="shared" si="397"/>
        <v>1</v>
      </c>
      <c r="X408" s="14">
        <f>VLOOKUP(W408,[1]Lookups!$P$3:$S$15,2,FALSE)</f>
        <v>1</v>
      </c>
      <c r="Y408" s="16">
        <f>VLOOKUP(W408,[1]Lookups!$P$3:$U$15,3,FALSE)</f>
        <v>1</v>
      </c>
      <c r="Z408" s="16">
        <f t="shared" si="398"/>
        <v>1</v>
      </c>
      <c r="AA408" s="16" t="str">
        <f t="shared" ca="1" si="594"/>
        <v>HIMangel</v>
      </c>
      <c r="AB408" s="16">
        <f t="shared" si="594"/>
        <v>0</v>
      </c>
      <c r="AC408" s="16">
        <f t="shared" si="594"/>
        <v>0</v>
      </c>
      <c r="AD408" s="16">
        <f t="shared" si="594"/>
        <v>0</v>
      </c>
      <c r="AE408" s="16">
        <f t="shared" si="594"/>
        <v>0</v>
      </c>
      <c r="AF408" s="16">
        <f t="shared" si="594"/>
        <v>0</v>
      </c>
      <c r="AG408" s="16">
        <f t="shared" si="594"/>
        <v>0</v>
      </c>
      <c r="AH408" s="16">
        <f t="shared" si="594"/>
        <v>0</v>
      </c>
      <c r="AI408" s="16">
        <f t="shared" si="594"/>
        <v>0</v>
      </c>
      <c r="AJ408" s="16">
        <f t="shared" si="594"/>
        <v>0</v>
      </c>
      <c r="AK408" s="16">
        <f t="shared" si="594"/>
        <v>0</v>
      </c>
      <c r="AL408" s="16">
        <f t="shared" si="594"/>
        <v>0</v>
      </c>
      <c r="AM408" s="16">
        <f t="shared" si="594"/>
        <v>0</v>
      </c>
      <c r="AN408" s="16">
        <f t="shared" si="594"/>
        <v>0</v>
      </c>
      <c r="AO408" s="16">
        <f t="shared" si="594"/>
        <v>0</v>
      </c>
      <c r="AP408" s="10"/>
      <c r="AQ408" s="10"/>
      <c r="AR408" s="10"/>
      <c r="AS408" s="10" t="str">
        <f t="shared" ref="AS408" ca="1" si="606">IFERROR(__xludf.DUMMYFUNCTION("split(F386,"","",true,true)"),"HIMangel")</f>
        <v>HIMangel</v>
      </c>
      <c r="AT408" s="10"/>
      <c r="AU408" s="10"/>
      <c r="AV408" s="10"/>
      <c r="AW408" s="10"/>
      <c r="AX408" s="10"/>
      <c r="AY408" s="10"/>
      <c r="AZ408" s="10"/>
      <c r="BA408" s="10"/>
      <c r="BB408" s="10"/>
      <c r="BC408" s="10"/>
      <c r="BD408" s="10"/>
      <c r="BE408" s="10"/>
      <c r="BF408" s="10"/>
      <c r="BG408" s="10"/>
      <c r="BH408" s="10"/>
      <c r="BI408" s="10"/>
      <c r="BJ408" s="10"/>
      <c r="BK408" s="10"/>
      <c r="BM408" s="10"/>
    </row>
    <row r="409" spans="1:65" ht="12.75">
      <c r="A409" s="18">
        <v>43104</v>
      </c>
      <c r="B409" s="14" t="s">
        <v>941</v>
      </c>
      <c r="C409" s="19">
        <v>1300000</v>
      </c>
      <c r="D409" s="19"/>
      <c r="E409" s="14" t="s">
        <v>69</v>
      </c>
      <c r="F409" s="14" t="s">
        <v>942</v>
      </c>
      <c r="G409" s="31" t="s">
        <v>943</v>
      </c>
      <c r="H409" s="14" t="str">
        <f t="array" ref="H409">IFERROR(INDEX([1]Companies!$G:$G,MATCH(B409,[1]Companies!$A:$A,0)),"")</f>
        <v>Nigeria</v>
      </c>
      <c r="I409" s="14" t="str">
        <f t="shared" si="596"/>
        <v>Nigeria</v>
      </c>
      <c r="J409" s="14" t="str">
        <f t="array" ref="J409">IFERROR(INDEX([1]Companies!$Y:$Y,MATCH(B409,[1]Companies!$A:$A,0)),"")</f>
        <v>Education</v>
      </c>
      <c r="K409" s="14" t="str">
        <f t="array" ref="K409">IFERROR(INDEX([1]Companies!$X:$X,MATCH(B409,[1]Companies!$A:$A,0)),"")</f>
        <v>Education</v>
      </c>
      <c r="L409" s="14" t="str">
        <f>VLOOKUP(B409,[1]Companies!$A$1:$C$5243,1,FALSE)</f>
        <v>Student Accommod8</v>
      </c>
      <c r="M409" s="15">
        <f t="shared" si="597"/>
        <v>0.9</v>
      </c>
      <c r="N409" s="10" t="str">
        <f t="shared" si="598"/>
        <v>43104Student Accommod81300000</v>
      </c>
      <c r="O409" s="14" t="str">
        <f t="shared" si="599"/>
        <v/>
      </c>
      <c r="P409" s="14">
        <f t="shared" si="600"/>
        <v>1</v>
      </c>
      <c r="Q409" s="14">
        <f t="array" ref="Q409">IFERROR(INDEX([1]Companies!$D:$D,MATCH(B409,[1]Companies!$A:$A,0)),"")</f>
        <v>2016</v>
      </c>
      <c r="R409" s="17">
        <f t="shared" si="601"/>
        <v>1300000</v>
      </c>
      <c r="S409" s="14">
        <f>VLOOKUP(I409,[1]Lookups!$V$3:$Y$197,4,FALSE)</f>
        <v>0</v>
      </c>
      <c r="T409" s="14" t="str">
        <f>VLOOKUP(E409,[1]Lookups!$H$3:$I$71,2,FALSE)</f>
        <v>3. Early Venture</v>
      </c>
      <c r="U409" s="14" t="str">
        <f>VLOOKUP(K409,[1]Lookups!$B$3:$C$142,2,FALSE)</f>
        <v>Education</v>
      </c>
      <c r="V409" s="14">
        <f t="shared" si="396"/>
        <v>2018</v>
      </c>
      <c r="W409" s="14">
        <f t="shared" si="397"/>
        <v>1</v>
      </c>
      <c r="X409" s="14">
        <f>VLOOKUP(W409,[1]Lookups!$P$3:$S$15,2,FALSE)</f>
        <v>1</v>
      </c>
      <c r="Y409" s="16">
        <f>VLOOKUP(W409,[1]Lookups!$P$3:$U$15,3,FALSE)</f>
        <v>1</v>
      </c>
      <c r="Z409" s="16">
        <f t="shared" si="398"/>
        <v>1</v>
      </c>
      <c r="AA409" s="16" t="str">
        <f t="shared" ca="1" si="594"/>
        <v>HIMangel</v>
      </c>
      <c r="AB409" s="16">
        <f t="shared" si="594"/>
        <v>0</v>
      </c>
      <c r="AC409" s="16">
        <f t="shared" si="594"/>
        <v>0</v>
      </c>
      <c r="AD409" s="16">
        <f t="shared" si="594"/>
        <v>0</v>
      </c>
      <c r="AE409" s="16">
        <f t="shared" si="594"/>
        <v>0</v>
      </c>
      <c r="AF409" s="16">
        <f t="shared" si="594"/>
        <v>0</v>
      </c>
      <c r="AG409" s="16">
        <f t="shared" si="594"/>
        <v>0</v>
      </c>
      <c r="AH409" s="16">
        <f t="shared" si="594"/>
        <v>0</v>
      </c>
      <c r="AI409" s="16">
        <f t="shared" si="594"/>
        <v>0</v>
      </c>
      <c r="AJ409" s="16">
        <f t="shared" si="594"/>
        <v>0</v>
      </c>
      <c r="AK409" s="16">
        <f t="shared" si="594"/>
        <v>0</v>
      </c>
      <c r="AL409" s="16">
        <f t="shared" si="594"/>
        <v>0</v>
      </c>
      <c r="AM409" s="16">
        <f t="shared" si="594"/>
        <v>0</v>
      </c>
      <c r="AN409" s="16">
        <f t="shared" si="594"/>
        <v>0</v>
      </c>
      <c r="AO409" s="16">
        <f t="shared" si="594"/>
        <v>0</v>
      </c>
      <c r="AP409" s="10"/>
      <c r="AQ409" s="10"/>
      <c r="AR409" s="10"/>
      <c r="AS409" s="10" t="str">
        <f t="shared" ref="AS409" ca="1" si="607">IFERROR(__xludf.DUMMYFUNCTION("split(F386,"","",true,true)"),"HIMangel")</f>
        <v>HIMangel</v>
      </c>
      <c r="AT409" s="10"/>
      <c r="AU409" s="10"/>
      <c r="AV409" s="10"/>
      <c r="AW409" s="10"/>
      <c r="AX409" s="10"/>
      <c r="AY409" s="10"/>
      <c r="AZ409" s="10"/>
      <c r="BA409" s="10"/>
      <c r="BB409" s="10"/>
      <c r="BC409" s="10"/>
      <c r="BD409" s="10"/>
      <c r="BE409" s="10"/>
      <c r="BF409" s="10"/>
      <c r="BG409" s="10"/>
      <c r="BH409" s="10"/>
      <c r="BI409" s="10"/>
      <c r="BJ409" s="10"/>
      <c r="BK409" s="10"/>
      <c r="BM409" s="10"/>
    </row>
    <row r="410" spans="1:65" ht="12.75">
      <c r="A410" s="18">
        <v>43108</v>
      </c>
      <c r="B410" s="14" t="s">
        <v>944</v>
      </c>
      <c r="C410" s="19" t="s">
        <v>49</v>
      </c>
      <c r="D410" s="19"/>
      <c r="E410" s="14" t="s">
        <v>45</v>
      </c>
      <c r="F410" s="14" t="s">
        <v>276</v>
      </c>
      <c r="G410" s="27" t="s">
        <v>945</v>
      </c>
      <c r="H410" s="14" t="str">
        <f t="array" ref="H410">IFERROR(INDEX([1]Companies!$G:$G,MATCH(B410,[1]Companies!$A:$A,0)),"")</f>
        <v>Nigeria</v>
      </c>
      <c r="I410" s="14" t="str">
        <f t="shared" si="596"/>
        <v>Nigeria</v>
      </c>
      <c r="J410" s="14" t="str">
        <f t="array" ref="J410">IFERROR(INDEX([1]Companies!$Y:$Y,MATCH(B410,[1]Companies!$A:$A,0)),"")</f>
        <v>Outsourcing, Software</v>
      </c>
      <c r="K410" s="14" t="str">
        <f t="array" ref="K410">IFERROR(INDEX([1]Companies!$X:$X,MATCH(B410,[1]Companies!$A:$A,0)),"")</f>
        <v>Commercial &amp; Professional Services</v>
      </c>
      <c r="L410" s="14" t="str">
        <f>VLOOKUP(B410,[1]Companies!$A$1:$C$5243,1,FALSE)</f>
        <v>Findworka</v>
      </c>
      <c r="M410" s="15">
        <f t="shared" si="597"/>
        <v>0.9</v>
      </c>
      <c r="N410" s="10" t="str">
        <f t="shared" si="598"/>
        <v>43108FindworkaUndisclosed</v>
      </c>
      <c r="O410" s="14" t="str">
        <f t="shared" si="599"/>
        <v/>
      </c>
      <c r="P410" s="14">
        <f t="shared" si="600"/>
        <v>0</v>
      </c>
      <c r="Q410" s="14">
        <f t="array" ref="Q410">IFERROR(INDEX([1]Companies!$D:$D,MATCH(B410,[1]Companies!$A:$A,0)),"")</f>
        <v>2016</v>
      </c>
      <c r="R410" s="17">
        <f t="shared" si="601"/>
        <v>0</v>
      </c>
      <c r="S410" s="14">
        <f>VLOOKUP(I410,[1]Lookups!$V$3:$Y$197,4,FALSE)</f>
        <v>0</v>
      </c>
      <c r="T410" s="14" t="str">
        <f>VLOOKUP(E410,[1]Lookups!$H$3:$I$71,2,FALSE)</f>
        <v>2. Seed</v>
      </c>
      <c r="U410" s="14" t="str">
        <f>VLOOKUP(K410,[1]Lookups!$B$3:$C$142,2,FALSE)</f>
        <v>Other Technologies &amp; Information Technology</v>
      </c>
      <c r="V410" s="14">
        <f t="shared" si="396"/>
        <v>2018</v>
      </c>
      <c r="W410" s="14">
        <f t="shared" si="397"/>
        <v>1</v>
      </c>
      <c r="X410" s="14">
        <f>VLOOKUP(W410,[1]Lookups!$P$3:$S$15,2,FALSE)</f>
        <v>1</v>
      </c>
      <c r="Y410" s="16">
        <f>VLOOKUP(W410,[1]Lookups!$P$3:$U$15,3,FALSE)</f>
        <v>1</v>
      </c>
      <c r="Z410" s="16">
        <f t="shared" si="398"/>
        <v>1</v>
      </c>
      <c r="AA410" s="16" t="str">
        <f t="shared" ca="1" si="594"/>
        <v>HIMangel</v>
      </c>
      <c r="AB410" s="16">
        <f t="shared" si="594"/>
        <v>0</v>
      </c>
      <c r="AC410" s="16">
        <f t="shared" si="594"/>
        <v>0</v>
      </c>
      <c r="AD410" s="16">
        <f t="shared" si="594"/>
        <v>0</v>
      </c>
      <c r="AE410" s="16">
        <f t="shared" si="594"/>
        <v>0</v>
      </c>
      <c r="AF410" s="16">
        <f t="shared" si="594"/>
        <v>0</v>
      </c>
      <c r="AG410" s="16">
        <f t="shared" si="594"/>
        <v>0</v>
      </c>
      <c r="AH410" s="16">
        <f t="shared" si="594"/>
        <v>0</v>
      </c>
      <c r="AI410" s="16">
        <f t="shared" si="594"/>
        <v>0</v>
      </c>
      <c r="AJ410" s="16">
        <f t="shared" si="594"/>
        <v>0</v>
      </c>
      <c r="AK410" s="16">
        <f t="shared" si="594"/>
        <v>0</v>
      </c>
      <c r="AL410" s="16">
        <f t="shared" si="594"/>
        <v>0</v>
      </c>
      <c r="AM410" s="16">
        <f t="shared" si="594"/>
        <v>0</v>
      </c>
      <c r="AN410" s="16">
        <f t="shared" si="594"/>
        <v>0</v>
      </c>
      <c r="AO410" s="16">
        <f t="shared" si="594"/>
        <v>0</v>
      </c>
      <c r="AP410" s="10"/>
      <c r="AQ410" s="10"/>
      <c r="AR410" s="10"/>
      <c r="AS410" s="10" t="str">
        <f t="shared" ref="AS410" ca="1" si="608">IFERROR(__xludf.DUMMYFUNCTION("split(F386,"","",true,true)"),"HIMangel")</f>
        <v>HIMangel</v>
      </c>
      <c r="AT410" s="10"/>
      <c r="AU410" s="10"/>
      <c r="AV410" s="10"/>
      <c r="AW410" s="10"/>
      <c r="AX410" s="10"/>
      <c r="AY410" s="10"/>
      <c r="AZ410" s="10"/>
      <c r="BA410" s="10"/>
      <c r="BB410" s="10"/>
      <c r="BC410" s="10"/>
      <c r="BD410" s="10"/>
      <c r="BE410" s="10"/>
      <c r="BF410" s="10"/>
      <c r="BG410" s="10"/>
      <c r="BH410" s="10"/>
      <c r="BI410" s="10"/>
      <c r="BJ410" s="10"/>
      <c r="BK410" s="10"/>
      <c r="BM410" s="10"/>
    </row>
    <row r="411" spans="1:65" ht="12.75">
      <c r="A411" s="18">
        <v>43108</v>
      </c>
      <c r="B411" s="14" t="s">
        <v>946</v>
      </c>
      <c r="C411" s="19">
        <v>35000</v>
      </c>
      <c r="D411" s="19"/>
      <c r="E411" s="10" t="s">
        <v>48</v>
      </c>
      <c r="F411" s="14" t="s">
        <v>49</v>
      </c>
      <c r="G411" s="27" t="s">
        <v>946</v>
      </c>
      <c r="H411" s="14" t="str">
        <f t="array" ref="H411">IFERROR(INDEX([1]Companies!$G:$G,MATCH(B411,[1]Companies!$A:$A,0)),"")</f>
        <v>South Africa</v>
      </c>
      <c r="I411" s="14" t="str">
        <f t="shared" si="596"/>
        <v>South Africa</v>
      </c>
      <c r="J411" s="14" t="str">
        <f t="array" ref="J411">IFERROR(INDEX([1]Companies!$Y:$Y,MATCH(B411,[1]Companies!$A:$A,0)),"")</f>
        <v>Photography</v>
      </c>
      <c r="K411" s="14" t="str">
        <f t="array" ref="K411">IFERROR(INDEX([1]Companies!$X:$X,MATCH(B411,[1]Companies!$A:$A,0)),"")</f>
        <v>Commercial &amp; Professional Services</v>
      </c>
      <c r="L411" s="14" t="str">
        <f>VLOOKUP(B411,[1]Companies!$A$1:$C$5243,1,FALSE)</f>
        <v>Tapsnapp</v>
      </c>
      <c r="M411" s="15">
        <f t="shared" si="597"/>
        <v>0.9</v>
      </c>
      <c r="N411" s="10" t="str">
        <f t="shared" si="598"/>
        <v>43108Tapsnapp35000</v>
      </c>
      <c r="O411" s="14" t="str">
        <f t="shared" si="599"/>
        <v/>
      </c>
      <c r="P411" s="14">
        <f t="shared" si="600"/>
        <v>1</v>
      </c>
      <c r="Q411" s="14">
        <f t="array" ref="Q411">IFERROR(INDEX([1]Companies!$D:$D,MATCH(B411,[1]Companies!$A:$A,0)),"")</f>
        <v>2018</v>
      </c>
      <c r="R411" s="17">
        <f t="shared" si="601"/>
        <v>35000</v>
      </c>
      <c r="S411" s="14">
        <f>VLOOKUP(I411,[1]Lookups!$V$3:$Y$197,4,FALSE)</f>
        <v>0</v>
      </c>
      <c r="T411" s="14" t="str">
        <f>VLOOKUP(E411,[1]Lookups!$H$3:$I$71,2,FALSE)</f>
        <v>2. Seed</v>
      </c>
      <c r="U411" s="14" t="str">
        <f>VLOOKUP(K411,[1]Lookups!$B$3:$C$142,2,FALSE)</f>
        <v>Other Technologies &amp; Information Technology</v>
      </c>
      <c r="V411" s="14">
        <f t="shared" si="396"/>
        <v>2018</v>
      </c>
      <c r="W411" s="14">
        <f t="shared" si="397"/>
        <v>1</v>
      </c>
      <c r="X411" s="14">
        <f>VLOOKUP(W411,[1]Lookups!$P$3:$S$15,2,FALSE)</f>
        <v>1</v>
      </c>
      <c r="Y411" s="16">
        <f>VLOOKUP(W411,[1]Lookups!$P$3:$U$15,3,FALSE)</f>
        <v>1</v>
      </c>
      <c r="Z411" s="16">
        <f t="shared" si="398"/>
        <v>1</v>
      </c>
      <c r="AA411" s="16" t="str">
        <f t="shared" ca="1" si="594"/>
        <v>HIMangel</v>
      </c>
      <c r="AB411" s="16">
        <f t="shared" si="594"/>
        <v>0</v>
      </c>
      <c r="AC411" s="16">
        <f t="shared" si="594"/>
        <v>0</v>
      </c>
      <c r="AD411" s="16">
        <f t="shared" si="594"/>
        <v>0</v>
      </c>
      <c r="AE411" s="16">
        <f t="shared" si="594"/>
        <v>0</v>
      </c>
      <c r="AF411" s="16">
        <f t="shared" si="594"/>
        <v>0</v>
      </c>
      <c r="AG411" s="16">
        <f t="shared" si="594"/>
        <v>0</v>
      </c>
      <c r="AH411" s="16">
        <f t="shared" si="594"/>
        <v>0</v>
      </c>
      <c r="AI411" s="16">
        <f t="shared" si="594"/>
        <v>0</v>
      </c>
      <c r="AJ411" s="16">
        <f t="shared" si="594"/>
        <v>0</v>
      </c>
      <c r="AK411" s="16">
        <f t="shared" si="594"/>
        <v>0</v>
      </c>
      <c r="AL411" s="16">
        <f t="shared" si="594"/>
        <v>0</v>
      </c>
      <c r="AM411" s="16">
        <f t="shared" si="594"/>
        <v>0</v>
      </c>
      <c r="AN411" s="16">
        <f t="shared" si="594"/>
        <v>0</v>
      </c>
      <c r="AO411" s="16">
        <f t="shared" si="594"/>
        <v>0</v>
      </c>
      <c r="AP411" s="10"/>
      <c r="AQ411" s="10"/>
      <c r="AR411" s="10"/>
      <c r="AS411" s="10" t="str">
        <f t="shared" ref="AS411" ca="1" si="609">IFERROR(__xludf.DUMMYFUNCTION("split(F386,"","",true,true)"),"HIMangel")</f>
        <v>HIMangel</v>
      </c>
      <c r="AT411" s="10"/>
      <c r="AU411" s="10"/>
      <c r="AV411" s="10"/>
      <c r="AW411" s="10"/>
      <c r="AX411" s="10"/>
      <c r="AY411" s="10"/>
      <c r="AZ411" s="10"/>
      <c r="BA411" s="10"/>
      <c r="BB411" s="10"/>
      <c r="BC411" s="10"/>
      <c r="BD411" s="10"/>
      <c r="BE411" s="10"/>
      <c r="BF411" s="10"/>
      <c r="BG411" s="10"/>
      <c r="BH411" s="10"/>
      <c r="BI411" s="10"/>
      <c r="BJ411" s="10"/>
      <c r="BK411" s="10"/>
      <c r="BM411" s="10"/>
    </row>
    <row r="412" spans="1:65" ht="12.75">
      <c r="A412" s="9">
        <v>43109</v>
      </c>
      <c r="B412" s="10" t="s">
        <v>295</v>
      </c>
      <c r="C412" s="11">
        <v>600000</v>
      </c>
      <c r="D412" s="12"/>
      <c r="E412" s="10" t="s">
        <v>45</v>
      </c>
      <c r="F412" s="10" t="s">
        <v>947</v>
      </c>
      <c r="G412" s="13" t="s">
        <v>948</v>
      </c>
      <c r="H412" s="14" t="str">
        <f t="array" ref="H412">IFERROR(INDEX([1]Companies!$G:$G,MATCH(B412,[1]Companies!$A:$A,0)),"")</f>
        <v>Egypt</v>
      </c>
      <c r="I412" s="14" t="str">
        <f t="shared" si="596"/>
        <v>Egypt</v>
      </c>
      <c r="J412" s="14" t="str">
        <f t="array" ref="J412">IFERROR(INDEX([1]Companies!$Y:$Y,MATCH(B412,[1]Companies!$A:$A,0)),"")</f>
        <v>Credit, Financial Services, Software</v>
      </c>
      <c r="K412" s="14" t="str">
        <f t="array" ref="K412">IFERROR(INDEX([1]Companies!$X:$X,MATCH(B412,[1]Companies!$A:$A,0)),"")</f>
        <v>Financial Services</v>
      </c>
      <c r="L412" s="14" t="str">
        <f>VLOOKUP(B412,[1]Companies!$A$1:$C$5243,1,FALSE)</f>
        <v>Moneyfellows</v>
      </c>
      <c r="M412" s="15">
        <f t="shared" si="597"/>
        <v>0.9</v>
      </c>
      <c r="N412" s="10"/>
      <c r="O412" s="14"/>
      <c r="P412" s="14"/>
      <c r="Q412" s="14"/>
      <c r="R412" s="14"/>
      <c r="S412" s="14"/>
      <c r="T412" s="14"/>
      <c r="U412" s="14"/>
      <c r="V412" s="14">
        <f t="shared" si="396"/>
        <v>2018</v>
      </c>
      <c r="W412" s="14">
        <f t="shared" si="397"/>
        <v>1</v>
      </c>
      <c r="X412" s="14">
        <f>VLOOKUP(W412,[1]Lookups!$P$3:$S$15,2,FALSE)</f>
        <v>1</v>
      </c>
      <c r="Y412" s="16">
        <f>VLOOKUP(W412,[1]Lookups!$P$3:$U$15,3,FALSE)</f>
        <v>1</v>
      </c>
      <c r="Z412" s="16">
        <f t="shared" si="398"/>
        <v>2</v>
      </c>
      <c r="AA412" s="16" t="str">
        <f t="shared" ca="1" si="594"/>
        <v>HIMangel</v>
      </c>
      <c r="AB412" s="16" t="str">
        <f t="shared" ca="1" si="594"/>
        <v xml:space="preserve"> Dubai Angel Investors</v>
      </c>
      <c r="AC412" s="16">
        <f t="shared" si="594"/>
        <v>0</v>
      </c>
      <c r="AD412" s="16">
        <f t="shared" si="594"/>
        <v>0</v>
      </c>
      <c r="AE412" s="16">
        <f t="shared" si="594"/>
        <v>0</v>
      </c>
      <c r="AF412" s="16">
        <f t="shared" si="594"/>
        <v>0</v>
      </c>
      <c r="AG412" s="16">
        <f t="shared" si="594"/>
        <v>0</v>
      </c>
      <c r="AH412" s="16">
        <f t="shared" si="594"/>
        <v>0</v>
      </c>
      <c r="AI412" s="16">
        <f t="shared" si="594"/>
        <v>0</v>
      </c>
      <c r="AJ412" s="16">
        <f t="shared" si="594"/>
        <v>0</v>
      </c>
      <c r="AK412" s="16">
        <f t="shared" si="594"/>
        <v>0</v>
      </c>
      <c r="AL412" s="16">
        <f t="shared" si="594"/>
        <v>0</v>
      </c>
      <c r="AM412" s="16">
        <f t="shared" si="594"/>
        <v>0</v>
      </c>
      <c r="AN412" s="16">
        <f t="shared" si="594"/>
        <v>0</v>
      </c>
      <c r="AO412" s="16">
        <f t="shared" si="594"/>
        <v>0</v>
      </c>
      <c r="AP412" s="10"/>
      <c r="AQ412" s="10"/>
      <c r="AR412" s="10"/>
      <c r="AS412" s="10" t="str">
        <f t="shared" ref="AS412" ca="1" si="610">IFERROR(__xludf.DUMMYFUNCTION("split(F386,"","",true,true)"),"HIMangel")</f>
        <v>HIMangel</v>
      </c>
      <c r="AT412" s="10" t="str">
        <f ca="1">IFERROR(__xludf.DUMMYFUNCTION("""COMPUTED_VALUE""")," Dubai Angel Investors")</f>
        <v xml:space="preserve"> Dubai Angel Investors</v>
      </c>
      <c r="AU412" s="10"/>
      <c r="AV412" s="10"/>
      <c r="AW412" s="10"/>
      <c r="AX412" s="10"/>
      <c r="AY412" s="10"/>
      <c r="AZ412" s="10"/>
      <c r="BA412" s="10"/>
      <c r="BB412" s="10"/>
      <c r="BC412" s="10"/>
      <c r="BD412" s="10"/>
      <c r="BE412" s="10"/>
      <c r="BF412" s="10"/>
      <c r="BG412" s="10"/>
      <c r="BH412" s="10"/>
      <c r="BI412" s="10"/>
      <c r="BJ412" s="10"/>
      <c r="BK412" s="10"/>
      <c r="BM412" s="10"/>
    </row>
    <row r="413" spans="1:65" ht="12.75">
      <c r="A413" s="9">
        <v>43110</v>
      </c>
      <c r="B413" s="10" t="s">
        <v>191</v>
      </c>
      <c r="C413" s="11">
        <v>650000</v>
      </c>
      <c r="D413" s="12"/>
      <c r="E413" s="10" t="s">
        <v>45</v>
      </c>
      <c r="F413" s="10" t="s">
        <v>949</v>
      </c>
      <c r="G413" s="13" t="s">
        <v>950</v>
      </c>
      <c r="H413" s="14" t="str">
        <f t="array" ref="H413">IFERROR(INDEX([1]Companies!$G:$G,MATCH(B413,[1]Companies!$A:$A,0)),"")</f>
        <v>Egypt</v>
      </c>
      <c r="I413" s="14" t="str">
        <f t="shared" si="596"/>
        <v>Egypt</v>
      </c>
      <c r="J413" s="14" t="str">
        <f t="array" ref="J413">IFERROR(INDEX([1]Companies!$Y:$Y,MATCH(B413,[1]Companies!$A:$A,0)),"")</f>
        <v>Biopharma, Biotechnology, Life Science</v>
      </c>
      <c r="K413" s="14" t="str">
        <f t="array" ref="K413">IFERROR(INDEX([1]Companies!$X:$X,MATCH(B413,[1]Companies!$A:$A,0)),"")</f>
        <v>Healthcare &amp; Pharma</v>
      </c>
      <c r="L413" s="14" t="str">
        <f>VLOOKUP(B413,[1]Companies!$A$1:$C$5243,1,FALSE)</f>
        <v>Nawah Scientific</v>
      </c>
      <c r="M413" s="15">
        <f t="shared" si="597"/>
        <v>0.9</v>
      </c>
      <c r="N413" s="10" t="str">
        <f t="shared" ref="N413:N433" si="611">CONCATENATE(A413,B413,C413)</f>
        <v>43110Nawah Scientific650000</v>
      </c>
      <c r="O413" s="14" t="str">
        <f t="shared" ref="O413:O433" si="612">IF(A413 = "","",IF(COUNTIF(N:N,CONCATENATE(A413,B413,C413))&gt;1,"Duplicated",""))</f>
        <v/>
      </c>
      <c r="P413" s="14">
        <f t="shared" ref="P413:P433" si="613">IF(C413="Undisclosed",0,1)</f>
        <v>1</v>
      </c>
      <c r="Q413" s="14">
        <f t="array" ref="Q413">IFERROR(INDEX([1]Companies!$D:$D,MATCH(B413,[1]Companies!$A:$A,0)),"")</f>
        <v>2014</v>
      </c>
      <c r="R413" s="17">
        <f t="shared" ref="R413:R433" si="614">SUMIF(B:B,B413,C:C)</f>
        <v>2150000</v>
      </c>
      <c r="S413" s="14">
        <f>VLOOKUP(I413,[1]Lookups!$V$3:$Y$197,4,FALSE)</f>
        <v>0</v>
      </c>
      <c r="T413" s="14" t="str">
        <f>VLOOKUP(E413,[1]Lookups!$H$3:$I$71,2,FALSE)</f>
        <v>2. Seed</v>
      </c>
      <c r="U413" s="14" t="str">
        <f>VLOOKUP(K413,[1]Lookups!$B$3:$C$142,2,FALSE)</f>
        <v>Health &amp; Pharmaceuticals</v>
      </c>
      <c r="V413" s="14">
        <f t="shared" si="396"/>
        <v>2018</v>
      </c>
      <c r="W413" s="14">
        <f t="shared" si="397"/>
        <v>1</v>
      </c>
      <c r="X413" s="14">
        <f>VLOOKUP(W413,[1]Lookups!$P$3:$S$15,2,FALSE)</f>
        <v>1</v>
      </c>
      <c r="Y413" s="16">
        <f>VLOOKUP(W413,[1]Lookups!$P$3:$U$15,3,FALSE)</f>
        <v>1</v>
      </c>
      <c r="Z413" s="16">
        <f t="shared" si="398"/>
        <v>5</v>
      </c>
      <c r="AA413" s="16" t="str">
        <f t="shared" ca="1" si="594"/>
        <v>HIMangel</v>
      </c>
      <c r="AB413" s="16" t="str">
        <f t="shared" ca="1" si="594"/>
        <v xml:space="preserve"> Endure Capital</v>
      </c>
      <c r="AC413" s="16" t="str">
        <f t="shared" ca="1" si="594"/>
        <v xml:space="preserve"> Averroes Ventures</v>
      </c>
      <c r="AD413" s="16" t="str">
        <f t="shared" ca="1" si="594"/>
        <v xml:space="preserve"> Egypt Ventures</v>
      </c>
      <c r="AE413" s="16" t="str">
        <f t="shared" ca="1" si="594"/>
        <v xml:space="preserve"> Ahmed Abdelhamid</v>
      </c>
      <c r="AF413" s="16">
        <f t="shared" si="594"/>
        <v>0</v>
      </c>
      <c r="AG413" s="16">
        <f t="shared" si="594"/>
        <v>0</v>
      </c>
      <c r="AH413" s="16">
        <f t="shared" si="594"/>
        <v>0</v>
      </c>
      <c r="AI413" s="16">
        <f t="shared" si="594"/>
        <v>0</v>
      </c>
      <c r="AJ413" s="16">
        <f t="shared" si="594"/>
        <v>0</v>
      </c>
      <c r="AK413" s="16">
        <f t="shared" si="594"/>
        <v>0</v>
      </c>
      <c r="AL413" s="16">
        <f t="shared" si="594"/>
        <v>0</v>
      </c>
      <c r="AM413" s="16">
        <f t="shared" si="594"/>
        <v>0</v>
      </c>
      <c r="AN413" s="16">
        <f t="shared" si="594"/>
        <v>0</v>
      </c>
      <c r="AO413" s="16">
        <f t="shared" si="594"/>
        <v>0</v>
      </c>
      <c r="AP413" s="10"/>
      <c r="AQ413" s="10"/>
      <c r="AR413" s="10"/>
      <c r="AS413" s="10" t="str">
        <f t="shared" ref="AS413" ca="1" si="615">IFERROR(__xludf.DUMMYFUNCTION("split(F386,"","",true,true)"),"HIMangel")</f>
        <v>HIMangel</v>
      </c>
      <c r="AT413" s="10" t="str">
        <f ca="1">IFERROR(__xludf.DUMMYFUNCTION("""COMPUTED_VALUE""")," Endure Capital")</f>
        <v xml:space="preserve"> Endure Capital</v>
      </c>
      <c r="AU413" s="10" t="str">
        <f ca="1">IFERROR(__xludf.DUMMYFUNCTION("""COMPUTED_VALUE""")," Averroes Ventures")</f>
        <v xml:space="preserve"> Averroes Ventures</v>
      </c>
      <c r="AV413" s="10" t="str">
        <f ca="1">IFERROR(__xludf.DUMMYFUNCTION("""COMPUTED_VALUE""")," Egypt Ventures")</f>
        <v xml:space="preserve"> Egypt Ventures</v>
      </c>
      <c r="AW413" s="10" t="str">
        <f ca="1">IFERROR(__xludf.DUMMYFUNCTION("""COMPUTED_VALUE""")," Ahmed Abdelhamid")</f>
        <v xml:space="preserve"> Ahmed Abdelhamid</v>
      </c>
      <c r="AX413" s="10"/>
      <c r="AY413" s="10"/>
      <c r="AZ413" s="10"/>
      <c r="BA413" s="10"/>
      <c r="BB413" s="10"/>
      <c r="BC413" s="10"/>
      <c r="BD413" s="10"/>
      <c r="BE413" s="10"/>
      <c r="BF413" s="10"/>
      <c r="BG413" s="10"/>
      <c r="BH413" s="10"/>
      <c r="BI413" s="10"/>
      <c r="BJ413" s="10"/>
      <c r="BK413" s="10"/>
      <c r="BM413" s="10"/>
    </row>
    <row r="414" spans="1:65" ht="12.75">
      <c r="A414" s="18">
        <v>43110</v>
      </c>
      <c r="B414" s="14" t="s">
        <v>951</v>
      </c>
      <c r="C414" s="19">
        <v>227000</v>
      </c>
      <c r="D414" s="19"/>
      <c r="E414" s="14" t="s">
        <v>234</v>
      </c>
      <c r="F414" s="14" t="s">
        <v>952</v>
      </c>
      <c r="G414" s="27" t="s">
        <v>953</v>
      </c>
      <c r="H414" s="14" t="str">
        <f t="array" ref="H414">IFERROR(INDEX([1]Companies!$G:$G,MATCH(B414,[1]Companies!$A:$A,0)),"")</f>
        <v>Ivory Coast</v>
      </c>
      <c r="I414" s="14" t="str">
        <f t="shared" si="596"/>
        <v>Ivory Coast</v>
      </c>
      <c r="J414" s="14" t="str">
        <f t="array" ref="J414">IFERROR(INDEX([1]Companies!$Y:$Y,MATCH(B414,[1]Companies!$A:$A,0)),"")</f>
        <v>E-Commerce, Internet, Transportation</v>
      </c>
      <c r="K414" s="14" t="str">
        <f t="array" ref="K414">IFERROR(INDEX([1]Companies!$X:$X,MATCH(B414,[1]Companies!$A:$A,0)),"")</f>
        <v>Transport &amp; Logistics</v>
      </c>
      <c r="L414" s="14" t="str">
        <f>VLOOKUP(B414,[1]Companies!$A$1:$C$5243,1,FALSE)</f>
        <v xml:space="preserve">Kamtar </v>
      </c>
      <c r="M414" s="15">
        <f t="shared" si="597"/>
        <v>0.9</v>
      </c>
      <c r="N414" s="10" t="str">
        <f t="shared" si="611"/>
        <v>43110Kamtar 227000</v>
      </c>
      <c r="O414" s="14" t="str">
        <f t="shared" si="612"/>
        <v/>
      </c>
      <c r="P414" s="14">
        <f t="shared" si="613"/>
        <v>1</v>
      </c>
      <c r="Q414" s="14">
        <f t="array" ref="Q414">IFERROR(INDEX([1]Companies!$D:$D,MATCH(B414,[1]Companies!$A:$A,0)),"")</f>
        <v>2018</v>
      </c>
      <c r="R414" s="17">
        <f t="shared" si="614"/>
        <v>697000</v>
      </c>
      <c r="S414" s="14">
        <f>VLOOKUP(I414,[1]Lookups!$V$3:$Y$197,4,FALSE)</f>
        <v>0</v>
      </c>
      <c r="T414" s="14" t="str">
        <f>VLOOKUP(E414,[1]Lookups!$H$3:$I$71,2,FALSE)</f>
        <v>2. Seed</v>
      </c>
      <c r="U414" s="14" t="str">
        <f>VLOOKUP(K414,[1]Lookups!$B$3:$C$142,2,FALSE)</f>
        <v>Transport &amp; Logistics</v>
      </c>
      <c r="V414" s="14">
        <f t="shared" si="396"/>
        <v>2018</v>
      </c>
      <c r="W414" s="14">
        <f t="shared" si="397"/>
        <v>1</v>
      </c>
      <c r="X414" s="14">
        <f>VLOOKUP(W414,[1]Lookups!$P$3:$S$15,2,FALSE)</f>
        <v>1</v>
      </c>
      <c r="Y414" s="16">
        <f>VLOOKUP(W414,[1]Lookups!$P$3:$U$15,3,FALSE)</f>
        <v>1</v>
      </c>
      <c r="Z414" s="16">
        <f t="shared" si="398"/>
        <v>1</v>
      </c>
      <c r="AA414" s="16" t="str">
        <f t="shared" ca="1" si="594"/>
        <v>HIMangel</v>
      </c>
      <c r="AB414" s="16">
        <f t="shared" si="594"/>
        <v>0</v>
      </c>
      <c r="AC414" s="16">
        <f t="shared" si="594"/>
        <v>0</v>
      </c>
      <c r="AD414" s="16">
        <f t="shared" si="594"/>
        <v>0</v>
      </c>
      <c r="AE414" s="16">
        <f t="shared" si="594"/>
        <v>0</v>
      </c>
      <c r="AF414" s="16">
        <f t="shared" si="594"/>
        <v>0</v>
      </c>
      <c r="AG414" s="16">
        <f t="shared" si="594"/>
        <v>0</v>
      </c>
      <c r="AH414" s="16">
        <f t="shared" si="594"/>
        <v>0</v>
      </c>
      <c r="AI414" s="16">
        <f t="shared" si="594"/>
        <v>0</v>
      </c>
      <c r="AJ414" s="16">
        <f t="shared" si="594"/>
        <v>0</v>
      </c>
      <c r="AK414" s="16">
        <f t="shared" si="594"/>
        <v>0</v>
      </c>
      <c r="AL414" s="16">
        <f t="shared" si="594"/>
        <v>0</v>
      </c>
      <c r="AM414" s="16">
        <f t="shared" si="594"/>
        <v>0</v>
      </c>
      <c r="AN414" s="16">
        <f t="shared" si="594"/>
        <v>0</v>
      </c>
      <c r="AO414" s="16">
        <f t="shared" si="594"/>
        <v>0</v>
      </c>
      <c r="AP414" s="10"/>
      <c r="AQ414" s="10"/>
      <c r="AR414" s="10"/>
      <c r="AS414" s="10" t="str">
        <f t="shared" ref="AS414" ca="1" si="616">IFERROR(__xludf.DUMMYFUNCTION("split(F386,"","",true,true)"),"HIMangel")</f>
        <v>HIMangel</v>
      </c>
      <c r="AT414" s="10"/>
      <c r="AU414" s="10"/>
      <c r="AV414" s="10"/>
      <c r="AW414" s="10"/>
      <c r="AX414" s="10"/>
      <c r="AY414" s="10"/>
      <c r="AZ414" s="10"/>
      <c r="BA414" s="10"/>
      <c r="BB414" s="10"/>
      <c r="BC414" s="10"/>
      <c r="BD414" s="10"/>
      <c r="BE414" s="10"/>
      <c r="BF414" s="10"/>
      <c r="BG414" s="10"/>
      <c r="BH414" s="10"/>
      <c r="BI414" s="10"/>
      <c r="BJ414" s="10"/>
      <c r="BK414" s="10"/>
      <c r="BM414" s="10"/>
    </row>
    <row r="415" spans="1:65" ht="12.75">
      <c r="A415" s="18">
        <v>43115</v>
      </c>
      <c r="B415" s="14" t="s">
        <v>954</v>
      </c>
      <c r="C415" s="19">
        <v>50000</v>
      </c>
      <c r="D415" s="19"/>
      <c r="E415" s="14" t="s">
        <v>55</v>
      </c>
      <c r="F415" s="14" t="s">
        <v>955</v>
      </c>
      <c r="G415" s="27" t="s">
        <v>956</v>
      </c>
      <c r="H415" s="14" t="str">
        <f t="array" ref="H415">IFERROR(INDEX([1]Companies!$G:$G,MATCH(B415,[1]Companies!$A:$A,0)),"")</f>
        <v>Senegal</v>
      </c>
      <c r="I415" s="14" t="str">
        <f t="shared" si="596"/>
        <v>Senegal</v>
      </c>
      <c r="J415" s="14" t="str">
        <f t="array" ref="J415">IFERROR(INDEX([1]Companies!$Y:$Y,MATCH(B415,[1]Companies!$A:$A,0)),"")</f>
        <v>Job board, Business Directory, Recrutement, Professional Network, and Funding</v>
      </c>
      <c r="K415" s="14" t="str">
        <f t="array" ref="K415">IFERROR(INDEX([1]Companies!$X:$X,MATCH(B415,[1]Companies!$A:$A,0)),"")</f>
        <v>Recruitment &amp; Human Resource</v>
      </c>
      <c r="L415" s="14" t="str">
        <f>VLOOKUP(B415,[1]Companies!$A$1:$C$5243,1,FALSE)</f>
        <v>Wutiko</v>
      </c>
      <c r="M415" s="15">
        <f t="shared" si="597"/>
        <v>0.9</v>
      </c>
      <c r="N415" s="10" t="str">
        <f t="shared" si="611"/>
        <v>43115Wutiko50000</v>
      </c>
      <c r="O415" s="14" t="str">
        <f t="shared" si="612"/>
        <v/>
      </c>
      <c r="P415" s="14">
        <f t="shared" si="613"/>
        <v>1</v>
      </c>
      <c r="Q415" s="14">
        <f t="array" ref="Q415">IFERROR(INDEX([1]Companies!$D:$D,MATCH(B415,[1]Companies!$A:$A,0)),"")</f>
        <v>2014</v>
      </c>
      <c r="R415" s="17">
        <f t="shared" si="614"/>
        <v>50000</v>
      </c>
      <c r="S415" s="14">
        <f>VLOOKUP(I415,[1]Lookups!$V$3:$Y$197,4,FALSE)</f>
        <v>0</v>
      </c>
      <c r="T415" s="14" t="str">
        <f>VLOOKUP(E415,[1]Lookups!$H$3:$I$71,2,FALSE)</f>
        <v>1. Grant</v>
      </c>
      <c r="U415" s="14" t="e">
        <f>VLOOKUP(K415,[1]Lookups!$B$3:$C$142,2,FALSE)</f>
        <v>#N/A</v>
      </c>
      <c r="V415" s="14">
        <f t="shared" si="396"/>
        <v>2018</v>
      </c>
      <c r="W415" s="14">
        <f t="shared" si="397"/>
        <v>1</v>
      </c>
      <c r="X415" s="14">
        <f>VLOOKUP(W415,[1]Lookups!$P$3:$S$15,2,FALSE)</f>
        <v>1</v>
      </c>
      <c r="Y415" s="16">
        <f>VLOOKUP(W415,[1]Lookups!$P$3:$U$15,3,FALSE)</f>
        <v>1</v>
      </c>
      <c r="Z415" s="16">
        <f t="shared" si="398"/>
        <v>1</v>
      </c>
      <c r="AA415" s="16" t="str">
        <f t="shared" ca="1" si="594"/>
        <v>HIMangel</v>
      </c>
      <c r="AB415" s="16">
        <f t="shared" si="594"/>
        <v>0</v>
      </c>
      <c r="AC415" s="16">
        <f t="shared" si="594"/>
        <v>0</v>
      </c>
      <c r="AD415" s="16">
        <f t="shared" si="594"/>
        <v>0</v>
      </c>
      <c r="AE415" s="16">
        <f t="shared" si="594"/>
        <v>0</v>
      </c>
      <c r="AF415" s="16">
        <f t="shared" si="594"/>
        <v>0</v>
      </c>
      <c r="AG415" s="16">
        <f t="shared" si="594"/>
        <v>0</v>
      </c>
      <c r="AH415" s="16">
        <f t="shared" si="594"/>
        <v>0</v>
      </c>
      <c r="AI415" s="16">
        <f t="shared" si="594"/>
        <v>0</v>
      </c>
      <c r="AJ415" s="16">
        <f t="shared" si="594"/>
        <v>0</v>
      </c>
      <c r="AK415" s="16">
        <f t="shared" si="594"/>
        <v>0</v>
      </c>
      <c r="AL415" s="16">
        <f t="shared" si="594"/>
        <v>0</v>
      </c>
      <c r="AM415" s="16">
        <f t="shared" si="594"/>
        <v>0</v>
      </c>
      <c r="AN415" s="16">
        <f t="shared" si="594"/>
        <v>0</v>
      </c>
      <c r="AO415" s="16">
        <f t="shared" si="594"/>
        <v>0</v>
      </c>
      <c r="AP415" s="10"/>
      <c r="AQ415" s="10"/>
      <c r="AR415" s="10"/>
      <c r="AS415" s="10" t="str">
        <f t="shared" ref="AS415" ca="1" si="617">IFERROR(__xludf.DUMMYFUNCTION("split(F386,"","",true,true)"),"HIMangel")</f>
        <v>HIMangel</v>
      </c>
      <c r="AT415" s="10"/>
      <c r="AU415" s="10"/>
      <c r="AV415" s="10"/>
      <c r="AW415" s="10"/>
      <c r="AX415" s="10"/>
      <c r="AY415" s="10"/>
      <c r="AZ415" s="10"/>
      <c r="BA415" s="10"/>
      <c r="BB415" s="10"/>
      <c r="BC415" s="10"/>
      <c r="BD415" s="10"/>
      <c r="BE415" s="10"/>
      <c r="BF415" s="10"/>
      <c r="BG415" s="10"/>
      <c r="BH415" s="10"/>
      <c r="BI415" s="10"/>
      <c r="BJ415" s="10"/>
      <c r="BK415" s="10"/>
      <c r="BM415" s="10"/>
    </row>
    <row r="416" spans="1:65" ht="12.75">
      <c r="A416" s="30">
        <v>43116</v>
      </c>
      <c r="B416" s="10" t="s">
        <v>957</v>
      </c>
      <c r="C416" s="11">
        <v>7000000</v>
      </c>
      <c r="D416" s="10"/>
      <c r="E416" s="10" t="s">
        <v>958</v>
      </c>
      <c r="F416" s="10" t="s">
        <v>959</v>
      </c>
      <c r="G416" s="32" t="s">
        <v>960</v>
      </c>
      <c r="H416" s="14" t="str">
        <f t="array" ref="H416">IFERROR(INDEX([1]Companies!$G:$G,MATCH(B416,[1]Companies!$A:$A,0)),"")</f>
        <v>Nigeria</v>
      </c>
      <c r="I416" s="14" t="str">
        <f t="shared" si="596"/>
        <v>Nigeria</v>
      </c>
      <c r="J416" s="14" t="str">
        <f t="array" ref="J416">IFERROR(INDEX([1]Companies!$Y:$Y,MATCH(B416,[1]Companies!$A:$A,0)),"")</f>
        <v>Blockchain, Cryptocurrency, Financial Services</v>
      </c>
      <c r="K416" s="14" t="str">
        <f t="array" ref="K416">IFERROR(INDEX([1]Companies!$X:$X,MATCH(B416,[1]Companies!$A:$A,0)),"")</f>
        <v>Financial Services</v>
      </c>
      <c r="L416" s="14" t="str">
        <f>VLOOKUP(B416,[1]Companies!$A$1:$C$5243,1,FALSE)</f>
        <v>Sureremit</v>
      </c>
      <c r="M416" s="15">
        <f t="shared" si="597"/>
        <v>0.9</v>
      </c>
      <c r="N416" s="10" t="str">
        <f t="shared" si="611"/>
        <v>43116SureRemit7000000</v>
      </c>
      <c r="O416" s="14" t="str">
        <f t="shared" si="612"/>
        <v/>
      </c>
      <c r="P416" s="14">
        <f t="shared" si="613"/>
        <v>1</v>
      </c>
      <c r="Q416" s="14">
        <f t="array" ref="Q416">IFERROR(INDEX([1]Companies!$D:$D,MATCH(B416,[1]Companies!$A:$A,0)),"")</f>
        <v>2017</v>
      </c>
      <c r="R416" s="17">
        <f t="shared" si="614"/>
        <v>7000000</v>
      </c>
      <c r="S416" s="14">
        <f>VLOOKUP(I416,[1]Lookups!$V$3:$Y$197,4,FALSE)</f>
        <v>0</v>
      </c>
      <c r="T416" s="14" t="e">
        <f>VLOOKUP(E416,[1]Lookups!$H$3:$I$71,2,FALSE)</f>
        <v>#N/A</v>
      </c>
      <c r="U416" s="14" t="str">
        <f>VLOOKUP(K416,[1]Lookups!$B$3:$C$142,2,FALSE)</f>
        <v>Financial Services</v>
      </c>
      <c r="V416" s="14">
        <f t="shared" si="396"/>
        <v>2018</v>
      </c>
      <c r="W416" s="14">
        <f t="shared" si="397"/>
        <v>1</v>
      </c>
      <c r="X416" s="14">
        <f>VLOOKUP(W416,[1]Lookups!$P$3:$S$15,2,FALSE)</f>
        <v>1</v>
      </c>
      <c r="Y416" s="16">
        <f>VLOOKUP(W416,[1]Lookups!$P$3:$U$15,3,FALSE)</f>
        <v>1</v>
      </c>
      <c r="Z416" s="16">
        <f t="shared" si="398"/>
        <v>1</v>
      </c>
      <c r="AA416" s="16" t="str">
        <f t="shared" ca="1" si="594"/>
        <v>HIMangel</v>
      </c>
      <c r="AB416" s="16">
        <f t="shared" si="594"/>
        <v>0</v>
      </c>
      <c r="AC416" s="16">
        <f t="shared" si="594"/>
        <v>0</v>
      </c>
      <c r="AD416" s="16">
        <f t="shared" si="594"/>
        <v>0</v>
      </c>
      <c r="AE416" s="16">
        <f t="shared" si="594"/>
        <v>0</v>
      </c>
      <c r="AF416" s="16">
        <f t="shared" si="594"/>
        <v>0</v>
      </c>
      <c r="AG416" s="16">
        <f t="shared" si="594"/>
        <v>0</v>
      </c>
      <c r="AH416" s="16">
        <f t="shared" si="594"/>
        <v>0</v>
      </c>
      <c r="AI416" s="16">
        <f t="shared" si="594"/>
        <v>0</v>
      </c>
      <c r="AJ416" s="16">
        <f t="shared" si="594"/>
        <v>0</v>
      </c>
      <c r="AK416" s="16">
        <f t="shared" si="594"/>
        <v>0</v>
      </c>
      <c r="AL416" s="16">
        <f t="shared" si="594"/>
        <v>0</v>
      </c>
      <c r="AM416" s="16">
        <f t="shared" si="594"/>
        <v>0</v>
      </c>
      <c r="AN416" s="16">
        <f t="shared" si="594"/>
        <v>0</v>
      </c>
      <c r="AO416" s="16">
        <f t="shared" si="594"/>
        <v>0</v>
      </c>
      <c r="AP416" s="10"/>
      <c r="AQ416" s="10"/>
      <c r="AR416" s="10"/>
      <c r="AS416" s="10" t="str">
        <f t="shared" ref="AS416" ca="1" si="618">IFERROR(__xludf.DUMMYFUNCTION("split(F386,"","",true,true)"),"HIMangel")</f>
        <v>HIMangel</v>
      </c>
      <c r="AT416" s="10"/>
      <c r="AU416" s="10"/>
      <c r="AV416" s="10"/>
      <c r="AW416" s="10"/>
      <c r="AX416" s="10"/>
      <c r="AY416" s="10"/>
      <c r="AZ416" s="10"/>
      <c r="BA416" s="10"/>
      <c r="BB416" s="10"/>
      <c r="BC416" s="10"/>
      <c r="BD416" s="10"/>
      <c r="BE416" s="10"/>
      <c r="BF416" s="10"/>
      <c r="BG416" s="10"/>
      <c r="BH416" s="10"/>
      <c r="BI416" s="10"/>
      <c r="BJ416" s="10"/>
      <c r="BK416" s="10"/>
      <c r="BM416" s="10"/>
    </row>
    <row r="417" spans="1:65" ht="12.75">
      <c r="A417" s="18">
        <v>43118</v>
      </c>
      <c r="B417" s="14" t="s">
        <v>186</v>
      </c>
      <c r="C417" s="19">
        <v>55000000</v>
      </c>
      <c r="D417" s="19"/>
      <c r="E417" s="14" t="s">
        <v>161</v>
      </c>
      <c r="F417" s="14" t="s">
        <v>961</v>
      </c>
      <c r="G417" s="27" t="s">
        <v>962</v>
      </c>
      <c r="H417" s="14" t="str">
        <f t="array" ref="H417">IFERROR(INDEX([1]Companies!$G:$G,MATCH(B417,[1]Companies!$A:$A,0)),"")</f>
        <v>Tanzania</v>
      </c>
      <c r="I417" s="14" t="str">
        <f t="shared" si="596"/>
        <v>Tanzania</v>
      </c>
      <c r="J417" s="14" t="str">
        <f t="array" ref="J417">IFERROR(INDEX([1]Companies!$Y:$Y,MATCH(B417,[1]Companies!$A:$A,0)),"")</f>
        <v>Electrical Distribution, Energy, Renewable Energy, Solar</v>
      </c>
      <c r="K417" s="14" t="str">
        <f t="array" ref="K417">IFERROR(INDEX([1]Companies!$X:$X,MATCH(B417,[1]Companies!$A:$A,0)),"")</f>
        <v>Energy &amp; Environment Resources</v>
      </c>
      <c r="L417" s="14" t="str">
        <f>VLOOKUP(B417,[1]Companies!$A$1:$C$5243,1,FALSE)</f>
        <v xml:space="preserve">Zola Electric </v>
      </c>
      <c r="M417" s="15">
        <f t="shared" si="597"/>
        <v>0.9</v>
      </c>
      <c r="N417" s="10" t="str">
        <f t="shared" si="611"/>
        <v>43118Zola Electric 55000000</v>
      </c>
      <c r="O417" s="14" t="str">
        <f t="shared" si="612"/>
        <v/>
      </c>
      <c r="P417" s="14">
        <f t="shared" si="613"/>
        <v>1</v>
      </c>
      <c r="Q417" s="14">
        <f t="array" ref="Q417">IFERROR(INDEX([1]Companies!$D:$D,MATCH(B417,[1]Companies!$A:$A,0)),"")</f>
        <v>2011</v>
      </c>
      <c r="R417" s="17">
        <f t="shared" si="614"/>
        <v>165500000</v>
      </c>
      <c r="S417" s="14">
        <f>VLOOKUP(I417,[1]Lookups!$V$3:$Y$197,4,FALSE)</f>
        <v>0</v>
      </c>
      <c r="T417" s="14" t="str">
        <f>VLOOKUP(E417,[1]Lookups!$H$3:$I$71,2,FALSE)</f>
        <v>4. Late Venture</v>
      </c>
      <c r="U417" s="14" t="e">
        <f>VLOOKUP(K417,[1]Lookups!$B$3:$C$142,2,FALSE)</f>
        <v>#N/A</v>
      </c>
      <c r="V417" s="14">
        <f t="shared" si="396"/>
        <v>2018</v>
      </c>
      <c r="W417" s="14">
        <f t="shared" si="397"/>
        <v>1</v>
      </c>
      <c r="X417" s="14">
        <f>VLOOKUP(W417,[1]Lookups!$P$3:$S$15,2,FALSE)</f>
        <v>1</v>
      </c>
      <c r="Y417" s="16">
        <f>VLOOKUP(W417,[1]Lookups!$P$3:$U$15,3,FALSE)</f>
        <v>1</v>
      </c>
      <c r="Z417" s="16">
        <f t="shared" si="398"/>
        <v>6</v>
      </c>
      <c r="AA417" s="16" t="str">
        <f t="shared" ca="1" si="594"/>
        <v>HIMangel</v>
      </c>
      <c r="AB417" s="16" t="str">
        <f t="shared" ca="1" si="594"/>
        <v xml:space="preserve"> GE Ventures</v>
      </c>
      <c r="AC417" s="16" t="str">
        <f t="shared" ca="1" si="594"/>
        <v xml:space="preserve"> Total Energy Ventures</v>
      </c>
      <c r="AD417" s="16" t="str">
        <f t="shared" ca="1" si="594"/>
        <v xml:space="preserve"> Tesla</v>
      </c>
      <c r="AE417" s="16" t="str">
        <f t="shared" ca="1" si="594"/>
        <v xml:space="preserve"> EDF</v>
      </c>
      <c r="AF417" s="16" t="str">
        <f t="shared" ca="1" si="594"/>
        <v xml:space="preserve"> DBL Partners</v>
      </c>
      <c r="AG417" s="16">
        <f t="shared" si="594"/>
        <v>0</v>
      </c>
      <c r="AH417" s="16">
        <f t="shared" si="594"/>
        <v>0</v>
      </c>
      <c r="AI417" s="16">
        <f t="shared" si="594"/>
        <v>0</v>
      </c>
      <c r="AJ417" s="16">
        <f t="shared" si="594"/>
        <v>0</v>
      </c>
      <c r="AK417" s="16">
        <f t="shared" si="594"/>
        <v>0</v>
      </c>
      <c r="AL417" s="16">
        <f t="shared" si="594"/>
        <v>0</v>
      </c>
      <c r="AM417" s="16">
        <f t="shared" si="594"/>
        <v>0</v>
      </c>
      <c r="AN417" s="16">
        <f t="shared" si="594"/>
        <v>0</v>
      </c>
      <c r="AO417" s="16">
        <f t="shared" si="594"/>
        <v>0</v>
      </c>
      <c r="AP417" s="10"/>
      <c r="AQ417" s="10"/>
      <c r="AR417" s="10"/>
      <c r="AS417" s="10" t="str">
        <f t="shared" ref="AS417" ca="1" si="619">IFERROR(__xludf.DUMMYFUNCTION("split(F386,"","",true,true)"),"HIMangel")</f>
        <v>HIMangel</v>
      </c>
      <c r="AT417" s="10" t="str">
        <f ca="1">IFERROR(__xludf.DUMMYFUNCTION("""COMPUTED_VALUE""")," GE Ventures")</f>
        <v xml:space="preserve"> GE Ventures</v>
      </c>
      <c r="AU417" s="10" t="str">
        <f ca="1">IFERROR(__xludf.DUMMYFUNCTION("""COMPUTED_VALUE""")," Total Energy Ventures")</f>
        <v xml:space="preserve"> Total Energy Ventures</v>
      </c>
      <c r="AV417" s="10" t="str">
        <f ca="1">IFERROR(__xludf.DUMMYFUNCTION("""COMPUTED_VALUE""")," Tesla")</f>
        <v xml:space="preserve"> Tesla</v>
      </c>
      <c r="AW417" s="10" t="str">
        <f ca="1">IFERROR(__xludf.DUMMYFUNCTION("""COMPUTED_VALUE""")," EDF")</f>
        <v xml:space="preserve"> EDF</v>
      </c>
      <c r="AX417" s="10" t="str">
        <f ca="1">IFERROR(__xludf.DUMMYFUNCTION("""COMPUTED_VALUE""")," DBL Partners")</f>
        <v xml:space="preserve"> DBL Partners</v>
      </c>
      <c r="AY417" s="10"/>
      <c r="AZ417" s="10"/>
      <c r="BA417" s="10"/>
      <c r="BB417" s="10"/>
      <c r="BC417" s="10"/>
      <c r="BD417" s="10"/>
      <c r="BE417" s="10"/>
      <c r="BF417" s="10"/>
      <c r="BG417" s="10"/>
      <c r="BH417" s="10"/>
      <c r="BI417" s="10"/>
      <c r="BJ417" s="10"/>
      <c r="BK417" s="10"/>
      <c r="BM417" s="10"/>
    </row>
    <row r="418" spans="1:65" ht="12.75">
      <c r="A418" s="18">
        <v>43119</v>
      </c>
      <c r="B418" s="14" t="s">
        <v>963</v>
      </c>
      <c r="C418" s="19">
        <v>100000</v>
      </c>
      <c r="D418" s="19"/>
      <c r="E418" s="14" t="s">
        <v>55</v>
      </c>
      <c r="F418" s="14" t="s">
        <v>964</v>
      </c>
      <c r="G418" s="27" t="s">
        <v>965</v>
      </c>
      <c r="H418" s="14" t="str">
        <f t="array" ref="H418">IFERROR(INDEX([1]Companies!$G:$G,MATCH(B418,[1]Companies!$A:$A,0)),"")</f>
        <v>South Africa</v>
      </c>
      <c r="I418" s="14" t="str">
        <f t="shared" si="596"/>
        <v>South Africa</v>
      </c>
      <c r="J418" s="14" t="str">
        <f t="array" ref="J418">IFERROR(INDEX([1]Companies!$Y:$Y,MATCH(B418,[1]Companies!$A:$A,0)),"")</f>
        <v>Fishing, Mobile Applications</v>
      </c>
      <c r="K418" s="14" t="str">
        <f t="array" ref="K418">IFERROR(INDEX([1]Companies!$X:$X,MATCH(B418,[1]Companies!$A:$A,0)),"")</f>
        <v>Agriculture</v>
      </c>
      <c r="L418" s="14" t="str">
        <f>VLOOKUP(B418,[1]Companies!$A$1:$C$5243,1,FALSE)</f>
        <v>Abalobi</v>
      </c>
      <c r="M418" s="15">
        <f t="shared" si="597"/>
        <v>0.9</v>
      </c>
      <c r="N418" s="10" t="str">
        <f t="shared" si="611"/>
        <v>43119Abalobi100000</v>
      </c>
      <c r="O418" s="14" t="str">
        <f t="shared" si="612"/>
        <v/>
      </c>
      <c r="P418" s="14">
        <f t="shared" si="613"/>
        <v>1</v>
      </c>
      <c r="Q418" s="14">
        <f t="array" ref="Q418">IFERROR(INDEX([1]Companies!$D:$D,MATCH(B418,[1]Companies!$A:$A,0)),"")</f>
        <v>2016</v>
      </c>
      <c r="R418" s="17">
        <f t="shared" si="614"/>
        <v>100000</v>
      </c>
      <c r="S418" s="14">
        <f>VLOOKUP(I418,[1]Lookups!$V$3:$Y$197,4,FALSE)</f>
        <v>0</v>
      </c>
      <c r="T418" s="14" t="str">
        <f>VLOOKUP(E418,[1]Lookups!$H$3:$I$71,2,FALSE)</f>
        <v>1. Grant</v>
      </c>
      <c r="U418" s="14" t="str">
        <f>VLOOKUP(K418,[1]Lookups!$B$3:$C$142,2,FALSE)</f>
        <v>Agriculture</v>
      </c>
      <c r="V418" s="14">
        <f t="shared" si="396"/>
        <v>2018</v>
      </c>
      <c r="W418" s="14">
        <f t="shared" si="397"/>
        <v>1</v>
      </c>
      <c r="X418" s="14">
        <f>VLOOKUP(W418,[1]Lookups!$P$3:$S$15,2,FALSE)</f>
        <v>1</v>
      </c>
      <c r="Y418" s="16">
        <f>VLOOKUP(W418,[1]Lookups!$P$3:$U$15,3,FALSE)</f>
        <v>1</v>
      </c>
      <c r="Z418" s="16">
        <f t="shared" si="398"/>
        <v>1</v>
      </c>
      <c r="AA418" s="16" t="str">
        <f t="shared" ref="AA418:AO433" ca="1" si="620">AS418</f>
        <v>HIMangel</v>
      </c>
      <c r="AB418" s="16">
        <f t="shared" si="620"/>
        <v>0</v>
      </c>
      <c r="AC418" s="16">
        <f t="shared" si="620"/>
        <v>0</v>
      </c>
      <c r="AD418" s="16">
        <f t="shared" si="620"/>
        <v>0</v>
      </c>
      <c r="AE418" s="16">
        <f t="shared" si="620"/>
        <v>0</v>
      </c>
      <c r="AF418" s="16">
        <f t="shared" si="620"/>
        <v>0</v>
      </c>
      <c r="AG418" s="16">
        <f t="shared" si="620"/>
        <v>0</v>
      </c>
      <c r="AH418" s="16">
        <f t="shared" si="620"/>
        <v>0</v>
      </c>
      <c r="AI418" s="16">
        <f t="shared" si="620"/>
        <v>0</v>
      </c>
      <c r="AJ418" s="16">
        <f t="shared" si="620"/>
        <v>0</v>
      </c>
      <c r="AK418" s="16">
        <f t="shared" si="620"/>
        <v>0</v>
      </c>
      <c r="AL418" s="16">
        <f t="shared" si="620"/>
        <v>0</v>
      </c>
      <c r="AM418" s="16">
        <f t="shared" si="620"/>
        <v>0</v>
      </c>
      <c r="AN418" s="16">
        <f t="shared" si="620"/>
        <v>0</v>
      </c>
      <c r="AO418" s="16">
        <f t="shared" si="620"/>
        <v>0</v>
      </c>
      <c r="AP418" s="10"/>
      <c r="AQ418" s="10"/>
      <c r="AR418" s="10"/>
      <c r="AS418" s="10" t="str">
        <f t="shared" ref="AS418" ca="1" si="621">IFERROR(__xludf.DUMMYFUNCTION("split(F386,"","",true,true)"),"HIMangel")</f>
        <v>HIMangel</v>
      </c>
      <c r="AT418" s="10"/>
      <c r="AU418" s="10"/>
      <c r="AV418" s="10"/>
      <c r="AW418" s="10"/>
      <c r="AX418" s="10"/>
      <c r="AY418" s="10"/>
      <c r="AZ418" s="10"/>
      <c r="BA418" s="10"/>
      <c r="BB418" s="10"/>
      <c r="BC418" s="10"/>
      <c r="BD418" s="10"/>
      <c r="BE418" s="10"/>
      <c r="BF418" s="10"/>
      <c r="BG418" s="10"/>
      <c r="BH418" s="10"/>
      <c r="BI418" s="10"/>
      <c r="BJ418" s="10"/>
      <c r="BK418" s="10"/>
      <c r="BM418" s="10"/>
    </row>
    <row r="419" spans="1:65" ht="12.75">
      <c r="A419" s="18">
        <v>43120</v>
      </c>
      <c r="B419" s="14" t="s">
        <v>966</v>
      </c>
      <c r="C419" s="19" t="s">
        <v>49</v>
      </c>
      <c r="D419" s="19"/>
      <c r="E419" s="14" t="s">
        <v>45</v>
      </c>
      <c r="F419" s="14" t="s">
        <v>967</v>
      </c>
      <c r="G419" s="27" t="s">
        <v>968</v>
      </c>
      <c r="H419" s="14" t="str">
        <f t="array" ref="H419">IFERROR(INDEX([1]Companies!$G:$G,MATCH(B419,[1]Companies!$A:$A,0)),"")</f>
        <v>Egypt</v>
      </c>
      <c r="I419" s="14" t="str">
        <f t="shared" si="596"/>
        <v>Egypt</v>
      </c>
      <c r="J419" s="14" t="str">
        <f t="array" ref="J419">IFERROR(INDEX([1]Companies!$Y:$Y,MATCH(B419,[1]Companies!$A:$A,0)),"")</f>
        <v>Delivery, E-Commerce, Internet, Mobile</v>
      </c>
      <c r="K419" s="14" t="str">
        <f t="array" ref="K419">IFERROR(INDEX([1]Companies!$X:$X,MATCH(B419,[1]Companies!$A:$A,0)),"")</f>
        <v>E-Commerce &amp; Retail</v>
      </c>
      <c r="L419" s="14" t="str">
        <f>VLOOKUP(B419,[1]Companies!$A$1:$C$5243,1,FALSE)</f>
        <v>Awfar</v>
      </c>
      <c r="M419" s="15">
        <f t="shared" si="597"/>
        <v>0.9</v>
      </c>
      <c r="N419" s="10" t="str">
        <f t="shared" si="611"/>
        <v>43120AwfarUndisclosed</v>
      </c>
      <c r="O419" s="14" t="str">
        <f t="shared" si="612"/>
        <v/>
      </c>
      <c r="P419" s="14">
        <f t="shared" si="613"/>
        <v>0</v>
      </c>
      <c r="Q419" s="14">
        <f t="array" ref="Q419">IFERROR(INDEX([1]Companies!$D:$D,MATCH(B419,[1]Companies!$A:$A,0)),"")</f>
        <v>2013</v>
      </c>
      <c r="R419" s="17">
        <f t="shared" si="614"/>
        <v>0</v>
      </c>
      <c r="S419" s="14">
        <f>VLOOKUP(I419,[1]Lookups!$V$3:$Y$197,4,FALSE)</f>
        <v>0</v>
      </c>
      <c r="T419" s="14" t="str">
        <f>VLOOKUP(E419,[1]Lookups!$H$3:$I$71,2,FALSE)</f>
        <v>2. Seed</v>
      </c>
      <c r="U419" s="14" t="str">
        <f>VLOOKUP(K419,[1]Lookups!$B$3:$C$142,2,FALSE)</f>
        <v>E-commerce &amp; Retail</v>
      </c>
      <c r="V419" s="14">
        <f t="shared" si="396"/>
        <v>2018</v>
      </c>
      <c r="W419" s="14">
        <f t="shared" si="397"/>
        <v>1</v>
      </c>
      <c r="X419" s="14">
        <f>VLOOKUP(W419,[1]Lookups!$P$3:$S$15,2,FALSE)</f>
        <v>1</v>
      </c>
      <c r="Y419" s="16">
        <f>VLOOKUP(W419,[1]Lookups!$P$3:$U$15,3,FALSE)</f>
        <v>1</v>
      </c>
      <c r="Z419" s="16">
        <f t="shared" si="398"/>
        <v>1</v>
      </c>
      <c r="AA419" s="16" t="str">
        <f t="shared" ca="1" si="620"/>
        <v>HIMangel</v>
      </c>
      <c r="AB419" s="16">
        <f t="shared" si="620"/>
        <v>0</v>
      </c>
      <c r="AC419" s="16">
        <f t="shared" si="620"/>
        <v>0</v>
      </c>
      <c r="AD419" s="16">
        <f t="shared" si="620"/>
        <v>0</v>
      </c>
      <c r="AE419" s="16">
        <f t="shared" si="620"/>
        <v>0</v>
      </c>
      <c r="AF419" s="16">
        <f t="shared" si="620"/>
        <v>0</v>
      </c>
      <c r="AG419" s="16">
        <f t="shared" si="620"/>
        <v>0</v>
      </c>
      <c r="AH419" s="16">
        <f t="shared" si="620"/>
        <v>0</v>
      </c>
      <c r="AI419" s="16">
        <f t="shared" si="620"/>
        <v>0</v>
      </c>
      <c r="AJ419" s="16">
        <f t="shared" si="620"/>
        <v>0</v>
      </c>
      <c r="AK419" s="16">
        <f t="shared" si="620"/>
        <v>0</v>
      </c>
      <c r="AL419" s="16">
        <f t="shared" si="620"/>
        <v>0</v>
      </c>
      <c r="AM419" s="16">
        <f t="shared" si="620"/>
        <v>0</v>
      </c>
      <c r="AN419" s="16">
        <f t="shared" si="620"/>
        <v>0</v>
      </c>
      <c r="AO419" s="16">
        <f t="shared" si="620"/>
        <v>0</v>
      </c>
      <c r="AP419" s="10"/>
      <c r="AQ419" s="10"/>
      <c r="AR419" s="10"/>
      <c r="AS419" s="10" t="str">
        <f t="shared" ref="AS419" ca="1" si="622">IFERROR(__xludf.DUMMYFUNCTION("split(F386,"","",true,true)"),"HIMangel")</f>
        <v>HIMangel</v>
      </c>
      <c r="AT419" s="10"/>
      <c r="AU419" s="10"/>
      <c r="AV419" s="10"/>
      <c r="AW419" s="10"/>
      <c r="AX419" s="10"/>
      <c r="AY419" s="10"/>
      <c r="AZ419" s="10"/>
      <c r="BA419" s="10"/>
      <c r="BB419" s="10"/>
      <c r="BC419" s="10"/>
      <c r="BD419" s="10"/>
      <c r="BE419" s="10"/>
      <c r="BF419" s="10"/>
      <c r="BG419" s="10"/>
      <c r="BH419" s="10"/>
      <c r="BI419" s="10"/>
      <c r="BJ419" s="10"/>
      <c r="BK419" s="10"/>
      <c r="BM419" s="10"/>
    </row>
    <row r="420" spans="1:65" ht="12.75">
      <c r="A420" s="18">
        <v>43122</v>
      </c>
      <c r="B420" s="14" t="s">
        <v>614</v>
      </c>
      <c r="C420" s="19">
        <v>20000000</v>
      </c>
      <c r="D420" s="19"/>
      <c r="E420" s="10" t="s">
        <v>91</v>
      </c>
      <c r="F420" s="14" t="s">
        <v>969</v>
      </c>
      <c r="G420" s="27" t="s">
        <v>970</v>
      </c>
      <c r="H420" s="14" t="str">
        <f t="array" ref="H420">IFERROR(INDEX([1]Companies!$G:$G,MATCH(B420,[1]Companies!$A:$A,0)),"")</f>
        <v>United Kingdom</v>
      </c>
      <c r="I420" s="14" t="str">
        <f t="shared" si="596"/>
        <v>United Kingdom</v>
      </c>
      <c r="J420" s="14" t="str">
        <f t="array" ref="J420">IFERROR(INDEX([1]Companies!$Y:$Y,MATCH(B420,[1]Companies!$A:$A,0)),"")</f>
        <v>Energy, Renewable Energy, Solar</v>
      </c>
      <c r="K420" s="14" t="str">
        <f t="array" ref="K420">IFERROR(INDEX([1]Companies!$X:$X,MATCH(B420,[1]Companies!$A:$A,0)),"")</f>
        <v>Energy &amp; Environment Resources</v>
      </c>
      <c r="L420" s="14" t="str">
        <f>VLOOKUP(B420,[1]Companies!$A$1:$C$5243,1,FALSE)</f>
        <v>Azuri Technologies</v>
      </c>
      <c r="M420" s="15">
        <f t="shared" si="597"/>
        <v>0.9</v>
      </c>
      <c r="N420" s="10" t="str">
        <f t="shared" si="611"/>
        <v>43122Azuri Technologies20000000</v>
      </c>
      <c r="O420" s="14" t="str">
        <f t="shared" si="612"/>
        <v/>
      </c>
      <c r="P420" s="14">
        <f t="shared" si="613"/>
        <v>1</v>
      </c>
      <c r="Q420" s="14">
        <f t="array" ref="Q420">IFERROR(INDEX([1]Companies!$D:$D,MATCH(B420,[1]Companies!$A:$A,0)),"")</f>
        <v>2012</v>
      </c>
      <c r="R420" s="17">
        <f t="shared" si="614"/>
        <v>53511500</v>
      </c>
      <c r="S420" s="14">
        <f>VLOOKUP(I420,[1]Lookups!$V$3:$Y$197,4,FALSE)</f>
        <v>1</v>
      </c>
      <c r="T420" s="14" t="str">
        <f>VLOOKUP(E420,[1]Lookups!$H$3:$I$71,2,FALSE)</f>
        <v>5. Debt Financing</v>
      </c>
      <c r="U420" s="14" t="e">
        <f>VLOOKUP(K420,[1]Lookups!$B$3:$C$142,2,FALSE)</f>
        <v>#N/A</v>
      </c>
      <c r="V420" s="14">
        <f t="shared" si="396"/>
        <v>2018</v>
      </c>
      <c r="W420" s="14">
        <f t="shared" si="397"/>
        <v>1</v>
      </c>
      <c r="X420" s="14">
        <f>VLOOKUP(W420,[1]Lookups!$P$3:$S$15,2,FALSE)</f>
        <v>1</v>
      </c>
      <c r="Y420" s="16">
        <f>VLOOKUP(W420,[1]Lookups!$P$3:$U$15,3,FALSE)</f>
        <v>1</v>
      </c>
      <c r="Z420" s="16">
        <f t="shared" si="398"/>
        <v>2</v>
      </c>
      <c r="AA420" s="16" t="str">
        <f t="shared" ca="1" si="620"/>
        <v>HIMangel</v>
      </c>
      <c r="AB420" s="16" t="str">
        <f t="shared" ca="1" si="620"/>
        <v xml:space="preserve"> Electrification Financing Initiative</v>
      </c>
      <c r="AC420" s="16">
        <f t="shared" si="620"/>
        <v>0</v>
      </c>
      <c r="AD420" s="16">
        <f t="shared" si="620"/>
        <v>0</v>
      </c>
      <c r="AE420" s="16">
        <f t="shared" si="620"/>
        <v>0</v>
      </c>
      <c r="AF420" s="16">
        <f t="shared" si="620"/>
        <v>0</v>
      </c>
      <c r="AG420" s="16">
        <f t="shared" si="620"/>
        <v>0</v>
      </c>
      <c r="AH420" s="16">
        <f t="shared" si="620"/>
        <v>0</v>
      </c>
      <c r="AI420" s="16">
        <f t="shared" si="620"/>
        <v>0</v>
      </c>
      <c r="AJ420" s="16">
        <f t="shared" si="620"/>
        <v>0</v>
      </c>
      <c r="AK420" s="16">
        <f t="shared" si="620"/>
        <v>0</v>
      </c>
      <c r="AL420" s="16">
        <f t="shared" si="620"/>
        <v>0</v>
      </c>
      <c r="AM420" s="16">
        <f t="shared" si="620"/>
        <v>0</v>
      </c>
      <c r="AN420" s="16">
        <f t="shared" si="620"/>
        <v>0</v>
      </c>
      <c r="AO420" s="16">
        <f t="shared" si="620"/>
        <v>0</v>
      </c>
      <c r="AP420" s="10"/>
      <c r="AQ420" s="10"/>
      <c r="AR420" s="10"/>
      <c r="AS420" s="10" t="str">
        <f t="shared" ref="AS420" ca="1" si="623">IFERROR(__xludf.DUMMYFUNCTION("split(F386,"","",true,true)"),"HIMangel")</f>
        <v>HIMangel</v>
      </c>
      <c r="AT420" s="23" t="str">
        <f ca="1">IFERROR(__xludf.DUMMYFUNCTION("""COMPUTED_VALUE""")," Electrification Financing Initiative")</f>
        <v xml:space="preserve"> Electrification Financing Initiative</v>
      </c>
      <c r="AU420" s="23"/>
      <c r="AV420" s="23"/>
      <c r="AW420" s="23"/>
      <c r="AX420" s="23"/>
      <c r="AY420" s="23"/>
      <c r="AZ420" s="23"/>
      <c r="BA420" s="23"/>
      <c r="BB420" s="23"/>
      <c r="BC420" s="23"/>
      <c r="BD420" s="23"/>
      <c r="BE420" s="23"/>
      <c r="BF420" s="23"/>
      <c r="BG420" s="23"/>
      <c r="BH420" s="23"/>
      <c r="BI420" s="23"/>
      <c r="BJ420" s="23"/>
      <c r="BK420" s="23"/>
      <c r="BM420" s="23"/>
    </row>
    <row r="421" spans="1:65" ht="12.75">
      <c r="A421" s="18">
        <v>43124</v>
      </c>
      <c r="B421" s="14" t="s">
        <v>971</v>
      </c>
      <c r="C421" s="19" t="s">
        <v>49</v>
      </c>
      <c r="D421" s="19"/>
      <c r="E421" s="14" t="s">
        <v>45</v>
      </c>
      <c r="F421" s="14" t="s">
        <v>972</v>
      </c>
      <c r="G421" s="27" t="s">
        <v>973</v>
      </c>
      <c r="H421" s="14" t="str">
        <f t="array" ref="H421">IFERROR(INDEX([1]Companies!$G:$G,MATCH(B421,[1]Companies!$A:$A,0)),"")</f>
        <v>Kenya</v>
      </c>
      <c r="I421" s="14" t="str">
        <f t="shared" si="596"/>
        <v>Kenya</v>
      </c>
      <c r="J421" s="14" t="str">
        <f t="array" ref="J421">IFERROR(INDEX([1]Companies!$Y:$Y,MATCH(B421,[1]Companies!$A:$A,0)),"")</f>
        <v>Media and Entertainment, News</v>
      </c>
      <c r="K421" s="14" t="str">
        <f t="array" ref="K421">IFERROR(INDEX([1]Companies!$X:$X,MATCH(B421,[1]Companies!$A:$A,0)),"")</f>
        <v>Media &amp; Entertainment</v>
      </c>
      <c r="L421" s="14" t="str">
        <f>VLOOKUP(B421,[1]Companies!$A$1:$C$5243,1,FALSE)</f>
        <v>TabAds</v>
      </c>
      <c r="M421" s="15">
        <f t="shared" si="597"/>
        <v>0.9</v>
      </c>
      <c r="N421" s="10" t="str">
        <f t="shared" si="611"/>
        <v>43124TabAdsUndisclosed</v>
      </c>
      <c r="O421" s="14" t="str">
        <f t="shared" si="612"/>
        <v/>
      </c>
      <c r="P421" s="14">
        <f t="shared" si="613"/>
        <v>0</v>
      </c>
      <c r="Q421" s="14">
        <f t="array" ref="Q421">IFERROR(INDEX([1]Companies!$D:$D,MATCH(B421,[1]Companies!$A:$A,0)),"")</f>
        <v>2017</v>
      </c>
      <c r="R421" s="17">
        <f t="shared" si="614"/>
        <v>0</v>
      </c>
      <c r="S421" s="14">
        <f>VLOOKUP(I421,[1]Lookups!$V$3:$Y$197,4,FALSE)</f>
        <v>0</v>
      </c>
      <c r="T421" s="14" t="str">
        <f>VLOOKUP(E421,[1]Lookups!$H$3:$I$71,2,FALSE)</f>
        <v>2. Seed</v>
      </c>
      <c r="U421" s="14" t="str">
        <f>VLOOKUP(K421,[1]Lookups!$B$3:$C$142,2,FALSE)</f>
        <v>Media &amp; Entertainment</v>
      </c>
      <c r="V421" s="14">
        <f t="shared" si="396"/>
        <v>2018</v>
      </c>
      <c r="W421" s="14">
        <f t="shared" si="397"/>
        <v>1</v>
      </c>
      <c r="X421" s="14">
        <f>VLOOKUP(W421,[1]Lookups!$P$3:$S$15,2,FALSE)</f>
        <v>1</v>
      </c>
      <c r="Y421" s="16">
        <f>VLOOKUP(W421,[1]Lookups!$P$3:$U$15,3,FALSE)</f>
        <v>1</v>
      </c>
      <c r="Z421" s="16">
        <f t="shared" si="398"/>
        <v>1</v>
      </c>
      <c r="AA421" s="16" t="str">
        <f t="shared" ca="1" si="620"/>
        <v>HIMangel</v>
      </c>
      <c r="AB421" s="16">
        <f t="shared" si="620"/>
        <v>0</v>
      </c>
      <c r="AC421" s="16">
        <f t="shared" si="620"/>
        <v>0</v>
      </c>
      <c r="AD421" s="16">
        <f t="shared" si="620"/>
        <v>0</v>
      </c>
      <c r="AE421" s="16">
        <f t="shared" si="620"/>
        <v>0</v>
      </c>
      <c r="AF421" s="16">
        <f t="shared" si="620"/>
        <v>0</v>
      </c>
      <c r="AG421" s="16">
        <f t="shared" si="620"/>
        <v>0</v>
      </c>
      <c r="AH421" s="16">
        <f t="shared" si="620"/>
        <v>0</v>
      </c>
      <c r="AI421" s="16">
        <f t="shared" si="620"/>
        <v>0</v>
      </c>
      <c r="AJ421" s="16">
        <f t="shared" si="620"/>
        <v>0</v>
      </c>
      <c r="AK421" s="16">
        <f t="shared" si="620"/>
        <v>0</v>
      </c>
      <c r="AL421" s="16">
        <f t="shared" si="620"/>
        <v>0</v>
      </c>
      <c r="AM421" s="16">
        <f t="shared" si="620"/>
        <v>0</v>
      </c>
      <c r="AN421" s="16">
        <f t="shared" si="620"/>
        <v>0</v>
      </c>
      <c r="AO421" s="16">
        <f t="shared" si="620"/>
        <v>0</v>
      </c>
      <c r="AP421" s="10"/>
      <c r="AQ421" s="10"/>
      <c r="AR421" s="10"/>
      <c r="AS421" s="10" t="str">
        <f t="shared" ref="AS421" ca="1" si="624">IFERROR(__xludf.DUMMYFUNCTION("split(F386,"","",true,true)"),"HIMangel")</f>
        <v>HIMangel</v>
      </c>
      <c r="AT421" s="10"/>
      <c r="AU421" s="10"/>
      <c r="AV421" s="10"/>
      <c r="AW421" s="10"/>
      <c r="AX421" s="10"/>
      <c r="AY421" s="10"/>
      <c r="AZ421" s="10"/>
      <c r="BA421" s="10"/>
      <c r="BB421" s="10"/>
      <c r="BC421" s="10"/>
      <c r="BD421" s="10"/>
      <c r="BE421" s="10"/>
      <c r="BF421" s="10"/>
      <c r="BG421" s="10"/>
      <c r="BH421" s="10"/>
      <c r="BI421" s="10"/>
      <c r="BJ421" s="10"/>
      <c r="BK421" s="10"/>
      <c r="BM421" s="10"/>
    </row>
    <row r="422" spans="1:65" ht="12.75">
      <c r="A422" s="18">
        <v>43125</v>
      </c>
      <c r="B422" s="14" t="s">
        <v>974</v>
      </c>
      <c r="C422" s="19">
        <v>70000</v>
      </c>
      <c r="D422" s="19"/>
      <c r="E422" s="14" t="s">
        <v>45</v>
      </c>
      <c r="F422" s="14" t="s">
        <v>975</v>
      </c>
      <c r="G422" s="27" t="s">
        <v>976</v>
      </c>
      <c r="H422" s="14" t="str">
        <f t="array" ref="H422">IFERROR(INDEX([1]Companies!$G:$G,MATCH(B422,[1]Companies!$A:$A,0)),"")</f>
        <v>Mauritius</v>
      </c>
      <c r="I422" s="14" t="str">
        <f t="shared" si="596"/>
        <v>Mauritius</v>
      </c>
      <c r="J422" s="14" t="str">
        <f t="array" ref="J422">IFERROR(INDEX([1]Companies!$Y:$Y,MATCH(B422,[1]Companies!$A:$A,0)),"")</f>
        <v>Blockchain, Compliance, Identity Management, Information Technology</v>
      </c>
      <c r="K422" s="14" t="str">
        <f t="array" ref="K422">IFERROR(INDEX([1]Companies!$X:$X,MATCH(B422,[1]Companies!$A:$A,0)),"")</f>
        <v>Emerging Technologies</v>
      </c>
      <c r="L422" s="14" t="str">
        <f>VLOOKUP(B422,[1]Companies!$A$1:$C$5243,1,FALSE)</f>
        <v>IAME</v>
      </c>
      <c r="M422" s="15">
        <f t="shared" si="597"/>
        <v>0.9</v>
      </c>
      <c r="N422" s="10" t="str">
        <f t="shared" si="611"/>
        <v>43125IAME70000</v>
      </c>
      <c r="O422" s="14" t="str">
        <f t="shared" si="612"/>
        <v/>
      </c>
      <c r="P422" s="14">
        <f t="shared" si="613"/>
        <v>1</v>
      </c>
      <c r="Q422" s="14">
        <f t="array" ref="Q422">IFERROR(INDEX([1]Companies!$D:$D,MATCH(B422,[1]Companies!$A:$A,0)),"")</f>
        <v>2017</v>
      </c>
      <c r="R422" s="17">
        <f t="shared" si="614"/>
        <v>170000</v>
      </c>
      <c r="S422" s="14">
        <f>VLOOKUP(I422,[1]Lookups!$V$3:$Y$197,4,FALSE)</f>
        <v>0</v>
      </c>
      <c r="T422" s="14" t="str">
        <f>VLOOKUP(E422,[1]Lookups!$H$3:$I$71,2,FALSE)</f>
        <v>2. Seed</v>
      </c>
      <c r="U422" s="14" t="str">
        <f>VLOOKUP(K422,[1]Lookups!$B$3:$C$142,2,FALSE)</f>
        <v>Emerging Technologies</v>
      </c>
      <c r="V422" s="14">
        <f t="shared" si="396"/>
        <v>2018</v>
      </c>
      <c r="W422" s="14">
        <f t="shared" si="397"/>
        <v>1</v>
      </c>
      <c r="X422" s="14">
        <f>VLOOKUP(W422,[1]Lookups!$P$3:$S$15,2,FALSE)</f>
        <v>1</v>
      </c>
      <c r="Y422" s="16">
        <f>VLOOKUP(W422,[1]Lookups!$P$3:$U$15,3,FALSE)</f>
        <v>1</v>
      </c>
      <c r="Z422" s="16">
        <f t="shared" si="398"/>
        <v>1</v>
      </c>
      <c r="AA422" s="16" t="str">
        <f t="shared" ca="1" si="620"/>
        <v>HIMangel</v>
      </c>
      <c r="AB422" s="16">
        <f t="shared" si="620"/>
        <v>0</v>
      </c>
      <c r="AC422" s="16">
        <f t="shared" si="620"/>
        <v>0</v>
      </c>
      <c r="AD422" s="16">
        <f t="shared" si="620"/>
        <v>0</v>
      </c>
      <c r="AE422" s="16">
        <f t="shared" si="620"/>
        <v>0</v>
      </c>
      <c r="AF422" s="16">
        <f t="shared" si="620"/>
        <v>0</v>
      </c>
      <c r="AG422" s="16">
        <f t="shared" si="620"/>
        <v>0</v>
      </c>
      <c r="AH422" s="16">
        <f t="shared" si="620"/>
        <v>0</v>
      </c>
      <c r="AI422" s="16">
        <f t="shared" si="620"/>
        <v>0</v>
      </c>
      <c r="AJ422" s="16">
        <f t="shared" si="620"/>
        <v>0</v>
      </c>
      <c r="AK422" s="16">
        <f t="shared" si="620"/>
        <v>0</v>
      </c>
      <c r="AL422" s="16">
        <f t="shared" si="620"/>
        <v>0</v>
      </c>
      <c r="AM422" s="16">
        <f t="shared" si="620"/>
        <v>0</v>
      </c>
      <c r="AN422" s="16">
        <f t="shared" si="620"/>
        <v>0</v>
      </c>
      <c r="AO422" s="16">
        <f t="shared" si="620"/>
        <v>0</v>
      </c>
      <c r="AP422" s="10"/>
      <c r="AQ422" s="10"/>
      <c r="AR422" s="10"/>
      <c r="AS422" s="10" t="str">
        <f t="shared" ref="AS422" ca="1" si="625">IFERROR(__xludf.DUMMYFUNCTION("split(F386,"","",true,true)"),"HIMangel")</f>
        <v>HIMangel</v>
      </c>
      <c r="AT422" s="10"/>
      <c r="AU422" s="10"/>
      <c r="AV422" s="10"/>
      <c r="AW422" s="10"/>
      <c r="AX422" s="10"/>
      <c r="AY422" s="10"/>
      <c r="AZ422" s="10"/>
      <c r="BA422" s="10"/>
      <c r="BB422" s="10"/>
      <c r="BC422" s="10"/>
      <c r="BD422" s="10"/>
      <c r="BE422" s="10"/>
      <c r="BF422" s="10"/>
      <c r="BG422" s="10"/>
      <c r="BH422" s="10"/>
      <c r="BI422" s="10"/>
      <c r="BJ422" s="10"/>
      <c r="BK422" s="10"/>
      <c r="BM422" s="10"/>
    </row>
    <row r="423" spans="1:65" ht="12.75">
      <c r="A423" s="18">
        <v>43126</v>
      </c>
      <c r="B423" s="14" t="s">
        <v>977</v>
      </c>
      <c r="C423" s="19" t="s">
        <v>49</v>
      </c>
      <c r="D423" s="19"/>
      <c r="E423" s="14" t="s">
        <v>45</v>
      </c>
      <c r="F423" s="14" t="s">
        <v>978</v>
      </c>
      <c r="G423" s="27" t="s">
        <v>979</v>
      </c>
      <c r="H423" s="14" t="str">
        <f t="array" ref="H423">IFERROR(INDEX([1]Companies!$G:$G,MATCH(B423,[1]Companies!$A:$A,0)),"")</f>
        <v>South Africa</v>
      </c>
      <c r="I423" s="14" t="str">
        <f t="shared" si="596"/>
        <v>South Africa</v>
      </c>
      <c r="J423" s="14" t="str">
        <f t="array" ref="J423">IFERROR(INDEX([1]Companies!$Y:$Y,MATCH(B423,[1]Companies!$A:$A,0)),"")</f>
        <v>Stock Exchanges</v>
      </c>
      <c r="K423" s="14" t="str">
        <f t="array" ref="K423">IFERROR(INDEX([1]Companies!$X:$X,MATCH(B423,[1]Companies!$A:$A,0)),"")</f>
        <v>Financial Services</v>
      </c>
      <c r="L423" s="14" t="str">
        <f>VLOOKUP(B423,[1]Companies!$A$1:$C$5243,1,FALSE)</f>
        <v>ZAR X</v>
      </c>
      <c r="M423" s="15">
        <f t="shared" si="597"/>
        <v>0.9</v>
      </c>
      <c r="N423" s="10" t="str">
        <f t="shared" si="611"/>
        <v>43126ZAR XUndisclosed</v>
      </c>
      <c r="O423" s="14" t="str">
        <f t="shared" si="612"/>
        <v/>
      </c>
      <c r="P423" s="14">
        <f t="shared" si="613"/>
        <v>0</v>
      </c>
      <c r="Q423" s="14">
        <f t="array" ref="Q423">IFERROR(INDEX([1]Companies!$D:$D,MATCH(B423,[1]Companies!$A:$A,0)),"")</f>
        <v>2015</v>
      </c>
      <c r="R423" s="17">
        <f t="shared" si="614"/>
        <v>0</v>
      </c>
      <c r="S423" s="14">
        <f>VLOOKUP(I423,[1]Lookups!$V$3:$Y$197,4,FALSE)</f>
        <v>0</v>
      </c>
      <c r="T423" s="14" t="str">
        <f>VLOOKUP(E423,[1]Lookups!$H$3:$I$71,2,FALSE)</f>
        <v>2. Seed</v>
      </c>
      <c r="U423" s="14" t="str">
        <f>VLOOKUP(K423,[1]Lookups!$B$3:$C$142,2,FALSE)</f>
        <v>Financial Services</v>
      </c>
      <c r="V423" s="14">
        <f t="shared" si="396"/>
        <v>2018</v>
      </c>
      <c r="W423" s="14">
        <f t="shared" si="397"/>
        <v>1</v>
      </c>
      <c r="X423" s="14">
        <f>VLOOKUP(W423,[1]Lookups!$P$3:$S$15,2,FALSE)</f>
        <v>1</v>
      </c>
      <c r="Y423" s="16">
        <f>VLOOKUP(W423,[1]Lookups!$P$3:$U$15,3,FALSE)</f>
        <v>1</v>
      </c>
      <c r="Z423" s="16">
        <f t="shared" si="398"/>
        <v>1</v>
      </c>
      <c r="AA423" s="16" t="str">
        <f t="shared" ca="1" si="620"/>
        <v>HIMangel</v>
      </c>
      <c r="AB423" s="16">
        <f t="shared" si="620"/>
        <v>0</v>
      </c>
      <c r="AC423" s="16">
        <f t="shared" si="620"/>
        <v>0</v>
      </c>
      <c r="AD423" s="16">
        <f t="shared" si="620"/>
        <v>0</v>
      </c>
      <c r="AE423" s="16">
        <f t="shared" si="620"/>
        <v>0</v>
      </c>
      <c r="AF423" s="16">
        <f t="shared" si="620"/>
        <v>0</v>
      </c>
      <c r="AG423" s="16">
        <f t="shared" si="620"/>
        <v>0</v>
      </c>
      <c r="AH423" s="16">
        <f t="shared" si="620"/>
        <v>0</v>
      </c>
      <c r="AI423" s="16">
        <f t="shared" si="620"/>
        <v>0</v>
      </c>
      <c r="AJ423" s="16">
        <f t="shared" si="620"/>
        <v>0</v>
      </c>
      <c r="AK423" s="16">
        <f t="shared" si="620"/>
        <v>0</v>
      </c>
      <c r="AL423" s="16">
        <f t="shared" si="620"/>
        <v>0</v>
      </c>
      <c r="AM423" s="16">
        <f t="shared" si="620"/>
        <v>0</v>
      </c>
      <c r="AN423" s="16">
        <f t="shared" si="620"/>
        <v>0</v>
      </c>
      <c r="AO423" s="16">
        <f t="shared" si="620"/>
        <v>0</v>
      </c>
      <c r="AP423" s="10"/>
      <c r="AQ423" s="10"/>
      <c r="AR423" s="10"/>
      <c r="AS423" s="10" t="str">
        <f t="shared" ref="AS423" ca="1" si="626">IFERROR(__xludf.DUMMYFUNCTION("split(F386,"","",true,true)"),"HIMangel")</f>
        <v>HIMangel</v>
      </c>
      <c r="AT423" s="10"/>
      <c r="AU423" s="10"/>
      <c r="AV423" s="10"/>
      <c r="AW423" s="10"/>
      <c r="AX423" s="10"/>
      <c r="AY423" s="10"/>
      <c r="AZ423" s="10"/>
      <c r="BA423" s="10"/>
      <c r="BB423" s="10"/>
      <c r="BC423" s="10"/>
      <c r="BD423" s="10"/>
      <c r="BE423" s="10"/>
      <c r="BF423" s="10"/>
      <c r="BG423" s="10"/>
      <c r="BH423" s="10"/>
      <c r="BI423" s="10"/>
      <c r="BJ423" s="10"/>
      <c r="BK423" s="10"/>
      <c r="BM423" s="10"/>
    </row>
    <row r="424" spans="1:65" ht="12.75">
      <c r="A424" s="18">
        <v>43129</v>
      </c>
      <c r="B424" s="14" t="s">
        <v>980</v>
      </c>
      <c r="C424" s="19" t="s">
        <v>49</v>
      </c>
      <c r="D424" s="19"/>
      <c r="E424" s="14" t="s">
        <v>45</v>
      </c>
      <c r="F424" s="14" t="s">
        <v>981</v>
      </c>
      <c r="G424" s="27" t="s">
        <v>982</v>
      </c>
      <c r="H424" s="14" t="str">
        <f t="array" ref="H424">IFERROR(INDEX([1]Companies!$G:$G,MATCH(B424,[1]Companies!$A:$A,0)),"")</f>
        <v>South Africa</v>
      </c>
      <c r="I424" s="14" t="str">
        <f t="shared" si="596"/>
        <v>South Africa</v>
      </c>
      <c r="J424" s="14" t="str">
        <f t="array" ref="J424">IFERROR(INDEX([1]Companies!$Y:$Y,MATCH(B424,[1]Companies!$A:$A,0)),"")</f>
        <v>Bitcoin, Cryptocurrency, Payments</v>
      </c>
      <c r="K424" s="14" t="str">
        <f t="array" ref="K424">IFERROR(INDEX([1]Companies!$X:$X,MATCH(B424,[1]Companies!$A:$A,0)),"")</f>
        <v>Financial Services</v>
      </c>
      <c r="L424" s="14" t="str">
        <f>VLOOKUP(B424,[1]Companies!$A$1:$C$5243,1,FALSE)</f>
        <v>Centbee</v>
      </c>
      <c r="M424" s="15">
        <f t="shared" si="597"/>
        <v>0.9</v>
      </c>
      <c r="N424" s="10" t="str">
        <f t="shared" si="611"/>
        <v>43129CentbeeUndisclosed</v>
      </c>
      <c r="O424" s="14" t="str">
        <f t="shared" si="612"/>
        <v/>
      </c>
      <c r="P424" s="14">
        <f t="shared" si="613"/>
        <v>0</v>
      </c>
      <c r="Q424" s="14">
        <f t="array" ref="Q424">IFERROR(INDEX([1]Companies!$D:$D,MATCH(B424,[1]Companies!$A:$A,0)),"")</f>
        <v>2017</v>
      </c>
      <c r="R424" s="17">
        <f t="shared" si="614"/>
        <v>1300000</v>
      </c>
      <c r="S424" s="14">
        <f>VLOOKUP(I424,[1]Lookups!$V$3:$Y$197,4,FALSE)</f>
        <v>0</v>
      </c>
      <c r="T424" s="14" t="str">
        <f>VLOOKUP(E424,[1]Lookups!$H$3:$I$71,2,FALSE)</f>
        <v>2. Seed</v>
      </c>
      <c r="U424" s="14" t="str">
        <f>VLOOKUP(K424,[1]Lookups!$B$3:$C$142,2,FALSE)</f>
        <v>Financial Services</v>
      </c>
      <c r="V424" s="14">
        <f t="shared" si="396"/>
        <v>2018</v>
      </c>
      <c r="W424" s="14">
        <f t="shared" si="397"/>
        <v>1</v>
      </c>
      <c r="X424" s="14">
        <f>VLOOKUP(W424,[1]Lookups!$P$3:$S$15,2,FALSE)</f>
        <v>1</v>
      </c>
      <c r="Y424" s="16">
        <f>VLOOKUP(W424,[1]Lookups!$P$3:$U$15,3,FALSE)</f>
        <v>1</v>
      </c>
      <c r="Z424" s="16">
        <f t="shared" si="398"/>
        <v>1</v>
      </c>
      <c r="AA424" s="16" t="str">
        <f t="shared" ca="1" si="620"/>
        <v>HIMangel</v>
      </c>
      <c r="AB424" s="16">
        <f t="shared" si="620"/>
        <v>0</v>
      </c>
      <c r="AC424" s="16">
        <f t="shared" si="620"/>
        <v>0</v>
      </c>
      <c r="AD424" s="16">
        <f t="shared" si="620"/>
        <v>0</v>
      </c>
      <c r="AE424" s="16">
        <f t="shared" si="620"/>
        <v>0</v>
      </c>
      <c r="AF424" s="16">
        <f t="shared" si="620"/>
        <v>0</v>
      </c>
      <c r="AG424" s="16">
        <f t="shared" si="620"/>
        <v>0</v>
      </c>
      <c r="AH424" s="16">
        <f t="shared" si="620"/>
        <v>0</v>
      </c>
      <c r="AI424" s="16">
        <f t="shared" si="620"/>
        <v>0</v>
      </c>
      <c r="AJ424" s="16">
        <f t="shared" si="620"/>
        <v>0</v>
      </c>
      <c r="AK424" s="16">
        <f t="shared" si="620"/>
        <v>0</v>
      </c>
      <c r="AL424" s="16">
        <f t="shared" si="620"/>
        <v>0</v>
      </c>
      <c r="AM424" s="16">
        <f t="shared" si="620"/>
        <v>0</v>
      </c>
      <c r="AN424" s="16">
        <f t="shared" si="620"/>
        <v>0</v>
      </c>
      <c r="AO424" s="16">
        <f t="shared" si="620"/>
        <v>0</v>
      </c>
      <c r="AP424" s="10"/>
      <c r="AQ424" s="10"/>
      <c r="AR424" s="10"/>
      <c r="AS424" s="10" t="str">
        <f t="shared" ref="AS424" ca="1" si="627">IFERROR(__xludf.DUMMYFUNCTION("split(F386,"","",true,true)"),"HIMangel")</f>
        <v>HIMangel</v>
      </c>
      <c r="AT424" s="10"/>
      <c r="AU424" s="10"/>
      <c r="AV424" s="10"/>
      <c r="AW424" s="10"/>
      <c r="AX424" s="10"/>
      <c r="AY424" s="10"/>
      <c r="AZ424" s="10"/>
      <c r="BA424" s="10"/>
      <c r="BB424" s="10"/>
      <c r="BC424" s="10"/>
      <c r="BD424" s="10"/>
      <c r="BE424" s="10"/>
      <c r="BF424" s="10"/>
      <c r="BG424" s="10"/>
      <c r="BH424" s="10"/>
      <c r="BI424" s="10"/>
      <c r="BJ424" s="10"/>
      <c r="BK424" s="10"/>
      <c r="BM424" s="10"/>
    </row>
    <row r="425" spans="1:65" ht="12.75">
      <c r="A425" s="18">
        <v>43130</v>
      </c>
      <c r="B425" s="14" t="s">
        <v>983</v>
      </c>
      <c r="C425" s="19" t="s">
        <v>49</v>
      </c>
      <c r="D425" s="19"/>
      <c r="E425" s="14" t="s">
        <v>69</v>
      </c>
      <c r="F425" s="14" t="s">
        <v>984</v>
      </c>
      <c r="G425" s="27" t="s">
        <v>985</v>
      </c>
      <c r="H425" s="14" t="str">
        <f t="array" ref="H425">IFERROR(INDEX([1]Companies!$G:$G,MATCH(B425,[1]Companies!$A:$A,0)),"")</f>
        <v>South Africa</v>
      </c>
      <c r="I425" s="14" t="str">
        <f t="shared" si="596"/>
        <v>South Africa</v>
      </c>
      <c r="J425" s="14" t="str">
        <f t="array" ref="J425">IFERROR(INDEX([1]Companies!$Y:$Y,MATCH(B425,[1]Companies!$A:$A,0)),"")</f>
        <v>Business Information Systems, Information Technology, Loyalty Programs, Mobile, Mobile Apps, Software</v>
      </c>
      <c r="K425" s="14" t="str">
        <f t="array" ref="K425">IFERROR(INDEX([1]Companies!$X:$X,MATCH(B425,[1]Companies!$A:$A,0)),"")</f>
        <v>Information Technology</v>
      </c>
      <c r="L425" s="14" t="str">
        <f>VLOOKUP(B425,[1]Companies!$A$1:$C$5243,1,FALSE)</f>
        <v>wiGroup</v>
      </c>
      <c r="M425" s="15">
        <f t="shared" si="597"/>
        <v>0.9</v>
      </c>
      <c r="N425" s="10" t="str">
        <f t="shared" si="611"/>
        <v>43130wiGroupUndisclosed</v>
      </c>
      <c r="O425" s="14" t="str">
        <f t="shared" si="612"/>
        <v/>
      </c>
      <c r="P425" s="14">
        <f t="shared" si="613"/>
        <v>0</v>
      </c>
      <c r="Q425" s="14">
        <f t="array" ref="Q425">IFERROR(INDEX([1]Companies!$D:$D,MATCH(B425,[1]Companies!$A:$A,0)),"")</f>
        <v>2007</v>
      </c>
      <c r="R425" s="17">
        <f t="shared" si="614"/>
        <v>0</v>
      </c>
      <c r="S425" s="14">
        <f>VLOOKUP(I425,[1]Lookups!$V$3:$Y$197,4,FALSE)</f>
        <v>0</v>
      </c>
      <c r="T425" s="14" t="str">
        <f>VLOOKUP(E425,[1]Lookups!$H$3:$I$71,2,FALSE)</f>
        <v>3. Early Venture</v>
      </c>
      <c r="U425" s="14" t="str">
        <f>VLOOKUP(K425,[1]Lookups!$B$3:$C$142,2,FALSE)</f>
        <v>Other Technologies &amp; Information Technology</v>
      </c>
      <c r="V425" s="14">
        <f t="shared" si="396"/>
        <v>2018</v>
      </c>
      <c r="W425" s="14">
        <f t="shared" si="397"/>
        <v>1</v>
      </c>
      <c r="X425" s="14">
        <f>VLOOKUP(W425,[1]Lookups!$P$3:$S$15,2,FALSE)</f>
        <v>1</v>
      </c>
      <c r="Y425" s="16">
        <f>VLOOKUP(W425,[1]Lookups!$P$3:$U$15,3,FALSE)</f>
        <v>1</v>
      </c>
      <c r="Z425" s="16">
        <f t="shared" si="398"/>
        <v>2</v>
      </c>
      <c r="AA425" s="16" t="str">
        <f t="shared" ca="1" si="620"/>
        <v>HIMangel</v>
      </c>
      <c r="AB425" s="16" t="str">
        <f t="shared" ca="1" si="620"/>
        <v xml:space="preserve"> Smollan</v>
      </c>
      <c r="AC425" s="16">
        <f t="shared" si="620"/>
        <v>0</v>
      </c>
      <c r="AD425" s="16">
        <f t="shared" si="620"/>
        <v>0</v>
      </c>
      <c r="AE425" s="16">
        <f t="shared" si="620"/>
        <v>0</v>
      </c>
      <c r="AF425" s="16">
        <f t="shared" si="620"/>
        <v>0</v>
      </c>
      <c r="AG425" s="16">
        <f t="shared" si="620"/>
        <v>0</v>
      </c>
      <c r="AH425" s="16">
        <f t="shared" si="620"/>
        <v>0</v>
      </c>
      <c r="AI425" s="16">
        <f t="shared" si="620"/>
        <v>0</v>
      </c>
      <c r="AJ425" s="16">
        <f t="shared" si="620"/>
        <v>0</v>
      </c>
      <c r="AK425" s="16">
        <f t="shared" si="620"/>
        <v>0</v>
      </c>
      <c r="AL425" s="16">
        <f t="shared" si="620"/>
        <v>0</v>
      </c>
      <c r="AM425" s="16">
        <f t="shared" si="620"/>
        <v>0</v>
      </c>
      <c r="AN425" s="16">
        <f t="shared" si="620"/>
        <v>0</v>
      </c>
      <c r="AO425" s="16">
        <f t="shared" si="620"/>
        <v>0</v>
      </c>
      <c r="AP425" s="10"/>
      <c r="AQ425" s="10"/>
      <c r="AR425" s="10"/>
      <c r="AS425" s="10" t="str">
        <f t="shared" ref="AS425" ca="1" si="628">IFERROR(__xludf.DUMMYFUNCTION("split(F386,"","",true,true)"),"HIMangel")</f>
        <v>HIMangel</v>
      </c>
      <c r="AT425" s="10" t="str">
        <f ca="1">IFERROR(__xludf.DUMMYFUNCTION("""COMPUTED_VALUE""")," Smollan")</f>
        <v xml:space="preserve"> Smollan</v>
      </c>
      <c r="AU425" s="10"/>
      <c r="AV425" s="10"/>
      <c r="AW425" s="10"/>
      <c r="AX425" s="10"/>
      <c r="AY425" s="10"/>
      <c r="AZ425" s="10"/>
      <c r="BA425" s="10"/>
      <c r="BB425" s="10"/>
      <c r="BC425" s="10"/>
      <c r="BD425" s="10"/>
      <c r="BE425" s="10"/>
      <c r="BF425" s="10"/>
      <c r="BG425" s="10"/>
      <c r="BH425" s="10"/>
      <c r="BI425" s="10"/>
      <c r="BJ425" s="10"/>
      <c r="BK425" s="10"/>
      <c r="BM425" s="10"/>
    </row>
    <row r="426" spans="1:65" ht="12.75">
      <c r="A426" s="18">
        <v>43131</v>
      </c>
      <c r="B426" s="14" t="s">
        <v>986</v>
      </c>
      <c r="C426" s="19">
        <v>2000000</v>
      </c>
      <c r="D426" s="19"/>
      <c r="E426" s="14" t="s">
        <v>69</v>
      </c>
      <c r="F426" s="14" t="s">
        <v>49</v>
      </c>
      <c r="G426" s="27" t="s">
        <v>987</v>
      </c>
      <c r="H426" s="14" t="str">
        <f t="array" ref="H426">IFERROR(INDEX([1]Companies!$G:$G,MATCH(B426,[1]Companies!$A:$A,0)),"")</f>
        <v>Kenya</v>
      </c>
      <c r="I426" s="14" t="str">
        <f t="shared" si="596"/>
        <v>Kenya</v>
      </c>
      <c r="J426" s="14" t="str">
        <f t="array" ref="J426">IFERROR(INDEX([1]Companies!$Y:$Y,MATCH(B426,[1]Companies!$A:$A,0)),"")</f>
        <v>Apps, Information Technology, Internet, Transportation, Ride Hailing</v>
      </c>
      <c r="K426" s="14" t="str">
        <f t="array" ref="K426">IFERROR(INDEX([1]Companies!$X:$X,MATCH(B426,[1]Companies!$A:$A,0)),"")</f>
        <v>Transport &amp; Logistics</v>
      </c>
      <c r="L426" s="14" t="str">
        <f>VLOOKUP(B426,[1]Companies!$A$1:$C$5243,1,FALSE)</f>
        <v>Mondo Ride</v>
      </c>
      <c r="M426" s="15">
        <f t="shared" si="597"/>
        <v>0.9</v>
      </c>
      <c r="N426" s="10" t="str">
        <f t="shared" si="611"/>
        <v>43131Mondo Ride2000000</v>
      </c>
      <c r="O426" s="14" t="str">
        <f t="shared" si="612"/>
        <v/>
      </c>
      <c r="P426" s="14">
        <f t="shared" si="613"/>
        <v>1</v>
      </c>
      <c r="Q426" s="14">
        <f t="array" ref="Q426">IFERROR(INDEX([1]Companies!$D:$D,MATCH(B426,[1]Companies!$A:$A,0)),"")</f>
        <v>2013</v>
      </c>
      <c r="R426" s="17">
        <f t="shared" si="614"/>
        <v>2000000</v>
      </c>
      <c r="S426" s="14">
        <f>VLOOKUP(I426,[1]Lookups!$V$3:$Y$197,4,FALSE)</f>
        <v>0</v>
      </c>
      <c r="T426" s="14" t="str">
        <f>VLOOKUP(E426,[1]Lookups!$H$3:$I$71,2,FALSE)</f>
        <v>3. Early Venture</v>
      </c>
      <c r="U426" s="14" t="str">
        <f>VLOOKUP(K426,[1]Lookups!$B$3:$C$142,2,FALSE)</f>
        <v>Transport &amp; Logistics</v>
      </c>
      <c r="V426" s="14">
        <f t="shared" si="396"/>
        <v>2018</v>
      </c>
      <c r="W426" s="14">
        <f t="shared" si="397"/>
        <v>1</v>
      </c>
      <c r="X426" s="14">
        <f>VLOOKUP(W426,[1]Lookups!$P$3:$S$15,2,FALSE)</f>
        <v>1</v>
      </c>
      <c r="Y426" s="16">
        <f>VLOOKUP(W426,[1]Lookups!$P$3:$U$15,3,FALSE)</f>
        <v>1</v>
      </c>
      <c r="Z426" s="16">
        <f t="shared" si="398"/>
        <v>1</v>
      </c>
      <c r="AA426" s="16" t="str">
        <f t="shared" ca="1" si="620"/>
        <v>HIMangel</v>
      </c>
      <c r="AB426" s="16">
        <f t="shared" si="620"/>
        <v>0</v>
      </c>
      <c r="AC426" s="16">
        <f t="shared" si="620"/>
        <v>0</v>
      </c>
      <c r="AD426" s="16">
        <f t="shared" si="620"/>
        <v>0</v>
      </c>
      <c r="AE426" s="16">
        <f t="shared" si="620"/>
        <v>0</v>
      </c>
      <c r="AF426" s="16">
        <f t="shared" si="620"/>
        <v>0</v>
      </c>
      <c r="AG426" s="16">
        <f t="shared" si="620"/>
        <v>0</v>
      </c>
      <c r="AH426" s="16">
        <f t="shared" si="620"/>
        <v>0</v>
      </c>
      <c r="AI426" s="16">
        <f t="shared" si="620"/>
        <v>0</v>
      </c>
      <c r="AJ426" s="16">
        <f t="shared" si="620"/>
        <v>0</v>
      </c>
      <c r="AK426" s="16">
        <f t="shared" si="620"/>
        <v>0</v>
      </c>
      <c r="AL426" s="16">
        <f t="shared" si="620"/>
        <v>0</v>
      </c>
      <c r="AM426" s="16">
        <f t="shared" si="620"/>
        <v>0</v>
      </c>
      <c r="AN426" s="16">
        <f t="shared" si="620"/>
        <v>0</v>
      </c>
      <c r="AO426" s="16">
        <f t="shared" si="620"/>
        <v>0</v>
      </c>
      <c r="AP426" s="10"/>
      <c r="AQ426" s="10"/>
      <c r="AR426" s="10"/>
      <c r="AS426" s="10" t="str">
        <f t="shared" ref="AS426" ca="1" si="629">IFERROR(__xludf.DUMMYFUNCTION("split(F386,"","",true,true)"),"HIMangel")</f>
        <v>HIMangel</v>
      </c>
      <c r="AT426" s="10"/>
      <c r="AU426" s="10"/>
      <c r="AV426" s="10"/>
      <c r="AW426" s="10"/>
      <c r="AX426" s="10"/>
      <c r="AY426" s="10"/>
      <c r="AZ426" s="10"/>
      <c r="BA426" s="10"/>
      <c r="BB426" s="10"/>
      <c r="BC426" s="10"/>
      <c r="BD426" s="10"/>
      <c r="BE426" s="10"/>
      <c r="BF426" s="10"/>
      <c r="BG426" s="10"/>
      <c r="BH426" s="10"/>
      <c r="BI426" s="10"/>
      <c r="BJ426" s="10"/>
      <c r="BK426" s="10"/>
      <c r="BM426" s="10"/>
    </row>
    <row r="427" spans="1:65" ht="12.75">
      <c r="A427" s="18">
        <v>43132</v>
      </c>
      <c r="B427" s="14" t="s">
        <v>247</v>
      </c>
      <c r="C427" s="19">
        <v>7000000</v>
      </c>
      <c r="D427" s="19"/>
      <c r="E427" s="14" t="s">
        <v>112</v>
      </c>
      <c r="F427" s="14" t="s">
        <v>988</v>
      </c>
      <c r="G427" s="27" t="s">
        <v>989</v>
      </c>
      <c r="H427" s="14" t="str">
        <f t="array" ref="H427">IFERROR(INDEX([1]Companies!$G:$G,MATCH(B427,[1]Companies!$A:$A,0)),"")</f>
        <v>Rwanda</v>
      </c>
      <c r="I427" s="14" t="str">
        <f t="shared" si="596"/>
        <v>Rwanda</v>
      </c>
      <c r="J427" s="14" t="str">
        <f t="array" ref="J427">IFERROR(INDEX([1]Companies!$Y:$Y,MATCH(B427,[1]Companies!$A:$A,0)),"")</f>
        <v>Health Care, Social Entrepreneurship, Water</v>
      </c>
      <c r="K427" s="14" t="str">
        <f t="array" ref="K427">IFERROR(INDEX([1]Companies!$X:$X,MATCH(B427,[1]Companies!$A:$A,0)),"")</f>
        <v>Utilities and Telecommunication Services</v>
      </c>
      <c r="L427" s="14" t="str">
        <f>VLOOKUP(B427,[1]Companies!$A$1:$C$5243,1,FALSE)</f>
        <v>Jibu</v>
      </c>
      <c r="M427" s="15">
        <f t="shared" si="597"/>
        <v>0.9</v>
      </c>
      <c r="N427" s="10" t="str">
        <f t="shared" si="611"/>
        <v>43132Jibu7000000</v>
      </c>
      <c r="O427" s="14" t="str">
        <f t="shared" si="612"/>
        <v/>
      </c>
      <c r="P427" s="14">
        <f t="shared" si="613"/>
        <v>1</v>
      </c>
      <c r="Q427" s="14">
        <f t="array" ref="Q427">IFERROR(INDEX([1]Companies!$D:$D,MATCH(B427,[1]Companies!$A:$A,0)),"")</f>
        <v>2012</v>
      </c>
      <c r="R427" s="17">
        <f t="shared" si="614"/>
        <v>8100000</v>
      </c>
      <c r="S427" s="14">
        <f>VLOOKUP(I427,[1]Lookups!$V$3:$Y$197,4,FALSE)</f>
        <v>0</v>
      </c>
      <c r="T427" s="14" t="str">
        <f>VLOOKUP(E427,[1]Lookups!$H$3:$I$71,2,FALSE)</f>
        <v>3. Early Venture</v>
      </c>
      <c r="U427" s="14" t="str">
        <f>VLOOKUP(K427,[1]Lookups!$B$3:$C$142,2,FALSE)</f>
        <v>Other Technologies &amp; Information Technology</v>
      </c>
      <c r="V427" s="14">
        <f t="shared" si="396"/>
        <v>2018</v>
      </c>
      <c r="W427" s="14">
        <f t="shared" si="397"/>
        <v>2</v>
      </c>
      <c r="X427" s="14">
        <f>VLOOKUP(W427,[1]Lookups!$P$3:$S$15,2,FALSE)</f>
        <v>1</v>
      </c>
      <c r="Y427" s="16">
        <f>VLOOKUP(W427,[1]Lookups!$P$3:$U$15,3,FALSE)</f>
        <v>1</v>
      </c>
      <c r="Z427" s="16">
        <f t="shared" si="398"/>
        <v>7</v>
      </c>
      <c r="AA427" s="16" t="str">
        <f t="shared" ca="1" si="620"/>
        <v>HIMangel</v>
      </c>
      <c r="AB427" s="16" t="str">
        <f t="shared" ca="1" si="620"/>
        <v xml:space="preserve"> The Danone Communities Mutual Fund</v>
      </c>
      <c r="AC427" s="16" t="str">
        <f t="shared" ca="1" si="620"/>
        <v xml:space="preserve"> Stone Family Foundation</v>
      </c>
      <c r="AD427" s="16" t="str">
        <f t="shared" ca="1" si="620"/>
        <v xml:space="preserve"> Segal Family Foundation</v>
      </c>
      <c r="AE427" s="16" t="str">
        <f t="shared" ca="1" si="620"/>
        <v xml:space="preserve"> NRD Capital Management</v>
      </c>
      <c r="AF427" s="16" t="str">
        <f t="shared" ca="1" si="620"/>
        <v xml:space="preserve"> Maclellan Foundation</v>
      </c>
      <c r="AG427" s="16" t="str">
        <f t="shared" ca="1" si="620"/>
        <v xml:space="preserve"> Conrad N. Hilton Foundation</v>
      </c>
      <c r="AH427" s="16">
        <f t="shared" si="620"/>
        <v>0</v>
      </c>
      <c r="AI427" s="16">
        <f t="shared" si="620"/>
        <v>0</v>
      </c>
      <c r="AJ427" s="16">
        <f t="shared" si="620"/>
        <v>0</v>
      </c>
      <c r="AK427" s="16">
        <f t="shared" si="620"/>
        <v>0</v>
      </c>
      <c r="AL427" s="16">
        <f t="shared" si="620"/>
        <v>0</v>
      </c>
      <c r="AM427" s="16">
        <f t="shared" si="620"/>
        <v>0</v>
      </c>
      <c r="AN427" s="16">
        <f t="shared" si="620"/>
        <v>0</v>
      </c>
      <c r="AO427" s="16">
        <f t="shared" si="620"/>
        <v>0</v>
      </c>
      <c r="AP427" s="10"/>
      <c r="AQ427" s="10"/>
      <c r="AR427" s="10"/>
      <c r="AS427" s="10" t="str">
        <f t="shared" ref="AS427" ca="1" si="630">IFERROR(__xludf.DUMMYFUNCTION("split(F386,"","",true,true)"),"HIMangel")</f>
        <v>HIMangel</v>
      </c>
      <c r="AT427" s="10" t="str">
        <f ca="1">IFERROR(__xludf.DUMMYFUNCTION("""COMPUTED_VALUE""")," The Danone Communities Mutual Fund")</f>
        <v xml:space="preserve"> The Danone Communities Mutual Fund</v>
      </c>
      <c r="AU427" s="10" t="str">
        <f ca="1">IFERROR(__xludf.DUMMYFUNCTION("""COMPUTED_VALUE""")," Stone Family Foundation")</f>
        <v xml:space="preserve"> Stone Family Foundation</v>
      </c>
      <c r="AV427" s="10" t="str">
        <f ca="1">IFERROR(__xludf.DUMMYFUNCTION("""COMPUTED_VALUE""")," Segal Family Foundation")</f>
        <v xml:space="preserve"> Segal Family Foundation</v>
      </c>
      <c r="AW427" s="10" t="str">
        <f ca="1">IFERROR(__xludf.DUMMYFUNCTION("""COMPUTED_VALUE""")," NRD Capital Management")</f>
        <v xml:space="preserve"> NRD Capital Management</v>
      </c>
      <c r="AX427" s="10" t="str">
        <f ca="1">IFERROR(__xludf.DUMMYFUNCTION("""COMPUTED_VALUE""")," Maclellan Foundation")</f>
        <v xml:space="preserve"> Maclellan Foundation</v>
      </c>
      <c r="AY427" s="10" t="str">
        <f ca="1">IFERROR(__xludf.DUMMYFUNCTION("""COMPUTED_VALUE""")," Conrad N. Hilton Foundation")</f>
        <v xml:space="preserve"> Conrad N. Hilton Foundation</v>
      </c>
      <c r="AZ427" s="10"/>
      <c r="BA427" s="10"/>
      <c r="BB427" s="10"/>
      <c r="BC427" s="10"/>
      <c r="BD427" s="10"/>
      <c r="BE427" s="10"/>
      <c r="BF427" s="10"/>
      <c r="BG427" s="10"/>
      <c r="BH427" s="10"/>
      <c r="BI427" s="10"/>
      <c r="BJ427" s="10"/>
      <c r="BK427" s="10"/>
      <c r="BM427" s="10"/>
    </row>
    <row r="428" spans="1:65" ht="12.75">
      <c r="A428" s="9">
        <v>43132</v>
      </c>
      <c r="B428" s="10" t="s">
        <v>480</v>
      </c>
      <c r="C428" s="11" t="s">
        <v>49</v>
      </c>
      <c r="D428" s="12"/>
      <c r="E428" s="14" t="s">
        <v>45</v>
      </c>
      <c r="F428" s="13" t="s">
        <v>990</v>
      </c>
      <c r="G428" s="13" t="s">
        <v>991</v>
      </c>
      <c r="H428" s="14" t="str">
        <f t="array" ref="H428">IFERROR(INDEX([1]Companies!$G:$G,MATCH(B428,[1]Companies!$A:$A,0)),"")</f>
        <v>Kenya</v>
      </c>
      <c r="I428" s="14" t="str">
        <f t="shared" si="596"/>
        <v>Kenya</v>
      </c>
      <c r="J428" s="14" t="str">
        <f t="array" ref="J428">IFERROR(INDEX([1]Companies!$Y:$Y,MATCH(B428,[1]Companies!$A:$A,0)),"")</f>
        <v>Internet, Marketplace, Mobile Payments, Trading Platform</v>
      </c>
      <c r="K428" s="14" t="str">
        <f t="array" ref="K428">IFERROR(INDEX([1]Companies!$X:$X,MATCH(B428,[1]Companies!$A:$A,0)),"")</f>
        <v>E-Commerce &amp; Retail</v>
      </c>
      <c r="L428" s="14" t="str">
        <f>VLOOKUP(B428,[1]Companies!$A$1:$C$5243,1,FALSE)</f>
        <v>Sky.Garden</v>
      </c>
      <c r="M428" s="15">
        <f t="shared" si="597"/>
        <v>0.9</v>
      </c>
      <c r="N428" s="10" t="str">
        <f t="shared" si="611"/>
        <v>43132Sky.GardenUndisclosed</v>
      </c>
      <c r="O428" s="14" t="str">
        <f t="shared" si="612"/>
        <v/>
      </c>
      <c r="P428" s="14">
        <f t="shared" si="613"/>
        <v>0</v>
      </c>
      <c r="Q428" s="14">
        <f t="array" ref="Q428">IFERROR(INDEX([1]Companies!$D:$D,MATCH(B428,[1]Companies!$A:$A,0)),"")</f>
        <v>2015</v>
      </c>
      <c r="R428" s="17">
        <f t="shared" si="614"/>
        <v>1724700</v>
      </c>
      <c r="S428" s="14">
        <f>VLOOKUP(I428,[1]Lookups!$V$3:$Y$197,4,FALSE)</f>
        <v>0</v>
      </c>
      <c r="T428" s="14" t="str">
        <f>VLOOKUP(E428,[1]Lookups!$H$3:$I$71,2,FALSE)</f>
        <v>2. Seed</v>
      </c>
      <c r="U428" s="14" t="str">
        <f>VLOOKUP(K428,[1]Lookups!$B$3:$C$142,2,FALSE)</f>
        <v>E-commerce &amp; Retail</v>
      </c>
      <c r="V428" s="14">
        <f t="shared" si="396"/>
        <v>2018</v>
      </c>
      <c r="W428" s="14">
        <f t="shared" si="397"/>
        <v>2</v>
      </c>
      <c r="X428" s="14">
        <f>VLOOKUP(W428,[1]Lookups!$P$3:$S$15,2,FALSE)</f>
        <v>1</v>
      </c>
      <c r="Y428" s="16">
        <f>VLOOKUP(W428,[1]Lookups!$P$3:$U$15,3,FALSE)</f>
        <v>1</v>
      </c>
      <c r="Z428" s="16">
        <f t="shared" si="398"/>
        <v>1</v>
      </c>
      <c r="AA428" s="26" t="str">
        <f t="shared" ca="1" si="620"/>
        <v>HIMangel</v>
      </c>
      <c r="AB428" s="16">
        <f t="shared" si="620"/>
        <v>0</v>
      </c>
      <c r="AC428" s="16">
        <f t="shared" si="620"/>
        <v>0</v>
      </c>
      <c r="AD428" s="16">
        <f t="shared" si="620"/>
        <v>0</v>
      </c>
      <c r="AE428" s="16">
        <f t="shared" si="620"/>
        <v>0</v>
      </c>
      <c r="AF428" s="16">
        <f t="shared" si="620"/>
        <v>0</v>
      </c>
      <c r="AG428" s="16">
        <f t="shared" si="620"/>
        <v>0</v>
      </c>
      <c r="AH428" s="16">
        <f t="shared" si="620"/>
        <v>0</v>
      </c>
      <c r="AI428" s="16">
        <f t="shared" si="620"/>
        <v>0</v>
      </c>
      <c r="AJ428" s="16">
        <f t="shared" si="620"/>
        <v>0</v>
      </c>
      <c r="AK428" s="16">
        <f t="shared" si="620"/>
        <v>0</v>
      </c>
      <c r="AL428" s="16">
        <f t="shared" si="620"/>
        <v>0</v>
      </c>
      <c r="AM428" s="16">
        <f t="shared" si="620"/>
        <v>0</v>
      </c>
      <c r="AN428" s="16">
        <f t="shared" si="620"/>
        <v>0</v>
      </c>
      <c r="AO428" s="16">
        <f t="shared" si="620"/>
        <v>0</v>
      </c>
      <c r="AP428" s="10"/>
      <c r="AQ428" s="10"/>
      <c r="AR428" s="10"/>
      <c r="AS428" s="13" t="str">
        <f t="shared" ref="AS428" ca="1" si="631">IFERROR(__xludf.DUMMYFUNCTION("split(F386,"","",true,true)"),"HIMangel")</f>
        <v>HIMangel</v>
      </c>
      <c r="AT428" s="10"/>
      <c r="AU428" s="10"/>
      <c r="AV428" s="10"/>
      <c r="AW428" s="10"/>
      <c r="AX428" s="10"/>
      <c r="AY428" s="10"/>
      <c r="AZ428" s="10"/>
      <c r="BA428" s="10"/>
      <c r="BB428" s="10"/>
      <c r="BC428" s="10"/>
      <c r="BD428" s="10"/>
      <c r="BE428" s="10"/>
      <c r="BF428" s="10"/>
      <c r="BG428" s="10"/>
      <c r="BH428" s="10"/>
      <c r="BI428" s="10"/>
      <c r="BJ428" s="10"/>
      <c r="BK428" s="10"/>
      <c r="BM428" s="10"/>
    </row>
    <row r="429" spans="1:65" ht="12.75">
      <c r="A429" s="18">
        <v>43132</v>
      </c>
      <c r="B429" s="14" t="s">
        <v>992</v>
      </c>
      <c r="C429" s="19" t="s">
        <v>49</v>
      </c>
      <c r="D429" s="22"/>
      <c r="E429" s="14" t="s">
        <v>69</v>
      </c>
      <c r="F429" s="14" t="s">
        <v>993</v>
      </c>
      <c r="G429" s="21" t="s">
        <v>994</v>
      </c>
      <c r="H429" s="14" t="str">
        <f t="array" ref="H429">IFERROR(INDEX([1]Companies!$G:$G,MATCH(B429,[1]Companies!$A:$A,0)),"")</f>
        <v>South Africa</v>
      </c>
      <c r="I429" s="14" t="str">
        <f t="shared" si="596"/>
        <v>South Africa</v>
      </c>
      <c r="J429" s="14" t="str">
        <f t="array" ref="J429">IFERROR(INDEX([1]Companies!$Y:$Y,MATCH(B429,[1]Companies!$A:$A,0)),"")</f>
        <v>Food &amp; Beverages</v>
      </c>
      <c r="K429" s="14" t="str">
        <f t="array" ref="K429">IFERROR(INDEX([1]Companies!$X:$X,MATCH(B429,[1]Companies!$A:$A,0)),"")</f>
        <v>E-Commerce &amp; Retail</v>
      </c>
      <c r="L429" s="14" t="str">
        <f>VLOOKUP(B429,[1]Companies!$A$1:$C$5243,1,FALSE)</f>
        <v>Pura Soda</v>
      </c>
      <c r="M429" s="15">
        <f t="shared" si="597"/>
        <v>0.9</v>
      </c>
      <c r="N429" s="10" t="str">
        <f t="shared" si="611"/>
        <v>43132Pura SodaUndisclosed</v>
      </c>
      <c r="O429" s="14" t="str">
        <f t="shared" si="612"/>
        <v/>
      </c>
      <c r="P429" s="14">
        <f t="shared" si="613"/>
        <v>0</v>
      </c>
      <c r="Q429" s="14">
        <f t="array" ref="Q429">IFERROR(INDEX([1]Companies!$D:$D,MATCH(B429,[1]Companies!$A:$A,0)),"")</f>
        <v>2017</v>
      </c>
      <c r="R429" s="17">
        <f t="shared" si="614"/>
        <v>0</v>
      </c>
      <c r="S429" s="14">
        <f>VLOOKUP(I429,[1]Lookups!$V$3:$Y$197,4,FALSE)</f>
        <v>0</v>
      </c>
      <c r="T429" s="14" t="str">
        <f>VLOOKUP(E429,[1]Lookups!$H$3:$I$71,2,FALSE)</f>
        <v>3. Early Venture</v>
      </c>
      <c r="U429" s="14" t="str">
        <f>VLOOKUP(K429,[1]Lookups!$B$3:$C$142,2,FALSE)</f>
        <v>E-commerce &amp; Retail</v>
      </c>
      <c r="V429" s="14">
        <f t="shared" si="396"/>
        <v>2018</v>
      </c>
      <c r="W429" s="14">
        <f t="shared" si="397"/>
        <v>2</v>
      </c>
      <c r="X429" s="14">
        <f>VLOOKUP(W429,[1]Lookups!$P$3:$S$15,2,FALSE)</f>
        <v>1</v>
      </c>
      <c r="Y429" s="16">
        <f>VLOOKUP(W429,[1]Lookups!$P$3:$U$15,3,FALSE)</f>
        <v>1</v>
      </c>
      <c r="Z429" s="16">
        <f t="shared" si="398"/>
        <v>1</v>
      </c>
      <c r="AA429" s="16" t="str">
        <f t="shared" ca="1" si="620"/>
        <v>HIMangel</v>
      </c>
      <c r="AB429" s="16">
        <f t="shared" si="620"/>
        <v>0</v>
      </c>
      <c r="AC429" s="16">
        <f t="shared" si="620"/>
        <v>0</v>
      </c>
      <c r="AD429" s="16">
        <f t="shared" si="620"/>
        <v>0</v>
      </c>
      <c r="AE429" s="16">
        <f t="shared" si="620"/>
        <v>0</v>
      </c>
      <c r="AF429" s="16">
        <f t="shared" si="620"/>
        <v>0</v>
      </c>
      <c r="AG429" s="16">
        <f t="shared" si="620"/>
        <v>0</v>
      </c>
      <c r="AH429" s="16">
        <f t="shared" si="620"/>
        <v>0</v>
      </c>
      <c r="AI429" s="16">
        <f t="shared" si="620"/>
        <v>0</v>
      </c>
      <c r="AJ429" s="16">
        <f t="shared" si="620"/>
        <v>0</v>
      </c>
      <c r="AK429" s="16">
        <f t="shared" si="620"/>
        <v>0</v>
      </c>
      <c r="AL429" s="16">
        <f t="shared" si="620"/>
        <v>0</v>
      </c>
      <c r="AM429" s="16">
        <f t="shared" si="620"/>
        <v>0</v>
      </c>
      <c r="AN429" s="16">
        <f t="shared" si="620"/>
        <v>0</v>
      </c>
      <c r="AO429" s="16">
        <f t="shared" si="620"/>
        <v>0</v>
      </c>
      <c r="AP429" s="10"/>
      <c r="AQ429" s="10"/>
      <c r="AR429" s="10"/>
      <c r="AS429" s="10" t="str">
        <f t="shared" ref="AS429" ca="1" si="632">IFERROR(__xludf.DUMMYFUNCTION("split(F386,"","",true,true)"),"HIMangel")</f>
        <v>HIMangel</v>
      </c>
      <c r="AT429" s="10"/>
      <c r="AU429" s="10"/>
      <c r="AV429" s="10"/>
      <c r="AW429" s="10"/>
      <c r="AX429" s="10"/>
      <c r="AY429" s="10"/>
      <c r="AZ429" s="10"/>
      <c r="BA429" s="10"/>
      <c r="BB429" s="10"/>
      <c r="BC429" s="10"/>
      <c r="BD429" s="10"/>
      <c r="BE429" s="10"/>
      <c r="BF429" s="10"/>
      <c r="BG429" s="10"/>
      <c r="BH429" s="10"/>
      <c r="BI429" s="10"/>
      <c r="BJ429" s="10"/>
      <c r="BK429" s="10"/>
      <c r="BM429" s="10"/>
    </row>
    <row r="430" spans="1:65" ht="12.75">
      <c r="A430" s="18">
        <v>43132</v>
      </c>
      <c r="B430" s="21" t="s">
        <v>995</v>
      </c>
      <c r="C430" s="19">
        <v>284000</v>
      </c>
      <c r="D430" s="19"/>
      <c r="E430" s="14" t="s">
        <v>45</v>
      </c>
      <c r="F430" s="14" t="s">
        <v>996</v>
      </c>
      <c r="G430" s="27" t="s">
        <v>997</v>
      </c>
      <c r="H430" s="14" t="str">
        <f t="array" ref="H430">IFERROR(INDEX([1]Companies!$G:$G,MATCH(B430,[1]Companies!$A:$A,0)),"")</f>
        <v>Mauritius</v>
      </c>
      <c r="I430" s="14" t="str">
        <f t="shared" si="596"/>
        <v>Mauritius</v>
      </c>
      <c r="J430" s="14" t="str">
        <f t="array" ref="J430">IFERROR(INDEX([1]Companies!$Y:$Y,MATCH(B430,[1]Companies!$A:$A,0)),"")</f>
        <v>Financial Services</v>
      </c>
      <c r="K430" s="14" t="str">
        <f t="array" ref="K430">IFERROR(INDEX([1]Companies!$X:$X,MATCH(B430,[1]Companies!$A:$A,0)),"")</f>
        <v>Financial Services</v>
      </c>
      <c r="L430" s="21" t="str">
        <f>VLOOKUP(B430,[1]Companies!$A$1:$C$5243,1,FALSE)</f>
        <v>Hub2.Io</v>
      </c>
      <c r="M430" s="15">
        <f t="shared" si="597"/>
        <v>0.9</v>
      </c>
      <c r="N430" s="10" t="str">
        <f t="shared" si="611"/>
        <v>43132HUB2.io284000</v>
      </c>
      <c r="O430" s="14" t="str">
        <f t="shared" si="612"/>
        <v/>
      </c>
      <c r="P430" s="14">
        <f t="shared" si="613"/>
        <v>1</v>
      </c>
      <c r="Q430" s="14">
        <f t="array" ref="Q430">IFERROR(INDEX([1]Companies!$D:$D,MATCH(B430,[1]Companies!$A:$A,0)),"")</f>
        <v>2017</v>
      </c>
      <c r="R430" s="17">
        <f t="shared" si="614"/>
        <v>284000</v>
      </c>
      <c r="S430" s="14">
        <f>VLOOKUP(I430,[1]Lookups!$V$3:$Y$197,4,FALSE)</f>
        <v>0</v>
      </c>
      <c r="T430" s="14" t="str">
        <f>VLOOKUP(E430,[1]Lookups!$H$3:$I$71,2,FALSE)</f>
        <v>2. Seed</v>
      </c>
      <c r="U430" s="14" t="str">
        <f>VLOOKUP(K430,[1]Lookups!$B$3:$C$142,2,FALSE)</f>
        <v>Financial Services</v>
      </c>
      <c r="V430" s="14">
        <f t="shared" si="396"/>
        <v>2018</v>
      </c>
      <c r="W430" s="14">
        <f t="shared" si="397"/>
        <v>2</v>
      </c>
      <c r="X430" s="14">
        <f>VLOOKUP(W430,[1]Lookups!$P$3:$S$15,2,FALSE)</f>
        <v>1</v>
      </c>
      <c r="Y430" s="16">
        <f>VLOOKUP(W430,[1]Lookups!$P$3:$U$15,3,FALSE)</f>
        <v>1</v>
      </c>
      <c r="Z430" s="16">
        <f t="shared" si="398"/>
        <v>1</v>
      </c>
      <c r="AA430" s="16" t="str">
        <f t="shared" ca="1" si="620"/>
        <v>HIMangel</v>
      </c>
      <c r="AB430" s="16">
        <f t="shared" si="620"/>
        <v>0</v>
      </c>
      <c r="AC430" s="16">
        <f t="shared" si="620"/>
        <v>0</v>
      </c>
      <c r="AD430" s="16">
        <f t="shared" si="620"/>
        <v>0</v>
      </c>
      <c r="AE430" s="16">
        <f t="shared" si="620"/>
        <v>0</v>
      </c>
      <c r="AF430" s="16">
        <f t="shared" si="620"/>
        <v>0</v>
      </c>
      <c r="AG430" s="16">
        <f t="shared" si="620"/>
        <v>0</v>
      </c>
      <c r="AH430" s="16">
        <f t="shared" si="620"/>
        <v>0</v>
      </c>
      <c r="AI430" s="16">
        <f t="shared" si="620"/>
        <v>0</v>
      </c>
      <c r="AJ430" s="16">
        <f t="shared" si="620"/>
        <v>0</v>
      </c>
      <c r="AK430" s="16">
        <f t="shared" si="620"/>
        <v>0</v>
      </c>
      <c r="AL430" s="16">
        <f t="shared" si="620"/>
        <v>0</v>
      </c>
      <c r="AM430" s="16">
        <f t="shared" si="620"/>
        <v>0</v>
      </c>
      <c r="AN430" s="16">
        <f t="shared" si="620"/>
        <v>0</v>
      </c>
      <c r="AO430" s="16">
        <f t="shared" si="620"/>
        <v>0</v>
      </c>
      <c r="AP430" s="10"/>
      <c r="AQ430" s="10"/>
      <c r="AR430" s="10"/>
      <c r="AS430" s="10" t="str">
        <f t="shared" ref="AS430" ca="1" si="633">IFERROR(__xludf.DUMMYFUNCTION("split(F386,"","",true,true)"),"HIMangel")</f>
        <v>HIMangel</v>
      </c>
      <c r="AT430" s="10"/>
      <c r="AU430" s="10"/>
      <c r="AV430" s="10"/>
      <c r="AW430" s="10"/>
      <c r="AX430" s="10"/>
      <c r="AY430" s="10"/>
      <c r="AZ430" s="10"/>
      <c r="BA430" s="10"/>
      <c r="BB430" s="10"/>
      <c r="BC430" s="10"/>
      <c r="BD430" s="10"/>
      <c r="BE430" s="10"/>
      <c r="BF430" s="10"/>
      <c r="BG430" s="10"/>
      <c r="BH430" s="10"/>
      <c r="BI430" s="10"/>
      <c r="BJ430" s="10"/>
      <c r="BK430" s="10"/>
      <c r="BM430" s="10"/>
    </row>
    <row r="431" spans="1:65" ht="12.75">
      <c r="A431" s="18">
        <v>43132</v>
      </c>
      <c r="B431" s="14" t="s">
        <v>238</v>
      </c>
      <c r="C431" s="19">
        <v>150000</v>
      </c>
      <c r="D431" s="19"/>
      <c r="E431" s="14" t="s">
        <v>45</v>
      </c>
      <c r="F431" s="14" t="s">
        <v>49</v>
      </c>
      <c r="G431" s="27" t="s">
        <v>998</v>
      </c>
      <c r="H431" s="14" t="str">
        <f t="array" ref="H431">IFERROR(INDEX([1]Companies!$G:$G,MATCH(B431,[1]Companies!$A:$A,0)),"")</f>
        <v>South Africa</v>
      </c>
      <c r="I431" s="14" t="str">
        <f t="shared" si="596"/>
        <v>South Africa</v>
      </c>
      <c r="J431" s="14" t="str">
        <f t="array" ref="J431">IFERROR(INDEX([1]Companies!$Y:$Y,MATCH(B431,[1]Companies!$A:$A,0)),"")</f>
        <v>Collaborative Consumption, Logistics, Shipping</v>
      </c>
      <c r="K431" s="14" t="str">
        <f t="array" ref="K431">IFERROR(INDEX([1]Companies!$X:$X,MATCH(B431,[1]Companies!$A:$A,0)),"")</f>
        <v>Transport &amp; Logistics</v>
      </c>
      <c r="L431" s="14" t="str">
        <f>VLOOKUP(B431,[1]Companies!$A$1:$C$5243,1,FALSE)</f>
        <v>Fastvan</v>
      </c>
      <c r="M431" s="15">
        <f t="shared" si="597"/>
        <v>0.9</v>
      </c>
      <c r="N431" s="10" t="str">
        <f t="shared" si="611"/>
        <v>43132Fastvan150000</v>
      </c>
      <c r="O431" s="14" t="str">
        <f t="shared" si="612"/>
        <v/>
      </c>
      <c r="P431" s="14">
        <f t="shared" si="613"/>
        <v>1</v>
      </c>
      <c r="Q431" s="14">
        <f t="array" ref="Q431">IFERROR(INDEX([1]Companies!$D:$D,MATCH(B431,[1]Companies!$A:$A,0)),"")</f>
        <v>2015</v>
      </c>
      <c r="R431" s="17">
        <f t="shared" si="614"/>
        <v>700000</v>
      </c>
      <c r="S431" s="14">
        <f>VLOOKUP(I431,[1]Lookups!$V$3:$Y$197,4,FALSE)</f>
        <v>0</v>
      </c>
      <c r="T431" s="14" t="str">
        <f>VLOOKUP(E431,[1]Lookups!$H$3:$I$71,2,FALSE)</f>
        <v>2. Seed</v>
      </c>
      <c r="U431" s="14" t="str">
        <f>VLOOKUP(K431,[1]Lookups!$B$3:$C$142,2,FALSE)</f>
        <v>Transport &amp; Logistics</v>
      </c>
      <c r="V431" s="14">
        <f t="shared" si="396"/>
        <v>2018</v>
      </c>
      <c r="W431" s="14">
        <f t="shared" si="397"/>
        <v>2</v>
      </c>
      <c r="X431" s="14">
        <f>VLOOKUP(W431,[1]Lookups!$P$3:$S$15,2,FALSE)</f>
        <v>1</v>
      </c>
      <c r="Y431" s="16">
        <f>VLOOKUP(W431,[1]Lookups!$P$3:$U$15,3,FALSE)</f>
        <v>1</v>
      </c>
      <c r="Z431" s="16">
        <f t="shared" si="398"/>
        <v>1</v>
      </c>
      <c r="AA431" s="16" t="str">
        <f t="shared" ca="1" si="620"/>
        <v>HIMangel</v>
      </c>
      <c r="AB431" s="16">
        <f t="shared" si="620"/>
        <v>0</v>
      </c>
      <c r="AC431" s="16">
        <f t="shared" si="620"/>
        <v>0</v>
      </c>
      <c r="AD431" s="16">
        <f t="shared" si="620"/>
        <v>0</v>
      </c>
      <c r="AE431" s="16">
        <f t="shared" si="620"/>
        <v>0</v>
      </c>
      <c r="AF431" s="16">
        <f t="shared" si="620"/>
        <v>0</v>
      </c>
      <c r="AG431" s="16">
        <f t="shared" si="620"/>
        <v>0</v>
      </c>
      <c r="AH431" s="16">
        <f t="shared" si="620"/>
        <v>0</v>
      </c>
      <c r="AI431" s="16">
        <f t="shared" si="620"/>
        <v>0</v>
      </c>
      <c r="AJ431" s="16">
        <f t="shared" si="620"/>
        <v>0</v>
      </c>
      <c r="AK431" s="16">
        <f t="shared" si="620"/>
        <v>0</v>
      </c>
      <c r="AL431" s="16">
        <f t="shared" si="620"/>
        <v>0</v>
      </c>
      <c r="AM431" s="16">
        <f t="shared" si="620"/>
        <v>0</v>
      </c>
      <c r="AN431" s="16">
        <f t="shared" si="620"/>
        <v>0</v>
      </c>
      <c r="AO431" s="16">
        <f t="shared" si="620"/>
        <v>0</v>
      </c>
      <c r="AP431" s="10"/>
      <c r="AQ431" s="10"/>
      <c r="AR431" s="10"/>
      <c r="AS431" s="10" t="str">
        <f t="shared" ref="AS431" ca="1" si="634">IFERROR(__xludf.DUMMYFUNCTION("split(F386,"","",true,true)"),"HIMangel")</f>
        <v>HIMangel</v>
      </c>
      <c r="AT431" s="10"/>
      <c r="AU431" s="10"/>
      <c r="AV431" s="10"/>
      <c r="AW431" s="10"/>
      <c r="AX431" s="10"/>
      <c r="AY431" s="10"/>
      <c r="AZ431" s="10"/>
      <c r="BA431" s="10"/>
      <c r="BB431" s="10"/>
      <c r="BC431" s="10"/>
      <c r="BD431" s="10"/>
      <c r="BE431" s="10"/>
      <c r="BF431" s="10"/>
      <c r="BG431" s="10"/>
      <c r="BH431" s="10"/>
      <c r="BI431" s="10"/>
      <c r="BJ431" s="10"/>
      <c r="BK431" s="10"/>
      <c r="BM431" s="10"/>
    </row>
    <row r="432" spans="1:65" ht="12.75">
      <c r="A432" s="18">
        <v>43132</v>
      </c>
      <c r="B432" s="14" t="s">
        <v>367</v>
      </c>
      <c r="C432" s="19">
        <v>30000</v>
      </c>
      <c r="D432" s="19"/>
      <c r="E432" s="14" t="s">
        <v>48</v>
      </c>
      <c r="F432" s="14" t="s">
        <v>999</v>
      </c>
      <c r="G432" s="27" t="s">
        <v>1000</v>
      </c>
      <c r="H432" s="14" t="str">
        <f t="array" ref="H432">IFERROR(INDEX([1]Companies!$G:$G,MATCH(B432,[1]Companies!$A:$A,0)),"")</f>
        <v>Egypt</v>
      </c>
      <c r="I432" s="14" t="str">
        <f t="shared" si="596"/>
        <v>Egypt</v>
      </c>
      <c r="J432" s="14" t="str">
        <f t="array" ref="J432">IFERROR(INDEX([1]Companies!$Y:$Y,MATCH(B432,[1]Companies!$A:$A,0)),"")</f>
        <v>Artificial Intelligence, Big Data, Consumer, Delivery, Grocery, Predictive Analytics, Retail, Software, Supply Chain Management</v>
      </c>
      <c r="K432" s="14" t="str">
        <f t="array" ref="K432">IFERROR(INDEX([1]Companies!$X:$X,MATCH(B432,[1]Companies!$A:$A,0)),"")</f>
        <v>E-Commerce &amp; Retail</v>
      </c>
      <c r="L432" s="14" t="str">
        <f>VLOOKUP(B432,[1]Companies!$A$1:$C$5243,1,FALSE)</f>
        <v>Werpx</v>
      </c>
      <c r="M432" s="15">
        <f t="shared" si="597"/>
        <v>0.9</v>
      </c>
      <c r="N432" s="10" t="str">
        <f t="shared" si="611"/>
        <v>43132Werpx30000</v>
      </c>
      <c r="O432" s="14" t="str">
        <f t="shared" si="612"/>
        <v/>
      </c>
      <c r="P432" s="14">
        <f t="shared" si="613"/>
        <v>1</v>
      </c>
      <c r="Q432" s="14">
        <f t="array" ref="Q432">IFERROR(INDEX([1]Companies!$D:$D,MATCH(B432,[1]Companies!$A:$A,0)),"")</f>
        <v>2017</v>
      </c>
      <c r="R432" s="17">
        <f t="shared" si="614"/>
        <v>103900</v>
      </c>
      <c r="S432" s="14">
        <f>VLOOKUP(I432,[1]Lookups!$V$3:$Y$197,4,FALSE)</f>
        <v>0</v>
      </c>
      <c r="T432" s="14" t="str">
        <f>VLOOKUP(E432,[1]Lookups!$H$3:$I$71,2,FALSE)</f>
        <v>2. Seed</v>
      </c>
      <c r="U432" s="14" t="str">
        <f>VLOOKUP(K432,[1]Lookups!$B$3:$C$142,2,FALSE)</f>
        <v>E-commerce &amp; Retail</v>
      </c>
      <c r="V432" s="14">
        <f t="shared" si="396"/>
        <v>2018</v>
      </c>
      <c r="W432" s="14">
        <f t="shared" si="397"/>
        <v>2</v>
      </c>
      <c r="X432" s="14">
        <f>VLOOKUP(W432,[1]Lookups!$P$3:$S$15,2,FALSE)</f>
        <v>1</v>
      </c>
      <c r="Y432" s="16">
        <f>VLOOKUP(W432,[1]Lookups!$P$3:$U$15,3,FALSE)</f>
        <v>1</v>
      </c>
      <c r="Z432" s="16">
        <f t="shared" si="398"/>
        <v>1</v>
      </c>
      <c r="AA432" s="16" t="str">
        <f t="shared" ca="1" si="620"/>
        <v>HIMangel</v>
      </c>
      <c r="AB432" s="16">
        <f t="shared" si="620"/>
        <v>0</v>
      </c>
      <c r="AC432" s="16">
        <f t="shared" si="620"/>
        <v>0</v>
      </c>
      <c r="AD432" s="16">
        <f t="shared" si="620"/>
        <v>0</v>
      </c>
      <c r="AE432" s="16">
        <f t="shared" si="620"/>
        <v>0</v>
      </c>
      <c r="AF432" s="16">
        <f t="shared" si="620"/>
        <v>0</v>
      </c>
      <c r="AG432" s="16">
        <f t="shared" si="620"/>
        <v>0</v>
      </c>
      <c r="AH432" s="16">
        <f t="shared" si="620"/>
        <v>0</v>
      </c>
      <c r="AI432" s="16">
        <f t="shared" si="620"/>
        <v>0</v>
      </c>
      <c r="AJ432" s="16">
        <f t="shared" si="620"/>
        <v>0</v>
      </c>
      <c r="AK432" s="16">
        <f t="shared" si="620"/>
        <v>0</v>
      </c>
      <c r="AL432" s="16">
        <f t="shared" si="620"/>
        <v>0</v>
      </c>
      <c r="AM432" s="16">
        <f t="shared" si="620"/>
        <v>0</v>
      </c>
      <c r="AN432" s="16">
        <f t="shared" si="620"/>
        <v>0</v>
      </c>
      <c r="AO432" s="16">
        <f t="shared" si="620"/>
        <v>0</v>
      </c>
      <c r="AP432" s="10"/>
      <c r="AQ432" s="10"/>
      <c r="AR432" s="10"/>
      <c r="AS432" s="10" t="str">
        <f t="shared" ref="AS432" ca="1" si="635">IFERROR(__xludf.DUMMYFUNCTION("split(F386,"","",true,true)"),"HIMangel")</f>
        <v>HIMangel</v>
      </c>
      <c r="AT432" s="23"/>
      <c r="AU432" s="23"/>
      <c r="AV432" s="23"/>
      <c r="AW432" s="23"/>
      <c r="AX432" s="23"/>
      <c r="AY432" s="23"/>
      <c r="AZ432" s="23"/>
      <c r="BA432" s="23"/>
      <c r="BB432" s="23"/>
      <c r="BC432" s="23"/>
      <c r="BD432" s="23"/>
      <c r="BE432" s="23"/>
      <c r="BF432" s="23"/>
      <c r="BG432" s="23"/>
      <c r="BH432" s="23"/>
      <c r="BI432" s="23"/>
      <c r="BJ432" s="23"/>
      <c r="BK432" s="23"/>
      <c r="BM432" s="23"/>
    </row>
    <row r="433" spans="1:65" ht="12.75">
      <c r="A433" s="18">
        <v>43132</v>
      </c>
      <c r="B433" s="14" t="s">
        <v>836</v>
      </c>
      <c r="C433" s="19">
        <v>30000</v>
      </c>
      <c r="D433" s="19"/>
      <c r="E433" s="14" t="s">
        <v>45</v>
      </c>
      <c r="F433" s="14" t="s">
        <v>49</v>
      </c>
      <c r="G433" s="27" t="s">
        <v>1001</v>
      </c>
      <c r="H433" s="14" t="str">
        <f t="array" ref="H433">IFERROR(INDEX([1]Companies!$G:$G,MATCH(B433,[1]Companies!$A:$A,0)),"")</f>
        <v>South Africa</v>
      </c>
      <c r="I433" s="14" t="str">
        <f t="shared" si="596"/>
        <v>South Africa</v>
      </c>
      <c r="J433" s="14" t="str">
        <f t="array" ref="J433">IFERROR(INDEX([1]Companies!$Y:$Y,MATCH(B433,[1]Companies!$A:$A,0)),"")</f>
        <v>Marketplace</v>
      </c>
      <c r="K433" s="14" t="str">
        <f t="array" ref="K433">IFERROR(INDEX([1]Companies!$X:$X,MATCH(B433,[1]Companies!$A:$A,0)),"")</f>
        <v>Recruitment</v>
      </c>
      <c r="L433" s="14" t="str">
        <f>VLOOKUP(B433,[1]Companies!$A$1:$C$5243,1,FALSE)</f>
        <v>JobJack</v>
      </c>
      <c r="M433" s="15">
        <f t="shared" si="597"/>
        <v>0.9</v>
      </c>
      <c r="N433" s="10" t="str">
        <f t="shared" si="611"/>
        <v>43132JobJack30000</v>
      </c>
      <c r="O433" s="14" t="str">
        <f t="shared" si="612"/>
        <v/>
      </c>
      <c r="P433" s="14">
        <f t="shared" si="613"/>
        <v>1</v>
      </c>
      <c r="Q433" s="14">
        <f t="array" ref="Q433">IFERROR(INDEX([1]Companies!$D:$D,MATCH(B433,[1]Companies!$A:$A,0)),"")</f>
        <v>2018</v>
      </c>
      <c r="R433" s="17">
        <f t="shared" si="614"/>
        <v>58000</v>
      </c>
      <c r="S433" s="14">
        <f>VLOOKUP(I433,[1]Lookups!$V$3:$Y$197,4,FALSE)</f>
        <v>0</v>
      </c>
      <c r="T433" s="14" t="str">
        <f>VLOOKUP(E433,[1]Lookups!$H$3:$I$71,2,FALSE)</f>
        <v>2. Seed</v>
      </c>
      <c r="U433" s="14" t="str">
        <f>VLOOKUP(K433,[1]Lookups!$B$3:$C$142,2,FALSE)</f>
        <v>Employment, Talent &amp; Labour</v>
      </c>
      <c r="V433" s="14">
        <f t="shared" si="396"/>
        <v>2018</v>
      </c>
      <c r="W433" s="14">
        <f t="shared" si="397"/>
        <v>2</v>
      </c>
      <c r="X433" s="14">
        <f>VLOOKUP(W433,[1]Lookups!$P$3:$S$15,2,FALSE)</f>
        <v>1</v>
      </c>
      <c r="Y433" s="16">
        <f>VLOOKUP(W433,[1]Lookups!$P$3:$U$15,3,FALSE)</f>
        <v>1</v>
      </c>
      <c r="Z433" s="16">
        <f t="shared" si="398"/>
        <v>1</v>
      </c>
      <c r="AA433" s="16" t="str">
        <f t="shared" ca="1" si="620"/>
        <v>HIMangel</v>
      </c>
      <c r="AB433" s="16">
        <f t="shared" si="620"/>
        <v>0</v>
      </c>
      <c r="AC433" s="16">
        <f t="shared" si="620"/>
        <v>0</v>
      </c>
      <c r="AD433" s="16">
        <f t="shared" si="620"/>
        <v>0</v>
      </c>
      <c r="AE433" s="16">
        <f t="shared" si="620"/>
        <v>0</v>
      </c>
      <c r="AF433" s="16">
        <f t="shared" si="620"/>
        <v>0</v>
      </c>
      <c r="AG433" s="16">
        <f t="shared" si="620"/>
        <v>0</v>
      </c>
      <c r="AH433" s="16">
        <f t="shared" si="620"/>
        <v>0</v>
      </c>
      <c r="AI433" s="16">
        <f t="shared" si="620"/>
        <v>0</v>
      </c>
      <c r="AJ433" s="16">
        <f t="shared" si="620"/>
        <v>0</v>
      </c>
      <c r="AK433" s="16">
        <f t="shared" si="620"/>
        <v>0</v>
      </c>
      <c r="AL433" s="16">
        <f t="shared" si="620"/>
        <v>0</v>
      </c>
      <c r="AM433" s="16">
        <f t="shared" si="620"/>
        <v>0</v>
      </c>
      <c r="AN433" s="16">
        <f t="shared" si="620"/>
        <v>0</v>
      </c>
      <c r="AO433" s="16">
        <f t="shared" si="620"/>
        <v>0</v>
      </c>
      <c r="AP433" s="10"/>
      <c r="AQ433" s="10"/>
      <c r="AR433" s="10"/>
      <c r="AS433" s="10" t="str">
        <f t="shared" ref="AS433:AS434" ca="1" si="636">IFERROR(__xludf.DUMMYFUNCTION("split(F386,"","",true,true)"),"HIMangel")</f>
        <v>HIMangel</v>
      </c>
      <c r="AT433" s="10"/>
      <c r="AU433" s="10"/>
      <c r="AV433" s="10"/>
      <c r="AW433" s="10"/>
      <c r="AX433" s="10"/>
      <c r="AY433" s="10"/>
      <c r="AZ433" s="10"/>
      <c r="BA433" s="10"/>
      <c r="BB433" s="10"/>
      <c r="BC433" s="10"/>
      <c r="BD433" s="10"/>
      <c r="BE433" s="10"/>
      <c r="BF433" s="10"/>
      <c r="BG433" s="10"/>
      <c r="BH433" s="10"/>
      <c r="BI433" s="10"/>
      <c r="BJ433" s="10"/>
      <c r="BK433" s="10"/>
      <c r="BM433" s="10"/>
    </row>
    <row r="434" spans="1:65" ht="12.75">
      <c r="A434" s="9">
        <v>43132</v>
      </c>
      <c r="B434" s="10" t="s">
        <v>1002</v>
      </c>
      <c r="C434" s="11">
        <v>10000</v>
      </c>
      <c r="D434" s="12"/>
      <c r="E434" s="10" t="s">
        <v>45</v>
      </c>
      <c r="F434" s="10" t="s">
        <v>1003</v>
      </c>
      <c r="G434" s="10" t="s">
        <v>1002</v>
      </c>
      <c r="H434" s="14"/>
      <c r="I434" s="14"/>
      <c r="J434" s="14"/>
      <c r="K434" s="14"/>
      <c r="L434" s="14"/>
      <c r="M434" s="15"/>
      <c r="N434" s="10"/>
      <c r="O434" s="14"/>
      <c r="P434" s="14"/>
      <c r="Q434" s="14"/>
      <c r="R434" s="14"/>
      <c r="S434" s="14"/>
      <c r="T434" s="14"/>
      <c r="U434" s="14"/>
      <c r="V434" s="14">
        <f t="shared" si="396"/>
        <v>2018</v>
      </c>
      <c r="W434" s="14">
        <f t="shared" si="397"/>
        <v>2</v>
      </c>
      <c r="X434" s="14">
        <f>VLOOKUP(W434,[1]Lookups!$P$3:$S$15,2,FALSE)</f>
        <v>1</v>
      </c>
      <c r="Y434" s="16">
        <f>VLOOKUP(W434,[1]Lookups!$P$3:$U$15,3,FALSE)</f>
        <v>1</v>
      </c>
      <c r="Z434" s="16">
        <f t="shared" si="398"/>
        <v>1</v>
      </c>
      <c r="AA434" s="16" t="str">
        <f t="shared" ref="AA434:AO449" ca="1" si="637">AS434</f>
        <v>HIMangel</v>
      </c>
      <c r="AB434" s="16">
        <f t="shared" si="637"/>
        <v>0</v>
      </c>
      <c r="AC434" s="16">
        <f t="shared" si="637"/>
        <v>0</v>
      </c>
      <c r="AD434" s="16">
        <f t="shared" si="637"/>
        <v>0</v>
      </c>
      <c r="AE434" s="16">
        <f t="shared" si="637"/>
        <v>0</v>
      </c>
      <c r="AF434" s="16">
        <f t="shared" si="637"/>
        <v>0</v>
      </c>
      <c r="AG434" s="16">
        <f t="shared" si="637"/>
        <v>0</v>
      </c>
      <c r="AH434" s="16">
        <f t="shared" si="637"/>
        <v>0</v>
      </c>
      <c r="AI434" s="16">
        <f t="shared" si="637"/>
        <v>0</v>
      </c>
      <c r="AJ434" s="16">
        <f t="shared" si="637"/>
        <v>0</v>
      </c>
      <c r="AK434" s="16">
        <f t="shared" si="637"/>
        <v>0</v>
      </c>
      <c r="AL434" s="16">
        <f t="shared" si="637"/>
        <v>0</v>
      </c>
      <c r="AM434" s="16">
        <f t="shared" si="637"/>
        <v>0</v>
      </c>
      <c r="AN434" s="16">
        <f t="shared" si="637"/>
        <v>0</v>
      </c>
      <c r="AO434" s="16">
        <f t="shared" si="637"/>
        <v>0</v>
      </c>
      <c r="AP434" s="10"/>
      <c r="AQ434" s="10"/>
      <c r="AR434" s="10"/>
      <c r="AS434" s="10" t="str">
        <f t="shared" ca="1" si="636"/>
        <v>HIMangel</v>
      </c>
      <c r="AT434" s="10"/>
      <c r="AU434" s="10"/>
      <c r="AV434" s="10"/>
      <c r="AW434" s="10"/>
      <c r="AX434" s="10"/>
      <c r="AY434" s="10"/>
      <c r="AZ434" s="10"/>
      <c r="BA434" s="10"/>
      <c r="BB434" s="10"/>
      <c r="BC434" s="10"/>
      <c r="BD434" s="10"/>
      <c r="BE434" s="10"/>
      <c r="BF434" s="10"/>
      <c r="BG434" s="10"/>
      <c r="BH434" s="10"/>
      <c r="BI434" s="10"/>
      <c r="BJ434" s="10"/>
      <c r="BK434" s="10"/>
      <c r="BM434" s="10"/>
    </row>
    <row r="435" spans="1:65" ht="12.75">
      <c r="A435" s="18">
        <v>43133</v>
      </c>
      <c r="B435" s="14" t="s">
        <v>1004</v>
      </c>
      <c r="C435" s="19" t="s">
        <v>49</v>
      </c>
      <c r="D435" s="19"/>
      <c r="E435" s="14" t="s">
        <v>45</v>
      </c>
      <c r="F435" s="14" t="s">
        <v>1005</v>
      </c>
      <c r="G435" s="27" t="s">
        <v>1006</v>
      </c>
      <c r="H435" s="14" t="str">
        <f t="array" ref="H435">IFERROR(INDEX([1]Companies!$G:$G,MATCH(B435,[1]Companies!$A:$A,0)),"")</f>
        <v>South Africa</v>
      </c>
      <c r="I435" s="14" t="str">
        <f t="shared" ref="I435:I467" si="638">IF(LEN(TRIM(H435))-LEN(SUBSTITUTE(TRIM(H435),",","")) &gt; 0,TRIM(RIGHT(H435,LEN(H435)-FIND(",",H435))),H435)</f>
        <v>South Africa</v>
      </c>
      <c r="J435" s="14" t="str">
        <f t="array" ref="J435">IFERROR(INDEX([1]Companies!$Y:$Y,MATCH(B435,[1]Companies!$A:$A,0)),"")</f>
        <v>Artificial Intelligence, Big Data</v>
      </c>
      <c r="K435" s="14" t="str">
        <f t="array" ref="K435">IFERROR(INDEX([1]Companies!$X:$X,MATCH(B435,[1]Companies!$A:$A,0)),"")</f>
        <v>Information Technology</v>
      </c>
      <c r="L435" s="14" t="str">
        <f>VLOOKUP(B435,[1]Companies!$A$1:$C$5243,1,FALSE)</f>
        <v>Predictive Insights</v>
      </c>
      <c r="M435" s="15">
        <f t="shared" ref="M435:M467" si="639">COUNTA(B435:K435)/(COUNTBLANK(B435:K435) + COUNTA(B435:K435))</f>
        <v>0.9</v>
      </c>
      <c r="N435" s="10" t="str">
        <f t="shared" ref="N435:N467" si="640">CONCATENATE(A435,B435,C435)</f>
        <v>43133Predictive InsightsUndisclosed</v>
      </c>
      <c r="O435" s="14" t="str">
        <f t="shared" ref="O435:O467" si="641">IF(A435 = "","",IF(COUNTIF(N:N,CONCATENATE(A435,B435,C435))&gt;1,"Duplicated",""))</f>
        <v/>
      </c>
      <c r="P435" s="14">
        <f t="shared" ref="P435:P467" si="642">IF(C435="Undisclosed",0,1)</f>
        <v>0</v>
      </c>
      <c r="Q435" s="14">
        <f t="array" ref="Q435">IFERROR(INDEX([1]Companies!$D:$D,MATCH(B435,[1]Companies!$A:$A,0)),"")</f>
        <v>2017</v>
      </c>
      <c r="R435" s="17">
        <f t="shared" ref="R435:R467" si="643">SUMIF(B:B,B435,C:C)</f>
        <v>0</v>
      </c>
      <c r="S435" s="14">
        <f>VLOOKUP(I435,[1]Lookups!$V$3:$Y$197,4,FALSE)</f>
        <v>0</v>
      </c>
      <c r="T435" s="14" t="str">
        <f>VLOOKUP(E435,[1]Lookups!$H$3:$I$71,2,FALSE)</f>
        <v>2. Seed</v>
      </c>
      <c r="U435" s="14" t="str">
        <f>VLOOKUP(K435,[1]Lookups!$B$3:$C$142,2,FALSE)</f>
        <v>Other Technologies &amp; Information Technology</v>
      </c>
      <c r="V435" s="14">
        <f t="shared" si="396"/>
        <v>2018</v>
      </c>
      <c r="W435" s="14">
        <f t="shared" si="397"/>
        <v>2</v>
      </c>
      <c r="X435" s="14">
        <f>VLOOKUP(W435,[1]Lookups!$P$3:$S$15,2,FALSE)</f>
        <v>1</v>
      </c>
      <c r="Y435" s="16">
        <f>VLOOKUP(W435,[1]Lookups!$P$3:$U$15,3,FALSE)</f>
        <v>1</v>
      </c>
      <c r="Z435" s="16">
        <f t="shared" si="398"/>
        <v>1</v>
      </c>
      <c r="AA435" s="16" t="str">
        <f t="shared" ca="1" si="637"/>
        <v>HIMangel</v>
      </c>
      <c r="AB435" s="16">
        <f t="shared" si="637"/>
        <v>0</v>
      </c>
      <c r="AC435" s="16">
        <f t="shared" si="637"/>
        <v>0</v>
      </c>
      <c r="AD435" s="16">
        <f t="shared" si="637"/>
        <v>0</v>
      </c>
      <c r="AE435" s="16">
        <f t="shared" si="637"/>
        <v>0</v>
      </c>
      <c r="AF435" s="16">
        <f t="shared" si="637"/>
        <v>0</v>
      </c>
      <c r="AG435" s="16">
        <f t="shared" si="637"/>
        <v>0</v>
      </c>
      <c r="AH435" s="16">
        <f t="shared" si="637"/>
        <v>0</v>
      </c>
      <c r="AI435" s="16">
        <f t="shared" si="637"/>
        <v>0</v>
      </c>
      <c r="AJ435" s="16">
        <f t="shared" si="637"/>
        <v>0</v>
      </c>
      <c r="AK435" s="16">
        <f t="shared" si="637"/>
        <v>0</v>
      </c>
      <c r="AL435" s="16">
        <f t="shared" si="637"/>
        <v>0</v>
      </c>
      <c r="AM435" s="16">
        <f t="shared" si="637"/>
        <v>0</v>
      </c>
      <c r="AN435" s="16">
        <f t="shared" si="637"/>
        <v>0</v>
      </c>
      <c r="AO435" s="16">
        <f t="shared" si="637"/>
        <v>0</v>
      </c>
      <c r="AP435" s="10"/>
      <c r="AQ435" s="10"/>
      <c r="AR435" s="10"/>
      <c r="AS435" s="10" t="str">
        <f t="shared" ref="AS435" ca="1" si="644">IFERROR(__xludf.DUMMYFUNCTION("split(F386,"","",true,true)"),"HIMangel")</f>
        <v>HIMangel</v>
      </c>
      <c r="AT435" s="10"/>
      <c r="AU435" s="10"/>
      <c r="AV435" s="10"/>
      <c r="AW435" s="10"/>
      <c r="AX435" s="10"/>
      <c r="AY435" s="10"/>
      <c r="AZ435" s="10"/>
      <c r="BA435" s="10"/>
      <c r="BB435" s="10"/>
      <c r="BC435" s="10"/>
      <c r="BD435" s="10"/>
      <c r="BE435" s="10"/>
      <c r="BF435" s="10"/>
      <c r="BG435" s="10"/>
      <c r="BH435" s="10"/>
      <c r="BI435" s="10"/>
      <c r="BJ435" s="10"/>
      <c r="BK435" s="10"/>
      <c r="BM435" s="10"/>
    </row>
    <row r="436" spans="1:65" ht="12.75">
      <c r="A436" s="18">
        <v>43133</v>
      </c>
      <c r="B436" s="14" t="s">
        <v>1007</v>
      </c>
      <c r="C436" s="19">
        <v>100000</v>
      </c>
      <c r="D436" s="19"/>
      <c r="E436" s="14" t="s">
        <v>55</v>
      </c>
      <c r="F436" s="14" t="s">
        <v>1008</v>
      </c>
      <c r="G436" s="27" t="s">
        <v>1009</v>
      </c>
      <c r="H436" s="14" t="str">
        <f t="array" ref="H436">IFERROR(INDEX([1]Companies!$G:$G,MATCH(B436,[1]Companies!$A:$A,0)),"")</f>
        <v>Ethiopia</v>
      </c>
      <c r="I436" s="14" t="str">
        <f t="shared" si="638"/>
        <v>Ethiopia</v>
      </c>
      <c r="J436" s="14" t="str">
        <f t="array" ref="J436">IFERROR(INDEX([1]Companies!$Y:$Y,MATCH(B436,[1]Companies!$A:$A,0)),"")</f>
        <v>Computer Software</v>
      </c>
      <c r="K436" s="14" t="str">
        <f t="array" ref="K436">IFERROR(INDEX([1]Companies!$X:$X,MATCH(B436,[1]Companies!$A:$A,0)),"")</f>
        <v>Emerging Technologies</v>
      </c>
      <c r="L436" s="14" t="str">
        <f>VLOOKUP(B436,[1]Companies!$A$1:$C$5243,1,FALSE)</f>
        <v>icog Labs</v>
      </c>
      <c r="M436" s="15">
        <f t="shared" si="639"/>
        <v>0.9</v>
      </c>
      <c r="N436" s="10" t="str">
        <f t="shared" si="640"/>
        <v>43133iCog Labs100000</v>
      </c>
      <c r="O436" s="14" t="str">
        <f t="shared" si="641"/>
        <v/>
      </c>
      <c r="P436" s="14">
        <f t="shared" si="642"/>
        <v>1</v>
      </c>
      <c r="Q436" s="14">
        <f t="array" ref="Q436">IFERROR(INDEX([1]Companies!$D:$D,MATCH(B436,[1]Companies!$A:$A,0)),"")</f>
        <v>2012</v>
      </c>
      <c r="R436" s="17">
        <f t="shared" si="643"/>
        <v>200000</v>
      </c>
      <c r="S436" s="14">
        <f>VLOOKUP(I436,[1]Lookups!$V$3:$Y$197,4,FALSE)</f>
        <v>0</v>
      </c>
      <c r="T436" s="14" t="str">
        <f>VLOOKUP(E436,[1]Lookups!$H$3:$I$71,2,FALSE)</f>
        <v>1. Grant</v>
      </c>
      <c r="U436" s="14" t="str">
        <f>VLOOKUP(K436,[1]Lookups!$B$3:$C$142,2,FALSE)</f>
        <v>Emerging Technologies</v>
      </c>
      <c r="V436" s="14">
        <f t="shared" si="396"/>
        <v>2018</v>
      </c>
      <c r="W436" s="14">
        <f t="shared" si="397"/>
        <v>2</v>
      </c>
      <c r="X436" s="14">
        <f>VLOOKUP(W436,[1]Lookups!$P$3:$S$15,2,FALSE)</f>
        <v>1</v>
      </c>
      <c r="Y436" s="16">
        <f>VLOOKUP(W436,[1]Lookups!$P$3:$U$15,3,FALSE)</f>
        <v>1</v>
      </c>
      <c r="Z436" s="16">
        <f t="shared" si="398"/>
        <v>1</v>
      </c>
      <c r="AA436" s="16" t="str">
        <f t="shared" ca="1" si="637"/>
        <v>HIMangel</v>
      </c>
      <c r="AB436" s="16">
        <f t="shared" si="637"/>
        <v>0</v>
      </c>
      <c r="AC436" s="16">
        <f t="shared" si="637"/>
        <v>0</v>
      </c>
      <c r="AD436" s="16">
        <f t="shared" si="637"/>
        <v>0</v>
      </c>
      <c r="AE436" s="16">
        <f t="shared" si="637"/>
        <v>0</v>
      </c>
      <c r="AF436" s="16">
        <f t="shared" si="637"/>
        <v>0</v>
      </c>
      <c r="AG436" s="16">
        <f t="shared" si="637"/>
        <v>0</v>
      </c>
      <c r="AH436" s="16">
        <f t="shared" si="637"/>
        <v>0</v>
      </c>
      <c r="AI436" s="16">
        <f t="shared" si="637"/>
        <v>0</v>
      </c>
      <c r="AJ436" s="16">
        <f t="shared" si="637"/>
        <v>0</v>
      </c>
      <c r="AK436" s="16">
        <f t="shared" si="637"/>
        <v>0</v>
      </c>
      <c r="AL436" s="16">
        <f t="shared" si="637"/>
        <v>0</v>
      </c>
      <c r="AM436" s="16">
        <f t="shared" si="637"/>
        <v>0</v>
      </c>
      <c r="AN436" s="16">
        <f t="shared" si="637"/>
        <v>0</v>
      </c>
      <c r="AO436" s="16">
        <f t="shared" si="637"/>
        <v>0</v>
      </c>
      <c r="AP436" s="10"/>
      <c r="AQ436" s="10"/>
      <c r="AR436" s="10"/>
      <c r="AS436" s="10" t="str">
        <f t="shared" ref="AS436" ca="1" si="645">IFERROR(__xludf.DUMMYFUNCTION("split(F386,"","",true,true)"),"HIMangel")</f>
        <v>HIMangel</v>
      </c>
      <c r="AT436" s="10"/>
      <c r="AU436" s="10"/>
      <c r="AV436" s="10"/>
      <c r="AW436" s="10"/>
      <c r="AX436" s="10"/>
      <c r="AY436" s="10"/>
      <c r="AZ436" s="10"/>
      <c r="BA436" s="10"/>
      <c r="BB436" s="10"/>
      <c r="BC436" s="10"/>
      <c r="BD436" s="10"/>
      <c r="BE436" s="10"/>
      <c r="BF436" s="10"/>
      <c r="BG436" s="10"/>
      <c r="BH436" s="10"/>
      <c r="BI436" s="10"/>
      <c r="BJ436" s="10"/>
      <c r="BK436" s="10"/>
      <c r="BM436" s="10"/>
    </row>
    <row r="437" spans="1:65" ht="12.75">
      <c r="A437" s="18">
        <v>43136</v>
      </c>
      <c r="B437" s="14" t="s">
        <v>286</v>
      </c>
      <c r="C437" s="19">
        <v>7000000</v>
      </c>
      <c r="D437" s="19"/>
      <c r="E437" s="14" t="s">
        <v>115</v>
      </c>
      <c r="F437" s="14" t="s">
        <v>1010</v>
      </c>
      <c r="G437" s="27" t="s">
        <v>339</v>
      </c>
      <c r="H437" s="14" t="str">
        <f t="array" ref="H437">IFERROR(INDEX([1]Companies!$G:$G,MATCH(B437,[1]Companies!$A:$A,0)),"")</f>
        <v>Kenya</v>
      </c>
      <c r="I437" s="14" t="str">
        <f t="shared" si="638"/>
        <v>Kenya</v>
      </c>
      <c r="J437" s="14" t="str">
        <f t="array" ref="J437">IFERROR(INDEX([1]Companies!$Y:$Y,MATCH(B437,[1]Companies!$A:$A,0)),"")</f>
        <v>Logistics, Deliveries, Courier, Packages, Food Delivery, E-Commerce, Mobile Apps, and On demand courier solutions</v>
      </c>
      <c r="K437" s="14" t="str">
        <f t="array" ref="K437">IFERROR(INDEX([1]Companies!$X:$X,MATCH(B437,[1]Companies!$A:$A,0)),"")</f>
        <v>Transport &amp; Logistics</v>
      </c>
      <c r="L437" s="14" t="str">
        <f>VLOOKUP(B437,[1]Companies!$A$1:$C$5243,1,FALSE)</f>
        <v>Sendy</v>
      </c>
      <c r="M437" s="15">
        <f t="shared" si="639"/>
        <v>0.9</v>
      </c>
      <c r="N437" s="10" t="str">
        <f t="shared" si="640"/>
        <v>43136Sendy7000000</v>
      </c>
      <c r="O437" s="14" t="str">
        <f t="shared" si="641"/>
        <v/>
      </c>
      <c r="P437" s="14">
        <f t="shared" si="642"/>
        <v>1</v>
      </c>
      <c r="Q437" s="14">
        <f t="array" ref="Q437">IFERROR(INDEX([1]Companies!$D:$D,MATCH(B437,[1]Companies!$A:$A,0)),"")</f>
        <v>2014</v>
      </c>
      <c r="R437" s="17">
        <f t="shared" si="643"/>
        <v>10500000</v>
      </c>
      <c r="S437" s="14">
        <f>VLOOKUP(I437,[1]Lookups!$V$3:$Y$197,4,FALSE)</f>
        <v>0</v>
      </c>
      <c r="T437" s="14" t="str">
        <f>VLOOKUP(E437,[1]Lookups!$H$3:$I$71,2,FALSE)</f>
        <v>3. Early Venture</v>
      </c>
      <c r="U437" s="14" t="str">
        <f>VLOOKUP(K437,[1]Lookups!$B$3:$C$142,2,FALSE)</f>
        <v>Transport &amp; Logistics</v>
      </c>
      <c r="V437" s="14">
        <f t="shared" si="396"/>
        <v>2018</v>
      </c>
      <c r="W437" s="14">
        <f t="shared" si="397"/>
        <v>2</v>
      </c>
      <c r="X437" s="14">
        <f>VLOOKUP(W437,[1]Lookups!$P$3:$S$15,2,FALSE)</f>
        <v>1</v>
      </c>
      <c r="Y437" s="16">
        <f>VLOOKUP(W437,[1]Lookups!$P$3:$U$15,3,FALSE)</f>
        <v>1</v>
      </c>
      <c r="Z437" s="16">
        <f t="shared" si="398"/>
        <v>2</v>
      </c>
      <c r="AA437" s="16" t="str">
        <f t="shared" ca="1" si="637"/>
        <v>HIMangel</v>
      </c>
      <c r="AB437" s="16" t="str">
        <f t="shared" ca="1" si="637"/>
        <v xml:space="preserve"> CFAO GROUP</v>
      </c>
      <c r="AC437" s="16">
        <f t="shared" si="637"/>
        <v>0</v>
      </c>
      <c r="AD437" s="16">
        <f t="shared" si="637"/>
        <v>0</v>
      </c>
      <c r="AE437" s="16">
        <f t="shared" si="637"/>
        <v>0</v>
      </c>
      <c r="AF437" s="16">
        <f t="shared" si="637"/>
        <v>0</v>
      </c>
      <c r="AG437" s="16">
        <f t="shared" si="637"/>
        <v>0</v>
      </c>
      <c r="AH437" s="16">
        <f t="shared" si="637"/>
        <v>0</v>
      </c>
      <c r="AI437" s="16">
        <f t="shared" si="637"/>
        <v>0</v>
      </c>
      <c r="AJ437" s="16">
        <f t="shared" si="637"/>
        <v>0</v>
      </c>
      <c r="AK437" s="16">
        <f t="shared" si="637"/>
        <v>0</v>
      </c>
      <c r="AL437" s="16">
        <f t="shared" si="637"/>
        <v>0</v>
      </c>
      <c r="AM437" s="16">
        <f t="shared" si="637"/>
        <v>0</v>
      </c>
      <c r="AN437" s="16">
        <f t="shared" si="637"/>
        <v>0</v>
      </c>
      <c r="AO437" s="16">
        <f t="shared" si="637"/>
        <v>0</v>
      </c>
      <c r="AP437" s="10"/>
      <c r="AQ437" s="10"/>
      <c r="AR437" s="10"/>
      <c r="AS437" s="10" t="str">
        <f t="shared" ref="AS437" ca="1" si="646">IFERROR(__xludf.DUMMYFUNCTION("split(F386,"","",true,true)"),"HIMangel")</f>
        <v>HIMangel</v>
      </c>
      <c r="AT437" s="10" t="str">
        <f ca="1">IFERROR(__xludf.DUMMYFUNCTION("""COMPUTED_VALUE""")," CFAO GROUP")</f>
        <v xml:space="preserve"> CFAO GROUP</v>
      </c>
      <c r="AU437" s="10"/>
      <c r="AV437" s="10"/>
      <c r="AW437" s="10"/>
      <c r="AX437" s="10"/>
      <c r="AY437" s="10"/>
      <c r="AZ437" s="10"/>
      <c r="BA437" s="10"/>
      <c r="BB437" s="10"/>
      <c r="BC437" s="10"/>
      <c r="BD437" s="10"/>
      <c r="BE437" s="10"/>
      <c r="BF437" s="10"/>
      <c r="BG437" s="10"/>
      <c r="BH437" s="10"/>
      <c r="BI437" s="10"/>
      <c r="BJ437" s="10"/>
      <c r="BK437" s="10"/>
      <c r="BM437" s="10"/>
    </row>
    <row r="438" spans="1:65" ht="12.75">
      <c r="A438" s="18">
        <v>43137</v>
      </c>
      <c r="B438" s="14" t="s">
        <v>480</v>
      </c>
      <c r="C438" s="19">
        <v>1200000</v>
      </c>
      <c r="D438" s="19"/>
      <c r="E438" s="14" t="s">
        <v>69</v>
      </c>
      <c r="F438" s="14" t="s">
        <v>1011</v>
      </c>
      <c r="G438" s="27" t="s">
        <v>1012</v>
      </c>
      <c r="H438" s="14" t="str">
        <f t="array" ref="H438">IFERROR(INDEX([1]Companies!$G:$G,MATCH(B438,[1]Companies!$A:$A,0)),"")</f>
        <v>Kenya</v>
      </c>
      <c r="I438" s="14" t="str">
        <f t="shared" si="638"/>
        <v>Kenya</v>
      </c>
      <c r="J438" s="14" t="str">
        <f t="array" ref="J438">IFERROR(INDEX([1]Companies!$Y:$Y,MATCH(B438,[1]Companies!$A:$A,0)),"")</f>
        <v>Internet, Marketplace, Mobile Payments, Trading Platform</v>
      </c>
      <c r="K438" s="14" t="str">
        <f t="array" ref="K438">IFERROR(INDEX([1]Companies!$X:$X,MATCH(B438,[1]Companies!$A:$A,0)),"")</f>
        <v>E-Commerce &amp; Retail</v>
      </c>
      <c r="L438" s="14" t="str">
        <f>VLOOKUP(B438,[1]Companies!$A$1:$C$5243,1,FALSE)</f>
        <v>Sky.Garden</v>
      </c>
      <c r="M438" s="15">
        <f t="shared" si="639"/>
        <v>0.9</v>
      </c>
      <c r="N438" s="10" t="str">
        <f t="shared" si="640"/>
        <v>43137Sky.Garden1200000</v>
      </c>
      <c r="O438" s="14" t="str">
        <f t="shared" si="641"/>
        <v/>
      </c>
      <c r="P438" s="14">
        <f t="shared" si="642"/>
        <v>1</v>
      </c>
      <c r="Q438" s="14">
        <f t="array" ref="Q438">IFERROR(INDEX([1]Companies!$D:$D,MATCH(B438,[1]Companies!$A:$A,0)),"")</f>
        <v>2015</v>
      </c>
      <c r="R438" s="17">
        <f t="shared" si="643"/>
        <v>1724700</v>
      </c>
      <c r="S438" s="14">
        <f>VLOOKUP(I438,[1]Lookups!$V$3:$Y$197,4,FALSE)</f>
        <v>0</v>
      </c>
      <c r="T438" s="14" t="str">
        <f>VLOOKUP(E438,[1]Lookups!$H$3:$I$71,2,FALSE)</f>
        <v>3. Early Venture</v>
      </c>
      <c r="U438" s="14" t="str">
        <f>VLOOKUP(K438,[1]Lookups!$B$3:$C$142,2,FALSE)</f>
        <v>E-commerce &amp; Retail</v>
      </c>
      <c r="V438" s="14">
        <f t="shared" si="396"/>
        <v>2018</v>
      </c>
      <c r="W438" s="14">
        <f t="shared" si="397"/>
        <v>2</v>
      </c>
      <c r="X438" s="14">
        <f>VLOOKUP(W438,[1]Lookups!$P$3:$S$15,2,FALSE)</f>
        <v>1</v>
      </c>
      <c r="Y438" s="16">
        <f>VLOOKUP(W438,[1]Lookups!$P$3:$U$15,3,FALSE)</f>
        <v>1</v>
      </c>
      <c r="Z438" s="16">
        <f t="shared" si="398"/>
        <v>4</v>
      </c>
      <c r="AA438" s="16" t="str">
        <f t="shared" ca="1" si="637"/>
        <v>HIMangel</v>
      </c>
      <c r="AB438" s="16" t="str">
        <f t="shared" ca="1" si="637"/>
        <v xml:space="preserve"> TRK Group</v>
      </c>
      <c r="AC438" s="16" t="str">
        <f t="shared" ca="1" si="637"/>
        <v xml:space="preserve"> Danish Business Angels</v>
      </c>
      <c r="AD438" s="16" t="str">
        <f t="shared" ca="1" si="637"/>
        <v xml:space="preserve"> Jesper Drescher</v>
      </c>
      <c r="AE438" s="16">
        <f t="shared" si="637"/>
        <v>0</v>
      </c>
      <c r="AF438" s="16">
        <f t="shared" si="637"/>
        <v>0</v>
      </c>
      <c r="AG438" s="16">
        <f t="shared" si="637"/>
        <v>0</v>
      </c>
      <c r="AH438" s="16">
        <f t="shared" si="637"/>
        <v>0</v>
      </c>
      <c r="AI438" s="16">
        <f t="shared" si="637"/>
        <v>0</v>
      </c>
      <c r="AJ438" s="16">
        <f t="shared" si="637"/>
        <v>0</v>
      </c>
      <c r="AK438" s="16">
        <f t="shared" si="637"/>
        <v>0</v>
      </c>
      <c r="AL438" s="16">
        <f t="shared" si="637"/>
        <v>0</v>
      </c>
      <c r="AM438" s="16">
        <f t="shared" si="637"/>
        <v>0</v>
      </c>
      <c r="AN438" s="16">
        <f t="shared" si="637"/>
        <v>0</v>
      </c>
      <c r="AO438" s="16">
        <f t="shared" si="637"/>
        <v>0</v>
      </c>
      <c r="AP438" s="10"/>
      <c r="AQ438" s="10"/>
      <c r="AR438" s="10"/>
      <c r="AS438" s="10" t="str">
        <f t="shared" ref="AS438" ca="1" si="647">IFERROR(__xludf.DUMMYFUNCTION("split(F386,"","",true,true)"),"HIMangel")</f>
        <v>HIMangel</v>
      </c>
      <c r="AT438" s="10" t="str">
        <f ca="1">IFERROR(__xludf.DUMMYFUNCTION("""COMPUTED_VALUE""")," TRK Group")</f>
        <v xml:space="preserve"> TRK Group</v>
      </c>
      <c r="AU438" s="10" t="str">
        <f ca="1">IFERROR(__xludf.DUMMYFUNCTION("""COMPUTED_VALUE""")," Danish Business Angels")</f>
        <v xml:space="preserve"> Danish Business Angels</v>
      </c>
      <c r="AV438" s="10" t="str">
        <f ca="1">IFERROR(__xludf.DUMMYFUNCTION("""COMPUTED_VALUE""")," Jesper Drescher")</f>
        <v xml:space="preserve"> Jesper Drescher</v>
      </c>
      <c r="AW438" s="10"/>
      <c r="AX438" s="10"/>
      <c r="AY438" s="10"/>
      <c r="AZ438" s="10"/>
      <c r="BA438" s="10"/>
      <c r="BB438" s="10"/>
      <c r="BC438" s="10"/>
      <c r="BD438" s="10"/>
      <c r="BE438" s="10"/>
      <c r="BF438" s="10"/>
      <c r="BG438" s="10"/>
      <c r="BH438" s="10"/>
      <c r="BI438" s="10"/>
      <c r="BJ438" s="10"/>
      <c r="BK438" s="10"/>
      <c r="BM438" s="10"/>
    </row>
    <row r="439" spans="1:65" ht="12.75">
      <c r="A439" s="18">
        <v>43138</v>
      </c>
      <c r="B439" s="14" t="s">
        <v>1013</v>
      </c>
      <c r="C439" s="19">
        <v>200000</v>
      </c>
      <c r="D439" s="19"/>
      <c r="E439" s="14" t="s">
        <v>45</v>
      </c>
      <c r="F439" s="14" t="s">
        <v>1014</v>
      </c>
      <c r="G439" s="27" t="s">
        <v>1015</v>
      </c>
      <c r="H439" s="14" t="str">
        <f t="array" ref="H439">IFERROR(INDEX([1]Companies!$G:$G,MATCH(B439,[1]Companies!$A:$A,0)),"")</f>
        <v>Nigeria</v>
      </c>
      <c r="I439" s="14" t="str">
        <f t="shared" si="638"/>
        <v>Nigeria</v>
      </c>
      <c r="J439" s="14" t="str">
        <f t="array" ref="J439">IFERROR(INDEX([1]Companies!$Y:$Y,MATCH(B439,[1]Companies!$A:$A,0)),"")</f>
        <v>Health Care, Hospital</v>
      </c>
      <c r="K439" s="14" t="str">
        <f t="array" ref="K439">IFERROR(INDEX([1]Companies!$X:$X,MATCH(B439,[1]Companies!$A:$A,0)),"")</f>
        <v>Healthcare &amp; Pharma</v>
      </c>
      <c r="L439" s="14" t="str">
        <f>VLOOKUP(B439,[1]Companies!$A$1:$C$5243,1,FALSE)</f>
        <v xml:space="preserve">LifeBank </v>
      </c>
      <c r="M439" s="15">
        <f t="shared" si="639"/>
        <v>0.9</v>
      </c>
      <c r="N439" s="10" t="str">
        <f t="shared" si="640"/>
        <v>43138LifeBank 200000</v>
      </c>
      <c r="O439" s="14" t="str">
        <f t="shared" si="641"/>
        <v/>
      </c>
      <c r="P439" s="14">
        <f t="shared" si="642"/>
        <v>1</v>
      </c>
      <c r="Q439" s="14">
        <f t="array" ref="Q439">IFERROR(INDEX([1]Companies!$D:$D,MATCH(B439,[1]Companies!$A:$A,0)),"")</f>
        <v>2015</v>
      </c>
      <c r="R439" s="17">
        <f t="shared" si="643"/>
        <v>262033</v>
      </c>
      <c r="S439" s="14">
        <f>VLOOKUP(I439,[1]Lookups!$V$3:$Y$197,4,FALSE)</f>
        <v>0</v>
      </c>
      <c r="T439" s="14" t="str">
        <f>VLOOKUP(E439,[1]Lookups!$H$3:$I$71,2,FALSE)</f>
        <v>2. Seed</v>
      </c>
      <c r="U439" s="14" t="str">
        <f>VLOOKUP(K439,[1]Lookups!$B$3:$C$142,2,FALSE)</f>
        <v>Health &amp; Pharmaceuticals</v>
      </c>
      <c r="V439" s="14">
        <f t="shared" si="396"/>
        <v>2018</v>
      </c>
      <c r="W439" s="14">
        <f t="shared" si="397"/>
        <v>2</v>
      </c>
      <c r="X439" s="14">
        <f>VLOOKUP(W439,[1]Lookups!$P$3:$S$15,2,FALSE)</f>
        <v>1</v>
      </c>
      <c r="Y439" s="16">
        <f>VLOOKUP(W439,[1]Lookups!$P$3:$U$15,3,FALSE)</f>
        <v>1</v>
      </c>
      <c r="Z439" s="16">
        <f t="shared" si="398"/>
        <v>3</v>
      </c>
      <c r="AA439" s="16" t="str">
        <f t="shared" ca="1" si="637"/>
        <v>HIMangel</v>
      </c>
      <c r="AB439" s="16" t="str">
        <f t="shared" ca="1" si="637"/>
        <v xml:space="preserve"> Co-Creation Hub Nigeria</v>
      </c>
      <c r="AC439" s="16" t="str">
        <f t="shared" ca="1" si="637"/>
        <v xml:space="preserve"> Fola Laoye</v>
      </c>
      <c r="AD439" s="16">
        <f t="shared" si="637"/>
        <v>0</v>
      </c>
      <c r="AE439" s="16">
        <f t="shared" si="637"/>
        <v>0</v>
      </c>
      <c r="AF439" s="16">
        <f t="shared" si="637"/>
        <v>0</v>
      </c>
      <c r="AG439" s="16">
        <f t="shared" si="637"/>
        <v>0</v>
      </c>
      <c r="AH439" s="16">
        <f t="shared" si="637"/>
        <v>0</v>
      </c>
      <c r="AI439" s="16">
        <f t="shared" si="637"/>
        <v>0</v>
      </c>
      <c r="AJ439" s="16">
        <f t="shared" si="637"/>
        <v>0</v>
      </c>
      <c r="AK439" s="16">
        <f t="shared" si="637"/>
        <v>0</v>
      </c>
      <c r="AL439" s="16">
        <f t="shared" si="637"/>
        <v>0</v>
      </c>
      <c r="AM439" s="16">
        <f t="shared" si="637"/>
        <v>0</v>
      </c>
      <c r="AN439" s="16">
        <f t="shared" si="637"/>
        <v>0</v>
      </c>
      <c r="AO439" s="16">
        <f t="shared" si="637"/>
        <v>0</v>
      </c>
      <c r="AP439" s="10"/>
      <c r="AQ439" s="10"/>
      <c r="AR439" s="10"/>
      <c r="AS439" s="10" t="str">
        <f t="shared" ref="AS439" ca="1" si="648">IFERROR(__xludf.DUMMYFUNCTION("split(F386,"","",true,true)"),"HIMangel")</f>
        <v>HIMangel</v>
      </c>
      <c r="AT439" s="10" t="str">
        <f ca="1">IFERROR(__xludf.DUMMYFUNCTION("""COMPUTED_VALUE""")," Co-Creation Hub Nigeria")</f>
        <v xml:space="preserve"> Co-Creation Hub Nigeria</v>
      </c>
      <c r="AU439" s="10" t="str">
        <f ca="1">IFERROR(__xludf.DUMMYFUNCTION("""COMPUTED_VALUE""")," Fola Laoye")</f>
        <v xml:space="preserve"> Fola Laoye</v>
      </c>
      <c r="AV439" s="10"/>
      <c r="AW439" s="10"/>
      <c r="AX439" s="10"/>
      <c r="AY439" s="10"/>
      <c r="AZ439" s="10"/>
      <c r="BA439" s="10"/>
      <c r="BB439" s="10"/>
      <c r="BC439" s="10"/>
      <c r="BD439" s="10"/>
      <c r="BE439" s="10"/>
      <c r="BF439" s="10"/>
      <c r="BG439" s="10"/>
      <c r="BH439" s="10"/>
      <c r="BI439" s="10"/>
      <c r="BJ439" s="10"/>
      <c r="BK439" s="10"/>
      <c r="BM439" s="10"/>
    </row>
    <row r="440" spans="1:65" ht="12.75">
      <c r="A440" s="18">
        <v>43147</v>
      </c>
      <c r="B440" s="14" t="s">
        <v>974</v>
      </c>
      <c r="C440" s="19">
        <v>100000</v>
      </c>
      <c r="D440" s="19"/>
      <c r="E440" s="14" t="s">
        <v>45</v>
      </c>
      <c r="F440" s="14" t="s">
        <v>1016</v>
      </c>
      <c r="G440" s="27" t="s">
        <v>1017</v>
      </c>
      <c r="H440" s="14" t="str">
        <f t="array" ref="H440">IFERROR(INDEX([1]Companies!$G:$G,MATCH(B440,[1]Companies!$A:$A,0)),"")</f>
        <v>Mauritius</v>
      </c>
      <c r="I440" s="14" t="str">
        <f t="shared" si="638"/>
        <v>Mauritius</v>
      </c>
      <c r="J440" s="14" t="str">
        <f t="array" ref="J440">IFERROR(INDEX([1]Companies!$Y:$Y,MATCH(B440,[1]Companies!$A:$A,0)),"")</f>
        <v>Blockchain, Compliance, Identity Management, Information Technology</v>
      </c>
      <c r="K440" s="14" t="str">
        <f t="array" ref="K440">IFERROR(INDEX([1]Companies!$X:$X,MATCH(B440,[1]Companies!$A:$A,0)),"")</f>
        <v>Emerging Technologies</v>
      </c>
      <c r="L440" s="14" t="str">
        <f>VLOOKUP(B440,[1]Companies!$A$1:$C$5243,1,FALSE)</f>
        <v>IAME</v>
      </c>
      <c r="M440" s="15">
        <f t="shared" si="639"/>
        <v>0.9</v>
      </c>
      <c r="N440" s="10" t="str">
        <f t="shared" si="640"/>
        <v>43147IAME100000</v>
      </c>
      <c r="O440" s="14" t="str">
        <f t="shared" si="641"/>
        <v/>
      </c>
      <c r="P440" s="14">
        <f t="shared" si="642"/>
        <v>1</v>
      </c>
      <c r="Q440" s="14">
        <f t="array" ref="Q440">IFERROR(INDEX([1]Companies!$D:$D,MATCH(B440,[1]Companies!$A:$A,0)),"")</f>
        <v>2017</v>
      </c>
      <c r="R440" s="17">
        <f t="shared" si="643"/>
        <v>170000</v>
      </c>
      <c r="S440" s="14">
        <f>VLOOKUP(I440,[1]Lookups!$V$3:$Y$197,4,FALSE)</f>
        <v>0</v>
      </c>
      <c r="T440" s="14" t="str">
        <f>VLOOKUP(E440,[1]Lookups!$H$3:$I$71,2,FALSE)</f>
        <v>2. Seed</v>
      </c>
      <c r="U440" s="14" t="str">
        <f>VLOOKUP(K440,[1]Lookups!$B$3:$C$142,2,FALSE)</f>
        <v>Emerging Technologies</v>
      </c>
      <c r="V440" s="14">
        <f t="shared" si="396"/>
        <v>2018</v>
      </c>
      <c r="W440" s="14">
        <f t="shared" si="397"/>
        <v>2</v>
      </c>
      <c r="X440" s="14">
        <f>VLOOKUP(W440,[1]Lookups!$P$3:$S$15,2,FALSE)</f>
        <v>1</v>
      </c>
      <c r="Y440" s="16">
        <f>VLOOKUP(W440,[1]Lookups!$P$3:$U$15,3,FALSE)</f>
        <v>1</v>
      </c>
      <c r="Z440" s="16">
        <f t="shared" si="398"/>
        <v>1</v>
      </c>
      <c r="AA440" s="16" t="str">
        <f t="shared" ca="1" si="637"/>
        <v>HIMangel</v>
      </c>
      <c r="AB440" s="16">
        <f t="shared" si="637"/>
        <v>0</v>
      </c>
      <c r="AC440" s="16">
        <f t="shared" si="637"/>
        <v>0</v>
      </c>
      <c r="AD440" s="16">
        <f t="shared" si="637"/>
        <v>0</v>
      </c>
      <c r="AE440" s="16">
        <f t="shared" si="637"/>
        <v>0</v>
      </c>
      <c r="AF440" s="16">
        <f t="shared" si="637"/>
        <v>0</v>
      </c>
      <c r="AG440" s="16">
        <f t="shared" si="637"/>
        <v>0</v>
      </c>
      <c r="AH440" s="16">
        <f t="shared" si="637"/>
        <v>0</v>
      </c>
      <c r="AI440" s="16">
        <f t="shared" si="637"/>
        <v>0</v>
      </c>
      <c r="AJ440" s="16">
        <f t="shared" si="637"/>
        <v>0</v>
      </c>
      <c r="AK440" s="16">
        <f t="shared" si="637"/>
        <v>0</v>
      </c>
      <c r="AL440" s="16">
        <f t="shared" si="637"/>
        <v>0</v>
      </c>
      <c r="AM440" s="16">
        <f t="shared" si="637"/>
        <v>0</v>
      </c>
      <c r="AN440" s="16">
        <f t="shared" si="637"/>
        <v>0</v>
      </c>
      <c r="AO440" s="16">
        <f t="shared" si="637"/>
        <v>0</v>
      </c>
      <c r="AP440" s="10"/>
      <c r="AQ440" s="10"/>
      <c r="AR440" s="10"/>
      <c r="AS440" s="10" t="str">
        <f t="shared" ref="AS440" ca="1" si="649">IFERROR(__xludf.DUMMYFUNCTION("split(F386,"","",true,true)"),"HIMangel")</f>
        <v>HIMangel</v>
      </c>
      <c r="AT440" s="10"/>
      <c r="AU440" s="10"/>
      <c r="AV440" s="10"/>
      <c r="AW440" s="10"/>
      <c r="AX440" s="10"/>
      <c r="AY440" s="10"/>
      <c r="AZ440" s="10"/>
      <c r="BA440" s="10"/>
      <c r="BB440" s="10"/>
      <c r="BC440" s="10"/>
      <c r="BD440" s="10"/>
      <c r="BE440" s="10"/>
      <c r="BF440" s="10"/>
      <c r="BG440" s="10"/>
      <c r="BH440" s="10"/>
      <c r="BI440" s="10"/>
      <c r="BJ440" s="10"/>
      <c r="BK440" s="10"/>
      <c r="BM440" s="10"/>
    </row>
    <row r="441" spans="1:65" ht="12.75">
      <c r="A441" s="18">
        <v>43157</v>
      </c>
      <c r="B441" s="14" t="s">
        <v>907</v>
      </c>
      <c r="C441" s="19" t="s">
        <v>49</v>
      </c>
      <c r="D441" s="19"/>
      <c r="E441" s="14" t="s">
        <v>55</v>
      </c>
      <c r="F441" s="14" t="s">
        <v>665</v>
      </c>
      <c r="G441" s="27" t="s">
        <v>1018</v>
      </c>
      <c r="H441" s="14" t="str">
        <f t="array" ref="H441">IFERROR(INDEX([1]Companies!$G:$G,MATCH(B441,[1]Companies!$A:$A,0)),"")</f>
        <v>Kenya</v>
      </c>
      <c r="I441" s="14" t="str">
        <f t="shared" si="638"/>
        <v>Kenya</v>
      </c>
      <c r="J441" s="14" t="str">
        <f t="array" ref="J441">IFERROR(INDEX([1]Companies!$Y:$Y,MATCH(B441,[1]Companies!$A:$A,0)),"")</f>
        <v>Professional Services, Labour</v>
      </c>
      <c r="K441" s="14" t="str">
        <f t="array" ref="K441">IFERROR(INDEX([1]Companies!$X:$X,MATCH(B441,[1]Companies!$A:$A,0)),"")</f>
        <v>Commercial &amp; Professional Services</v>
      </c>
      <c r="L441" s="14" t="str">
        <f>VLOOKUP(B441,[1]Companies!$A$1:$C$5243,1,FALSE)</f>
        <v>Lynk</v>
      </c>
      <c r="M441" s="15">
        <f t="shared" si="639"/>
        <v>0.9</v>
      </c>
      <c r="N441" s="10" t="str">
        <f t="shared" si="640"/>
        <v>43157LynkUndisclosed</v>
      </c>
      <c r="O441" s="14" t="str">
        <f t="shared" si="641"/>
        <v/>
      </c>
      <c r="P441" s="14">
        <f t="shared" si="642"/>
        <v>0</v>
      </c>
      <c r="Q441" s="14">
        <f t="array" ref="Q441">IFERROR(INDEX([1]Companies!$D:$D,MATCH(B441,[1]Companies!$A:$A,0)),"")</f>
        <v>2017</v>
      </c>
      <c r="R441" s="17">
        <f t="shared" si="643"/>
        <v>3895000</v>
      </c>
      <c r="S441" s="14">
        <f>VLOOKUP(I441,[1]Lookups!$V$3:$Y$197,4,FALSE)</f>
        <v>0</v>
      </c>
      <c r="T441" s="14" t="str">
        <f>VLOOKUP(E441,[1]Lookups!$H$3:$I$71,2,FALSE)</f>
        <v>1. Grant</v>
      </c>
      <c r="U441" s="14" t="str">
        <f>VLOOKUP(K441,[1]Lookups!$B$3:$C$142,2,FALSE)</f>
        <v>Other Technologies &amp; Information Technology</v>
      </c>
      <c r="V441" s="14">
        <f t="shared" si="396"/>
        <v>2018</v>
      </c>
      <c r="W441" s="14">
        <f t="shared" si="397"/>
        <v>2</v>
      </c>
      <c r="X441" s="14">
        <f>VLOOKUP(W441,[1]Lookups!$P$3:$S$15,2,FALSE)</f>
        <v>1</v>
      </c>
      <c r="Y441" s="16">
        <f>VLOOKUP(W441,[1]Lookups!$P$3:$U$15,3,FALSE)</f>
        <v>1</v>
      </c>
      <c r="Z441" s="16">
        <f t="shared" si="398"/>
        <v>1</v>
      </c>
      <c r="AA441" s="16" t="str">
        <f t="shared" ca="1" si="637"/>
        <v>HIMangel</v>
      </c>
      <c r="AB441" s="16">
        <f t="shared" si="637"/>
        <v>0</v>
      </c>
      <c r="AC441" s="16">
        <f t="shared" si="637"/>
        <v>0</v>
      </c>
      <c r="AD441" s="16">
        <f t="shared" si="637"/>
        <v>0</v>
      </c>
      <c r="AE441" s="16">
        <f t="shared" si="637"/>
        <v>0</v>
      </c>
      <c r="AF441" s="16">
        <f t="shared" si="637"/>
        <v>0</v>
      </c>
      <c r="AG441" s="16">
        <f t="shared" si="637"/>
        <v>0</v>
      </c>
      <c r="AH441" s="16">
        <f t="shared" si="637"/>
        <v>0</v>
      </c>
      <c r="AI441" s="16">
        <f t="shared" si="637"/>
        <v>0</v>
      </c>
      <c r="AJ441" s="16">
        <f t="shared" si="637"/>
        <v>0</v>
      </c>
      <c r="AK441" s="16">
        <f t="shared" si="637"/>
        <v>0</v>
      </c>
      <c r="AL441" s="16">
        <f t="shared" si="637"/>
        <v>0</v>
      </c>
      <c r="AM441" s="16">
        <f t="shared" si="637"/>
        <v>0</v>
      </c>
      <c r="AN441" s="16">
        <f t="shared" si="637"/>
        <v>0</v>
      </c>
      <c r="AO441" s="16">
        <f t="shared" si="637"/>
        <v>0</v>
      </c>
      <c r="AP441" s="10"/>
      <c r="AQ441" s="10"/>
      <c r="AR441" s="10"/>
      <c r="AS441" s="10" t="str">
        <f t="shared" ref="AS441" ca="1" si="650">IFERROR(__xludf.DUMMYFUNCTION("split(F386,"","",true,true)"),"HIMangel")</f>
        <v>HIMangel</v>
      </c>
      <c r="AT441" s="10"/>
      <c r="AU441" s="10"/>
      <c r="AV441" s="10"/>
      <c r="AW441" s="10"/>
      <c r="AX441" s="10"/>
      <c r="AY441" s="10"/>
      <c r="AZ441" s="10"/>
      <c r="BA441" s="10"/>
      <c r="BB441" s="10"/>
      <c r="BC441" s="10"/>
      <c r="BD441" s="10"/>
      <c r="BE441" s="10"/>
      <c r="BF441" s="10"/>
      <c r="BG441" s="10"/>
      <c r="BH441" s="10"/>
      <c r="BI441" s="10"/>
      <c r="BJ441" s="10"/>
      <c r="BK441" s="10"/>
      <c r="BM441" s="10"/>
    </row>
    <row r="442" spans="1:65" ht="12.75">
      <c r="A442" s="18">
        <v>43157</v>
      </c>
      <c r="B442" s="14" t="s">
        <v>1019</v>
      </c>
      <c r="C442" s="19">
        <v>350000</v>
      </c>
      <c r="D442" s="19"/>
      <c r="E442" s="14" t="s">
        <v>55</v>
      </c>
      <c r="F442" s="14" t="s">
        <v>665</v>
      </c>
      <c r="G442" s="27" t="s">
        <v>1020</v>
      </c>
      <c r="H442" s="14" t="str">
        <f t="array" ref="H442">IFERROR(INDEX([1]Companies!$G:$G,MATCH(B442,[1]Companies!$A:$A,0)),"")</f>
        <v>Uganda</v>
      </c>
      <c r="I442" s="14" t="str">
        <f t="shared" si="638"/>
        <v>Uganda</v>
      </c>
      <c r="J442" s="14" t="str">
        <f t="array" ref="J442">IFERROR(INDEX([1]Companies!$Y:$Y,MATCH(B442,[1]Companies!$A:$A,0)),"")</f>
        <v>Micro-finance Software, SACCO Software, Credit Union Software, Mobile Banking</v>
      </c>
      <c r="K442" s="14" t="str">
        <f t="array" ref="K442">IFERROR(INDEX([1]Companies!$X:$X,MATCH(B442,[1]Companies!$A:$A,0)),"")</f>
        <v>Financial Services</v>
      </c>
      <c r="L442" s="14" t="str">
        <f>VLOOKUP(B442,[1]Companies!$A$1:$C$5243,1,FALSE)</f>
        <v>Ensibuuko</v>
      </c>
      <c r="M442" s="15">
        <f t="shared" si="639"/>
        <v>0.9</v>
      </c>
      <c r="N442" s="10" t="str">
        <f t="shared" si="640"/>
        <v>43157Ensibuuko350000</v>
      </c>
      <c r="O442" s="14" t="str">
        <f t="shared" si="641"/>
        <v/>
      </c>
      <c r="P442" s="14">
        <f t="shared" si="642"/>
        <v>1</v>
      </c>
      <c r="Q442" s="14">
        <f t="array" ref="Q442">IFERROR(INDEX([1]Companies!$D:$D,MATCH(B442,[1]Companies!$A:$A,0)),"")</f>
        <v>2014</v>
      </c>
      <c r="R442" s="17">
        <f t="shared" si="643"/>
        <v>350000</v>
      </c>
      <c r="S442" s="14">
        <f>VLOOKUP(I442,[1]Lookups!$V$3:$Y$197,4,FALSE)</f>
        <v>0</v>
      </c>
      <c r="T442" s="14" t="str">
        <f>VLOOKUP(E442,[1]Lookups!$H$3:$I$71,2,FALSE)</f>
        <v>1. Grant</v>
      </c>
      <c r="U442" s="14" t="str">
        <f>VLOOKUP(K442,[1]Lookups!$B$3:$C$142,2,FALSE)</f>
        <v>Financial Services</v>
      </c>
      <c r="V442" s="14">
        <f t="shared" si="396"/>
        <v>2018</v>
      </c>
      <c r="W442" s="14">
        <f t="shared" si="397"/>
        <v>2</v>
      </c>
      <c r="X442" s="14">
        <f>VLOOKUP(W442,[1]Lookups!$P$3:$S$15,2,FALSE)</f>
        <v>1</v>
      </c>
      <c r="Y442" s="16">
        <f>VLOOKUP(W442,[1]Lookups!$P$3:$U$15,3,FALSE)</f>
        <v>1</v>
      </c>
      <c r="Z442" s="16">
        <f t="shared" si="398"/>
        <v>1</v>
      </c>
      <c r="AA442" s="16" t="str">
        <f t="shared" ca="1" si="637"/>
        <v>HIMangel</v>
      </c>
      <c r="AB442" s="16">
        <f t="shared" si="637"/>
        <v>0</v>
      </c>
      <c r="AC442" s="16">
        <f t="shared" si="637"/>
        <v>0</v>
      </c>
      <c r="AD442" s="16">
        <f t="shared" si="637"/>
        <v>0</v>
      </c>
      <c r="AE442" s="16">
        <f t="shared" si="637"/>
        <v>0</v>
      </c>
      <c r="AF442" s="16">
        <f t="shared" si="637"/>
        <v>0</v>
      </c>
      <c r="AG442" s="16">
        <f t="shared" si="637"/>
        <v>0</v>
      </c>
      <c r="AH442" s="16">
        <f t="shared" si="637"/>
        <v>0</v>
      </c>
      <c r="AI442" s="16">
        <f t="shared" si="637"/>
        <v>0</v>
      </c>
      <c r="AJ442" s="16">
        <f t="shared" si="637"/>
        <v>0</v>
      </c>
      <c r="AK442" s="16">
        <f t="shared" si="637"/>
        <v>0</v>
      </c>
      <c r="AL442" s="16">
        <f t="shared" si="637"/>
        <v>0</v>
      </c>
      <c r="AM442" s="16">
        <f t="shared" si="637"/>
        <v>0</v>
      </c>
      <c r="AN442" s="16">
        <f t="shared" si="637"/>
        <v>0</v>
      </c>
      <c r="AO442" s="16">
        <f t="shared" si="637"/>
        <v>0</v>
      </c>
      <c r="AP442" s="10"/>
      <c r="AQ442" s="10"/>
      <c r="AR442" s="10"/>
      <c r="AS442" s="10" t="str">
        <f t="shared" ref="AS442" ca="1" si="651">IFERROR(__xludf.DUMMYFUNCTION("split(F386,"","",true,true)"),"HIMangel")</f>
        <v>HIMangel</v>
      </c>
      <c r="AT442" s="10"/>
      <c r="AU442" s="10"/>
      <c r="AV442" s="10"/>
      <c r="AW442" s="10"/>
      <c r="AX442" s="10"/>
      <c r="AY442" s="10"/>
      <c r="AZ442" s="10"/>
      <c r="BA442" s="10"/>
      <c r="BB442" s="10"/>
      <c r="BC442" s="10"/>
      <c r="BD442" s="10"/>
      <c r="BE442" s="10"/>
      <c r="BF442" s="10"/>
      <c r="BG442" s="10"/>
      <c r="BH442" s="10"/>
      <c r="BI442" s="10"/>
      <c r="BJ442" s="10"/>
      <c r="BK442" s="10"/>
      <c r="BM442" s="10"/>
    </row>
    <row r="443" spans="1:65" ht="12.75">
      <c r="A443" s="18">
        <v>43157</v>
      </c>
      <c r="B443" s="14" t="s">
        <v>746</v>
      </c>
      <c r="C443" s="19">
        <v>350000</v>
      </c>
      <c r="D443" s="19"/>
      <c r="E443" s="14" t="s">
        <v>55</v>
      </c>
      <c r="F443" s="14" t="s">
        <v>665</v>
      </c>
      <c r="G443" s="27" t="s">
        <v>1021</v>
      </c>
      <c r="H443" s="14" t="str">
        <f t="array" ref="H443">IFERROR(INDEX([1]Companies!$G:$G,MATCH(B443,[1]Companies!$A:$A,0)),"")</f>
        <v>Nigeria</v>
      </c>
      <c r="I443" s="14" t="str">
        <f t="shared" si="638"/>
        <v>Nigeria</v>
      </c>
      <c r="J443" s="14" t="str">
        <f t="array" ref="J443">IFERROR(INDEX([1]Companies!$Y:$Y,MATCH(B443,[1]Companies!$A:$A,0)),"")</f>
        <v>Farming, Agriculture, Digital Farming, Technology Farming, Agtech</v>
      </c>
      <c r="K443" s="14" t="str">
        <f t="array" ref="K443">IFERROR(INDEX([1]Companies!$X:$X,MATCH(B443,[1]Companies!$A:$A,0)),"")</f>
        <v>Financial Services</v>
      </c>
      <c r="L443" s="14" t="str">
        <f>VLOOKUP(B443,[1]Companies!$A$1:$C$5243,1,FALSE)</f>
        <v>Farmcrowdy</v>
      </c>
      <c r="M443" s="15">
        <f t="shared" si="639"/>
        <v>0.9</v>
      </c>
      <c r="N443" s="10" t="str">
        <f t="shared" si="640"/>
        <v>43157Farmcrowdy350000</v>
      </c>
      <c r="O443" s="14" t="str">
        <f t="shared" si="641"/>
        <v/>
      </c>
      <c r="P443" s="14">
        <f t="shared" si="642"/>
        <v>1</v>
      </c>
      <c r="Q443" s="14">
        <f t="array" ref="Q443">IFERROR(INDEX([1]Companies!$D:$D,MATCH(B443,[1]Companies!$A:$A,0)),"")</f>
        <v>2016</v>
      </c>
      <c r="R443" s="17">
        <f t="shared" si="643"/>
        <v>2450000</v>
      </c>
      <c r="S443" s="14">
        <f>VLOOKUP(I443,[1]Lookups!$V$3:$Y$197,4,FALSE)</f>
        <v>0</v>
      </c>
      <c r="T443" s="14" t="str">
        <f>VLOOKUP(E443,[1]Lookups!$H$3:$I$71,2,FALSE)</f>
        <v>1. Grant</v>
      </c>
      <c r="U443" s="14" t="str">
        <f>VLOOKUP(K443,[1]Lookups!$B$3:$C$142,2,FALSE)</f>
        <v>Financial Services</v>
      </c>
      <c r="V443" s="14">
        <f t="shared" si="396"/>
        <v>2018</v>
      </c>
      <c r="W443" s="14">
        <f t="shared" si="397"/>
        <v>2</v>
      </c>
      <c r="X443" s="14">
        <f>VLOOKUP(W443,[1]Lookups!$P$3:$S$15,2,FALSE)</f>
        <v>1</v>
      </c>
      <c r="Y443" s="16">
        <f>VLOOKUP(W443,[1]Lookups!$P$3:$U$15,3,FALSE)</f>
        <v>1</v>
      </c>
      <c r="Z443" s="16">
        <f t="shared" si="398"/>
        <v>1</v>
      </c>
      <c r="AA443" s="16" t="str">
        <f t="shared" ca="1" si="637"/>
        <v>HIMangel</v>
      </c>
      <c r="AB443" s="16">
        <f t="shared" si="637"/>
        <v>0</v>
      </c>
      <c r="AC443" s="16">
        <f t="shared" si="637"/>
        <v>0</v>
      </c>
      <c r="AD443" s="16">
        <f t="shared" si="637"/>
        <v>0</v>
      </c>
      <c r="AE443" s="16">
        <f t="shared" si="637"/>
        <v>0</v>
      </c>
      <c r="AF443" s="16">
        <f t="shared" si="637"/>
        <v>0</v>
      </c>
      <c r="AG443" s="16">
        <f t="shared" si="637"/>
        <v>0</v>
      </c>
      <c r="AH443" s="16">
        <f t="shared" si="637"/>
        <v>0</v>
      </c>
      <c r="AI443" s="16">
        <f t="shared" si="637"/>
        <v>0</v>
      </c>
      <c r="AJ443" s="16">
        <f t="shared" si="637"/>
        <v>0</v>
      </c>
      <c r="AK443" s="16">
        <f t="shared" si="637"/>
        <v>0</v>
      </c>
      <c r="AL443" s="16">
        <f t="shared" si="637"/>
        <v>0</v>
      </c>
      <c r="AM443" s="16">
        <f t="shared" si="637"/>
        <v>0</v>
      </c>
      <c r="AN443" s="16">
        <f t="shared" si="637"/>
        <v>0</v>
      </c>
      <c r="AO443" s="16">
        <f t="shared" si="637"/>
        <v>0</v>
      </c>
      <c r="AP443" s="10"/>
      <c r="AQ443" s="10"/>
      <c r="AR443" s="10"/>
      <c r="AS443" s="10" t="str">
        <f t="shared" ref="AS443" ca="1" si="652">IFERROR(__xludf.DUMMYFUNCTION("split(F386,"","",true,true)"),"HIMangel")</f>
        <v>HIMangel</v>
      </c>
      <c r="AT443" s="10"/>
      <c r="AU443" s="10"/>
      <c r="AV443" s="10"/>
      <c r="AW443" s="10"/>
      <c r="AX443" s="10"/>
      <c r="AY443" s="10"/>
      <c r="AZ443" s="10"/>
      <c r="BA443" s="10"/>
      <c r="BB443" s="10"/>
      <c r="BC443" s="10"/>
      <c r="BD443" s="10"/>
      <c r="BE443" s="10"/>
      <c r="BF443" s="10"/>
      <c r="BG443" s="10"/>
      <c r="BH443" s="10"/>
      <c r="BI443" s="10"/>
      <c r="BJ443" s="10"/>
      <c r="BK443" s="10"/>
      <c r="BM443" s="10"/>
    </row>
    <row r="444" spans="1:65" ht="12.75">
      <c r="A444" s="18">
        <v>43157</v>
      </c>
      <c r="B444" s="14" t="s">
        <v>1022</v>
      </c>
      <c r="C444" s="19">
        <v>340000</v>
      </c>
      <c r="D444" s="19"/>
      <c r="E444" s="14" t="s">
        <v>55</v>
      </c>
      <c r="F444" s="14" t="s">
        <v>665</v>
      </c>
      <c r="G444" s="27" t="s">
        <v>1023</v>
      </c>
      <c r="H444" s="14" t="str">
        <f t="array" ref="H444">IFERROR(INDEX([1]Companies!$G:$G,MATCH(B444,[1]Companies!$A:$A,0)),"")</f>
        <v>Senegal</v>
      </c>
      <c r="I444" s="14" t="str">
        <f t="shared" si="638"/>
        <v>Senegal</v>
      </c>
      <c r="J444" s="14" t="str">
        <f t="array" ref="J444">IFERROR(INDEX([1]Companies!$Y:$Y,MATCH(B444,[1]Companies!$A:$A,0)),"")</f>
        <v>Financial Services, Internet</v>
      </c>
      <c r="K444" s="14" t="str">
        <f t="array" ref="K444">IFERROR(INDEX([1]Companies!$X:$X,MATCH(B444,[1]Companies!$A:$A,0)),"")</f>
        <v>Financial Services</v>
      </c>
      <c r="L444" s="14" t="str">
        <f>VLOOKUP(B444,[1]Companies!$A$1:$C$5243,1,FALSE)</f>
        <v>MaTontine</v>
      </c>
      <c r="M444" s="15">
        <f t="shared" si="639"/>
        <v>0.9</v>
      </c>
      <c r="N444" s="10" t="str">
        <f t="shared" si="640"/>
        <v>43157MaTontine340000</v>
      </c>
      <c r="O444" s="14" t="str">
        <f t="shared" si="641"/>
        <v/>
      </c>
      <c r="P444" s="14">
        <f t="shared" si="642"/>
        <v>1</v>
      </c>
      <c r="Q444" s="14">
        <f t="array" ref="Q444">IFERROR(INDEX([1]Companies!$D:$D,MATCH(B444,[1]Companies!$A:$A,0)),"")</f>
        <v>2016</v>
      </c>
      <c r="R444" s="17">
        <f t="shared" si="643"/>
        <v>340000</v>
      </c>
      <c r="S444" s="14">
        <f>VLOOKUP(I444,[1]Lookups!$V$3:$Y$197,4,FALSE)</f>
        <v>0</v>
      </c>
      <c r="T444" s="14" t="str">
        <f>VLOOKUP(E444,[1]Lookups!$H$3:$I$71,2,FALSE)</f>
        <v>1. Grant</v>
      </c>
      <c r="U444" s="14" t="str">
        <f>VLOOKUP(K444,[1]Lookups!$B$3:$C$142,2,FALSE)</f>
        <v>Financial Services</v>
      </c>
      <c r="V444" s="14">
        <f t="shared" si="396"/>
        <v>2018</v>
      </c>
      <c r="W444" s="14">
        <f t="shared" si="397"/>
        <v>2</v>
      </c>
      <c r="X444" s="14">
        <f>VLOOKUP(W444,[1]Lookups!$P$3:$S$15,2,FALSE)</f>
        <v>1</v>
      </c>
      <c r="Y444" s="16">
        <f>VLOOKUP(W444,[1]Lookups!$P$3:$U$15,3,FALSE)</f>
        <v>1</v>
      </c>
      <c r="Z444" s="16">
        <f t="shared" si="398"/>
        <v>1</v>
      </c>
      <c r="AA444" s="16" t="str">
        <f t="shared" ca="1" si="637"/>
        <v>HIMangel</v>
      </c>
      <c r="AB444" s="16">
        <f t="shared" si="637"/>
        <v>0</v>
      </c>
      <c r="AC444" s="16">
        <f t="shared" si="637"/>
        <v>0</v>
      </c>
      <c r="AD444" s="16">
        <f t="shared" si="637"/>
        <v>0</v>
      </c>
      <c r="AE444" s="16">
        <f t="shared" si="637"/>
        <v>0</v>
      </c>
      <c r="AF444" s="16">
        <f t="shared" si="637"/>
        <v>0</v>
      </c>
      <c r="AG444" s="16">
        <f t="shared" si="637"/>
        <v>0</v>
      </c>
      <c r="AH444" s="16">
        <f t="shared" si="637"/>
        <v>0</v>
      </c>
      <c r="AI444" s="16">
        <f t="shared" si="637"/>
        <v>0</v>
      </c>
      <c r="AJ444" s="16">
        <f t="shared" si="637"/>
        <v>0</v>
      </c>
      <c r="AK444" s="16">
        <f t="shared" si="637"/>
        <v>0</v>
      </c>
      <c r="AL444" s="16">
        <f t="shared" si="637"/>
        <v>0</v>
      </c>
      <c r="AM444" s="16">
        <f t="shared" si="637"/>
        <v>0</v>
      </c>
      <c r="AN444" s="16">
        <f t="shared" si="637"/>
        <v>0</v>
      </c>
      <c r="AO444" s="16">
        <f t="shared" si="637"/>
        <v>0</v>
      </c>
      <c r="AP444" s="10"/>
      <c r="AQ444" s="10"/>
      <c r="AR444" s="10"/>
      <c r="AS444" s="10" t="str">
        <f t="shared" ref="AS444" ca="1" si="653">IFERROR(__xludf.DUMMYFUNCTION("split(F386,"","",true,true)"),"HIMangel")</f>
        <v>HIMangel</v>
      </c>
      <c r="AT444" s="10"/>
      <c r="AU444" s="10"/>
      <c r="AV444" s="10"/>
      <c r="AW444" s="10"/>
      <c r="AX444" s="10"/>
      <c r="AY444" s="10"/>
      <c r="AZ444" s="10"/>
      <c r="BA444" s="10"/>
      <c r="BB444" s="10"/>
      <c r="BC444" s="10"/>
      <c r="BD444" s="10"/>
      <c r="BE444" s="10"/>
      <c r="BF444" s="10"/>
      <c r="BG444" s="10"/>
      <c r="BH444" s="10"/>
      <c r="BI444" s="10"/>
      <c r="BJ444" s="10"/>
      <c r="BK444" s="10"/>
      <c r="BM444" s="10"/>
    </row>
    <row r="445" spans="1:65" ht="12.75">
      <c r="A445" s="18">
        <v>43157</v>
      </c>
      <c r="B445" s="14" t="s">
        <v>1024</v>
      </c>
      <c r="C445" s="19">
        <v>266000</v>
      </c>
      <c r="D445" s="19"/>
      <c r="E445" s="14" t="s">
        <v>45</v>
      </c>
      <c r="F445" s="14" t="s">
        <v>665</v>
      </c>
      <c r="G445" s="27" t="s">
        <v>1025</v>
      </c>
      <c r="H445" s="14" t="str">
        <f t="array" ref="H445">IFERROR(INDEX([1]Companies!$G:$G,MATCH(B445,[1]Companies!$A:$A,0)),"")</f>
        <v>Zambia</v>
      </c>
      <c r="I445" s="14" t="str">
        <f t="shared" si="638"/>
        <v>Zambia</v>
      </c>
      <c r="J445" s="14" t="str">
        <f t="array" ref="J445">IFERROR(INDEX([1]Companies!$Y:$Y,MATCH(B445,[1]Companies!$A:$A,0)),"")</f>
        <v>Delivery, Delivery Service, Logistics</v>
      </c>
      <c r="K445" s="14" t="str">
        <f t="array" ref="K445">IFERROR(INDEX([1]Companies!$X:$X,MATCH(B445,[1]Companies!$A:$A,0)),"")</f>
        <v>Transport &amp; Logistics</v>
      </c>
      <c r="L445" s="14" t="str">
        <f>VLOOKUP(B445,[1]Companies!$A$1:$C$5243,1,FALSE)</f>
        <v>Musanga</v>
      </c>
      <c r="M445" s="15">
        <f t="shared" si="639"/>
        <v>0.9</v>
      </c>
      <c r="N445" s="10" t="str">
        <f t="shared" si="640"/>
        <v>43157Musanga266000</v>
      </c>
      <c r="O445" s="14" t="str">
        <f t="shared" si="641"/>
        <v/>
      </c>
      <c r="P445" s="14">
        <f t="shared" si="642"/>
        <v>1</v>
      </c>
      <c r="Q445" s="14">
        <f t="array" ref="Q445">IFERROR(INDEX([1]Companies!$D:$D,MATCH(B445,[1]Companies!$A:$A,0)),"")</f>
        <v>2016</v>
      </c>
      <c r="R445" s="17">
        <f t="shared" si="643"/>
        <v>266000</v>
      </c>
      <c r="S445" s="14">
        <f>VLOOKUP(I445,[1]Lookups!$V$3:$Y$197,4,FALSE)</f>
        <v>0</v>
      </c>
      <c r="T445" s="14" t="str">
        <f>VLOOKUP(E445,[1]Lookups!$H$3:$I$71,2,FALSE)</f>
        <v>2. Seed</v>
      </c>
      <c r="U445" s="14" t="str">
        <f>VLOOKUP(K445,[1]Lookups!$B$3:$C$142,2,FALSE)</f>
        <v>Transport &amp; Logistics</v>
      </c>
      <c r="V445" s="14">
        <f t="shared" si="396"/>
        <v>2018</v>
      </c>
      <c r="W445" s="14">
        <f t="shared" si="397"/>
        <v>2</v>
      </c>
      <c r="X445" s="14">
        <f>VLOOKUP(W445,[1]Lookups!$P$3:$S$15,2,FALSE)</f>
        <v>1</v>
      </c>
      <c r="Y445" s="16">
        <f>VLOOKUP(W445,[1]Lookups!$P$3:$U$15,3,FALSE)</f>
        <v>1</v>
      </c>
      <c r="Z445" s="16">
        <f t="shared" si="398"/>
        <v>1</v>
      </c>
      <c r="AA445" s="16" t="str">
        <f t="shared" ca="1" si="637"/>
        <v>HIMangel</v>
      </c>
      <c r="AB445" s="16">
        <f t="shared" si="637"/>
        <v>0</v>
      </c>
      <c r="AC445" s="16">
        <f t="shared" si="637"/>
        <v>0</v>
      </c>
      <c r="AD445" s="16">
        <f t="shared" si="637"/>
        <v>0</v>
      </c>
      <c r="AE445" s="16">
        <f t="shared" si="637"/>
        <v>0</v>
      </c>
      <c r="AF445" s="16">
        <f t="shared" si="637"/>
        <v>0</v>
      </c>
      <c r="AG445" s="16">
        <f t="shared" si="637"/>
        <v>0</v>
      </c>
      <c r="AH445" s="16">
        <f t="shared" si="637"/>
        <v>0</v>
      </c>
      <c r="AI445" s="16">
        <f t="shared" si="637"/>
        <v>0</v>
      </c>
      <c r="AJ445" s="16">
        <f t="shared" si="637"/>
        <v>0</v>
      </c>
      <c r="AK445" s="16">
        <f t="shared" si="637"/>
        <v>0</v>
      </c>
      <c r="AL445" s="16">
        <f t="shared" si="637"/>
        <v>0</v>
      </c>
      <c r="AM445" s="16">
        <f t="shared" si="637"/>
        <v>0</v>
      </c>
      <c r="AN445" s="16">
        <f t="shared" si="637"/>
        <v>0</v>
      </c>
      <c r="AO445" s="16">
        <f t="shared" si="637"/>
        <v>0</v>
      </c>
      <c r="AP445" s="10"/>
      <c r="AQ445" s="10"/>
      <c r="AR445" s="10"/>
      <c r="AS445" s="10" t="str">
        <f t="shared" ref="AS445" ca="1" si="654">IFERROR(__xludf.DUMMYFUNCTION("split(F386,"","",true,true)"),"HIMangel")</f>
        <v>HIMangel</v>
      </c>
      <c r="AT445" s="23"/>
      <c r="AU445" s="23"/>
      <c r="AV445" s="23"/>
      <c r="AW445" s="23"/>
      <c r="AX445" s="23"/>
      <c r="AY445" s="23"/>
      <c r="AZ445" s="23"/>
      <c r="BA445" s="23"/>
      <c r="BB445" s="23"/>
      <c r="BC445" s="23"/>
      <c r="BD445" s="23"/>
      <c r="BE445" s="23"/>
      <c r="BF445" s="23"/>
      <c r="BG445" s="23"/>
      <c r="BH445" s="23"/>
      <c r="BI445" s="23"/>
      <c r="BJ445" s="23"/>
      <c r="BK445" s="23"/>
      <c r="BL445" s="23"/>
      <c r="BM445" s="23"/>
    </row>
    <row r="446" spans="1:65" ht="12.75">
      <c r="A446" s="18">
        <v>43157</v>
      </c>
      <c r="B446" s="14" t="s">
        <v>1026</v>
      </c>
      <c r="C446" s="19">
        <v>15000</v>
      </c>
      <c r="D446" s="19"/>
      <c r="E446" s="14" t="s">
        <v>45</v>
      </c>
      <c r="F446" s="14" t="s">
        <v>49</v>
      </c>
      <c r="G446" s="27" t="s">
        <v>1027</v>
      </c>
      <c r="H446" s="14" t="str">
        <f t="array" ref="H446">IFERROR(INDEX([1]Companies!$G:$G,MATCH(B446,[1]Companies!$A:$A,0)),"")</f>
        <v>Kenya</v>
      </c>
      <c r="I446" s="14" t="str">
        <f t="shared" si="638"/>
        <v>Kenya</v>
      </c>
      <c r="J446" s="14" t="str">
        <f t="array" ref="J446">IFERROR(INDEX([1]Companies!$Y:$Y,MATCH(B446,[1]Companies!$A:$A,0)),"")</f>
        <v>Analytics, Consumer Software, Health Care, Home Health Care, Information Technology, Medical, Personal Health, SaaS</v>
      </c>
      <c r="K446" s="14" t="str">
        <f t="array" ref="K446">IFERROR(INDEX([1]Companies!$X:$X,MATCH(B446,[1]Companies!$A:$A,0)),"")</f>
        <v>Healthcare &amp; Pharma</v>
      </c>
      <c r="L446" s="14" t="str">
        <f>VLOOKUP(B446,[1]Companies!$A$1:$C$5243,1,FALSE)</f>
        <v>Medico Plus</v>
      </c>
      <c r="M446" s="15">
        <f t="shared" si="639"/>
        <v>0.9</v>
      </c>
      <c r="N446" s="10" t="str">
        <f t="shared" si="640"/>
        <v>43157Medico Plus15000</v>
      </c>
      <c r="O446" s="14" t="str">
        <f t="shared" si="641"/>
        <v/>
      </c>
      <c r="P446" s="14">
        <f t="shared" si="642"/>
        <v>1</v>
      </c>
      <c r="Q446" s="14">
        <f t="array" ref="Q446">IFERROR(INDEX([1]Companies!$D:$D,MATCH(B446,[1]Companies!$A:$A,0)),"")</f>
        <v>2017</v>
      </c>
      <c r="R446" s="17">
        <f t="shared" si="643"/>
        <v>15000</v>
      </c>
      <c r="S446" s="14">
        <f>VLOOKUP(I446,[1]Lookups!$V$3:$Y$197,4,FALSE)</f>
        <v>0</v>
      </c>
      <c r="T446" s="14" t="str">
        <f>VLOOKUP(E446,[1]Lookups!$H$3:$I$71,2,FALSE)</f>
        <v>2. Seed</v>
      </c>
      <c r="U446" s="14" t="str">
        <f>VLOOKUP(K446,[1]Lookups!$B$3:$C$142,2,FALSE)</f>
        <v>Health &amp; Pharmaceuticals</v>
      </c>
      <c r="V446" s="14">
        <f t="shared" si="396"/>
        <v>2018</v>
      </c>
      <c r="W446" s="14">
        <f t="shared" si="397"/>
        <v>2</v>
      </c>
      <c r="X446" s="14">
        <f>VLOOKUP(W446,[1]Lookups!$P$3:$S$15,2,FALSE)</f>
        <v>1</v>
      </c>
      <c r="Y446" s="16">
        <f>VLOOKUP(W446,[1]Lookups!$P$3:$U$15,3,FALSE)</f>
        <v>1</v>
      </c>
      <c r="Z446" s="16">
        <f t="shared" si="398"/>
        <v>1</v>
      </c>
      <c r="AA446" s="16" t="str">
        <f t="shared" ca="1" si="637"/>
        <v>HIMangel</v>
      </c>
      <c r="AB446" s="16">
        <f t="shared" si="637"/>
        <v>0</v>
      </c>
      <c r="AC446" s="16">
        <f t="shared" si="637"/>
        <v>0</v>
      </c>
      <c r="AD446" s="16">
        <f t="shared" si="637"/>
        <v>0</v>
      </c>
      <c r="AE446" s="16">
        <f t="shared" si="637"/>
        <v>0</v>
      </c>
      <c r="AF446" s="16">
        <f t="shared" si="637"/>
        <v>0</v>
      </c>
      <c r="AG446" s="16">
        <f t="shared" si="637"/>
        <v>0</v>
      </c>
      <c r="AH446" s="16">
        <f t="shared" si="637"/>
        <v>0</v>
      </c>
      <c r="AI446" s="16">
        <f t="shared" si="637"/>
        <v>0</v>
      </c>
      <c r="AJ446" s="16">
        <f t="shared" si="637"/>
        <v>0</v>
      </c>
      <c r="AK446" s="16">
        <f t="shared" si="637"/>
        <v>0</v>
      </c>
      <c r="AL446" s="16">
        <f t="shared" si="637"/>
        <v>0</v>
      </c>
      <c r="AM446" s="16">
        <f t="shared" si="637"/>
        <v>0</v>
      </c>
      <c r="AN446" s="16">
        <f t="shared" si="637"/>
        <v>0</v>
      </c>
      <c r="AO446" s="16">
        <f t="shared" si="637"/>
        <v>0</v>
      </c>
      <c r="AP446" s="10"/>
      <c r="AQ446" s="10"/>
      <c r="AR446" s="10"/>
      <c r="AS446" s="10" t="str">
        <f t="shared" ref="AS446" ca="1" si="655">IFERROR(__xludf.DUMMYFUNCTION("split(F386,"","",true,true)"),"HIMangel")</f>
        <v>HIMangel</v>
      </c>
      <c r="AT446" s="10"/>
      <c r="AU446" s="10"/>
      <c r="AV446" s="10"/>
      <c r="AW446" s="10"/>
      <c r="AX446" s="10"/>
      <c r="AY446" s="10"/>
      <c r="AZ446" s="10"/>
      <c r="BA446" s="10"/>
      <c r="BB446" s="10"/>
      <c r="BC446" s="10"/>
      <c r="BD446" s="10"/>
      <c r="BE446" s="10"/>
      <c r="BF446" s="10"/>
      <c r="BG446" s="10"/>
      <c r="BH446" s="10"/>
      <c r="BI446" s="10"/>
      <c r="BJ446" s="10"/>
      <c r="BK446" s="10"/>
      <c r="BM446" s="10"/>
    </row>
    <row r="447" spans="1:65" ht="12.75">
      <c r="A447" s="18">
        <v>43158</v>
      </c>
      <c r="B447" s="14" t="s">
        <v>1028</v>
      </c>
      <c r="C447" s="19">
        <v>320000</v>
      </c>
      <c r="D447" s="19"/>
      <c r="E447" s="14" t="s">
        <v>55</v>
      </c>
      <c r="F447" s="14" t="s">
        <v>665</v>
      </c>
      <c r="G447" s="27" t="s">
        <v>1029</v>
      </c>
      <c r="H447" s="14" t="str">
        <f t="array" ref="H447">IFERROR(INDEX([1]Companies!$G:$G,MATCH(B447,[1]Companies!$A:$A,0)),"")</f>
        <v>Nigeria</v>
      </c>
      <c r="I447" s="14" t="str">
        <f t="shared" si="638"/>
        <v>Nigeria</v>
      </c>
      <c r="J447" s="14" t="str">
        <f t="array" ref="J447">IFERROR(INDEX([1]Companies!$Y:$Y,MATCH(B447,[1]Companies!$A:$A,0)),"")</f>
        <v>E-Learning, EdTech, Education</v>
      </c>
      <c r="K447" s="14" t="str">
        <f t="array" ref="K447">IFERROR(INDEX([1]Companies!$X:$X,MATCH(B447,[1]Companies!$A:$A,0)),"")</f>
        <v>Education</v>
      </c>
      <c r="L447" s="14" t="str">
        <f>VLOOKUP(B447,[1]Companies!$A$1:$C$5243,1,FALSE)</f>
        <v>Prepclass</v>
      </c>
      <c r="M447" s="15">
        <f t="shared" si="639"/>
        <v>0.9</v>
      </c>
      <c r="N447" s="10" t="str">
        <f t="shared" si="640"/>
        <v>43158PrepClass320000</v>
      </c>
      <c r="O447" s="14" t="str">
        <f t="shared" si="641"/>
        <v/>
      </c>
      <c r="P447" s="14">
        <f t="shared" si="642"/>
        <v>1</v>
      </c>
      <c r="Q447" s="14">
        <f t="array" ref="Q447">IFERROR(INDEX([1]Companies!$D:$D,MATCH(B447,[1]Companies!$A:$A,0)),"")</f>
        <v>2014</v>
      </c>
      <c r="R447" s="17">
        <f t="shared" si="643"/>
        <v>620000</v>
      </c>
      <c r="S447" s="14">
        <f>VLOOKUP(I447,[1]Lookups!$V$3:$Y$197,4,FALSE)</f>
        <v>0</v>
      </c>
      <c r="T447" s="14" t="str">
        <f>VLOOKUP(E447,[1]Lookups!$H$3:$I$71,2,FALSE)</f>
        <v>1. Grant</v>
      </c>
      <c r="U447" s="14" t="str">
        <f>VLOOKUP(K447,[1]Lookups!$B$3:$C$142,2,FALSE)</f>
        <v>Education</v>
      </c>
      <c r="V447" s="14">
        <f t="shared" si="396"/>
        <v>2018</v>
      </c>
      <c r="W447" s="14">
        <f t="shared" si="397"/>
        <v>2</v>
      </c>
      <c r="X447" s="14">
        <f>VLOOKUP(W447,[1]Lookups!$P$3:$S$15,2,FALSE)</f>
        <v>1</v>
      </c>
      <c r="Y447" s="16">
        <f>VLOOKUP(W447,[1]Lookups!$P$3:$U$15,3,FALSE)</f>
        <v>1</v>
      </c>
      <c r="Z447" s="16">
        <f t="shared" si="398"/>
        <v>1</v>
      </c>
      <c r="AA447" s="16" t="str">
        <f t="shared" ca="1" si="637"/>
        <v>HIMangel</v>
      </c>
      <c r="AB447" s="16">
        <f t="shared" si="637"/>
        <v>0</v>
      </c>
      <c r="AC447" s="16">
        <f t="shared" si="637"/>
        <v>0</v>
      </c>
      <c r="AD447" s="16">
        <f t="shared" si="637"/>
        <v>0</v>
      </c>
      <c r="AE447" s="16">
        <f t="shared" si="637"/>
        <v>0</v>
      </c>
      <c r="AF447" s="16">
        <f t="shared" si="637"/>
        <v>0</v>
      </c>
      <c r="AG447" s="16">
        <f t="shared" si="637"/>
        <v>0</v>
      </c>
      <c r="AH447" s="16">
        <f t="shared" si="637"/>
        <v>0</v>
      </c>
      <c r="AI447" s="16">
        <f t="shared" si="637"/>
        <v>0</v>
      </c>
      <c r="AJ447" s="16">
        <f t="shared" si="637"/>
        <v>0</v>
      </c>
      <c r="AK447" s="16">
        <f t="shared" si="637"/>
        <v>0</v>
      </c>
      <c r="AL447" s="16">
        <f t="shared" si="637"/>
        <v>0</v>
      </c>
      <c r="AM447" s="16">
        <f t="shared" si="637"/>
        <v>0</v>
      </c>
      <c r="AN447" s="16">
        <f t="shared" si="637"/>
        <v>0</v>
      </c>
      <c r="AO447" s="16">
        <f t="shared" si="637"/>
        <v>0</v>
      </c>
      <c r="AP447" s="10"/>
      <c r="AQ447" s="10"/>
      <c r="AR447" s="10"/>
      <c r="AS447" s="10" t="str">
        <f t="shared" ref="AS447" ca="1" si="656">IFERROR(__xludf.DUMMYFUNCTION("split(F386,"","",true,true)"),"HIMangel")</f>
        <v>HIMangel</v>
      </c>
      <c r="AT447" s="10"/>
      <c r="AU447" s="10"/>
      <c r="AV447" s="10"/>
      <c r="AW447" s="10"/>
      <c r="AX447" s="10"/>
      <c r="AY447" s="10"/>
      <c r="AZ447" s="10"/>
      <c r="BA447" s="10"/>
      <c r="BB447" s="10"/>
      <c r="BC447" s="10"/>
      <c r="BD447" s="10"/>
      <c r="BE447" s="10"/>
      <c r="BF447" s="10"/>
      <c r="BG447" s="10"/>
      <c r="BH447" s="10"/>
      <c r="BI447" s="10"/>
      <c r="BJ447" s="10"/>
      <c r="BK447" s="10"/>
      <c r="BM447" s="10"/>
    </row>
    <row r="448" spans="1:65" ht="12.75">
      <c r="A448" s="18">
        <v>43159</v>
      </c>
      <c r="B448" s="14" t="s">
        <v>1030</v>
      </c>
      <c r="C448" s="19" t="s">
        <v>49</v>
      </c>
      <c r="D448" s="19"/>
      <c r="E448" s="14" t="s">
        <v>45</v>
      </c>
      <c r="F448" s="14" t="s">
        <v>584</v>
      </c>
      <c r="G448" s="27" t="s">
        <v>1031</v>
      </c>
      <c r="H448" s="14" t="str">
        <f t="array" ref="H448">IFERROR(INDEX([1]Companies!$G:$G,MATCH(B448,[1]Companies!$A:$A,0)),"")</f>
        <v>Egypt</v>
      </c>
      <c r="I448" s="14" t="str">
        <f t="shared" si="638"/>
        <v>Egypt</v>
      </c>
      <c r="J448" s="14" t="str">
        <f t="array" ref="J448">IFERROR(INDEX([1]Companies!$Y:$Y,MATCH(B448,[1]Companies!$A:$A,0)),"")</f>
        <v>Computer, Cyber Security, Information Technology, Operating Systems, Software</v>
      </c>
      <c r="K448" s="14" t="str">
        <f t="array" ref="K448">IFERROR(INDEX([1]Companies!$X:$X,MATCH(B448,[1]Companies!$A:$A,0)),"")</f>
        <v>Information Technology</v>
      </c>
      <c r="L448" s="14" t="str">
        <f>VLOOKUP(B448,[1]Companies!$A$1:$C$5243,1,FALSE)</f>
        <v>Wire Microsystems</v>
      </c>
      <c r="M448" s="15">
        <f t="shared" si="639"/>
        <v>0.9</v>
      </c>
      <c r="N448" s="10" t="str">
        <f t="shared" si="640"/>
        <v>43159WiRE MicrosystemsUndisclosed</v>
      </c>
      <c r="O448" s="14" t="str">
        <f t="shared" si="641"/>
        <v/>
      </c>
      <c r="P448" s="14">
        <f t="shared" si="642"/>
        <v>0</v>
      </c>
      <c r="Q448" s="14">
        <f t="array" ref="Q448">IFERROR(INDEX([1]Companies!$D:$D,MATCH(B448,[1]Companies!$A:$A,0)),"")</f>
        <v>2016</v>
      </c>
      <c r="R448" s="17">
        <f t="shared" si="643"/>
        <v>0</v>
      </c>
      <c r="S448" s="14">
        <f>VLOOKUP(I448,[1]Lookups!$V$3:$Y$197,4,FALSE)</f>
        <v>0</v>
      </c>
      <c r="T448" s="14" t="str">
        <f>VLOOKUP(E448,[1]Lookups!$H$3:$I$71,2,FALSE)</f>
        <v>2. Seed</v>
      </c>
      <c r="U448" s="14" t="str">
        <f>VLOOKUP(K448,[1]Lookups!$B$3:$C$142,2,FALSE)</f>
        <v>Other Technologies &amp; Information Technology</v>
      </c>
      <c r="V448" s="14">
        <f t="shared" si="396"/>
        <v>2018</v>
      </c>
      <c r="W448" s="14">
        <f t="shared" si="397"/>
        <v>2</v>
      </c>
      <c r="X448" s="14">
        <f>VLOOKUP(W448,[1]Lookups!$P$3:$S$15,2,FALSE)</f>
        <v>1</v>
      </c>
      <c r="Y448" s="16">
        <f>VLOOKUP(W448,[1]Lookups!$P$3:$U$15,3,FALSE)</f>
        <v>1</v>
      </c>
      <c r="Z448" s="16">
        <f t="shared" si="398"/>
        <v>1</v>
      </c>
      <c r="AA448" s="16" t="str">
        <f t="shared" ca="1" si="637"/>
        <v>HIMangel</v>
      </c>
      <c r="AB448" s="16">
        <f t="shared" si="637"/>
        <v>0</v>
      </c>
      <c r="AC448" s="16">
        <f t="shared" si="637"/>
        <v>0</v>
      </c>
      <c r="AD448" s="16">
        <f t="shared" si="637"/>
        <v>0</v>
      </c>
      <c r="AE448" s="16">
        <f t="shared" si="637"/>
        <v>0</v>
      </c>
      <c r="AF448" s="16">
        <f t="shared" si="637"/>
        <v>0</v>
      </c>
      <c r="AG448" s="16">
        <f t="shared" si="637"/>
        <v>0</v>
      </c>
      <c r="AH448" s="16">
        <f t="shared" si="637"/>
        <v>0</v>
      </c>
      <c r="AI448" s="16">
        <f t="shared" si="637"/>
        <v>0</v>
      </c>
      <c r="AJ448" s="16">
        <f t="shared" si="637"/>
        <v>0</v>
      </c>
      <c r="AK448" s="16">
        <f t="shared" si="637"/>
        <v>0</v>
      </c>
      <c r="AL448" s="16">
        <f t="shared" si="637"/>
        <v>0</v>
      </c>
      <c r="AM448" s="16">
        <f t="shared" si="637"/>
        <v>0</v>
      </c>
      <c r="AN448" s="16">
        <f t="shared" si="637"/>
        <v>0</v>
      </c>
      <c r="AO448" s="16">
        <f t="shared" si="637"/>
        <v>0</v>
      </c>
      <c r="AP448" s="10"/>
      <c r="AQ448" s="10"/>
      <c r="AR448" s="10"/>
      <c r="AS448" s="10" t="str">
        <f t="shared" ref="AS448" ca="1" si="657">IFERROR(__xludf.DUMMYFUNCTION("split(F386,"","",true,true)"),"HIMangel")</f>
        <v>HIMangel</v>
      </c>
      <c r="AT448" s="10"/>
      <c r="AU448" s="10"/>
      <c r="AV448" s="10"/>
      <c r="AW448" s="10"/>
      <c r="AX448" s="10"/>
      <c r="AY448" s="10"/>
      <c r="AZ448" s="10"/>
      <c r="BA448" s="10"/>
      <c r="BB448" s="10"/>
      <c r="BC448" s="10"/>
      <c r="BD448" s="10"/>
      <c r="BE448" s="10"/>
      <c r="BF448" s="10"/>
      <c r="BG448" s="10"/>
      <c r="BH448" s="10"/>
      <c r="BI448" s="10"/>
      <c r="BJ448" s="10"/>
      <c r="BK448" s="10"/>
      <c r="BM448" s="10"/>
    </row>
    <row r="449" spans="1:65" ht="12.75">
      <c r="A449" s="18">
        <v>43161</v>
      </c>
      <c r="B449" s="14" t="s">
        <v>1032</v>
      </c>
      <c r="C449" s="19">
        <v>1500000</v>
      </c>
      <c r="D449" s="19"/>
      <c r="E449" s="14" t="s">
        <v>69</v>
      </c>
      <c r="F449" s="14" t="s">
        <v>942</v>
      </c>
      <c r="G449" s="14" t="s">
        <v>1033</v>
      </c>
      <c r="H449" s="14" t="str">
        <f t="array" ref="H449">IFERROR(INDEX([1]Companies!$G:$G,MATCH(B449,[1]Companies!$A:$A,0)),"")</f>
        <v/>
      </c>
      <c r="I449" s="14" t="str">
        <f t="shared" si="638"/>
        <v/>
      </c>
      <c r="J449" s="14" t="str">
        <f t="array" ref="J449">IFERROR(INDEX([1]Companies!$Y:$Y,MATCH(B449,[1]Companies!$A:$A,0)),"")</f>
        <v/>
      </c>
      <c r="K449" s="14" t="str">
        <f t="array" ref="K449">IFERROR(INDEX([1]Companies!$X:$X,MATCH(B449,[1]Companies!$A:$A,0)),"")</f>
        <v/>
      </c>
      <c r="L449" s="14" t="e">
        <f>VLOOKUP(B449,[1]Companies!$A$1:$C$5243,1,FALSE)</f>
        <v>#N/A</v>
      </c>
      <c r="M449" s="15">
        <f t="shared" si="639"/>
        <v>0.6428571428571429</v>
      </c>
      <c r="N449" s="10" t="str">
        <f t="shared" si="640"/>
        <v>43161NG Clearing Limited1500000</v>
      </c>
      <c r="O449" s="14" t="str">
        <f t="shared" si="641"/>
        <v/>
      </c>
      <c r="P449" s="14">
        <f t="shared" si="642"/>
        <v>1</v>
      </c>
      <c r="Q449" s="14" t="str">
        <f t="array" ref="Q449">IFERROR(INDEX([1]Companies!$D:$D,MATCH(B449,[1]Companies!$A:$A,0)),"")</f>
        <v/>
      </c>
      <c r="R449" s="17">
        <f t="shared" si="643"/>
        <v>1500000</v>
      </c>
      <c r="S449" s="14" t="e">
        <f>VLOOKUP(I449,[1]Lookups!$V$3:$Y$197,4,FALSE)</f>
        <v>#N/A</v>
      </c>
      <c r="T449" s="14" t="str">
        <f>VLOOKUP(E449,[1]Lookups!$H$3:$I$71,2,FALSE)</f>
        <v>3. Early Venture</v>
      </c>
      <c r="U449" s="14" t="e">
        <f>VLOOKUP(K449,[1]Lookups!$B$3:$C$142,2,FALSE)</f>
        <v>#N/A</v>
      </c>
      <c r="V449" s="14">
        <f t="shared" si="396"/>
        <v>2018</v>
      </c>
      <c r="W449" s="14">
        <f t="shared" si="397"/>
        <v>3</v>
      </c>
      <c r="X449" s="14">
        <f>VLOOKUP(W449,[1]Lookups!$P$3:$S$15,2,FALSE)</f>
        <v>1</v>
      </c>
      <c r="Y449" s="16">
        <f>VLOOKUP(W449,[1]Lookups!$P$3:$U$15,3,FALSE)</f>
        <v>1</v>
      </c>
      <c r="Z449" s="16">
        <f t="shared" si="398"/>
        <v>1</v>
      </c>
      <c r="AA449" s="16" t="str">
        <f t="shared" ca="1" si="637"/>
        <v>HIMangel</v>
      </c>
      <c r="AB449" s="16">
        <f t="shared" si="637"/>
        <v>0</v>
      </c>
      <c r="AC449" s="16">
        <f t="shared" si="637"/>
        <v>0</v>
      </c>
      <c r="AD449" s="16">
        <f t="shared" si="637"/>
        <v>0</v>
      </c>
      <c r="AE449" s="16">
        <f t="shared" si="637"/>
        <v>0</v>
      </c>
      <c r="AF449" s="16">
        <f t="shared" si="637"/>
        <v>0</v>
      </c>
      <c r="AG449" s="16">
        <f t="shared" si="637"/>
        <v>0</v>
      </c>
      <c r="AH449" s="16">
        <f t="shared" si="637"/>
        <v>0</v>
      </c>
      <c r="AI449" s="16">
        <f t="shared" si="637"/>
        <v>0</v>
      </c>
      <c r="AJ449" s="16">
        <f t="shared" si="637"/>
        <v>0</v>
      </c>
      <c r="AK449" s="16">
        <f t="shared" si="637"/>
        <v>0</v>
      </c>
      <c r="AL449" s="16">
        <f t="shared" si="637"/>
        <v>0</v>
      </c>
      <c r="AM449" s="16">
        <f t="shared" si="637"/>
        <v>0</v>
      </c>
      <c r="AN449" s="16">
        <f t="shared" si="637"/>
        <v>0</v>
      </c>
      <c r="AO449" s="16">
        <f t="shared" si="637"/>
        <v>0</v>
      </c>
      <c r="AP449" s="10"/>
      <c r="AQ449" s="10"/>
      <c r="AR449" s="10"/>
      <c r="AS449" s="10" t="str">
        <f t="shared" ref="AS449" ca="1" si="658">IFERROR(__xludf.DUMMYFUNCTION("split(F386,"","",true,true)"),"HIMangel")</f>
        <v>HIMangel</v>
      </c>
      <c r="AT449" s="10"/>
      <c r="AU449" s="10"/>
      <c r="AV449" s="10"/>
      <c r="AW449" s="10"/>
      <c r="AX449" s="10"/>
      <c r="AY449" s="10"/>
      <c r="AZ449" s="10"/>
      <c r="BA449" s="10"/>
      <c r="BB449" s="10"/>
      <c r="BC449" s="10"/>
      <c r="BD449" s="10"/>
      <c r="BE449" s="10"/>
      <c r="BF449" s="10"/>
      <c r="BG449" s="10"/>
      <c r="BH449" s="10"/>
      <c r="BI449" s="10"/>
      <c r="BJ449" s="10"/>
      <c r="BK449" s="10"/>
      <c r="BM449" s="10"/>
    </row>
    <row r="450" spans="1:65" ht="12.75">
      <c r="A450" s="18">
        <v>43165</v>
      </c>
      <c r="B450" s="14" t="s">
        <v>1034</v>
      </c>
      <c r="C450" s="19" t="s">
        <v>49</v>
      </c>
      <c r="D450" s="19"/>
      <c r="E450" s="14" t="s">
        <v>45</v>
      </c>
      <c r="F450" s="14" t="s">
        <v>49</v>
      </c>
      <c r="G450" s="27" t="s">
        <v>1035</v>
      </c>
      <c r="H450" s="14" t="str">
        <f t="array" ref="H450">IFERROR(INDEX([1]Companies!$G:$G,MATCH(B450,[1]Companies!$A:$A,0)),"")</f>
        <v>South Africa</v>
      </c>
      <c r="I450" s="14" t="str">
        <f t="shared" si="638"/>
        <v>South Africa</v>
      </c>
      <c r="J450" s="14" t="str">
        <f t="array" ref="J450">IFERROR(INDEX([1]Companies!$Y:$Y,MATCH(B450,[1]Companies!$A:$A,0)),"")</f>
        <v>Internet</v>
      </c>
      <c r="K450" s="14" t="str">
        <f t="array" ref="K450">IFERROR(INDEX([1]Companies!$X:$X,MATCH(B450,[1]Companies!$A:$A,0)),"")</f>
        <v>E-Commerce &amp; Retail</v>
      </c>
      <c r="L450" s="14" t="str">
        <f>VLOOKUP(B450,[1]Companies!$A$1:$C$5243,1,FALSE)</f>
        <v>HiCarByeCar</v>
      </c>
      <c r="M450" s="15">
        <f t="shared" si="639"/>
        <v>0.9</v>
      </c>
      <c r="N450" s="10" t="str">
        <f t="shared" si="640"/>
        <v>43165HiCarByeCarUndisclosed</v>
      </c>
      <c r="O450" s="14" t="str">
        <f t="shared" si="641"/>
        <v/>
      </c>
      <c r="P450" s="14">
        <f t="shared" si="642"/>
        <v>0</v>
      </c>
      <c r="Q450" s="14">
        <f t="array" ref="Q450">IFERROR(INDEX([1]Companies!$D:$D,MATCH(B450,[1]Companies!$A:$A,0)),"")</f>
        <v>2015</v>
      </c>
      <c r="R450" s="17">
        <f t="shared" si="643"/>
        <v>0</v>
      </c>
      <c r="S450" s="14">
        <f>VLOOKUP(I450,[1]Lookups!$V$3:$Y$197,4,FALSE)</f>
        <v>0</v>
      </c>
      <c r="T450" s="14" t="str">
        <f>VLOOKUP(E450,[1]Lookups!$H$3:$I$71,2,FALSE)</f>
        <v>2. Seed</v>
      </c>
      <c r="U450" s="14" t="str">
        <f>VLOOKUP(K450,[1]Lookups!$B$3:$C$142,2,FALSE)</f>
        <v>E-commerce &amp; Retail</v>
      </c>
      <c r="V450" s="14">
        <f t="shared" si="396"/>
        <v>2018</v>
      </c>
      <c r="W450" s="14">
        <f t="shared" si="397"/>
        <v>3</v>
      </c>
      <c r="X450" s="14">
        <f>VLOOKUP(W450,[1]Lookups!$P$3:$S$15,2,FALSE)</f>
        <v>1</v>
      </c>
      <c r="Y450" s="16">
        <f>VLOOKUP(W450,[1]Lookups!$P$3:$U$15,3,FALSE)</f>
        <v>1</v>
      </c>
      <c r="Z450" s="16">
        <f t="shared" si="398"/>
        <v>1</v>
      </c>
      <c r="AA450" s="16" t="str">
        <f t="shared" ref="AA450:AO465" ca="1" si="659">AS450</f>
        <v>HIMangel</v>
      </c>
      <c r="AB450" s="16">
        <f t="shared" si="659"/>
        <v>0</v>
      </c>
      <c r="AC450" s="16">
        <f t="shared" si="659"/>
        <v>0</v>
      </c>
      <c r="AD450" s="16">
        <f t="shared" si="659"/>
        <v>0</v>
      </c>
      <c r="AE450" s="16">
        <f t="shared" si="659"/>
        <v>0</v>
      </c>
      <c r="AF450" s="16">
        <f t="shared" si="659"/>
        <v>0</v>
      </c>
      <c r="AG450" s="16">
        <f t="shared" si="659"/>
        <v>0</v>
      </c>
      <c r="AH450" s="16">
        <f t="shared" si="659"/>
        <v>0</v>
      </c>
      <c r="AI450" s="16">
        <f t="shared" si="659"/>
        <v>0</v>
      </c>
      <c r="AJ450" s="16">
        <f t="shared" si="659"/>
        <v>0</v>
      </c>
      <c r="AK450" s="16">
        <f t="shared" si="659"/>
        <v>0</v>
      </c>
      <c r="AL450" s="16">
        <f t="shared" si="659"/>
        <v>0</v>
      </c>
      <c r="AM450" s="16">
        <f t="shared" si="659"/>
        <v>0</v>
      </c>
      <c r="AN450" s="16">
        <f t="shared" si="659"/>
        <v>0</v>
      </c>
      <c r="AO450" s="16">
        <f t="shared" si="659"/>
        <v>0</v>
      </c>
      <c r="AP450" s="10"/>
      <c r="AQ450" s="10"/>
      <c r="AR450" s="10"/>
      <c r="AS450" s="10" t="str">
        <f t="shared" ref="AS450" ca="1" si="660">IFERROR(__xludf.DUMMYFUNCTION("split(F386,"","",true,true)"),"HIMangel")</f>
        <v>HIMangel</v>
      </c>
      <c r="AT450" s="10"/>
      <c r="AU450" s="10"/>
      <c r="AV450" s="10"/>
      <c r="AW450" s="10"/>
      <c r="AX450" s="10"/>
      <c r="AY450" s="10"/>
      <c r="AZ450" s="10"/>
      <c r="BA450" s="10"/>
      <c r="BB450" s="10"/>
      <c r="BC450" s="10"/>
      <c r="BD450" s="10"/>
      <c r="BE450" s="10"/>
      <c r="BF450" s="10"/>
      <c r="BG450" s="10"/>
      <c r="BH450" s="10"/>
      <c r="BI450" s="10"/>
      <c r="BJ450" s="10"/>
      <c r="BK450" s="10"/>
      <c r="BM450" s="10"/>
    </row>
    <row r="451" spans="1:65" ht="12.75">
      <c r="A451" s="9">
        <v>43171</v>
      </c>
      <c r="B451" s="10" t="s">
        <v>617</v>
      </c>
      <c r="C451" s="11">
        <v>127000</v>
      </c>
      <c r="D451" s="12"/>
      <c r="E451" s="10" t="s">
        <v>45</v>
      </c>
      <c r="F451" s="10" t="s">
        <v>618</v>
      </c>
      <c r="G451" s="13" t="s">
        <v>1036</v>
      </c>
      <c r="H451" s="14" t="str">
        <f t="array" ref="H451">IFERROR(INDEX([1]Companies!$G:$G,MATCH(B451,[1]Companies!$A:$A,0)),"")</f>
        <v>Ivory Coast</v>
      </c>
      <c r="I451" s="14" t="str">
        <f t="shared" si="638"/>
        <v>Ivory Coast</v>
      </c>
      <c r="J451" s="14" t="str">
        <f t="array" ref="J451">IFERROR(INDEX([1]Companies!$Y:$Y,MATCH(B451,[1]Companies!$A:$A,0)),"")</f>
        <v>Art, E-Commerce, Fashion, Handmade</v>
      </c>
      <c r="K451" s="14" t="str">
        <f t="array" ref="K451">IFERROR(INDEX([1]Companies!$X:$X,MATCH(B451,[1]Companies!$A:$A,0)),"")</f>
        <v>E-Commerce &amp; Retail</v>
      </c>
      <c r="L451" s="14" t="str">
        <f>VLOOKUP(B451,[1]Companies!$A$1:$C$5243,1,FALSE)</f>
        <v>Afrikrea</v>
      </c>
      <c r="M451" s="15">
        <f t="shared" si="639"/>
        <v>0.9</v>
      </c>
      <c r="N451" s="10" t="str">
        <f t="shared" si="640"/>
        <v>43171Afrikrea127000</v>
      </c>
      <c r="O451" s="14" t="str">
        <f t="shared" si="641"/>
        <v/>
      </c>
      <c r="P451" s="14">
        <f t="shared" si="642"/>
        <v>1</v>
      </c>
      <c r="Q451" s="14">
        <f t="array" ref="Q451">IFERROR(INDEX([1]Companies!$D:$D,MATCH(B451,[1]Companies!$A:$A,0)),"")</f>
        <v>2012</v>
      </c>
      <c r="R451" s="17">
        <f t="shared" si="643"/>
        <v>1069000</v>
      </c>
      <c r="S451" s="14">
        <f>VLOOKUP(I451,[1]Lookups!$V$3:$Y$197,4,FALSE)</f>
        <v>0</v>
      </c>
      <c r="T451" s="14" t="str">
        <f>VLOOKUP(E451,[1]Lookups!$H$3:$I$71,2,FALSE)</f>
        <v>2. Seed</v>
      </c>
      <c r="U451" s="14" t="str">
        <f>VLOOKUP(K451,[1]Lookups!$B$3:$C$142,2,FALSE)</f>
        <v>E-commerce &amp; Retail</v>
      </c>
      <c r="V451" s="14">
        <f t="shared" si="396"/>
        <v>2018</v>
      </c>
      <c r="W451" s="14">
        <f t="shared" si="397"/>
        <v>3</v>
      </c>
      <c r="X451" s="14">
        <f>VLOOKUP(W451,[1]Lookups!$P$3:$S$15,2,FALSE)</f>
        <v>1</v>
      </c>
      <c r="Y451" s="16">
        <f>VLOOKUP(W451,[1]Lookups!$P$3:$U$15,3,FALSE)</f>
        <v>1</v>
      </c>
      <c r="Z451" s="16">
        <f t="shared" si="398"/>
        <v>1</v>
      </c>
      <c r="AA451" s="16" t="str">
        <f t="shared" ca="1" si="659"/>
        <v>HIMangel</v>
      </c>
      <c r="AB451" s="16">
        <f t="shared" si="659"/>
        <v>0</v>
      </c>
      <c r="AC451" s="16">
        <f t="shared" si="659"/>
        <v>0</v>
      </c>
      <c r="AD451" s="16">
        <f t="shared" si="659"/>
        <v>0</v>
      </c>
      <c r="AE451" s="16">
        <f t="shared" si="659"/>
        <v>0</v>
      </c>
      <c r="AF451" s="16">
        <f t="shared" si="659"/>
        <v>0</v>
      </c>
      <c r="AG451" s="16">
        <f t="shared" si="659"/>
        <v>0</v>
      </c>
      <c r="AH451" s="16">
        <f t="shared" si="659"/>
        <v>0</v>
      </c>
      <c r="AI451" s="16">
        <f t="shared" si="659"/>
        <v>0</v>
      </c>
      <c r="AJ451" s="16">
        <f t="shared" si="659"/>
        <v>0</v>
      </c>
      <c r="AK451" s="16">
        <f t="shared" si="659"/>
        <v>0</v>
      </c>
      <c r="AL451" s="16">
        <f t="shared" si="659"/>
        <v>0</v>
      </c>
      <c r="AM451" s="16">
        <f t="shared" si="659"/>
        <v>0</v>
      </c>
      <c r="AN451" s="16">
        <f t="shared" si="659"/>
        <v>0</v>
      </c>
      <c r="AO451" s="16">
        <f t="shared" si="659"/>
        <v>0</v>
      </c>
      <c r="AP451" s="10"/>
      <c r="AQ451" s="10"/>
      <c r="AR451" s="10"/>
      <c r="AS451" s="10" t="str">
        <f t="shared" ref="AS451" ca="1" si="661">IFERROR(__xludf.DUMMYFUNCTION("split(F386,"","",true,true)"),"HIMangel")</f>
        <v>HIMangel</v>
      </c>
      <c r="AT451" s="10"/>
      <c r="AU451" s="10"/>
      <c r="AV451" s="10"/>
      <c r="AW451" s="10"/>
      <c r="AX451" s="10"/>
      <c r="AY451" s="10"/>
      <c r="AZ451" s="10"/>
      <c r="BA451" s="10"/>
      <c r="BB451" s="10"/>
      <c r="BC451" s="10"/>
      <c r="BD451" s="10"/>
      <c r="BE451" s="10"/>
      <c r="BF451" s="10"/>
      <c r="BG451" s="10"/>
      <c r="BH451" s="10"/>
      <c r="BI451" s="10"/>
      <c r="BJ451" s="10"/>
      <c r="BK451" s="10"/>
      <c r="BM451" s="10"/>
    </row>
    <row r="452" spans="1:65" ht="12.75">
      <c r="A452" s="18">
        <v>43171</v>
      </c>
      <c r="B452" s="14" t="s">
        <v>1037</v>
      </c>
      <c r="C452" s="19">
        <v>2000000</v>
      </c>
      <c r="D452" s="19"/>
      <c r="E452" s="14" t="s">
        <v>45</v>
      </c>
      <c r="F452" s="14" t="s">
        <v>49</v>
      </c>
      <c r="G452" s="27" t="s">
        <v>1038</v>
      </c>
      <c r="H452" s="14" t="str">
        <f t="array" ref="H452">IFERROR(INDEX([1]Companies!$G:$G,MATCH(B452,[1]Companies!$A:$A,0)),"")</f>
        <v>Kenya</v>
      </c>
      <c r="I452" s="14" t="str">
        <f t="shared" si="638"/>
        <v>Kenya</v>
      </c>
      <c r="J452" s="14" t="str">
        <f t="array" ref="J452">IFERROR(INDEX([1]Companies!$Y:$Y,MATCH(B452,[1]Companies!$A:$A,0)),"")</f>
        <v>Energy, Environmental Engineering, Renewable Energy, Solar</v>
      </c>
      <c r="K452" s="14" t="str">
        <f t="array" ref="K452">IFERROR(INDEX([1]Companies!$X:$X,MATCH(B452,[1]Companies!$A:$A,0)),"")</f>
        <v>Energy &amp; Environment Resources</v>
      </c>
      <c r="L452" s="14" t="str">
        <f>VLOOKUP(B452,[1]Companies!$A$1:$C$5243,1,FALSE)</f>
        <v xml:space="preserve">Pawame </v>
      </c>
      <c r="M452" s="15">
        <f t="shared" si="639"/>
        <v>0.9</v>
      </c>
      <c r="N452" s="10" t="str">
        <f t="shared" si="640"/>
        <v>43171Pawame 2000000</v>
      </c>
      <c r="O452" s="14" t="str">
        <f t="shared" si="641"/>
        <v/>
      </c>
      <c r="P452" s="14">
        <f t="shared" si="642"/>
        <v>1</v>
      </c>
      <c r="Q452" s="14">
        <f t="array" ref="Q452">IFERROR(INDEX([1]Companies!$D:$D,MATCH(B452,[1]Companies!$A:$A,0)),"")</f>
        <v>2016</v>
      </c>
      <c r="R452" s="17">
        <f t="shared" si="643"/>
        <v>2543000</v>
      </c>
      <c r="S452" s="14">
        <f>VLOOKUP(I452,[1]Lookups!$V$3:$Y$197,4,FALSE)</f>
        <v>0</v>
      </c>
      <c r="T452" s="14" t="str">
        <f>VLOOKUP(E452,[1]Lookups!$H$3:$I$71,2,FALSE)</f>
        <v>2. Seed</v>
      </c>
      <c r="U452" s="14" t="e">
        <f>VLOOKUP(K452,[1]Lookups!$B$3:$C$142,2,FALSE)</f>
        <v>#N/A</v>
      </c>
      <c r="V452" s="14">
        <f t="shared" si="396"/>
        <v>2018</v>
      </c>
      <c r="W452" s="14">
        <f t="shared" si="397"/>
        <v>3</v>
      </c>
      <c r="X452" s="14">
        <f>VLOOKUP(W452,[1]Lookups!$P$3:$S$15,2,FALSE)</f>
        <v>1</v>
      </c>
      <c r="Y452" s="16">
        <f>VLOOKUP(W452,[1]Lookups!$P$3:$U$15,3,FALSE)</f>
        <v>1</v>
      </c>
      <c r="Z452" s="16">
        <f t="shared" si="398"/>
        <v>1</v>
      </c>
      <c r="AA452" s="16" t="str">
        <f t="shared" ca="1" si="659"/>
        <v>HIMangel</v>
      </c>
      <c r="AB452" s="16">
        <f t="shared" si="659"/>
        <v>0</v>
      </c>
      <c r="AC452" s="16">
        <f t="shared" si="659"/>
        <v>0</v>
      </c>
      <c r="AD452" s="16">
        <f t="shared" si="659"/>
        <v>0</v>
      </c>
      <c r="AE452" s="16">
        <f t="shared" si="659"/>
        <v>0</v>
      </c>
      <c r="AF452" s="16">
        <f t="shared" si="659"/>
        <v>0</v>
      </c>
      <c r="AG452" s="16">
        <f t="shared" si="659"/>
        <v>0</v>
      </c>
      <c r="AH452" s="16">
        <f t="shared" si="659"/>
        <v>0</v>
      </c>
      <c r="AI452" s="16">
        <f t="shared" si="659"/>
        <v>0</v>
      </c>
      <c r="AJ452" s="16">
        <f t="shared" si="659"/>
        <v>0</v>
      </c>
      <c r="AK452" s="16">
        <f t="shared" si="659"/>
        <v>0</v>
      </c>
      <c r="AL452" s="16">
        <f t="shared" si="659"/>
        <v>0</v>
      </c>
      <c r="AM452" s="16">
        <f t="shared" si="659"/>
        <v>0</v>
      </c>
      <c r="AN452" s="16">
        <f t="shared" si="659"/>
        <v>0</v>
      </c>
      <c r="AO452" s="16">
        <f t="shared" si="659"/>
        <v>0</v>
      </c>
      <c r="AP452" s="10"/>
      <c r="AQ452" s="10"/>
      <c r="AR452" s="10"/>
      <c r="AS452" s="10" t="str">
        <f t="shared" ref="AS452" ca="1" si="662">IFERROR(__xludf.DUMMYFUNCTION("split(F386,"","",true,true)"),"HIMangel")</f>
        <v>HIMangel</v>
      </c>
      <c r="AT452" s="10"/>
      <c r="AU452" s="10"/>
      <c r="AV452" s="10"/>
      <c r="AW452" s="10"/>
      <c r="AX452" s="10"/>
      <c r="AY452" s="10"/>
      <c r="AZ452" s="10"/>
      <c r="BA452" s="10"/>
      <c r="BB452" s="10"/>
      <c r="BC452" s="10"/>
      <c r="BD452" s="10"/>
      <c r="BE452" s="10"/>
      <c r="BF452" s="10"/>
      <c r="BG452" s="10"/>
      <c r="BH452" s="10"/>
      <c r="BI452" s="10"/>
      <c r="BJ452" s="10"/>
      <c r="BK452" s="10"/>
      <c r="BM452" s="10"/>
    </row>
    <row r="453" spans="1:65" ht="12.75">
      <c r="A453" s="18">
        <v>43172</v>
      </c>
      <c r="B453" s="14" t="s">
        <v>1039</v>
      </c>
      <c r="C453" s="19">
        <v>180000</v>
      </c>
      <c r="D453" s="19"/>
      <c r="E453" s="14" t="s">
        <v>45</v>
      </c>
      <c r="F453" s="14" t="s">
        <v>1040</v>
      </c>
      <c r="G453" s="27" t="s">
        <v>1041</v>
      </c>
      <c r="H453" s="14" t="str">
        <f t="array" ref="H453">IFERROR(INDEX([1]Companies!$G:$G,MATCH(B453,[1]Companies!$A:$A,0)),"")</f>
        <v>South Africa</v>
      </c>
      <c r="I453" s="14" t="str">
        <f t="shared" si="638"/>
        <v>South Africa</v>
      </c>
      <c r="J453" s="14" t="str">
        <f t="array" ref="J453">IFERROR(INDEX([1]Companies!$Y:$Y,MATCH(B453,[1]Companies!$A:$A,0)),"")</f>
        <v>Human Resources</v>
      </c>
      <c r="K453" s="14" t="str">
        <f t="array" ref="K453">IFERROR(INDEX([1]Companies!$X:$X,MATCH(B453,[1]Companies!$A:$A,0)),"")</f>
        <v>Information Technology</v>
      </c>
      <c r="L453" s="14" t="str">
        <f>VLOOKUP(B453,[1]Companies!$A$1:$C$5243,1,FALSE)</f>
        <v>Hi5</v>
      </c>
      <c r="M453" s="15">
        <f t="shared" si="639"/>
        <v>0.9</v>
      </c>
      <c r="N453" s="10" t="str">
        <f t="shared" si="640"/>
        <v>43172Hi5180000</v>
      </c>
      <c r="O453" s="14" t="str">
        <f t="shared" si="641"/>
        <v/>
      </c>
      <c r="P453" s="14">
        <f t="shared" si="642"/>
        <v>1</v>
      </c>
      <c r="Q453" s="14">
        <f t="array" ref="Q453">IFERROR(INDEX([1]Companies!$D:$D,MATCH(B453,[1]Companies!$A:$A,0)),"")</f>
        <v>2016</v>
      </c>
      <c r="R453" s="17">
        <f t="shared" si="643"/>
        <v>180000</v>
      </c>
      <c r="S453" s="14">
        <f>VLOOKUP(I453,[1]Lookups!$V$3:$Y$197,4,FALSE)</f>
        <v>0</v>
      </c>
      <c r="T453" s="14" t="str">
        <f>VLOOKUP(E453,[1]Lookups!$H$3:$I$71,2,FALSE)</f>
        <v>2. Seed</v>
      </c>
      <c r="U453" s="14" t="str">
        <f>VLOOKUP(K453,[1]Lookups!$B$3:$C$142,2,FALSE)</f>
        <v>Other Technologies &amp; Information Technology</v>
      </c>
      <c r="V453" s="14">
        <f t="shared" si="396"/>
        <v>2018</v>
      </c>
      <c r="W453" s="14">
        <f t="shared" si="397"/>
        <v>3</v>
      </c>
      <c r="X453" s="14">
        <f>VLOOKUP(W453,[1]Lookups!$P$3:$S$15,2,FALSE)</f>
        <v>1</v>
      </c>
      <c r="Y453" s="16">
        <f>VLOOKUP(W453,[1]Lookups!$P$3:$U$15,3,FALSE)</f>
        <v>1</v>
      </c>
      <c r="Z453" s="16">
        <f t="shared" si="398"/>
        <v>1</v>
      </c>
      <c r="AA453" s="16" t="str">
        <f t="shared" ca="1" si="659"/>
        <v>HIMangel</v>
      </c>
      <c r="AB453" s="16">
        <f t="shared" si="659"/>
        <v>0</v>
      </c>
      <c r="AC453" s="16">
        <f t="shared" si="659"/>
        <v>0</v>
      </c>
      <c r="AD453" s="16">
        <f t="shared" si="659"/>
        <v>0</v>
      </c>
      <c r="AE453" s="16">
        <f t="shared" si="659"/>
        <v>0</v>
      </c>
      <c r="AF453" s="16">
        <f t="shared" si="659"/>
        <v>0</v>
      </c>
      <c r="AG453" s="16">
        <f t="shared" si="659"/>
        <v>0</v>
      </c>
      <c r="AH453" s="16">
        <f t="shared" si="659"/>
        <v>0</v>
      </c>
      <c r="AI453" s="16">
        <f t="shared" si="659"/>
        <v>0</v>
      </c>
      <c r="AJ453" s="16">
        <f t="shared" si="659"/>
        <v>0</v>
      </c>
      <c r="AK453" s="16">
        <f t="shared" si="659"/>
        <v>0</v>
      </c>
      <c r="AL453" s="16">
        <f t="shared" si="659"/>
        <v>0</v>
      </c>
      <c r="AM453" s="16">
        <f t="shared" si="659"/>
        <v>0</v>
      </c>
      <c r="AN453" s="16">
        <f t="shared" si="659"/>
        <v>0</v>
      </c>
      <c r="AO453" s="16">
        <f t="shared" si="659"/>
        <v>0</v>
      </c>
      <c r="AP453" s="10"/>
      <c r="AQ453" s="10"/>
      <c r="AR453" s="10"/>
      <c r="AS453" s="10" t="str">
        <f t="shared" ref="AS453" ca="1" si="663">IFERROR(__xludf.DUMMYFUNCTION("split(F386,"","",true,true)"),"HIMangel")</f>
        <v>HIMangel</v>
      </c>
      <c r="AT453" s="10"/>
      <c r="AU453" s="10"/>
      <c r="AV453" s="10"/>
      <c r="AW453" s="10"/>
      <c r="AX453" s="10"/>
      <c r="AY453" s="10"/>
      <c r="AZ453" s="10"/>
      <c r="BA453" s="10"/>
      <c r="BB453" s="10"/>
      <c r="BC453" s="10"/>
      <c r="BD453" s="10"/>
      <c r="BE453" s="10"/>
      <c r="BF453" s="10"/>
      <c r="BG453" s="10"/>
      <c r="BH453" s="10"/>
      <c r="BI453" s="10"/>
      <c r="BJ453" s="10"/>
      <c r="BK453" s="10"/>
      <c r="BM453" s="10"/>
    </row>
    <row r="454" spans="1:65" ht="12.75">
      <c r="A454" s="18">
        <v>43172</v>
      </c>
      <c r="B454" s="14" t="s">
        <v>224</v>
      </c>
      <c r="C454" s="19">
        <v>100000</v>
      </c>
      <c r="D454" s="19"/>
      <c r="E454" s="10" t="s">
        <v>45</v>
      </c>
      <c r="F454" s="14" t="s">
        <v>1042</v>
      </c>
      <c r="G454" s="27" t="s">
        <v>1043</v>
      </c>
      <c r="H454" s="14" t="str">
        <f t="array" ref="H454">IFERROR(INDEX([1]Companies!$G:$G,MATCH(B454,[1]Companies!$A:$A,0)),"")</f>
        <v>Egypt</v>
      </c>
      <c r="I454" s="14" t="str">
        <f t="shared" si="638"/>
        <v>Egypt</v>
      </c>
      <c r="J454" s="14" t="str">
        <f t="array" ref="J454">IFERROR(INDEX([1]Companies!$Y:$Y,MATCH(B454,[1]Companies!$A:$A,0)),"")</f>
        <v>Catering, Delivery, Food and Beverage, Food Delivery, Marketplace, Subscription Service</v>
      </c>
      <c r="K454" s="14" t="str">
        <f t="array" ref="K454">IFERROR(INDEX([1]Companies!$X:$X,MATCH(B454,[1]Companies!$A:$A,0)),"")</f>
        <v>E-Commerce &amp; Retail</v>
      </c>
      <c r="L454" s="14" t="str">
        <f>VLOOKUP(B454,[1]Companies!$A$1:$C$5243,1,FALSE)</f>
        <v>Yumamia</v>
      </c>
      <c r="M454" s="15">
        <f t="shared" si="639"/>
        <v>0.9</v>
      </c>
      <c r="N454" s="10" t="str">
        <f t="shared" si="640"/>
        <v>43172Yumamia100000</v>
      </c>
      <c r="O454" s="14" t="str">
        <f t="shared" si="641"/>
        <v/>
      </c>
      <c r="P454" s="14">
        <f t="shared" si="642"/>
        <v>1</v>
      </c>
      <c r="Q454" s="14">
        <f t="array" ref="Q454">IFERROR(INDEX([1]Companies!$D:$D,MATCH(B454,[1]Companies!$A:$A,0)),"")</f>
        <v>2014</v>
      </c>
      <c r="R454" s="17">
        <f t="shared" si="643"/>
        <v>2750000</v>
      </c>
      <c r="S454" s="14">
        <f>VLOOKUP(I454,[1]Lookups!$V$3:$Y$197,4,FALSE)</f>
        <v>0</v>
      </c>
      <c r="T454" s="14" t="str">
        <f>VLOOKUP(E454,[1]Lookups!$H$3:$I$71,2,FALSE)</f>
        <v>2. Seed</v>
      </c>
      <c r="U454" s="14" t="str">
        <f>VLOOKUP(K454,[1]Lookups!$B$3:$C$142,2,FALSE)</f>
        <v>E-commerce &amp; Retail</v>
      </c>
      <c r="V454" s="14">
        <f t="shared" si="396"/>
        <v>2018</v>
      </c>
      <c r="W454" s="14">
        <f t="shared" si="397"/>
        <v>3</v>
      </c>
      <c r="X454" s="14">
        <f>VLOOKUP(W454,[1]Lookups!$P$3:$S$15,2,FALSE)</f>
        <v>1</v>
      </c>
      <c r="Y454" s="16">
        <f>VLOOKUP(W454,[1]Lookups!$P$3:$U$15,3,FALSE)</f>
        <v>1</v>
      </c>
      <c r="Z454" s="16">
        <f t="shared" si="398"/>
        <v>1</v>
      </c>
      <c r="AA454" s="16" t="str">
        <f t="shared" ca="1" si="659"/>
        <v>HIMangel</v>
      </c>
      <c r="AB454" s="16">
        <f t="shared" si="659"/>
        <v>0</v>
      </c>
      <c r="AC454" s="16">
        <f t="shared" si="659"/>
        <v>0</v>
      </c>
      <c r="AD454" s="16">
        <f t="shared" si="659"/>
        <v>0</v>
      </c>
      <c r="AE454" s="16">
        <f t="shared" si="659"/>
        <v>0</v>
      </c>
      <c r="AF454" s="16">
        <f t="shared" si="659"/>
        <v>0</v>
      </c>
      <c r="AG454" s="16">
        <f t="shared" si="659"/>
        <v>0</v>
      </c>
      <c r="AH454" s="16">
        <f t="shared" si="659"/>
        <v>0</v>
      </c>
      <c r="AI454" s="16">
        <f t="shared" si="659"/>
        <v>0</v>
      </c>
      <c r="AJ454" s="16">
        <f t="shared" si="659"/>
        <v>0</v>
      </c>
      <c r="AK454" s="16">
        <f t="shared" si="659"/>
        <v>0</v>
      </c>
      <c r="AL454" s="16">
        <f t="shared" si="659"/>
        <v>0</v>
      </c>
      <c r="AM454" s="16">
        <f t="shared" si="659"/>
        <v>0</v>
      </c>
      <c r="AN454" s="16">
        <f t="shared" si="659"/>
        <v>0</v>
      </c>
      <c r="AO454" s="16">
        <f t="shared" si="659"/>
        <v>0</v>
      </c>
      <c r="AP454" s="10"/>
      <c r="AQ454" s="10"/>
      <c r="AR454" s="10"/>
      <c r="AS454" s="10" t="str">
        <f t="shared" ref="AS454" ca="1" si="664">IFERROR(__xludf.DUMMYFUNCTION("split(F386,"","",true,true)"),"HIMangel")</f>
        <v>HIMangel</v>
      </c>
      <c r="AT454" s="10"/>
      <c r="AU454" s="10"/>
      <c r="AV454" s="10"/>
      <c r="AW454" s="10"/>
      <c r="AX454" s="10"/>
      <c r="AY454" s="10"/>
      <c r="AZ454" s="10"/>
      <c r="BA454" s="10"/>
      <c r="BB454" s="10"/>
      <c r="BC454" s="10"/>
      <c r="BD454" s="10"/>
      <c r="BE454" s="10"/>
      <c r="BF454" s="10"/>
      <c r="BG454" s="10"/>
      <c r="BH454" s="10"/>
      <c r="BI454" s="10"/>
      <c r="BJ454" s="10"/>
      <c r="BK454" s="10"/>
      <c r="BM454" s="10"/>
    </row>
    <row r="455" spans="1:65" ht="12.75">
      <c r="A455" s="18">
        <v>43172</v>
      </c>
      <c r="B455" s="14" t="s">
        <v>566</v>
      </c>
      <c r="C455" s="19">
        <v>5000000</v>
      </c>
      <c r="D455" s="19"/>
      <c r="E455" s="14" t="s">
        <v>45</v>
      </c>
      <c r="F455" s="14" t="s">
        <v>1044</v>
      </c>
      <c r="G455" s="27" t="s">
        <v>1045</v>
      </c>
      <c r="H455" s="14" t="str">
        <f t="array" ref="H455">IFERROR(INDEX([1]Companies!$G:$G,MATCH(B455,[1]Companies!$A:$A,0)),"")</f>
        <v>Kenya</v>
      </c>
      <c r="I455" s="14" t="str">
        <f t="shared" si="638"/>
        <v>Kenya</v>
      </c>
      <c r="J455" s="14" t="str">
        <f t="array" ref="J455">IFERROR(INDEX([1]Companies!$Y:$Y,MATCH(B455,[1]Companies!$A:$A,0)),"")</f>
        <v>Agriculture, AgTech, Crowdsourcing, Internet</v>
      </c>
      <c r="K455" s="14" t="str">
        <f t="array" ref="K455">IFERROR(INDEX([1]Companies!$X:$X,MATCH(B455,[1]Companies!$A:$A,0)),"")</f>
        <v>Agriculture</v>
      </c>
      <c r="L455" s="14" t="str">
        <f>VLOOKUP(B455,[1]Companies!$A$1:$C$5243,1,FALSE)</f>
        <v>Wefarm</v>
      </c>
      <c r="M455" s="15">
        <f t="shared" si="639"/>
        <v>0.9</v>
      </c>
      <c r="N455" s="10" t="str">
        <f t="shared" si="640"/>
        <v>43172WeFarm5000000</v>
      </c>
      <c r="O455" s="14" t="str">
        <f t="shared" si="641"/>
        <v/>
      </c>
      <c r="P455" s="14">
        <f t="shared" si="642"/>
        <v>1</v>
      </c>
      <c r="Q455" s="14">
        <f t="array" ref="Q455">IFERROR(INDEX([1]Companies!$D:$D,MATCH(B455,[1]Companies!$A:$A,0)),"")</f>
        <v>2015</v>
      </c>
      <c r="R455" s="17">
        <f t="shared" si="643"/>
        <v>6600000</v>
      </c>
      <c r="S455" s="14">
        <f>VLOOKUP(I455,[1]Lookups!$V$3:$Y$197,4,FALSE)</f>
        <v>0</v>
      </c>
      <c r="T455" s="14" t="str">
        <f>VLOOKUP(E455,[1]Lookups!$H$3:$I$71,2,FALSE)</f>
        <v>2. Seed</v>
      </c>
      <c r="U455" s="14" t="str">
        <f>VLOOKUP(K455,[1]Lookups!$B$3:$C$142,2,FALSE)</f>
        <v>Agriculture</v>
      </c>
      <c r="V455" s="14">
        <f t="shared" si="396"/>
        <v>2018</v>
      </c>
      <c r="W455" s="14">
        <f t="shared" si="397"/>
        <v>3</v>
      </c>
      <c r="X455" s="14">
        <f>VLOOKUP(W455,[1]Lookups!$P$3:$S$15,2,FALSE)</f>
        <v>1</v>
      </c>
      <c r="Y455" s="16">
        <f>VLOOKUP(W455,[1]Lookups!$P$3:$U$15,3,FALSE)</f>
        <v>1</v>
      </c>
      <c r="Z455" s="16">
        <f t="shared" si="398"/>
        <v>7</v>
      </c>
      <c r="AA455" s="16" t="str">
        <f t="shared" ca="1" si="659"/>
        <v>HIMangel</v>
      </c>
      <c r="AB455" s="16" t="str">
        <f t="shared" ca="1" si="659"/>
        <v xml:space="preserve"> Norrsken Foundation</v>
      </c>
      <c r="AC455" s="16" t="str">
        <f t="shared" ca="1" si="659"/>
        <v xml:space="preserve"> Niklas Zennström</v>
      </c>
      <c r="AD455" s="16" t="str">
        <f t="shared" ca="1" si="659"/>
        <v xml:space="preserve"> Matt Mullenweg</v>
      </c>
      <c r="AE455" s="16" t="str">
        <f t="shared" ca="1" si="659"/>
        <v xml:space="preserve"> LocalGlobe</v>
      </c>
      <c r="AF455" s="16" t="str">
        <f t="shared" ca="1" si="659"/>
        <v xml:space="preserve"> Bryan Meehan</v>
      </c>
      <c r="AG455" s="16" t="str">
        <f t="shared" ca="1" si="659"/>
        <v xml:space="preserve"> ADV</v>
      </c>
      <c r="AH455" s="16">
        <f t="shared" si="659"/>
        <v>0</v>
      </c>
      <c r="AI455" s="16">
        <f t="shared" si="659"/>
        <v>0</v>
      </c>
      <c r="AJ455" s="16">
        <f t="shared" si="659"/>
        <v>0</v>
      </c>
      <c r="AK455" s="16">
        <f t="shared" si="659"/>
        <v>0</v>
      </c>
      <c r="AL455" s="16">
        <f t="shared" si="659"/>
        <v>0</v>
      </c>
      <c r="AM455" s="16">
        <f t="shared" si="659"/>
        <v>0</v>
      </c>
      <c r="AN455" s="16">
        <f t="shared" si="659"/>
        <v>0</v>
      </c>
      <c r="AO455" s="16">
        <f t="shared" si="659"/>
        <v>0</v>
      </c>
      <c r="AP455" s="10"/>
      <c r="AQ455" s="10"/>
      <c r="AR455" s="10"/>
      <c r="AS455" s="10" t="str">
        <f t="shared" ref="AS455" ca="1" si="665">IFERROR(__xludf.DUMMYFUNCTION("split(F386,"","",true,true)"),"HIMangel")</f>
        <v>HIMangel</v>
      </c>
      <c r="AT455" s="10" t="str">
        <f ca="1">IFERROR(__xludf.DUMMYFUNCTION("""COMPUTED_VALUE""")," Norrsken Foundation")</f>
        <v xml:space="preserve"> Norrsken Foundation</v>
      </c>
      <c r="AU455" s="10" t="str">
        <f ca="1">IFERROR(__xludf.DUMMYFUNCTION("""COMPUTED_VALUE""")," Niklas Zennström")</f>
        <v xml:space="preserve"> Niklas Zennström</v>
      </c>
      <c r="AV455" s="10" t="str">
        <f ca="1">IFERROR(__xludf.DUMMYFUNCTION("""COMPUTED_VALUE""")," Matt Mullenweg")</f>
        <v xml:space="preserve"> Matt Mullenweg</v>
      </c>
      <c r="AW455" s="10" t="str">
        <f ca="1">IFERROR(__xludf.DUMMYFUNCTION("""COMPUTED_VALUE""")," LocalGlobe")</f>
        <v xml:space="preserve"> LocalGlobe</v>
      </c>
      <c r="AX455" s="10" t="str">
        <f ca="1">IFERROR(__xludf.DUMMYFUNCTION("""COMPUTED_VALUE""")," Bryan Meehan")</f>
        <v xml:space="preserve"> Bryan Meehan</v>
      </c>
      <c r="AY455" s="10" t="str">
        <f ca="1">IFERROR(__xludf.DUMMYFUNCTION("""COMPUTED_VALUE""")," ADV")</f>
        <v xml:space="preserve"> ADV</v>
      </c>
      <c r="AZ455" s="10"/>
      <c r="BA455" s="10"/>
      <c r="BB455" s="10"/>
      <c r="BC455" s="10"/>
      <c r="BD455" s="10"/>
      <c r="BE455" s="10"/>
      <c r="BF455" s="10"/>
      <c r="BG455" s="10"/>
      <c r="BH455" s="10"/>
      <c r="BI455" s="10"/>
      <c r="BJ455" s="10"/>
      <c r="BK455" s="10"/>
      <c r="BM455" s="10"/>
    </row>
    <row r="456" spans="1:65" ht="12.75">
      <c r="A456" s="9">
        <v>43174</v>
      </c>
      <c r="B456" s="10" t="s">
        <v>68</v>
      </c>
      <c r="C456" s="11">
        <v>10000000</v>
      </c>
      <c r="D456" s="12"/>
      <c r="E456" s="10" t="s">
        <v>328</v>
      </c>
      <c r="F456" s="10" t="s">
        <v>1046</v>
      </c>
      <c r="G456" s="13" t="s">
        <v>1047</v>
      </c>
      <c r="H456" s="14" t="str">
        <f t="array" ref="H456">IFERROR(INDEX([1]Companies!$G:$G,MATCH(B456,[1]Companies!$A:$A,0)),"")</f>
        <v>Kenya</v>
      </c>
      <c r="I456" s="14" t="str">
        <f t="shared" si="638"/>
        <v>Kenya</v>
      </c>
      <c r="J456" s="14" t="str">
        <f t="array" ref="J456">IFERROR(INDEX([1]Companies!$Y:$Y,MATCH(B456,[1]Companies!$A:$A,0)),"")</f>
        <v>Energy, Financial Services, Mobile</v>
      </c>
      <c r="K456" s="14" t="str">
        <f t="array" ref="K456">IFERROR(INDEX([1]Companies!$X:$X,MATCH(B456,[1]Companies!$A:$A,0)),"")</f>
        <v>Energy &amp; Environment Resources</v>
      </c>
      <c r="L456" s="14" t="str">
        <f>VLOOKUP(B456,[1]Companies!$A$1:$C$5243,1,FALSE)</f>
        <v>M-Kopa</v>
      </c>
      <c r="M456" s="15">
        <f t="shared" si="639"/>
        <v>0.9</v>
      </c>
      <c r="N456" s="10" t="str">
        <f t="shared" si="640"/>
        <v>43174M-KOPA10000000</v>
      </c>
      <c r="O456" s="14" t="str">
        <f t="shared" si="641"/>
        <v/>
      </c>
      <c r="P456" s="14">
        <f t="shared" si="642"/>
        <v>1</v>
      </c>
      <c r="Q456" s="14">
        <f t="array" ref="Q456">IFERROR(INDEX([1]Companies!$D:$D,MATCH(B456,[1]Companies!$A:$A,0)),"")</f>
        <v>2011</v>
      </c>
      <c r="R456" s="17">
        <f t="shared" si="643"/>
        <v>161800000</v>
      </c>
      <c r="S456" s="14">
        <f>VLOOKUP(I456,[1]Lookups!$V$3:$Y$197,4,FALSE)</f>
        <v>0</v>
      </c>
      <c r="T456" s="14" t="str">
        <f>VLOOKUP(E456,[1]Lookups!$H$3:$I$71,2,FALSE)</f>
        <v>4. Late Venture</v>
      </c>
      <c r="U456" s="14" t="e">
        <f>VLOOKUP(K456,[1]Lookups!$B$3:$C$142,2,FALSE)</f>
        <v>#N/A</v>
      </c>
      <c r="V456" s="14">
        <f t="shared" si="396"/>
        <v>2018</v>
      </c>
      <c r="W456" s="14">
        <f t="shared" si="397"/>
        <v>3</v>
      </c>
      <c r="X456" s="14">
        <f>VLOOKUP(W456,[1]Lookups!$P$3:$S$15,2,FALSE)</f>
        <v>1</v>
      </c>
      <c r="Y456" s="16">
        <f>VLOOKUP(W456,[1]Lookups!$P$3:$U$15,3,FALSE)</f>
        <v>1</v>
      </c>
      <c r="Z456" s="16">
        <f t="shared" si="398"/>
        <v>3</v>
      </c>
      <c r="AA456" s="16" t="str">
        <f t="shared" ca="1" si="659"/>
        <v>HIMangel</v>
      </c>
      <c r="AB456" s="16" t="str">
        <f t="shared" ca="1" si="659"/>
        <v xml:space="preserve"> Generation Investment Management</v>
      </c>
      <c r="AC456" s="16" t="str">
        <f t="shared" ca="1" si="659"/>
        <v xml:space="preserve"> LGT Venture Philanthropy</v>
      </c>
      <c r="AD456" s="16">
        <f t="shared" si="659"/>
        <v>0</v>
      </c>
      <c r="AE456" s="16">
        <f t="shared" si="659"/>
        <v>0</v>
      </c>
      <c r="AF456" s="16">
        <f t="shared" si="659"/>
        <v>0</v>
      </c>
      <c r="AG456" s="16">
        <f t="shared" si="659"/>
        <v>0</v>
      </c>
      <c r="AH456" s="16">
        <f t="shared" si="659"/>
        <v>0</v>
      </c>
      <c r="AI456" s="16">
        <f t="shared" si="659"/>
        <v>0</v>
      </c>
      <c r="AJ456" s="16">
        <f t="shared" si="659"/>
        <v>0</v>
      </c>
      <c r="AK456" s="16">
        <f t="shared" si="659"/>
        <v>0</v>
      </c>
      <c r="AL456" s="16">
        <f t="shared" si="659"/>
        <v>0</v>
      </c>
      <c r="AM456" s="16">
        <f t="shared" si="659"/>
        <v>0</v>
      </c>
      <c r="AN456" s="16">
        <f t="shared" si="659"/>
        <v>0</v>
      </c>
      <c r="AO456" s="16">
        <f t="shared" si="659"/>
        <v>0</v>
      </c>
      <c r="AP456" s="10"/>
      <c r="AQ456" s="10"/>
      <c r="AR456" s="10"/>
      <c r="AS456" s="10" t="str">
        <f t="shared" ref="AS456" ca="1" si="666">IFERROR(__xludf.DUMMYFUNCTION("split(F386,"","",true,true)"),"HIMangel")</f>
        <v>HIMangel</v>
      </c>
      <c r="AT456" s="10" t="str">
        <f ca="1">IFERROR(__xludf.DUMMYFUNCTION("""COMPUTED_VALUE""")," Generation Investment Management")</f>
        <v xml:space="preserve"> Generation Investment Management</v>
      </c>
      <c r="AU456" s="10" t="str">
        <f ca="1">IFERROR(__xludf.DUMMYFUNCTION("""COMPUTED_VALUE""")," LGT Venture Philanthropy")</f>
        <v xml:space="preserve"> LGT Venture Philanthropy</v>
      </c>
      <c r="AV456" s="10"/>
      <c r="AW456" s="10"/>
      <c r="AX456" s="10"/>
      <c r="AY456" s="10"/>
      <c r="AZ456" s="10"/>
      <c r="BA456" s="10"/>
      <c r="BB456" s="10"/>
      <c r="BC456" s="10"/>
      <c r="BD456" s="10"/>
      <c r="BE456" s="10"/>
      <c r="BF456" s="10"/>
      <c r="BG456" s="10"/>
      <c r="BH456" s="10"/>
      <c r="BI456" s="10"/>
      <c r="BJ456" s="10"/>
      <c r="BK456" s="10"/>
      <c r="BM456" s="10"/>
    </row>
    <row r="457" spans="1:65" ht="12.75">
      <c r="A457" s="18">
        <v>43174</v>
      </c>
      <c r="B457" s="14" t="s">
        <v>1048</v>
      </c>
      <c r="C457" s="19" t="s">
        <v>49</v>
      </c>
      <c r="D457" s="19"/>
      <c r="E457" s="14" t="s">
        <v>45</v>
      </c>
      <c r="F457" s="14" t="s">
        <v>411</v>
      </c>
      <c r="G457" s="27" t="s">
        <v>1049</v>
      </c>
      <c r="H457" s="14" t="str">
        <f t="array" ref="H457">IFERROR(INDEX([1]Companies!$G:$G,MATCH(B457,[1]Companies!$A:$A,0)),"")</f>
        <v>Nigeria</v>
      </c>
      <c r="I457" s="14" t="str">
        <f t="shared" si="638"/>
        <v>Nigeria</v>
      </c>
      <c r="J457" s="14" t="str">
        <f t="array" ref="J457">IFERROR(INDEX([1]Companies!$Y:$Y,MATCH(B457,[1]Companies!$A:$A,0)),"")</f>
        <v>Hostel Booking, Roommate Finder, Student Housing</v>
      </c>
      <c r="K457" s="14" t="str">
        <f t="array" ref="K457">IFERROR(INDEX([1]Companies!$X:$X,MATCH(B457,[1]Companies!$A:$A,0)),"")</f>
        <v>Real estate</v>
      </c>
      <c r="L457" s="14" t="str">
        <f>VLOOKUP(B457,[1]Companies!$A$1:$C$5243,1,FALSE)</f>
        <v>myPadi</v>
      </c>
      <c r="M457" s="15">
        <f t="shared" si="639"/>
        <v>0.9</v>
      </c>
      <c r="N457" s="10" t="str">
        <f t="shared" si="640"/>
        <v>43174myPadiUndisclosed</v>
      </c>
      <c r="O457" s="14" t="str">
        <f t="shared" si="641"/>
        <v/>
      </c>
      <c r="P457" s="14">
        <f t="shared" si="642"/>
        <v>0</v>
      </c>
      <c r="Q457" s="14">
        <f t="array" ref="Q457">IFERROR(INDEX([1]Companies!$D:$D,MATCH(B457,[1]Companies!$A:$A,0)),"")</f>
        <v>2016</v>
      </c>
      <c r="R457" s="17">
        <f t="shared" si="643"/>
        <v>0</v>
      </c>
      <c r="S457" s="14">
        <f>VLOOKUP(I457,[1]Lookups!$V$3:$Y$197,4,FALSE)</f>
        <v>0</v>
      </c>
      <c r="T457" s="14" t="str">
        <f>VLOOKUP(E457,[1]Lookups!$H$3:$I$71,2,FALSE)</f>
        <v>2. Seed</v>
      </c>
      <c r="U457" s="14" t="str">
        <f>VLOOKUP(K457,[1]Lookups!$B$3:$C$142,2,FALSE)</f>
        <v>Construction &amp; Real Estate</v>
      </c>
      <c r="V457" s="14">
        <f t="shared" si="396"/>
        <v>2018</v>
      </c>
      <c r="W457" s="14">
        <f t="shared" si="397"/>
        <v>3</v>
      </c>
      <c r="X457" s="14">
        <f>VLOOKUP(W457,[1]Lookups!$P$3:$S$15,2,FALSE)</f>
        <v>1</v>
      </c>
      <c r="Y457" s="16">
        <f>VLOOKUP(W457,[1]Lookups!$P$3:$U$15,3,FALSE)</f>
        <v>1</v>
      </c>
      <c r="Z457" s="16">
        <f t="shared" si="398"/>
        <v>1</v>
      </c>
      <c r="AA457" s="16" t="str">
        <f t="shared" ca="1" si="659"/>
        <v>HIMangel</v>
      </c>
      <c r="AB457" s="16">
        <f t="shared" si="659"/>
        <v>0</v>
      </c>
      <c r="AC457" s="16">
        <f t="shared" si="659"/>
        <v>0</v>
      </c>
      <c r="AD457" s="16">
        <f t="shared" si="659"/>
        <v>0</v>
      </c>
      <c r="AE457" s="16">
        <f t="shared" si="659"/>
        <v>0</v>
      </c>
      <c r="AF457" s="16">
        <f t="shared" si="659"/>
        <v>0</v>
      </c>
      <c r="AG457" s="16">
        <f t="shared" si="659"/>
        <v>0</v>
      </c>
      <c r="AH457" s="16">
        <f t="shared" si="659"/>
        <v>0</v>
      </c>
      <c r="AI457" s="16">
        <f t="shared" si="659"/>
        <v>0</v>
      </c>
      <c r="AJ457" s="16">
        <f t="shared" si="659"/>
        <v>0</v>
      </c>
      <c r="AK457" s="16">
        <f t="shared" si="659"/>
        <v>0</v>
      </c>
      <c r="AL457" s="16">
        <f t="shared" si="659"/>
        <v>0</v>
      </c>
      <c r="AM457" s="16">
        <f t="shared" si="659"/>
        <v>0</v>
      </c>
      <c r="AN457" s="16">
        <f t="shared" si="659"/>
        <v>0</v>
      </c>
      <c r="AO457" s="16">
        <f t="shared" si="659"/>
        <v>0</v>
      </c>
      <c r="AP457" s="10"/>
      <c r="AQ457" s="10"/>
      <c r="AR457" s="10"/>
      <c r="AS457" s="10" t="str">
        <f t="shared" ref="AS457" ca="1" si="667">IFERROR(__xludf.DUMMYFUNCTION("split(F386,"","",true,true)"),"HIMangel")</f>
        <v>HIMangel</v>
      </c>
      <c r="AT457" s="25"/>
      <c r="AU457" s="25"/>
      <c r="AV457" s="25"/>
      <c r="AW457" s="25"/>
      <c r="AX457" s="25"/>
      <c r="AY457" s="25"/>
      <c r="AZ457" s="25"/>
      <c r="BA457" s="25"/>
      <c r="BB457" s="25"/>
      <c r="BC457" s="25"/>
      <c r="BD457" s="25"/>
      <c r="BE457" s="25"/>
      <c r="BF457" s="25"/>
      <c r="BG457" s="25"/>
      <c r="BH457" s="25"/>
      <c r="BI457" s="25"/>
      <c r="BJ457" s="25"/>
      <c r="BK457" s="25"/>
      <c r="BM457" s="25"/>
    </row>
    <row r="458" spans="1:65" ht="12.75">
      <c r="A458" s="18">
        <v>43174</v>
      </c>
      <c r="B458" s="14" t="s">
        <v>1013</v>
      </c>
      <c r="C458" s="19">
        <v>62033</v>
      </c>
      <c r="D458" s="19"/>
      <c r="E458" s="14" t="s">
        <v>55</v>
      </c>
      <c r="F458" s="14" t="s">
        <v>1050</v>
      </c>
      <c r="G458" s="27" t="s">
        <v>1051</v>
      </c>
      <c r="H458" s="14" t="str">
        <f t="array" ref="H458">IFERROR(INDEX([1]Companies!$G:$G,MATCH(B458,[1]Companies!$A:$A,0)),"")</f>
        <v>Nigeria</v>
      </c>
      <c r="I458" s="14" t="str">
        <f t="shared" si="638"/>
        <v>Nigeria</v>
      </c>
      <c r="J458" s="14" t="str">
        <f t="array" ref="J458">IFERROR(INDEX([1]Companies!$Y:$Y,MATCH(B458,[1]Companies!$A:$A,0)),"")</f>
        <v>Health Care, Hospital</v>
      </c>
      <c r="K458" s="14" t="str">
        <f t="array" ref="K458">IFERROR(INDEX([1]Companies!$X:$X,MATCH(B458,[1]Companies!$A:$A,0)),"")</f>
        <v>Healthcare &amp; Pharma</v>
      </c>
      <c r="L458" s="14" t="str">
        <f>VLOOKUP(B458,[1]Companies!$A$1:$C$5243,1,FALSE)</f>
        <v xml:space="preserve">LifeBank </v>
      </c>
      <c r="M458" s="15">
        <f t="shared" si="639"/>
        <v>0.9</v>
      </c>
      <c r="N458" s="10" t="str">
        <f t="shared" si="640"/>
        <v>43174LifeBank 62033</v>
      </c>
      <c r="O458" s="14" t="str">
        <f t="shared" si="641"/>
        <v/>
      </c>
      <c r="P458" s="14">
        <f t="shared" si="642"/>
        <v>1</v>
      </c>
      <c r="Q458" s="14">
        <f t="array" ref="Q458">IFERROR(INDEX([1]Companies!$D:$D,MATCH(B458,[1]Companies!$A:$A,0)),"")</f>
        <v>2015</v>
      </c>
      <c r="R458" s="17">
        <f t="shared" si="643"/>
        <v>262033</v>
      </c>
      <c r="S458" s="14">
        <f>VLOOKUP(I458,[1]Lookups!$V$3:$Y$197,4,FALSE)</f>
        <v>0</v>
      </c>
      <c r="T458" s="14" t="str">
        <f>VLOOKUP(E458,[1]Lookups!$H$3:$I$71,2,FALSE)</f>
        <v>1. Grant</v>
      </c>
      <c r="U458" s="14" t="str">
        <f>VLOOKUP(K458,[1]Lookups!$B$3:$C$142,2,FALSE)</f>
        <v>Health &amp; Pharmaceuticals</v>
      </c>
      <c r="V458" s="14">
        <f t="shared" si="396"/>
        <v>2018</v>
      </c>
      <c r="W458" s="14">
        <f t="shared" si="397"/>
        <v>3</v>
      </c>
      <c r="X458" s="14">
        <f>VLOOKUP(W458,[1]Lookups!$P$3:$S$15,2,FALSE)</f>
        <v>1</v>
      </c>
      <c r="Y458" s="16">
        <f>VLOOKUP(W458,[1]Lookups!$P$3:$U$15,3,FALSE)</f>
        <v>1</v>
      </c>
      <c r="Z458" s="16">
        <f t="shared" si="398"/>
        <v>1</v>
      </c>
      <c r="AA458" s="16" t="str">
        <f t="shared" ca="1" si="659"/>
        <v>HIMangel</v>
      </c>
      <c r="AB458" s="16">
        <f t="shared" si="659"/>
        <v>0</v>
      </c>
      <c r="AC458" s="16">
        <f t="shared" si="659"/>
        <v>0</v>
      </c>
      <c r="AD458" s="16">
        <f t="shared" si="659"/>
        <v>0</v>
      </c>
      <c r="AE458" s="16">
        <f t="shared" si="659"/>
        <v>0</v>
      </c>
      <c r="AF458" s="16">
        <f t="shared" si="659"/>
        <v>0</v>
      </c>
      <c r="AG458" s="16">
        <f t="shared" si="659"/>
        <v>0</v>
      </c>
      <c r="AH458" s="16">
        <f t="shared" si="659"/>
        <v>0</v>
      </c>
      <c r="AI458" s="16">
        <f t="shared" si="659"/>
        <v>0</v>
      </c>
      <c r="AJ458" s="16">
        <f t="shared" si="659"/>
        <v>0</v>
      </c>
      <c r="AK458" s="16">
        <f t="shared" si="659"/>
        <v>0</v>
      </c>
      <c r="AL458" s="16">
        <f t="shared" si="659"/>
        <v>0</v>
      </c>
      <c r="AM458" s="16">
        <f t="shared" si="659"/>
        <v>0</v>
      </c>
      <c r="AN458" s="16">
        <f t="shared" si="659"/>
        <v>0</v>
      </c>
      <c r="AO458" s="16">
        <f t="shared" si="659"/>
        <v>0</v>
      </c>
      <c r="AP458" s="10"/>
      <c r="AQ458" s="10"/>
      <c r="AR458" s="10"/>
      <c r="AS458" s="10" t="str">
        <f t="shared" ref="AS458" ca="1" si="668">IFERROR(__xludf.DUMMYFUNCTION("split(F386,"","",true,true)"),"HIMangel")</f>
        <v>HIMangel</v>
      </c>
      <c r="AT458" s="10"/>
      <c r="AU458" s="10"/>
      <c r="AV458" s="10"/>
      <c r="AW458" s="10"/>
      <c r="AX458" s="10"/>
      <c r="AY458" s="10"/>
      <c r="AZ458" s="10"/>
      <c r="BA458" s="10"/>
      <c r="BB458" s="10"/>
      <c r="BC458" s="10"/>
      <c r="BD458" s="10"/>
      <c r="BE458" s="10"/>
      <c r="BF458" s="10"/>
      <c r="BG458" s="10"/>
      <c r="BH458" s="10"/>
      <c r="BI458" s="10"/>
      <c r="BJ458" s="10"/>
      <c r="BK458" s="10"/>
      <c r="BM458" s="10"/>
    </row>
    <row r="459" spans="1:65" ht="12.75">
      <c r="A459" s="18">
        <v>43174</v>
      </c>
      <c r="B459" s="14" t="s">
        <v>1052</v>
      </c>
      <c r="C459" s="19">
        <v>50000</v>
      </c>
      <c r="D459" s="19"/>
      <c r="E459" s="14" t="s">
        <v>45</v>
      </c>
      <c r="F459" s="14" t="s">
        <v>1053</v>
      </c>
      <c r="G459" s="27" t="s">
        <v>1054</v>
      </c>
      <c r="H459" s="14" t="str">
        <f t="array" ref="H459">IFERROR(INDEX([1]Companies!$G:$G,MATCH(B459,[1]Companies!$A:$A,0)),"")</f>
        <v>Nigeria</v>
      </c>
      <c r="I459" s="14" t="str">
        <f t="shared" si="638"/>
        <v>Nigeria</v>
      </c>
      <c r="J459" s="14" t="str">
        <f t="array" ref="J459">IFERROR(INDEX([1]Companies!$Y:$Y,MATCH(B459,[1]Companies!$A:$A,0)),"")</f>
        <v>Construction, Professional Services, Recruiting</v>
      </c>
      <c r="K459" s="14" t="str">
        <f t="array" ref="K459">IFERROR(INDEX([1]Companies!$X:$X,MATCH(B459,[1]Companies!$A:$A,0)),"")</f>
        <v>Recruitment, Human Resource</v>
      </c>
      <c r="L459" s="14" t="str">
        <f>VLOOKUP(B459,[1]Companies!$A$1:$C$5243,1,FALSE)</f>
        <v>iFixng</v>
      </c>
      <c r="M459" s="15">
        <f t="shared" si="639"/>
        <v>0.9</v>
      </c>
      <c r="N459" s="10" t="str">
        <f t="shared" si="640"/>
        <v>43174iFixng50000</v>
      </c>
      <c r="O459" s="14" t="str">
        <f t="shared" si="641"/>
        <v/>
      </c>
      <c r="P459" s="14">
        <f t="shared" si="642"/>
        <v>1</v>
      </c>
      <c r="Q459" s="14">
        <f t="array" ref="Q459">IFERROR(INDEX([1]Companies!$D:$D,MATCH(B459,[1]Companies!$A:$A,0)),"")</f>
        <v>2016</v>
      </c>
      <c r="R459" s="17">
        <f t="shared" si="643"/>
        <v>50000</v>
      </c>
      <c r="S459" s="14">
        <f>VLOOKUP(I459,[1]Lookups!$V$3:$Y$197,4,FALSE)</f>
        <v>0</v>
      </c>
      <c r="T459" s="14" t="str">
        <f>VLOOKUP(E459,[1]Lookups!$H$3:$I$71,2,FALSE)</f>
        <v>2. Seed</v>
      </c>
      <c r="U459" s="14" t="str">
        <f>VLOOKUP(K459,[1]Lookups!$B$3:$C$142,2,FALSE)</f>
        <v>Employment, Talent &amp; Labour</v>
      </c>
      <c r="V459" s="14">
        <f t="shared" si="396"/>
        <v>2018</v>
      </c>
      <c r="W459" s="14">
        <f t="shared" si="397"/>
        <v>3</v>
      </c>
      <c r="X459" s="14">
        <f>VLOOKUP(W459,[1]Lookups!$P$3:$S$15,2,FALSE)</f>
        <v>1</v>
      </c>
      <c r="Y459" s="16">
        <f>VLOOKUP(W459,[1]Lookups!$P$3:$U$15,3,FALSE)</f>
        <v>1</v>
      </c>
      <c r="Z459" s="16">
        <f t="shared" si="398"/>
        <v>1</v>
      </c>
      <c r="AA459" s="16" t="str">
        <f t="shared" ca="1" si="659"/>
        <v>HIMangel</v>
      </c>
      <c r="AB459" s="16">
        <f t="shared" si="659"/>
        <v>0</v>
      </c>
      <c r="AC459" s="16">
        <f t="shared" si="659"/>
        <v>0</v>
      </c>
      <c r="AD459" s="16">
        <f t="shared" si="659"/>
        <v>0</v>
      </c>
      <c r="AE459" s="16">
        <f t="shared" si="659"/>
        <v>0</v>
      </c>
      <c r="AF459" s="16">
        <f t="shared" si="659"/>
        <v>0</v>
      </c>
      <c r="AG459" s="16">
        <f t="shared" si="659"/>
        <v>0</v>
      </c>
      <c r="AH459" s="16">
        <f t="shared" si="659"/>
        <v>0</v>
      </c>
      <c r="AI459" s="16">
        <f t="shared" si="659"/>
        <v>0</v>
      </c>
      <c r="AJ459" s="16">
        <f t="shared" si="659"/>
        <v>0</v>
      </c>
      <c r="AK459" s="16">
        <f t="shared" si="659"/>
        <v>0</v>
      </c>
      <c r="AL459" s="16">
        <f t="shared" si="659"/>
        <v>0</v>
      </c>
      <c r="AM459" s="16">
        <f t="shared" si="659"/>
        <v>0</v>
      </c>
      <c r="AN459" s="16">
        <f t="shared" si="659"/>
        <v>0</v>
      </c>
      <c r="AO459" s="16">
        <f t="shared" si="659"/>
        <v>0</v>
      </c>
      <c r="AP459" s="10"/>
      <c r="AQ459" s="10"/>
      <c r="AR459" s="10"/>
      <c r="AS459" s="10" t="str">
        <f t="shared" ref="AS459" ca="1" si="669">IFERROR(__xludf.DUMMYFUNCTION("split(F386,"","",true,true)"),"HIMangel")</f>
        <v>HIMangel</v>
      </c>
      <c r="AT459" s="10"/>
      <c r="AU459" s="10"/>
      <c r="AV459" s="10"/>
      <c r="AW459" s="10"/>
      <c r="AX459" s="10"/>
      <c r="AY459" s="10"/>
      <c r="AZ459" s="10"/>
      <c r="BA459" s="10"/>
      <c r="BB459" s="10"/>
      <c r="BC459" s="10"/>
      <c r="BD459" s="10"/>
      <c r="BE459" s="10"/>
      <c r="BF459" s="10"/>
      <c r="BG459" s="10"/>
      <c r="BH459" s="10"/>
      <c r="BI459" s="10"/>
      <c r="BJ459" s="10"/>
      <c r="BK459" s="10"/>
      <c r="BM459" s="10"/>
    </row>
    <row r="460" spans="1:65" ht="12.75">
      <c r="A460" s="18">
        <v>43174</v>
      </c>
      <c r="B460" s="14" t="s">
        <v>1055</v>
      </c>
      <c r="C460" s="19">
        <v>30000</v>
      </c>
      <c r="D460" s="19"/>
      <c r="E460" s="14" t="s">
        <v>55</v>
      </c>
      <c r="F460" s="14" t="s">
        <v>1056</v>
      </c>
      <c r="G460" s="27" t="s">
        <v>1057</v>
      </c>
      <c r="H460" s="14" t="str">
        <f t="array" ref="H460">IFERROR(INDEX([1]Companies!$G:$G,MATCH(B460,[1]Companies!$A:$A,0)),"")</f>
        <v>Nigeria</v>
      </c>
      <c r="I460" s="14" t="str">
        <f t="shared" si="638"/>
        <v>Nigeria</v>
      </c>
      <c r="J460" s="14" t="str">
        <f t="array" ref="J460">IFERROR(INDEX([1]Companies!$Y:$Y,MATCH(B460,[1]Companies!$A:$A,0)),"")</f>
        <v>Printing, Manufacturing</v>
      </c>
      <c r="K460" s="14" t="str">
        <f t="array" ref="K460">IFERROR(INDEX([1]Companies!$X:$X,MATCH(B460,[1]Companies!$A:$A,0)),"")</f>
        <v>Information Technology</v>
      </c>
      <c r="L460" s="14" t="str">
        <f>VLOOKUP(B460,[1]Companies!$A$1:$C$5243,1,FALSE)</f>
        <v>Clintonel Technologies</v>
      </c>
      <c r="M460" s="15">
        <f t="shared" si="639"/>
        <v>0.9</v>
      </c>
      <c r="N460" s="10" t="str">
        <f t="shared" si="640"/>
        <v>43174Clintonel Technologies30000</v>
      </c>
      <c r="O460" s="14" t="str">
        <f t="shared" si="641"/>
        <v/>
      </c>
      <c r="P460" s="14">
        <f t="shared" si="642"/>
        <v>1</v>
      </c>
      <c r="Q460" s="14">
        <f t="array" ref="Q460">IFERROR(INDEX([1]Companies!$D:$D,MATCH(B460,[1]Companies!$A:$A,0)),"")</f>
        <v>2017</v>
      </c>
      <c r="R460" s="17">
        <f t="shared" si="643"/>
        <v>30000</v>
      </c>
      <c r="S460" s="14">
        <f>VLOOKUP(I460,[1]Lookups!$V$3:$Y$197,4,FALSE)</f>
        <v>0</v>
      </c>
      <c r="T460" s="14" t="str">
        <f>VLOOKUP(E460,[1]Lookups!$H$3:$I$71,2,FALSE)</f>
        <v>1. Grant</v>
      </c>
      <c r="U460" s="14" t="str">
        <f>VLOOKUP(K460,[1]Lookups!$B$3:$C$142,2,FALSE)</f>
        <v>Other Technologies &amp; Information Technology</v>
      </c>
      <c r="V460" s="14">
        <f t="shared" si="396"/>
        <v>2018</v>
      </c>
      <c r="W460" s="14">
        <f t="shared" si="397"/>
        <v>3</v>
      </c>
      <c r="X460" s="14">
        <f>VLOOKUP(W460,[1]Lookups!$P$3:$S$15,2,FALSE)</f>
        <v>1</v>
      </c>
      <c r="Y460" s="16">
        <f>VLOOKUP(W460,[1]Lookups!$P$3:$U$15,3,FALSE)</f>
        <v>1</v>
      </c>
      <c r="Z460" s="16">
        <f t="shared" si="398"/>
        <v>1</v>
      </c>
      <c r="AA460" s="16" t="str">
        <f t="shared" ca="1" si="659"/>
        <v>HIMangel</v>
      </c>
      <c r="AB460" s="16">
        <f t="shared" si="659"/>
        <v>0</v>
      </c>
      <c r="AC460" s="16">
        <f t="shared" si="659"/>
        <v>0</v>
      </c>
      <c r="AD460" s="16">
        <f t="shared" si="659"/>
        <v>0</v>
      </c>
      <c r="AE460" s="16">
        <f t="shared" si="659"/>
        <v>0</v>
      </c>
      <c r="AF460" s="16">
        <f t="shared" si="659"/>
        <v>0</v>
      </c>
      <c r="AG460" s="16">
        <f t="shared" si="659"/>
        <v>0</v>
      </c>
      <c r="AH460" s="16">
        <f t="shared" si="659"/>
        <v>0</v>
      </c>
      <c r="AI460" s="16">
        <f t="shared" si="659"/>
        <v>0</v>
      </c>
      <c r="AJ460" s="16">
        <f t="shared" si="659"/>
        <v>0</v>
      </c>
      <c r="AK460" s="16">
        <f t="shared" si="659"/>
        <v>0</v>
      </c>
      <c r="AL460" s="16">
        <f t="shared" si="659"/>
        <v>0</v>
      </c>
      <c r="AM460" s="16">
        <f t="shared" si="659"/>
        <v>0</v>
      </c>
      <c r="AN460" s="16">
        <f t="shared" si="659"/>
        <v>0</v>
      </c>
      <c r="AO460" s="16">
        <f t="shared" si="659"/>
        <v>0</v>
      </c>
      <c r="AP460" s="10"/>
      <c r="AQ460" s="10"/>
      <c r="AR460" s="10"/>
      <c r="AS460" s="10" t="str">
        <f t="shared" ref="AS460" ca="1" si="670">IFERROR(__xludf.DUMMYFUNCTION("split(F386,"","",true,true)"),"HIMangel")</f>
        <v>HIMangel</v>
      </c>
      <c r="AT460" s="10"/>
      <c r="AU460" s="10"/>
      <c r="AV460" s="10"/>
      <c r="AW460" s="10"/>
      <c r="AX460" s="10"/>
      <c r="AY460" s="10"/>
      <c r="AZ460" s="10"/>
      <c r="BA460" s="10"/>
      <c r="BB460" s="10"/>
      <c r="BC460" s="10"/>
      <c r="BD460" s="10"/>
      <c r="BE460" s="10"/>
      <c r="BF460" s="10"/>
      <c r="BG460" s="10"/>
      <c r="BH460" s="10"/>
      <c r="BI460" s="10"/>
      <c r="BJ460" s="10"/>
      <c r="BK460" s="10"/>
      <c r="BM460" s="10"/>
    </row>
    <row r="461" spans="1:65" ht="12.75">
      <c r="A461" s="18">
        <v>43175</v>
      </c>
      <c r="B461" s="14" t="s">
        <v>1058</v>
      </c>
      <c r="C461" s="19">
        <v>20000</v>
      </c>
      <c r="D461" s="19"/>
      <c r="E461" s="14" t="s">
        <v>55</v>
      </c>
      <c r="F461" s="14" t="s">
        <v>1056</v>
      </c>
      <c r="G461" s="27" t="s">
        <v>1059</v>
      </c>
      <c r="H461" s="14" t="str">
        <f t="array" ref="H461">IFERROR(INDEX([1]Companies!$G:$G,MATCH(B461,[1]Companies!$A:$A,0)),"")</f>
        <v>Nigeria</v>
      </c>
      <c r="I461" s="14" t="str">
        <f t="shared" si="638"/>
        <v>Nigeria</v>
      </c>
      <c r="J461" s="14" t="str">
        <f t="array" ref="J461">IFERROR(INDEX([1]Companies!$Y:$Y,MATCH(B461,[1]Companies!$A:$A,0)),"")</f>
        <v>Delivery Service, E-Commerce, Food Delivery, Procurement</v>
      </c>
      <c r="K461" s="14" t="str">
        <f t="array" ref="K461">IFERROR(INDEX([1]Companies!$X:$X,MATCH(B461,[1]Companies!$A:$A,0)),"")</f>
        <v>E-Commerce &amp; Retail</v>
      </c>
      <c r="L461" s="14" t="str">
        <f>VLOOKUP(B461,[1]Companies!$A$1:$C$5243,1,FALSE)</f>
        <v>Ogwugo</v>
      </c>
      <c r="M461" s="15">
        <f t="shared" si="639"/>
        <v>0.9</v>
      </c>
      <c r="N461" s="10" t="str">
        <f t="shared" si="640"/>
        <v>43175Ogwugo20000</v>
      </c>
      <c r="O461" s="14" t="str">
        <f t="shared" si="641"/>
        <v/>
      </c>
      <c r="P461" s="14">
        <f t="shared" si="642"/>
        <v>1</v>
      </c>
      <c r="Q461" s="14">
        <f t="array" ref="Q461">IFERROR(INDEX([1]Companies!$D:$D,MATCH(B461,[1]Companies!$A:$A,0)),"")</f>
        <v>2017</v>
      </c>
      <c r="R461" s="17">
        <f t="shared" si="643"/>
        <v>20000</v>
      </c>
      <c r="S461" s="14">
        <f>VLOOKUP(I461,[1]Lookups!$V$3:$Y$197,4,FALSE)</f>
        <v>0</v>
      </c>
      <c r="T461" s="14" t="str">
        <f>VLOOKUP(E461,[1]Lookups!$H$3:$I$71,2,FALSE)</f>
        <v>1. Grant</v>
      </c>
      <c r="U461" s="14" t="str">
        <f>VLOOKUP(K461,[1]Lookups!$B$3:$C$142,2,FALSE)</f>
        <v>E-commerce &amp; Retail</v>
      </c>
      <c r="V461" s="14">
        <f t="shared" si="396"/>
        <v>2018</v>
      </c>
      <c r="W461" s="14">
        <f t="shared" si="397"/>
        <v>3</v>
      </c>
      <c r="X461" s="14">
        <f>VLOOKUP(W461,[1]Lookups!$P$3:$S$15,2,FALSE)</f>
        <v>1</v>
      </c>
      <c r="Y461" s="16">
        <f>VLOOKUP(W461,[1]Lookups!$P$3:$U$15,3,FALSE)</f>
        <v>1</v>
      </c>
      <c r="Z461" s="16">
        <f t="shared" si="398"/>
        <v>1</v>
      </c>
      <c r="AA461" s="16" t="str">
        <f t="shared" ca="1" si="659"/>
        <v>HIMangel</v>
      </c>
      <c r="AB461" s="16">
        <f t="shared" si="659"/>
        <v>0</v>
      </c>
      <c r="AC461" s="16">
        <f t="shared" si="659"/>
        <v>0</v>
      </c>
      <c r="AD461" s="16">
        <f t="shared" si="659"/>
        <v>0</v>
      </c>
      <c r="AE461" s="16">
        <f t="shared" si="659"/>
        <v>0</v>
      </c>
      <c r="AF461" s="16">
        <f t="shared" si="659"/>
        <v>0</v>
      </c>
      <c r="AG461" s="16">
        <f t="shared" si="659"/>
        <v>0</v>
      </c>
      <c r="AH461" s="16">
        <f t="shared" si="659"/>
        <v>0</v>
      </c>
      <c r="AI461" s="16">
        <f t="shared" si="659"/>
        <v>0</v>
      </c>
      <c r="AJ461" s="16">
        <f t="shared" si="659"/>
        <v>0</v>
      </c>
      <c r="AK461" s="16">
        <f t="shared" si="659"/>
        <v>0</v>
      </c>
      <c r="AL461" s="16">
        <f t="shared" si="659"/>
        <v>0</v>
      </c>
      <c r="AM461" s="16">
        <f t="shared" si="659"/>
        <v>0</v>
      </c>
      <c r="AN461" s="16">
        <f t="shared" si="659"/>
        <v>0</v>
      </c>
      <c r="AO461" s="16">
        <f t="shared" si="659"/>
        <v>0</v>
      </c>
      <c r="AP461" s="10"/>
      <c r="AQ461" s="10"/>
      <c r="AR461" s="10"/>
      <c r="AS461" s="10" t="str">
        <f t="shared" ref="AS461" ca="1" si="671">IFERROR(__xludf.DUMMYFUNCTION("split(F386,"","",true,true)"),"HIMangel")</f>
        <v>HIMangel</v>
      </c>
      <c r="AT461" s="10"/>
      <c r="AU461" s="10"/>
      <c r="AV461" s="10"/>
      <c r="AW461" s="10"/>
      <c r="AX461" s="10"/>
      <c r="AY461" s="10"/>
      <c r="AZ461" s="10"/>
      <c r="BA461" s="10"/>
      <c r="BB461" s="10"/>
      <c r="BC461" s="10"/>
      <c r="BD461" s="10"/>
      <c r="BE461" s="10"/>
      <c r="BF461" s="10"/>
      <c r="BG461" s="10"/>
      <c r="BH461" s="10"/>
      <c r="BI461" s="10"/>
      <c r="BJ461" s="10"/>
      <c r="BK461" s="10"/>
      <c r="BM461" s="10"/>
    </row>
    <row r="462" spans="1:65" ht="12.75">
      <c r="A462" s="18">
        <v>43179</v>
      </c>
      <c r="B462" s="14" t="s">
        <v>1060</v>
      </c>
      <c r="C462" s="19">
        <v>9870000</v>
      </c>
      <c r="D462" s="19"/>
      <c r="E462" s="14" t="s">
        <v>51</v>
      </c>
      <c r="F462" s="14" t="s">
        <v>1061</v>
      </c>
      <c r="G462" s="27" t="s">
        <v>1062</v>
      </c>
      <c r="H462" s="14" t="str">
        <f t="array" ref="H462">IFERROR(INDEX([1]Companies!$G:$G,MATCH(B462,[1]Companies!$A:$A,0)),"")</f>
        <v>Ethiopia</v>
      </c>
      <c r="I462" s="14" t="str">
        <f t="shared" si="638"/>
        <v>Ethiopia</v>
      </c>
      <c r="J462" s="14" t="str">
        <f t="array" ref="J462">IFERROR(INDEX([1]Companies!$Y:$Y,MATCH(B462,[1]Companies!$A:$A,0)),"")</f>
        <v>Mobile Payments, Software</v>
      </c>
      <c r="K462" s="14" t="str">
        <f t="array" ref="K462">IFERROR(INDEX([1]Companies!$X:$X,MATCH(B462,[1]Companies!$A:$A,0)),"")</f>
        <v>Mobile Payments</v>
      </c>
      <c r="L462" s="14" t="str">
        <f>VLOOKUP(B462,[1]Companies!$A$1:$C$5243,1,FALSE)</f>
        <v>M-Birr</v>
      </c>
      <c r="M462" s="15">
        <f t="shared" si="639"/>
        <v>0.9</v>
      </c>
      <c r="N462" s="10" t="str">
        <f t="shared" si="640"/>
        <v>43179M-Birr9870000</v>
      </c>
      <c r="O462" s="14" t="str">
        <f t="shared" si="641"/>
        <v/>
      </c>
      <c r="P462" s="14">
        <f t="shared" si="642"/>
        <v>1</v>
      </c>
      <c r="Q462" s="14">
        <f t="array" ref="Q462">IFERROR(INDEX([1]Companies!$D:$D,MATCH(B462,[1]Companies!$A:$A,0)),"")</f>
        <v>2001</v>
      </c>
      <c r="R462" s="17">
        <f t="shared" si="643"/>
        <v>9870000</v>
      </c>
      <c r="S462" s="14">
        <f>VLOOKUP(I462,[1]Lookups!$V$3:$Y$197,4,FALSE)</f>
        <v>0</v>
      </c>
      <c r="T462" s="14" t="str">
        <f>VLOOKUP(E462,[1]Lookups!$H$3:$I$71,2,FALSE)</f>
        <v>6. Private Equity</v>
      </c>
      <c r="U462" s="14" t="e">
        <f>VLOOKUP(K462,[1]Lookups!$B$3:$C$142,2,FALSE)</f>
        <v>#N/A</v>
      </c>
      <c r="V462" s="14">
        <f t="shared" si="396"/>
        <v>2018</v>
      </c>
      <c r="W462" s="14">
        <f t="shared" si="397"/>
        <v>3</v>
      </c>
      <c r="X462" s="14">
        <f>VLOOKUP(W462,[1]Lookups!$P$3:$S$15,2,FALSE)</f>
        <v>1</v>
      </c>
      <c r="Y462" s="16">
        <f>VLOOKUP(W462,[1]Lookups!$P$3:$U$15,3,FALSE)</f>
        <v>1</v>
      </c>
      <c r="Z462" s="16">
        <f t="shared" si="398"/>
        <v>2</v>
      </c>
      <c r="AA462" s="16" t="str">
        <f t="shared" ca="1" si="659"/>
        <v>HIMangel</v>
      </c>
      <c r="AB462" s="16" t="str">
        <f t="shared" ca="1" si="659"/>
        <v xml:space="preserve"> European Investment Bank (EIB)</v>
      </c>
      <c r="AC462" s="16">
        <f t="shared" si="659"/>
        <v>0</v>
      </c>
      <c r="AD462" s="16">
        <f t="shared" si="659"/>
        <v>0</v>
      </c>
      <c r="AE462" s="16">
        <f t="shared" si="659"/>
        <v>0</v>
      </c>
      <c r="AF462" s="16">
        <f t="shared" si="659"/>
        <v>0</v>
      </c>
      <c r="AG462" s="16">
        <f t="shared" si="659"/>
        <v>0</v>
      </c>
      <c r="AH462" s="16">
        <f t="shared" si="659"/>
        <v>0</v>
      </c>
      <c r="AI462" s="16">
        <f t="shared" si="659"/>
        <v>0</v>
      </c>
      <c r="AJ462" s="16">
        <f t="shared" si="659"/>
        <v>0</v>
      </c>
      <c r="AK462" s="16">
        <f t="shared" si="659"/>
        <v>0</v>
      </c>
      <c r="AL462" s="16">
        <f t="shared" si="659"/>
        <v>0</v>
      </c>
      <c r="AM462" s="16">
        <f t="shared" si="659"/>
        <v>0</v>
      </c>
      <c r="AN462" s="16">
        <f t="shared" si="659"/>
        <v>0</v>
      </c>
      <c r="AO462" s="16">
        <f t="shared" si="659"/>
        <v>0</v>
      </c>
      <c r="AP462" s="10"/>
      <c r="AQ462" s="10"/>
      <c r="AR462" s="10"/>
      <c r="AS462" s="10" t="str">
        <f t="shared" ref="AS462" ca="1" si="672">IFERROR(__xludf.DUMMYFUNCTION("split(F386,"","",true,true)"),"HIMangel")</f>
        <v>HIMangel</v>
      </c>
      <c r="AT462" s="10" t="str">
        <f ca="1">IFERROR(__xludf.DUMMYFUNCTION("""COMPUTED_VALUE""")," European Investment Bank (EIB)")</f>
        <v xml:space="preserve"> European Investment Bank (EIB)</v>
      </c>
      <c r="AU462" s="10"/>
      <c r="AV462" s="10"/>
      <c r="AW462" s="10"/>
      <c r="AX462" s="10"/>
      <c r="AY462" s="10"/>
      <c r="AZ462" s="10"/>
      <c r="BA462" s="10"/>
      <c r="BB462" s="10"/>
      <c r="BC462" s="10"/>
      <c r="BD462" s="10"/>
      <c r="BE462" s="10"/>
      <c r="BF462" s="10"/>
      <c r="BG462" s="10"/>
      <c r="BH462" s="10"/>
      <c r="BI462" s="10"/>
      <c r="BJ462" s="10"/>
      <c r="BK462" s="10"/>
      <c r="BM462" s="10"/>
    </row>
    <row r="463" spans="1:65" ht="12.75">
      <c r="A463" s="18">
        <v>43180</v>
      </c>
      <c r="B463" s="14" t="s">
        <v>1063</v>
      </c>
      <c r="C463" s="19" t="s">
        <v>49</v>
      </c>
      <c r="D463" s="19"/>
      <c r="E463" s="14" t="s">
        <v>45</v>
      </c>
      <c r="F463" s="14" t="s">
        <v>993</v>
      </c>
      <c r="G463" s="27" t="s">
        <v>1064</v>
      </c>
      <c r="H463" s="14" t="str">
        <f t="array" ref="H463">IFERROR(INDEX([1]Companies!$G:$G,MATCH(B463,[1]Companies!$A:$A,0)),"")</f>
        <v>South Africa</v>
      </c>
      <c r="I463" s="14" t="str">
        <f t="shared" si="638"/>
        <v>South Africa</v>
      </c>
      <c r="J463" s="14" t="str">
        <f t="array" ref="J463">IFERROR(INDEX([1]Companies!$Y:$Y,MATCH(B463,[1]Companies!$A:$A,0)),"")</f>
        <v>Machine Learning, Data Science, Predictive Analytics, Artificial Intelligence</v>
      </c>
      <c r="K463" s="14" t="str">
        <f t="array" ref="K463">IFERROR(INDEX([1]Companies!$X:$X,MATCH(B463,[1]Companies!$A:$A,0)),"")</f>
        <v>Information Technology</v>
      </c>
      <c r="L463" s="14" t="str">
        <f>VLOOKUP(B463,[1]Companies!$A$1:$C$5243,1,FALSE)</f>
        <v>Dataprophet</v>
      </c>
      <c r="M463" s="15">
        <f t="shared" si="639"/>
        <v>0.9</v>
      </c>
      <c r="N463" s="10" t="str">
        <f t="shared" si="640"/>
        <v>43180DataProphetUndisclosed</v>
      </c>
      <c r="O463" s="14" t="str">
        <f t="shared" si="641"/>
        <v/>
      </c>
      <c r="P463" s="14">
        <f t="shared" si="642"/>
        <v>0</v>
      </c>
      <c r="Q463" s="14">
        <f t="array" ref="Q463">IFERROR(INDEX([1]Companies!$D:$D,MATCH(B463,[1]Companies!$A:$A,0)),"")</f>
        <v>2013</v>
      </c>
      <c r="R463" s="17">
        <f t="shared" si="643"/>
        <v>0</v>
      </c>
      <c r="S463" s="14">
        <f>VLOOKUP(I463,[1]Lookups!$V$3:$Y$197,4,FALSE)</f>
        <v>0</v>
      </c>
      <c r="T463" s="14" t="str">
        <f>VLOOKUP(E463,[1]Lookups!$H$3:$I$71,2,FALSE)</f>
        <v>2. Seed</v>
      </c>
      <c r="U463" s="14" t="str">
        <f>VLOOKUP(K463,[1]Lookups!$B$3:$C$142,2,FALSE)</f>
        <v>Other Technologies &amp; Information Technology</v>
      </c>
      <c r="V463" s="14">
        <f t="shared" si="396"/>
        <v>2018</v>
      </c>
      <c r="W463" s="14">
        <f t="shared" si="397"/>
        <v>3</v>
      </c>
      <c r="X463" s="14">
        <f>VLOOKUP(W463,[1]Lookups!$P$3:$S$15,2,FALSE)</f>
        <v>1</v>
      </c>
      <c r="Y463" s="16">
        <f>VLOOKUP(W463,[1]Lookups!$P$3:$U$15,3,FALSE)</f>
        <v>1</v>
      </c>
      <c r="Z463" s="16">
        <f t="shared" si="398"/>
        <v>1</v>
      </c>
      <c r="AA463" s="16" t="str">
        <f t="shared" ca="1" si="659"/>
        <v>HIMangel</v>
      </c>
      <c r="AB463" s="16">
        <f t="shared" si="659"/>
        <v>0</v>
      </c>
      <c r="AC463" s="16">
        <f t="shared" si="659"/>
        <v>0</v>
      </c>
      <c r="AD463" s="16">
        <f t="shared" si="659"/>
        <v>0</v>
      </c>
      <c r="AE463" s="16">
        <f t="shared" si="659"/>
        <v>0</v>
      </c>
      <c r="AF463" s="16">
        <f t="shared" si="659"/>
        <v>0</v>
      </c>
      <c r="AG463" s="16">
        <f t="shared" si="659"/>
        <v>0</v>
      </c>
      <c r="AH463" s="16">
        <f t="shared" si="659"/>
        <v>0</v>
      </c>
      <c r="AI463" s="16">
        <f t="shared" si="659"/>
        <v>0</v>
      </c>
      <c r="AJ463" s="16">
        <f t="shared" si="659"/>
        <v>0</v>
      </c>
      <c r="AK463" s="16">
        <f t="shared" si="659"/>
        <v>0</v>
      </c>
      <c r="AL463" s="16">
        <f t="shared" si="659"/>
        <v>0</v>
      </c>
      <c r="AM463" s="16">
        <f t="shared" si="659"/>
        <v>0</v>
      </c>
      <c r="AN463" s="16">
        <f t="shared" si="659"/>
        <v>0</v>
      </c>
      <c r="AO463" s="16">
        <f t="shared" si="659"/>
        <v>0</v>
      </c>
      <c r="AP463" s="10"/>
      <c r="AQ463" s="10"/>
      <c r="AR463" s="10"/>
      <c r="AS463" s="10" t="str">
        <f t="shared" ref="AS463" ca="1" si="673">IFERROR(__xludf.DUMMYFUNCTION("split(F386,"","",true,true)"),"HIMangel")</f>
        <v>HIMangel</v>
      </c>
      <c r="AT463" s="10"/>
      <c r="AU463" s="10"/>
      <c r="AV463" s="10"/>
      <c r="AW463" s="10"/>
      <c r="AX463" s="10"/>
      <c r="AY463" s="10"/>
      <c r="AZ463" s="10"/>
      <c r="BA463" s="10"/>
      <c r="BB463" s="10"/>
      <c r="BC463" s="10"/>
      <c r="BD463" s="10"/>
      <c r="BE463" s="10"/>
      <c r="BF463" s="10"/>
      <c r="BG463" s="10"/>
      <c r="BH463" s="10"/>
      <c r="BI463" s="10"/>
      <c r="BJ463" s="10"/>
      <c r="BK463" s="10"/>
      <c r="BM463" s="10"/>
    </row>
    <row r="464" spans="1:65" ht="12.75">
      <c r="A464" s="18">
        <v>43182</v>
      </c>
      <c r="B464" s="14" t="s">
        <v>1065</v>
      </c>
      <c r="C464" s="19">
        <v>300000</v>
      </c>
      <c r="D464" s="19"/>
      <c r="E464" s="14" t="s">
        <v>69</v>
      </c>
      <c r="F464" s="14" t="s">
        <v>1066</v>
      </c>
      <c r="G464" s="27" t="s">
        <v>1067</v>
      </c>
      <c r="H464" s="14" t="str">
        <f t="array" ref="H464">IFERROR(INDEX([1]Companies!$G:$G,MATCH(B464,[1]Companies!$A:$A,0)),"")</f>
        <v>South Africa</v>
      </c>
      <c r="I464" s="14" t="str">
        <f t="shared" si="638"/>
        <v>South Africa</v>
      </c>
      <c r="J464" s="14" t="str">
        <f t="array" ref="J464">IFERROR(INDEX([1]Companies!$Y:$Y,MATCH(B464,[1]Companies!$A:$A,0)),"")</f>
        <v>Information Services, Information Technology, Software</v>
      </c>
      <c r="K464" s="14" t="str">
        <f t="array" ref="K464">IFERROR(INDEX([1]Companies!$X:$X,MATCH(B464,[1]Companies!$A:$A,0)),"")</f>
        <v>Information Technology</v>
      </c>
      <c r="L464" s="14" t="str">
        <f>VLOOKUP(B464,[1]Companies!$A$1:$C$5243,1,FALSE)</f>
        <v>Godochurch</v>
      </c>
      <c r="M464" s="15">
        <f t="shared" si="639"/>
        <v>0.9</v>
      </c>
      <c r="N464" s="10" t="str">
        <f t="shared" si="640"/>
        <v>43182GoDoChurch300000</v>
      </c>
      <c r="O464" s="14" t="str">
        <f t="shared" si="641"/>
        <v/>
      </c>
      <c r="P464" s="14">
        <f t="shared" si="642"/>
        <v>1</v>
      </c>
      <c r="Q464" s="14">
        <f t="array" ref="Q464">IFERROR(INDEX([1]Companies!$D:$D,MATCH(B464,[1]Companies!$A:$A,0)),"")</f>
        <v>2006</v>
      </c>
      <c r="R464" s="17">
        <f t="shared" si="643"/>
        <v>300000</v>
      </c>
      <c r="S464" s="14">
        <f>VLOOKUP(I464,[1]Lookups!$V$3:$Y$197,4,FALSE)</f>
        <v>0</v>
      </c>
      <c r="T464" s="14" t="str">
        <f>VLOOKUP(E464,[1]Lookups!$H$3:$I$71,2,FALSE)</f>
        <v>3. Early Venture</v>
      </c>
      <c r="U464" s="14" t="str">
        <f>VLOOKUP(K464,[1]Lookups!$B$3:$C$142,2,FALSE)</f>
        <v>Other Technologies &amp; Information Technology</v>
      </c>
      <c r="V464" s="14">
        <f t="shared" si="396"/>
        <v>2018</v>
      </c>
      <c r="W464" s="14">
        <f t="shared" si="397"/>
        <v>3</v>
      </c>
      <c r="X464" s="14">
        <f>VLOOKUP(W464,[1]Lookups!$P$3:$S$15,2,FALSE)</f>
        <v>1</v>
      </c>
      <c r="Y464" s="16">
        <f>VLOOKUP(W464,[1]Lookups!$P$3:$U$15,3,FALSE)</f>
        <v>1</v>
      </c>
      <c r="Z464" s="16">
        <f t="shared" si="398"/>
        <v>1</v>
      </c>
      <c r="AA464" s="16" t="str">
        <f t="shared" ca="1" si="659"/>
        <v>HIMangel</v>
      </c>
      <c r="AB464" s="16">
        <f t="shared" si="659"/>
        <v>0</v>
      </c>
      <c r="AC464" s="16">
        <f t="shared" si="659"/>
        <v>0</v>
      </c>
      <c r="AD464" s="16">
        <f t="shared" si="659"/>
        <v>0</v>
      </c>
      <c r="AE464" s="16">
        <f t="shared" si="659"/>
        <v>0</v>
      </c>
      <c r="AF464" s="16">
        <f t="shared" si="659"/>
        <v>0</v>
      </c>
      <c r="AG464" s="16">
        <f t="shared" si="659"/>
        <v>0</v>
      </c>
      <c r="AH464" s="16">
        <f t="shared" si="659"/>
        <v>0</v>
      </c>
      <c r="AI464" s="16">
        <f t="shared" si="659"/>
        <v>0</v>
      </c>
      <c r="AJ464" s="16">
        <f t="shared" si="659"/>
        <v>0</v>
      </c>
      <c r="AK464" s="16">
        <f t="shared" si="659"/>
        <v>0</v>
      </c>
      <c r="AL464" s="16">
        <f t="shared" si="659"/>
        <v>0</v>
      </c>
      <c r="AM464" s="16">
        <f t="shared" si="659"/>
        <v>0</v>
      </c>
      <c r="AN464" s="16">
        <f t="shared" si="659"/>
        <v>0</v>
      </c>
      <c r="AO464" s="16">
        <f t="shared" si="659"/>
        <v>0</v>
      </c>
      <c r="AP464" s="10"/>
      <c r="AQ464" s="10"/>
      <c r="AR464" s="10"/>
      <c r="AS464" s="10" t="str">
        <f t="shared" ref="AS464" ca="1" si="674">IFERROR(__xludf.DUMMYFUNCTION("split(F386,"","",true,true)"),"HIMangel")</f>
        <v>HIMangel</v>
      </c>
      <c r="AT464" s="10"/>
      <c r="AU464" s="10"/>
      <c r="AV464" s="10"/>
      <c r="AW464" s="10"/>
      <c r="AX464" s="10"/>
      <c r="AY464" s="10"/>
      <c r="AZ464" s="10"/>
      <c r="BA464" s="10"/>
      <c r="BB464" s="10"/>
      <c r="BC464" s="10"/>
      <c r="BD464" s="10"/>
      <c r="BE464" s="10"/>
      <c r="BF464" s="10"/>
      <c r="BG464" s="10"/>
      <c r="BH464" s="10"/>
      <c r="BI464" s="10"/>
      <c r="BJ464" s="10"/>
      <c r="BK464" s="10"/>
      <c r="BM464" s="10"/>
    </row>
    <row r="465" spans="1:65" ht="12.75">
      <c r="A465" s="9">
        <v>43184</v>
      </c>
      <c r="B465" s="10" t="s">
        <v>904</v>
      </c>
      <c r="C465" s="11">
        <v>2000000</v>
      </c>
      <c r="D465" s="12"/>
      <c r="E465" s="10" t="s">
        <v>45</v>
      </c>
      <c r="F465" s="10" t="s">
        <v>49</v>
      </c>
      <c r="G465" s="13" t="s">
        <v>1068</v>
      </c>
      <c r="H465" s="14" t="str">
        <f t="array" ref="H465">IFERROR(INDEX([1]Companies!$G:$G,MATCH(B465,[1]Companies!$A:$A,0)),"")</f>
        <v>Egypt</v>
      </c>
      <c r="I465" s="14" t="str">
        <f t="shared" si="638"/>
        <v>Egypt</v>
      </c>
      <c r="J465" s="14" t="str">
        <f t="array" ref="J465">IFERROR(INDEX([1]Companies!$Y:$Y,MATCH(B465,[1]Companies!$A:$A,0)),"")</f>
        <v>Logistics, Ride Sharing, Sharing Economy, Transportation</v>
      </c>
      <c r="K465" s="14" t="str">
        <f t="array" ref="K465">IFERROR(INDEX([1]Companies!$X:$X,MATCH(B465,[1]Companies!$A:$A,0)),"")</f>
        <v>Transport &amp; Logistics</v>
      </c>
      <c r="L465" s="14" t="str">
        <f>VLOOKUP(B465,[1]Companies!$A$1:$C$5243,1,FALSE)</f>
        <v>Halan</v>
      </c>
      <c r="M465" s="15">
        <f t="shared" si="639"/>
        <v>0.9</v>
      </c>
      <c r="N465" s="10" t="str">
        <f t="shared" si="640"/>
        <v>43184Halan2000000</v>
      </c>
      <c r="O465" s="14" t="str">
        <f t="shared" si="641"/>
        <v/>
      </c>
      <c r="P465" s="14">
        <f t="shared" si="642"/>
        <v>1</v>
      </c>
      <c r="Q465" s="14">
        <f t="array" ref="Q465">IFERROR(INDEX([1]Companies!$D:$D,MATCH(B465,[1]Companies!$A:$A,0)),"")</f>
        <v>2017</v>
      </c>
      <c r="R465" s="17">
        <f t="shared" si="643"/>
        <v>6909000</v>
      </c>
      <c r="S465" s="14">
        <f>VLOOKUP(I465,[1]Lookups!$V$3:$Y$197,4,FALSE)</f>
        <v>0</v>
      </c>
      <c r="T465" s="14" t="str">
        <f>VLOOKUP(E465,[1]Lookups!$H$3:$I$71,2,FALSE)</f>
        <v>2. Seed</v>
      </c>
      <c r="U465" s="14" t="str">
        <f>VLOOKUP(K465,[1]Lookups!$B$3:$C$142,2,FALSE)</f>
        <v>Transport &amp; Logistics</v>
      </c>
      <c r="V465" s="14">
        <f t="shared" si="396"/>
        <v>2018</v>
      </c>
      <c r="W465" s="14">
        <f t="shared" si="397"/>
        <v>3</v>
      </c>
      <c r="X465" s="14">
        <f>VLOOKUP(W465,[1]Lookups!$P$3:$S$15,2,FALSE)</f>
        <v>1</v>
      </c>
      <c r="Y465" s="16">
        <f>VLOOKUP(W465,[1]Lookups!$P$3:$U$15,3,FALSE)</f>
        <v>1</v>
      </c>
      <c r="Z465" s="16">
        <f t="shared" si="398"/>
        <v>1</v>
      </c>
      <c r="AA465" s="16" t="str">
        <f t="shared" ca="1" si="659"/>
        <v>HIMangel</v>
      </c>
      <c r="AB465" s="16">
        <f t="shared" si="659"/>
        <v>0</v>
      </c>
      <c r="AC465" s="16">
        <f t="shared" si="659"/>
        <v>0</v>
      </c>
      <c r="AD465" s="16">
        <f t="shared" si="659"/>
        <v>0</v>
      </c>
      <c r="AE465" s="16">
        <f t="shared" si="659"/>
        <v>0</v>
      </c>
      <c r="AF465" s="16">
        <f t="shared" si="659"/>
        <v>0</v>
      </c>
      <c r="AG465" s="16">
        <f t="shared" si="659"/>
        <v>0</v>
      </c>
      <c r="AH465" s="16">
        <f t="shared" si="659"/>
        <v>0</v>
      </c>
      <c r="AI465" s="16">
        <f t="shared" si="659"/>
        <v>0</v>
      </c>
      <c r="AJ465" s="16">
        <f t="shared" si="659"/>
        <v>0</v>
      </c>
      <c r="AK465" s="16">
        <f t="shared" si="659"/>
        <v>0</v>
      </c>
      <c r="AL465" s="16">
        <f t="shared" si="659"/>
        <v>0</v>
      </c>
      <c r="AM465" s="16">
        <f t="shared" si="659"/>
        <v>0</v>
      </c>
      <c r="AN465" s="16">
        <f t="shared" si="659"/>
        <v>0</v>
      </c>
      <c r="AO465" s="16">
        <f t="shared" si="659"/>
        <v>0</v>
      </c>
      <c r="AP465" s="10"/>
      <c r="AQ465" s="10"/>
      <c r="AR465" s="10"/>
      <c r="AS465" s="10" t="str">
        <f t="shared" ref="AS465" ca="1" si="675">IFERROR(__xludf.DUMMYFUNCTION("split(F386,"","",true,true)"),"HIMangel")</f>
        <v>HIMangel</v>
      </c>
      <c r="AT465" s="10"/>
      <c r="AU465" s="10"/>
      <c r="AV465" s="10"/>
      <c r="AW465" s="10"/>
      <c r="AX465" s="10"/>
      <c r="AY465" s="10"/>
      <c r="AZ465" s="10"/>
      <c r="BA465" s="10"/>
      <c r="BB465" s="10"/>
      <c r="BC465" s="10"/>
      <c r="BD465" s="10"/>
      <c r="BE465" s="10"/>
      <c r="BF465" s="10"/>
      <c r="BG465" s="10"/>
      <c r="BH465" s="10"/>
      <c r="BI465" s="10"/>
      <c r="BJ465" s="10"/>
      <c r="BK465" s="10"/>
      <c r="BM465" s="10"/>
    </row>
    <row r="466" spans="1:65" ht="12.75">
      <c r="A466" s="18">
        <v>43185</v>
      </c>
      <c r="B466" s="14" t="s">
        <v>1069</v>
      </c>
      <c r="C466" s="19">
        <v>60000</v>
      </c>
      <c r="D466" s="19"/>
      <c r="E466" s="14" t="s">
        <v>45</v>
      </c>
      <c r="F466" s="14" t="s">
        <v>49</v>
      </c>
      <c r="G466" s="27" t="s">
        <v>1070</v>
      </c>
      <c r="H466" s="14" t="str">
        <f t="array" ref="H466">IFERROR(INDEX([1]Companies!$G:$G,MATCH(B466,[1]Companies!$A:$A,0)),"")</f>
        <v>Tunisia</v>
      </c>
      <c r="I466" s="14" t="str">
        <f t="shared" si="638"/>
        <v>Tunisia</v>
      </c>
      <c r="J466" s="14" t="str">
        <f t="array" ref="J466">IFERROR(INDEX([1]Companies!$Y:$Y,MATCH(B466,[1]Companies!$A:$A,0)),"")</f>
        <v>Logistics, Transportation</v>
      </c>
      <c r="K466" s="14" t="str">
        <f t="array" ref="K466">IFERROR(INDEX([1]Companies!$X:$X,MATCH(B466,[1]Companies!$A:$A,0)),"")</f>
        <v>Transport &amp; Logistics</v>
      </c>
      <c r="L466" s="14" t="str">
        <f>VLOOKUP(B466,[1]Companies!$A$1:$C$5243,1,FALSE)</f>
        <v>Optimalogistic</v>
      </c>
      <c r="M466" s="15">
        <f t="shared" si="639"/>
        <v>0.9</v>
      </c>
      <c r="N466" s="10" t="str">
        <f t="shared" si="640"/>
        <v>43185Optimalogistic60000</v>
      </c>
      <c r="O466" s="14" t="str">
        <f t="shared" si="641"/>
        <v/>
      </c>
      <c r="P466" s="14">
        <f t="shared" si="642"/>
        <v>1</v>
      </c>
      <c r="Q466" s="14">
        <f t="array" ref="Q466">IFERROR(INDEX([1]Companies!$D:$D,MATCH(B466,[1]Companies!$A:$A,0)),"")</f>
        <v>2016</v>
      </c>
      <c r="R466" s="17">
        <f t="shared" si="643"/>
        <v>60000</v>
      </c>
      <c r="S466" s="14">
        <f>VLOOKUP(I466,[1]Lookups!$V$3:$Y$197,4,FALSE)</f>
        <v>0</v>
      </c>
      <c r="T466" s="14" t="str">
        <f>VLOOKUP(E466,[1]Lookups!$H$3:$I$71,2,FALSE)</f>
        <v>2. Seed</v>
      </c>
      <c r="U466" s="14" t="str">
        <f>VLOOKUP(K466,[1]Lookups!$B$3:$C$142,2,FALSE)</f>
        <v>Transport &amp; Logistics</v>
      </c>
      <c r="V466" s="14">
        <f t="shared" si="396"/>
        <v>2018</v>
      </c>
      <c r="W466" s="14">
        <f t="shared" si="397"/>
        <v>3</v>
      </c>
      <c r="X466" s="14">
        <f>VLOOKUP(W466,[1]Lookups!$P$3:$S$15,2,FALSE)</f>
        <v>1</v>
      </c>
      <c r="Y466" s="16">
        <f>VLOOKUP(W466,[1]Lookups!$P$3:$U$15,3,FALSE)</f>
        <v>1</v>
      </c>
      <c r="Z466" s="16">
        <f t="shared" si="398"/>
        <v>1</v>
      </c>
      <c r="AA466" s="16" t="str">
        <f t="shared" ref="AA466:AO467" ca="1" si="676">AS466</f>
        <v>HIMangel</v>
      </c>
      <c r="AB466" s="16">
        <f t="shared" si="676"/>
        <v>0</v>
      </c>
      <c r="AC466" s="16">
        <f t="shared" si="676"/>
        <v>0</v>
      </c>
      <c r="AD466" s="16">
        <f t="shared" si="676"/>
        <v>0</v>
      </c>
      <c r="AE466" s="16">
        <f t="shared" si="676"/>
        <v>0</v>
      </c>
      <c r="AF466" s="16">
        <f t="shared" si="676"/>
        <v>0</v>
      </c>
      <c r="AG466" s="16">
        <f t="shared" si="676"/>
        <v>0</v>
      </c>
      <c r="AH466" s="16">
        <f t="shared" si="676"/>
        <v>0</v>
      </c>
      <c r="AI466" s="16">
        <f t="shared" si="676"/>
        <v>0</v>
      </c>
      <c r="AJ466" s="16">
        <f t="shared" si="676"/>
        <v>0</v>
      </c>
      <c r="AK466" s="16">
        <f t="shared" si="676"/>
        <v>0</v>
      </c>
      <c r="AL466" s="16">
        <f t="shared" si="676"/>
        <v>0</v>
      </c>
      <c r="AM466" s="16">
        <f t="shared" si="676"/>
        <v>0</v>
      </c>
      <c r="AN466" s="16">
        <f t="shared" si="676"/>
        <v>0</v>
      </c>
      <c r="AO466" s="16">
        <f t="shared" si="676"/>
        <v>0</v>
      </c>
      <c r="AP466" s="10"/>
      <c r="AQ466" s="10"/>
      <c r="AR466" s="10"/>
      <c r="AS466" s="10" t="str">
        <f t="shared" ref="AS466" ca="1" si="677">IFERROR(__xludf.DUMMYFUNCTION("split(F386,"","",true,true)"),"HIMangel")</f>
        <v>HIMangel</v>
      </c>
      <c r="AT466" s="10"/>
      <c r="AU466" s="10"/>
      <c r="AV466" s="10"/>
      <c r="AW466" s="10"/>
      <c r="AX466" s="10"/>
      <c r="AY466" s="10"/>
      <c r="AZ466" s="10"/>
      <c r="BA466" s="10"/>
      <c r="BB466" s="10"/>
      <c r="BC466" s="10"/>
      <c r="BD466" s="10"/>
      <c r="BE466" s="10"/>
      <c r="BF466" s="10"/>
      <c r="BG466" s="10"/>
      <c r="BH466" s="10"/>
      <c r="BI466" s="10"/>
      <c r="BJ466" s="10"/>
      <c r="BK466" s="10"/>
      <c r="BM466" s="10"/>
    </row>
    <row r="467" spans="1:65" ht="12.75">
      <c r="A467" s="18">
        <v>43187</v>
      </c>
      <c r="B467" s="14" t="s">
        <v>1071</v>
      </c>
      <c r="C467" s="19">
        <v>337300</v>
      </c>
      <c r="D467" s="19"/>
      <c r="E467" s="14" t="s">
        <v>45</v>
      </c>
      <c r="F467" s="14" t="s">
        <v>1072</v>
      </c>
      <c r="G467" s="27" t="s">
        <v>1073</v>
      </c>
      <c r="H467" s="14" t="str">
        <f t="array" ref="H467">IFERROR(INDEX([1]Companies!$G:$G,MATCH(B467,[1]Companies!$A:$A,0)),"")</f>
        <v>Nigeria</v>
      </c>
      <c r="I467" s="14" t="str">
        <f t="shared" si="638"/>
        <v>Nigeria</v>
      </c>
      <c r="J467" s="14" t="str">
        <f t="array" ref="J467">IFERROR(INDEX([1]Companies!$Y:$Y,MATCH(B467,[1]Companies!$A:$A,0)),"")</f>
        <v>Private Transport, Logistics, Ride-Hailing, Transportation, Moto-Taxi, Okada, logistics</v>
      </c>
      <c r="K467" s="14" t="str">
        <f t="array" ref="K467">IFERROR(INDEX([1]Companies!$X:$X,MATCH(B467,[1]Companies!$A:$A,0)),"")</f>
        <v>Transport &amp; Logistics</v>
      </c>
      <c r="L467" s="14" t="str">
        <f>VLOOKUP(B467,[1]Companies!$A$1:$C$5243,1,FALSE)</f>
        <v>Gokada</v>
      </c>
      <c r="M467" s="15">
        <f t="shared" si="639"/>
        <v>0.9</v>
      </c>
      <c r="N467" s="10" t="str">
        <f t="shared" si="640"/>
        <v>43187Gokada337300</v>
      </c>
      <c r="O467" s="14" t="str">
        <f t="shared" si="641"/>
        <v/>
      </c>
      <c r="P467" s="14">
        <f t="shared" si="642"/>
        <v>1</v>
      </c>
      <c r="Q467" s="14">
        <f t="array" ref="Q467">IFERROR(INDEX([1]Companies!$D:$D,MATCH(B467,[1]Companies!$A:$A,0)),"")</f>
        <v>2017</v>
      </c>
      <c r="R467" s="17">
        <f t="shared" si="643"/>
        <v>12507300</v>
      </c>
      <c r="S467" s="14">
        <f>VLOOKUP(I467,[1]Lookups!$V$3:$Y$197,4,FALSE)</f>
        <v>0</v>
      </c>
      <c r="T467" s="14" t="str">
        <f>VLOOKUP(E467,[1]Lookups!$H$3:$I$71,2,FALSE)</f>
        <v>2. Seed</v>
      </c>
      <c r="U467" s="14" t="str">
        <f>VLOOKUP(K467,[1]Lookups!$B$3:$C$142,2,FALSE)</f>
        <v>Transport &amp; Logistics</v>
      </c>
      <c r="V467" s="14">
        <f t="shared" si="396"/>
        <v>2018</v>
      </c>
      <c r="W467" s="14">
        <f t="shared" si="397"/>
        <v>3</v>
      </c>
      <c r="X467" s="14">
        <f>VLOOKUP(W467,[1]Lookups!$P$3:$S$15,2,FALSE)</f>
        <v>1</v>
      </c>
      <c r="Y467" s="16">
        <f>VLOOKUP(W467,[1]Lookups!$P$3:$U$15,3,FALSE)</f>
        <v>1</v>
      </c>
      <c r="Z467" s="16">
        <f t="shared" si="398"/>
        <v>1</v>
      </c>
      <c r="AA467" s="16" t="str">
        <f t="shared" ca="1" si="676"/>
        <v>HIMangel</v>
      </c>
      <c r="AB467" s="16">
        <f t="shared" si="676"/>
        <v>0</v>
      </c>
      <c r="AC467" s="16">
        <f t="shared" si="676"/>
        <v>0</v>
      </c>
      <c r="AD467" s="16">
        <f t="shared" si="676"/>
        <v>0</v>
      </c>
      <c r="AE467" s="16">
        <f t="shared" si="676"/>
        <v>0</v>
      </c>
      <c r="AF467" s="16">
        <f t="shared" si="676"/>
        <v>0</v>
      </c>
      <c r="AG467" s="16">
        <f t="shared" si="676"/>
        <v>0</v>
      </c>
      <c r="AH467" s="16">
        <f t="shared" si="676"/>
        <v>0</v>
      </c>
      <c r="AI467" s="16">
        <f t="shared" si="676"/>
        <v>0</v>
      </c>
      <c r="AJ467" s="16">
        <f t="shared" si="676"/>
        <v>0</v>
      </c>
      <c r="AK467" s="16">
        <f t="shared" si="676"/>
        <v>0</v>
      </c>
      <c r="AL467" s="16">
        <f t="shared" si="676"/>
        <v>0</v>
      </c>
      <c r="AM467" s="16">
        <f t="shared" si="676"/>
        <v>0</v>
      </c>
      <c r="AN467" s="16">
        <f t="shared" si="676"/>
        <v>0</v>
      </c>
      <c r="AO467" s="16">
        <f t="shared" si="676"/>
        <v>0</v>
      </c>
      <c r="AP467" s="10"/>
      <c r="AQ467" s="10"/>
      <c r="AR467" s="10"/>
      <c r="AS467" s="10" t="str">
        <f t="shared" ref="AS467" ca="1" si="678">IFERROR(__xludf.DUMMYFUNCTION("split(F386,"","",true,true)"),"HIMangel")</f>
        <v>HIMangel</v>
      </c>
      <c r="AT467" s="10"/>
      <c r="AU467" s="10"/>
      <c r="AV467" s="10"/>
      <c r="AW467" s="10"/>
      <c r="AX467" s="10"/>
      <c r="AY467" s="10"/>
      <c r="AZ467" s="10"/>
      <c r="BA467" s="10"/>
      <c r="BB467" s="10"/>
      <c r="BC467" s="10"/>
      <c r="BD467" s="10"/>
      <c r="BE467" s="10"/>
      <c r="BF467" s="10"/>
      <c r="BG467" s="10"/>
      <c r="BH467" s="10"/>
      <c r="BI467" s="10"/>
      <c r="BJ467" s="10"/>
      <c r="BK467" s="10"/>
      <c r="BM467" s="10"/>
    </row>
    <row r="468" spans="1:65" ht="12.75">
      <c r="A468" s="18">
        <v>43187</v>
      </c>
      <c r="B468" s="14" t="s">
        <v>1074</v>
      </c>
      <c r="C468" s="19">
        <v>100000</v>
      </c>
      <c r="D468" s="19"/>
      <c r="E468" s="14" t="s">
        <v>48</v>
      </c>
      <c r="F468" s="14" t="s">
        <v>1075</v>
      </c>
      <c r="G468" s="13" t="s">
        <v>1076</v>
      </c>
      <c r="H468" s="14"/>
      <c r="I468" s="14"/>
      <c r="J468" s="14"/>
      <c r="K468" s="14"/>
      <c r="L468" s="14"/>
      <c r="M468" s="15"/>
      <c r="N468" s="10"/>
      <c r="O468" s="14"/>
      <c r="P468" s="14"/>
      <c r="Q468" s="14"/>
      <c r="R468" s="17"/>
      <c r="S468" s="14"/>
      <c r="T468" s="14"/>
      <c r="U468" s="14"/>
      <c r="V468" s="14">
        <f t="shared" si="396"/>
        <v>2018</v>
      </c>
      <c r="W468" s="14">
        <f t="shared" si="397"/>
        <v>3</v>
      </c>
      <c r="X468" s="14">
        <f>VLOOKUP(W468,[1]Lookups!$P$3:$S$15,2,FALSE)</f>
        <v>1</v>
      </c>
      <c r="Y468" s="16">
        <f>VLOOKUP(W468,[1]Lookups!$P$3:$U$15,3,FALSE)</f>
        <v>1</v>
      </c>
      <c r="Z468" s="16">
        <f t="shared" si="398"/>
        <v>2</v>
      </c>
      <c r="AA468" s="16"/>
      <c r="AB468" s="16"/>
      <c r="AC468" s="16"/>
      <c r="AD468" s="16"/>
      <c r="AE468" s="16"/>
      <c r="AF468" s="16"/>
      <c r="AG468" s="16"/>
      <c r="AH468" s="16"/>
      <c r="AI468" s="16"/>
      <c r="AJ468" s="16"/>
      <c r="AK468" s="16"/>
      <c r="AL468" s="16"/>
      <c r="AM468" s="16"/>
      <c r="AN468" s="16"/>
      <c r="AO468" s="16"/>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M468" s="10"/>
    </row>
    <row r="469" spans="1:65" ht="12.75">
      <c r="A469" s="18">
        <v>43188</v>
      </c>
      <c r="B469" s="14" t="s">
        <v>1077</v>
      </c>
      <c r="C469" s="19">
        <v>5000000</v>
      </c>
      <c r="D469" s="19"/>
      <c r="E469" s="14" t="s">
        <v>69</v>
      </c>
      <c r="F469" s="14" t="s">
        <v>1078</v>
      </c>
      <c r="G469" s="27" t="s">
        <v>1079</v>
      </c>
      <c r="H469" s="14" t="str">
        <f t="array" ref="H469">IFERROR(INDEX([1]Companies!$G:$G,MATCH(B469,[1]Companies!$A:$A,0)),"")</f>
        <v>Nigeria</v>
      </c>
      <c r="I469" s="14" t="str">
        <f t="shared" ref="I469:I475" si="679">IF(LEN(TRIM(H469))-LEN(SUBSTITUTE(TRIM(H469),",","")) &gt; 0,TRIM(RIGHT(H469,LEN(H469)-FIND(",",H469))),H469)</f>
        <v>Nigeria</v>
      </c>
      <c r="J469" s="14" t="str">
        <f t="array" ref="J469">IFERROR(INDEX([1]Companies!$Y:$Y,MATCH(B469,[1]Companies!$A:$A,0)),"")</f>
        <v>Billing, Content, CRM, Digital Media, Local, Mobile, Mobile Advertising, Music, Social Media, Social Media Marketing</v>
      </c>
      <c r="K469" s="14" t="str">
        <f t="array" ref="K469">IFERROR(INDEX([1]Companies!$X:$X,MATCH(B469,[1]Companies!$A:$A,0)),"")</f>
        <v>Media &amp; Entertainment</v>
      </c>
      <c r="L469" s="14" t="str">
        <f>VLOOKUP(B469,[1]Companies!$A$1:$C$5243,1,FALSE)</f>
        <v>Terragon Group</v>
      </c>
      <c r="M469" s="15">
        <f t="shared" ref="M469:M475" si="680">COUNTA(B469:K469)/(COUNTBLANK(B469:K469) + COUNTA(B469:K469))</f>
        <v>0.9</v>
      </c>
      <c r="N469" s="10" t="str">
        <f t="shared" ref="N469:N475" si="681">CONCATENATE(A469,B469,C469)</f>
        <v>43188Terragon Group5000000</v>
      </c>
      <c r="O469" s="14" t="str">
        <f t="shared" ref="O469:O475" si="682">IF(A469 = "","",IF(COUNTIF(N:N,CONCATENATE(A469,B469,C469))&gt;1,"Duplicated",""))</f>
        <v/>
      </c>
      <c r="P469" s="14">
        <f t="shared" ref="P469:P475" si="683">IF(C469="Undisclosed",0,1)</f>
        <v>1</v>
      </c>
      <c r="Q469" s="14">
        <f t="array" ref="Q469">IFERROR(INDEX([1]Companies!$D:$D,MATCH(B469,[1]Companies!$A:$A,0)),"")</f>
        <v>2009</v>
      </c>
      <c r="R469" s="17">
        <f t="shared" ref="R469:R475" si="684">SUMIF(B:B,B469,C:C)</f>
        <v>5000000</v>
      </c>
      <c r="S469" s="14">
        <f>VLOOKUP(I469,[1]Lookups!$V$3:$Y$197,4,FALSE)</f>
        <v>0</v>
      </c>
      <c r="T469" s="14" t="str">
        <f>VLOOKUP(E469,[1]Lookups!$H$3:$I$71,2,FALSE)</f>
        <v>3. Early Venture</v>
      </c>
      <c r="U469" s="14" t="str">
        <f>VLOOKUP(K469,[1]Lookups!$B$3:$C$142,2,FALSE)</f>
        <v>Media &amp; Entertainment</v>
      </c>
      <c r="V469" s="14">
        <f t="shared" si="396"/>
        <v>2018</v>
      </c>
      <c r="W469" s="14">
        <f t="shared" si="397"/>
        <v>3</v>
      </c>
      <c r="X469" s="14">
        <f>VLOOKUP(W469,[1]Lookups!$P$3:$S$15,2,FALSE)</f>
        <v>1</v>
      </c>
      <c r="Y469" s="16">
        <f>VLOOKUP(W469,[1]Lookups!$P$3:$U$15,3,FALSE)</f>
        <v>1</v>
      </c>
      <c r="Z469" s="16">
        <f t="shared" si="398"/>
        <v>1</v>
      </c>
      <c r="AA469" s="16" t="str">
        <f t="shared" ref="AA469:AO475" ca="1" si="685">AS469</f>
        <v xml:space="preserve">TLcom Capital Partners </v>
      </c>
      <c r="AB469" s="16">
        <f t="shared" si="685"/>
        <v>0</v>
      </c>
      <c r="AC469" s="16">
        <f t="shared" si="685"/>
        <v>0</v>
      </c>
      <c r="AD469" s="16">
        <f t="shared" si="685"/>
        <v>0</v>
      </c>
      <c r="AE469" s="16">
        <f t="shared" si="685"/>
        <v>0</v>
      </c>
      <c r="AF469" s="16">
        <f t="shared" si="685"/>
        <v>0</v>
      </c>
      <c r="AG469" s="16">
        <f t="shared" si="685"/>
        <v>0</v>
      </c>
      <c r="AH469" s="16">
        <f t="shared" si="685"/>
        <v>0</v>
      </c>
      <c r="AI469" s="16">
        <f t="shared" si="685"/>
        <v>0</v>
      </c>
      <c r="AJ469" s="16">
        <f t="shared" si="685"/>
        <v>0</v>
      </c>
      <c r="AK469" s="16">
        <f t="shared" si="685"/>
        <v>0</v>
      </c>
      <c r="AL469" s="16">
        <f t="shared" si="685"/>
        <v>0</v>
      </c>
      <c r="AM469" s="16">
        <f t="shared" si="685"/>
        <v>0</v>
      </c>
      <c r="AN469" s="16">
        <f t="shared" si="685"/>
        <v>0</v>
      </c>
      <c r="AO469" s="16">
        <f t="shared" si="685"/>
        <v>0</v>
      </c>
      <c r="AP469" s="10"/>
      <c r="AQ469" s="10"/>
      <c r="AR469" s="10"/>
      <c r="AS469" s="10" t="str">
        <f t="shared" ref="AS469" ca="1" si="686">IFERROR(__xludf.DUMMYFUNCTION("split(F469,"","",true,true)"),"TLcom Capital Partners ")</f>
        <v xml:space="preserve">TLcom Capital Partners </v>
      </c>
      <c r="AT469" s="10"/>
      <c r="AU469" s="10"/>
      <c r="AV469" s="10"/>
      <c r="AW469" s="10"/>
      <c r="AX469" s="10"/>
      <c r="AY469" s="10"/>
      <c r="AZ469" s="10"/>
      <c r="BA469" s="10"/>
      <c r="BB469" s="10"/>
      <c r="BC469" s="10"/>
      <c r="BD469" s="10"/>
      <c r="BE469" s="10"/>
      <c r="BF469" s="10"/>
      <c r="BG469" s="10"/>
      <c r="BH469" s="10"/>
      <c r="BI469" s="10"/>
      <c r="BJ469" s="10"/>
      <c r="BK469" s="10"/>
      <c r="BM469" s="10"/>
    </row>
    <row r="470" spans="1:65" ht="12.75">
      <c r="A470" s="18">
        <v>43188</v>
      </c>
      <c r="B470" s="14" t="s">
        <v>1080</v>
      </c>
      <c r="C470" s="19">
        <v>35000</v>
      </c>
      <c r="D470" s="19"/>
      <c r="E470" s="14" t="s">
        <v>45</v>
      </c>
      <c r="F470" s="14" t="s">
        <v>49</v>
      </c>
      <c r="G470" s="27" t="s">
        <v>1081</v>
      </c>
      <c r="H470" s="14" t="str">
        <f t="array" ref="H470">IFERROR(INDEX([1]Companies!$G:$G,MATCH(B470,[1]Companies!$A:$A,0)),"")</f>
        <v>Cameroon</v>
      </c>
      <c r="I470" s="14" t="str">
        <f t="shared" si="679"/>
        <v>Cameroon</v>
      </c>
      <c r="J470" s="14" t="str">
        <f t="array" ref="J470">IFERROR(INDEX([1]Companies!$Y:$Y,MATCH(B470,[1]Companies!$A:$A,0)),"")</f>
        <v>Health Care, Health Diagnostics, Medical Device, Telecommunications</v>
      </c>
      <c r="K470" s="14" t="str">
        <f t="array" ref="K470">IFERROR(INDEX([1]Companies!$X:$X,MATCH(B470,[1]Companies!$A:$A,0)),"")</f>
        <v>Healthcare &amp; Pharma</v>
      </c>
      <c r="L470" s="14" t="str">
        <f>VLOOKUP(B470,[1]Companies!$A$1:$C$5243,1,FALSE)</f>
        <v>GICMED</v>
      </c>
      <c r="M470" s="15">
        <f t="shared" si="680"/>
        <v>0.9</v>
      </c>
      <c r="N470" s="10" t="str">
        <f t="shared" si="681"/>
        <v>43188GICMED35000</v>
      </c>
      <c r="O470" s="14" t="str">
        <f t="shared" si="682"/>
        <v/>
      </c>
      <c r="P470" s="14">
        <f t="shared" si="683"/>
        <v>1</v>
      </c>
      <c r="Q470" s="14">
        <f t="array" ref="Q470">IFERROR(INDEX([1]Companies!$D:$D,MATCH(B470,[1]Companies!$A:$A,0)),"")</f>
        <v>2017</v>
      </c>
      <c r="R470" s="17">
        <f t="shared" si="684"/>
        <v>35000</v>
      </c>
      <c r="S470" s="14">
        <f>VLOOKUP(I470,[1]Lookups!$V$3:$Y$197,4,FALSE)</f>
        <v>0</v>
      </c>
      <c r="T470" s="14" t="str">
        <f>VLOOKUP(E470,[1]Lookups!$H$3:$I$71,2,FALSE)</f>
        <v>2. Seed</v>
      </c>
      <c r="U470" s="14" t="str">
        <f>VLOOKUP(K470,[1]Lookups!$B$3:$C$142,2,FALSE)</f>
        <v>Health &amp; Pharmaceuticals</v>
      </c>
      <c r="V470" s="14">
        <f t="shared" si="396"/>
        <v>2018</v>
      </c>
      <c r="W470" s="14">
        <f t="shared" si="397"/>
        <v>3</v>
      </c>
      <c r="X470" s="14">
        <f>VLOOKUP(W470,[1]Lookups!$P$3:$S$15,2,FALSE)</f>
        <v>1</v>
      </c>
      <c r="Y470" s="16">
        <f>VLOOKUP(W470,[1]Lookups!$P$3:$U$15,3,FALSE)</f>
        <v>1</v>
      </c>
      <c r="Z470" s="16">
        <f t="shared" si="398"/>
        <v>1</v>
      </c>
      <c r="AA470" s="16" t="str">
        <f t="shared" ca="1" si="685"/>
        <v xml:space="preserve">TLcom Capital Partners </v>
      </c>
      <c r="AB470" s="16">
        <f t="shared" si="685"/>
        <v>0</v>
      </c>
      <c r="AC470" s="16">
        <f t="shared" si="685"/>
        <v>0</v>
      </c>
      <c r="AD470" s="16">
        <f t="shared" si="685"/>
        <v>0</v>
      </c>
      <c r="AE470" s="16">
        <f t="shared" si="685"/>
        <v>0</v>
      </c>
      <c r="AF470" s="16">
        <f t="shared" si="685"/>
        <v>0</v>
      </c>
      <c r="AG470" s="16">
        <f t="shared" si="685"/>
        <v>0</v>
      </c>
      <c r="AH470" s="16">
        <f t="shared" si="685"/>
        <v>0</v>
      </c>
      <c r="AI470" s="16">
        <f t="shared" si="685"/>
        <v>0</v>
      </c>
      <c r="AJ470" s="16">
        <f t="shared" si="685"/>
        <v>0</v>
      </c>
      <c r="AK470" s="16">
        <f t="shared" si="685"/>
        <v>0</v>
      </c>
      <c r="AL470" s="16">
        <f t="shared" si="685"/>
        <v>0</v>
      </c>
      <c r="AM470" s="16">
        <f t="shared" si="685"/>
        <v>0</v>
      </c>
      <c r="AN470" s="16">
        <f t="shared" si="685"/>
        <v>0</v>
      </c>
      <c r="AO470" s="16">
        <f t="shared" si="685"/>
        <v>0</v>
      </c>
      <c r="AP470" s="10"/>
      <c r="AQ470" s="10"/>
      <c r="AR470" s="10"/>
      <c r="AS470" s="10" t="str">
        <f t="shared" ref="AS470" ca="1" si="687">IFERROR(__xludf.DUMMYFUNCTION("split(F469,"","",true,true)"),"TLcom Capital Partners ")</f>
        <v xml:space="preserve">TLcom Capital Partners </v>
      </c>
      <c r="AT470" s="10"/>
      <c r="AU470" s="10"/>
      <c r="AV470" s="10"/>
      <c r="AW470" s="10"/>
      <c r="AX470" s="10"/>
      <c r="AY470" s="10"/>
      <c r="AZ470" s="10"/>
      <c r="BA470" s="10"/>
      <c r="BB470" s="10"/>
      <c r="BC470" s="10"/>
      <c r="BD470" s="10"/>
      <c r="BE470" s="10"/>
      <c r="BF470" s="10"/>
      <c r="BG470" s="10"/>
      <c r="BH470" s="10"/>
      <c r="BI470" s="10"/>
      <c r="BJ470" s="10"/>
      <c r="BK470" s="10"/>
      <c r="BM470" s="10"/>
    </row>
    <row r="471" spans="1:65" ht="12.75">
      <c r="A471" s="18">
        <v>43191</v>
      </c>
      <c r="B471" s="14" t="s">
        <v>1082</v>
      </c>
      <c r="C471" s="19">
        <v>10000</v>
      </c>
      <c r="D471" s="19"/>
      <c r="E471" s="14" t="s">
        <v>55</v>
      </c>
      <c r="F471" s="14" t="s">
        <v>1083</v>
      </c>
      <c r="G471" s="27" t="s">
        <v>1084</v>
      </c>
      <c r="H471" s="14" t="str">
        <f t="array" ref="H471">IFERROR(INDEX([1]Companies!$G:$G,MATCH(B471,[1]Companies!$A:$A,0)),"")</f>
        <v>Kenya</v>
      </c>
      <c r="I471" s="14" t="str">
        <f t="shared" si="679"/>
        <v>Kenya</v>
      </c>
      <c r="J471" s="14" t="str">
        <f t="array" ref="J471">IFERROR(INDEX([1]Companies!$Y:$Y,MATCH(B471,[1]Companies!$A:$A,0)),"")</f>
        <v>Health Care, Internet, mHealth</v>
      </c>
      <c r="K471" s="14" t="str">
        <f t="array" ref="K471">IFERROR(INDEX([1]Companies!$X:$X,MATCH(B471,[1]Companies!$A:$A,0)),"")</f>
        <v>Healthcare &amp; Pharma</v>
      </c>
      <c r="L471" s="14" t="str">
        <f>VLOOKUP(B471,[1]Companies!$A$1:$C$5243,1,FALSE)</f>
        <v>ConnectMed</v>
      </c>
      <c r="M471" s="15">
        <f t="shared" si="680"/>
        <v>0.9</v>
      </c>
      <c r="N471" s="10" t="str">
        <f t="shared" si="681"/>
        <v>43191ConnectMed10000</v>
      </c>
      <c r="O471" s="14" t="str">
        <f t="shared" si="682"/>
        <v/>
      </c>
      <c r="P471" s="14">
        <f t="shared" si="683"/>
        <v>1</v>
      </c>
      <c r="Q471" s="14">
        <f t="array" ref="Q471">IFERROR(INDEX([1]Companies!$D:$D,MATCH(B471,[1]Companies!$A:$A,0)),"")</f>
        <v>2016</v>
      </c>
      <c r="R471" s="17">
        <f t="shared" si="684"/>
        <v>10000</v>
      </c>
      <c r="S471" s="14">
        <f>VLOOKUP(I471,[1]Lookups!$V$3:$Y$197,4,FALSE)</f>
        <v>0</v>
      </c>
      <c r="T471" s="14" t="str">
        <f>VLOOKUP(E471,[1]Lookups!$H$3:$I$71,2,FALSE)</f>
        <v>1. Grant</v>
      </c>
      <c r="U471" s="14" t="str">
        <f>VLOOKUP(K471,[1]Lookups!$B$3:$C$142,2,FALSE)</f>
        <v>Health &amp; Pharmaceuticals</v>
      </c>
      <c r="V471" s="14">
        <f t="shared" si="396"/>
        <v>2018</v>
      </c>
      <c r="W471" s="14">
        <f t="shared" si="397"/>
        <v>4</v>
      </c>
      <c r="X471" s="14">
        <f>VLOOKUP(W471,[1]Lookups!$P$3:$S$15,2,FALSE)</f>
        <v>2</v>
      </c>
      <c r="Y471" s="16">
        <f>VLOOKUP(W471,[1]Lookups!$P$3:$U$15,3,FALSE)</f>
        <v>1</v>
      </c>
      <c r="Z471" s="16">
        <f t="shared" si="398"/>
        <v>1</v>
      </c>
      <c r="AA471" s="16" t="str">
        <f t="shared" ca="1" si="685"/>
        <v xml:space="preserve">TLcom Capital Partners </v>
      </c>
      <c r="AB471" s="16">
        <f t="shared" si="685"/>
        <v>0</v>
      </c>
      <c r="AC471" s="16">
        <f t="shared" si="685"/>
        <v>0</v>
      </c>
      <c r="AD471" s="16">
        <f t="shared" si="685"/>
        <v>0</v>
      </c>
      <c r="AE471" s="16">
        <f t="shared" si="685"/>
        <v>0</v>
      </c>
      <c r="AF471" s="16">
        <f t="shared" si="685"/>
        <v>0</v>
      </c>
      <c r="AG471" s="16">
        <f t="shared" si="685"/>
        <v>0</v>
      </c>
      <c r="AH471" s="16">
        <f t="shared" si="685"/>
        <v>0</v>
      </c>
      <c r="AI471" s="16">
        <f t="shared" si="685"/>
        <v>0</v>
      </c>
      <c r="AJ471" s="16">
        <f t="shared" si="685"/>
        <v>0</v>
      </c>
      <c r="AK471" s="16">
        <f t="shared" si="685"/>
        <v>0</v>
      </c>
      <c r="AL471" s="16">
        <f t="shared" si="685"/>
        <v>0</v>
      </c>
      <c r="AM471" s="16">
        <f t="shared" si="685"/>
        <v>0</v>
      </c>
      <c r="AN471" s="16">
        <f t="shared" si="685"/>
        <v>0</v>
      </c>
      <c r="AO471" s="16">
        <f t="shared" si="685"/>
        <v>0</v>
      </c>
      <c r="AP471" s="10"/>
      <c r="AQ471" s="10"/>
      <c r="AR471" s="10"/>
      <c r="AS471" s="10" t="str">
        <f t="shared" ref="AS471" ca="1" si="688">IFERROR(__xludf.DUMMYFUNCTION("split(F469,"","",true,true)"),"TLcom Capital Partners ")</f>
        <v xml:space="preserve">TLcom Capital Partners </v>
      </c>
      <c r="AT471" s="10"/>
      <c r="AU471" s="10"/>
      <c r="AV471" s="10"/>
      <c r="AW471" s="10"/>
      <c r="AX471" s="10"/>
      <c r="AY471" s="10"/>
      <c r="AZ471" s="10"/>
      <c r="BA471" s="10"/>
      <c r="BB471" s="10"/>
      <c r="BC471" s="10"/>
      <c r="BD471" s="10"/>
      <c r="BE471" s="10"/>
      <c r="BF471" s="10"/>
      <c r="BG471" s="10"/>
      <c r="BH471" s="10"/>
      <c r="BI471" s="10"/>
      <c r="BJ471" s="10"/>
      <c r="BK471" s="10"/>
      <c r="BM471" s="10"/>
    </row>
    <row r="472" spans="1:65" ht="12.75">
      <c r="A472" s="18">
        <v>43194</v>
      </c>
      <c r="B472" s="14" t="s">
        <v>614</v>
      </c>
      <c r="C472" s="19">
        <v>2380000</v>
      </c>
      <c r="D472" s="19"/>
      <c r="E472" s="14" t="s">
        <v>564</v>
      </c>
      <c r="F472" s="14" t="s">
        <v>49</v>
      </c>
      <c r="G472" s="27" t="s">
        <v>1085</v>
      </c>
      <c r="H472" s="14" t="str">
        <f t="array" ref="H472">IFERROR(INDEX([1]Companies!$G:$G,MATCH(B472,[1]Companies!$A:$A,0)),"")</f>
        <v>United Kingdom</v>
      </c>
      <c r="I472" s="14" t="str">
        <f t="shared" si="679"/>
        <v>United Kingdom</v>
      </c>
      <c r="J472" s="14" t="str">
        <f t="array" ref="J472">IFERROR(INDEX([1]Companies!$Y:$Y,MATCH(B472,[1]Companies!$A:$A,0)),"")</f>
        <v>Energy, Renewable Energy, Solar</v>
      </c>
      <c r="K472" s="14" t="str">
        <f t="array" ref="K472">IFERROR(INDEX([1]Companies!$X:$X,MATCH(B472,[1]Companies!$A:$A,0)),"")</f>
        <v>Energy &amp; Environment Resources</v>
      </c>
      <c r="L472" s="14" t="str">
        <f>VLOOKUP(B472,[1]Companies!$A$1:$C$5243,1,FALSE)</f>
        <v>Azuri Technologies</v>
      </c>
      <c r="M472" s="15">
        <f t="shared" si="680"/>
        <v>0.9</v>
      </c>
      <c r="N472" s="10" t="str">
        <f t="shared" si="681"/>
        <v>43194Azuri Technologies2380000</v>
      </c>
      <c r="O472" s="14" t="str">
        <f t="shared" si="682"/>
        <v/>
      </c>
      <c r="P472" s="14">
        <f t="shared" si="683"/>
        <v>1</v>
      </c>
      <c r="Q472" s="14">
        <f t="array" ref="Q472">IFERROR(INDEX([1]Companies!$D:$D,MATCH(B472,[1]Companies!$A:$A,0)),"")</f>
        <v>2012</v>
      </c>
      <c r="R472" s="17">
        <f t="shared" si="684"/>
        <v>53511500</v>
      </c>
      <c r="S472" s="14">
        <f>VLOOKUP(I472,[1]Lookups!$V$3:$Y$197,4,FALSE)</f>
        <v>1</v>
      </c>
      <c r="T472" s="14" t="str">
        <f>VLOOKUP(E472,[1]Lookups!$H$3:$I$71,2,FALSE)</f>
        <v>7. Offerings</v>
      </c>
      <c r="U472" s="14" t="e">
        <f>VLOOKUP(K472,[1]Lookups!$B$3:$C$142,2,FALSE)</f>
        <v>#N/A</v>
      </c>
      <c r="V472" s="14">
        <f t="shared" si="396"/>
        <v>2018</v>
      </c>
      <c r="W472" s="14">
        <f t="shared" si="397"/>
        <v>4</v>
      </c>
      <c r="X472" s="14">
        <f>VLOOKUP(W472,[1]Lookups!$P$3:$S$15,2,FALSE)</f>
        <v>2</v>
      </c>
      <c r="Y472" s="16">
        <f>VLOOKUP(W472,[1]Lookups!$P$3:$U$15,3,FALSE)</f>
        <v>1</v>
      </c>
      <c r="Z472" s="16">
        <f t="shared" si="398"/>
        <v>1</v>
      </c>
      <c r="AA472" s="16" t="str">
        <f t="shared" ca="1" si="685"/>
        <v xml:space="preserve">TLcom Capital Partners </v>
      </c>
      <c r="AB472" s="16">
        <f t="shared" si="685"/>
        <v>0</v>
      </c>
      <c r="AC472" s="16">
        <f t="shared" si="685"/>
        <v>0</v>
      </c>
      <c r="AD472" s="16">
        <f t="shared" si="685"/>
        <v>0</v>
      </c>
      <c r="AE472" s="16">
        <f t="shared" si="685"/>
        <v>0</v>
      </c>
      <c r="AF472" s="16">
        <f t="shared" si="685"/>
        <v>0</v>
      </c>
      <c r="AG472" s="16">
        <f t="shared" si="685"/>
        <v>0</v>
      </c>
      <c r="AH472" s="16">
        <f t="shared" si="685"/>
        <v>0</v>
      </c>
      <c r="AI472" s="16">
        <f t="shared" si="685"/>
        <v>0</v>
      </c>
      <c r="AJ472" s="16">
        <f t="shared" si="685"/>
        <v>0</v>
      </c>
      <c r="AK472" s="16">
        <f t="shared" si="685"/>
        <v>0</v>
      </c>
      <c r="AL472" s="16">
        <f t="shared" si="685"/>
        <v>0</v>
      </c>
      <c r="AM472" s="16">
        <f t="shared" si="685"/>
        <v>0</v>
      </c>
      <c r="AN472" s="16">
        <f t="shared" si="685"/>
        <v>0</v>
      </c>
      <c r="AO472" s="16">
        <f t="shared" si="685"/>
        <v>0</v>
      </c>
      <c r="AP472" s="10"/>
      <c r="AQ472" s="10"/>
      <c r="AR472" s="10"/>
      <c r="AS472" s="10" t="str">
        <f t="shared" ref="AS472" ca="1" si="689">IFERROR(__xludf.DUMMYFUNCTION("split(F469,"","",true,true)"),"TLcom Capital Partners ")</f>
        <v xml:space="preserve">TLcom Capital Partners </v>
      </c>
      <c r="AT472" s="10"/>
      <c r="AU472" s="10"/>
      <c r="AV472" s="10"/>
      <c r="AW472" s="10"/>
      <c r="AX472" s="10"/>
      <c r="AY472" s="10"/>
      <c r="AZ472" s="10"/>
      <c r="BA472" s="10"/>
      <c r="BB472" s="10"/>
      <c r="BC472" s="10"/>
      <c r="BD472" s="10"/>
      <c r="BE472" s="10"/>
      <c r="BF472" s="10"/>
      <c r="BG472" s="10"/>
      <c r="BH472" s="10"/>
      <c r="BI472" s="10"/>
      <c r="BJ472" s="10"/>
      <c r="BK472" s="10"/>
      <c r="BM472" s="10"/>
    </row>
    <row r="473" spans="1:65" ht="12.75">
      <c r="A473" s="18">
        <v>43195</v>
      </c>
      <c r="B473" s="14" t="s">
        <v>166</v>
      </c>
      <c r="C473" s="19">
        <v>3000000</v>
      </c>
      <c r="D473" s="19"/>
      <c r="E473" s="14" t="s">
        <v>69</v>
      </c>
      <c r="F473" s="14" t="s">
        <v>1086</v>
      </c>
      <c r="G473" s="27" t="s">
        <v>1087</v>
      </c>
      <c r="H473" s="14" t="str">
        <f t="array" ref="H473">IFERROR(INDEX([1]Companies!$G:$G,MATCH(B473,[1]Companies!$A:$A,0)),"")</f>
        <v>South Africa</v>
      </c>
      <c r="I473" s="14" t="str">
        <f t="shared" si="679"/>
        <v>South Africa</v>
      </c>
      <c r="J473" s="14" t="str">
        <f t="array" ref="J473">IFERROR(INDEX([1]Companies!$Y:$Y,MATCH(B473,[1]Companies!$A:$A,0)),"")</f>
        <v>Technology, Mobile Money, Big Data, Digital Financial Services, Mobile Financial Services, Financial Technology</v>
      </c>
      <c r="K473" s="14" t="str">
        <f t="array" ref="K473">IFERROR(INDEX([1]Companies!$X:$X,MATCH(B473,[1]Companies!$A:$A,0)),"")</f>
        <v>Financial Services</v>
      </c>
      <c r="L473" s="14" t="str">
        <f>VLOOKUP(B473,[1]Companies!$A$1:$C$5243,1,FALSE)</f>
        <v>Jumo</v>
      </c>
      <c r="M473" s="15">
        <f t="shared" si="680"/>
        <v>0.9</v>
      </c>
      <c r="N473" s="10" t="str">
        <f t="shared" si="681"/>
        <v>43195Jumo3000000</v>
      </c>
      <c r="O473" s="14" t="str">
        <f t="shared" si="682"/>
        <v/>
      </c>
      <c r="P473" s="14">
        <f t="shared" si="683"/>
        <v>1</v>
      </c>
      <c r="Q473" s="14">
        <f t="array" ref="Q473">IFERROR(INDEX([1]Companies!$D:$D,MATCH(B473,[1]Companies!$A:$A,0)),"")</f>
        <v>2014</v>
      </c>
      <c r="R473" s="17">
        <f t="shared" si="684"/>
        <v>91700000</v>
      </c>
      <c r="S473" s="14">
        <f>VLOOKUP(I473,[1]Lookups!$V$3:$Y$197,4,FALSE)</f>
        <v>0</v>
      </c>
      <c r="T473" s="14" t="str">
        <f>VLOOKUP(E473,[1]Lookups!$H$3:$I$71,2,FALSE)</f>
        <v>3. Early Venture</v>
      </c>
      <c r="U473" s="14" t="str">
        <f>VLOOKUP(K473,[1]Lookups!$B$3:$C$142,2,FALSE)</f>
        <v>Financial Services</v>
      </c>
      <c r="V473" s="14">
        <f t="shared" si="396"/>
        <v>2018</v>
      </c>
      <c r="W473" s="14">
        <f t="shared" si="397"/>
        <v>4</v>
      </c>
      <c r="X473" s="14">
        <f>VLOOKUP(W473,[1]Lookups!$P$3:$S$15,2,FALSE)</f>
        <v>2</v>
      </c>
      <c r="Y473" s="16">
        <f>VLOOKUP(W473,[1]Lookups!$P$3:$U$15,3,FALSE)</f>
        <v>1</v>
      </c>
      <c r="Z473" s="16">
        <f t="shared" si="398"/>
        <v>3</v>
      </c>
      <c r="AA473" s="16" t="str">
        <f t="shared" ca="1" si="685"/>
        <v xml:space="preserve">TLcom Capital Partners </v>
      </c>
      <c r="AB473" s="16" t="str">
        <f t="shared" ca="1" si="685"/>
        <v xml:space="preserve"> The MasterCard Foundation</v>
      </c>
      <c r="AC473" s="16" t="str">
        <f t="shared" ca="1" si="685"/>
        <v xml:space="preserve"> FinnFund</v>
      </c>
      <c r="AD473" s="16">
        <f t="shared" si="685"/>
        <v>0</v>
      </c>
      <c r="AE473" s="16">
        <f t="shared" si="685"/>
        <v>0</v>
      </c>
      <c r="AF473" s="16">
        <f t="shared" si="685"/>
        <v>0</v>
      </c>
      <c r="AG473" s="16">
        <f t="shared" si="685"/>
        <v>0</v>
      </c>
      <c r="AH473" s="16">
        <f t="shared" si="685"/>
        <v>0</v>
      </c>
      <c r="AI473" s="16">
        <f t="shared" si="685"/>
        <v>0</v>
      </c>
      <c r="AJ473" s="16">
        <f t="shared" si="685"/>
        <v>0</v>
      </c>
      <c r="AK473" s="16">
        <f t="shared" si="685"/>
        <v>0</v>
      </c>
      <c r="AL473" s="16">
        <f t="shared" si="685"/>
        <v>0</v>
      </c>
      <c r="AM473" s="16">
        <f t="shared" si="685"/>
        <v>0</v>
      </c>
      <c r="AN473" s="16">
        <f t="shared" si="685"/>
        <v>0</v>
      </c>
      <c r="AO473" s="16">
        <f t="shared" si="685"/>
        <v>0</v>
      </c>
      <c r="AP473" s="10"/>
      <c r="AQ473" s="10"/>
      <c r="AR473" s="10"/>
      <c r="AS473" s="10" t="str">
        <f t="shared" ref="AS473" ca="1" si="690">IFERROR(__xludf.DUMMYFUNCTION("split(F469,"","",true,true)"),"TLcom Capital Partners ")</f>
        <v xml:space="preserve">TLcom Capital Partners </v>
      </c>
      <c r="AT473" s="10" t="str">
        <f ca="1">IFERROR(__xludf.DUMMYFUNCTION("""COMPUTED_VALUE""")," The MasterCard Foundation")</f>
        <v xml:space="preserve"> The MasterCard Foundation</v>
      </c>
      <c r="AU473" s="10" t="str">
        <f ca="1">IFERROR(__xludf.DUMMYFUNCTION("""COMPUTED_VALUE""")," FinnFund")</f>
        <v xml:space="preserve"> FinnFund</v>
      </c>
      <c r="AV473" s="10"/>
      <c r="AW473" s="10"/>
      <c r="AX473" s="10"/>
      <c r="AY473" s="10"/>
      <c r="AZ473" s="10"/>
      <c r="BA473" s="10"/>
      <c r="BB473" s="10"/>
      <c r="BC473" s="10"/>
      <c r="BD473" s="10"/>
      <c r="BE473" s="10"/>
      <c r="BF473" s="10"/>
      <c r="BG473" s="10"/>
      <c r="BH473" s="10"/>
      <c r="BI473" s="10"/>
      <c r="BJ473" s="10"/>
      <c r="BK473" s="10"/>
      <c r="BM473" s="10"/>
    </row>
    <row r="474" spans="1:65" ht="12.75">
      <c r="A474" s="18">
        <v>43196</v>
      </c>
      <c r="B474" s="14" t="s">
        <v>265</v>
      </c>
      <c r="C474" s="19">
        <v>3600000</v>
      </c>
      <c r="D474" s="19"/>
      <c r="E474" s="14" t="s">
        <v>69</v>
      </c>
      <c r="F474" s="14" t="s">
        <v>1088</v>
      </c>
      <c r="G474" s="27" t="s">
        <v>1089</v>
      </c>
      <c r="H474" s="14" t="str">
        <f t="array" ref="H474">IFERROR(INDEX([1]Companies!$G:$G,MATCH(B474,[1]Companies!$A:$A,0)),"")</f>
        <v>Nigeria</v>
      </c>
      <c r="I474" s="14" t="str">
        <f t="shared" si="679"/>
        <v>Nigeria</v>
      </c>
      <c r="J474" s="14" t="str">
        <f t="array" ref="J474">IFERROR(INDEX([1]Companies!$Y:$Y,MATCH(B474,[1]Companies!$A:$A,0)),"")</f>
        <v>Company Information, Data Analysis, Business Development, Investment Research, Company Profiling, News &amp; Analysis, Due Diligence, Africa, Market Research, private equity, and African Data</v>
      </c>
      <c r="K474" s="14" t="str">
        <f t="array" ref="K474">IFERROR(INDEX([1]Companies!$X:$X,MATCH(B474,[1]Companies!$A:$A,0)),"")</f>
        <v>Media &amp; Entertainment</v>
      </c>
      <c r="L474" s="14" t="str">
        <f>VLOOKUP(B474,[1]Companies!$A$1:$C$5243,1,FALSE)</f>
        <v>Asoko Insight</v>
      </c>
      <c r="M474" s="15">
        <f t="shared" si="680"/>
        <v>0.9</v>
      </c>
      <c r="N474" s="10" t="str">
        <f t="shared" si="681"/>
        <v>43196Asoko Insight3600000</v>
      </c>
      <c r="O474" s="14" t="str">
        <f t="shared" si="682"/>
        <v/>
      </c>
      <c r="P474" s="14">
        <f t="shared" si="683"/>
        <v>1</v>
      </c>
      <c r="Q474" s="14">
        <f t="array" ref="Q474">IFERROR(INDEX([1]Companies!$D:$D,MATCH(B474,[1]Companies!$A:$A,0)),"")</f>
        <v>2014</v>
      </c>
      <c r="R474" s="17">
        <f t="shared" si="684"/>
        <v>8000000</v>
      </c>
      <c r="S474" s="14">
        <f>VLOOKUP(I474,[1]Lookups!$V$3:$Y$197,4,FALSE)</f>
        <v>0</v>
      </c>
      <c r="T474" s="14" t="str">
        <f>VLOOKUP(E474,[1]Lookups!$H$3:$I$71,2,FALSE)</f>
        <v>3. Early Venture</v>
      </c>
      <c r="U474" s="14" t="str">
        <f>VLOOKUP(K474,[1]Lookups!$B$3:$C$142,2,FALSE)</f>
        <v>Media &amp; Entertainment</v>
      </c>
      <c r="V474" s="14">
        <f t="shared" si="396"/>
        <v>2018</v>
      </c>
      <c r="W474" s="14">
        <f t="shared" si="397"/>
        <v>4</v>
      </c>
      <c r="X474" s="14">
        <f>VLOOKUP(W474,[1]Lookups!$P$3:$S$15,2,FALSE)</f>
        <v>2</v>
      </c>
      <c r="Y474" s="16">
        <f>VLOOKUP(W474,[1]Lookups!$P$3:$U$15,3,FALSE)</f>
        <v>1</v>
      </c>
      <c r="Z474" s="16">
        <f t="shared" si="398"/>
        <v>8</v>
      </c>
      <c r="AA474" s="16" t="str">
        <f t="shared" ca="1" si="685"/>
        <v xml:space="preserve">TLcom Capital Partners </v>
      </c>
      <c r="AB474" s="16" t="str">
        <f t="shared" ca="1" si="685"/>
        <v xml:space="preserve"> LC Partners</v>
      </c>
      <c r="AC474" s="16" t="str">
        <f t="shared" ca="1" si="685"/>
        <v xml:space="preserve"> Spice Fund</v>
      </c>
      <c r="AD474" s="16" t="str">
        <f t="shared" ca="1" si="685"/>
        <v xml:space="preserve"> Zephyr Acorn</v>
      </c>
      <c r="AE474" s="16" t="str">
        <f t="shared" ca="1" si="685"/>
        <v xml:space="preserve"> CRE Ventures</v>
      </c>
      <c r="AF474" s="16" t="str">
        <f t="shared" ca="1" si="685"/>
        <v xml:space="preserve"> Singularity Investments</v>
      </c>
      <c r="AG474" s="16" t="str">
        <f t="shared" ca="1" si="685"/>
        <v xml:space="preserve"> Spice Capital / OTEO Investment</v>
      </c>
      <c r="AH474" s="16" t="str">
        <f t="shared" ca="1" si="685"/>
        <v xml:space="preserve"> Outlierz Ventures</v>
      </c>
      <c r="AI474" s="16">
        <f t="shared" si="685"/>
        <v>0</v>
      </c>
      <c r="AJ474" s="16">
        <f t="shared" si="685"/>
        <v>0</v>
      </c>
      <c r="AK474" s="16">
        <f t="shared" si="685"/>
        <v>0</v>
      </c>
      <c r="AL474" s="16">
        <f t="shared" si="685"/>
        <v>0</v>
      </c>
      <c r="AM474" s="16">
        <f t="shared" si="685"/>
        <v>0</v>
      </c>
      <c r="AN474" s="16">
        <f t="shared" si="685"/>
        <v>0</v>
      </c>
      <c r="AO474" s="16">
        <f t="shared" si="685"/>
        <v>0</v>
      </c>
      <c r="AP474" s="10"/>
      <c r="AQ474" s="10"/>
      <c r="AR474" s="10"/>
      <c r="AS474" s="10" t="str">
        <f t="shared" ref="AS474" ca="1" si="691">IFERROR(__xludf.DUMMYFUNCTION("split(F469,"","",true,true)"),"TLcom Capital Partners ")</f>
        <v xml:space="preserve">TLcom Capital Partners </v>
      </c>
      <c r="AT474" s="10" t="str">
        <f ca="1">IFERROR(__xludf.DUMMYFUNCTION("""COMPUTED_VALUE""")," LC Partners")</f>
        <v xml:space="preserve"> LC Partners</v>
      </c>
      <c r="AU474" s="10" t="str">
        <f ca="1">IFERROR(__xludf.DUMMYFUNCTION("""COMPUTED_VALUE""")," Spice Fund")</f>
        <v xml:space="preserve"> Spice Fund</v>
      </c>
      <c r="AV474" s="10" t="str">
        <f ca="1">IFERROR(__xludf.DUMMYFUNCTION("""COMPUTED_VALUE""")," Zephyr Acorn")</f>
        <v xml:space="preserve"> Zephyr Acorn</v>
      </c>
      <c r="AW474" s="10" t="str">
        <f ca="1">IFERROR(__xludf.DUMMYFUNCTION("""COMPUTED_VALUE""")," CRE Ventures")</f>
        <v xml:space="preserve"> CRE Ventures</v>
      </c>
      <c r="AX474" s="10" t="str">
        <f ca="1">IFERROR(__xludf.DUMMYFUNCTION("""COMPUTED_VALUE""")," Singularity Investments")</f>
        <v xml:space="preserve"> Singularity Investments</v>
      </c>
      <c r="AY474" s="10" t="str">
        <f ca="1">IFERROR(__xludf.DUMMYFUNCTION("""COMPUTED_VALUE""")," Spice Capital / OTEO Investment")</f>
        <v xml:space="preserve"> Spice Capital / OTEO Investment</v>
      </c>
      <c r="AZ474" s="10" t="str">
        <f ca="1">IFERROR(__xludf.DUMMYFUNCTION("""COMPUTED_VALUE""")," Outlierz Ventures")</f>
        <v xml:space="preserve"> Outlierz Ventures</v>
      </c>
      <c r="BA474" s="10"/>
      <c r="BB474" s="10"/>
      <c r="BC474" s="10"/>
      <c r="BD474" s="10"/>
      <c r="BE474" s="10"/>
      <c r="BF474" s="10"/>
      <c r="BG474" s="10"/>
      <c r="BH474" s="10"/>
      <c r="BI474" s="10"/>
      <c r="BJ474" s="10"/>
      <c r="BK474" s="10"/>
      <c r="BM474" s="10"/>
    </row>
    <row r="475" spans="1:65" ht="12.75">
      <c r="A475" s="18">
        <v>43199</v>
      </c>
      <c r="B475" s="14" t="s">
        <v>1090</v>
      </c>
      <c r="C475" s="19" t="s">
        <v>49</v>
      </c>
      <c r="D475" s="19"/>
      <c r="E475" s="14" t="s">
        <v>45</v>
      </c>
      <c r="F475" s="14" t="s">
        <v>266</v>
      </c>
      <c r="G475" s="27" t="s">
        <v>1091</v>
      </c>
      <c r="H475" s="14" t="str">
        <f t="array" ref="H475">IFERROR(INDEX([1]Companies!$G:$G,MATCH(B475,[1]Companies!$A:$A,0)),"")</f>
        <v>Nigeria</v>
      </c>
      <c r="I475" s="14" t="str">
        <f t="shared" si="679"/>
        <v>Nigeria</v>
      </c>
      <c r="J475" s="14" t="str">
        <f t="array" ref="J475">IFERROR(INDEX([1]Companies!$Y:$Y,MATCH(B475,[1]Companies!$A:$A,0)),"")</f>
        <v>Apps, Banking, FinTech</v>
      </c>
      <c r="K475" s="14" t="str">
        <f t="array" ref="K475">IFERROR(INDEX([1]Companies!$X:$X,MATCH(B475,[1]Companies!$A:$A,0)),"")</f>
        <v>Financial Services</v>
      </c>
      <c r="L475" s="14" t="str">
        <f>VLOOKUP(B475,[1]Companies!$A$1:$C$5243,1,FALSE)</f>
        <v>Appzone</v>
      </c>
      <c r="M475" s="15">
        <f t="shared" si="680"/>
        <v>0.9</v>
      </c>
      <c r="N475" s="10" t="str">
        <f t="shared" si="681"/>
        <v>43199AppZoneUndisclosed</v>
      </c>
      <c r="O475" s="14" t="str">
        <f t="shared" si="682"/>
        <v/>
      </c>
      <c r="P475" s="14">
        <f t="shared" si="683"/>
        <v>0</v>
      </c>
      <c r="Q475" s="14">
        <f t="array" ref="Q475">IFERROR(INDEX([1]Companies!$D:$D,MATCH(B475,[1]Companies!$A:$A,0)),"")</f>
        <v>2008</v>
      </c>
      <c r="R475" s="17">
        <f t="shared" si="684"/>
        <v>0</v>
      </c>
      <c r="S475" s="14">
        <f>VLOOKUP(I475,[1]Lookups!$V$3:$Y$197,4,FALSE)</f>
        <v>0</v>
      </c>
      <c r="T475" s="14" t="str">
        <f>VLOOKUP(E475,[1]Lookups!$H$3:$I$71,2,FALSE)</f>
        <v>2. Seed</v>
      </c>
      <c r="U475" s="14" t="str">
        <f>VLOOKUP(K475,[1]Lookups!$B$3:$C$142,2,FALSE)</f>
        <v>Financial Services</v>
      </c>
      <c r="V475" s="14">
        <f t="shared" si="396"/>
        <v>2018</v>
      </c>
      <c r="W475" s="14">
        <f t="shared" si="397"/>
        <v>4</v>
      </c>
      <c r="X475" s="14">
        <f>VLOOKUP(W475,[1]Lookups!$P$3:$S$15,2,FALSE)</f>
        <v>2</v>
      </c>
      <c r="Y475" s="16">
        <f>VLOOKUP(W475,[1]Lookups!$P$3:$U$15,3,FALSE)</f>
        <v>1</v>
      </c>
      <c r="Z475" s="16">
        <f t="shared" si="398"/>
        <v>1</v>
      </c>
      <c r="AA475" s="16" t="str">
        <f t="shared" ca="1" si="685"/>
        <v xml:space="preserve">TLcom Capital Partners </v>
      </c>
      <c r="AB475" s="16">
        <f t="shared" si="685"/>
        <v>0</v>
      </c>
      <c r="AC475" s="16">
        <f t="shared" si="685"/>
        <v>0</v>
      </c>
      <c r="AD475" s="16">
        <f t="shared" si="685"/>
        <v>0</v>
      </c>
      <c r="AE475" s="16">
        <f t="shared" si="685"/>
        <v>0</v>
      </c>
      <c r="AF475" s="16">
        <f t="shared" si="685"/>
        <v>0</v>
      </c>
      <c r="AG475" s="16">
        <f t="shared" si="685"/>
        <v>0</v>
      </c>
      <c r="AH475" s="16">
        <f t="shared" si="685"/>
        <v>0</v>
      </c>
      <c r="AI475" s="16">
        <f t="shared" si="685"/>
        <v>0</v>
      </c>
      <c r="AJ475" s="16">
        <f t="shared" si="685"/>
        <v>0</v>
      </c>
      <c r="AK475" s="16">
        <f t="shared" si="685"/>
        <v>0</v>
      </c>
      <c r="AL475" s="16">
        <f t="shared" si="685"/>
        <v>0</v>
      </c>
      <c r="AM475" s="16">
        <f t="shared" si="685"/>
        <v>0</v>
      </c>
      <c r="AN475" s="16">
        <f t="shared" si="685"/>
        <v>0</v>
      </c>
      <c r="AO475" s="16">
        <f t="shared" si="685"/>
        <v>0</v>
      </c>
      <c r="AP475" s="10"/>
      <c r="AQ475" s="10"/>
      <c r="AR475" s="10"/>
      <c r="AS475" s="10" t="str">
        <f t="shared" ref="AS475" ca="1" si="692">IFERROR(__xludf.DUMMYFUNCTION("split(F469,"","",true,true)"),"TLcom Capital Partners ")</f>
        <v xml:space="preserve">TLcom Capital Partners </v>
      </c>
      <c r="AT475" s="10"/>
      <c r="AU475" s="10"/>
      <c r="AV475" s="10"/>
      <c r="AW475" s="10"/>
      <c r="AX475" s="10"/>
      <c r="AY475" s="10"/>
      <c r="AZ475" s="10"/>
      <c r="BA475" s="10"/>
      <c r="BB475" s="10"/>
      <c r="BC475" s="10"/>
      <c r="BD475" s="10"/>
      <c r="BE475" s="10"/>
      <c r="BF475" s="10"/>
      <c r="BG475" s="10"/>
      <c r="BH475" s="10"/>
      <c r="BI475" s="10"/>
      <c r="BJ475" s="10"/>
      <c r="BK475" s="10"/>
      <c r="BM475" s="10"/>
    </row>
    <row r="476" spans="1:65" ht="12.75">
      <c r="A476" s="9">
        <v>43296</v>
      </c>
      <c r="B476" s="14" t="s">
        <v>1092</v>
      </c>
      <c r="C476" s="11">
        <v>515000</v>
      </c>
      <c r="D476" s="12"/>
      <c r="E476" s="10" t="s">
        <v>234</v>
      </c>
      <c r="F476" s="10" t="s">
        <v>1093</v>
      </c>
      <c r="G476" s="10" t="s">
        <v>1094</v>
      </c>
      <c r="H476" s="14"/>
      <c r="I476" s="14"/>
      <c r="J476" s="14"/>
      <c r="K476" s="14"/>
      <c r="L476" s="14"/>
      <c r="M476" s="15"/>
      <c r="N476" s="10"/>
      <c r="O476" s="14"/>
      <c r="P476" s="14"/>
      <c r="Q476" s="14"/>
      <c r="R476" s="14"/>
      <c r="S476" s="14"/>
      <c r="T476" s="14"/>
      <c r="U476" s="14"/>
      <c r="V476" s="14">
        <f t="shared" si="396"/>
        <v>2018</v>
      </c>
      <c r="W476" s="14">
        <f t="shared" si="397"/>
        <v>7</v>
      </c>
      <c r="X476" s="14">
        <f>VLOOKUP(W476,[1]Lookups!$P$3:$S$15,2,FALSE)</f>
        <v>3</v>
      </c>
      <c r="Y476" s="16">
        <f>VLOOKUP(W476,[1]Lookups!$P$3:$U$15,3,FALSE)</f>
        <v>2</v>
      </c>
      <c r="Z476" s="16">
        <f t="shared" si="398"/>
        <v>2</v>
      </c>
      <c r="AA476" s="16"/>
      <c r="AB476" s="16"/>
      <c r="AC476" s="16"/>
      <c r="AD476" s="16"/>
      <c r="AE476" s="16"/>
      <c r="AF476" s="16"/>
      <c r="AG476" s="16"/>
      <c r="AH476" s="16"/>
      <c r="AI476" s="16"/>
      <c r="AJ476" s="16"/>
      <c r="AK476" s="16"/>
      <c r="AL476" s="16"/>
      <c r="AM476" s="16"/>
      <c r="AN476" s="16"/>
      <c r="AO476" s="16"/>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M476" s="10"/>
    </row>
    <row r="477" spans="1:65" ht="12.75">
      <c r="A477" s="18">
        <v>43200</v>
      </c>
      <c r="B477" s="14" t="s">
        <v>1095</v>
      </c>
      <c r="C477" s="19">
        <v>70000</v>
      </c>
      <c r="D477" s="19"/>
      <c r="E477" s="14" t="s">
        <v>45</v>
      </c>
      <c r="F477" s="14" t="s">
        <v>472</v>
      </c>
      <c r="G477" s="27" t="s">
        <v>1096</v>
      </c>
      <c r="H477" s="14" t="str">
        <f t="array" ref="H477">IFERROR(INDEX([1]Companies!$G:$G,MATCH(B477,[1]Companies!$A:$A,0)),"")</f>
        <v>South Africa</v>
      </c>
      <c r="I477" s="14" t="str">
        <f>IF(LEN(TRIM(H477))-LEN(SUBSTITUTE(TRIM(H477),",","")) &gt; 0,TRIM(RIGHT(H477,LEN(H477)-FIND(",",H477))),H477)</f>
        <v>South Africa</v>
      </c>
      <c r="J477" s="14" t="str">
        <f t="array" ref="J477">IFERROR(INDEX([1]Companies!$Y:$Y,MATCH(B477,[1]Companies!$A:$A,0)),"")</f>
        <v>Apps, Medical, Software</v>
      </c>
      <c r="K477" s="14" t="str">
        <f t="array" ref="K477">IFERROR(INDEX([1]Companies!$X:$X,MATCH(B477,[1]Companies!$A:$A,0)),"")</f>
        <v>Healthcare &amp; Pharma</v>
      </c>
      <c r="L477" s="14" t="str">
        <f>VLOOKUP(B477,[1]Companies!$A$1:$C$5243,1,FALSE)</f>
        <v>Vula Mobile</v>
      </c>
      <c r="M477" s="15">
        <f>COUNTA(B477:K477)/(COUNTBLANK(B477:K477) + COUNTA(B477:K477))</f>
        <v>0.9</v>
      </c>
      <c r="N477" s="10" t="str">
        <f>CONCATENATE(A477,B477,C477)</f>
        <v>43200Vula Mobile70000</v>
      </c>
      <c r="O477" s="14" t="str">
        <f>IF(A477 = "","",IF(COUNTIF(N:N,CONCATENATE(A477,B477,C477))&gt;1,"Duplicated",""))</f>
        <v/>
      </c>
      <c r="P477" s="14">
        <f>IF(C477="Undisclosed",0,1)</f>
        <v>1</v>
      </c>
      <c r="Q477" s="14">
        <f t="array" ref="Q477">IFERROR(INDEX([1]Companies!$D:$D,MATCH(B477,[1]Companies!$A:$A,0)),"")</f>
        <v>2013</v>
      </c>
      <c r="R477" s="17">
        <f>SUMIF(B:B,B477,C:C)</f>
        <v>70000</v>
      </c>
      <c r="S477" s="14">
        <f>VLOOKUP(I477,[1]Lookups!$V$3:$Y$197,4,FALSE)</f>
        <v>0</v>
      </c>
      <c r="T477" s="14" t="str">
        <f>VLOOKUP(E477,[1]Lookups!$H$3:$I$71,2,FALSE)</f>
        <v>2. Seed</v>
      </c>
      <c r="U477" s="14" t="str">
        <f>VLOOKUP(K477,[1]Lookups!$B$3:$C$142,2,FALSE)</f>
        <v>Health &amp; Pharmaceuticals</v>
      </c>
      <c r="V477" s="14">
        <f t="shared" si="396"/>
        <v>2018</v>
      </c>
      <c r="W477" s="14">
        <f t="shared" si="397"/>
        <v>4</v>
      </c>
      <c r="X477" s="14">
        <f>VLOOKUP(W477,[1]Lookups!$P$3:$S$15,2,FALSE)</f>
        <v>2</v>
      </c>
      <c r="Y477" s="16">
        <f>VLOOKUP(W477,[1]Lookups!$P$3:$U$15,3,FALSE)</f>
        <v>1</v>
      </c>
      <c r="Z477" s="16">
        <f t="shared" si="398"/>
        <v>1</v>
      </c>
      <c r="AA477" s="16" t="str">
        <f t="shared" ref="AA477:AO492" ca="1" si="693">AS477</f>
        <v>HAVAIC</v>
      </c>
      <c r="AB477" s="16">
        <f t="shared" si="693"/>
        <v>0</v>
      </c>
      <c r="AC477" s="16">
        <f t="shared" si="693"/>
        <v>0</v>
      </c>
      <c r="AD477" s="16">
        <f t="shared" si="693"/>
        <v>0</v>
      </c>
      <c r="AE477" s="16">
        <f t="shared" si="693"/>
        <v>0</v>
      </c>
      <c r="AF477" s="16">
        <f t="shared" si="693"/>
        <v>0</v>
      </c>
      <c r="AG477" s="16">
        <f t="shared" si="693"/>
        <v>0</v>
      </c>
      <c r="AH477" s="16">
        <f t="shared" si="693"/>
        <v>0</v>
      </c>
      <c r="AI477" s="16">
        <f t="shared" si="693"/>
        <v>0</v>
      </c>
      <c r="AJ477" s="16">
        <f t="shared" si="693"/>
        <v>0</v>
      </c>
      <c r="AK477" s="16">
        <f t="shared" si="693"/>
        <v>0</v>
      </c>
      <c r="AL477" s="16">
        <f t="shared" si="693"/>
        <v>0</v>
      </c>
      <c r="AM477" s="16">
        <f t="shared" si="693"/>
        <v>0</v>
      </c>
      <c r="AN477" s="16">
        <f t="shared" si="693"/>
        <v>0</v>
      </c>
      <c r="AO477" s="16">
        <f t="shared" si="693"/>
        <v>0</v>
      </c>
      <c r="AP477" s="10"/>
      <c r="AQ477" s="10"/>
      <c r="AR477" s="10"/>
      <c r="AS477" s="10" t="str">
        <f ca="1">IFERROR(__xludf.DUMMYFUNCTION("split(F477,"","",true,true)"),"HAVAIC")</f>
        <v>HAVAIC</v>
      </c>
      <c r="AT477" s="10"/>
      <c r="AU477" s="10"/>
      <c r="AV477" s="10"/>
      <c r="AW477" s="10"/>
      <c r="AX477" s="10"/>
      <c r="AY477" s="10"/>
      <c r="AZ477" s="10"/>
      <c r="BA477" s="10"/>
      <c r="BB477" s="10"/>
      <c r="BC477" s="10"/>
      <c r="BD477" s="10"/>
      <c r="BE477" s="10"/>
      <c r="BF477" s="10"/>
      <c r="BG477" s="10"/>
      <c r="BH477" s="10"/>
      <c r="BI477" s="10"/>
      <c r="BJ477" s="10"/>
      <c r="BK477" s="10"/>
      <c r="BM477" s="10"/>
    </row>
    <row r="478" spans="1:65" ht="12.75">
      <c r="A478" s="9">
        <v>43201</v>
      </c>
      <c r="B478" s="10" t="s">
        <v>1097</v>
      </c>
      <c r="C478" s="11">
        <v>50000</v>
      </c>
      <c r="D478" s="12"/>
      <c r="E478" s="10" t="s">
        <v>234</v>
      </c>
      <c r="F478" s="10" t="s">
        <v>1098</v>
      </c>
      <c r="G478" s="13" t="s">
        <v>1099</v>
      </c>
      <c r="H478" s="14"/>
      <c r="I478" s="14"/>
      <c r="J478" s="14"/>
      <c r="K478" s="14"/>
      <c r="L478" s="14"/>
      <c r="M478" s="15"/>
      <c r="N478" s="10"/>
      <c r="O478" s="14"/>
      <c r="P478" s="14"/>
      <c r="Q478" s="14"/>
      <c r="R478" s="14"/>
      <c r="S478" s="14"/>
      <c r="T478" s="14"/>
      <c r="U478" s="14"/>
      <c r="V478" s="14">
        <f t="shared" si="396"/>
        <v>2018</v>
      </c>
      <c r="W478" s="14">
        <f t="shared" si="397"/>
        <v>4</v>
      </c>
      <c r="X478" s="14">
        <f>VLOOKUP(W478,[1]Lookups!$P$3:$S$15,2,FALSE)</f>
        <v>2</v>
      </c>
      <c r="Y478" s="16">
        <f>VLOOKUP(W478,[1]Lookups!$P$3:$U$15,3,FALSE)</f>
        <v>1</v>
      </c>
      <c r="Z478" s="16">
        <f t="shared" si="398"/>
        <v>1</v>
      </c>
      <c r="AA478" s="16" t="str">
        <f t="shared" ca="1" si="693"/>
        <v>#REF!</v>
      </c>
      <c r="AB478" s="16">
        <f t="shared" si="693"/>
        <v>0</v>
      </c>
      <c r="AC478" s="16">
        <f t="shared" si="693"/>
        <v>0</v>
      </c>
      <c r="AD478" s="16">
        <f t="shared" si="693"/>
        <v>0</v>
      </c>
      <c r="AE478" s="16">
        <f t="shared" si="693"/>
        <v>0</v>
      </c>
      <c r="AF478" s="16">
        <f t="shared" si="693"/>
        <v>0</v>
      </c>
      <c r="AG478" s="16">
        <f t="shared" si="693"/>
        <v>0</v>
      </c>
      <c r="AH478" s="16">
        <f t="shared" si="693"/>
        <v>0</v>
      </c>
      <c r="AI478" s="16">
        <f t="shared" si="693"/>
        <v>0</v>
      </c>
      <c r="AJ478" s="16">
        <f t="shared" si="693"/>
        <v>0</v>
      </c>
      <c r="AK478" s="16">
        <f t="shared" si="693"/>
        <v>0</v>
      </c>
      <c r="AL478" s="16">
        <f t="shared" si="693"/>
        <v>0</v>
      </c>
      <c r="AM478" s="16">
        <f t="shared" si="693"/>
        <v>0</v>
      </c>
      <c r="AN478" s="16">
        <f t="shared" si="693"/>
        <v>0</v>
      </c>
      <c r="AO478" s="16">
        <f t="shared" si="693"/>
        <v>0</v>
      </c>
      <c r="AP478" s="10"/>
      <c r="AQ478" s="10"/>
      <c r="AR478" s="10"/>
      <c r="AS478" s="10" t="str">
        <f ca="1">IFERROR(__xludf.DUMMYFUNCTION("split(#REF!,"","",true,true)"),"#REF!")</f>
        <v>#REF!</v>
      </c>
      <c r="AT478" s="10"/>
      <c r="AU478" s="10"/>
      <c r="AV478" s="10"/>
      <c r="AW478" s="10"/>
      <c r="AX478" s="10"/>
      <c r="AY478" s="10"/>
      <c r="AZ478" s="10"/>
      <c r="BA478" s="10"/>
      <c r="BB478" s="10"/>
      <c r="BC478" s="10"/>
      <c r="BD478" s="10"/>
      <c r="BE478" s="10"/>
      <c r="BF478" s="10"/>
      <c r="BG478" s="10"/>
      <c r="BH478" s="10"/>
      <c r="BI478" s="10"/>
      <c r="BJ478" s="10"/>
      <c r="BK478" s="10"/>
      <c r="BM478" s="10"/>
    </row>
    <row r="479" spans="1:65" ht="12.75">
      <c r="A479" s="18">
        <v>43202</v>
      </c>
      <c r="B479" s="14" t="s">
        <v>1100</v>
      </c>
      <c r="C479" s="19">
        <v>500000</v>
      </c>
      <c r="D479" s="19"/>
      <c r="E479" s="14" t="s">
        <v>45</v>
      </c>
      <c r="F479" s="14" t="s">
        <v>408</v>
      </c>
      <c r="G479" s="27" t="s">
        <v>1101</v>
      </c>
      <c r="H479" s="14" t="str">
        <f t="array" ref="H479">IFERROR(INDEX([1]Companies!$G:$G,MATCH(B479,[1]Companies!$A:$A,0)),"")</f>
        <v>Ghana</v>
      </c>
      <c r="I479" s="14" t="str">
        <f t="shared" ref="I479:I708" si="694">IF(LEN(TRIM(H479))-LEN(SUBSTITUTE(TRIM(H479),",","")) &gt; 0,TRIM(RIGHT(H479,LEN(H479)-FIND(",",H479))),H479)</f>
        <v>Ghana</v>
      </c>
      <c r="J479" s="14" t="str">
        <f t="array" ref="J479">IFERROR(INDEX([1]Companies!$Y:$Y,MATCH(B479,[1]Companies!$A:$A,0)),"")</f>
        <v>Farmers Market, Logistics, Software</v>
      </c>
      <c r="K479" s="14" t="str">
        <f t="array" ref="K479">IFERROR(INDEX([1]Companies!$X:$X,MATCH(B479,[1]Companies!$A:$A,0)),"")</f>
        <v>Agriculture</v>
      </c>
      <c r="L479" s="14" t="str">
        <f>VLOOKUP(B479,[1]Companies!$A$1:$C$5243,1,FALSE)</f>
        <v>AgroCenta</v>
      </c>
      <c r="M479" s="15">
        <f t="shared" ref="M479:M708" si="695">COUNTA(B479:K479)/(COUNTBLANK(B479:K479) + COUNTA(B479:K479))</f>
        <v>0.9</v>
      </c>
      <c r="N479" s="10" t="str">
        <f t="shared" ref="N479:N699" si="696">CONCATENATE(A479,B479,C479)</f>
        <v>43202AgroCenta500000</v>
      </c>
      <c r="O479" s="14" t="str">
        <f t="shared" ref="O479:O681" si="697">IF(A479 = "","",IF(COUNTIF(N:N,CONCATENATE(A479,B479,C479))&gt;1,"Duplicated",""))</f>
        <v/>
      </c>
      <c r="P479" s="14">
        <f t="shared" ref="P479:P681" si="698">IF(C479="Undisclosed",0,1)</f>
        <v>1</v>
      </c>
      <c r="Q479" s="14">
        <f t="array" ref="Q479">IFERROR(INDEX([1]Companies!$D:$D,MATCH(B479,[1]Companies!$A:$A,0)),"")</f>
        <v>2016</v>
      </c>
      <c r="R479" s="17">
        <f t="shared" ref="R479:R681" si="699">SUMIF(B:B,B479,C:C)</f>
        <v>1150000</v>
      </c>
      <c r="S479" s="14">
        <f>VLOOKUP(I479,[1]Lookups!$V$3:$Y$197,4,FALSE)</f>
        <v>0</v>
      </c>
      <c r="T479" s="14" t="str">
        <f>VLOOKUP(E479,[1]Lookups!$H$3:$I$71,2,FALSE)</f>
        <v>2. Seed</v>
      </c>
      <c r="U479" s="14" t="str">
        <f>VLOOKUP(K479,[1]Lookups!$B$3:$C$142,2,FALSE)</f>
        <v>Agriculture</v>
      </c>
      <c r="V479" s="14">
        <f t="shared" si="396"/>
        <v>2018</v>
      </c>
      <c r="W479" s="14">
        <f t="shared" si="397"/>
        <v>4</v>
      </c>
      <c r="X479" s="14">
        <f>VLOOKUP(W479,[1]Lookups!$P$3:$S$15,2,FALSE)</f>
        <v>2</v>
      </c>
      <c r="Y479" s="16">
        <f>VLOOKUP(W479,[1]Lookups!$P$3:$U$15,3,FALSE)</f>
        <v>1</v>
      </c>
      <c r="Z479" s="16">
        <f t="shared" si="398"/>
        <v>1</v>
      </c>
      <c r="AA479" s="16" t="str">
        <f t="shared" ca="1" si="693"/>
        <v>Seedstars</v>
      </c>
      <c r="AB479" s="16">
        <f t="shared" si="693"/>
        <v>0</v>
      </c>
      <c r="AC479" s="16">
        <f t="shared" si="693"/>
        <v>0</v>
      </c>
      <c r="AD479" s="16">
        <f t="shared" si="693"/>
        <v>0</v>
      </c>
      <c r="AE479" s="16">
        <f t="shared" si="693"/>
        <v>0</v>
      </c>
      <c r="AF479" s="16">
        <f t="shared" si="693"/>
        <v>0</v>
      </c>
      <c r="AG479" s="16">
        <f t="shared" si="693"/>
        <v>0</v>
      </c>
      <c r="AH479" s="16">
        <f t="shared" si="693"/>
        <v>0</v>
      </c>
      <c r="AI479" s="16">
        <f t="shared" si="693"/>
        <v>0</v>
      </c>
      <c r="AJ479" s="16">
        <f t="shared" si="693"/>
        <v>0</v>
      </c>
      <c r="AK479" s="16">
        <f t="shared" si="693"/>
        <v>0</v>
      </c>
      <c r="AL479" s="16">
        <f t="shared" si="693"/>
        <v>0</v>
      </c>
      <c r="AM479" s="16">
        <f t="shared" si="693"/>
        <v>0</v>
      </c>
      <c r="AN479" s="16">
        <f t="shared" si="693"/>
        <v>0</v>
      </c>
      <c r="AO479" s="16">
        <f t="shared" si="693"/>
        <v>0</v>
      </c>
      <c r="AP479" s="10"/>
      <c r="AQ479" s="10"/>
      <c r="AR479" s="10"/>
      <c r="AS479" s="10" t="str">
        <f t="shared" ref="AS479" ca="1" si="700">IFERROR(__xludf.DUMMYFUNCTION("split(F479,"","",true,true)"),"Seedstars")</f>
        <v>Seedstars</v>
      </c>
      <c r="AT479" s="10"/>
      <c r="AU479" s="10"/>
      <c r="AV479" s="10"/>
      <c r="AW479" s="10"/>
      <c r="AX479" s="10"/>
      <c r="AY479" s="10"/>
      <c r="AZ479" s="10"/>
      <c r="BA479" s="10"/>
      <c r="BB479" s="10"/>
      <c r="BC479" s="10"/>
      <c r="BD479" s="10"/>
      <c r="BE479" s="10"/>
      <c r="BF479" s="10"/>
      <c r="BG479" s="10"/>
      <c r="BH479" s="10"/>
      <c r="BI479" s="10"/>
      <c r="BJ479" s="10"/>
      <c r="BK479" s="10"/>
      <c r="BM479" s="10"/>
    </row>
    <row r="480" spans="1:65" ht="12.75">
      <c r="A480" s="18">
        <v>43202</v>
      </c>
      <c r="B480" s="14" t="s">
        <v>1102</v>
      </c>
      <c r="C480" s="19">
        <v>10000</v>
      </c>
      <c r="D480" s="19"/>
      <c r="E480" s="14" t="s">
        <v>55</v>
      </c>
      <c r="F480" s="14" t="s">
        <v>1103</v>
      </c>
      <c r="G480" s="27" t="s">
        <v>1104</v>
      </c>
      <c r="H480" s="14" t="str">
        <f t="array" ref="H480">IFERROR(INDEX([1]Companies!$G:$G,MATCH(B480,[1]Companies!$A:$A,0)),"")</f>
        <v>Uganda</v>
      </c>
      <c r="I480" s="14" t="str">
        <f t="shared" si="694"/>
        <v>Uganda</v>
      </c>
      <c r="J480" s="14" t="str">
        <f t="array" ref="J480">IFERROR(INDEX([1]Companies!$Y:$Y,MATCH(B480,[1]Companies!$A:$A,0)),"")</f>
        <v>Lending, Credit Scoring, Asset Financing</v>
      </c>
      <c r="K480" s="14" t="str">
        <f t="array" ref="K480">IFERROR(INDEX([1]Companies!$X:$X,MATCH(B480,[1]Companies!$A:$A,0)),"")</f>
        <v>Energy &amp; Environment Resources</v>
      </c>
      <c r="L480" s="14" t="str">
        <f>VLOOKUP(B480,[1]Companies!$A$1:$C$5243,1,FALSE)</f>
        <v>Energrow</v>
      </c>
      <c r="M480" s="15">
        <f t="shared" si="695"/>
        <v>0.9</v>
      </c>
      <c r="N480" s="10" t="str">
        <f t="shared" si="696"/>
        <v>43202EnerGrow10000</v>
      </c>
      <c r="O480" s="14" t="str">
        <f t="shared" si="697"/>
        <v/>
      </c>
      <c r="P480" s="14">
        <f t="shared" si="698"/>
        <v>1</v>
      </c>
      <c r="Q480" s="14">
        <f t="array" ref="Q480">IFERROR(INDEX([1]Companies!$D:$D,MATCH(B480,[1]Companies!$A:$A,0)),"")</f>
        <v>2018</v>
      </c>
      <c r="R480" s="17">
        <f t="shared" si="699"/>
        <v>10000</v>
      </c>
      <c r="S480" s="14">
        <f>VLOOKUP(I480,[1]Lookups!$V$3:$Y$197,4,FALSE)</f>
        <v>0</v>
      </c>
      <c r="T480" s="14" t="str">
        <f>VLOOKUP(E480,[1]Lookups!$H$3:$I$71,2,FALSE)</f>
        <v>1. Grant</v>
      </c>
      <c r="U480" s="14" t="e">
        <f>VLOOKUP(K480,[1]Lookups!$B$3:$C$142,2,FALSE)</f>
        <v>#N/A</v>
      </c>
      <c r="V480" s="14">
        <f t="shared" si="396"/>
        <v>2018</v>
      </c>
      <c r="W480" s="14">
        <f t="shared" si="397"/>
        <v>4</v>
      </c>
      <c r="X480" s="14">
        <f>VLOOKUP(W480,[1]Lookups!$P$3:$S$15,2,FALSE)</f>
        <v>2</v>
      </c>
      <c r="Y480" s="16">
        <f>VLOOKUP(W480,[1]Lookups!$P$3:$U$15,3,FALSE)</f>
        <v>1</v>
      </c>
      <c r="Z480" s="16">
        <f t="shared" si="398"/>
        <v>1</v>
      </c>
      <c r="AA480" s="16" t="str">
        <f t="shared" ca="1" si="693"/>
        <v>Seedstars</v>
      </c>
      <c r="AB480" s="16">
        <f t="shared" si="693"/>
        <v>0</v>
      </c>
      <c r="AC480" s="16">
        <f t="shared" si="693"/>
        <v>0</v>
      </c>
      <c r="AD480" s="16">
        <f t="shared" si="693"/>
        <v>0</v>
      </c>
      <c r="AE480" s="16">
        <f t="shared" si="693"/>
        <v>0</v>
      </c>
      <c r="AF480" s="16">
        <f t="shared" si="693"/>
        <v>0</v>
      </c>
      <c r="AG480" s="16">
        <f t="shared" si="693"/>
        <v>0</v>
      </c>
      <c r="AH480" s="16">
        <f t="shared" si="693"/>
        <v>0</v>
      </c>
      <c r="AI480" s="16">
        <f t="shared" si="693"/>
        <v>0</v>
      </c>
      <c r="AJ480" s="16">
        <f t="shared" si="693"/>
        <v>0</v>
      </c>
      <c r="AK480" s="16">
        <f t="shared" si="693"/>
        <v>0</v>
      </c>
      <c r="AL480" s="16">
        <f t="shared" si="693"/>
        <v>0</v>
      </c>
      <c r="AM480" s="16">
        <f t="shared" si="693"/>
        <v>0</v>
      </c>
      <c r="AN480" s="16">
        <f t="shared" si="693"/>
        <v>0</v>
      </c>
      <c r="AO480" s="16">
        <f t="shared" si="693"/>
        <v>0</v>
      </c>
      <c r="AP480" s="10"/>
      <c r="AQ480" s="10"/>
      <c r="AR480" s="10"/>
      <c r="AS480" s="10" t="str">
        <f t="shared" ref="AS480" ca="1" si="701">IFERROR(__xludf.DUMMYFUNCTION("split(F479,"","",true,true)"),"Seedstars")</f>
        <v>Seedstars</v>
      </c>
      <c r="AT480" s="10"/>
      <c r="AU480" s="10"/>
      <c r="AV480" s="10"/>
      <c r="AW480" s="10"/>
      <c r="AX480" s="10"/>
      <c r="AY480" s="10"/>
      <c r="AZ480" s="10"/>
      <c r="BA480" s="10"/>
      <c r="BB480" s="10"/>
      <c r="BC480" s="10"/>
      <c r="BD480" s="10"/>
      <c r="BE480" s="10"/>
      <c r="BF480" s="10"/>
      <c r="BG480" s="10"/>
      <c r="BH480" s="10"/>
      <c r="BI480" s="10"/>
      <c r="BJ480" s="10"/>
      <c r="BK480" s="10"/>
      <c r="BM480" s="10"/>
    </row>
    <row r="481" spans="1:65" ht="12.75">
      <c r="A481" s="9">
        <v>43204</v>
      </c>
      <c r="B481" s="10" t="s">
        <v>183</v>
      </c>
      <c r="C481" s="11">
        <v>50000000</v>
      </c>
      <c r="D481" s="12"/>
      <c r="E481" s="10" t="s">
        <v>91</v>
      </c>
      <c r="F481" s="10" t="s">
        <v>1105</v>
      </c>
      <c r="G481" s="13" t="s">
        <v>1106</v>
      </c>
      <c r="H481" s="14" t="str">
        <f t="array" ref="H481">IFERROR(INDEX([1]Companies!$G:$G,MATCH(B481,[1]Companies!$A:$A,0)),"")</f>
        <v>Kenya</v>
      </c>
      <c r="I481" s="14" t="str">
        <f t="shared" si="694"/>
        <v>Kenya</v>
      </c>
      <c r="J481" s="14" t="str">
        <f t="array" ref="J481">IFERROR(INDEX([1]Companies!$Y:$Y,MATCH(B481,[1]Companies!$A:$A,0)),"")</f>
        <v>Energy, Renewable Energy, Solar</v>
      </c>
      <c r="K481" s="14" t="str">
        <f t="array" ref="K481">IFERROR(INDEX([1]Companies!$X:$X,MATCH(B481,[1]Companies!$A:$A,0)),"")</f>
        <v>Energy &amp; Environment Resources</v>
      </c>
      <c r="L481" s="14" t="str">
        <f>VLOOKUP(B481,[1]Companies!$A$1:$C$5243,1,FALSE)</f>
        <v>d.light</v>
      </c>
      <c r="M481" s="15">
        <f t="shared" si="695"/>
        <v>0.9</v>
      </c>
      <c r="N481" s="10" t="str">
        <f t="shared" si="696"/>
        <v>43204d.light50000000</v>
      </c>
      <c r="O481" s="14" t="str">
        <f t="shared" si="697"/>
        <v/>
      </c>
      <c r="P481" s="14">
        <f t="shared" si="698"/>
        <v>1</v>
      </c>
      <c r="Q481" s="14">
        <f t="array" ref="Q481">IFERROR(INDEX([1]Companies!$D:$D,MATCH(B481,[1]Companies!$A:$A,0)),"")</f>
        <v>2007</v>
      </c>
      <c r="R481" s="17">
        <f t="shared" si="699"/>
        <v>167500000</v>
      </c>
      <c r="S481" s="14">
        <f>VLOOKUP(I481,[1]Lookups!$V$3:$Y$197,4,FALSE)</f>
        <v>0</v>
      </c>
      <c r="T481" s="14" t="str">
        <f>VLOOKUP(E481,[1]Lookups!$H$3:$I$71,2,FALSE)</f>
        <v>5. Debt Financing</v>
      </c>
      <c r="U481" s="14" t="e">
        <f>VLOOKUP(K481,[1]Lookups!$B$3:$C$142,2,FALSE)</f>
        <v>#N/A</v>
      </c>
      <c r="V481" s="14">
        <f t="shared" si="396"/>
        <v>2018</v>
      </c>
      <c r="W481" s="14">
        <f t="shared" si="397"/>
        <v>4</v>
      </c>
      <c r="X481" s="14">
        <f>VLOOKUP(W481,[1]Lookups!$P$3:$S$15,2,FALSE)</f>
        <v>2</v>
      </c>
      <c r="Y481" s="16">
        <f>VLOOKUP(W481,[1]Lookups!$P$3:$U$15,3,FALSE)</f>
        <v>1</v>
      </c>
      <c r="Z481" s="16">
        <f t="shared" si="398"/>
        <v>4</v>
      </c>
      <c r="AA481" s="16" t="str">
        <f t="shared" ca="1" si="693"/>
        <v>Seedstars</v>
      </c>
      <c r="AB481" s="16" t="str">
        <f t="shared" ca="1" si="693"/>
        <v xml:space="preserve"> responsAbility</v>
      </c>
      <c r="AC481" s="16" t="str">
        <f t="shared" ca="1" si="693"/>
        <v xml:space="preserve"> SunFunder</v>
      </c>
      <c r="AD481" s="16" t="str">
        <f t="shared" ca="1" si="693"/>
        <v xml:space="preserve"> SIMA Funds</v>
      </c>
      <c r="AE481" s="16">
        <f t="shared" si="693"/>
        <v>0</v>
      </c>
      <c r="AF481" s="16">
        <f t="shared" si="693"/>
        <v>0</v>
      </c>
      <c r="AG481" s="16">
        <f t="shared" si="693"/>
        <v>0</v>
      </c>
      <c r="AH481" s="16">
        <f t="shared" si="693"/>
        <v>0</v>
      </c>
      <c r="AI481" s="16">
        <f t="shared" si="693"/>
        <v>0</v>
      </c>
      <c r="AJ481" s="16">
        <f t="shared" si="693"/>
        <v>0</v>
      </c>
      <c r="AK481" s="16">
        <f t="shared" si="693"/>
        <v>0</v>
      </c>
      <c r="AL481" s="16">
        <f t="shared" si="693"/>
        <v>0</v>
      </c>
      <c r="AM481" s="16">
        <f t="shared" si="693"/>
        <v>0</v>
      </c>
      <c r="AN481" s="16">
        <f t="shared" si="693"/>
        <v>0</v>
      </c>
      <c r="AO481" s="16">
        <f t="shared" si="693"/>
        <v>0</v>
      </c>
      <c r="AP481" s="10"/>
      <c r="AQ481" s="10"/>
      <c r="AR481" s="10"/>
      <c r="AS481" s="10" t="str">
        <f t="shared" ref="AS481" ca="1" si="702">IFERROR(__xludf.DUMMYFUNCTION("split(F479,"","",true,true)"),"Seedstars")</f>
        <v>Seedstars</v>
      </c>
      <c r="AT481" s="10" t="str">
        <f ca="1">IFERROR(__xludf.DUMMYFUNCTION("""COMPUTED_VALUE""")," responsAbility")</f>
        <v xml:space="preserve"> responsAbility</v>
      </c>
      <c r="AU481" s="10" t="str">
        <f ca="1">IFERROR(__xludf.DUMMYFUNCTION("""COMPUTED_VALUE""")," SunFunder")</f>
        <v xml:space="preserve"> SunFunder</v>
      </c>
      <c r="AV481" s="10" t="str">
        <f ca="1">IFERROR(__xludf.DUMMYFUNCTION("""COMPUTED_VALUE""")," SIMA Funds")</f>
        <v xml:space="preserve"> SIMA Funds</v>
      </c>
      <c r="AW481" s="10"/>
      <c r="AX481" s="10"/>
      <c r="AY481" s="10"/>
      <c r="AZ481" s="10"/>
      <c r="BA481" s="10"/>
      <c r="BB481" s="10"/>
      <c r="BC481" s="10"/>
      <c r="BD481" s="10"/>
      <c r="BE481" s="10"/>
      <c r="BF481" s="10"/>
      <c r="BG481" s="10"/>
      <c r="BH481" s="10"/>
      <c r="BI481" s="10"/>
      <c r="BJ481" s="10"/>
      <c r="BK481" s="10"/>
      <c r="BM481" s="10"/>
    </row>
    <row r="482" spans="1:65" ht="12.75">
      <c r="A482" s="18">
        <v>43204</v>
      </c>
      <c r="B482" s="14" t="s">
        <v>648</v>
      </c>
      <c r="C482" s="19">
        <v>50000</v>
      </c>
      <c r="D482" s="19"/>
      <c r="E482" s="14" t="s">
        <v>55</v>
      </c>
      <c r="F482" s="14" t="s">
        <v>408</v>
      </c>
      <c r="G482" s="27" t="s">
        <v>1107</v>
      </c>
      <c r="H482" s="14" t="str">
        <f t="array" ref="H482">IFERROR(INDEX([1]Companies!$G:$G,MATCH(B482,[1]Companies!$A:$A,0)),"")</f>
        <v>Nigeria</v>
      </c>
      <c r="I482" s="14" t="str">
        <f t="shared" si="694"/>
        <v>Nigeria</v>
      </c>
      <c r="J482" s="14" t="str">
        <f t="array" ref="J482">IFERROR(INDEX([1]Companies!$Y:$Y,MATCH(B482,[1]Companies!$A:$A,0)),"")</f>
        <v>EdTech, Enterprise Resource Planning (ERP), SaaS</v>
      </c>
      <c r="K482" s="14" t="str">
        <f t="array" ref="K482">IFERROR(INDEX([1]Companies!$X:$X,MATCH(B482,[1]Companies!$A:$A,0)),"")</f>
        <v>Education</v>
      </c>
      <c r="L482" s="14" t="str">
        <f>VLOOKUP(B482,[1]Companies!$A$1:$C$5243,1,FALSE)</f>
        <v>Edves</v>
      </c>
      <c r="M482" s="15">
        <f t="shared" si="695"/>
        <v>0.9</v>
      </c>
      <c r="N482" s="10" t="str">
        <f t="shared" si="696"/>
        <v>43204Edves50000</v>
      </c>
      <c r="O482" s="14" t="str">
        <f t="shared" si="697"/>
        <v/>
      </c>
      <c r="P482" s="14">
        <f t="shared" si="698"/>
        <v>1</v>
      </c>
      <c r="Q482" s="14">
        <f t="array" ref="Q482">IFERROR(INDEX([1]Companies!$D:$D,MATCH(B482,[1]Companies!$A:$A,0)),"")</f>
        <v>2016</v>
      </c>
      <c r="R482" s="17">
        <f t="shared" si="699"/>
        <v>191500</v>
      </c>
      <c r="S482" s="14">
        <f>VLOOKUP(I482,[1]Lookups!$V$3:$Y$197,4,FALSE)</f>
        <v>0</v>
      </c>
      <c r="T482" s="14" t="str">
        <f>VLOOKUP(E482,[1]Lookups!$H$3:$I$71,2,FALSE)</f>
        <v>1. Grant</v>
      </c>
      <c r="U482" s="14" t="str">
        <f>VLOOKUP(K482,[1]Lookups!$B$3:$C$142,2,FALSE)</f>
        <v>Education</v>
      </c>
      <c r="V482" s="14">
        <f t="shared" si="396"/>
        <v>2018</v>
      </c>
      <c r="W482" s="14">
        <f t="shared" si="397"/>
        <v>4</v>
      </c>
      <c r="X482" s="14">
        <f>VLOOKUP(W482,[1]Lookups!$P$3:$S$15,2,FALSE)</f>
        <v>2</v>
      </c>
      <c r="Y482" s="16">
        <f>VLOOKUP(W482,[1]Lookups!$P$3:$U$15,3,FALSE)</f>
        <v>1</v>
      </c>
      <c r="Z482" s="16">
        <f t="shared" si="398"/>
        <v>1</v>
      </c>
      <c r="AA482" s="16" t="str">
        <f t="shared" ca="1" si="693"/>
        <v>Seedstars</v>
      </c>
      <c r="AB482" s="16">
        <f t="shared" si="693"/>
        <v>0</v>
      </c>
      <c r="AC482" s="16">
        <f t="shared" si="693"/>
        <v>0</v>
      </c>
      <c r="AD482" s="16">
        <f t="shared" si="693"/>
        <v>0</v>
      </c>
      <c r="AE482" s="16">
        <f t="shared" si="693"/>
        <v>0</v>
      </c>
      <c r="AF482" s="16">
        <f t="shared" si="693"/>
        <v>0</v>
      </c>
      <c r="AG482" s="16">
        <f t="shared" si="693"/>
        <v>0</v>
      </c>
      <c r="AH482" s="16">
        <f t="shared" si="693"/>
        <v>0</v>
      </c>
      <c r="AI482" s="16">
        <f t="shared" si="693"/>
        <v>0</v>
      </c>
      <c r="AJ482" s="16">
        <f t="shared" si="693"/>
        <v>0</v>
      </c>
      <c r="AK482" s="16">
        <f t="shared" si="693"/>
        <v>0</v>
      </c>
      <c r="AL482" s="16">
        <f t="shared" si="693"/>
        <v>0</v>
      </c>
      <c r="AM482" s="16">
        <f t="shared" si="693"/>
        <v>0</v>
      </c>
      <c r="AN482" s="16">
        <f t="shared" si="693"/>
        <v>0</v>
      </c>
      <c r="AO482" s="16">
        <f t="shared" si="693"/>
        <v>0</v>
      </c>
      <c r="AP482" s="10"/>
      <c r="AQ482" s="10"/>
      <c r="AR482" s="10"/>
      <c r="AS482" s="10" t="str">
        <f t="shared" ref="AS482" ca="1" si="703">IFERROR(__xludf.DUMMYFUNCTION("split(F479,"","",true,true)"),"Seedstars")</f>
        <v>Seedstars</v>
      </c>
      <c r="AT482" s="10"/>
      <c r="AU482" s="10"/>
      <c r="AV482" s="10"/>
      <c r="AW482" s="10"/>
      <c r="AX482" s="10"/>
      <c r="AY482" s="10"/>
      <c r="AZ482" s="10"/>
      <c r="BA482" s="10"/>
      <c r="BB482" s="10"/>
      <c r="BC482" s="10"/>
      <c r="BD482" s="10"/>
      <c r="BE482" s="10"/>
      <c r="BF482" s="10"/>
      <c r="BG482" s="10"/>
      <c r="BH482" s="10"/>
      <c r="BI482" s="10"/>
      <c r="BJ482" s="10"/>
      <c r="BK482" s="10"/>
      <c r="BM482" s="10"/>
    </row>
    <row r="483" spans="1:65" ht="12.75">
      <c r="A483" s="18">
        <v>43206</v>
      </c>
      <c r="B483" s="14" t="s">
        <v>1108</v>
      </c>
      <c r="C483" s="19">
        <v>200000</v>
      </c>
      <c r="D483" s="19"/>
      <c r="E483" s="14" t="s">
        <v>45</v>
      </c>
      <c r="F483" s="14" t="s">
        <v>1109</v>
      </c>
      <c r="G483" s="27" t="s">
        <v>1110</v>
      </c>
      <c r="H483" s="14" t="str">
        <f t="array" ref="H483">IFERROR(INDEX([1]Companies!$G:$G,MATCH(B483,[1]Companies!$A:$A,0)),"")</f>
        <v>South Africa</v>
      </c>
      <c r="I483" s="14" t="str">
        <f t="shared" si="694"/>
        <v>South Africa</v>
      </c>
      <c r="J483" s="14" t="str">
        <f t="array" ref="J483">IFERROR(INDEX([1]Companies!$Y:$Y,MATCH(B483,[1]Companies!$A:$A,0)),"")</f>
        <v>Finance, Financial Services, FinTech</v>
      </c>
      <c r="K483" s="14" t="str">
        <f t="array" ref="K483">IFERROR(INDEX([1]Companies!$X:$X,MATCH(B483,[1]Companies!$A:$A,0)),"")</f>
        <v>Financial Services</v>
      </c>
      <c r="L483" s="14" t="str">
        <f>VLOOKUP(B483,[1]Companies!$A$1:$C$5243,1,FALSE)</f>
        <v>Nobuntu</v>
      </c>
      <c r="M483" s="15">
        <f t="shared" si="695"/>
        <v>0.9</v>
      </c>
      <c r="N483" s="10" t="str">
        <f t="shared" si="696"/>
        <v>43206Nobuntu200000</v>
      </c>
      <c r="O483" s="14" t="str">
        <f t="shared" si="697"/>
        <v/>
      </c>
      <c r="P483" s="14">
        <f t="shared" si="698"/>
        <v>1</v>
      </c>
      <c r="Q483" s="14">
        <f t="array" ref="Q483">IFERROR(INDEX([1]Companies!$D:$D,MATCH(B483,[1]Companies!$A:$A,0)),"")</f>
        <v>2016</v>
      </c>
      <c r="R483" s="17">
        <f t="shared" si="699"/>
        <v>200000</v>
      </c>
      <c r="S483" s="14">
        <f>VLOOKUP(I483,[1]Lookups!$V$3:$Y$197,4,FALSE)</f>
        <v>0</v>
      </c>
      <c r="T483" s="14" t="str">
        <f>VLOOKUP(E483,[1]Lookups!$H$3:$I$71,2,FALSE)</f>
        <v>2. Seed</v>
      </c>
      <c r="U483" s="14" t="str">
        <f>VLOOKUP(K483,[1]Lookups!$B$3:$C$142,2,FALSE)</f>
        <v>Financial Services</v>
      </c>
      <c r="V483" s="14">
        <f t="shared" si="396"/>
        <v>2018</v>
      </c>
      <c r="W483" s="14">
        <f t="shared" si="397"/>
        <v>4</v>
      </c>
      <c r="X483" s="14">
        <f>VLOOKUP(W483,[1]Lookups!$P$3:$S$15,2,FALSE)</f>
        <v>2</v>
      </c>
      <c r="Y483" s="16">
        <f>VLOOKUP(W483,[1]Lookups!$P$3:$U$15,3,FALSE)</f>
        <v>1</v>
      </c>
      <c r="Z483" s="16">
        <f t="shared" si="398"/>
        <v>1</v>
      </c>
      <c r="AA483" s="16" t="str">
        <f t="shared" ca="1" si="693"/>
        <v>Seedstars</v>
      </c>
      <c r="AB483" s="16">
        <f t="shared" si="693"/>
        <v>0</v>
      </c>
      <c r="AC483" s="16">
        <f t="shared" si="693"/>
        <v>0</v>
      </c>
      <c r="AD483" s="16">
        <f t="shared" si="693"/>
        <v>0</v>
      </c>
      <c r="AE483" s="16">
        <f t="shared" si="693"/>
        <v>0</v>
      </c>
      <c r="AF483" s="16">
        <f t="shared" si="693"/>
        <v>0</v>
      </c>
      <c r="AG483" s="16">
        <f t="shared" si="693"/>
        <v>0</v>
      </c>
      <c r="AH483" s="16">
        <f t="shared" si="693"/>
        <v>0</v>
      </c>
      <c r="AI483" s="16">
        <f t="shared" si="693"/>
        <v>0</v>
      </c>
      <c r="AJ483" s="16">
        <f t="shared" si="693"/>
        <v>0</v>
      </c>
      <c r="AK483" s="16">
        <f t="shared" si="693"/>
        <v>0</v>
      </c>
      <c r="AL483" s="16">
        <f t="shared" si="693"/>
        <v>0</v>
      </c>
      <c r="AM483" s="16">
        <f t="shared" si="693"/>
        <v>0</v>
      </c>
      <c r="AN483" s="16">
        <f t="shared" si="693"/>
        <v>0</v>
      </c>
      <c r="AO483" s="16">
        <f t="shared" si="693"/>
        <v>0</v>
      </c>
      <c r="AP483" s="10"/>
      <c r="AQ483" s="10"/>
      <c r="AR483" s="10"/>
      <c r="AS483" s="10" t="str">
        <f t="shared" ref="AS483" ca="1" si="704">IFERROR(__xludf.DUMMYFUNCTION("split(F479,"","",true,true)"),"Seedstars")</f>
        <v>Seedstars</v>
      </c>
      <c r="AT483" s="10"/>
      <c r="AU483" s="10"/>
      <c r="AV483" s="10"/>
      <c r="AW483" s="10"/>
      <c r="AX483" s="10"/>
      <c r="AY483" s="10"/>
      <c r="AZ483" s="10"/>
      <c r="BA483" s="10"/>
      <c r="BB483" s="10"/>
      <c r="BC483" s="10"/>
      <c r="BD483" s="10"/>
      <c r="BE483" s="10"/>
      <c r="BF483" s="10"/>
      <c r="BG483" s="10"/>
      <c r="BH483" s="10"/>
      <c r="BI483" s="10"/>
      <c r="BJ483" s="10"/>
      <c r="BK483" s="10"/>
      <c r="BM483" s="10"/>
    </row>
    <row r="484" spans="1:65" ht="12.75">
      <c r="A484" s="18">
        <v>43206</v>
      </c>
      <c r="B484" s="14" t="s">
        <v>708</v>
      </c>
      <c r="C484" s="19">
        <v>50000</v>
      </c>
      <c r="D484" s="19"/>
      <c r="E484" s="14" t="s">
        <v>45</v>
      </c>
      <c r="F484" s="14" t="s">
        <v>1109</v>
      </c>
      <c r="G484" s="27" t="s">
        <v>1111</v>
      </c>
      <c r="H484" s="14" t="str">
        <f t="array" ref="H484">IFERROR(INDEX([1]Companies!$G:$G,MATCH(B484,[1]Companies!$A:$A,0)),"")</f>
        <v>Kenya</v>
      </c>
      <c r="I484" s="14" t="str">
        <f t="shared" si="694"/>
        <v>Kenya</v>
      </c>
      <c r="J484" s="14" t="str">
        <f t="array" ref="J484">IFERROR(INDEX([1]Companies!$Y:$Y,MATCH(B484,[1]Companies!$A:$A,0)),"")</f>
        <v>FinTech, Productivity Tools</v>
      </c>
      <c r="K484" s="14" t="str">
        <f t="array" ref="K484">IFERROR(INDEX([1]Companies!$X:$X,MATCH(B484,[1]Companies!$A:$A,0)),"")</f>
        <v>Financial Services</v>
      </c>
      <c r="L484" s="14" t="str">
        <f>VLOOKUP(B484,[1]Companies!$A$1:$C$5243,1,FALSE)</f>
        <v>Cherehani Africa</v>
      </c>
      <c r="M484" s="15">
        <f t="shared" si="695"/>
        <v>0.9</v>
      </c>
      <c r="N484" s="10" t="str">
        <f t="shared" si="696"/>
        <v>43206Cherehani Africa50000</v>
      </c>
      <c r="O484" s="14" t="str">
        <f t="shared" si="697"/>
        <v/>
      </c>
      <c r="P484" s="14">
        <f t="shared" si="698"/>
        <v>1</v>
      </c>
      <c r="Q484" s="14">
        <f t="array" ref="Q484">IFERROR(INDEX([1]Companies!$D:$D,MATCH(B484,[1]Companies!$A:$A,0)),"")</f>
        <v>2015</v>
      </c>
      <c r="R484" s="17">
        <f t="shared" si="699"/>
        <v>250000</v>
      </c>
      <c r="S484" s="14">
        <f>VLOOKUP(I484,[1]Lookups!$V$3:$Y$197,4,FALSE)</f>
        <v>0</v>
      </c>
      <c r="T484" s="14" t="str">
        <f>VLOOKUP(E484,[1]Lookups!$H$3:$I$71,2,FALSE)</f>
        <v>2. Seed</v>
      </c>
      <c r="U484" s="14" t="str">
        <f>VLOOKUP(K484,[1]Lookups!$B$3:$C$142,2,FALSE)</f>
        <v>Financial Services</v>
      </c>
      <c r="V484" s="14">
        <f t="shared" si="396"/>
        <v>2018</v>
      </c>
      <c r="W484" s="14">
        <f t="shared" si="397"/>
        <v>4</v>
      </c>
      <c r="X484" s="14">
        <f>VLOOKUP(W484,[1]Lookups!$P$3:$S$15,2,FALSE)</f>
        <v>2</v>
      </c>
      <c r="Y484" s="16">
        <f>VLOOKUP(W484,[1]Lookups!$P$3:$U$15,3,FALSE)</f>
        <v>1</v>
      </c>
      <c r="Z484" s="16">
        <f t="shared" si="398"/>
        <v>1</v>
      </c>
      <c r="AA484" s="16" t="str">
        <f t="shared" ca="1" si="693"/>
        <v>Seedstars</v>
      </c>
      <c r="AB484" s="16">
        <f t="shared" si="693"/>
        <v>0</v>
      </c>
      <c r="AC484" s="16">
        <f t="shared" si="693"/>
        <v>0</v>
      </c>
      <c r="AD484" s="16">
        <f t="shared" si="693"/>
        <v>0</v>
      </c>
      <c r="AE484" s="16">
        <f t="shared" si="693"/>
        <v>0</v>
      </c>
      <c r="AF484" s="16">
        <f t="shared" si="693"/>
        <v>0</v>
      </c>
      <c r="AG484" s="16">
        <f t="shared" si="693"/>
        <v>0</v>
      </c>
      <c r="AH484" s="16">
        <f t="shared" si="693"/>
        <v>0</v>
      </c>
      <c r="AI484" s="16">
        <f t="shared" si="693"/>
        <v>0</v>
      </c>
      <c r="AJ484" s="16">
        <f t="shared" si="693"/>
        <v>0</v>
      </c>
      <c r="AK484" s="16">
        <f t="shared" si="693"/>
        <v>0</v>
      </c>
      <c r="AL484" s="16">
        <f t="shared" si="693"/>
        <v>0</v>
      </c>
      <c r="AM484" s="16">
        <f t="shared" si="693"/>
        <v>0</v>
      </c>
      <c r="AN484" s="16">
        <f t="shared" si="693"/>
        <v>0</v>
      </c>
      <c r="AO484" s="16">
        <f t="shared" si="693"/>
        <v>0</v>
      </c>
      <c r="AP484" s="10"/>
      <c r="AQ484" s="10"/>
      <c r="AR484" s="10"/>
      <c r="AS484" s="10" t="str">
        <f t="shared" ref="AS484" ca="1" si="705">IFERROR(__xludf.DUMMYFUNCTION("split(F479,"","",true,true)"),"Seedstars")</f>
        <v>Seedstars</v>
      </c>
      <c r="AT484" s="10"/>
      <c r="AU484" s="10"/>
      <c r="AV484" s="10"/>
      <c r="AW484" s="10"/>
      <c r="AX484" s="10"/>
      <c r="AY484" s="10"/>
      <c r="AZ484" s="10"/>
      <c r="BA484" s="10"/>
      <c r="BB484" s="10"/>
      <c r="BC484" s="10"/>
      <c r="BD484" s="10"/>
      <c r="BE484" s="10"/>
      <c r="BF484" s="10"/>
      <c r="BG484" s="10"/>
      <c r="BH484" s="10"/>
      <c r="BI484" s="10"/>
      <c r="BJ484" s="10"/>
      <c r="BK484" s="10"/>
      <c r="BM484" s="10"/>
    </row>
    <row r="485" spans="1:65" ht="12.75">
      <c r="A485" s="18">
        <v>43206</v>
      </c>
      <c r="B485" s="14" t="s">
        <v>1097</v>
      </c>
      <c r="C485" s="19">
        <v>50000</v>
      </c>
      <c r="D485" s="19"/>
      <c r="E485" s="14" t="s">
        <v>45</v>
      </c>
      <c r="F485" s="14" t="s">
        <v>1109</v>
      </c>
      <c r="G485" s="27" t="s">
        <v>1112</v>
      </c>
      <c r="H485" s="14" t="str">
        <f t="array" ref="H485">IFERROR(INDEX([1]Companies!$G:$G,MATCH(B485,[1]Companies!$A:$A,0)),"")</f>
        <v>Tanzania</v>
      </c>
      <c r="I485" s="14" t="str">
        <f t="shared" si="694"/>
        <v>Tanzania</v>
      </c>
      <c r="J485" s="14" t="str">
        <f t="array" ref="J485">IFERROR(INDEX([1]Companies!$Y:$Y,MATCH(B485,[1]Companies!$A:$A,0)),"")</f>
        <v>Financial Inclusion, Digital Financial Services, Mobile Money, and Fintech</v>
      </c>
      <c r="K485" s="14" t="str">
        <f t="array" ref="K485">IFERROR(INDEX([1]Companies!$X:$X,MATCH(B485,[1]Companies!$A:$A,0)),"")</f>
        <v>Financial Services</v>
      </c>
      <c r="L485" s="14" t="str">
        <f>VLOOKUP(B485,[1]Companies!$A$1:$C$5243,1,FALSE)</f>
        <v>Nala</v>
      </c>
      <c r="M485" s="15">
        <f t="shared" si="695"/>
        <v>0.9</v>
      </c>
      <c r="N485" s="10" t="str">
        <f t="shared" si="696"/>
        <v>43206Nala50000</v>
      </c>
      <c r="O485" s="14" t="str">
        <f t="shared" si="697"/>
        <v/>
      </c>
      <c r="P485" s="14">
        <f t="shared" si="698"/>
        <v>1</v>
      </c>
      <c r="Q485" s="14">
        <f t="array" ref="Q485">IFERROR(INDEX([1]Companies!$D:$D,MATCH(B485,[1]Companies!$A:$A,0)),"")</f>
        <v>2017</v>
      </c>
      <c r="R485" s="17">
        <f t="shared" si="699"/>
        <v>420000</v>
      </c>
      <c r="S485" s="14">
        <f>VLOOKUP(I485,[1]Lookups!$V$3:$Y$197,4,FALSE)</f>
        <v>0</v>
      </c>
      <c r="T485" s="14" t="str">
        <f>VLOOKUP(E485,[1]Lookups!$H$3:$I$71,2,FALSE)</f>
        <v>2. Seed</v>
      </c>
      <c r="U485" s="14" t="str">
        <f>VLOOKUP(K485,[1]Lookups!$B$3:$C$142,2,FALSE)</f>
        <v>Financial Services</v>
      </c>
      <c r="V485" s="14">
        <f t="shared" si="396"/>
        <v>2018</v>
      </c>
      <c r="W485" s="14">
        <f t="shared" si="397"/>
        <v>4</v>
      </c>
      <c r="X485" s="14">
        <f>VLOOKUP(W485,[1]Lookups!$P$3:$S$15,2,FALSE)</f>
        <v>2</v>
      </c>
      <c r="Y485" s="16">
        <f>VLOOKUP(W485,[1]Lookups!$P$3:$U$15,3,FALSE)</f>
        <v>1</v>
      </c>
      <c r="Z485" s="16">
        <f t="shared" si="398"/>
        <v>1</v>
      </c>
      <c r="AA485" s="16" t="str">
        <f t="shared" ca="1" si="693"/>
        <v>Seedstars</v>
      </c>
      <c r="AB485" s="16">
        <f t="shared" si="693"/>
        <v>0</v>
      </c>
      <c r="AC485" s="16">
        <f t="shared" si="693"/>
        <v>0</v>
      </c>
      <c r="AD485" s="16">
        <f t="shared" si="693"/>
        <v>0</v>
      </c>
      <c r="AE485" s="16">
        <f t="shared" si="693"/>
        <v>0</v>
      </c>
      <c r="AF485" s="16">
        <f t="shared" si="693"/>
        <v>0</v>
      </c>
      <c r="AG485" s="16">
        <f t="shared" si="693"/>
        <v>0</v>
      </c>
      <c r="AH485" s="16">
        <f t="shared" si="693"/>
        <v>0</v>
      </c>
      <c r="AI485" s="16">
        <f t="shared" si="693"/>
        <v>0</v>
      </c>
      <c r="AJ485" s="16">
        <f t="shared" si="693"/>
        <v>0</v>
      </c>
      <c r="AK485" s="16">
        <f t="shared" si="693"/>
        <v>0</v>
      </c>
      <c r="AL485" s="16">
        <f t="shared" si="693"/>
        <v>0</v>
      </c>
      <c r="AM485" s="16">
        <f t="shared" si="693"/>
        <v>0</v>
      </c>
      <c r="AN485" s="16">
        <f t="shared" si="693"/>
        <v>0</v>
      </c>
      <c r="AO485" s="16">
        <f t="shared" si="693"/>
        <v>0</v>
      </c>
      <c r="AP485" s="10"/>
      <c r="AQ485" s="10"/>
      <c r="AR485" s="10"/>
      <c r="AS485" s="10" t="str">
        <f t="shared" ref="AS485" ca="1" si="706">IFERROR(__xludf.DUMMYFUNCTION("split(F479,"","",true,true)"),"Seedstars")</f>
        <v>Seedstars</v>
      </c>
      <c r="AT485" s="10"/>
      <c r="AU485" s="10"/>
      <c r="AV485" s="10"/>
      <c r="AW485" s="10"/>
      <c r="AX485" s="10"/>
      <c r="AY485" s="10"/>
      <c r="AZ485" s="10"/>
      <c r="BA485" s="10"/>
      <c r="BB485" s="10"/>
      <c r="BC485" s="10"/>
      <c r="BD485" s="10"/>
      <c r="BE485" s="10"/>
      <c r="BF485" s="10"/>
      <c r="BG485" s="10"/>
      <c r="BH485" s="10"/>
      <c r="BI485" s="10"/>
      <c r="BJ485" s="10"/>
      <c r="BK485" s="10"/>
      <c r="BM485" s="10"/>
    </row>
    <row r="486" spans="1:65" ht="12.75">
      <c r="A486" s="18">
        <v>43206</v>
      </c>
      <c r="B486" s="14" t="s">
        <v>1113</v>
      </c>
      <c r="C486" s="19">
        <v>12000</v>
      </c>
      <c r="D486" s="19"/>
      <c r="E486" s="14" t="s">
        <v>55</v>
      </c>
      <c r="F486" s="14" t="s">
        <v>599</v>
      </c>
      <c r="G486" s="27" t="s">
        <v>1114</v>
      </c>
      <c r="H486" s="14" t="str">
        <f t="array" ref="H486">IFERROR(INDEX([1]Companies!$G:$G,MATCH(B486,[1]Companies!$A:$A,0)),"")</f>
        <v>South Africa</v>
      </c>
      <c r="I486" s="14" t="str">
        <f t="shared" si="694"/>
        <v>South Africa</v>
      </c>
      <c r="J486" s="14" t="str">
        <f t="array" ref="J486">IFERROR(INDEX([1]Companies!$Y:$Y,MATCH(B486,[1]Companies!$A:$A,0)),"")</f>
        <v>Online Shopping, Security, Banking</v>
      </c>
      <c r="K486" s="14" t="str">
        <f t="array" ref="K486">IFERROR(INDEX([1]Companies!$X:$X,MATCH(B486,[1]Companies!$A:$A,0)),"")</f>
        <v>E-Commerce &amp; Retail</v>
      </c>
      <c r="L486" s="14" t="str">
        <f>VLOOKUP(B486,[1]Companies!$A$1:$C$5243,1,FALSE)</f>
        <v>Airbuy</v>
      </c>
      <c r="M486" s="15">
        <f t="shared" si="695"/>
        <v>0.9</v>
      </c>
      <c r="N486" s="10" t="str">
        <f t="shared" si="696"/>
        <v>43206Airbuy12000</v>
      </c>
      <c r="O486" s="14" t="str">
        <f t="shared" si="697"/>
        <v/>
      </c>
      <c r="P486" s="14">
        <f t="shared" si="698"/>
        <v>1</v>
      </c>
      <c r="Q486" s="14">
        <f t="array" ref="Q486">IFERROR(INDEX([1]Companies!$D:$D,MATCH(B486,[1]Companies!$A:$A,0)),"")</f>
        <v>2016</v>
      </c>
      <c r="R486" s="17">
        <f t="shared" si="699"/>
        <v>12000</v>
      </c>
      <c r="S486" s="14">
        <f>VLOOKUP(I486,[1]Lookups!$V$3:$Y$197,4,FALSE)</f>
        <v>0</v>
      </c>
      <c r="T486" s="14" t="str">
        <f>VLOOKUP(E486,[1]Lookups!$H$3:$I$71,2,FALSE)</f>
        <v>1. Grant</v>
      </c>
      <c r="U486" s="14" t="str">
        <f>VLOOKUP(K486,[1]Lookups!$B$3:$C$142,2,FALSE)</f>
        <v>E-commerce &amp; Retail</v>
      </c>
      <c r="V486" s="14">
        <f t="shared" si="396"/>
        <v>2018</v>
      </c>
      <c r="W486" s="14">
        <f t="shared" si="397"/>
        <v>4</v>
      </c>
      <c r="X486" s="14">
        <f>VLOOKUP(W486,[1]Lookups!$P$3:$S$15,2,FALSE)</f>
        <v>2</v>
      </c>
      <c r="Y486" s="16">
        <f>VLOOKUP(W486,[1]Lookups!$P$3:$U$15,3,FALSE)</f>
        <v>1</v>
      </c>
      <c r="Z486" s="16">
        <f t="shared" si="398"/>
        <v>1</v>
      </c>
      <c r="AA486" s="16" t="str">
        <f t="shared" ca="1" si="693"/>
        <v>Seedstars</v>
      </c>
      <c r="AB486" s="16">
        <f t="shared" si="693"/>
        <v>0</v>
      </c>
      <c r="AC486" s="16">
        <f t="shared" si="693"/>
        <v>0</v>
      </c>
      <c r="AD486" s="16">
        <f t="shared" si="693"/>
        <v>0</v>
      </c>
      <c r="AE486" s="16">
        <f t="shared" si="693"/>
        <v>0</v>
      </c>
      <c r="AF486" s="16">
        <f t="shared" si="693"/>
        <v>0</v>
      </c>
      <c r="AG486" s="16">
        <f t="shared" si="693"/>
        <v>0</v>
      </c>
      <c r="AH486" s="16">
        <f t="shared" si="693"/>
        <v>0</v>
      </c>
      <c r="AI486" s="16">
        <f t="shared" si="693"/>
        <v>0</v>
      </c>
      <c r="AJ486" s="16">
        <f t="shared" si="693"/>
        <v>0</v>
      </c>
      <c r="AK486" s="16">
        <f t="shared" si="693"/>
        <v>0</v>
      </c>
      <c r="AL486" s="16">
        <f t="shared" si="693"/>
        <v>0</v>
      </c>
      <c r="AM486" s="16">
        <f t="shared" si="693"/>
        <v>0</v>
      </c>
      <c r="AN486" s="16">
        <f t="shared" si="693"/>
        <v>0</v>
      </c>
      <c r="AO486" s="16">
        <f t="shared" si="693"/>
        <v>0</v>
      </c>
      <c r="AP486" s="10"/>
      <c r="AQ486" s="10"/>
      <c r="AR486" s="10"/>
      <c r="AS486" s="10" t="str">
        <f t="shared" ref="AS486" ca="1" si="707">IFERROR(__xludf.DUMMYFUNCTION("split(F479,"","",true,true)"),"Seedstars")</f>
        <v>Seedstars</v>
      </c>
      <c r="AT486" s="10"/>
      <c r="AU486" s="10"/>
      <c r="AV486" s="10"/>
      <c r="AW486" s="10"/>
      <c r="AX486" s="10"/>
      <c r="AY486" s="10"/>
      <c r="AZ486" s="10"/>
      <c r="BA486" s="10"/>
      <c r="BB486" s="10"/>
      <c r="BC486" s="10"/>
      <c r="BD486" s="10"/>
      <c r="BE486" s="10"/>
      <c r="BF486" s="10"/>
      <c r="BG486" s="10"/>
      <c r="BH486" s="10"/>
      <c r="BI486" s="10"/>
      <c r="BJ486" s="10"/>
      <c r="BK486" s="10"/>
      <c r="BM486" s="10"/>
    </row>
    <row r="487" spans="1:65" ht="12.75">
      <c r="A487" s="18">
        <v>43207</v>
      </c>
      <c r="B487" s="14" t="s">
        <v>407</v>
      </c>
      <c r="C487" s="19" t="s">
        <v>49</v>
      </c>
      <c r="D487" s="19"/>
      <c r="E487" s="14" t="s">
        <v>69</v>
      </c>
      <c r="F487" s="14" t="s">
        <v>1115</v>
      </c>
      <c r="G487" s="27" t="s">
        <v>1116</v>
      </c>
      <c r="H487" s="14" t="str">
        <f t="array" ref="H487">IFERROR(INDEX([1]Companies!$G:$G,MATCH(B487,[1]Companies!$A:$A,0)),"")</f>
        <v>South Africa</v>
      </c>
      <c r="I487" s="14" t="str">
        <f t="shared" si="694"/>
        <v>South Africa</v>
      </c>
      <c r="J487" s="14" t="str">
        <f t="array" ref="J487">IFERROR(INDEX([1]Companies!$Y:$Y,MATCH(B487,[1]Companies!$A:$A,0)),"")</f>
        <v>Analytics, Recruitment, Artificial Intelligence</v>
      </c>
      <c r="K487" s="14" t="str">
        <f t="array" ref="K487">IFERROR(INDEX([1]Companies!$X:$X,MATCH(B487,[1]Companies!$A:$A,0)),"")</f>
        <v>Recruitment</v>
      </c>
      <c r="L487" s="14" t="str">
        <f>VLOOKUP(B487,[1]Companies!$A$1:$C$5243,1,FALSE)</f>
        <v>Giraffe</v>
      </c>
      <c r="M487" s="15">
        <f t="shared" si="695"/>
        <v>0.9</v>
      </c>
      <c r="N487" s="10" t="str">
        <f t="shared" si="696"/>
        <v>43207GiraffeUndisclosed</v>
      </c>
      <c r="O487" s="14" t="str">
        <f t="shared" si="697"/>
        <v/>
      </c>
      <c r="P487" s="14">
        <f t="shared" si="698"/>
        <v>0</v>
      </c>
      <c r="Q487" s="14">
        <f t="array" ref="Q487">IFERROR(INDEX([1]Companies!$D:$D,MATCH(B487,[1]Companies!$A:$A,0)),"")</f>
        <v>2015</v>
      </c>
      <c r="R487" s="17">
        <f t="shared" si="699"/>
        <v>500000</v>
      </c>
      <c r="S487" s="14">
        <f>VLOOKUP(I487,[1]Lookups!$V$3:$Y$197,4,FALSE)</f>
        <v>0</v>
      </c>
      <c r="T487" s="14" t="str">
        <f>VLOOKUP(E487,[1]Lookups!$H$3:$I$71,2,FALSE)</f>
        <v>3. Early Venture</v>
      </c>
      <c r="U487" s="14" t="str">
        <f>VLOOKUP(K487,[1]Lookups!$B$3:$C$142,2,FALSE)</f>
        <v>Employment, Talent &amp; Labour</v>
      </c>
      <c r="V487" s="14">
        <f t="shared" si="396"/>
        <v>2018</v>
      </c>
      <c r="W487" s="14">
        <f t="shared" si="397"/>
        <v>4</v>
      </c>
      <c r="X487" s="14">
        <f>VLOOKUP(W487,[1]Lookups!$P$3:$S$15,2,FALSE)</f>
        <v>2</v>
      </c>
      <c r="Y487" s="16">
        <f>VLOOKUP(W487,[1]Lookups!$P$3:$U$15,3,FALSE)</f>
        <v>1</v>
      </c>
      <c r="Z487" s="16">
        <f t="shared" si="398"/>
        <v>4</v>
      </c>
      <c r="AA487" s="16" t="str">
        <f t="shared" ca="1" si="693"/>
        <v>Seedstars</v>
      </c>
      <c r="AB487" s="16" t="str">
        <f t="shared" ca="1" si="693"/>
        <v xml:space="preserve"> Omidyar Network</v>
      </c>
      <c r="AC487" s="16" t="str">
        <f t="shared" ca="1" si="693"/>
        <v xml:space="preserve"> Forever Young Capital</v>
      </c>
      <c r="AD487" s="16" t="str">
        <f t="shared" ca="1" si="693"/>
        <v xml:space="preserve"> Catapult Trust</v>
      </c>
      <c r="AE487" s="16">
        <f t="shared" si="693"/>
        <v>0</v>
      </c>
      <c r="AF487" s="16">
        <f t="shared" si="693"/>
        <v>0</v>
      </c>
      <c r="AG487" s="16">
        <f t="shared" si="693"/>
        <v>0</v>
      </c>
      <c r="AH487" s="16">
        <f t="shared" si="693"/>
        <v>0</v>
      </c>
      <c r="AI487" s="16">
        <f t="shared" si="693"/>
        <v>0</v>
      </c>
      <c r="AJ487" s="16">
        <f t="shared" si="693"/>
        <v>0</v>
      </c>
      <c r="AK487" s="16">
        <f t="shared" si="693"/>
        <v>0</v>
      </c>
      <c r="AL487" s="16">
        <f t="shared" si="693"/>
        <v>0</v>
      </c>
      <c r="AM487" s="16">
        <f t="shared" si="693"/>
        <v>0</v>
      </c>
      <c r="AN487" s="16">
        <f t="shared" si="693"/>
        <v>0</v>
      </c>
      <c r="AO487" s="16">
        <f t="shared" si="693"/>
        <v>0</v>
      </c>
      <c r="AP487" s="10"/>
      <c r="AQ487" s="10"/>
      <c r="AR487" s="10"/>
      <c r="AS487" s="10" t="str">
        <f t="shared" ref="AS487" ca="1" si="708">IFERROR(__xludf.DUMMYFUNCTION("split(F479,"","",true,true)"),"Seedstars")</f>
        <v>Seedstars</v>
      </c>
      <c r="AT487" s="10" t="str">
        <f ca="1">IFERROR(__xludf.DUMMYFUNCTION("""COMPUTED_VALUE""")," Omidyar Network")</f>
        <v xml:space="preserve"> Omidyar Network</v>
      </c>
      <c r="AU487" s="10" t="str">
        <f ca="1">IFERROR(__xludf.DUMMYFUNCTION("""COMPUTED_VALUE""")," Forever Young Capital")</f>
        <v xml:space="preserve"> Forever Young Capital</v>
      </c>
      <c r="AV487" s="10" t="str">
        <f ca="1">IFERROR(__xludf.DUMMYFUNCTION("""COMPUTED_VALUE""")," Catapult Trust")</f>
        <v xml:space="preserve"> Catapult Trust</v>
      </c>
      <c r="AW487" s="10"/>
      <c r="AX487" s="10"/>
      <c r="AY487" s="10"/>
      <c r="AZ487" s="10"/>
      <c r="BA487" s="10"/>
      <c r="BB487" s="10"/>
      <c r="BC487" s="10"/>
      <c r="BD487" s="10"/>
      <c r="BE487" s="10"/>
      <c r="BF487" s="10"/>
      <c r="BG487" s="10"/>
      <c r="BH487" s="10"/>
      <c r="BI487" s="10"/>
      <c r="BJ487" s="10"/>
      <c r="BK487" s="10"/>
      <c r="BM487" s="10"/>
    </row>
    <row r="488" spans="1:65" ht="12.75">
      <c r="A488" s="18">
        <v>43208</v>
      </c>
      <c r="B488" s="14" t="s">
        <v>1117</v>
      </c>
      <c r="C488" s="19" t="s">
        <v>49</v>
      </c>
      <c r="D488" s="19"/>
      <c r="E488" s="14" t="s">
        <v>45</v>
      </c>
      <c r="F488" s="14" t="s">
        <v>1118</v>
      </c>
      <c r="G488" s="27" t="s">
        <v>1119</v>
      </c>
      <c r="H488" s="14" t="str">
        <f t="array" ref="H488">IFERROR(INDEX([1]Companies!$G:$G,MATCH(B488,[1]Companies!$A:$A,0)),"")</f>
        <v>Kenya</v>
      </c>
      <c r="I488" s="14" t="str">
        <f t="shared" si="694"/>
        <v>Kenya</v>
      </c>
      <c r="J488" s="14" t="str">
        <f t="array" ref="J488">IFERROR(INDEX([1]Companies!$Y:$Y,MATCH(B488,[1]Companies!$A:$A,0)),"")</f>
        <v>Mobile Technology, Logistics, International Trade, Agriculture Market Access</v>
      </c>
      <c r="K488" s="14" t="str">
        <f t="array" ref="K488">IFERROR(INDEX([1]Companies!$X:$X,MATCH(B488,[1]Companies!$A:$A,0)),"")</f>
        <v>Transport &amp; Logistics</v>
      </c>
      <c r="L488" s="14" t="str">
        <f>VLOOKUP(B488,[1]Companies!$A$1:$C$5243,1,FALSE)</f>
        <v>Annona</v>
      </c>
      <c r="M488" s="15">
        <f t="shared" si="695"/>
        <v>0.9</v>
      </c>
      <c r="N488" s="10" t="str">
        <f t="shared" si="696"/>
        <v>43208AnnonaUndisclosed</v>
      </c>
      <c r="O488" s="14" t="str">
        <f t="shared" si="697"/>
        <v/>
      </c>
      <c r="P488" s="14">
        <f t="shared" si="698"/>
        <v>0</v>
      </c>
      <c r="Q488" s="14">
        <f t="array" ref="Q488">IFERROR(INDEX([1]Companies!$D:$D,MATCH(B488,[1]Companies!$A:$A,0)),"")</f>
        <v>2015</v>
      </c>
      <c r="R488" s="17">
        <f t="shared" si="699"/>
        <v>0</v>
      </c>
      <c r="S488" s="14">
        <f>VLOOKUP(I488,[1]Lookups!$V$3:$Y$197,4,FALSE)</f>
        <v>0</v>
      </c>
      <c r="T488" s="14" t="str">
        <f>VLOOKUP(E488,[1]Lookups!$H$3:$I$71,2,FALSE)</f>
        <v>2. Seed</v>
      </c>
      <c r="U488" s="14" t="str">
        <f>VLOOKUP(K488,[1]Lookups!$B$3:$C$142,2,FALSE)</f>
        <v>Transport &amp; Logistics</v>
      </c>
      <c r="V488" s="14">
        <f t="shared" si="396"/>
        <v>2018</v>
      </c>
      <c r="W488" s="14">
        <f t="shared" si="397"/>
        <v>4</v>
      </c>
      <c r="X488" s="14">
        <f>VLOOKUP(W488,[1]Lookups!$P$3:$S$15,2,FALSE)</f>
        <v>2</v>
      </c>
      <c r="Y488" s="16">
        <f>VLOOKUP(W488,[1]Lookups!$P$3:$U$15,3,FALSE)</f>
        <v>1</v>
      </c>
      <c r="Z488" s="16">
        <f t="shared" si="398"/>
        <v>1</v>
      </c>
      <c r="AA488" s="16" t="str">
        <f t="shared" ca="1" si="693"/>
        <v>Seedstars</v>
      </c>
      <c r="AB488" s="16">
        <f t="shared" si="693"/>
        <v>0</v>
      </c>
      <c r="AC488" s="16">
        <f t="shared" si="693"/>
        <v>0</v>
      </c>
      <c r="AD488" s="16">
        <f t="shared" si="693"/>
        <v>0</v>
      </c>
      <c r="AE488" s="16">
        <f t="shared" si="693"/>
        <v>0</v>
      </c>
      <c r="AF488" s="16">
        <f t="shared" si="693"/>
        <v>0</v>
      </c>
      <c r="AG488" s="16">
        <f t="shared" si="693"/>
        <v>0</v>
      </c>
      <c r="AH488" s="16">
        <f t="shared" si="693"/>
        <v>0</v>
      </c>
      <c r="AI488" s="16">
        <f t="shared" si="693"/>
        <v>0</v>
      </c>
      <c r="AJ488" s="16">
        <f t="shared" si="693"/>
        <v>0</v>
      </c>
      <c r="AK488" s="16">
        <f t="shared" si="693"/>
        <v>0</v>
      </c>
      <c r="AL488" s="16">
        <f t="shared" si="693"/>
        <v>0</v>
      </c>
      <c r="AM488" s="16">
        <f t="shared" si="693"/>
        <v>0</v>
      </c>
      <c r="AN488" s="16">
        <f t="shared" si="693"/>
        <v>0</v>
      </c>
      <c r="AO488" s="16">
        <f t="shared" si="693"/>
        <v>0</v>
      </c>
      <c r="AP488" s="10"/>
      <c r="AQ488" s="10"/>
      <c r="AR488" s="10"/>
      <c r="AS488" s="10" t="str">
        <f t="shared" ref="AS488" ca="1" si="709">IFERROR(__xludf.DUMMYFUNCTION("split(F479,"","",true,true)"),"Seedstars")</f>
        <v>Seedstars</v>
      </c>
      <c r="AT488" s="10"/>
      <c r="AU488" s="10"/>
      <c r="AV488" s="10"/>
      <c r="AW488" s="10"/>
      <c r="AX488" s="10"/>
      <c r="AY488" s="10"/>
      <c r="AZ488" s="10"/>
      <c r="BA488" s="10"/>
      <c r="BB488" s="10"/>
      <c r="BC488" s="10"/>
      <c r="BD488" s="10"/>
      <c r="BE488" s="10"/>
      <c r="BF488" s="10"/>
      <c r="BG488" s="10"/>
      <c r="BH488" s="10"/>
      <c r="BI488" s="10"/>
      <c r="BJ488" s="10"/>
      <c r="BK488" s="10"/>
      <c r="BM488" s="10"/>
    </row>
    <row r="489" spans="1:65" ht="12.75">
      <c r="A489" s="18">
        <v>43209</v>
      </c>
      <c r="B489" s="14" t="s">
        <v>318</v>
      </c>
      <c r="C489" s="19">
        <v>3500000</v>
      </c>
      <c r="D489" s="19"/>
      <c r="E489" s="14" t="s">
        <v>69</v>
      </c>
      <c r="F489" s="14" t="s">
        <v>1120</v>
      </c>
      <c r="G489" s="27" t="s">
        <v>1121</v>
      </c>
      <c r="H489" s="14" t="str">
        <f t="array" ref="H489">IFERROR(INDEX([1]Companies!$G:$G,MATCH(B489,[1]Companies!$A:$A,0)),"")</f>
        <v>Kenya</v>
      </c>
      <c r="I489" s="14" t="str">
        <f t="shared" si="694"/>
        <v>Kenya</v>
      </c>
      <c r="J489" s="14" t="str">
        <f t="array" ref="J489">IFERROR(INDEX([1]Companies!$Y:$Y,MATCH(B489,[1]Companies!$A:$A,0)),"")</f>
        <v>Data, Insights, Mobile surveys, Mobile rewards, Voice of the Customer, NPS, Feedback Loop, Surveys, Health and Academic Research, Customer Feedback, Customer Loyalty, Net Promoter Score, NPS, Customer Acquisition, Customer Retention</v>
      </c>
      <c r="K489" s="14" t="str">
        <f t="array" ref="K489">IFERROR(INDEX([1]Companies!$X:$X,MATCH(B489,[1]Companies!$A:$A,0)),"")</f>
        <v>Information Technology</v>
      </c>
      <c r="L489" s="14" t="str">
        <f>VLOOKUP(B489,[1]Companies!$A$1:$C$5243,1,FALSE)</f>
        <v>AJUA</v>
      </c>
      <c r="M489" s="15">
        <f t="shared" si="695"/>
        <v>0.9</v>
      </c>
      <c r="N489" s="10" t="str">
        <f t="shared" si="696"/>
        <v>43209AJUA3500000</v>
      </c>
      <c r="O489" s="14" t="str">
        <f t="shared" si="697"/>
        <v/>
      </c>
      <c r="P489" s="14">
        <f t="shared" si="698"/>
        <v>1</v>
      </c>
      <c r="Q489" s="14">
        <f t="array" ref="Q489">IFERROR(INDEX([1]Companies!$D:$D,MATCH(B489,[1]Companies!$A:$A,0)),"")</f>
        <v>2012</v>
      </c>
      <c r="R489" s="17">
        <f t="shared" si="699"/>
        <v>3500000</v>
      </c>
      <c r="S489" s="14">
        <f>VLOOKUP(I489,[1]Lookups!$V$3:$Y$197,4,FALSE)</f>
        <v>0</v>
      </c>
      <c r="T489" s="14" t="str">
        <f>VLOOKUP(E489,[1]Lookups!$H$3:$I$71,2,FALSE)</f>
        <v>3. Early Venture</v>
      </c>
      <c r="U489" s="14" t="str">
        <f>VLOOKUP(K489,[1]Lookups!$B$3:$C$142,2,FALSE)</f>
        <v>Other Technologies &amp; Information Technology</v>
      </c>
      <c r="V489" s="14">
        <f t="shared" si="396"/>
        <v>2018</v>
      </c>
      <c r="W489" s="14">
        <f t="shared" si="397"/>
        <v>4</v>
      </c>
      <c r="X489" s="14">
        <f>VLOOKUP(W489,[1]Lookups!$P$3:$S$15,2,FALSE)</f>
        <v>2</v>
      </c>
      <c r="Y489" s="16">
        <f>VLOOKUP(W489,[1]Lookups!$P$3:$U$15,3,FALSE)</f>
        <v>1</v>
      </c>
      <c r="Z489" s="16">
        <f t="shared" si="398"/>
        <v>7</v>
      </c>
      <c r="AA489" s="16" t="str">
        <f t="shared" ca="1" si="693"/>
        <v>Seedstars</v>
      </c>
      <c r="AB489" s="16" t="str">
        <f t="shared" ca="1" si="693"/>
        <v xml:space="preserve"> Cross Culture Ventures</v>
      </c>
      <c r="AC489" s="16" t="str">
        <f t="shared" ca="1" si="693"/>
        <v xml:space="preserve"> Alpha Angels</v>
      </c>
      <c r="AD489" s="16" t="str">
        <f t="shared" ca="1" si="693"/>
        <v xml:space="preserve"> Social Capital</v>
      </c>
      <c r="AE489" s="16" t="str">
        <f t="shared" ca="1" si="693"/>
        <v xml:space="preserve"> Safaricom</v>
      </c>
      <c r="AF489" s="16" t="str">
        <f t="shared" ca="1" si="693"/>
        <v xml:space="preserve"> Kapor Capital</v>
      </c>
      <c r="AG489" s="16" t="str">
        <f t="shared" ca="1" si="693"/>
        <v xml:space="preserve"> Golden Palm Investments</v>
      </c>
      <c r="AH489" s="16">
        <f t="shared" si="693"/>
        <v>0</v>
      </c>
      <c r="AI489" s="16">
        <f t="shared" si="693"/>
        <v>0</v>
      </c>
      <c r="AJ489" s="16">
        <f t="shared" si="693"/>
        <v>0</v>
      </c>
      <c r="AK489" s="16">
        <f t="shared" si="693"/>
        <v>0</v>
      </c>
      <c r="AL489" s="16">
        <f t="shared" si="693"/>
        <v>0</v>
      </c>
      <c r="AM489" s="16">
        <f t="shared" si="693"/>
        <v>0</v>
      </c>
      <c r="AN489" s="16">
        <f t="shared" si="693"/>
        <v>0</v>
      </c>
      <c r="AO489" s="16">
        <f t="shared" si="693"/>
        <v>0</v>
      </c>
      <c r="AP489" s="10"/>
      <c r="AQ489" s="10"/>
      <c r="AR489" s="10"/>
      <c r="AS489" s="10" t="str">
        <f t="shared" ref="AS489" ca="1" si="710">IFERROR(__xludf.DUMMYFUNCTION("split(F479,"","",true,true)"),"Seedstars")</f>
        <v>Seedstars</v>
      </c>
      <c r="AT489" s="10" t="str">
        <f ca="1">IFERROR(__xludf.DUMMYFUNCTION("""COMPUTED_VALUE""")," Cross Culture Ventures")</f>
        <v xml:space="preserve"> Cross Culture Ventures</v>
      </c>
      <c r="AU489" s="10" t="str">
        <f ca="1">IFERROR(__xludf.DUMMYFUNCTION("""COMPUTED_VALUE""")," Alpha Angels")</f>
        <v xml:space="preserve"> Alpha Angels</v>
      </c>
      <c r="AV489" s="10" t="str">
        <f ca="1">IFERROR(__xludf.DUMMYFUNCTION("""COMPUTED_VALUE""")," Social Capital")</f>
        <v xml:space="preserve"> Social Capital</v>
      </c>
      <c r="AW489" s="10" t="str">
        <f ca="1">IFERROR(__xludf.DUMMYFUNCTION("""COMPUTED_VALUE""")," Safaricom")</f>
        <v xml:space="preserve"> Safaricom</v>
      </c>
      <c r="AX489" s="10" t="str">
        <f ca="1">IFERROR(__xludf.DUMMYFUNCTION("""COMPUTED_VALUE""")," Kapor Capital")</f>
        <v xml:space="preserve"> Kapor Capital</v>
      </c>
      <c r="AY489" s="10" t="str">
        <f ca="1">IFERROR(__xludf.DUMMYFUNCTION("""COMPUTED_VALUE""")," Golden Palm Investments")</f>
        <v xml:space="preserve"> Golden Palm Investments</v>
      </c>
      <c r="AZ489" s="10"/>
      <c r="BA489" s="10"/>
      <c r="BB489" s="10"/>
      <c r="BC489" s="10"/>
      <c r="BD489" s="10"/>
      <c r="BE489" s="10"/>
      <c r="BF489" s="10"/>
      <c r="BG489" s="10"/>
      <c r="BH489" s="10"/>
      <c r="BI489" s="10"/>
      <c r="BJ489" s="10"/>
      <c r="BK489" s="10"/>
      <c r="BM489" s="10"/>
    </row>
    <row r="490" spans="1:65" ht="12.75">
      <c r="A490" s="9">
        <v>43209</v>
      </c>
      <c r="B490" s="10" t="s">
        <v>468</v>
      </c>
      <c r="C490" s="11">
        <v>350000</v>
      </c>
      <c r="D490" s="12"/>
      <c r="E490" s="10" t="s">
        <v>45</v>
      </c>
      <c r="F490" s="10" t="s">
        <v>1122</v>
      </c>
      <c r="G490" s="13" t="s">
        <v>1123</v>
      </c>
      <c r="H490" s="14" t="str">
        <f t="array" ref="H490">IFERROR(INDEX([1]Companies!$G:$G,MATCH(B490,[1]Companies!$A:$A,0)),"")</f>
        <v>Egypt</v>
      </c>
      <c r="I490" s="14" t="str">
        <f t="shared" si="694"/>
        <v>Egypt</v>
      </c>
      <c r="J490" s="14" t="str">
        <f t="array" ref="J490">IFERROR(INDEX([1]Companies!$Y:$Y,MATCH(B490,[1]Companies!$A:$A,0)),"")</f>
        <v>Health Care, Medical, mHealth</v>
      </c>
      <c r="K490" s="14" t="str">
        <f t="array" ref="K490">IFERROR(INDEX([1]Companies!$X:$X,MATCH(B490,[1]Companies!$A:$A,0)),"")</f>
        <v>Healthcare &amp; Pharma</v>
      </c>
      <c r="L490" s="14" t="str">
        <f>VLOOKUP(B490,[1]Companies!$A$1:$C$5243,1,FALSE)</f>
        <v>Shezlong</v>
      </c>
      <c r="M490" s="15">
        <f t="shared" si="695"/>
        <v>0.9</v>
      </c>
      <c r="N490" s="10" t="str">
        <f t="shared" si="696"/>
        <v>43209Shezlong350000</v>
      </c>
      <c r="O490" s="14" t="str">
        <f t="shared" si="697"/>
        <v>Duplicated</v>
      </c>
      <c r="P490" s="14">
        <f t="shared" si="698"/>
        <v>1</v>
      </c>
      <c r="Q490" s="14">
        <f t="array" ref="Q490">IFERROR(INDEX([1]Companies!$D:$D,MATCH(B490,[1]Companies!$A:$A,0)),"")</f>
        <v>2015</v>
      </c>
      <c r="R490" s="17">
        <f t="shared" si="699"/>
        <v>950000</v>
      </c>
      <c r="S490" s="14">
        <f>VLOOKUP(I490,[1]Lookups!$V$3:$Y$197,4,FALSE)</f>
        <v>0</v>
      </c>
      <c r="T490" s="14" t="str">
        <f>VLOOKUP(E490,[1]Lookups!$H$3:$I$71,2,FALSE)</f>
        <v>2. Seed</v>
      </c>
      <c r="U490" s="14" t="str">
        <f>VLOOKUP(K490,[1]Lookups!$B$3:$C$142,2,FALSE)</f>
        <v>Health &amp; Pharmaceuticals</v>
      </c>
      <c r="V490" s="14">
        <f t="shared" si="396"/>
        <v>2018</v>
      </c>
      <c r="W490" s="14">
        <f t="shared" si="397"/>
        <v>4</v>
      </c>
      <c r="X490" s="14">
        <f>VLOOKUP(W490,[1]Lookups!$P$3:$S$15,2,FALSE)</f>
        <v>2</v>
      </c>
      <c r="Y490" s="16">
        <f>VLOOKUP(W490,[1]Lookups!$P$3:$U$15,3,FALSE)</f>
        <v>1</v>
      </c>
      <c r="Z490" s="16">
        <f t="shared" si="398"/>
        <v>3</v>
      </c>
      <c r="AA490" s="16" t="str">
        <f t="shared" ca="1" si="693"/>
        <v>Seedstars</v>
      </c>
      <c r="AB490" s="16" t="str">
        <f t="shared" ca="1" si="693"/>
        <v xml:space="preserve"> Endure Capital</v>
      </c>
      <c r="AC490" s="16" t="str">
        <f t="shared" ca="1" si="693"/>
        <v xml:space="preserve"> HIMangel</v>
      </c>
      <c r="AD490" s="16">
        <f t="shared" si="693"/>
        <v>0</v>
      </c>
      <c r="AE490" s="16">
        <f t="shared" si="693"/>
        <v>0</v>
      </c>
      <c r="AF490" s="16">
        <f t="shared" si="693"/>
        <v>0</v>
      </c>
      <c r="AG490" s="16">
        <f t="shared" si="693"/>
        <v>0</v>
      </c>
      <c r="AH490" s="16">
        <f t="shared" si="693"/>
        <v>0</v>
      </c>
      <c r="AI490" s="16">
        <f t="shared" si="693"/>
        <v>0</v>
      </c>
      <c r="AJ490" s="16">
        <f t="shared" si="693"/>
        <v>0</v>
      </c>
      <c r="AK490" s="16">
        <f t="shared" si="693"/>
        <v>0</v>
      </c>
      <c r="AL490" s="16">
        <f t="shared" si="693"/>
        <v>0</v>
      </c>
      <c r="AM490" s="16">
        <f t="shared" si="693"/>
        <v>0</v>
      </c>
      <c r="AN490" s="16">
        <f t="shared" si="693"/>
        <v>0</v>
      </c>
      <c r="AO490" s="16">
        <f t="shared" si="693"/>
        <v>0</v>
      </c>
      <c r="AP490" s="10"/>
      <c r="AQ490" s="10"/>
      <c r="AR490" s="10"/>
      <c r="AS490" s="10" t="str">
        <f t="shared" ref="AS490" ca="1" si="711">IFERROR(__xludf.DUMMYFUNCTION("split(F479,"","",true,true)"),"Seedstars")</f>
        <v>Seedstars</v>
      </c>
      <c r="AT490" s="10" t="str">
        <f ca="1">IFERROR(__xludf.DUMMYFUNCTION("""COMPUTED_VALUE""")," Endure Capital")</f>
        <v xml:space="preserve"> Endure Capital</v>
      </c>
      <c r="AU490" s="10" t="str">
        <f ca="1">IFERROR(__xludf.DUMMYFUNCTION("""COMPUTED_VALUE""")," HIMangel")</f>
        <v xml:space="preserve"> HIMangel</v>
      </c>
      <c r="AV490" s="10"/>
      <c r="AW490" s="10"/>
      <c r="AX490" s="10"/>
      <c r="AY490" s="10"/>
      <c r="AZ490" s="10"/>
      <c r="BA490" s="10"/>
      <c r="BB490" s="10"/>
      <c r="BC490" s="10"/>
      <c r="BD490" s="10"/>
      <c r="BE490" s="10"/>
      <c r="BF490" s="10"/>
      <c r="BG490" s="10"/>
      <c r="BH490" s="10"/>
      <c r="BI490" s="10"/>
      <c r="BJ490" s="10"/>
      <c r="BK490" s="10"/>
      <c r="BM490" s="10"/>
    </row>
    <row r="491" spans="1:65" ht="12.75">
      <c r="A491" s="18">
        <v>43209</v>
      </c>
      <c r="B491" s="14" t="s">
        <v>468</v>
      </c>
      <c r="C491" s="19">
        <v>350000</v>
      </c>
      <c r="D491" s="19"/>
      <c r="E491" s="14" t="s">
        <v>45</v>
      </c>
      <c r="F491" s="14" t="s">
        <v>1122</v>
      </c>
      <c r="G491" s="27" t="s">
        <v>1123</v>
      </c>
      <c r="H491" s="14" t="str">
        <f t="array" ref="H491">IFERROR(INDEX([1]Companies!$G:$G,MATCH(B491,[1]Companies!$A:$A,0)),"")</f>
        <v>Egypt</v>
      </c>
      <c r="I491" s="14" t="str">
        <f t="shared" si="694"/>
        <v>Egypt</v>
      </c>
      <c r="J491" s="14" t="str">
        <f t="array" ref="J491">IFERROR(INDEX([1]Companies!$Y:$Y,MATCH(B491,[1]Companies!$A:$A,0)),"")</f>
        <v>Health Care, Medical, mHealth</v>
      </c>
      <c r="K491" s="14" t="str">
        <f t="array" ref="K491">IFERROR(INDEX([1]Companies!$X:$X,MATCH(B491,[1]Companies!$A:$A,0)),"")</f>
        <v>Healthcare &amp; Pharma</v>
      </c>
      <c r="L491" s="14" t="str">
        <f>VLOOKUP(B491,[1]Companies!$A$1:$C$5243,1,FALSE)</f>
        <v>Shezlong</v>
      </c>
      <c r="M491" s="15">
        <f t="shared" si="695"/>
        <v>0.9</v>
      </c>
      <c r="N491" s="10" t="str">
        <f t="shared" si="696"/>
        <v>43209Shezlong350000</v>
      </c>
      <c r="O491" s="14" t="str">
        <f t="shared" si="697"/>
        <v>Duplicated</v>
      </c>
      <c r="P491" s="14">
        <f t="shared" si="698"/>
        <v>1</v>
      </c>
      <c r="Q491" s="14">
        <f t="array" ref="Q491">IFERROR(INDEX([1]Companies!$D:$D,MATCH(B491,[1]Companies!$A:$A,0)),"")</f>
        <v>2015</v>
      </c>
      <c r="R491" s="17">
        <f t="shared" si="699"/>
        <v>950000</v>
      </c>
      <c r="S491" s="14">
        <f>VLOOKUP(I491,[1]Lookups!$V$3:$Y$197,4,FALSE)</f>
        <v>0</v>
      </c>
      <c r="T491" s="14" t="str">
        <f>VLOOKUP(E491,[1]Lookups!$H$3:$I$71,2,FALSE)</f>
        <v>2. Seed</v>
      </c>
      <c r="U491" s="14" t="str">
        <f>VLOOKUP(K491,[1]Lookups!$B$3:$C$142,2,FALSE)</f>
        <v>Health &amp; Pharmaceuticals</v>
      </c>
      <c r="V491" s="14">
        <f t="shared" si="396"/>
        <v>2018</v>
      </c>
      <c r="W491" s="14">
        <f t="shared" si="397"/>
        <v>4</v>
      </c>
      <c r="X491" s="14">
        <f>VLOOKUP(W491,[1]Lookups!$P$3:$S$15,2,FALSE)</f>
        <v>2</v>
      </c>
      <c r="Y491" s="16">
        <f>VLOOKUP(W491,[1]Lookups!$P$3:$U$15,3,FALSE)</f>
        <v>1</v>
      </c>
      <c r="Z491" s="16">
        <f t="shared" si="398"/>
        <v>3</v>
      </c>
      <c r="AA491" s="16" t="str">
        <f t="shared" ca="1" si="693"/>
        <v>Seedstars</v>
      </c>
      <c r="AB491" s="16" t="str">
        <f t="shared" ca="1" si="693"/>
        <v xml:space="preserve"> Endure Capital</v>
      </c>
      <c r="AC491" s="16" t="str">
        <f t="shared" ca="1" si="693"/>
        <v xml:space="preserve"> HIMangel</v>
      </c>
      <c r="AD491" s="16">
        <f t="shared" si="693"/>
        <v>0</v>
      </c>
      <c r="AE491" s="16">
        <f t="shared" si="693"/>
        <v>0</v>
      </c>
      <c r="AF491" s="16">
        <f t="shared" si="693"/>
        <v>0</v>
      </c>
      <c r="AG491" s="16">
        <f t="shared" si="693"/>
        <v>0</v>
      </c>
      <c r="AH491" s="16">
        <f t="shared" si="693"/>
        <v>0</v>
      </c>
      <c r="AI491" s="16">
        <f t="shared" si="693"/>
        <v>0</v>
      </c>
      <c r="AJ491" s="16">
        <f t="shared" si="693"/>
        <v>0</v>
      </c>
      <c r="AK491" s="16">
        <f t="shared" si="693"/>
        <v>0</v>
      </c>
      <c r="AL491" s="16">
        <f t="shared" si="693"/>
        <v>0</v>
      </c>
      <c r="AM491" s="16">
        <f t="shared" si="693"/>
        <v>0</v>
      </c>
      <c r="AN491" s="16">
        <f t="shared" si="693"/>
        <v>0</v>
      </c>
      <c r="AO491" s="16">
        <f t="shared" si="693"/>
        <v>0</v>
      </c>
      <c r="AP491" s="10"/>
      <c r="AQ491" s="10"/>
      <c r="AR491" s="10"/>
      <c r="AS491" s="10" t="str">
        <f t="shared" ref="AS491" ca="1" si="712">IFERROR(__xludf.DUMMYFUNCTION("split(F479,"","",true,true)"),"Seedstars")</f>
        <v>Seedstars</v>
      </c>
      <c r="AT491" s="10" t="str">
        <f ca="1">IFERROR(__xludf.DUMMYFUNCTION("""COMPUTED_VALUE""")," Endure Capital")</f>
        <v xml:space="preserve"> Endure Capital</v>
      </c>
      <c r="AU491" s="10" t="str">
        <f ca="1">IFERROR(__xludf.DUMMYFUNCTION("""COMPUTED_VALUE""")," HIMangel")</f>
        <v xml:space="preserve"> HIMangel</v>
      </c>
      <c r="AV491" s="10"/>
      <c r="AW491" s="10"/>
      <c r="AX491" s="10"/>
      <c r="AY491" s="10"/>
      <c r="AZ491" s="10"/>
      <c r="BA491" s="10"/>
      <c r="BB491" s="10"/>
      <c r="BC491" s="10"/>
      <c r="BD491" s="10"/>
      <c r="BE491" s="10"/>
      <c r="BF491" s="10"/>
      <c r="BG491" s="10"/>
      <c r="BH491" s="10"/>
      <c r="BI491" s="10"/>
      <c r="BJ491" s="10"/>
      <c r="BK491" s="10"/>
      <c r="BM491" s="10"/>
    </row>
    <row r="492" spans="1:65" ht="12.75">
      <c r="A492" s="18">
        <v>43212</v>
      </c>
      <c r="B492" s="21" t="s">
        <v>1124</v>
      </c>
      <c r="C492" s="19">
        <v>217000</v>
      </c>
      <c r="D492" s="19"/>
      <c r="E492" s="14" t="s">
        <v>45</v>
      </c>
      <c r="F492" s="14" t="s">
        <v>49</v>
      </c>
      <c r="G492" s="27" t="s">
        <v>1125</v>
      </c>
      <c r="H492" s="14" t="str">
        <f t="array" ref="H492">IFERROR(INDEX([1]Companies!$G:$G,MATCH(B492,[1]Companies!$A:$A,0)),"")</f>
        <v>Morocco</v>
      </c>
      <c r="I492" s="14" t="str">
        <f t="shared" si="694"/>
        <v>Morocco</v>
      </c>
      <c r="J492" s="14" t="str">
        <f t="array" ref="J492">IFERROR(INDEX([1]Companies!$Y:$Y,MATCH(B492,[1]Companies!$A:$A,0)),"")</f>
        <v>Public Transportation, Software, Ticketing, Transportation, Travel</v>
      </c>
      <c r="K492" s="14" t="str">
        <f t="array" ref="K492">IFERROR(INDEX([1]Companies!$X:$X,MATCH(B492,[1]Companies!$A:$A,0)),"")</f>
        <v>Transport &amp; Logistics</v>
      </c>
      <c r="L492" s="21" t="str">
        <f>VLOOKUP(B492,[1]Companies!$A$1:$C$5243,1,FALSE)</f>
        <v>Lagare.ma</v>
      </c>
      <c r="M492" s="15">
        <f t="shared" si="695"/>
        <v>0.9</v>
      </c>
      <c r="N492" s="10" t="str">
        <f t="shared" si="696"/>
        <v>43212Lagare.ma217000</v>
      </c>
      <c r="O492" s="14" t="str">
        <f t="shared" si="697"/>
        <v/>
      </c>
      <c r="P492" s="14">
        <f t="shared" si="698"/>
        <v>1</v>
      </c>
      <c r="Q492" s="14">
        <f t="array" ref="Q492">IFERROR(INDEX([1]Companies!$D:$D,MATCH(B492,[1]Companies!$A:$A,0)),"")</f>
        <v>2014</v>
      </c>
      <c r="R492" s="17">
        <f t="shared" si="699"/>
        <v>217000</v>
      </c>
      <c r="S492" s="14">
        <f>VLOOKUP(I492,[1]Lookups!$V$3:$Y$197,4,FALSE)</f>
        <v>0</v>
      </c>
      <c r="T492" s="14" t="str">
        <f>VLOOKUP(E492,[1]Lookups!$H$3:$I$71,2,FALSE)</f>
        <v>2. Seed</v>
      </c>
      <c r="U492" s="14" t="str">
        <f>VLOOKUP(K492,[1]Lookups!$B$3:$C$142,2,FALSE)</f>
        <v>Transport &amp; Logistics</v>
      </c>
      <c r="V492" s="14">
        <f t="shared" si="396"/>
        <v>2018</v>
      </c>
      <c r="W492" s="14">
        <f t="shared" si="397"/>
        <v>4</v>
      </c>
      <c r="X492" s="14">
        <f>VLOOKUP(W492,[1]Lookups!$P$3:$S$15,2,FALSE)</f>
        <v>2</v>
      </c>
      <c r="Y492" s="16">
        <f>VLOOKUP(W492,[1]Lookups!$P$3:$U$15,3,FALSE)</f>
        <v>1</v>
      </c>
      <c r="Z492" s="16">
        <f t="shared" si="398"/>
        <v>1</v>
      </c>
      <c r="AA492" s="16" t="str">
        <f t="shared" ca="1" si="693"/>
        <v>Seedstars</v>
      </c>
      <c r="AB492" s="16">
        <f t="shared" si="693"/>
        <v>0</v>
      </c>
      <c r="AC492" s="16">
        <f t="shared" si="693"/>
        <v>0</v>
      </c>
      <c r="AD492" s="16">
        <f t="shared" si="693"/>
        <v>0</v>
      </c>
      <c r="AE492" s="16">
        <f t="shared" si="693"/>
        <v>0</v>
      </c>
      <c r="AF492" s="16">
        <f t="shared" si="693"/>
        <v>0</v>
      </c>
      <c r="AG492" s="16">
        <f t="shared" si="693"/>
        <v>0</v>
      </c>
      <c r="AH492" s="16">
        <f t="shared" si="693"/>
        <v>0</v>
      </c>
      <c r="AI492" s="16">
        <f t="shared" si="693"/>
        <v>0</v>
      </c>
      <c r="AJ492" s="16">
        <f t="shared" si="693"/>
        <v>0</v>
      </c>
      <c r="AK492" s="16">
        <f t="shared" si="693"/>
        <v>0</v>
      </c>
      <c r="AL492" s="16">
        <f t="shared" si="693"/>
        <v>0</v>
      </c>
      <c r="AM492" s="16">
        <f t="shared" si="693"/>
        <v>0</v>
      </c>
      <c r="AN492" s="16">
        <f t="shared" si="693"/>
        <v>0</v>
      </c>
      <c r="AO492" s="16">
        <f t="shared" si="693"/>
        <v>0</v>
      </c>
      <c r="AP492" s="10"/>
      <c r="AQ492" s="10"/>
      <c r="AR492" s="10"/>
      <c r="AS492" s="10" t="str">
        <f t="shared" ref="AS492" ca="1" si="713">IFERROR(__xludf.DUMMYFUNCTION("split(F479,"","",true,true)"),"Seedstars")</f>
        <v>Seedstars</v>
      </c>
      <c r="AT492" s="10"/>
      <c r="AU492" s="10"/>
      <c r="AV492" s="10"/>
      <c r="AW492" s="10"/>
      <c r="AX492" s="10"/>
      <c r="AY492" s="10"/>
      <c r="AZ492" s="10"/>
      <c r="BA492" s="10"/>
      <c r="BB492" s="10"/>
      <c r="BC492" s="10"/>
      <c r="BD492" s="10"/>
      <c r="BE492" s="10"/>
      <c r="BF492" s="10"/>
      <c r="BG492" s="10"/>
      <c r="BH492" s="10"/>
      <c r="BI492" s="10"/>
      <c r="BJ492" s="10"/>
      <c r="BK492" s="10"/>
      <c r="BM492" s="10"/>
    </row>
    <row r="493" spans="1:65" ht="12.75">
      <c r="A493" s="18">
        <v>43213</v>
      </c>
      <c r="B493" s="14" t="s">
        <v>716</v>
      </c>
      <c r="C493" s="19">
        <v>8000000</v>
      </c>
      <c r="D493" s="19"/>
      <c r="E493" s="14" t="s">
        <v>69</v>
      </c>
      <c r="F493" s="14" t="s">
        <v>1126</v>
      </c>
      <c r="G493" s="27" t="s">
        <v>1127</v>
      </c>
      <c r="H493" s="14" t="str">
        <f t="array" ref="H493">IFERROR(INDEX([1]Companies!$G:$G,MATCH(B493,[1]Companies!$A:$A,0)),"")</f>
        <v>Egypt</v>
      </c>
      <c r="I493" s="14" t="str">
        <f t="shared" si="694"/>
        <v>Egypt</v>
      </c>
      <c r="J493" s="14" t="str">
        <f t="array" ref="J493">IFERROR(INDEX([1]Companies!$Y:$Y,MATCH(B493,[1]Companies!$A:$A,0)),"")</f>
        <v>Internet, Mobile Apps, Transportation, Travel, Ride hailing</v>
      </c>
      <c r="K493" s="14" t="str">
        <f t="array" ref="K493">IFERROR(INDEX([1]Companies!$X:$X,MATCH(B493,[1]Companies!$A:$A,0)),"")</f>
        <v>Transport &amp; Logistics</v>
      </c>
      <c r="L493" s="14" t="str">
        <f>VLOOKUP(B493,[1]Companies!$A$1:$C$5243,1,FALSE)</f>
        <v>Swvl</v>
      </c>
      <c r="M493" s="15">
        <f t="shared" si="695"/>
        <v>0.9</v>
      </c>
      <c r="N493" s="10" t="str">
        <f t="shared" si="696"/>
        <v>43213SWVL8000000</v>
      </c>
      <c r="O493" s="14" t="str">
        <f t="shared" si="697"/>
        <v/>
      </c>
      <c r="P493" s="14">
        <f t="shared" si="698"/>
        <v>1</v>
      </c>
      <c r="Q493" s="14">
        <f t="array" ref="Q493">IFERROR(INDEX([1]Companies!$D:$D,MATCH(B493,[1]Companies!$A:$A,0)),"")</f>
        <v>2017</v>
      </c>
      <c r="R493" s="17">
        <f t="shared" si="699"/>
        <v>80500000</v>
      </c>
      <c r="S493" s="14">
        <f>VLOOKUP(I493,[1]Lookups!$V$3:$Y$197,4,FALSE)</f>
        <v>0</v>
      </c>
      <c r="T493" s="14" t="str">
        <f>VLOOKUP(E493,[1]Lookups!$H$3:$I$71,2,FALSE)</f>
        <v>3. Early Venture</v>
      </c>
      <c r="U493" s="14" t="str">
        <f>VLOOKUP(K493,[1]Lookups!$B$3:$C$142,2,FALSE)</f>
        <v>Transport &amp; Logistics</v>
      </c>
      <c r="V493" s="14">
        <f t="shared" si="396"/>
        <v>2018</v>
      </c>
      <c r="W493" s="14">
        <f t="shared" si="397"/>
        <v>4</v>
      </c>
      <c r="X493" s="14">
        <f>VLOOKUP(W493,[1]Lookups!$P$3:$S$15,2,FALSE)</f>
        <v>2</v>
      </c>
      <c r="Y493" s="16">
        <f>VLOOKUP(W493,[1]Lookups!$P$3:$U$15,3,FALSE)</f>
        <v>1</v>
      </c>
      <c r="Z493" s="16">
        <f t="shared" si="398"/>
        <v>4</v>
      </c>
      <c r="AA493" s="16" t="str">
        <f t="shared" ref="AA493:AO508" ca="1" si="714">AS493</f>
        <v>Seedstars</v>
      </c>
      <c r="AB493" s="16" t="str">
        <f t="shared" ca="1" si="714"/>
        <v xml:space="preserve"> DiGame</v>
      </c>
      <c r="AC493" s="16" t="str">
        <f t="shared" ca="1" si="714"/>
        <v xml:space="preserve"> Silicon Badia</v>
      </c>
      <c r="AD493" s="16" t="str">
        <f t="shared" ca="1" si="714"/>
        <v xml:space="preserve"> Careem</v>
      </c>
      <c r="AE493" s="16">
        <f t="shared" si="714"/>
        <v>0</v>
      </c>
      <c r="AF493" s="16">
        <f t="shared" si="714"/>
        <v>0</v>
      </c>
      <c r="AG493" s="16">
        <f t="shared" si="714"/>
        <v>0</v>
      </c>
      <c r="AH493" s="16">
        <f t="shared" si="714"/>
        <v>0</v>
      </c>
      <c r="AI493" s="16">
        <f t="shared" si="714"/>
        <v>0</v>
      </c>
      <c r="AJ493" s="16">
        <f t="shared" si="714"/>
        <v>0</v>
      </c>
      <c r="AK493" s="16">
        <f t="shared" si="714"/>
        <v>0</v>
      </c>
      <c r="AL493" s="16">
        <f t="shared" si="714"/>
        <v>0</v>
      </c>
      <c r="AM493" s="16">
        <f t="shared" si="714"/>
        <v>0</v>
      </c>
      <c r="AN493" s="16">
        <f t="shared" si="714"/>
        <v>0</v>
      </c>
      <c r="AO493" s="16">
        <f t="shared" si="714"/>
        <v>0</v>
      </c>
      <c r="AP493" s="10"/>
      <c r="AQ493" s="10"/>
      <c r="AR493" s="10"/>
      <c r="AS493" s="10" t="str">
        <f t="shared" ref="AS493" ca="1" si="715">IFERROR(__xludf.DUMMYFUNCTION("split(F479,"","",true,true)"),"Seedstars")</f>
        <v>Seedstars</v>
      </c>
      <c r="AT493" s="10" t="str">
        <f ca="1">IFERROR(__xludf.DUMMYFUNCTION("""COMPUTED_VALUE""")," DiGame")</f>
        <v xml:space="preserve"> DiGame</v>
      </c>
      <c r="AU493" s="10" t="str">
        <f ca="1">IFERROR(__xludf.DUMMYFUNCTION("""COMPUTED_VALUE""")," Silicon Badia")</f>
        <v xml:space="preserve"> Silicon Badia</v>
      </c>
      <c r="AV493" s="10" t="str">
        <f ca="1">IFERROR(__xludf.DUMMYFUNCTION("""COMPUTED_VALUE""")," Careem")</f>
        <v xml:space="preserve"> Careem</v>
      </c>
      <c r="AW493" s="10"/>
      <c r="AX493" s="10"/>
      <c r="AY493" s="10"/>
      <c r="AZ493" s="10"/>
      <c r="BA493" s="10"/>
      <c r="BB493" s="10"/>
      <c r="BC493" s="10"/>
      <c r="BD493" s="10"/>
      <c r="BE493" s="10"/>
      <c r="BF493" s="10"/>
      <c r="BG493" s="10"/>
      <c r="BH493" s="10"/>
      <c r="BI493" s="10"/>
      <c r="BJ493" s="10"/>
      <c r="BK493" s="10"/>
      <c r="BM493" s="10"/>
    </row>
    <row r="494" spans="1:65" ht="12.75">
      <c r="A494" s="18">
        <v>43213</v>
      </c>
      <c r="B494" s="14" t="s">
        <v>1128</v>
      </c>
      <c r="C494" s="19" t="s">
        <v>49</v>
      </c>
      <c r="D494" s="19"/>
      <c r="E494" s="14" t="s">
        <v>45</v>
      </c>
      <c r="F494" s="14" t="s">
        <v>1129</v>
      </c>
      <c r="G494" s="27" t="s">
        <v>1130</v>
      </c>
      <c r="H494" s="14" t="str">
        <f t="array" ref="H494">IFERROR(INDEX([1]Companies!$G:$G,MATCH(B494,[1]Companies!$A:$A,0)),"")</f>
        <v>Kenya</v>
      </c>
      <c r="I494" s="14" t="str">
        <f t="shared" si="694"/>
        <v>Kenya</v>
      </c>
      <c r="J494" s="14" t="str">
        <f t="array" ref="J494">IFERROR(INDEX([1]Companies!$Y:$Y,MATCH(B494,[1]Companies!$A:$A,0)),"")</f>
        <v>Artificial Intelligence, Blockchain, IaaS, Information Services, Information Technology, Machine Learning, Sharing Economy</v>
      </c>
      <c r="K494" s="14" t="str">
        <f t="array" ref="K494">IFERROR(INDEX([1]Companies!$X:$X,MATCH(B494,[1]Companies!$A:$A,0)),"")</f>
        <v>Emerging Technologies</v>
      </c>
      <c r="L494" s="14" t="str">
        <f>VLOOKUP(B494,[1]Companies!$A$1:$C$5243,1,FALSE)</f>
        <v>Utu Technologies</v>
      </c>
      <c r="M494" s="15">
        <f t="shared" si="695"/>
        <v>0.9</v>
      </c>
      <c r="N494" s="10" t="str">
        <f t="shared" si="696"/>
        <v>43213UTU technologiesUndisclosed</v>
      </c>
      <c r="O494" s="14" t="str">
        <f t="shared" si="697"/>
        <v/>
      </c>
      <c r="P494" s="14">
        <f t="shared" si="698"/>
        <v>0</v>
      </c>
      <c r="Q494" s="14">
        <f t="array" ref="Q494">IFERROR(INDEX([1]Companies!$D:$D,MATCH(B494,[1]Companies!$A:$A,0)),"")</f>
        <v>2017</v>
      </c>
      <c r="R494" s="17">
        <f t="shared" si="699"/>
        <v>250000</v>
      </c>
      <c r="S494" s="14">
        <f>VLOOKUP(I494,[1]Lookups!$V$3:$Y$197,4,FALSE)</f>
        <v>0</v>
      </c>
      <c r="T494" s="14" t="str">
        <f>VLOOKUP(E494,[1]Lookups!$H$3:$I$71,2,FALSE)</f>
        <v>2. Seed</v>
      </c>
      <c r="U494" s="14" t="str">
        <f>VLOOKUP(K494,[1]Lookups!$B$3:$C$142,2,FALSE)</f>
        <v>Emerging Technologies</v>
      </c>
      <c r="V494" s="14">
        <f t="shared" si="396"/>
        <v>2018</v>
      </c>
      <c r="W494" s="14">
        <f t="shared" si="397"/>
        <v>4</v>
      </c>
      <c r="X494" s="14">
        <f>VLOOKUP(W494,[1]Lookups!$P$3:$S$15,2,FALSE)</f>
        <v>2</v>
      </c>
      <c r="Y494" s="16">
        <f>VLOOKUP(W494,[1]Lookups!$P$3:$U$15,3,FALSE)</f>
        <v>1</v>
      </c>
      <c r="Z494" s="16">
        <f t="shared" si="398"/>
        <v>1</v>
      </c>
      <c r="AA494" s="16" t="str">
        <f t="shared" ca="1" si="714"/>
        <v>Seedstars</v>
      </c>
      <c r="AB494" s="16">
        <f t="shared" si="714"/>
        <v>0</v>
      </c>
      <c r="AC494" s="16">
        <f t="shared" si="714"/>
        <v>0</v>
      </c>
      <c r="AD494" s="16">
        <f t="shared" si="714"/>
        <v>0</v>
      </c>
      <c r="AE494" s="16">
        <f t="shared" si="714"/>
        <v>0</v>
      </c>
      <c r="AF494" s="16">
        <f t="shared" si="714"/>
        <v>0</v>
      </c>
      <c r="AG494" s="16">
        <f t="shared" si="714"/>
        <v>0</v>
      </c>
      <c r="AH494" s="16">
        <f t="shared" si="714"/>
        <v>0</v>
      </c>
      <c r="AI494" s="16">
        <f t="shared" si="714"/>
        <v>0</v>
      </c>
      <c r="AJ494" s="16">
        <f t="shared" si="714"/>
        <v>0</v>
      </c>
      <c r="AK494" s="16">
        <f t="shared" si="714"/>
        <v>0</v>
      </c>
      <c r="AL494" s="16">
        <f t="shared" si="714"/>
        <v>0</v>
      </c>
      <c r="AM494" s="16">
        <f t="shared" si="714"/>
        <v>0</v>
      </c>
      <c r="AN494" s="16">
        <f t="shared" si="714"/>
        <v>0</v>
      </c>
      <c r="AO494" s="16">
        <f t="shared" si="714"/>
        <v>0</v>
      </c>
      <c r="AP494" s="10"/>
      <c r="AQ494" s="10"/>
      <c r="AR494" s="10"/>
      <c r="AS494" s="10" t="str">
        <f t="shared" ref="AS494" ca="1" si="716">IFERROR(__xludf.DUMMYFUNCTION("split(F479,"","",true,true)"),"Seedstars")</f>
        <v>Seedstars</v>
      </c>
      <c r="AT494" s="10"/>
      <c r="AU494" s="10"/>
      <c r="AV494" s="10"/>
      <c r="AW494" s="10"/>
      <c r="AX494" s="10"/>
      <c r="AY494" s="10"/>
      <c r="AZ494" s="10"/>
      <c r="BA494" s="10"/>
      <c r="BB494" s="10"/>
      <c r="BC494" s="10"/>
      <c r="BD494" s="10"/>
      <c r="BE494" s="10"/>
      <c r="BF494" s="10"/>
      <c r="BG494" s="10"/>
      <c r="BH494" s="10"/>
      <c r="BI494" s="10"/>
      <c r="BJ494" s="10"/>
      <c r="BK494" s="10"/>
      <c r="BM494" s="10"/>
    </row>
    <row r="495" spans="1:65" ht="12.75">
      <c r="A495" s="18">
        <v>43213</v>
      </c>
      <c r="B495" s="14" t="s">
        <v>1131</v>
      </c>
      <c r="C495" s="19" t="s">
        <v>49</v>
      </c>
      <c r="D495" s="19"/>
      <c r="E495" s="14" t="s">
        <v>69</v>
      </c>
      <c r="F495" s="14" t="s">
        <v>1132</v>
      </c>
      <c r="G495" s="27" t="s">
        <v>1133</v>
      </c>
      <c r="H495" s="14" t="str">
        <f t="array" ref="H495">IFERROR(INDEX([1]Companies!$G:$G,MATCH(B495,[1]Companies!$A:$A,0)),"")</f>
        <v>South Africa</v>
      </c>
      <c r="I495" s="14" t="str">
        <f t="shared" si="694"/>
        <v>South Africa</v>
      </c>
      <c r="J495" s="14" t="str">
        <f t="array" ref="J495">IFERROR(INDEX([1]Companies!$Y:$Y,MATCH(B495,[1]Companies!$A:$A,0)),"")</f>
        <v>EdTech, Education</v>
      </c>
      <c r="K495" s="14" t="str">
        <f t="array" ref="K495">IFERROR(INDEX([1]Companies!$X:$X,MATCH(B495,[1]Companies!$A:$A,0)),"")</f>
        <v>Education</v>
      </c>
      <c r="L495" s="14" t="str">
        <f>VLOOKUP(B495,[1]Companies!$A$1:$C$5243,1,FALSE)</f>
        <v xml:space="preserve">Skillup Tutors </v>
      </c>
      <c r="M495" s="15">
        <f t="shared" si="695"/>
        <v>0.9</v>
      </c>
      <c r="N495" s="10" t="str">
        <f t="shared" si="696"/>
        <v>43213Skillup Tutors Undisclosed</v>
      </c>
      <c r="O495" s="14" t="str">
        <f t="shared" si="697"/>
        <v/>
      </c>
      <c r="P495" s="14">
        <f t="shared" si="698"/>
        <v>0</v>
      </c>
      <c r="Q495" s="14">
        <f t="array" ref="Q495">IFERROR(INDEX([1]Companies!$D:$D,MATCH(B495,[1]Companies!$A:$A,0)),"")</f>
        <v>2016</v>
      </c>
      <c r="R495" s="17">
        <f t="shared" si="699"/>
        <v>0</v>
      </c>
      <c r="S495" s="14">
        <f>VLOOKUP(I495,[1]Lookups!$V$3:$Y$197,4,FALSE)</f>
        <v>0</v>
      </c>
      <c r="T495" s="14" t="str">
        <f>VLOOKUP(E495,[1]Lookups!$H$3:$I$71,2,FALSE)</f>
        <v>3. Early Venture</v>
      </c>
      <c r="U495" s="14" t="str">
        <f>VLOOKUP(K495,[1]Lookups!$B$3:$C$142,2,FALSE)</f>
        <v>Education</v>
      </c>
      <c r="V495" s="14">
        <f t="shared" si="396"/>
        <v>2018</v>
      </c>
      <c r="W495" s="14">
        <f t="shared" si="397"/>
        <v>4</v>
      </c>
      <c r="X495" s="14">
        <f>VLOOKUP(W495,[1]Lookups!$P$3:$S$15,2,FALSE)</f>
        <v>2</v>
      </c>
      <c r="Y495" s="16">
        <f>VLOOKUP(W495,[1]Lookups!$P$3:$U$15,3,FALSE)</f>
        <v>1</v>
      </c>
      <c r="Z495" s="16">
        <f t="shared" si="398"/>
        <v>1</v>
      </c>
      <c r="AA495" s="16" t="str">
        <f t="shared" ca="1" si="714"/>
        <v>Seedstars</v>
      </c>
      <c r="AB495" s="16">
        <f t="shared" si="714"/>
        <v>0</v>
      </c>
      <c r="AC495" s="16">
        <f t="shared" si="714"/>
        <v>0</v>
      </c>
      <c r="AD495" s="16">
        <f t="shared" si="714"/>
        <v>0</v>
      </c>
      <c r="AE495" s="16">
        <f t="shared" si="714"/>
        <v>0</v>
      </c>
      <c r="AF495" s="16">
        <f t="shared" si="714"/>
        <v>0</v>
      </c>
      <c r="AG495" s="16">
        <f t="shared" si="714"/>
        <v>0</v>
      </c>
      <c r="AH495" s="16">
        <f t="shared" si="714"/>
        <v>0</v>
      </c>
      <c r="AI495" s="16">
        <f t="shared" si="714"/>
        <v>0</v>
      </c>
      <c r="AJ495" s="16">
        <f t="shared" si="714"/>
        <v>0</v>
      </c>
      <c r="AK495" s="16">
        <f t="shared" si="714"/>
        <v>0</v>
      </c>
      <c r="AL495" s="16">
        <f t="shared" si="714"/>
        <v>0</v>
      </c>
      <c r="AM495" s="16">
        <f t="shared" si="714"/>
        <v>0</v>
      </c>
      <c r="AN495" s="16">
        <f t="shared" si="714"/>
        <v>0</v>
      </c>
      <c r="AO495" s="16">
        <f t="shared" si="714"/>
        <v>0</v>
      </c>
      <c r="AP495" s="10"/>
      <c r="AQ495" s="10"/>
      <c r="AR495" s="10"/>
      <c r="AS495" s="10" t="str">
        <f t="shared" ref="AS495" ca="1" si="717">IFERROR(__xludf.DUMMYFUNCTION("split(F479,"","",true,true)"),"Seedstars")</f>
        <v>Seedstars</v>
      </c>
      <c r="AT495" s="10"/>
      <c r="AU495" s="10"/>
      <c r="AV495" s="10"/>
      <c r="AW495" s="10"/>
      <c r="AX495" s="10"/>
      <c r="AY495" s="10"/>
      <c r="AZ495" s="10"/>
      <c r="BA495" s="10"/>
      <c r="BB495" s="10"/>
      <c r="BC495" s="10"/>
      <c r="BD495" s="10"/>
      <c r="BE495" s="10"/>
      <c r="BF495" s="10"/>
      <c r="BG495" s="10"/>
      <c r="BH495" s="10"/>
      <c r="BI495" s="10"/>
      <c r="BJ495" s="10"/>
      <c r="BK495" s="10"/>
      <c r="BM495" s="10"/>
    </row>
    <row r="496" spans="1:65" ht="12.75">
      <c r="A496" s="18">
        <v>43214</v>
      </c>
      <c r="B496" s="14" t="s">
        <v>1134</v>
      </c>
      <c r="C496" s="19">
        <v>3100000</v>
      </c>
      <c r="D496" s="19"/>
      <c r="E496" s="14" t="s">
        <v>69</v>
      </c>
      <c r="F496" s="14" t="s">
        <v>1135</v>
      </c>
      <c r="G496" s="27" t="s">
        <v>1136</v>
      </c>
      <c r="H496" s="14" t="str">
        <f t="array" ref="H496">IFERROR(INDEX([1]Companies!$G:$G,MATCH(B496,[1]Companies!$A:$A,0)),"")</f>
        <v>Mauritius</v>
      </c>
      <c r="I496" s="14" t="str">
        <f t="shared" si="694"/>
        <v>Mauritius</v>
      </c>
      <c r="J496" s="14" t="str">
        <f t="array" ref="J496">IFERROR(INDEX([1]Companies!$Y:$Y,MATCH(B496,[1]Companies!$A:$A,0)),"")</f>
        <v>Mobile Marketplace</v>
      </c>
      <c r="K496" s="14" t="str">
        <f t="array" ref="K496">IFERROR(INDEX([1]Companies!$X:$X,MATCH(B496,[1]Companies!$A:$A,0)),"")</f>
        <v>E-Commerce &amp; Retail</v>
      </c>
      <c r="L496" s="14" t="str">
        <f>VLOOKUP(B496,[1]Companies!$A$1:$C$5243,1,FALSE)</f>
        <v>Coinafrique</v>
      </c>
      <c r="M496" s="15">
        <f t="shared" si="695"/>
        <v>0.9</v>
      </c>
      <c r="N496" s="10" t="str">
        <f t="shared" si="696"/>
        <v>43214CoinAfrique3100000</v>
      </c>
      <c r="O496" s="14" t="str">
        <f t="shared" si="697"/>
        <v/>
      </c>
      <c r="P496" s="14">
        <f t="shared" si="698"/>
        <v>1</v>
      </c>
      <c r="Q496" s="14">
        <f t="array" ref="Q496">IFERROR(INDEX([1]Companies!$D:$D,MATCH(B496,[1]Companies!$A:$A,0)),"")</f>
        <v>2015</v>
      </c>
      <c r="R496" s="17">
        <f t="shared" si="699"/>
        <v>3100000</v>
      </c>
      <c r="S496" s="14">
        <f>VLOOKUP(I496,[1]Lookups!$V$3:$Y$197,4,FALSE)</f>
        <v>0</v>
      </c>
      <c r="T496" s="14" t="str">
        <f>VLOOKUP(E496,[1]Lookups!$H$3:$I$71,2,FALSE)</f>
        <v>3. Early Venture</v>
      </c>
      <c r="U496" s="14" t="str">
        <f>VLOOKUP(K496,[1]Lookups!$B$3:$C$142,2,FALSE)</f>
        <v>E-commerce &amp; Retail</v>
      </c>
      <c r="V496" s="14">
        <f t="shared" si="396"/>
        <v>2018</v>
      </c>
      <c r="W496" s="14">
        <f t="shared" si="397"/>
        <v>4</v>
      </c>
      <c r="X496" s="14">
        <f>VLOOKUP(W496,[1]Lookups!$P$3:$S$15,2,FALSE)</f>
        <v>2</v>
      </c>
      <c r="Y496" s="16">
        <f>VLOOKUP(W496,[1]Lookups!$P$3:$U$15,3,FALSE)</f>
        <v>1</v>
      </c>
      <c r="Z496" s="16">
        <f t="shared" si="398"/>
        <v>3</v>
      </c>
      <c r="AA496" s="16" t="str">
        <f t="shared" ca="1" si="714"/>
        <v>Seedstars</v>
      </c>
      <c r="AB496" s="16" t="str">
        <f t="shared" ca="1" si="714"/>
        <v xml:space="preserve"> French Partners</v>
      </c>
      <c r="AC496" s="16" t="str">
        <f t="shared" ca="1" si="714"/>
        <v xml:space="preserve"> Investisseurs &amp; Partenaires (I&amp;P)</v>
      </c>
      <c r="AD496" s="16">
        <f t="shared" si="714"/>
        <v>0</v>
      </c>
      <c r="AE496" s="16">
        <f t="shared" si="714"/>
        <v>0</v>
      </c>
      <c r="AF496" s="16">
        <f t="shared" si="714"/>
        <v>0</v>
      </c>
      <c r="AG496" s="16">
        <f t="shared" si="714"/>
        <v>0</v>
      </c>
      <c r="AH496" s="16">
        <f t="shared" si="714"/>
        <v>0</v>
      </c>
      <c r="AI496" s="16">
        <f t="shared" si="714"/>
        <v>0</v>
      </c>
      <c r="AJ496" s="16">
        <f t="shared" si="714"/>
        <v>0</v>
      </c>
      <c r="AK496" s="16">
        <f t="shared" si="714"/>
        <v>0</v>
      </c>
      <c r="AL496" s="16">
        <f t="shared" si="714"/>
        <v>0</v>
      </c>
      <c r="AM496" s="16">
        <f t="shared" si="714"/>
        <v>0</v>
      </c>
      <c r="AN496" s="16">
        <f t="shared" si="714"/>
        <v>0</v>
      </c>
      <c r="AO496" s="16">
        <f t="shared" si="714"/>
        <v>0</v>
      </c>
      <c r="AP496" s="10"/>
      <c r="AQ496" s="10"/>
      <c r="AR496" s="10"/>
      <c r="AS496" s="10" t="str">
        <f t="shared" ref="AS496" ca="1" si="718">IFERROR(__xludf.DUMMYFUNCTION("split(F479,"","",true,true)"),"Seedstars")</f>
        <v>Seedstars</v>
      </c>
      <c r="AT496" s="10" t="str">
        <f ca="1">IFERROR(__xludf.DUMMYFUNCTION("""COMPUTED_VALUE""")," French Partners")</f>
        <v xml:space="preserve"> French Partners</v>
      </c>
      <c r="AU496" s="10" t="str">
        <f ca="1">IFERROR(__xludf.DUMMYFUNCTION("""COMPUTED_VALUE""")," Investisseurs &amp; Partenaires (I&amp;P)")</f>
        <v xml:space="preserve"> Investisseurs &amp; Partenaires (I&amp;P)</v>
      </c>
      <c r="AV496" s="10"/>
      <c r="AW496" s="10"/>
      <c r="AX496" s="10"/>
      <c r="AY496" s="10"/>
      <c r="AZ496" s="10"/>
      <c r="BA496" s="10"/>
      <c r="BB496" s="10"/>
      <c r="BC496" s="10"/>
      <c r="BD496" s="10"/>
      <c r="BE496" s="10"/>
      <c r="BF496" s="10"/>
      <c r="BG496" s="10"/>
      <c r="BH496" s="10"/>
      <c r="BI496" s="10"/>
      <c r="BJ496" s="10"/>
      <c r="BK496" s="10"/>
      <c r="BM496" s="10"/>
    </row>
    <row r="497" spans="1:65" ht="12.75">
      <c r="A497" s="18">
        <v>43215</v>
      </c>
      <c r="B497" s="14" t="s">
        <v>93</v>
      </c>
      <c r="C497" s="19">
        <v>8600000</v>
      </c>
      <c r="D497" s="19"/>
      <c r="E497" s="14" t="s">
        <v>69</v>
      </c>
      <c r="F497" s="14" t="s">
        <v>1137</v>
      </c>
      <c r="G497" s="27" t="s">
        <v>1138</v>
      </c>
      <c r="H497" s="14" t="str">
        <f t="array" ref="H497">IFERROR(INDEX([1]Companies!$G:$G,MATCH(B497,[1]Companies!$A:$A,0)),"")</f>
        <v>Kenya</v>
      </c>
      <c r="I497" s="14" t="str">
        <f t="shared" si="694"/>
        <v>Kenya</v>
      </c>
      <c r="J497" s="14" t="str">
        <f t="array" ref="J497">IFERROR(INDEX([1]Companies!$Y:$Y,MATCH(B497,[1]Companies!$A:$A,0)),"")</f>
        <v>Developer APIs, Information Technology, Mobile, Telecommunications</v>
      </c>
      <c r="K497" s="14" t="str">
        <f t="array" ref="K497">IFERROR(INDEX([1]Companies!$X:$X,MATCH(B497,[1]Companies!$A:$A,0)),"")</f>
        <v>Information Technology</v>
      </c>
      <c r="L497" s="14" t="str">
        <f>VLOOKUP(B497,[1]Companies!$A$1:$C$5243,1,FALSE)</f>
        <v>Africa's Talking</v>
      </c>
      <c r="M497" s="15">
        <f t="shared" si="695"/>
        <v>0.9</v>
      </c>
      <c r="N497" s="10" t="str">
        <f t="shared" si="696"/>
        <v>43215Africa's Talking8600000</v>
      </c>
      <c r="O497" s="14" t="str">
        <f t="shared" si="697"/>
        <v/>
      </c>
      <c r="P497" s="14">
        <f t="shared" si="698"/>
        <v>1</v>
      </c>
      <c r="Q497" s="14">
        <f t="array" ref="Q497">IFERROR(INDEX([1]Companies!$D:$D,MATCH(B497,[1]Companies!$A:$A,0)),"")</f>
        <v>2010</v>
      </c>
      <c r="R497" s="17">
        <f t="shared" si="699"/>
        <v>8620000</v>
      </c>
      <c r="S497" s="14">
        <f>VLOOKUP(I497,[1]Lookups!$V$3:$Y$197,4,FALSE)</f>
        <v>0</v>
      </c>
      <c r="T497" s="14" t="str">
        <f>VLOOKUP(E497,[1]Lookups!$H$3:$I$71,2,FALSE)</f>
        <v>3. Early Venture</v>
      </c>
      <c r="U497" s="14" t="str">
        <f>VLOOKUP(K497,[1]Lookups!$B$3:$C$142,2,FALSE)</f>
        <v>Other Technologies &amp; Information Technology</v>
      </c>
      <c r="V497" s="14">
        <f t="shared" si="396"/>
        <v>2018</v>
      </c>
      <c r="W497" s="14">
        <f t="shared" si="397"/>
        <v>4</v>
      </c>
      <c r="X497" s="14">
        <f>VLOOKUP(W497,[1]Lookups!$P$3:$S$15,2,FALSE)</f>
        <v>2</v>
      </c>
      <c r="Y497" s="16">
        <f>VLOOKUP(W497,[1]Lookups!$P$3:$U$15,3,FALSE)</f>
        <v>1</v>
      </c>
      <c r="Z497" s="16">
        <f t="shared" si="398"/>
        <v>3</v>
      </c>
      <c r="AA497" s="16" t="str">
        <f t="shared" ca="1" si="714"/>
        <v>Seedstars</v>
      </c>
      <c r="AB497" s="16" t="str">
        <f t="shared" ca="1" si="714"/>
        <v xml:space="preserve"> Orange Digital Ventures</v>
      </c>
      <c r="AC497" s="16" t="str">
        <f t="shared" ca="1" si="714"/>
        <v xml:space="preserve"> Social Capital </v>
      </c>
      <c r="AD497" s="16">
        <f t="shared" si="714"/>
        <v>0</v>
      </c>
      <c r="AE497" s="16">
        <f t="shared" si="714"/>
        <v>0</v>
      </c>
      <c r="AF497" s="16">
        <f t="shared" si="714"/>
        <v>0</v>
      </c>
      <c r="AG497" s="16">
        <f t="shared" si="714"/>
        <v>0</v>
      </c>
      <c r="AH497" s="16">
        <f t="shared" si="714"/>
        <v>0</v>
      </c>
      <c r="AI497" s="16">
        <f t="shared" si="714"/>
        <v>0</v>
      </c>
      <c r="AJ497" s="16">
        <f t="shared" si="714"/>
        <v>0</v>
      </c>
      <c r="AK497" s="16">
        <f t="shared" si="714"/>
        <v>0</v>
      </c>
      <c r="AL497" s="16">
        <f t="shared" si="714"/>
        <v>0</v>
      </c>
      <c r="AM497" s="16">
        <f t="shared" si="714"/>
        <v>0</v>
      </c>
      <c r="AN497" s="16">
        <f t="shared" si="714"/>
        <v>0</v>
      </c>
      <c r="AO497" s="16">
        <f t="shared" si="714"/>
        <v>0</v>
      </c>
      <c r="AP497" s="10"/>
      <c r="AQ497" s="10"/>
      <c r="AR497" s="10"/>
      <c r="AS497" s="10" t="str">
        <f t="shared" ref="AS497" ca="1" si="719">IFERROR(__xludf.DUMMYFUNCTION("split(F479,"","",true,true)"),"Seedstars")</f>
        <v>Seedstars</v>
      </c>
      <c r="AT497" s="10" t="str">
        <f ca="1">IFERROR(__xludf.DUMMYFUNCTION("""COMPUTED_VALUE""")," Orange Digital Ventures")</f>
        <v xml:space="preserve"> Orange Digital Ventures</v>
      </c>
      <c r="AU497" s="10" t="str">
        <f ca="1">IFERROR(__xludf.DUMMYFUNCTION("""COMPUTED_VALUE""")," Social Capital ")</f>
        <v xml:space="preserve"> Social Capital </v>
      </c>
      <c r="AV497" s="10"/>
      <c r="AW497" s="10"/>
      <c r="AX497" s="10"/>
      <c r="AY497" s="10"/>
      <c r="AZ497" s="10"/>
      <c r="BA497" s="10"/>
      <c r="BB497" s="10"/>
      <c r="BC497" s="10"/>
      <c r="BD497" s="10"/>
      <c r="BE497" s="10"/>
      <c r="BF497" s="10"/>
      <c r="BG497" s="10"/>
      <c r="BH497" s="10"/>
      <c r="BI497" s="10"/>
      <c r="BJ497" s="10"/>
      <c r="BK497" s="10"/>
      <c r="BM497" s="10"/>
    </row>
    <row r="498" spans="1:65" ht="12.75">
      <c r="A498" s="18">
        <v>43216</v>
      </c>
      <c r="B498" s="14" t="s">
        <v>1139</v>
      </c>
      <c r="C498" s="19">
        <v>3000000</v>
      </c>
      <c r="D498" s="19"/>
      <c r="E498" s="14" t="s">
        <v>69</v>
      </c>
      <c r="F498" s="14" t="s">
        <v>1140</v>
      </c>
      <c r="G498" s="27" t="s">
        <v>1141</v>
      </c>
      <c r="H498" s="14" t="str">
        <f t="array" ref="H498">IFERROR(INDEX([1]Companies!$G:$G,MATCH(B498,[1]Companies!$A:$A,0)),"")</f>
        <v>Nigeria</v>
      </c>
      <c r="I498" s="14" t="str">
        <f t="shared" si="694"/>
        <v>Nigeria</v>
      </c>
      <c r="J498" s="14" t="str">
        <f t="array" ref="J498">IFERROR(INDEX([1]Companies!$Y:$Y,MATCH(B498,[1]Companies!$A:$A,0)),"")</f>
        <v>Secondary Distribution, Trade Insights, Salesforce Automation, B2B, Consumer Goods</v>
      </c>
      <c r="K498" s="14" t="str">
        <f t="array" ref="K498">IFERROR(INDEX([1]Companies!$X:$X,MATCH(B498,[1]Companies!$A:$A,0)),"")</f>
        <v>SaaS</v>
      </c>
      <c r="L498" s="14" t="str">
        <f>VLOOKUP(B498,[1]Companies!$A$1:$C$5243,1,FALSE)</f>
        <v>Trade Depot</v>
      </c>
      <c r="M498" s="15">
        <f t="shared" si="695"/>
        <v>0.9</v>
      </c>
      <c r="N498" s="10" t="str">
        <f t="shared" si="696"/>
        <v>43216Trade Depot3000000</v>
      </c>
      <c r="O498" s="14" t="str">
        <f t="shared" si="697"/>
        <v/>
      </c>
      <c r="P498" s="14">
        <f t="shared" si="698"/>
        <v>1</v>
      </c>
      <c r="Q498" s="14">
        <f t="array" ref="Q498">IFERROR(INDEX([1]Companies!$D:$D,MATCH(B498,[1]Companies!$A:$A,0)),"")</f>
        <v>2015</v>
      </c>
      <c r="R498" s="17">
        <f t="shared" si="699"/>
        <v>3000000</v>
      </c>
      <c r="S498" s="14">
        <f>VLOOKUP(I498,[1]Lookups!$V$3:$Y$197,4,FALSE)</f>
        <v>0</v>
      </c>
      <c r="T498" s="14" t="str">
        <f>VLOOKUP(E498,[1]Lookups!$H$3:$I$71,2,FALSE)</f>
        <v>3. Early Venture</v>
      </c>
      <c r="U498" s="14" t="str">
        <f>VLOOKUP(K498,[1]Lookups!$B$3:$C$142,2,FALSE)</f>
        <v>Other Technologies &amp; Information Technology</v>
      </c>
      <c r="V498" s="14">
        <f t="shared" si="396"/>
        <v>2018</v>
      </c>
      <c r="W498" s="14">
        <f t="shared" si="397"/>
        <v>4</v>
      </c>
      <c r="X498" s="14">
        <f>VLOOKUP(W498,[1]Lookups!$P$3:$S$15,2,FALSE)</f>
        <v>2</v>
      </c>
      <c r="Y498" s="16">
        <f>VLOOKUP(W498,[1]Lookups!$P$3:$U$15,3,FALSE)</f>
        <v>1</v>
      </c>
      <c r="Z498" s="16">
        <f t="shared" si="398"/>
        <v>1</v>
      </c>
      <c r="AA498" s="16" t="str">
        <f t="shared" ca="1" si="714"/>
        <v>Seedstars</v>
      </c>
      <c r="AB498" s="16">
        <f t="shared" si="714"/>
        <v>0</v>
      </c>
      <c r="AC498" s="16">
        <f t="shared" si="714"/>
        <v>0</v>
      </c>
      <c r="AD498" s="16">
        <f t="shared" si="714"/>
        <v>0</v>
      </c>
      <c r="AE498" s="16">
        <f t="shared" si="714"/>
        <v>0</v>
      </c>
      <c r="AF498" s="16">
        <f t="shared" si="714"/>
        <v>0</v>
      </c>
      <c r="AG498" s="16">
        <f t="shared" si="714"/>
        <v>0</v>
      </c>
      <c r="AH498" s="16">
        <f t="shared" si="714"/>
        <v>0</v>
      </c>
      <c r="AI498" s="16">
        <f t="shared" si="714"/>
        <v>0</v>
      </c>
      <c r="AJ498" s="16">
        <f t="shared" si="714"/>
        <v>0</v>
      </c>
      <c r="AK498" s="16">
        <f t="shared" si="714"/>
        <v>0</v>
      </c>
      <c r="AL498" s="16">
        <f t="shared" si="714"/>
        <v>0</v>
      </c>
      <c r="AM498" s="16">
        <f t="shared" si="714"/>
        <v>0</v>
      </c>
      <c r="AN498" s="16">
        <f t="shared" si="714"/>
        <v>0</v>
      </c>
      <c r="AO498" s="16">
        <f t="shared" si="714"/>
        <v>0</v>
      </c>
      <c r="AP498" s="10"/>
      <c r="AQ498" s="10"/>
      <c r="AR498" s="10"/>
      <c r="AS498" s="10" t="str">
        <f t="shared" ref="AS498" ca="1" si="720">IFERROR(__xludf.DUMMYFUNCTION("split(F479,"","",true,true)"),"Seedstars")</f>
        <v>Seedstars</v>
      </c>
      <c r="AT498" s="10"/>
      <c r="AU498" s="10"/>
      <c r="AV498" s="10"/>
      <c r="AW498" s="10"/>
      <c r="AX498" s="10"/>
      <c r="AY498" s="10"/>
      <c r="AZ498" s="10"/>
      <c r="BA498" s="10"/>
      <c r="BB498" s="10"/>
      <c r="BC498" s="10"/>
      <c r="BD498" s="10"/>
      <c r="BE498" s="10"/>
      <c r="BF498" s="10"/>
      <c r="BG498" s="10"/>
      <c r="BH498" s="10"/>
      <c r="BI498" s="10"/>
      <c r="BJ498" s="10"/>
      <c r="BK498" s="10"/>
      <c r="BM498" s="10"/>
    </row>
    <row r="499" spans="1:65" ht="12.75">
      <c r="A499" s="18">
        <v>43216</v>
      </c>
      <c r="B499" s="14" t="s">
        <v>1142</v>
      </c>
      <c r="C499" s="19">
        <v>5000000</v>
      </c>
      <c r="D499" s="19"/>
      <c r="E499" s="10" t="s">
        <v>91</v>
      </c>
      <c r="F499" s="14" t="s">
        <v>1143</v>
      </c>
      <c r="G499" s="27" t="s">
        <v>1144</v>
      </c>
      <c r="H499" s="14" t="str">
        <f t="array" ref="H499">IFERROR(INDEX([1]Companies!$G:$G,MATCH(B499,[1]Companies!$A:$A,0)),"")</f>
        <v>Kenya</v>
      </c>
      <c r="I499" s="14" t="str">
        <f t="shared" si="694"/>
        <v>Kenya</v>
      </c>
      <c r="J499" s="14" t="str">
        <f t="array" ref="J499">IFERROR(INDEX([1]Companies!$Y:$Y,MATCH(B499,[1]Companies!$A:$A,0)),"")</f>
        <v>Automotive, Manufacturing, Product Design</v>
      </c>
      <c r="K499" s="14" t="str">
        <f t="array" ref="K499">IFERROR(INDEX([1]Companies!$X:$X,MATCH(B499,[1]Companies!$A:$A,0)),"")</f>
        <v>Automotive</v>
      </c>
      <c r="L499" s="14" t="str">
        <f>VLOOKUP(B499,[1]Companies!$A$1:$C$5243,1,FALSE)</f>
        <v>Mobius Motors</v>
      </c>
      <c r="M499" s="15">
        <f t="shared" si="695"/>
        <v>0.9</v>
      </c>
      <c r="N499" s="10" t="str">
        <f t="shared" si="696"/>
        <v>43216Mobius Motors5000000</v>
      </c>
      <c r="O499" s="14" t="str">
        <f t="shared" si="697"/>
        <v/>
      </c>
      <c r="P499" s="14">
        <f t="shared" si="698"/>
        <v>1</v>
      </c>
      <c r="Q499" s="14">
        <f t="array" ref="Q499">IFERROR(INDEX([1]Companies!$D:$D,MATCH(B499,[1]Companies!$A:$A,0)),"")</f>
        <v>2011</v>
      </c>
      <c r="R499" s="17">
        <f t="shared" si="699"/>
        <v>5000000</v>
      </c>
      <c r="S499" s="14">
        <f>VLOOKUP(I499,[1]Lookups!$V$3:$Y$197,4,FALSE)</f>
        <v>0</v>
      </c>
      <c r="T499" s="14" t="str">
        <f>VLOOKUP(E499,[1]Lookups!$H$3:$I$71,2,FALSE)</f>
        <v>5. Debt Financing</v>
      </c>
      <c r="U499" s="14" t="str">
        <f>VLOOKUP(K499,[1]Lookups!$B$3:$C$142,2,FALSE)</f>
        <v>Emerging Technologies</v>
      </c>
      <c r="V499" s="14">
        <f t="shared" si="396"/>
        <v>2018</v>
      </c>
      <c r="W499" s="14">
        <f t="shared" si="397"/>
        <v>4</v>
      </c>
      <c r="X499" s="14">
        <f>VLOOKUP(W499,[1]Lookups!$P$3:$S$15,2,FALSE)</f>
        <v>2</v>
      </c>
      <c r="Y499" s="16">
        <f>VLOOKUP(W499,[1]Lookups!$P$3:$U$15,3,FALSE)</f>
        <v>1</v>
      </c>
      <c r="Z499" s="16">
        <f t="shared" si="398"/>
        <v>1</v>
      </c>
      <c r="AA499" s="16" t="str">
        <f t="shared" ca="1" si="714"/>
        <v>Seedstars</v>
      </c>
      <c r="AB499" s="16">
        <f t="shared" si="714"/>
        <v>0</v>
      </c>
      <c r="AC499" s="16">
        <f t="shared" si="714"/>
        <v>0</v>
      </c>
      <c r="AD499" s="16">
        <f t="shared" si="714"/>
        <v>0</v>
      </c>
      <c r="AE499" s="16">
        <f t="shared" si="714"/>
        <v>0</v>
      </c>
      <c r="AF499" s="16">
        <f t="shared" si="714"/>
        <v>0</v>
      </c>
      <c r="AG499" s="16">
        <f t="shared" si="714"/>
        <v>0</v>
      </c>
      <c r="AH499" s="16">
        <f t="shared" si="714"/>
        <v>0</v>
      </c>
      <c r="AI499" s="16">
        <f t="shared" si="714"/>
        <v>0</v>
      </c>
      <c r="AJ499" s="16">
        <f t="shared" si="714"/>
        <v>0</v>
      </c>
      <c r="AK499" s="16">
        <f t="shared" si="714"/>
        <v>0</v>
      </c>
      <c r="AL499" s="16">
        <f t="shared" si="714"/>
        <v>0</v>
      </c>
      <c r="AM499" s="16">
        <f t="shared" si="714"/>
        <v>0</v>
      </c>
      <c r="AN499" s="16">
        <f t="shared" si="714"/>
        <v>0</v>
      </c>
      <c r="AO499" s="16">
        <f t="shared" si="714"/>
        <v>0</v>
      </c>
      <c r="AP499" s="10"/>
      <c r="AQ499" s="10"/>
      <c r="AR499" s="10"/>
      <c r="AS499" s="10" t="str">
        <f t="shared" ref="AS499" ca="1" si="721">IFERROR(__xludf.DUMMYFUNCTION("split(F479,"","",true,true)"),"Seedstars")</f>
        <v>Seedstars</v>
      </c>
      <c r="AT499" s="10"/>
      <c r="AU499" s="10"/>
      <c r="AV499" s="10"/>
      <c r="AW499" s="10"/>
      <c r="AX499" s="10"/>
      <c r="AY499" s="10"/>
      <c r="AZ499" s="10"/>
      <c r="BA499" s="10"/>
      <c r="BB499" s="10"/>
      <c r="BC499" s="10"/>
      <c r="BD499" s="10"/>
      <c r="BE499" s="10"/>
      <c r="BF499" s="10"/>
      <c r="BG499" s="10"/>
      <c r="BH499" s="10"/>
      <c r="BI499" s="10"/>
      <c r="BJ499" s="10"/>
      <c r="BK499" s="10"/>
      <c r="BM499" s="10"/>
    </row>
    <row r="500" spans="1:65" ht="12.75">
      <c r="A500" s="18">
        <v>43216</v>
      </c>
      <c r="B500" s="14" t="s">
        <v>1145</v>
      </c>
      <c r="C500" s="19">
        <v>1000000</v>
      </c>
      <c r="D500" s="19"/>
      <c r="E500" s="14" t="s">
        <v>69</v>
      </c>
      <c r="F500" s="14" t="s">
        <v>942</v>
      </c>
      <c r="G500" s="14" t="s">
        <v>1033</v>
      </c>
      <c r="H500" s="14" t="str">
        <f t="array" ref="H500">IFERROR(INDEX([1]Companies!$G:$G,MATCH(B500,[1]Companies!$A:$A,0)),"")</f>
        <v>Kenya</v>
      </c>
      <c r="I500" s="14" t="str">
        <f t="shared" si="694"/>
        <v>Kenya</v>
      </c>
      <c r="J500" s="14" t="str">
        <f t="array" ref="J500">IFERROR(INDEX([1]Companies!$Y:$Y,MATCH(B500,[1]Companies!$A:$A,0)),"")</f>
        <v>Developer Tools, Information Technology, Logistics, Mobile</v>
      </c>
      <c r="K500" s="14" t="str">
        <f t="array" ref="K500">IFERROR(INDEX([1]Companies!$X:$X,MATCH(B500,[1]Companies!$A:$A,0)),"")</f>
        <v>Transport &amp; Logistics</v>
      </c>
      <c r="L500" s="14" t="str">
        <f>VLOOKUP(B500,[1]Companies!$A$1:$C$5243,1,FALSE)</f>
        <v>CDL</v>
      </c>
      <c r="M500" s="15">
        <f t="shared" si="695"/>
        <v>0.9</v>
      </c>
      <c r="N500" s="10" t="str">
        <f t="shared" si="696"/>
        <v>43216CDL1000000</v>
      </c>
      <c r="O500" s="14" t="str">
        <f t="shared" si="697"/>
        <v/>
      </c>
      <c r="P500" s="14">
        <f t="shared" si="698"/>
        <v>1</v>
      </c>
      <c r="Q500" s="14">
        <f t="array" ref="Q500">IFERROR(INDEX([1]Companies!$D:$D,MATCH(B500,[1]Companies!$A:$A,0)),"")</f>
        <v>2014</v>
      </c>
      <c r="R500" s="17">
        <f t="shared" si="699"/>
        <v>1000000</v>
      </c>
      <c r="S500" s="14">
        <f>VLOOKUP(I500,[1]Lookups!$V$3:$Y$197,4,FALSE)</f>
        <v>0</v>
      </c>
      <c r="T500" s="14" t="str">
        <f>VLOOKUP(E500,[1]Lookups!$H$3:$I$71,2,FALSE)</f>
        <v>3. Early Venture</v>
      </c>
      <c r="U500" s="14" t="str">
        <f>VLOOKUP(K500,[1]Lookups!$B$3:$C$142,2,FALSE)</f>
        <v>Transport &amp; Logistics</v>
      </c>
      <c r="V500" s="14">
        <f t="shared" si="396"/>
        <v>2018</v>
      </c>
      <c r="W500" s="14">
        <f t="shared" si="397"/>
        <v>4</v>
      </c>
      <c r="X500" s="14">
        <f>VLOOKUP(W500,[1]Lookups!$P$3:$S$15,2,FALSE)</f>
        <v>2</v>
      </c>
      <c r="Y500" s="16">
        <f>VLOOKUP(W500,[1]Lookups!$P$3:$U$15,3,FALSE)</f>
        <v>1</v>
      </c>
      <c r="Z500" s="16">
        <f t="shared" si="398"/>
        <v>1</v>
      </c>
      <c r="AA500" s="16" t="str">
        <f t="shared" ca="1" si="714"/>
        <v>Seedstars</v>
      </c>
      <c r="AB500" s="16">
        <f t="shared" si="714"/>
        <v>0</v>
      </c>
      <c r="AC500" s="16">
        <f t="shared" si="714"/>
        <v>0</v>
      </c>
      <c r="AD500" s="16">
        <f t="shared" si="714"/>
        <v>0</v>
      </c>
      <c r="AE500" s="16">
        <f t="shared" si="714"/>
        <v>0</v>
      </c>
      <c r="AF500" s="16">
        <f t="shared" si="714"/>
        <v>0</v>
      </c>
      <c r="AG500" s="16">
        <f t="shared" si="714"/>
        <v>0</v>
      </c>
      <c r="AH500" s="16">
        <f t="shared" si="714"/>
        <v>0</v>
      </c>
      <c r="AI500" s="16">
        <f t="shared" si="714"/>
        <v>0</v>
      </c>
      <c r="AJ500" s="16">
        <f t="shared" si="714"/>
        <v>0</v>
      </c>
      <c r="AK500" s="16">
        <f t="shared" si="714"/>
        <v>0</v>
      </c>
      <c r="AL500" s="16">
        <f t="shared" si="714"/>
        <v>0</v>
      </c>
      <c r="AM500" s="16">
        <f t="shared" si="714"/>
        <v>0</v>
      </c>
      <c r="AN500" s="16">
        <f t="shared" si="714"/>
        <v>0</v>
      </c>
      <c r="AO500" s="16">
        <f t="shared" si="714"/>
        <v>0</v>
      </c>
      <c r="AP500" s="10"/>
      <c r="AQ500" s="10"/>
      <c r="AR500" s="10"/>
      <c r="AS500" s="10" t="str">
        <f t="shared" ref="AS500" ca="1" si="722">IFERROR(__xludf.DUMMYFUNCTION("split(F479,"","",true,true)"),"Seedstars")</f>
        <v>Seedstars</v>
      </c>
      <c r="AT500" s="10"/>
      <c r="AU500" s="10"/>
      <c r="AV500" s="10"/>
      <c r="AW500" s="10"/>
      <c r="AX500" s="10"/>
      <c r="AY500" s="10"/>
      <c r="AZ500" s="10"/>
      <c r="BA500" s="10"/>
      <c r="BB500" s="10"/>
      <c r="BC500" s="10"/>
      <c r="BD500" s="10"/>
      <c r="BE500" s="10"/>
      <c r="BF500" s="10"/>
      <c r="BG500" s="10"/>
      <c r="BH500" s="10"/>
      <c r="BI500" s="10"/>
      <c r="BJ500" s="10"/>
      <c r="BK500" s="10"/>
      <c r="BM500" s="10"/>
    </row>
    <row r="501" spans="1:65" ht="12.75">
      <c r="A501" s="18">
        <v>43217</v>
      </c>
      <c r="B501" s="14" t="s">
        <v>1146</v>
      </c>
      <c r="C501" s="19">
        <v>150000</v>
      </c>
      <c r="D501" s="19"/>
      <c r="E501" s="14" t="s">
        <v>45</v>
      </c>
      <c r="F501" s="14" t="s">
        <v>1147</v>
      </c>
      <c r="G501" s="27" t="s">
        <v>1148</v>
      </c>
      <c r="H501" s="14" t="str">
        <f t="array" ref="H501">IFERROR(INDEX([1]Companies!$G:$G,MATCH(B501,[1]Companies!$A:$A,0)),"")</f>
        <v>Egypt</v>
      </c>
      <c r="I501" s="14" t="str">
        <f t="shared" si="694"/>
        <v>Egypt</v>
      </c>
      <c r="J501" s="14" t="str">
        <f t="array" ref="J501">IFERROR(INDEX([1]Companies!$Y:$Y,MATCH(B501,[1]Companies!$A:$A,0)),"")</f>
        <v>Dating, Mobile Apps, Social Network</v>
      </c>
      <c r="K501" s="14" t="str">
        <f t="array" ref="K501">IFERROR(INDEX([1]Companies!$X:$X,MATCH(B501,[1]Companies!$A:$A,0)),"")</f>
        <v>Social Network</v>
      </c>
      <c r="L501" s="14" t="str">
        <f>VLOOKUP(B501,[1]Companies!$A$1:$C$5243,1,FALSE)</f>
        <v>Harmonica</v>
      </c>
      <c r="M501" s="15">
        <f t="shared" si="695"/>
        <v>0.9</v>
      </c>
      <c r="N501" s="10" t="str">
        <f t="shared" si="696"/>
        <v>43217Harmonica150000</v>
      </c>
      <c r="O501" s="14" t="str">
        <f t="shared" si="697"/>
        <v/>
      </c>
      <c r="P501" s="14">
        <f t="shared" si="698"/>
        <v>1</v>
      </c>
      <c r="Q501" s="14">
        <f t="array" ref="Q501">IFERROR(INDEX([1]Companies!$D:$D,MATCH(B501,[1]Companies!$A:$A,0)),"")</f>
        <v>2017</v>
      </c>
      <c r="R501" s="17">
        <f t="shared" si="699"/>
        <v>150000</v>
      </c>
      <c r="S501" s="14">
        <f>VLOOKUP(I501,[1]Lookups!$V$3:$Y$197,4,FALSE)</f>
        <v>0</v>
      </c>
      <c r="T501" s="14" t="str">
        <f>VLOOKUP(E501,[1]Lookups!$H$3:$I$71,2,FALSE)</f>
        <v>2. Seed</v>
      </c>
      <c r="U501" s="14" t="str">
        <f>VLOOKUP(K501,[1]Lookups!$B$3:$C$142,2,FALSE)</f>
        <v>Media &amp; Entertainment</v>
      </c>
      <c r="V501" s="14">
        <f t="shared" si="396"/>
        <v>2018</v>
      </c>
      <c r="W501" s="14">
        <f t="shared" si="397"/>
        <v>4</v>
      </c>
      <c r="X501" s="14">
        <f>VLOOKUP(W501,[1]Lookups!$P$3:$S$15,2,FALSE)</f>
        <v>2</v>
      </c>
      <c r="Y501" s="16">
        <f>VLOOKUP(W501,[1]Lookups!$P$3:$U$15,3,FALSE)</f>
        <v>1</v>
      </c>
      <c r="Z501" s="16">
        <f t="shared" si="398"/>
        <v>1</v>
      </c>
      <c r="AA501" s="16" t="str">
        <f t="shared" ca="1" si="714"/>
        <v>Seedstars</v>
      </c>
      <c r="AB501" s="16">
        <f t="shared" si="714"/>
        <v>0</v>
      </c>
      <c r="AC501" s="16">
        <f t="shared" si="714"/>
        <v>0</v>
      </c>
      <c r="AD501" s="16">
        <f t="shared" si="714"/>
        <v>0</v>
      </c>
      <c r="AE501" s="16">
        <f t="shared" si="714"/>
        <v>0</v>
      </c>
      <c r="AF501" s="16">
        <f t="shared" si="714"/>
        <v>0</v>
      </c>
      <c r="AG501" s="16">
        <f t="shared" si="714"/>
        <v>0</v>
      </c>
      <c r="AH501" s="16">
        <f t="shared" si="714"/>
        <v>0</v>
      </c>
      <c r="AI501" s="16">
        <f t="shared" si="714"/>
        <v>0</v>
      </c>
      <c r="AJ501" s="16">
        <f t="shared" si="714"/>
        <v>0</v>
      </c>
      <c r="AK501" s="16">
        <f t="shared" si="714"/>
        <v>0</v>
      </c>
      <c r="AL501" s="16">
        <f t="shared" si="714"/>
        <v>0</v>
      </c>
      <c r="AM501" s="16">
        <f t="shared" si="714"/>
        <v>0</v>
      </c>
      <c r="AN501" s="16">
        <f t="shared" si="714"/>
        <v>0</v>
      </c>
      <c r="AO501" s="16">
        <f t="shared" si="714"/>
        <v>0</v>
      </c>
      <c r="AP501" s="10"/>
      <c r="AQ501" s="10"/>
      <c r="AR501" s="10"/>
      <c r="AS501" s="10" t="str">
        <f t="shared" ref="AS501" ca="1" si="723">IFERROR(__xludf.DUMMYFUNCTION("split(F479,"","",true,true)"),"Seedstars")</f>
        <v>Seedstars</v>
      </c>
      <c r="AT501" s="10"/>
      <c r="AU501" s="10"/>
      <c r="AV501" s="10"/>
      <c r="AW501" s="10"/>
      <c r="AX501" s="10"/>
      <c r="AY501" s="10"/>
      <c r="AZ501" s="10"/>
      <c r="BA501" s="10"/>
      <c r="BB501" s="10"/>
      <c r="BC501" s="10"/>
      <c r="BD501" s="10"/>
      <c r="BE501" s="10"/>
      <c r="BF501" s="10"/>
      <c r="BG501" s="10"/>
      <c r="BH501" s="10"/>
      <c r="BI501" s="10"/>
      <c r="BJ501" s="10"/>
      <c r="BK501" s="10"/>
      <c r="BM501" s="10"/>
    </row>
    <row r="502" spans="1:65" ht="12.75">
      <c r="A502" s="18">
        <v>43218</v>
      </c>
      <c r="B502" s="14" t="s">
        <v>1149</v>
      </c>
      <c r="C502" s="19">
        <v>50000</v>
      </c>
      <c r="D502" s="19"/>
      <c r="E502" s="14" t="s">
        <v>45</v>
      </c>
      <c r="F502" s="14" t="s">
        <v>1150</v>
      </c>
      <c r="G502" s="27" t="s">
        <v>1151</v>
      </c>
      <c r="H502" s="14" t="str">
        <f t="array" ref="H502">IFERROR(INDEX([1]Companies!$G:$G,MATCH(B502,[1]Companies!$A:$A,0)),"")</f>
        <v>Nigeria</v>
      </c>
      <c r="I502" s="14" t="str">
        <f t="shared" si="694"/>
        <v>Nigeria</v>
      </c>
      <c r="J502" s="14" t="str">
        <f t="array" ref="J502">IFERROR(INDEX([1]Companies!$Y:$Y,MATCH(B502,[1]Companies!$A:$A,0)),"")</f>
        <v>Banking, Debit Cards, Finance, Financial Services, Fintech</v>
      </c>
      <c r="K502" s="14" t="str">
        <f t="array" ref="K502">IFERROR(INDEX([1]Companies!$X:$X,MATCH(B502,[1]Companies!$A:$A,0)),"")</f>
        <v>Financial Services</v>
      </c>
      <c r="L502" s="14" t="str">
        <f>VLOOKUP(B502,[1]Companies!$A$1:$C$5243,1,FALSE)</f>
        <v>PiggyVest</v>
      </c>
      <c r="M502" s="15">
        <f t="shared" si="695"/>
        <v>0.9</v>
      </c>
      <c r="N502" s="10" t="str">
        <f t="shared" si="696"/>
        <v>43218PiggyVest50000</v>
      </c>
      <c r="O502" s="14" t="str">
        <f t="shared" si="697"/>
        <v/>
      </c>
      <c r="P502" s="14">
        <f t="shared" si="698"/>
        <v>1</v>
      </c>
      <c r="Q502" s="14">
        <f t="array" ref="Q502">IFERROR(INDEX([1]Companies!$D:$D,MATCH(B502,[1]Companies!$A:$A,0)),"")</f>
        <v>2016</v>
      </c>
      <c r="R502" s="17">
        <f t="shared" si="699"/>
        <v>1150000</v>
      </c>
      <c r="S502" s="14">
        <f>VLOOKUP(I502,[1]Lookups!$V$3:$Y$197,4,FALSE)</f>
        <v>0</v>
      </c>
      <c r="T502" s="14" t="str">
        <f>VLOOKUP(E502,[1]Lookups!$H$3:$I$71,2,FALSE)</f>
        <v>2. Seed</v>
      </c>
      <c r="U502" s="14" t="str">
        <f>VLOOKUP(K502,[1]Lookups!$B$3:$C$142,2,FALSE)</f>
        <v>Financial Services</v>
      </c>
      <c r="V502" s="14">
        <f t="shared" si="396"/>
        <v>2018</v>
      </c>
      <c r="W502" s="14">
        <f t="shared" si="397"/>
        <v>4</v>
      </c>
      <c r="X502" s="14">
        <f>VLOOKUP(W502,[1]Lookups!$P$3:$S$15,2,FALSE)</f>
        <v>2</v>
      </c>
      <c r="Y502" s="16">
        <f>VLOOKUP(W502,[1]Lookups!$P$3:$U$15,3,FALSE)</f>
        <v>1</v>
      </c>
      <c r="Z502" s="16">
        <f t="shared" si="398"/>
        <v>1</v>
      </c>
      <c r="AA502" s="16" t="str">
        <f t="shared" ca="1" si="714"/>
        <v>Seedstars</v>
      </c>
      <c r="AB502" s="16">
        <f t="shared" si="714"/>
        <v>0</v>
      </c>
      <c r="AC502" s="16">
        <f t="shared" si="714"/>
        <v>0</v>
      </c>
      <c r="AD502" s="16">
        <f t="shared" si="714"/>
        <v>0</v>
      </c>
      <c r="AE502" s="16">
        <f t="shared" si="714"/>
        <v>0</v>
      </c>
      <c r="AF502" s="16">
        <f t="shared" si="714"/>
        <v>0</v>
      </c>
      <c r="AG502" s="16">
        <f t="shared" si="714"/>
        <v>0</v>
      </c>
      <c r="AH502" s="16">
        <f t="shared" si="714"/>
        <v>0</v>
      </c>
      <c r="AI502" s="16">
        <f t="shared" si="714"/>
        <v>0</v>
      </c>
      <c r="AJ502" s="16">
        <f t="shared" si="714"/>
        <v>0</v>
      </c>
      <c r="AK502" s="16">
        <f t="shared" si="714"/>
        <v>0</v>
      </c>
      <c r="AL502" s="16">
        <f t="shared" si="714"/>
        <v>0</v>
      </c>
      <c r="AM502" s="16">
        <f t="shared" si="714"/>
        <v>0</v>
      </c>
      <c r="AN502" s="16">
        <f t="shared" si="714"/>
        <v>0</v>
      </c>
      <c r="AO502" s="16">
        <f t="shared" si="714"/>
        <v>0</v>
      </c>
      <c r="AP502" s="10"/>
      <c r="AQ502" s="10"/>
      <c r="AR502" s="10"/>
      <c r="AS502" s="10" t="str">
        <f t="shared" ref="AS502" ca="1" si="724">IFERROR(__xludf.DUMMYFUNCTION("split(F479,"","",true,true)"),"Seedstars")</f>
        <v>Seedstars</v>
      </c>
      <c r="AT502" s="10"/>
      <c r="AU502" s="10"/>
      <c r="AV502" s="10"/>
      <c r="AW502" s="10"/>
      <c r="AX502" s="10"/>
      <c r="AY502" s="10"/>
      <c r="AZ502" s="10"/>
      <c r="BA502" s="10"/>
      <c r="BB502" s="10"/>
      <c r="BC502" s="10"/>
      <c r="BD502" s="10"/>
      <c r="BE502" s="10"/>
      <c r="BF502" s="10"/>
      <c r="BG502" s="10"/>
      <c r="BH502" s="10"/>
      <c r="BI502" s="10"/>
      <c r="BJ502" s="10"/>
      <c r="BK502" s="10"/>
      <c r="BM502" s="10"/>
    </row>
    <row r="503" spans="1:65" ht="12.75">
      <c r="A503" s="18">
        <v>43220</v>
      </c>
      <c r="B503" s="14" t="s">
        <v>1152</v>
      </c>
      <c r="C503" s="19" t="s">
        <v>49</v>
      </c>
      <c r="D503" s="19"/>
      <c r="E503" s="14" t="s">
        <v>45</v>
      </c>
      <c r="F503" s="14" t="s">
        <v>411</v>
      </c>
      <c r="G503" s="27" t="s">
        <v>1153</v>
      </c>
      <c r="H503" s="14" t="str">
        <f t="array" ref="H503">IFERROR(INDEX([1]Companies!$G:$G,MATCH(B503,[1]Companies!$A:$A,0)),"")</f>
        <v>Nigeria</v>
      </c>
      <c r="I503" s="14" t="str">
        <f t="shared" si="694"/>
        <v>Nigeria</v>
      </c>
      <c r="J503" s="14" t="str">
        <f t="array" ref="J503">IFERROR(INDEX([1]Companies!$Y:$Y,MATCH(B503,[1]Companies!$A:$A,0)),"")</f>
        <v>Agriculture, Food Delivery, Logistics, Supply Chain Management</v>
      </c>
      <c r="K503" s="14" t="str">
        <f t="array" ref="K503">IFERROR(INDEX([1]Companies!$X:$X,MATCH(B503,[1]Companies!$A:$A,0)),"")</f>
        <v>E-Commerce &amp; Retail</v>
      </c>
      <c r="L503" s="14" t="str">
        <f>VLOOKUP(B503,[1]Companies!$A$1:$C$5243,1,FALSE)</f>
        <v>Easyshop Easycook</v>
      </c>
      <c r="M503" s="15">
        <f t="shared" si="695"/>
        <v>0.9</v>
      </c>
      <c r="N503" s="10" t="str">
        <f t="shared" si="696"/>
        <v>43220Easyshop EasycookUndisclosed</v>
      </c>
      <c r="O503" s="14" t="str">
        <f t="shared" si="697"/>
        <v/>
      </c>
      <c r="P503" s="14">
        <f t="shared" si="698"/>
        <v>0</v>
      </c>
      <c r="Q503" s="14">
        <f t="array" ref="Q503">IFERROR(INDEX([1]Companies!$D:$D,MATCH(B503,[1]Companies!$A:$A,0)),"")</f>
        <v>2006</v>
      </c>
      <c r="R503" s="17">
        <f t="shared" si="699"/>
        <v>0</v>
      </c>
      <c r="S503" s="14">
        <f>VLOOKUP(I503,[1]Lookups!$V$3:$Y$197,4,FALSE)</f>
        <v>0</v>
      </c>
      <c r="T503" s="14" t="str">
        <f>VLOOKUP(E503,[1]Lookups!$H$3:$I$71,2,FALSE)</f>
        <v>2. Seed</v>
      </c>
      <c r="U503" s="14" t="str">
        <f>VLOOKUP(K503,[1]Lookups!$B$3:$C$142,2,FALSE)</f>
        <v>E-commerce &amp; Retail</v>
      </c>
      <c r="V503" s="14">
        <f t="shared" si="396"/>
        <v>2018</v>
      </c>
      <c r="W503" s="14">
        <f t="shared" si="397"/>
        <v>4</v>
      </c>
      <c r="X503" s="14">
        <f>VLOOKUP(W503,[1]Lookups!$P$3:$S$15,2,FALSE)</f>
        <v>2</v>
      </c>
      <c r="Y503" s="16">
        <f>VLOOKUP(W503,[1]Lookups!$P$3:$U$15,3,FALSE)</f>
        <v>1</v>
      </c>
      <c r="Z503" s="16">
        <f t="shared" si="398"/>
        <v>1</v>
      </c>
      <c r="AA503" s="16" t="str">
        <f t="shared" ca="1" si="714"/>
        <v>Seedstars</v>
      </c>
      <c r="AB503" s="16">
        <f t="shared" si="714"/>
        <v>0</v>
      </c>
      <c r="AC503" s="16">
        <f t="shared" si="714"/>
        <v>0</v>
      </c>
      <c r="AD503" s="16">
        <f t="shared" si="714"/>
        <v>0</v>
      </c>
      <c r="AE503" s="16">
        <f t="shared" si="714"/>
        <v>0</v>
      </c>
      <c r="AF503" s="16">
        <f t="shared" si="714"/>
        <v>0</v>
      </c>
      <c r="AG503" s="16">
        <f t="shared" si="714"/>
        <v>0</v>
      </c>
      <c r="AH503" s="16">
        <f t="shared" si="714"/>
        <v>0</v>
      </c>
      <c r="AI503" s="16">
        <f t="shared" si="714"/>
        <v>0</v>
      </c>
      <c r="AJ503" s="16">
        <f t="shared" si="714"/>
        <v>0</v>
      </c>
      <c r="AK503" s="16">
        <f t="shared" si="714"/>
        <v>0</v>
      </c>
      <c r="AL503" s="16">
        <f t="shared" si="714"/>
        <v>0</v>
      </c>
      <c r="AM503" s="16">
        <f t="shared" si="714"/>
        <v>0</v>
      </c>
      <c r="AN503" s="16">
        <f t="shared" si="714"/>
        <v>0</v>
      </c>
      <c r="AO503" s="16">
        <f t="shared" si="714"/>
        <v>0</v>
      </c>
      <c r="AP503" s="10"/>
      <c r="AQ503" s="10"/>
      <c r="AR503" s="10"/>
      <c r="AS503" s="10" t="str">
        <f t="shared" ref="AS503" ca="1" si="725">IFERROR(__xludf.DUMMYFUNCTION("split(F479,"","",true,true)"),"Seedstars")</f>
        <v>Seedstars</v>
      </c>
      <c r="AT503" s="10"/>
      <c r="AU503" s="10"/>
      <c r="AV503" s="10"/>
      <c r="AW503" s="10"/>
      <c r="AX503" s="10"/>
      <c r="AY503" s="10"/>
      <c r="AZ503" s="10"/>
      <c r="BA503" s="10"/>
      <c r="BB503" s="10"/>
      <c r="BC503" s="10"/>
      <c r="BD503" s="10"/>
      <c r="BE503" s="10"/>
      <c r="BF503" s="10"/>
      <c r="BG503" s="10"/>
      <c r="BH503" s="10"/>
      <c r="BI503" s="10"/>
      <c r="BJ503" s="10"/>
      <c r="BK503" s="10"/>
      <c r="BM503" s="10"/>
    </row>
    <row r="504" spans="1:65" ht="12.75">
      <c r="A504" s="18">
        <v>43220</v>
      </c>
      <c r="B504" s="14" t="s">
        <v>172</v>
      </c>
      <c r="C504" s="19">
        <v>500000</v>
      </c>
      <c r="D504" s="19"/>
      <c r="E504" s="14" t="s">
        <v>45</v>
      </c>
      <c r="F504" s="14" t="s">
        <v>450</v>
      </c>
      <c r="G504" s="27" t="s">
        <v>1154</v>
      </c>
      <c r="H504" s="14" t="str">
        <f t="array" ref="H504">IFERROR(INDEX([1]Companies!$G:$G,MATCH(B504,[1]Companies!$A:$A,0)),"")</f>
        <v>Rwanda</v>
      </c>
      <c r="I504" s="14" t="str">
        <f t="shared" si="694"/>
        <v>Rwanda</v>
      </c>
      <c r="J504" s="14" t="str">
        <f t="array" ref="J504">IFERROR(INDEX([1]Companies!$Y:$Y,MATCH(B504,[1]Companies!$A:$A,0)),"")</f>
        <v>Automotive, Electric Vehicle, Emerging Markets, Transportation</v>
      </c>
      <c r="K504" s="14" t="str">
        <f t="array" ref="K504">IFERROR(INDEX([1]Companies!$X:$X,MATCH(B504,[1]Companies!$A:$A,0)),"")</f>
        <v>Automotive</v>
      </c>
      <c r="L504" s="14" t="str">
        <f>VLOOKUP(B504,[1]Companies!$A$1:$C$5243,1,FALSE)</f>
        <v>Ampersand Electric Motorcycles</v>
      </c>
      <c r="M504" s="15">
        <f t="shared" si="695"/>
        <v>0.9</v>
      </c>
      <c r="N504" s="10" t="str">
        <f t="shared" si="696"/>
        <v>43220Ampersand Electric Motorcycles500000</v>
      </c>
      <c r="O504" s="14" t="str">
        <f t="shared" si="697"/>
        <v/>
      </c>
      <c r="P504" s="14">
        <f t="shared" si="698"/>
        <v>1</v>
      </c>
      <c r="Q504" s="14">
        <f t="array" ref="Q504">IFERROR(INDEX([1]Companies!$D:$D,MATCH(B504,[1]Companies!$A:$A,0)),"")</f>
        <v>2014</v>
      </c>
      <c r="R504" s="17">
        <f t="shared" si="699"/>
        <v>905400</v>
      </c>
      <c r="S504" s="14">
        <f>VLOOKUP(I504,[1]Lookups!$V$3:$Y$197,4,FALSE)</f>
        <v>0</v>
      </c>
      <c r="T504" s="14" t="str">
        <f>VLOOKUP(E504,[1]Lookups!$H$3:$I$71,2,FALSE)</f>
        <v>2. Seed</v>
      </c>
      <c r="U504" s="14" t="str">
        <f>VLOOKUP(K504,[1]Lookups!$B$3:$C$142,2,FALSE)</f>
        <v>Emerging Technologies</v>
      </c>
      <c r="V504" s="14">
        <f t="shared" si="396"/>
        <v>2018</v>
      </c>
      <c r="W504" s="14">
        <f t="shared" si="397"/>
        <v>4</v>
      </c>
      <c r="X504" s="14">
        <f>VLOOKUP(W504,[1]Lookups!$P$3:$S$15,2,FALSE)</f>
        <v>2</v>
      </c>
      <c r="Y504" s="16">
        <f>VLOOKUP(W504,[1]Lookups!$P$3:$U$15,3,FALSE)</f>
        <v>1</v>
      </c>
      <c r="Z504" s="16">
        <f t="shared" si="398"/>
        <v>1</v>
      </c>
      <c r="AA504" s="16" t="str">
        <f t="shared" ca="1" si="714"/>
        <v>Seedstars</v>
      </c>
      <c r="AB504" s="16">
        <f t="shared" si="714"/>
        <v>0</v>
      </c>
      <c r="AC504" s="16">
        <f t="shared" si="714"/>
        <v>0</v>
      </c>
      <c r="AD504" s="16">
        <f t="shared" si="714"/>
        <v>0</v>
      </c>
      <c r="AE504" s="16">
        <f t="shared" si="714"/>
        <v>0</v>
      </c>
      <c r="AF504" s="16">
        <f t="shared" si="714"/>
        <v>0</v>
      </c>
      <c r="AG504" s="16">
        <f t="shared" si="714"/>
        <v>0</v>
      </c>
      <c r="AH504" s="16">
        <f t="shared" si="714"/>
        <v>0</v>
      </c>
      <c r="AI504" s="16">
        <f t="shared" si="714"/>
        <v>0</v>
      </c>
      <c r="AJ504" s="16">
        <f t="shared" si="714"/>
        <v>0</v>
      </c>
      <c r="AK504" s="16">
        <f t="shared" si="714"/>
        <v>0</v>
      </c>
      <c r="AL504" s="16">
        <f t="shared" si="714"/>
        <v>0</v>
      </c>
      <c r="AM504" s="16">
        <f t="shared" si="714"/>
        <v>0</v>
      </c>
      <c r="AN504" s="16">
        <f t="shared" si="714"/>
        <v>0</v>
      </c>
      <c r="AO504" s="16">
        <f t="shared" si="714"/>
        <v>0</v>
      </c>
      <c r="AP504" s="10"/>
      <c r="AQ504" s="10"/>
      <c r="AR504" s="10"/>
      <c r="AS504" s="10" t="str">
        <f t="shared" ref="AS504" ca="1" si="726">IFERROR(__xludf.DUMMYFUNCTION("split(F479,"","",true,true)"),"Seedstars")</f>
        <v>Seedstars</v>
      </c>
      <c r="AT504" s="10"/>
      <c r="AU504" s="10"/>
      <c r="AV504" s="10"/>
      <c r="AW504" s="10"/>
      <c r="AX504" s="10"/>
      <c r="AY504" s="10"/>
      <c r="AZ504" s="10"/>
      <c r="BA504" s="10"/>
      <c r="BB504" s="10"/>
      <c r="BC504" s="10"/>
      <c r="BD504" s="10"/>
      <c r="BE504" s="10"/>
      <c r="BF504" s="10"/>
      <c r="BG504" s="10"/>
      <c r="BH504" s="10"/>
      <c r="BI504" s="10"/>
      <c r="BJ504" s="10"/>
      <c r="BK504" s="10"/>
      <c r="BM504" s="10"/>
    </row>
    <row r="505" spans="1:65" ht="12.75">
      <c r="A505" s="18">
        <v>43220</v>
      </c>
      <c r="B505" s="14" t="s">
        <v>1155</v>
      </c>
      <c r="C505" s="19">
        <v>100000</v>
      </c>
      <c r="D505" s="19"/>
      <c r="E505" s="14" t="s">
        <v>45</v>
      </c>
      <c r="F505" s="14" t="s">
        <v>1156</v>
      </c>
      <c r="G505" s="27" t="s">
        <v>1157</v>
      </c>
      <c r="H505" s="14" t="str">
        <f t="array" ref="H505">IFERROR(INDEX([1]Companies!$G:$G,MATCH(B505,[1]Companies!$A:$A,0)),"")</f>
        <v>Egypt</v>
      </c>
      <c r="I505" s="14" t="str">
        <f t="shared" si="694"/>
        <v>Egypt</v>
      </c>
      <c r="J505" s="14" t="str">
        <f t="array" ref="J505">IFERROR(INDEX([1]Companies!$Y:$Y,MATCH(B505,[1]Companies!$A:$A,0)),"")</f>
        <v>Mobile application</v>
      </c>
      <c r="K505" s="14" t="str">
        <f t="array" ref="K505">IFERROR(INDEX([1]Companies!$X:$X,MATCH(B505,[1]Companies!$A:$A,0)),"")</f>
        <v>Media &amp; Entertainment</v>
      </c>
      <c r="L505" s="14" t="str">
        <f>VLOOKUP(B505,[1]Companies!$A$1:$C$5243,1,FALSE)</f>
        <v xml:space="preserve">Shagga3App </v>
      </c>
      <c r="M505" s="15">
        <f t="shared" si="695"/>
        <v>0.9</v>
      </c>
      <c r="N505" s="10" t="str">
        <f t="shared" si="696"/>
        <v>43220Shagga3App 100000</v>
      </c>
      <c r="O505" s="14" t="str">
        <f t="shared" si="697"/>
        <v/>
      </c>
      <c r="P505" s="14">
        <f t="shared" si="698"/>
        <v>1</v>
      </c>
      <c r="Q505" s="14">
        <f t="array" ref="Q505">IFERROR(INDEX([1]Companies!$D:$D,MATCH(B505,[1]Companies!$A:$A,0)),"")</f>
        <v>2018</v>
      </c>
      <c r="R505" s="17">
        <f t="shared" si="699"/>
        <v>100000</v>
      </c>
      <c r="S505" s="14">
        <f>VLOOKUP(I505,[1]Lookups!$V$3:$Y$197,4,FALSE)</f>
        <v>0</v>
      </c>
      <c r="T505" s="14" t="str">
        <f>VLOOKUP(E505,[1]Lookups!$H$3:$I$71,2,FALSE)</f>
        <v>2. Seed</v>
      </c>
      <c r="U505" s="14" t="str">
        <f>VLOOKUP(K505,[1]Lookups!$B$3:$C$142,2,FALSE)</f>
        <v>Media &amp; Entertainment</v>
      </c>
      <c r="V505" s="14">
        <f t="shared" si="396"/>
        <v>2018</v>
      </c>
      <c r="W505" s="14">
        <f t="shared" si="397"/>
        <v>4</v>
      </c>
      <c r="X505" s="14">
        <f>VLOOKUP(W505,[1]Lookups!$P$3:$S$15,2,FALSE)</f>
        <v>2</v>
      </c>
      <c r="Y505" s="16">
        <f>VLOOKUP(W505,[1]Lookups!$P$3:$U$15,3,FALSE)</f>
        <v>1</v>
      </c>
      <c r="Z505" s="16">
        <f t="shared" si="398"/>
        <v>1</v>
      </c>
      <c r="AA505" s="16" t="str">
        <f t="shared" ca="1" si="714"/>
        <v>Seedstars</v>
      </c>
      <c r="AB505" s="16">
        <f t="shared" si="714"/>
        <v>0</v>
      </c>
      <c r="AC505" s="16">
        <f t="shared" si="714"/>
        <v>0</v>
      </c>
      <c r="AD505" s="16">
        <f t="shared" si="714"/>
        <v>0</v>
      </c>
      <c r="AE505" s="16">
        <f t="shared" si="714"/>
        <v>0</v>
      </c>
      <c r="AF505" s="16">
        <f t="shared" si="714"/>
        <v>0</v>
      </c>
      <c r="AG505" s="16">
        <f t="shared" si="714"/>
        <v>0</v>
      </c>
      <c r="AH505" s="16">
        <f t="shared" si="714"/>
        <v>0</v>
      </c>
      <c r="AI505" s="16">
        <f t="shared" si="714"/>
        <v>0</v>
      </c>
      <c r="AJ505" s="16">
        <f t="shared" si="714"/>
        <v>0</v>
      </c>
      <c r="AK505" s="16">
        <f t="shared" si="714"/>
        <v>0</v>
      </c>
      <c r="AL505" s="16">
        <f t="shared" si="714"/>
        <v>0</v>
      </c>
      <c r="AM505" s="16">
        <f t="shared" si="714"/>
        <v>0</v>
      </c>
      <c r="AN505" s="16">
        <f t="shared" si="714"/>
        <v>0</v>
      </c>
      <c r="AO505" s="16">
        <f t="shared" si="714"/>
        <v>0</v>
      </c>
      <c r="AP505" s="10"/>
      <c r="AQ505" s="10"/>
      <c r="AR505" s="10"/>
      <c r="AS505" s="10" t="str">
        <f t="shared" ref="AS505" ca="1" si="727">IFERROR(__xludf.DUMMYFUNCTION("split(F479,"","",true,true)"),"Seedstars")</f>
        <v>Seedstars</v>
      </c>
      <c r="AT505" s="10"/>
      <c r="AU505" s="10"/>
      <c r="AV505" s="10"/>
      <c r="AW505" s="10"/>
      <c r="AX505" s="10"/>
      <c r="AY505" s="10"/>
      <c r="AZ505" s="10"/>
      <c r="BA505" s="10"/>
      <c r="BB505" s="10"/>
      <c r="BC505" s="10"/>
      <c r="BD505" s="10"/>
      <c r="BE505" s="10"/>
      <c r="BF505" s="10"/>
      <c r="BG505" s="10"/>
      <c r="BH505" s="10"/>
      <c r="BI505" s="10"/>
      <c r="BJ505" s="10"/>
      <c r="BK505" s="10"/>
      <c r="BM505" s="10"/>
    </row>
    <row r="506" spans="1:65" ht="12.75">
      <c r="A506" s="9">
        <v>43220</v>
      </c>
      <c r="B506" s="10" t="s">
        <v>583</v>
      </c>
      <c r="C506" s="11">
        <v>1000000</v>
      </c>
      <c r="D506" s="12"/>
      <c r="E506" s="10" t="s">
        <v>69</v>
      </c>
      <c r="F506" s="10" t="s">
        <v>1158</v>
      </c>
      <c r="G506" s="13" t="s">
        <v>1159</v>
      </c>
      <c r="H506" s="14" t="str">
        <f t="array" ref="H506">IFERROR(INDEX([1]Companies!$G:$G,MATCH(B506,[1]Companies!$A:$A,0)),"")</f>
        <v>Egypt</v>
      </c>
      <c r="I506" s="14" t="str">
        <f t="shared" si="694"/>
        <v>Egypt</v>
      </c>
      <c r="J506" s="14" t="str">
        <f t="array" ref="J506">IFERROR(INDEX([1]Companies!$Y:$Y,MATCH(B506,[1]Companies!$A:$A,0)),"")</f>
        <v>Fashion, Jewelry, Marketplace, Retail, Wearables, Wedding</v>
      </c>
      <c r="K506" s="14" t="str">
        <f t="array" ref="K506">IFERROR(INDEX([1]Companies!$X:$X,MATCH(B506,[1]Companies!$A:$A,0)),"")</f>
        <v>E-Commerce &amp; Retail</v>
      </c>
      <c r="L506" s="14" t="str">
        <f>VLOOKUP(B506,[1]Companies!$A$1:$C$5243,1,FALSE)</f>
        <v>La Reina</v>
      </c>
      <c r="M506" s="15">
        <f t="shared" si="695"/>
        <v>0.9</v>
      </c>
      <c r="N506" s="10" t="str">
        <f t="shared" si="696"/>
        <v>43220La Reina1000000</v>
      </c>
      <c r="O506" s="14" t="str">
        <f t="shared" si="697"/>
        <v/>
      </c>
      <c r="P506" s="14">
        <f t="shared" si="698"/>
        <v>1</v>
      </c>
      <c r="Q506" s="14">
        <f t="array" ref="Q506">IFERROR(INDEX([1]Companies!$D:$D,MATCH(B506,[1]Companies!$A:$A,0)),"")</f>
        <v>2015</v>
      </c>
      <c r="R506" s="17">
        <f t="shared" si="699"/>
        <v>1000000</v>
      </c>
      <c r="S506" s="14">
        <f>VLOOKUP(I506,[1]Lookups!$V$3:$Y$197,4,FALSE)</f>
        <v>0</v>
      </c>
      <c r="T506" s="14" t="str">
        <f>VLOOKUP(E506,[1]Lookups!$H$3:$I$71,2,FALSE)</f>
        <v>3. Early Venture</v>
      </c>
      <c r="U506" s="14" t="str">
        <f>VLOOKUP(K506,[1]Lookups!$B$3:$C$142,2,FALSE)</f>
        <v>E-commerce &amp; Retail</v>
      </c>
      <c r="V506" s="14">
        <f t="shared" si="396"/>
        <v>2018</v>
      </c>
      <c r="W506" s="14">
        <f t="shared" si="397"/>
        <v>4</v>
      </c>
      <c r="X506" s="14">
        <f>VLOOKUP(W506,[1]Lookups!$P$3:$S$15,2,FALSE)</f>
        <v>2</v>
      </c>
      <c r="Y506" s="16">
        <f>VLOOKUP(W506,[1]Lookups!$P$3:$U$15,3,FALSE)</f>
        <v>1</v>
      </c>
      <c r="Z506" s="16">
        <f t="shared" si="398"/>
        <v>2</v>
      </c>
      <c r="AA506" s="16" t="str">
        <f t="shared" ca="1" si="714"/>
        <v>Seedstars</v>
      </c>
      <c r="AB506" s="16" t="str">
        <f t="shared" ca="1" si="714"/>
        <v xml:space="preserve"> 500 Startups</v>
      </c>
      <c r="AC506" s="16">
        <f t="shared" si="714"/>
        <v>0</v>
      </c>
      <c r="AD506" s="16">
        <f t="shared" si="714"/>
        <v>0</v>
      </c>
      <c r="AE506" s="16">
        <f t="shared" si="714"/>
        <v>0</v>
      </c>
      <c r="AF506" s="16">
        <f t="shared" si="714"/>
        <v>0</v>
      </c>
      <c r="AG506" s="16">
        <f t="shared" si="714"/>
        <v>0</v>
      </c>
      <c r="AH506" s="16">
        <f t="shared" si="714"/>
        <v>0</v>
      </c>
      <c r="AI506" s="16">
        <f t="shared" si="714"/>
        <v>0</v>
      </c>
      <c r="AJ506" s="16">
        <f t="shared" si="714"/>
        <v>0</v>
      </c>
      <c r="AK506" s="16">
        <f t="shared" si="714"/>
        <v>0</v>
      </c>
      <c r="AL506" s="16">
        <f t="shared" si="714"/>
        <v>0</v>
      </c>
      <c r="AM506" s="16">
        <f t="shared" si="714"/>
        <v>0</v>
      </c>
      <c r="AN506" s="16">
        <f t="shared" si="714"/>
        <v>0</v>
      </c>
      <c r="AO506" s="16">
        <f t="shared" si="714"/>
        <v>0</v>
      </c>
      <c r="AP506" s="10"/>
      <c r="AQ506" s="10"/>
      <c r="AR506" s="10"/>
      <c r="AS506" s="10" t="str">
        <f t="shared" ref="AS506" ca="1" si="728">IFERROR(__xludf.DUMMYFUNCTION("split(F479,"","",true,true)"),"Seedstars")</f>
        <v>Seedstars</v>
      </c>
      <c r="AT506" s="10" t="str">
        <f ca="1">IFERROR(__xludf.DUMMYFUNCTION("""COMPUTED_VALUE""")," 500 Startups")</f>
        <v xml:space="preserve"> 500 Startups</v>
      </c>
      <c r="AU506" s="10"/>
      <c r="AV506" s="10"/>
      <c r="AW506" s="10"/>
      <c r="AX506" s="10"/>
      <c r="AY506" s="10"/>
      <c r="AZ506" s="10"/>
      <c r="BA506" s="10"/>
      <c r="BB506" s="10"/>
      <c r="BC506" s="10"/>
      <c r="BD506" s="10"/>
      <c r="BE506" s="10"/>
      <c r="BF506" s="10"/>
      <c r="BG506" s="10"/>
      <c r="BH506" s="10"/>
      <c r="BI506" s="10"/>
      <c r="BJ506" s="10"/>
      <c r="BK506" s="10"/>
      <c r="BM506" s="10"/>
    </row>
    <row r="507" spans="1:65" ht="12.75">
      <c r="A507" s="18">
        <v>43221</v>
      </c>
      <c r="B507" s="14" t="s">
        <v>191</v>
      </c>
      <c r="C507" s="19">
        <v>250000</v>
      </c>
      <c r="D507" s="19"/>
      <c r="E507" s="10" t="s">
        <v>91</v>
      </c>
      <c r="F507" s="14" t="s">
        <v>49</v>
      </c>
      <c r="G507" s="27" t="s">
        <v>1160</v>
      </c>
      <c r="H507" s="14" t="str">
        <f t="array" ref="H507">IFERROR(INDEX([1]Companies!$G:$G,MATCH(B507,[1]Companies!$A:$A,0)),"")</f>
        <v>Egypt</v>
      </c>
      <c r="I507" s="14" t="str">
        <f t="shared" si="694"/>
        <v>Egypt</v>
      </c>
      <c r="J507" s="14" t="str">
        <f t="array" ref="J507">IFERROR(INDEX([1]Companies!$Y:$Y,MATCH(B507,[1]Companies!$A:$A,0)),"")</f>
        <v>Biopharma, Biotechnology, Life Science</v>
      </c>
      <c r="K507" s="14" t="str">
        <f t="array" ref="K507">IFERROR(INDEX([1]Companies!$X:$X,MATCH(B507,[1]Companies!$A:$A,0)),"")</f>
        <v>Healthcare &amp; Pharma</v>
      </c>
      <c r="L507" s="14" t="str">
        <f>VLOOKUP(B507,[1]Companies!$A$1:$C$5243,1,FALSE)</f>
        <v>Nawah Scientific</v>
      </c>
      <c r="M507" s="15">
        <f t="shared" si="695"/>
        <v>0.9</v>
      </c>
      <c r="N507" s="10" t="str">
        <f t="shared" si="696"/>
        <v>43221Nawah Scientific250000</v>
      </c>
      <c r="O507" s="14" t="str">
        <f t="shared" si="697"/>
        <v/>
      </c>
      <c r="P507" s="14">
        <f t="shared" si="698"/>
        <v>1</v>
      </c>
      <c r="Q507" s="14">
        <f t="array" ref="Q507">IFERROR(INDEX([1]Companies!$D:$D,MATCH(B507,[1]Companies!$A:$A,0)),"")</f>
        <v>2014</v>
      </c>
      <c r="R507" s="17">
        <f t="shared" si="699"/>
        <v>2150000</v>
      </c>
      <c r="S507" s="14">
        <f>VLOOKUP(I507,[1]Lookups!$V$3:$Y$197,4,FALSE)</f>
        <v>0</v>
      </c>
      <c r="T507" s="14" t="str">
        <f>VLOOKUP(E507,[1]Lookups!$H$3:$I$71,2,FALSE)</f>
        <v>5. Debt Financing</v>
      </c>
      <c r="U507" s="14" t="str">
        <f>VLOOKUP(K507,[1]Lookups!$B$3:$C$142,2,FALSE)</f>
        <v>Health &amp; Pharmaceuticals</v>
      </c>
      <c r="V507" s="14">
        <f t="shared" si="396"/>
        <v>2018</v>
      </c>
      <c r="W507" s="14">
        <f t="shared" si="397"/>
        <v>5</v>
      </c>
      <c r="X507" s="14">
        <f>VLOOKUP(W507,[1]Lookups!$P$3:$S$15,2,FALSE)</f>
        <v>2</v>
      </c>
      <c r="Y507" s="16">
        <f>VLOOKUP(W507,[1]Lookups!$P$3:$U$15,3,FALSE)</f>
        <v>1</v>
      </c>
      <c r="Z507" s="16">
        <f t="shared" si="398"/>
        <v>1</v>
      </c>
      <c r="AA507" s="16" t="str">
        <f t="shared" ca="1" si="714"/>
        <v>Seedstars</v>
      </c>
      <c r="AB507" s="16">
        <f t="shared" si="714"/>
        <v>0</v>
      </c>
      <c r="AC507" s="16">
        <f t="shared" si="714"/>
        <v>0</v>
      </c>
      <c r="AD507" s="16">
        <f t="shared" si="714"/>
        <v>0</v>
      </c>
      <c r="AE507" s="16">
        <f t="shared" si="714"/>
        <v>0</v>
      </c>
      <c r="AF507" s="16">
        <f t="shared" si="714"/>
        <v>0</v>
      </c>
      <c r="AG507" s="16">
        <f t="shared" si="714"/>
        <v>0</v>
      </c>
      <c r="AH507" s="16">
        <f t="shared" si="714"/>
        <v>0</v>
      </c>
      <c r="AI507" s="16">
        <f t="shared" si="714"/>
        <v>0</v>
      </c>
      <c r="AJ507" s="16">
        <f t="shared" si="714"/>
        <v>0</v>
      </c>
      <c r="AK507" s="16">
        <f t="shared" si="714"/>
        <v>0</v>
      </c>
      <c r="AL507" s="16">
        <f t="shared" si="714"/>
        <v>0</v>
      </c>
      <c r="AM507" s="16">
        <f t="shared" si="714"/>
        <v>0</v>
      </c>
      <c r="AN507" s="16">
        <f t="shared" si="714"/>
        <v>0</v>
      </c>
      <c r="AO507" s="16">
        <f t="shared" si="714"/>
        <v>0</v>
      </c>
      <c r="AP507" s="10"/>
      <c r="AQ507" s="10"/>
      <c r="AR507" s="10"/>
      <c r="AS507" s="10" t="str">
        <f t="shared" ref="AS507" ca="1" si="729">IFERROR(__xludf.DUMMYFUNCTION("split(F479,"","",true,true)"),"Seedstars")</f>
        <v>Seedstars</v>
      </c>
      <c r="AT507" s="10"/>
      <c r="AU507" s="10"/>
      <c r="AV507" s="10"/>
      <c r="AW507" s="10"/>
      <c r="AX507" s="10"/>
      <c r="AY507" s="10"/>
      <c r="AZ507" s="10"/>
      <c r="BA507" s="10"/>
      <c r="BB507" s="10"/>
      <c r="BC507" s="10"/>
      <c r="BD507" s="10"/>
      <c r="BE507" s="10"/>
      <c r="BF507" s="10"/>
      <c r="BG507" s="10"/>
      <c r="BH507" s="10"/>
      <c r="BI507" s="10"/>
      <c r="BJ507" s="10"/>
      <c r="BK507" s="10"/>
      <c r="BM507" s="10"/>
    </row>
    <row r="508" spans="1:65" ht="12.75">
      <c r="A508" s="18">
        <v>43221</v>
      </c>
      <c r="B508" s="14" t="s">
        <v>482</v>
      </c>
      <c r="C508" s="19">
        <v>150000</v>
      </c>
      <c r="D508" s="19"/>
      <c r="E508" s="14" t="s">
        <v>55</v>
      </c>
      <c r="F508" s="14" t="s">
        <v>1161</v>
      </c>
      <c r="G508" s="27" t="s">
        <v>1162</v>
      </c>
      <c r="H508" s="14" t="str">
        <f t="array" ref="H508">IFERROR(INDEX([1]Companies!$G:$G,MATCH(B508,[1]Companies!$A:$A,0)),"")</f>
        <v>Egypt</v>
      </c>
      <c r="I508" s="14" t="str">
        <f t="shared" si="694"/>
        <v>Egypt</v>
      </c>
      <c r="J508" s="14" t="str">
        <f t="array" ref="J508">IFERROR(INDEX([1]Companies!$Y:$Y,MATCH(B508,[1]Companies!$A:$A,0)),"")</f>
        <v>E-Commerce, Food and Beverage, Food Delivery, Marketplace</v>
      </c>
      <c r="K508" s="14" t="str">
        <f t="array" ref="K508">IFERROR(INDEX([1]Companies!$X:$X,MATCH(B508,[1]Companies!$A:$A,0)),"")</f>
        <v>E-Commerce &amp; Retail</v>
      </c>
      <c r="L508" s="14" t="str">
        <f>VLOOKUP(B508,[1]Companies!$A$1:$C$5243,1,FALSE)</f>
        <v>Mumm</v>
      </c>
      <c r="M508" s="15">
        <f t="shared" si="695"/>
        <v>0.9</v>
      </c>
      <c r="N508" s="10" t="str">
        <f t="shared" si="696"/>
        <v>43221Mumm150000</v>
      </c>
      <c r="O508" s="14" t="str">
        <f t="shared" si="697"/>
        <v/>
      </c>
      <c r="P508" s="14">
        <f t="shared" si="698"/>
        <v>1</v>
      </c>
      <c r="Q508" s="14">
        <f t="array" ref="Q508">IFERROR(INDEX([1]Companies!$D:$D,MATCH(B508,[1]Companies!$A:$A,0)),"")</f>
        <v>2015</v>
      </c>
      <c r="R508" s="17">
        <f t="shared" si="699"/>
        <v>450000</v>
      </c>
      <c r="S508" s="14">
        <f>VLOOKUP(I508,[1]Lookups!$V$3:$Y$197,4,FALSE)</f>
        <v>0</v>
      </c>
      <c r="T508" s="14" t="str">
        <f>VLOOKUP(E508,[1]Lookups!$H$3:$I$71,2,FALSE)</f>
        <v>1. Grant</v>
      </c>
      <c r="U508" s="14" t="str">
        <f>VLOOKUP(K508,[1]Lookups!$B$3:$C$142,2,FALSE)</f>
        <v>E-commerce &amp; Retail</v>
      </c>
      <c r="V508" s="14">
        <f t="shared" si="396"/>
        <v>2018</v>
      </c>
      <c r="W508" s="14">
        <f t="shared" si="397"/>
        <v>5</v>
      </c>
      <c r="X508" s="14">
        <f>VLOOKUP(W508,[1]Lookups!$P$3:$S$15,2,FALSE)</f>
        <v>2</v>
      </c>
      <c r="Y508" s="16">
        <f>VLOOKUP(W508,[1]Lookups!$P$3:$U$15,3,FALSE)</f>
        <v>1</v>
      </c>
      <c r="Z508" s="16">
        <f t="shared" si="398"/>
        <v>1</v>
      </c>
      <c r="AA508" s="16" t="str">
        <f t="shared" ca="1" si="714"/>
        <v>Seedstars</v>
      </c>
      <c r="AB508" s="16">
        <f t="shared" si="714"/>
        <v>0</v>
      </c>
      <c r="AC508" s="16">
        <f t="shared" si="714"/>
        <v>0</v>
      </c>
      <c r="AD508" s="16">
        <f t="shared" si="714"/>
        <v>0</v>
      </c>
      <c r="AE508" s="16">
        <f t="shared" si="714"/>
        <v>0</v>
      </c>
      <c r="AF508" s="16">
        <f t="shared" si="714"/>
        <v>0</v>
      </c>
      <c r="AG508" s="16">
        <f t="shared" si="714"/>
        <v>0</v>
      </c>
      <c r="AH508" s="16">
        <f t="shared" si="714"/>
        <v>0</v>
      </c>
      <c r="AI508" s="16">
        <f t="shared" si="714"/>
        <v>0</v>
      </c>
      <c r="AJ508" s="16">
        <f t="shared" si="714"/>
        <v>0</v>
      </c>
      <c r="AK508" s="16">
        <f t="shared" si="714"/>
        <v>0</v>
      </c>
      <c r="AL508" s="16">
        <f t="shared" si="714"/>
        <v>0</v>
      </c>
      <c r="AM508" s="16">
        <f t="shared" si="714"/>
        <v>0</v>
      </c>
      <c r="AN508" s="16">
        <f t="shared" si="714"/>
        <v>0</v>
      </c>
      <c r="AO508" s="16">
        <f t="shared" si="714"/>
        <v>0</v>
      </c>
      <c r="AP508" s="10"/>
      <c r="AQ508" s="10"/>
      <c r="AR508" s="10"/>
      <c r="AS508" s="10" t="str">
        <f t="shared" ref="AS508" ca="1" si="730">IFERROR(__xludf.DUMMYFUNCTION("split(F479,"","",true,true)"),"Seedstars")</f>
        <v>Seedstars</v>
      </c>
      <c r="AT508" s="10"/>
      <c r="AU508" s="10"/>
      <c r="AV508" s="10"/>
      <c r="AW508" s="10"/>
      <c r="AX508" s="10"/>
      <c r="AY508" s="10"/>
      <c r="AZ508" s="10"/>
      <c r="BA508" s="10"/>
      <c r="BB508" s="10"/>
      <c r="BC508" s="10"/>
      <c r="BD508" s="10"/>
      <c r="BE508" s="10"/>
      <c r="BF508" s="10"/>
      <c r="BG508" s="10"/>
      <c r="BH508" s="10"/>
      <c r="BI508" s="10"/>
      <c r="BJ508" s="10"/>
      <c r="BK508" s="10"/>
      <c r="BM508" s="10"/>
    </row>
    <row r="509" spans="1:65" ht="12.75">
      <c r="A509" s="18">
        <v>43221</v>
      </c>
      <c r="B509" s="14" t="s">
        <v>1163</v>
      </c>
      <c r="C509" s="19">
        <v>60000</v>
      </c>
      <c r="D509" s="19"/>
      <c r="E509" s="14" t="s">
        <v>45</v>
      </c>
      <c r="F509" s="14" t="s">
        <v>49</v>
      </c>
      <c r="G509" s="27" t="s">
        <v>1164</v>
      </c>
      <c r="H509" s="14" t="str">
        <f t="array" ref="H509">IFERROR(INDEX([1]Companies!$G:$G,MATCH(B509,[1]Companies!$A:$A,0)),"")</f>
        <v>Egypt</v>
      </c>
      <c r="I509" s="14" t="str">
        <f t="shared" si="694"/>
        <v>Egypt</v>
      </c>
      <c r="J509" s="14" t="str">
        <f t="array" ref="J509">IFERROR(INDEX([1]Companies!$Y:$Y,MATCH(B509,[1]Companies!$A:$A,0)),"")</f>
        <v>Education, Fleet Management, Information Technology, Logistics, SaaS, Transportation</v>
      </c>
      <c r="K509" s="14" t="str">
        <f t="array" ref="K509">IFERROR(INDEX([1]Companies!$X:$X,MATCH(B509,[1]Companies!$A:$A,0)),"")</f>
        <v>Transport &amp; Logistics</v>
      </c>
      <c r="L509" s="14" t="str">
        <f>VLOOKUP(B509,[1]Companies!$A$1:$C$5243,1,FALSE)</f>
        <v>Tareeqi</v>
      </c>
      <c r="M509" s="15">
        <f t="shared" si="695"/>
        <v>0.9</v>
      </c>
      <c r="N509" s="10" t="str">
        <f t="shared" si="696"/>
        <v>43221Tareeqi60000</v>
      </c>
      <c r="O509" s="14" t="str">
        <f t="shared" si="697"/>
        <v/>
      </c>
      <c r="P509" s="14">
        <f t="shared" si="698"/>
        <v>1</v>
      </c>
      <c r="Q509" s="14">
        <f t="array" ref="Q509">IFERROR(INDEX([1]Companies!$D:$D,MATCH(B509,[1]Companies!$A:$A,0)),"")</f>
        <v>2018</v>
      </c>
      <c r="R509" s="17">
        <f t="shared" si="699"/>
        <v>60000</v>
      </c>
      <c r="S509" s="14">
        <f>VLOOKUP(I509,[1]Lookups!$V$3:$Y$197,4,FALSE)</f>
        <v>0</v>
      </c>
      <c r="T509" s="14" t="str">
        <f>VLOOKUP(E509,[1]Lookups!$H$3:$I$71,2,FALSE)</f>
        <v>2. Seed</v>
      </c>
      <c r="U509" s="14" t="str">
        <f>VLOOKUP(K509,[1]Lookups!$B$3:$C$142,2,FALSE)</f>
        <v>Transport &amp; Logistics</v>
      </c>
      <c r="V509" s="14">
        <f t="shared" si="396"/>
        <v>2018</v>
      </c>
      <c r="W509" s="14">
        <f t="shared" si="397"/>
        <v>5</v>
      </c>
      <c r="X509" s="14">
        <f>VLOOKUP(W509,[1]Lookups!$P$3:$S$15,2,FALSE)</f>
        <v>2</v>
      </c>
      <c r="Y509" s="16">
        <f>VLOOKUP(W509,[1]Lookups!$P$3:$U$15,3,FALSE)</f>
        <v>1</v>
      </c>
      <c r="Z509" s="16">
        <f t="shared" si="398"/>
        <v>1</v>
      </c>
      <c r="AA509" s="16" t="str">
        <f t="shared" ref="AA509:AO524" ca="1" si="731">AS509</f>
        <v>Seedstars</v>
      </c>
      <c r="AB509" s="16">
        <f t="shared" si="731"/>
        <v>0</v>
      </c>
      <c r="AC509" s="16">
        <f t="shared" si="731"/>
        <v>0</v>
      </c>
      <c r="AD509" s="16">
        <f t="shared" si="731"/>
        <v>0</v>
      </c>
      <c r="AE509" s="16">
        <f t="shared" si="731"/>
        <v>0</v>
      </c>
      <c r="AF509" s="16">
        <f t="shared" si="731"/>
        <v>0</v>
      </c>
      <c r="AG509" s="16">
        <f t="shared" si="731"/>
        <v>0</v>
      </c>
      <c r="AH509" s="16">
        <f t="shared" si="731"/>
        <v>0</v>
      </c>
      <c r="AI509" s="16">
        <f t="shared" si="731"/>
        <v>0</v>
      </c>
      <c r="AJ509" s="16">
        <f t="shared" si="731"/>
        <v>0</v>
      </c>
      <c r="AK509" s="16">
        <f t="shared" si="731"/>
        <v>0</v>
      </c>
      <c r="AL509" s="16">
        <f t="shared" si="731"/>
        <v>0</v>
      </c>
      <c r="AM509" s="16">
        <f t="shared" si="731"/>
        <v>0</v>
      </c>
      <c r="AN509" s="16">
        <f t="shared" si="731"/>
        <v>0</v>
      </c>
      <c r="AO509" s="16">
        <f t="shared" si="731"/>
        <v>0</v>
      </c>
      <c r="AP509" s="10"/>
      <c r="AQ509" s="10"/>
      <c r="AR509" s="10"/>
      <c r="AS509" s="10" t="str">
        <f t="shared" ref="AS509" ca="1" si="732">IFERROR(__xludf.DUMMYFUNCTION("split(F479,"","",true,true)"),"Seedstars")</f>
        <v>Seedstars</v>
      </c>
      <c r="AT509" s="10"/>
      <c r="AU509" s="10"/>
      <c r="AV509" s="10"/>
      <c r="AW509" s="10"/>
      <c r="AX509" s="10"/>
      <c r="AY509" s="10"/>
      <c r="AZ509" s="10"/>
      <c r="BA509" s="10"/>
      <c r="BB509" s="10"/>
      <c r="BC509" s="10"/>
      <c r="BD509" s="10"/>
      <c r="BE509" s="10"/>
      <c r="BF509" s="10"/>
      <c r="BG509" s="10"/>
      <c r="BH509" s="10"/>
      <c r="BI509" s="10"/>
      <c r="BJ509" s="10"/>
      <c r="BK509" s="10"/>
      <c r="BM509" s="10"/>
    </row>
    <row r="510" spans="1:65" ht="12.75">
      <c r="A510" s="18">
        <v>43221</v>
      </c>
      <c r="B510" s="14" t="s">
        <v>1165</v>
      </c>
      <c r="C510" s="19">
        <v>35000</v>
      </c>
      <c r="D510" s="19"/>
      <c r="E510" s="14" t="s">
        <v>45</v>
      </c>
      <c r="F510" s="14" t="s">
        <v>1166</v>
      </c>
      <c r="G510" s="27" t="s">
        <v>1167</v>
      </c>
      <c r="H510" s="14" t="str">
        <f t="array" ref="H510">IFERROR(INDEX([1]Companies!$G:$G,MATCH(B510,[1]Companies!$A:$A,0)),"")</f>
        <v>South Africa</v>
      </c>
      <c r="I510" s="14" t="str">
        <f t="shared" si="694"/>
        <v>South Africa</v>
      </c>
      <c r="J510" s="14" t="str">
        <f t="array" ref="J510">IFERROR(INDEX([1]Companies!$Y:$Y,MATCH(B510,[1]Companies!$A:$A,0)),"")</f>
        <v>Education, Software</v>
      </c>
      <c r="K510" s="14" t="str">
        <f t="array" ref="K510">IFERROR(INDEX([1]Companies!$X:$X,MATCH(B510,[1]Companies!$A:$A,0)),"")</f>
        <v>Education</v>
      </c>
      <c r="L510" s="14" t="str">
        <f>VLOOKUP(B510,[1]Companies!$A$1:$C$5243,1,FALSE)</f>
        <v>Zomila</v>
      </c>
      <c r="M510" s="15">
        <f t="shared" si="695"/>
        <v>0.9</v>
      </c>
      <c r="N510" s="10" t="str">
        <f t="shared" si="696"/>
        <v>43221Zomila35000</v>
      </c>
      <c r="O510" s="14" t="str">
        <f t="shared" si="697"/>
        <v/>
      </c>
      <c r="P510" s="14">
        <f t="shared" si="698"/>
        <v>1</v>
      </c>
      <c r="Q510" s="14">
        <f t="array" ref="Q510">IFERROR(INDEX([1]Companies!$D:$D,MATCH(B510,[1]Companies!$A:$A,0)),"")</f>
        <v>2017</v>
      </c>
      <c r="R510" s="17">
        <f t="shared" si="699"/>
        <v>70000</v>
      </c>
      <c r="S510" s="14">
        <f>VLOOKUP(I510,[1]Lookups!$V$3:$Y$197,4,FALSE)</f>
        <v>0</v>
      </c>
      <c r="T510" s="14" t="str">
        <f>VLOOKUP(E510,[1]Lookups!$H$3:$I$71,2,FALSE)</f>
        <v>2. Seed</v>
      </c>
      <c r="U510" s="14" t="str">
        <f>VLOOKUP(K510,[1]Lookups!$B$3:$C$142,2,FALSE)</f>
        <v>Education</v>
      </c>
      <c r="V510" s="14">
        <f t="shared" si="396"/>
        <v>2018</v>
      </c>
      <c r="W510" s="14">
        <f t="shared" si="397"/>
        <v>5</v>
      </c>
      <c r="X510" s="14">
        <f>VLOOKUP(W510,[1]Lookups!$P$3:$S$15,2,FALSE)</f>
        <v>2</v>
      </c>
      <c r="Y510" s="16">
        <f>VLOOKUP(W510,[1]Lookups!$P$3:$U$15,3,FALSE)</f>
        <v>1</v>
      </c>
      <c r="Z510" s="16">
        <f t="shared" si="398"/>
        <v>1</v>
      </c>
      <c r="AA510" s="16" t="str">
        <f t="shared" ca="1" si="731"/>
        <v>Seedstars</v>
      </c>
      <c r="AB510" s="16">
        <f t="shared" si="731"/>
        <v>0</v>
      </c>
      <c r="AC510" s="16">
        <f t="shared" si="731"/>
        <v>0</v>
      </c>
      <c r="AD510" s="16">
        <f t="shared" si="731"/>
        <v>0</v>
      </c>
      <c r="AE510" s="16">
        <f t="shared" si="731"/>
        <v>0</v>
      </c>
      <c r="AF510" s="16">
        <f t="shared" si="731"/>
        <v>0</v>
      </c>
      <c r="AG510" s="16">
        <f t="shared" si="731"/>
        <v>0</v>
      </c>
      <c r="AH510" s="16">
        <f t="shared" si="731"/>
        <v>0</v>
      </c>
      <c r="AI510" s="16">
        <f t="shared" si="731"/>
        <v>0</v>
      </c>
      <c r="AJ510" s="16">
        <f t="shared" si="731"/>
        <v>0</v>
      </c>
      <c r="AK510" s="16">
        <f t="shared" si="731"/>
        <v>0</v>
      </c>
      <c r="AL510" s="16">
        <f t="shared" si="731"/>
        <v>0</v>
      </c>
      <c r="AM510" s="16">
        <f t="shared" si="731"/>
        <v>0</v>
      </c>
      <c r="AN510" s="16">
        <f t="shared" si="731"/>
        <v>0</v>
      </c>
      <c r="AO510" s="16">
        <f t="shared" si="731"/>
        <v>0</v>
      </c>
      <c r="AP510" s="10"/>
      <c r="AQ510" s="10"/>
      <c r="AR510" s="10"/>
      <c r="AS510" s="10" t="str">
        <f t="shared" ref="AS510" ca="1" si="733">IFERROR(__xludf.DUMMYFUNCTION("split(F479,"","",true,true)"),"Seedstars")</f>
        <v>Seedstars</v>
      </c>
      <c r="AT510" s="10"/>
      <c r="AU510" s="10"/>
      <c r="AV510" s="10"/>
      <c r="AW510" s="10"/>
      <c r="AX510" s="10"/>
      <c r="AY510" s="10"/>
      <c r="AZ510" s="10"/>
      <c r="BA510" s="10"/>
      <c r="BB510" s="10"/>
      <c r="BC510" s="10"/>
      <c r="BD510" s="10"/>
      <c r="BE510" s="10"/>
      <c r="BF510" s="10"/>
      <c r="BG510" s="10"/>
      <c r="BH510" s="10"/>
      <c r="BI510" s="10"/>
      <c r="BJ510" s="10"/>
      <c r="BK510" s="10"/>
      <c r="BM510" s="10"/>
    </row>
    <row r="511" spans="1:65" ht="12.75">
      <c r="A511" s="9">
        <v>43221</v>
      </c>
      <c r="B511" s="10" t="s">
        <v>1168</v>
      </c>
      <c r="C511" s="11">
        <v>35000</v>
      </c>
      <c r="D511" s="12"/>
      <c r="E511" s="14" t="s">
        <v>45</v>
      </c>
      <c r="F511" s="10" t="s">
        <v>276</v>
      </c>
      <c r="G511" s="13" t="s">
        <v>1169</v>
      </c>
      <c r="H511" s="14" t="str">
        <f t="array" ref="H511">IFERROR(INDEX([1]Companies!$G:$G,MATCH(B511,[1]Companies!$A:$A,0)),"")</f>
        <v>Nigeria</v>
      </c>
      <c r="I511" s="14" t="str">
        <f t="shared" si="694"/>
        <v>Nigeria</v>
      </c>
      <c r="J511" s="14" t="str">
        <f t="array" ref="J511">IFERROR(INDEX([1]Companies!$Y:$Y,MATCH(B511,[1]Companies!$A:$A,0)),"")</f>
        <v>Communities, Computer, Information Technology, Mobile Apps, Property Management, Real Estate, Software</v>
      </c>
      <c r="K511" s="14" t="str">
        <f t="array" ref="K511">IFERROR(INDEX([1]Companies!$X:$X,MATCH(B511,[1]Companies!$A:$A,0)),"")</f>
        <v>Real Estate</v>
      </c>
      <c r="L511" s="14" t="str">
        <f>VLOOKUP(B511,[1]Companies!$A$1:$C$5243,1,FALSE)</f>
        <v>E-Estates</v>
      </c>
      <c r="M511" s="15">
        <f t="shared" si="695"/>
        <v>0.9</v>
      </c>
      <c r="N511" s="10" t="str">
        <f t="shared" si="696"/>
        <v>43221E-Estates35000</v>
      </c>
      <c r="O511" s="14" t="str">
        <f t="shared" si="697"/>
        <v/>
      </c>
      <c r="P511" s="14">
        <f t="shared" si="698"/>
        <v>1</v>
      </c>
      <c r="Q511" s="14">
        <f t="array" ref="Q511">IFERROR(INDEX([1]Companies!$D:$D,MATCH(B511,[1]Companies!$A:$A,0)),"")</f>
        <v>2017</v>
      </c>
      <c r="R511" s="17">
        <f t="shared" si="699"/>
        <v>60000</v>
      </c>
      <c r="S511" s="14">
        <f>VLOOKUP(I511,[1]Lookups!$V$3:$Y$197,4,FALSE)</f>
        <v>0</v>
      </c>
      <c r="T511" s="14" t="str">
        <f>VLOOKUP(E511,[1]Lookups!$H$3:$I$71,2,FALSE)</f>
        <v>2. Seed</v>
      </c>
      <c r="U511" s="14" t="str">
        <f>VLOOKUP(K511,[1]Lookups!$B$3:$C$142,2,FALSE)</f>
        <v>Construction &amp; Real Estate</v>
      </c>
      <c r="V511" s="14">
        <f t="shared" si="396"/>
        <v>2018</v>
      </c>
      <c r="W511" s="14">
        <f t="shared" si="397"/>
        <v>5</v>
      </c>
      <c r="X511" s="14">
        <f>VLOOKUP(W511,[1]Lookups!$P$3:$S$15,2,FALSE)</f>
        <v>2</v>
      </c>
      <c r="Y511" s="16">
        <f>VLOOKUP(W511,[1]Lookups!$P$3:$U$15,3,FALSE)</f>
        <v>1</v>
      </c>
      <c r="Z511" s="16">
        <f t="shared" si="398"/>
        <v>1</v>
      </c>
      <c r="AA511" s="16" t="str">
        <f t="shared" ca="1" si="731"/>
        <v>Seedstars</v>
      </c>
      <c r="AB511" s="16">
        <f t="shared" si="731"/>
        <v>0</v>
      </c>
      <c r="AC511" s="16">
        <f t="shared" si="731"/>
        <v>0</v>
      </c>
      <c r="AD511" s="16">
        <f t="shared" si="731"/>
        <v>0</v>
      </c>
      <c r="AE511" s="16">
        <f t="shared" si="731"/>
        <v>0</v>
      </c>
      <c r="AF511" s="16">
        <f t="shared" si="731"/>
        <v>0</v>
      </c>
      <c r="AG511" s="16">
        <f t="shared" si="731"/>
        <v>0</v>
      </c>
      <c r="AH511" s="16">
        <f t="shared" si="731"/>
        <v>0</v>
      </c>
      <c r="AI511" s="16">
        <f t="shared" si="731"/>
        <v>0</v>
      </c>
      <c r="AJ511" s="16">
        <f t="shared" si="731"/>
        <v>0</v>
      </c>
      <c r="AK511" s="16">
        <f t="shared" si="731"/>
        <v>0</v>
      </c>
      <c r="AL511" s="16">
        <f t="shared" si="731"/>
        <v>0</v>
      </c>
      <c r="AM511" s="16">
        <f t="shared" si="731"/>
        <v>0</v>
      </c>
      <c r="AN511" s="16">
        <f t="shared" si="731"/>
        <v>0</v>
      </c>
      <c r="AO511" s="16">
        <f t="shared" si="731"/>
        <v>0</v>
      </c>
      <c r="AP511" s="10"/>
      <c r="AQ511" s="10"/>
      <c r="AR511" s="10"/>
      <c r="AS511" s="10" t="str">
        <f t="shared" ref="AS511" ca="1" si="734">IFERROR(__xludf.DUMMYFUNCTION("split(F479,"","",true,true)"),"Seedstars")</f>
        <v>Seedstars</v>
      </c>
      <c r="AT511" s="10"/>
      <c r="AU511" s="10"/>
      <c r="AV511" s="10"/>
      <c r="AW511" s="10"/>
      <c r="AX511" s="10"/>
      <c r="AY511" s="10"/>
      <c r="AZ511" s="10"/>
      <c r="BA511" s="10"/>
      <c r="BB511" s="10"/>
      <c r="BC511" s="10"/>
      <c r="BD511" s="10"/>
      <c r="BE511" s="10"/>
      <c r="BF511" s="10"/>
      <c r="BG511" s="10"/>
      <c r="BH511" s="10"/>
      <c r="BI511" s="10"/>
      <c r="BJ511" s="10"/>
      <c r="BK511" s="10"/>
      <c r="BM511" s="10"/>
    </row>
    <row r="512" spans="1:65" ht="12.75">
      <c r="A512" s="18">
        <v>43222</v>
      </c>
      <c r="B512" s="14" t="s">
        <v>64</v>
      </c>
      <c r="C512" s="19">
        <v>6000000</v>
      </c>
      <c r="D512" s="19"/>
      <c r="E512" s="14" t="s">
        <v>112</v>
      </c>
      <c r="F512" s="14" t="s">
        <v>1170</v>
      </c>
      <c r="G512" s="27" t="s">
        <v>1171</v>
      </c>
      <c r="H512" s="14" t="str">
        <f t="array" ref="H512">IFERROR(INDEX([1]Companies!$G:$G,MATCH(B512,[1]Companies!$A:$A,0)),"")</f>
        <v>Egypt</v>
      </c>
      <c r="I512" s="14" t="str">
        <f t="shared" si="694"/>
        <v>Egypt</v>
      </c>
      <c r="J512" s="14" t="str">
        <f t="array" ref="J512">IFERROR(INDEX([1]Companies!$Y:$Y,MATCH(B512,[1]Companies!$A:$A,0)),"")</f>
        <v>Information Services, Information Technology, Software, Web Development</v>
      </c>
      <c r="K512" s="14" t="str">
        <f t="array" ref="K512">IFERROR(INDEX([1]Companies!$X:$X,MATCH(B512,[1]Companies!$A:$A,0)),"")</f>
        <v>Recruitment</v>
      </c>
      <c r="L512" s="14" t="str">
        <f>VLOOKUP(B512,[1]Companies!$A$1:$C$5243,1,FALSE)</f>
        <v>Wuzzuf</v>
      </c>
      <c r="M512" s="15">
        <f t="shared" si="695"/>
        <v>0.9</v>
      </c>
      <c r="N512" s="10" t="str">
        <f t="shared" si="696"/>
        <v>43222Wuzzuf6000000</v>
      </c>
      <c r="O512" s="14" t="str">
        <f t="shared" si="697"/>
        <v/>
      </c>
      <c r="P512" s="14">
        <f t="shared" si="698"/>
        <v>1</v>
      </c>
      <c r="Q512" s="14">
        <f t="array" ref="Q512">IFERROR(INDEX([1]Companies!$D:$D,MATCH(B512,[1]Companies!$A:$A,0)),"")</f>
        <v>2009</v>
      </c>
      <c r="R512" s="17">
        <f t="shared" si="699"/>
        <v>7850000</v>
      </c>
      <c r="S512" s="14">
        <f>VLOOKUP(I512,[1]Lookups!$V$3:$Y$197,4,FALSE)</f>
        <v>0</v>
      </c>
      <c r="T512" s="14" t="str">
        <f>VLOOKUP(E512,[1]Lookups!$H$3:$I$71,2,FALSE)</f>
        <v>3. Early Venture</v>
      </c>
      <c r="U512" s="14" t="str">
        <f>VLOOKUP(K512,[1]Lookups!$B$3:$C$142,2,FALSE)</f>
        <v>Employment, Talent &amp; Labour</v>
      </c>
      <c r="V512" s="14">
        <f t="shared" ref="V512:V681" si="735">YEAR(A512)</f>
        <v>2018</v>
      </c>
      <c r="W512" s="14">
        <f t="shared" ref="W512:W681" si="736">MONTH(A512)</f>
        <v>5</v>
      </c>
      <c r="X512" s="14">
        <f>VLOOKUP(W512,[1]Lookups!$P$3:$S$15,2,FALSE)</f>
        <v>2</v>
      </c>
      <c r="Y512" s="16">
        <f>VLOOKUP(W512,[1]Lookups!$P$3:$U$15,3,FALSE)</f>
        <v>1</v>
      </c>
      <c r="Z512" s="16">
        <f t="shared" ref="Z512:Z681" si="737">LEN(F512)-LEN(SUBSTITUTE(F512,",",""))+1</f>
        <v>3</v>
      </c>
      <c r="AA512" s="16" t="str">
        <f t="shared" ca="1" si="731"/>
        <v>Seedstars</v>
      </c>
      <c r="AB512" s="16" t="str">
        <f t="shared" ca="1" si="731"/>
        <v xml:space="preserve"> Kingsway Capital</v>
      </c>
      <c r="AC512" s="16" t="str">
        <f t="shared" ca="1" si="731"/>
        <v xml:space="preserve"> Endure Capital</v>
      </c>
      <c r="AD512" s="16">
        <f t="shared" si="731"/>
        <v>0</v>
      </c>
      <c r="AE512" s="16">
        <f t="shared" si="731"/>
        <v>0</v>
      </c>
      <c r="AF512" s="16">
        <f t="shared" si="731"/>
        <v>0</v>
      </c>
      <c r="AG512" s="16">
        <f t="shared" si="731"/>
        <v>0</v>
      </c>
      <c r="AH512" s="16">
        <f t="shared" si="731"/>
        <v>0</v>
      </c>
      <c r="AI512" s="16">
        <f t="shared" si="731"/>
        <v>0</v>
      </c>
      <c r="AJ512" s="16">
        <f t="shared" si="731"/>
        <v>0</v>
      </c>
      <c r="AK512" s="16">
        <f t="shared" si="731"/>
        <v>0</v>
      </c>
      <c r="AL512" s="16">
        <f t="shared" si="731"/>
        <v>0</v>
      </c>
      <c r="AM512" s="16">
        <f t="shared" si="731"/>
        <v>0</v>
      </c>
      <c r="AN512" s="16">
        <f t="shared" si="731"/>
        <v>0</v>
      </c>
      <c r="AO512" s="16">
        <f t="shared" si="731"/>
        <v>0</v>
      </c>
      <c r="AP512" s="10"/>
      <c r="AQ512" s="10"/>
      <c r="AR512" s="10"/>
      <c r="AS512" s="10" t="str">
        <f t="shared" ref="AS512" ca="1" si="738">IFERROR(__xludf.DUMMYFUNCTION("split(F479,"","",true,true)"),"Seedstars")</f>
        <v>Seedstars</v>
      </c>
      <c r="AT512" s="10" t="str">
        <f ca="1">IFERROR(__xludf.DUMMYFUNCTION("""COMPUTED_VALUE""")," Kingsway Capital")</f>
        <v xml:space="preserve"> Kingsway Capital</v>
      </c>
      <c r="AU512" s="10" t="str">
        <f ca="1">IFERROR(__xludf.DUMMYFUNCTION("""COMPUTED_VALUE""")," Endure Capital")</f>
        <v xml:space="preserve"> Endure Capital</v>
      </c>
      <c r="AV512" s="10"/>
      <c r="AW512" s="10"/>
      <c r="AX512" s="10"/>
      <c r="AY512" s="10"/>
      <c r="AZ512" s="10"/>
      <c r="BA512" s="10"/>
      <c r="BB512" s="10"/>
      <c r="BC512" s="10"/>
      <c r="BD512" s="10"/>
      <c r="BE512" s="10"/>
      <c r="BF512" s="10"/>
      <c r="BG512" s="10"/>
      <c r="BH512" s="10"/>
      <c r="BI512" s="10"/>
      <c r="BJ512" s="10"/>
      <c r="BK512" s="10"/>
      <c r="BM512" s="10"/>
    </row>
    <row r="513" spans="1:65" ht="12.75">
      <c r="A513" s="18">
        <v>43223</v>
      </c>
      <c r="B513" s="14" t="s">
        <v>1172</v>
      </c>
      <c r="C513" s="19">
        <v>330000</v>
      </c>
      <c r="D513" s="19"/>
      <c r="E513" s="14" t="s">
        <v>45</v>
      </c>
      <c r="F513" s="14" t="s">
        <v>266</v>
      </c>
      <c r="G513" s="27" t="s">
        <v>1173</v>
      </c>
      <c r="H513" s="14" t="str">
        <f t="array" ref="H513">IFERROR(INDEX([1]Companies!$G:$G,MATCH(B513,[1]Companies!$A:$A,0)),"")</f>
        <v>Nigeria</v>
      </c>
      <c r="I513" s="14" t="str">
        <f t="shared" si="694"/>
        <v>Nigeria</v>
      </c>
      <c r="J513" s="14" t="str">
        <f t="array" ref="J513">IFERROR(INDEX([1]Companies!$Y:$Y,MATCH(B513,[1]Companies!$A:$A,0)),"")</f>
        <v>Health Care, Pharmaceutical, SaaS</v>
      </c>
      <c r="K513" s="14" t="str">
        <f t="array" ref="K513">IFERROR(INDEX([1]Companies!$X:$X,MATCH(B513,[1]Companies!$A:$A,0)),"")</f>
        <v>Healthcare &amp; Pharma</v>
      </c>
      <c r="L513" s="14" t="str">
        <f>VLOOKUP(B513,[1]Companies!$A$1:$C$5243,1,FALSE)</f>
        <v>Medsaf</v>
      </c>
      <c r="M513" s="15">
        <f t="shared" si="695"/>
        <v>0.9</v>
      </c>
      <c r="N513" s="10" t="str">
        <f t="shared" si="696"/>
        <v>43223Medsaf330000</v>
      </c>
      <c r="O513" s="14" t="str">
        <f t="shared" si="697"/>
        <v/>
      </c>
      <c r="P513" s="14">
        <f t="shared" si="698"/>
        <v>1</v>
      </c>
      <c r="Q513" s="14">
        <f t="array" ref="Q513">IFERROR(INDEX([1]Companies!$D:$D,MATCH(B513,[1]Companies!$A:$A,0)),"")</f>
        <v>2017</v>
      </c>
      <c r="R513" s="17">
        <f t="shared" si="699"/>
        <v>1440000</v>
      </c>
      <c r="S513" s="14">
        <f>VLOOKUP(I513,[1]Lookups!$V$3:$Y$197,4,FALSE)</f>
        <v>0</v>
      </c>
      <c r="T513" s="14" t="str">
        <f>VLOOKUP(E513,[1]Lookups!$H$3:$I$71,2,FALSE)</f>
        <v>2. Seed</v>
      </c>
      <c r="U513" s="14" t="str">
        <f>VLOOKUP(K513,[1]Lookups!$B$3:$C$142,2,FALSE)</f>
        <v>Health &amp; Pharmaceuticals</v>
      </c>
      <c r="V513" s="14">
        <f t="shared" si="735"/>
        <v>2018</v>
      </c>
      <c r="W513" s="14">
        <f t="shared" si="736"/>
        <v>5</v>
      </c>
      <c r="X513" s="14">
        <f>VLOOKUP(W513,[1]Lookups!$P$3:$S$15,2,FALSE)</f>
        <v>2</v>
      </c>
      <c r="Y513" s="16">
        <f>VLOOKUP(W513,[1]Lookups!$P$3:$U$15,3,FALSE)</f>
        <v>1</v>
      </c>
      <c r="Z513" s="16">
        <f t="shared" si="737"/>
        <v>1</v>
      </c>
      <c r="AA513" s="16" t="str">
        <f t="shared" ca="1" si="731"/>
        <v>Seedstars</v>
      </c>
      <c r="AB513" s="16">
        <f t="shared" si="731"/>
        <v>0</v>
      </c>
      <c r="AC513" s="16">
        <f t="shared" si="731"/>
        <v>0</v>
      </c>
      <c r="AD513" s="16">
        <f t="shared" si="731"/>
        <v>0</v>
      </c>
      <c r="AE513" s="16">
        <f t="shared" si="731"/>
        <v>0</v>
      </c>
      <c r="AF513" s="16">
        <f t="shared" si="731"/>
        <v>0</v>
      </c>
      <c r="AG513" s="16">
        <f t="shared" si="731"/>
        <v>0</v>
      </c>
      <c r="AH513" s="16">
        <f t="shared" si="731"/>
        <v>0</v>
      </c>
      <c r="AI513" s="16">
        <f t="shared" si="731"/>
        <v>0</v>
      </c>
      <c r="AJ513" s="16">
        <f t="shared" si="731"/>
        <v>0</v>
      </c>
      <c r="AK513" s="16">
        <f t="shared" si="731"/>
        <v>0</v>
      </c>
      <c r="AL513" s="16">
        <f t="shared" si="731"/>
        <v>0</v>
      </c>
      <c r="AM513" s="16">
        <f t="shared" si="731"/>
        <v>0</v>
      </c>
      <c r="AN513" s="16">
        <f t="shared" si="731"/>
        <v>0</v>
      </c>
      <c r="AO513" s="16">
        <f t="shared" si="731"/>
        <v>0</v>
      </c>
      <c r="AP513" s="10"/>
      <c r="AQ513" s="10"/>
      <c r="AR513" s="10"/>
      <c r="AS513" s="10" t="str">
        <f t="shared" ref="AS513" ca="1" si="739">IFERROR(__xludf.DUMMYFUNCTION("split(F479,"","",true,true)"),"Seedstars")</f>
        <v>Seedstars</v>
      </c>
      <c r="AT513" s="10"/>
      <c r="AU513" s="10"/>
      <c r="AV513" s="10"/>
      <c r="AW513" s="10"/>
      <c r="AX513" s="10"/>
      <c r="AY513" s="10"/>
      <c r="AZ513" s="10"/>
      <c r="BA513" s="10"/>
      <c r="BB513" s="10"/>
      <c r="BC513" s="10"/>
      <c r="BD513" s="10"/>
      <c r="BE513" s="10"/>
      <c r="BF513" s="10"/>
      <c r="BG513" s="10"/>
      <c r="BH513" s="10"/>
      <c r="BI513" s="10"/>
      <c r="BJ513" s="10"/>
      <c r="BK513" s="10"/>
      <c r="BM513" s="10"/>
    </row>
    <row r="514" spans="1:65" ht="12.75">
      <c r="A514" s="18">
        <v>43224</v>
      </c>
      <c r="B514" s="14" t="s">
        <v>1174</v>
      </c>
      <c r="C514" s="19">
        <v>40000</v>
      </c>
      <c r="D514" s="19"/>
      <c r="E514" s="14" t="s">
        <v>45</v>
      </c>
      <c r="F514" s="14" t="s">
        <v>1175</v>
      </c>
      <c r="G514" s="27" t="s">
        <v>1176</v>
      </c>
      <c r="H514" s="14" t="str">
        <f t="array" ref="H514">IFERROR(INDEX([1]Companies!$G:$G,MATCH(B514,[1]Companies!$A:$A,0)),"")</f>
        <v>Ghana</v>
      </c>
      <c r="I514" s="14" t="str">
        <f t="shared" si="694"/>
        <v>Ghana</v>
      </c>
      <c r="J514" s="14" t="str">
        <f t="array" ref="J514">IFERROR(INDEX([1]Companies!$Y:$Y,MATCH(B514,[1]Companies!$A:$A,0)),"")</f>
        <v>Business Development, Micro Lending, Small and Medium Businesses</v>
      </c>
      <c r="K514" s="14" t="str">
        <f t="array" ref="K514">IFERROR(INDEX([1]Companies!$X:$X,MATCH(B514,[1]Companies!$A:$A,0)),"")</f>
        <v>Financial Services</v>
      </c>
      <c r="L514" s="14" t="str">
        <f>VLOOKUP(B514,[1]Companies!$A$1:$C$5243,1,FALSE)</f>
        <v>Nocofio</v>
      </c>
      <c r="M514" s="15">
        <f t="shared" si="695"/>
        <v>0.9</v>
      </c>
      <c r="N514" s="10" t="str">
        <f t="shared" si="696"/>
        <v>43224Nocofio40000</v>
      </c>
      <c r="O514" s="14" t="str">
        <f t="shared" si="697"/>
        <v/>
      </c>
      <c r="P514" s="14">
        <f t="shared" si="698"/>
        <v>1</v>
      </c>
      <c r="Q514" s="14">
        <f t="array" ref="Q514">IFERROR(INDEX([1]Companies!$D:$D,MATCH(B514,[1]Companies!$A:$A,0)),"")</f>
        <v>2018</v>
      </c>
      <c r="R514" s="17">
        <f t="shared" si="699"/>
        <v>40000</v>
      </c>
      <c r="S514" s="14">
        <f>VLOOKUP(I514,[1]Lookups!$V$3:$Y$197,4,FALSE)</f>
        <v>0</v>
      </c>
      <c r="T514" s="14" t="str">
        <f>VLOOKUP(E514,[1]Lookups!$H$3:$I$71,2,FALSE)</f>
        <v>2. Seed</v>
      </c>
      <c r="U514" s="14" t="str">
        <f>VLOOKUP(K514,[1]Lookups!$B$3:$C$142,2,FALSE)</f>
        <v>Financial Services</v>
      </c>
      <c r="V514" s="14">
        <f t="shared" si="735"/>
        <v>2018</v>
      </c>
      <c r="W514" s="14">
        <f t="shared" si="736"/>
        <v>5</v>
      </c>
      <c r="X514" s="14">
        <f>VLOOKUP(W514,[1]Lookups!$P$3:$S$15,2,FALSE)</f>
        <v>2</v>
      </c>
      <c r="Y514" s="16">
        <f>VLOOKUP(W514,[1]Lookups!$P$3:$U$15,3,FALSE)</f>
        <v>1</v>
      </c>
      <c r="Z514" s="16">
        <f t="shared" si="737"/>
        <v>1</v>
      </c>
      <c r="AA514" s="16" t="str">
        <f t="shared" ca="1" si="731"/>
        <v>Seedstars</v>
      </c>
      <c r="AB514" s="16">
        <f t="shared" si="731"/>
        <v>0</v>
      </c>
      <c r="AC514" s="16">
        <f t="shared" si="731"/>
        <v>0</v>
      </c>
      <c r="AD514" s="16">
        <f t="shared" si="731"/>
        <v>0</v>
      </c>
      <c r="AE514" s="16">
        <f t="shared" si="731"/>
        <v>0</v>
      </c>
      <c r="AF514" s="16">
        <f t="shared" si="731"/>
        <v>0</v>
      </c>
      <c r="AG514" s="16">
        <f t="shared" si="731"/>
        <v>0</v>
      </c>
      <c r="AH514" s="16">
        <f t="shared" si="731"/>
        <v>0</v>
      </c>
      <c r="AI514" s="16">
        <f t="shared" si="731"/>
        <v>0</v>
      </c>
      <c r="AJ514" s="16">
        <f t="shared" si="731"/>
        <v>0</v>
      </c>
      <c r="AK514" s="16">
        <f t="shared" si="731"/>
        <v>0</v>
      </c>
      <c r="AL514" s="16">
        <f t="shared" si="731"/>
        <v>0</v>
      </c>
      <c r="AM514" s="16">
        <f t="shared" si="731"/>
        <v>0</v>
      </c>
      <c r="AN514" s="16">
        <f t="shared" si="731"/>
        <v>0</v>
      </c>
      <c r="AO514" s="16">
        <f t="shared" si="731"/>
        <v>0</v>
      </c>
      <c r="AP514" s="10"/>
      <c r="AQ514" s="10"/>
      <c r="AR514" s="10"/>
      <c r="AS514" s="10" t="str">
        <f t="shared" ref="AS514" ca="1" si="740">IFERROR(__xludf.DUMMYFUNCTION("split(F479,"","",true,true)"),"Seedstars")</f>
        <v>Seedstars</v>
      </c>
      <c r="AT514" s="10"/>
      <c r="AU514" s="10"/>
      <c r="AV514" s="10"/>
      <c r="AW514" s="10"/>
      <c r="AX514" s="10"/>
      <c r="AY514" s="10"/>
      <c r="AZ514" s="10"/>
      <c r="BA514" s="10"/>
      <c r="BB514" s="10"/>
      <c r="BC514" s="10"/>
      <c r="BD514" s="10"/>
      <c r="BE514" s="10"/>
      <c r="BF514" s="10"/>
      <c r="BG514" s="10"/>
      <c r="BH514" s="10"/>
      <c r="BI514" s="10"/>
      <c r="BJ514" s="10"/>
      <c r="BK514" s="10"/>
      <c r="BM514" s="10"/>
    </row>
    <row r="515" spans="1:65" ht="12.75">
      <c r="A515" s="18">
        <v>43224</v>
      </c>
      <c r="B515" s="14" t="s">
        <v>1177</v>
      </c>
      <c r="C515" s="19">
        <v>1200000</v>
      </c>
      <c r="D515" s="19"/>
      <c r="E515" s="14" t="s">
        <v>287</v>
      </c>
      <c r="F515" s="14" t="s">
        <v>1178</v>
      </c>
      <c r="G515" s="27" t="s">
        <v>1179</v>
      </c>
      <c r="H515" s="14" t="str">
        <f t="array" ref="H515">IFERROR(INDEX([1]Companies!$G:$G,MATCH(B515,[1]Companies!$A:$A,0)),"")</f>
        <v>Rwanda</v>
      </c>
      <c r="I515" s="14" t="str">
        <f t="shared" si="694"/>
        <v>Rwanda</v>
      </c>
      <c r="J515" s="14" t="str">
        <f t="array" ref="J515">IFERROR(INDEX([1]Companies!$Y:$Y,MATCH(B515,[1]Companies!$A:$A,0)),"")</f>
        <v>Energy, Environmental Consulting, Renewable Energy</v>
      </c>
      <c r="K515" s="14" t="str">
        <f t="array" ref="K515">IFERROR(INDEX([1]Companies!$X:$X,MATCH(B515,[1]Companies!$A:$A,0)),"")</f>
        <v>Renewables &amp; Environment</v>
      </c>
      <c r="L515" s="14" t="str">
        <f>VLOOKUP(B515,[1]Companies!$A$1:$C$5243,1,FALSE)</f>
        <v>Inyenyeri</v>
      </c>
      <c r="M515" s="15">
        <f t="shared" si="695"/>
        <v>0.9</v>
      </c>
      <c r="N515" s="10" t="str">
        <f t="shared" si="696"/>
        <v>43224Inyenyeri1200000</v>
      </c>
      <c r="O515" s="14" t="str">
        <f t="shared" si="697"/>
        <v/>
      </c>
      <c r="P515" s="14">
        <f t="shared" si="698"/>
        <v>1</v>
      </c>
      <c r="Q515" s="14">
        <f t="array" ref="Q515">IFERROR(INDEX([1]Companies!$D:$D,MATCH(B515,[1]Companies!$A:$A,0)),"")</f>
        <v>2012</v>
      </c>
      <c r="R515" s="17">
        <f t="shared" si="699"/>
        <v>1200000</v>
      </c>
      <c r="S515" s="14">
        <f>VLOOKUP(I515,[1]Lookups!$V$3:$Y$197,4,FALSE)</f>
        <v>0</v>
      </c>
      <c r="T515" s="14" t="str">
        <f>VLOOKUP(E515,[1]Lookups!$H$3:$I$71,2,FALSE)</f>
        <v>5. Debt Financing</v>
      </c>
      <c r="U515" s="14" t="str">
        <f>VLOOKUP(K515,[1]Lookups!$B$3:$C$142,2,FALSE)</f>
        <v>Energy &amp; Resources</v>
      </c>
      <c r="V515" s="14">
        <f t="shared" si="735"/>
        <v>2018</v>
      </c>
      <c r="W515" s="14">
        <f t="shared" si="736"/>
        <v>5</v>
      </c>
      <c r="X515" s="14">
        <f>VLOOKUP(W515,[1]Lookups!$P$3:$S$15,2,FALSE)</f>
        <v>2</v>
      </c>
      <c r="Y515" s="16">
        <f>VLOOKUP(W515,[1]Lookups!$P$3:$U$15,3,FALSE)</f>
        <v>1</v>
      </c>
      <c r="Z515" s="16">
        <f t="shared" si="737"/>
        <v>1</v>
      </c>
      <c r="AA515" s="16" t="str">
        <f t="shared" ca="1" si="731"/>
        <v>Seedstars</v>
      </c>
      <c r="AB515" s="16">
        <f t="shared" si="731"/>
        <v>0</v>
      </c>
      <c r="AC515" s="16">
        <f t="shared" si="731"/>
        <v>0</v>
      </c>
      <c r="AD515" s="16">
        <f t="shared" si="731"/>
        <v>0</v>
      </c>
      <c r="AE515" s="16">
        <f t="shared" si="731"/>
        <v>0</v>
      </c>
      <c r="AF515" s="16">
        <f t="shared" si="731"/>
        <v>0</v>
      </c>
      <c r="AG515" s="16">
        <f t="shared" si="731"/>
        <v>0</v>
      </c>
      <c r="AH515" s="16">
        <f t="shared" si="731"/>
        <v>0</v>
      </c>
      <c r="AI515" s="16">
        <f t="shared" si="731"/>
        <v>0</v>
      </c>
      <c r="AJ515" s="16">
        <f t="shared" si="731"/>
        <v>0</v>
      </c>
      <c r="AK515" s="16">
        <f t="shared" si="731"/>
        <v>0</v>
      </c>
      <c r="AL515" s="16">
        <f t="shared" si="731"/>
        <v>0</v>
      </c>
      <c r="AM515" s="16">
        <f t="shared" si="731"/>
        <v>0</v>
      </c>
      <c r="AN515" s="16">
        <f t="shared" si="731"/>
        <v>0</v>
      </c>
      <c r="AO515" s="16">
        <f t="shared" si="731"/>
        <v>0</v>
      </c>
      <c r="AP515" s="10"/>
      <c r="AQ515" s="10"/>
      <c r="AR515" s="10"/>
      <c r="AS515" s="10" t="str">
        <f t="shared" ref="AS515" ca="1" si="741">IFERROR(__xludf.DUMMYFUNCTION("split(F479,"","",true,true)"),"Seedstars")</f>
        <v>Seedstars</v>
      </c>
      <c r="AT515" s="10"/>
      <c r="AU515" s="10"/>
      <c r="AV515" s="10"/>
      <c r="AW515" s="10"/>
      <c r="AX515" s="10"/>
      <c r="AY515" s="10"/>
      <c r="AZ515" s="10"/>
      <c r="BA515" s="10"/>
      <c r="BB515" s="10"/>
      <c r="BC515" s="10"/>
      <c r="BD515" s="10"/>
      <c r="BE515" s="10"/>
      <c r="BF515" s="10"/>
      <c r="BG515" s="10"/>
      <c r="BH515" s="10"/>
      <c r="BI515" s="10"/>
      <c r="BJ515" s="10"/>
      <c r="BK515" s="10"/>
      <c r="BM515" s="10"/>
    </row>
    <row r="516" spans="1:65" ht="12.75">
      <c r="A516" s="9">
        <v>43228</v>
      </c>
      <c r="B516" s="10" t="s">
        <v>278</v>
      </c>
      <c r="C516" s="11" t="s">
        <v>49</v>
      </c>
      <c r="D516" s="12"/>
      <c r="E516" s="10" t="s">
        <v>69</v>
      </c>
      <c r="F516" s="10" t="s">
        <v>1180</v>
      </c>
      <c r="G516" s="13" t="s">
        <v>1181</v>
      </c>
      <c r="H516" s="14" t="str">
        <f t="array" ref="H516">IFERROR(INDEX([1]Companies!$G:$G,MATCH(B516,[1]Companies!$A:$A,0)),"")</f>
        <v>South Africa</v>
      </c>
      <c r="I516" s="14" t="str">
        <f t="shared" si="694"/>
        <v>South Africa</v>
      </c>
      <c r="J516" s="14" t="str">
        <f t="array" ref="J516">IFERROR(INDEX([1]Companies!$Y:$Y,MATCH(B516,[1]Companies!$A:$A,0)),"")</f>
        <v>Home Improvement, Home Services, Internet</v>
      </c>
      <c r="K516" s="14" t="str">
        <f t="array" ref="K516">IFERROR(INDEX([1]Companies!$X:$X,MATCH(B516,[1]Companies!$A:$A,0)),"")</f>
        <v>Commercial &amp; Professional Services</v>
      </c>
      <c r="L516" s="14" t="str">
        <f>VLOOKUP(B516,[1]Companies!$A$1:$C$5243,1,FALSE)</f>
        <v>Sweepsouth</v>
      </c>
      <c r="M516" s="15">
        <f t="shared" si="695"/>
        <v>0.9</v>
      </c>
      <c r="N516" s="10" t="str">
        <f t="shared" si="696"/>
        <v>43228SweepsouthUndisclosed</v>
      </c>
      <c r="O516" s="14" t="str">
        <f t="shared" si="697"/>
        <v/>
      </c>
      <c r="P516" s="14">
        <f t="shared" si="698"/>
        <v>0</v>
      </c>
      <c r="Q516" s="14">
        <f t="array" ref="Q516">IFERROR(INDEX([1]Companies!$D:$D,MATCH(B516,[1]Companies!$A:$A,0)),"")</f>
        <v>2014</v>
      </c>
      <c r="R516" s="17">
        <f t="shared" si="699"/>
        <v>2700000</v>
      </c>
      <c r="S516" s="14">
        <f>VLOOKUP(I516,[1]Lookups!$V$3:$Y$197,4,FALSE)</f>
        <v>0</v>
      </c>
      <c r="T516" s="14" t="str">
        <f>VLOOKUP(E516,[1]Lookups!$H$3:$I$71,2,FALSE)</f>
        <v>3. Early Venture</v>
      </c>
      <c r="U516" s="14" t="str">
        <f>VLOOKUP(K516,[1]Lookups!$B$3:$C$142,2,FALSE)</f>
        <v>Other Technologies &amp; Information Technology</v>
      </c>
      <c r="V516" s="14">
        <f t="shared" si="735"/>
        <v>2018</v>
      </c>
      <c r="W516" s="14">
        <f t="shared" si="736"/>
        <v>5</v>
      </c>
      <c r="X516" s="14">
        <f>VLOOKUP(W516,[1]Lookups!$P$3:$S$15,2,FALSE)</f>
        <v>2</v>
      </c>
      <c r="Y516" s="16">
        <f>VLOOKUP(W516,[1]Lookups!$P$3:$U$15,3,FALSE)</f>
        <v>1</v>
      </c>
      <c r="Z516" s="16">
        <f t="shared" si="737"/>
        <v>3</v>
      </c>
      <c r="AA516" s="16" t="str">
        <f t="shared" ca="1" si="731"/>
        <v>Seedstars</v>
      </c>
      <c r="AB516" s="16" t="str">
        <f t="shared" ca="1" si="731"/>
        <v xml:space="preserve"> Draper Dark Flow</v>
      </c>
      <c r="AC516" s="16" t="str">
        <f t="shared" ca="1" si="731"/>
        <v xml:space="preserve"> Identity Partners</v>
      </c>
      <c r="AD516" s="16">
        <f t="shared" si="731"/>
        <v>0</v>
      </c>
      <c r="AE516" s="16">
        <f t="shared" si="731"/>
        <v>0</v>
      </c>
      <c r="AF516" s="16">
        <f t="shared" si="731"/>
        <v>0</v>
      </c>
      <c r="AG516" s="16">
        <f t="shared" si="731"/>
        <v>0</v>
      </c>
      <c r="AH516" s="16">
        <f t="shared" si="731"/>
        <v>0</v>
      </c>
      <c r="AI516" s="16">
        <f t="shared" si="731"/>
        <v>0</v>
      </c>
      <c r="AJ516" s="16">
        <f t="shared" si="731"/>
        <v>0</v>
      </c>
      <c r="AK516" s="16">
        <f t="shared" si="731"/>
        <v>0</v>
      </c>
      <c r="AL516" s="16">
        <f t="shared" si="731"/>
        <v>0</v>
      </c>
      <c r="AM516" s="16">
        <f t="shared" si="731"/>
        <v>0</v>
      </c>
      <c r="AN516" s="16">
        <f t="shared" si="731"/>
        <v>0</v>
      </c>
      <c r="AO516" s="16">
        <f t="shared" si="731"/>
        <v>0</v>
      </c>
      <c r="AP516" s="10"/>
      <c r="AQ516" s="10"/>
      <c r="AR516" s="10"/>
      <c r="AS516" s="10" t="str">
        <f t="shared" ref="AS516" ca="1" si="742">IFERROR(__xludf.DUMMYFUNCTION("split(F479,"","",true,true)"),"Seedstars")</f>
        <v>Seedstars</v>
      </c>
      <c r="AT516" s="10" t="str">
        <f ca="1">IFERROR(__xludf.DUMMYFUNCTION("""COMPUTED_VALUE""")," Draper Dark Flow")</f>
        <v xml:space="preserve"> Draper Dark Flow</v>
      </c>
      <c r="AU516" s="10" t="str">
        <f ca="1">IFERROR(__xludf.DUMMYFUNCTION("""COMPUTED_VALUE""")," Identity Partners")</f>
        <v xml:space="preserve"> Identity Partners</v>
      </c>
      <c r="AV516" s="10"/>
      <c r="AW516" s="10"/>
      <c r="AX516" s="10"/>
      <c r="AY516" s="10"/>
      <c r="AZ516" s="10"/>
      <c r="BA516" s="10"/>
      <c r="BB516" s="10"/>
      <c r="BC516" s="10"/>
      <c r="BD516" s="10"/>
      <c r="BE516" s="10"/>
      <c r="BF516" s="10"/>
      <c r="BG516" s="10"/>
      <c r="BH516" s="10"/>
      <c r="BI516" s="10"/>
      <c r="BJ516" s="10"/>
      <c r="BK516" s="10"/>
      <c r="BM516" s="10"/>
    </row>
    <row r="517" spans="1:65" ht="12.75">
      <c r="A517" s="18">
        <v>43229</v>
      </c>
      <c r="B517" s="14" t="s">
        <v>1182</v>
      </c>
      <c r="C517" s="19">
        <v>1030000</v>
      </c>
      <c r="D517" s="19"/>
      <c r="E517" s="14" t="s">
        <v>112</v>
      </c>
      <c r="F517" s="14" t="s">
        <v>1183</v>
      </c>
      <c r="G517" s="27" t="s">
        <v>1184</v>
      </c>
      <c r="H517" s="14" t="str">
        <f t="array" ref="H517">IFERROR(INDEX([1]Companies!$G:$G,MATCH(B517,[1]Companies!$A:$A,0)),"")</f>
        <v>South Africa</v>
      </c>
      <c r="I517" s="14" t="str">
        <f t="shared" si="694"/>
        <v>South Africa</v>
      </c>
      <c r="J517" s="14" t="str">
        <f t="array" ref="J517">IFERROR(INDEX([1]Companies!$Y:$Y,MATCH(B517,[1]Companies!$A:$A,0)),"")</f>
        <v>Internet, Internet of Things, Risk Management</v>
      </c>
      <c r="K517" s="14" t="str">
        <f t="array" ref="K517">IFERROR(INDEX([1]Companies!$X:$X,MATCH(B517,[1]Companies!$A:$A,0)),"")</f>
        <v>Emerging Technologies</v>
      </c>
      <c r="L517" s="14" t="str">
        <f>VLOOKUP(B517,[1]Companies!$A$1:$C$5243,1,FALSE)</f>
        <v>Sensor Networks</v>
      </c>
      <c r="M517" s="15">
        <f t="shared" si="695"/>
        <v>0.9</v>
      </c>
      <c r="N517" s="10" t="str">
        <f t="shared" si="696"/>
        <v>43229Sensor Networks1030000</v>
      </c>
      <c r="O517" s="14" t="str">
        <f t="shared" si="697"/>
        <v/>
      </c>
      <c r="P517" s="14">
        <f t="shared" si="698"/>
        <v>1</v>
      </c>
      <c r="Q517" s="14">
        <f t="array" ref="Q517">IFERROR(INDEX([1]Companies!$D:$D,MATCH(B517,[1]Companies!$A:$A,0)),"")</f>
        <v>2015</v>
      </c>
      <c r="R517" s="17">
        <f t="shared" si="699"/>
        <v>1030000</v>
      </c>
      <c r="S517" s="14">
        <f>VLOOKUP(I517,[1]Lookups!$V$3:$Y$197,4,FALSE)</f>
        <v>0</v>
      </c>
      <c r="T517" s="14" t="str">
        <f>VLOOKUP(E517,[1]Lookups!$H$3:$I$71,2,FALSE)</f>
        <v>3. Early Venture</v>
      </c>
      <c r="U517" s="14" t="str">
        <f>VLOOKUP(K517,[1]Lookups!$B$3:$C$142,2,FALSE)</f>
        <v>Emerging Technologies</v>
      </c>
      <c r="V517" s="14">
        <f t="shared" si="735"/>
        <v>2018</v>
      </c>
      <c r="W517" s="14">
        <f t="shared" si="736"/>
        <v>5</v>
      </c>
      <c r="X517" s="14">
        <f>VLOOKUP(W517,[1]Lookups!$P$3:$S$15,2,FALSE)</f>
        <v>2</v>
      </c>
      <c r="Y517" s="16">
        <f>VLOOKUP(W517,[1]Lookups!$P$3:$U$15,3,FALSE)</f>
        <v>1</v>
      </c>
      <c r="Z517" s="16">
        <f t="shared" si="737"/>
        <v>3</v>
      </c>
      <c r="AA517" s="16" t="str">
        <f t="shared" ca="1" si="731"/>
        <v>Seedstars</v>
      </c>
      <c r="AB517" s="16" t="str">
        <f t="shared" ca="1" si="731"/>
        <v xml:space="preserve"> ASISA ESD Fund</v>
      </c>
      <c r="AC517" s="16" t="str">
        <f t="shared" ca="1" si="731"/>
        <v xml:space="preserve"> 4Di Capital</v>
      </c>
      <c r="AD517" s="16">
        <f t="shared" si="731"/>
        <v>0</v>
      </c>
      <c r="AE517" s="16">
        <f t="shared" si="731"/>
        <v>0</v>
      </c>
      <c r="AF517" s="16">
        <f t="shared" si="731"/>
        <v>0</v>
      </c>
      <c r="AG517" s="16">
        <f t="shared" si="731"/>
        <v>0</v>
      </c>
      <c r="AH517" s="16">
        <f t="shared" si="731"/>
        <v>0</v>
      </c>
      <c r="AI517" s="16">
        <f t="shared" si="731"/>
        <v>0</v>
      </c>
      <c r="AJ517" s="16">
        <f t="shared" si="731"/>
        <v>0</v>
      </c>
      <c r="AK517" s="16">
        <f t="shared" si="731"/>
        <v>0</v>
      </c>
      <c r="AL517" s="16">
        <f t="shared" si="731"/>
        <v>0</v>
      </c>
      <c r="AM517" s="16">
        <f t="shared" si="731"/>
        <v>0</v>
      </c>
      <c r="AN517" s="16">
        <f t="shared" si="731"/>
        <v>0</v>
      </c>
      <c r="AO517" s="16">
        <f t="shared" si="731"/>
        <v>0</v>
      </c>
      <c r="AP517" s="10"/>
      <c r="AQ517" s="10"/>
      <c r="AR517" s="10"/>
      <c r="AS517" s="10" t="str">
        <f t="shared" ref="AS517" ca="1" si="743">IFERROR(__xludf.DUMMYFUNCTION("split(F479,"","",true,true)"),"Seedstars")</f>
        <v>Seedstars</v>
      </c>
      <c r="AT517" s="10" t="str">
        <f ca="1">IFERROR(__xludf.DUMMYFUNCTION("""COMPUTED_VALUE""")," ASISA ESD Fund")</f>
        <v xml:space="preserve"> ASISA ESD Fund</v>
      </c>
      <c r="AU517" s="10" t="str">
        <f ca="1">IFERROR(__xludf.DUMMYFUNCTION("""COMPUTED_VALUE""")," 4Di Capital")</f>
        <v xml:space="preserve"> 4Di Capital</v>
      </c>
      <c r="AV517" s="10"/>
      <c r="AW517" s="10"/>
      <c r="AX517" s="10"/>
      <c r="AY517" s="10"/>
      <c r="AZ517" s="10"/>
      <c r="BA517" s="10"/>
      <c r="BB517" s="10"/>
      <c r="BC517" s="10"/>
      <c r="BD517" s="10"/>
      <c r="BE517" s="10"/>
      <c r="BF517" s="10"/>
      <c r="BG517" s="10"/>
      <c r="BH517" s="10"/>
      <c r="BI517" s="10"/>
      <c r="BJ517" s="10"/>
      <c r="BK517" s="10"/>
      <c r="BM517" s="10"/>
    </row>
    <row r="518" spans="1:65" ht="12.75">
      <c r="A518" s="18">
        <v>43230</v>
      </c>
      <c r="B518" s="14" t="s">
        <v>1185</v>
      </c>
      <c r="C518" s="19">
        <v>40000</v>
      </c>
      <c r="D518" s="19"/>
      <c r="E518" s="14" t="s">
        <v>45</v>
      </c>
      <c r="F518" s="14" t="s">
        <v>1186</v>
      </c>
      <c r="G518" s="27" t="s">
        <v>1187</v>
      </c>
      <c r="H518" s="14" t="str">
        <f t="array" ref="H518">IFERROR(INDEX([1]Companies!$G:$G,MATCH(B518,[1]Companies!$A:$A,0)),"")</f>
        <v>Nigeria</v>
      </c>
      <c r="I518" s="14" t="str">
        <f t="shared" si="694"/>
        <v>Nigeria</v>
      </c>
      <c r="J518" s="14" t="str">
        <f t="array" ref="J518">IFERROR(INDEX([1]Companies!$Y:$Y,MATCH(B518,[1]Companies!$A:$A,0)),"")</f>
        <v>Agriculture, AgTech, Animal Feed, Farming</v>
      </c>
      <c r="K518" s="14" t="str">
        <f t="array" ref="K518">IFERROR(INDEX([1]Companies!$X:$X,MATCH(B518,[1]Companies!$A:$A,0)),"")</f>
        <v>Agriculture</v>
      </c>
      <c r="L518" s="14" t="str">
        <f>VLOOKUP(B518,[1]Companies!$A$1:$C$5243,1,FALSE)</f>
        <v>Birdpreneuer</v>
      </c>
      <c r="M518" s="15">
        <f t="shared" si="695"/>
        <v>0.9</v>
      </c>
      <c r="N518" s="10" t="str">
        <f t="shared" si="696"/>
        <v>43230BirdPreneuer40000</v>
      </c>
      <c r="O518" s="14" t="str">
        <f t="shared" si="697"/>
        <v/>
      </c>
      <c r="P518" s="14">
        <f t="shared" si="698"/>
        <v>1</v>
      </c>
      <c r="Q518" s="14">
        <f t="array" ref="Q518">IFERROR(INDEX([1]Companies!$D:$D,MATCH(B518,[1]Companies!$A:$A,0)),"")</f>
        <v>2016</v>
      </c>
      <c r="R518" s="17">
        <f t="shared" si="699"/>
        <v>40000</v>
      </c>
      <c r="S518" s="14">
        <f>VLOOKUP(I518,[1]Lookups!$V$3:$Y$197,4,FALSE)</f>
        <v>0</v>
      </c>
      <c r="T518" s="14" t="str">
        <f>VLOOKUP(E518,[1]Lookups!$H$3:$I$71,2,FALSE)</f>
        <v>2. Seed</v>
      </c>
      <c r="U518" s="14" t="str">
        <f>VLOOKUP(K518,[1]Lookups!$B$3:$C$142,2,FALSE)</f>
        <v>Agriculture</v>
      </c>
      <c r="V518" s="14">
        <f t="shared" si="735"/>
        <v>2018</v>
      </c>
      <c r="W518" s="14">
        <f t="shared" si="736"/>
        <v>5</v>
      </c>
      <c r="X518" s="14">
        <f>VLOOKUP(W518,[1]Lookups!$P$3:$S$15,2,FALSE)</f>
        <v>2</v>
      </c>
      <c r="Y518" s="16">
        <f>VLOOKUP(W518,[1]Lookups!$P$3:$U$15,3,FALSE)</f>
        <v>1</v>
      </c>
      <c r="Z518" s="16">
        <f t="shared" si="737"/>
        <v>1</v>
      </c>
      <c r="AA518" s="16" t="str">
        <f t="shared" ca="1" si="731"/>
        <v>Seedstars</v>
      </c>
      <c r="AB518" s="16">
        <f t="shared" si="731"/>
        <v>0</v>
      </c>
      <c r="AC518" s="16">
        <f t="shared" si="731"/>
        <v>0</v>
      </c>
      <c r="AD518" s="16">
        <f t="shared" si="731"/>
        <v>0</v>
      </c>
      <c r="AE518" s="16">
        <f t="shared" si="731"/>
        <v>0</v>
      </c>
      <c r="AF518" s="16">
        <f t="shared" si="731"/>
        <v>0</v>
      </c>
      <c r="AG518" s="16">
        <f t="shared" si="731"/>
        <v>0</v>
      </c>
      <c r="AH518" s="16">
        <f t="shared" si="731"/>
        <v>0</v>
      </c>
      <c r="AI518" s="16">
        <f t="shared" si="731"/>
        <v>0</v>
      </c>
      <c r="AJ518" s="16">
        <f t="shared" si="731"/>
        <v>0</v>
      </c>
      <c r="AK518" s="16">
        <f t="shared" si="731"/>
        <v>0</v>
      </c>
      <c r="AL518" s="16">
        <f t="shared" si="731"/>
        <v>0</v>
      </c>
      <c r="AM518" s="16">
        <f t="shared" si="731"/>
        <v>0</v>
      </c>
      <c r="AN518" s="16">
        <f t="shared" si="731"/>
        <v>0</v>
      </c>
      <c r="AO518" s="16">
        <f t="shared" si="731"/>
        <v>0</v>
      </c>
      <c r="AP518" s="10"/>
      <c r="AQ518" s="10"/>
      <c r="AR518" s="10"/>
      <c r="AS518" s="10" t="str">
        <f t="shared" ref="AS518" ca="1" si="744">IFERROR(__xludf.DUMMYFUNCTION("split(F479,"","",true,true)"),"Seedstars")</f>
        <v>Seedstars</v>
      </c>
      <c r="AT518" s="10"/>
      <c r="AU518" s="10"/>
      <c r="AV518" s="10"/>
      <c r="AW518" s="10"/>
      <c r="AX518" s="10"/>
      <c r="AY518" s="10"/>
      <c r="AZ518" s="10"/>
      <c r="BA518" s="10"/>
      <c r="BB518" s="10"/>
      <c r="BC518" s="10"/>
      <c r="BD518" s="10"/>
      <c r="BE518" s="10"/>
      <c r="BF518" s="10"/>
      <c r="BG518" s="10"/>
      <c r="BH518" s="10"/>
      <c r="BI518" s="10"/>
      <c r="BJ518" s="10"/>
      <c r="BK518" s="10"/>
      <c r="BM518" s="10"/>
    </row>
    <row r="519" spans="1:65" ht="12.75">
      <c r="A519" s="18">
        <v>43231</v>
      </c>
      <c r="B519" s="14" t="s">
        <v>1168</v>
      </c>
      <c r="C519" s="19">
        <v>25000</v>
      </c>
      <c r="D519" s="19"/>
      <c r="E519" s="14" t="s">
        <v>45</v>
      </c>
      <c r="F519" s="14" t="s">
        <v>276</v>
      </c>
      <c r="G519" s="27" t="s">
        <v>1188</v>
      </c>
      <c r="H519" s="14" t="str">
        <f t="array" ref="H519">IFERROR(INDEX([1]Companies!$G:$G,MATCH(B519,[1]Companies!$A:$A,0)),"")</f>
        <v>Nigeria</v>
      </c>
      <c r="I519" s="14" t="str">
        <f t="shared" si="694"/>
        <v>Nigeria</v>
      </c>
      <c r="J519" s="14" t="str">
        <f t="array" ref="J519">IFERROR(INDEX([1]Companies!$Y:$Y,MATCH(B519,[1]Companies!$A:$A,0)),"")</f>
        <v>Communities, Computer, Information Technology, Mobile Apps, Property Management, Real Estate, Software</v>
      </c>
      <c r="K519" s="14" t="str">
        <f t="array" ref="K519">IFERROR(INDEX([1]Companies!$X:$X,MATCH(B519,[1]Companies!$A:$A,0)),"")</f>
        <v>Real Estate</v>
      </c>
      <c r="L519" s="14" t="str">
        <f>VLOOKUP(B519,[1]Companies!$A$1:$C$5243,1,FALSE)</f>
        <v>E-Estates</v>
      </c>
      <c r="M519" s="15">
        <f t="shared" si="695"/>
        <v>0.9</v>
      </c>
      <c r="N519" s="10" t="str">
        <f t="shared" si="696"/>
        <v>43231E-Estates25000</v>
      </c>
      <c r="O519" s="14" t="str">
        <f t="shared" si="697"/>
        <v/>
      </c>
      <c r="P519" s="14">
        <f t="shared" si="698"/>
        <v>1</v>
      </c>
      <c r="Q519" s="14">
        <f t="array" ref="Q519">IFERROR(INDEX([1]Companies!$D:$D,MATCH(B519,[1]Companies!$A:$A,0)),"")</f>
        <v>2017</v>
      </c>
      <c r="R519" s="17">
        <f t="shared" si="699"/>
        <v>60000</v>
      </c>
      <c r="S519" s="14">
        <f>VLOOKUP(I519,[1]Lookups!$V$3:$Y$197,4,FALSE)</f>
        <v>0</v>
      </c>
      <c r="T519" s="14" t="str">
        <f>VLOOKUP(E519,[1]Lookups!$H$3:$I$71,2,FALSE)</f>
        <v>2. Seed</v>
      </c>
      <c r="U519" s="14" t="str">
        <f>VLOOKUP(K519,[1]Lookups!$B$3:$C$142,2,FALSE)</f>
        <v>Construction &amp; Real Estate</v>
      </c>
      <c r="V519" s="14">
        <f t="shared" si="735"/>
        <v>2018</v>
      </c>
      <c r="W519" s="14">
        <f t="shared" si="736"/>
        <v>5</v>
      </c>
      <c r="X519" s="14">
        <f>VLOOKUP(W519,[1]Lookups!$P$3:$S$15,2,FALSE)</f>
        <v>2</v>
      </c>
      <c r="Y519" s="16">
        <f>VLOOKUP(W519,[1]Lookups!$P$3:$U$15,3,FALSE)</f>
        <v>1</v>
      </c>
      <c r="Z519" s="16">
        <f t="shared" si="737"/>
        <v>1</v>
      </c>
      <c r="AA519" s="16" t="str">
        <f t="shared" ca="1" si="731"/>
        <v>Seedstars</v>
      </c>
      <c r="AB519" s="16">
        <f t="shared" si="731"/>
        <v>0</v>
      </c>
      <c r="AC519" s="16">
        <f t="shared" si="731"/>
        <v>0</v>
      </c>
      <c r="AD519" s="16">
        <f t="shared" si="731"/>
        <v>0</v>
      </c>
      <c r="AE519" s="16">
        <f t="shared" si="731"/>
        <v>0</v>
      </c>
      <c r="AF519" s="16">
        <f t="shared" si="731"/>
        <v>0</v>
      </c>
      <c r="AG519" s="16">
        <f t="shared" si="731"/>
        <v>0</v>
      </c>
      <c r="AH519" s="16">
        <f t="shared" si="731"/>
        <v>0</v>
      </c>
      <c r="AI519" s="16">
        <f t="shared" si="731"/>
        <v>0</v>
      </c>
      <c r="AJ519" s="16">
        <f t="shared" si="731"/>
        <v>0</v>
      </c>
      <c r="AK519" s="16">
        <f t="shared" si="731"/>
        <v>0</v>
      </c>
      <c r="AL519" s="16">
        <f t="shared" si="731"/>
        <v>0</v>
      </c>
      <c r="AM519" s="16">
        <f t="shared" si="731"/>
        <v>0</v>
      </c>
      <c r="AN519" s="16">
        <f t="shared" si="731"/>
        <v>0</v>
      </c>
      <c r="AO519" s="16">
        <f t="shared" si="731"/>
        <v>0</v>
      </c>
      <c r="AP519" s="10"/>
      <c r="AQ519" s="10"/>
      <c r="AR519" s="10"/>
      <c r="AS519" s="10" t="str">
        <f t="shared" ref="AS519" ca="1" si="745">IFERROR(__xludf.DUMMYFUNCTION("split(F479,"","",true,true)"),"Seedstars")</f>
        <v>Seedstars</v>
      </c>
      <c r="AT519" s="10"/>
      <c r="AU519" s="10"/>
      <c r="AV519" s="10"/>
      <c r="AW519" s="10"/>
      <c r="AX519" s="10"/>
      <c r="AY519" s="10"/>
      <c r="AZ519" s="10"/>
      <c r="BA519" s="10"/>
      <c r="BB519" s="10"/>
      <c r="BC519" s="10"/>
      <c r="BD519" s="10"/>
      <c r="BE519" s="10"/>
      <c r="BF519" s="10"/>
      <c r="BG519" s="10"/>
      <c r="BH519" s="10"/>
      <c r="BI519" s="10"/>
      <c r="BJ519" s="10"/>
      <c r="BK519" s="10"/>
      <c r="BM519" s="10"/>
    </row>
    <row r="520" spans="1:65" ht="12.75">
      <c r="A520" s="18">
        <v>43231</v>
      </c>
      <c r="B520" s="14" t="s">
        <v>1189</v>
      </c>
      <c r="C520" s="19">
        <v>25000</v>
      </c>
      <c r="D520" s="19"/>
      <c r="E520" s="14" t="s">
        <v>45</v>
      </c>
      <c r="F520" s="14" t="s">
        <v>276</v>
      </c>
      <c r="G520" s="27" t="s">
        <v>1188</v>
      </c>
      <c r="H520" s="14" t="str">
        <f t="array" ref="H520">IFERROR(INDEX([1]Companies!$G:$G,MATCH(B520,[1]Companies!$A:$A,0)),"")</f>
        <v>Sierra Leone</v>
      </c>
      <c r="I520" s="14" t="str">
        <f t="shared" si="694"/>
        <v>Sierra Leone</v>
      </c>
      <c r="J520" s="14" t="str">
        <f t="array" ref="J520">IFERROR(INDEX([1]Companies!$Y:$Y,MATCH(B520,[1]Companies!$A:$A,0)),"")</f>
        <v>Drones, Cloud Computing</v>
      </c>
      <c r="K520" s="14" t="str">
        <f t="array" ref="K520">IFERROR(INDEX([1]Companies!$X:$X,MATCH(B520,[1]Companies!$A:$A,0)),"")</f>
        <v>Emerging Technologies</v>
      </c>
      <c r="L520" s="14" t="str">
        <f>VLOOKUP(B520,[1]Companies!$A$1:$C$5243,1,FALSE)</f>
        <v>Track Your Build</v>
      </c>
      <c r="M520" s="15">
        <f t="shared" si="695"/>
        <v>0.9</v>
      </c>
      <c r="N520" s="10" t="str">
        <f t="shared" si="696"/>
        <v>43231Track Your Build25000</v>
      </c>
      <c r="O520" s="14" t="str">
        <f t="shared" si="697"/>
        <v/>
      </c>
      <c r="P520" s="14">
        <f t="shared" si="698"/>
        <v>1</v>
      </c>
      <c r="Q520" s="14">
        <f t="array" ref="Q520">IFERROR(INDEX([1]Companies!$D:$D,MATCH(B520,[1]Companies!$A:$A,0)),"")</f>
        <v>2014</v>
      </c>
      <c r="R520" s="17">
        <f t="shared" si="699"/>
        <v>25000</v>
      </c>
      <c r="S520" s="14">
        <f>VLOOKUP(I520,[1]Lookups!$V$3:$Y$197,4,FALSE)</f>
        <v>0</v>
      </c>
      <c r="T520" s="14" t="str">
        <f>VLOOKUP(E520,[1]Lookups!$H$3:$I$71,2,FALSE)</f>
        <v>2. Seed</v>
      </c>
      <c r="U520" s="14" t="str">
        <f>VLOOKUP(K520,[1]Lookups!$B$3:$C$142,2,FALSE)</f>
        <v>Emerging Technologies</v>
      </c>
      <c r="V520" s="14">
        <f t="shared" si="735"/>
        <v>2018</v>
      </c>
      <c r="W520" s="14">
        <f t="shared" si="736"/>
        <v>5</v>
      </c>
      <c r="X520" s="14">
        <f>VLOOKUP(W520,[1]Lookups!$P$3:$S$15,2,FALSE)</f>
        <v>2</v>
      </c>
      <c r="Y520" s="16">
        <f>VLOOKUP(W520,[1]Lookups!$P$3:$U$15,3,FALSE)</f>
        <v>1</v>
      </c>
      <c r="Z520" s="16">
        <f t="shared" si="737"/>
        <v>1</v>
      </c>
      <c r="AA520" s="16" t="str">
        <f t="shared" ca="1" si="731"/>
        <v>Seedstars</v>
      </c>
      <c r="AB520" s="16">
        <f t="shared" si="731"/>
        <v>0</v>
      </c>
      <c r="AC520" s="16">
        <f t="shared" si="731"/>
        <v>0</v>
      </c>
      <c r="AD520" s="16">
        <f t="shared" si="731"/>
        <v>0</v>
      </c>
      <c r="AE520" s="16">
        <f t="shared" si="731"/>
        <v>0</v>
      </c>
      <c r="AF520" s="16">
        <f t="shared" si="731"/>
        <v>0</v>
      </c>
      <c r="AG520" s="16">
        <f t="shared" si="731"/>
        <v>0</v>
      </c>
      <c r="AH520" s="16">
        <f t="shared" si="731"/>
        <v>0</v>
      </c>
      <c r="AI520" s="16">
        <f t="shared" si="731"/>
        <v>0</v>
      </c>
      <c r="AJ520" s="16">
        <f t="shared" si="731"/>
        <v>0</v>
      </c>
      <c r="AK520" s="16">
        <f t="shared" si="731"/>
        <v>0</v>
      </c>
      <c r="AL520" s="16">
        <f t="shared" si="731"/>
        <v>0</v>
      </c>
      <c r="AM520" s="16">
        <f t="shared" si="731"/>
        <v>0</v>
      </c>
      <c r="AN520" s="16">
        <f t="shared" si="731"/>
        <v>0</v>
      </c>
      <c r="AO520" s="16">
        <f t="shared" si="731"/>
        <v>0</v>
      </c>
      <c r="AP520" s="10"/>
      <c r="AQ520" s="10"/>
      <c r="AR520" s="10"/>
      <c r="AS520" s="10" t="str">
        <f t="shared" ref="AS520" ca="1" si="746">IFERROR(__xludf.DUMMYFUNCTION("split(F479,"","",true,true)"),"Seedstars")</f>
        <v>Seedstars</v>
      </c>
      <c r="AT520" s="10"/>
      <c r="AU520" s="10"/>
      <c r="AV520" s="10"/>
      <c r="AW520" s="10"/>
      <c r="AX520" s="10"/>
      <c r="AY520" s="10"/>
      <c r="AZ520" s="10"/>
      <c r="BA520" s="10"/>
      <c r="BB520" s="10"/>
      <c r="BC520" s="10"/>
      <c r="BD520" s="10"/>
      <c r="BE520" s="10"/>
      <c r="BF520" s="10"/>
      <c r="BG520" s="10"/>
      <c r="BH520" s="10"/>
      <c r="BI520" s="10"/>
      <c r="BJ520" s="10"/>
      <c r="BK520" s="10"/>
      <c r="BM520" s="10"/>
    </row>
    <row r="521" spans="1:65" ht="12.75">
      <c r="A521" s="18">
        <v>43232</v>
      </c>
      <c r="B521" s="14" t="s">
        <v>1190</v>
      </c>
      <c r="C521" s="19">
        <v>20000</v>
      </c>
      <c r="D521" s="19"/>
      <c r="E521" s="14" t="s">
        <v>45</v>
      </c>
      <c r="F521" s="14" t="s">
        <v>1191</v>
      </c>
      <c r="G521" s="27" t="s">
        <v>1192</v>
      </c>
      <c r="H521" s="14" t="str">
        <f t="array" ref="H521">IFERROR(INDEX([1]Companies!$G:$G,MATCH(B521,[1]Companies!$A:$A,0)),"")</f>
        <v>Nigeria</v>
      </c>
      <c r="I521" s="14" t="str">
        <f t="shared" si="694"/>
        <v>Nigeria</v>
      </c>
      <c r="J521" s="14" t="str">
        <f t="array" ref="J521">IFERROR(INDEX([1]Companies!$Y:$Y,MATCH(B521,[1]Companies!$A:$A,0)),"")</f>
        <v>Business Intelligence, Commercial, E-Commerce, Machine Learning, Photo Sharing</v>
      </c>
      <c r="K521" s="14" t="str">
        <f t="array" ref="K521">IFERROR(INDEX([1]Companies!$X:$X,MATCH(B521,[1]Companies!$A:$A,0)),"")</f>
        <v>E-Commerce &amp; Retail</v>
      </c>
      <c r="L521" s="14" t="str">
        <f>VLOOKUP(B521,[1]Companies!$A$1:$C$5243,1,FALSE)</f>
        <v>Touchabl Pictures</v>
      </c>
      <c r="M521" s="15">
        <f t="shared" si="695"/>
        <v>0.9</v>
      </c>
      <c r="N521" s="10" t="str">
        <f t="shared" si="696"/>
        <v>43232Touchabl Pictures20000</v>
      </c>
      <c r="O521" s="14" t="str">
        <f t="shared" si="697"/>
        <v/>
      </c>
      <c r="P521" s="14">
        <f t="shared" si="698"/>
        <v>1</v>
      </c>
      <c r="Q521" s="14">
        <f t="array" ref="Q521">IFERROR(INDEX([1]Companies!$D:$D,MATCH(B521,[1]Companies!$A:$A,0)),"")</f>
        <v>2017</v>
      </c>
      <c r="R521" s="17">
        <f t="shared" si="699"/>
        <v>20000</v>
      </c>
      <c r="S521" s="14">
        <f>VLOOKUP(I521,[1]Lookups!$V$3:$Y$197,4,FALSE)</f>
        <v>0</v>
      </c>
      <c r="T521" s="14" t="str">
        <f>VLOOKUP(E521,[1]Lookups!$H$3:$I$71,2,FALSE)</f>
        <v>2. Seed</v>
      </c>
      <c r="U521" s="14" t="str">
        <f>VLOOKUP(K521,[1]Lookups!$B$3:$C$142,2,FALSE)</f>
        <v>E-commerce &amp; Retail</v>
      </c>
      <c r="V521" s="14">
        <f t="shared" si="735"/>
        <v>2018</v>
      </c>
      <c r="W521" s="14">
        <f t="shared" si="736"/>
        <v>5</v>
      </c>
      <c r="X521" s="14">
        <f>VLOOKUP(W521,[1]Lookups!$P$3:$S$15,2,FALSE)</f>
        <v>2</v>
      </c>
      <c r="Y521" s="16">
        <f>VLOOKUP(W521,[1]Lookups!$P$3:$U$15,3,FALSE)</f>
        <v>1</v>
      </c>
      <c r="Z521" s="16">
        <f t="shared" si="737"/>
        <v>1</v>
      </c>
      <c r="AA521" s="16" t="str">
        <f t="shared" ca="1" si="731"/>
        <v>Seedstars</v>
      </c>
      <c r="AB521" s="16">
        <f t="shared" si="731"/>
        <v>0</v>
      </c>
      <c r="AC521" s="16">
        <f t="shared" si="731"/>
        <v>0</v>
      </c>
      <c r="AD521" s="16">
        <f t="shared" si="731"/>
        <v>0</v>
      </c>
      <c r="AE521" s="16">
        <f t="shared" si="731"/>
        <v>0</v>
      </c>
      <c r="AF521" s="16">
        <f t="shared" si="731"/>
        <v>0</v>
      </c>
      <c r="AG521" s="16">
        <f t="shared" si="731"/>
        <v>0</v>
      </c>
      <c r="AH521" s="16">
        <f t="shared" si="731"/>
        <v>0</v>
      </c>
      <c r="AI521" s="16">
        <f t="shared" si="731"/>
        <v>0</v>
      </c>
      <c r="AJ521" s="16">
        <f t="shared" si="731"/>
        <v>0</v>
      </c>
      <c r="AK521" s="16">
        <f t="shared" si="731"/>
        <v>0</v>
      </c>
      <c r="AL521" s="16">
        <f t="shared" si="731"/>
        <v>0</v>
      </c>
      <c r="AM521" s="16">
        <f t="shared" si="731"/>
        <v>0</v>
      </c>
      <c r="AN521" s="16">
        <f t="shared" si="731"/>
        <v>0</v>
      </c>
      <c r="AO521" s="16">
        <f t="shared" si="731"/>
        <v>0</v>
      </c>
      <c r="AP521" s="10"/>
      <c r="AQ521" s="10"/>
      <c r="AR521" s="10"/>
      <c r="AS521" s="10" t="str">
        <f t="shared" ref="AS521" ca="1" si="747">IFERROR(__xludf.DUMMYFUNCTION("split(F479,"","",true,true)"),"Seedstars")</f>
        <v>Seedstars</v>
      </c>
      <c r="AT521" s="10"/>
      <c r="AU521" s="10"/>
      <c r="AV521" s="10"/>
      <c r="AW521" s="10"/>
      <c r="AX521" s="10"/>
      <c r="AY521" s="10"/>
      <c r="AZ521" s="10"/>
      <c r="BA521" s="10"/>
      <c r="BB521" s="10"/>
      <c r="BC521" s="10"/>
      <c r="BD521" s="10"/>
      <c r="BE521" s="10"/>
      <c r="BF521" s="10"/>
      <c r="BG521" s="10"/>
      <c r="BH521" s="10"/>
      <c r="BI521" s="10"/>
      <c r="BJ521" s="10"/>
      <c r="BK521" s="10"/>
      <c r="BM521" s="10"/>
    </row>
    <row r="522" spans="1:65" ht="12.75">
      <c r="A522" s="18">
        <v>43234</v>
      </c>
      <c r="B522" s="14" t="s">
        <v>71</v>
      </c>
      <c r="C522" s="19">
        <v>47500000</v>
      </c>
      <c r="D522" s="19"/>
      <c r="E522" s="14" t="s">
        <v>84</v>
      </c>
      <c r="F522" s="14" t="s">
        <v>1193</v>
      </c>
      <c r="G522" s="27" t="s">
        <v>1194</v>
      </c>
      <c r="H522" s="14" t="str">
        <f t="array" ref="H522">IFERROR(INDEX([1]Companies!$G:$G,MATCH(B522,[1]Companies!$A:$A,0)),"")</f>
        <v>Kenya</v>
      </c>
      <c r="I522" s="14" t="str">
        <f t="shared" si="694"/>
        <v>Kenya</v>
      </c>
      <c r="J522" s="14" t="str">
        <f t="array" ref="J522">IFERROR(INDEX([1]Companies!$Y:$Y,MATCH(B522,[1]Companies!$A:$A,0)),"")</f>
        <v>Mobile Payments, Digital Payments, eCommerce, FinTech, mobile commerce, Fintech Africa, BlockChain, and MobileMoney</v>
      </c>
      <c r="K522" s="14" t="str">
        <f t="array" ref="K522">IFERROR(INDEX([1]Companies!$X:$X,MATCH(B522,[1]Companies!$A:$A,0)),"")</f>
        <v>Financial Services</v>
      </c>
      <c r="L522" s="14" t="str">
        <f>VLOOKUP(B522,[1]Companies!$A$1:$C$5243,1,FALSE)</f>
        <v>Cellulant</v>
      </c>
      <c r="M522" s="15">
        <f t="shared" si="695"/>
        <v>0.9</v>
      </c>
      <c r="N522" s="10" t="str">
        <f t="shared" si="696"/>
        <v>43234Cellulant47500000</v>
      </c>
      <c r="O522" s="14" t="str">
        <f t="shared" si="697"/>
        <v/>
      </c>
      <c r="P522" s="14">
        <f t="shared" si="698"/>
        <v>1</v>
      </c>
      <c r="Q522" s="14">
        <f t="array" ref="Q522">IFERROR(INDEX([1]Companies!$D:$D,MATCH(B522,[1]Companies!$A:$A,0)),"")</f>
        <v>2004</v>
      </c>
      <c r="R522" s="17">
        <f t="shared" si="699"/>
        <v>54500000</v>
      </c>
      <c r="S522" s="14">
        <f>VLOOKUP(I522,[1]Lookups!$V$3:$Y$197,4,FALSE)</f>
        <v>0</v>
      </c>
      <c r="T522" s="14" t="str">
        <f>VLOOKUP(E522,[1]Lookups!$H$3:$I$71,2,FALSE)</f>
        <v>4. Late Venture</v>
      </c>
      <c r="U522" s="14" t="str">
        <f>VLOOKUP(K522,[1]Lookups!$B$3:$C$142,2,FALSE)</f>
        <v>Financial Services</v>
      </c>
      <c r="V522" s="14">
        <f t="shared" si="735"/>
        <v>2018</v>
      </c>
      <c r="W522" s="14">
        <f t="shared" si="736"/>
        <v>5</v>
      </c>
      <c r="X522" s="14">
        <f>VLOOKUP(W522,[1]Lookups!$P$3:$S$15,2,FALSE)</f>
        <v>2</v>
      </c>
      <c r="Y522" s="16">
        <f>VLOOKUP(W522,[1]Lookups!$P$3:$U$15,3,FALSE)</f>
        <v>1</v>
      </c>
      <c r="Z522" s="16">
        <f t="shared" si="737"/>
        <v>5</v>
      </c>
      <c r="AA522" s="16" t="str">
        <f t="shared" ca="1" si="731"/>
        <v>Seedstars</v>
      </c>
      <c r="AB522" s="16" t="str">
        <f t="shared" ca="1" si="731"/>
        <v xml:space="preserve"> Satya Capital</v>
      </c>
      <c r="AC522" s="16" t="str">
        <f t="shared" ca="1" si="731"/>
        <v xml:space="preserve"> Endeavor Catalyst</v>
      </c>
      <c r="AD522" s="16" t="str">
        <f t="shared" ca="1" si="731"/>
        <v xml:space="preserve"> Velocity Capital</v>
      </c>
      <c r="AE522" s="16" t="str">
        <f t="shared" ca="1" si="731"/>
        <v xml:space="preserve"> Progression Africa.</v>
      </c>
      <c r="AF522" s="16">
        <f t="shared" si="731"/>
        <v>0</v>
      </c>
      <c r="AG522" s="16">
        <f t="shared" si="731"/>
        <v>0</v>
      </c>
      <c r="AH522" s="16">
        <f t="shared" si="731"/>
        <v>0</v>
      </c>
      <c r="AI522" s="16">
        <f t="shared" si="731"/>
        <v>0</v>
      </c>
      <c r="AJ522" s="16">
        <f t="shared" si="731"/>
        <v>0</v>
      </c>
      <c r="AK522" s="16">
        <f t="shared" si="731"/>
        <v>0</v>
      </c>
      <c r="AL522" s="16">
        <f t="shared" si="731"/>
        <v>0</v>
      </c>
      <c r="AM522" s="16">
        <f t="shared" si="731"/>
        <v>0</v>
      </c>
      <c r="AN522" s="16">
        <f t="shared" si="731"/>
        <v>0</v>
      </c>
      <c r="AO522" s="16">
        <f t="shared" si="731"/>
        <v>0</v>
      </c>
      <c r="AP522" s="10"/>
      <c r="AQ522" s="10"/>
      <c r="AR522" s="10"/>
      <c r="AS522" s="10" t="str">
        <f t="shared" ref="AS522" ca="1" si="748">IFERROR(__xludf.DUMMYFUNCTION("split(F479,"","",true,true)"),"Seedstars")</f>
        <v>Seedstars</v>
      </c>
      <c r="AT522" s="10" t="str">
        <f ca="1">IFERROR(__xludf.DUMMYFUNCTION("""COMPUTED_VALUE""")," Satya Capital")</f>
        <v xml:space="preserve"> Satya Capital</v>
      </c>
      <c r="AU522" s="10" t="str">
        <f ca="1">IFERROR(__xludf.DUMMYFUNCTION("""COMPUTED_VALUE""")," Endeavor Catalyst")</f>
        <v xml:space="preserve"> Endeavor Catalyst</v>
      </c>
      <c r="AV522" s="10" t="str">
        <f ca="1">IFERROR(__xludf.DUMMYFUNCTION("""COMPUTED_VALUE""")," Velocity Capital")</f>
        <v xml:space="preserve"> Velocity Capital</v>
      </c>
      <c r="AW522" s="10" t="str">
        <f ca="1">IFERROR(__xludf.DUMMYFUNCTION("""COMPUTED_VALUE""")," Progression Africa.")</f>
        <v xml:space="preserve"> Progression Africa.</v>
      </c>
      <c r="AX522" s="10"/>
      <c r="AY522" s="10"/>
      <c r="AZ522" s="10"/>
      <c r="BA522" s="10"/>
      <c r="BB522" s="10"/>
      <c r="BC522" s="10"/>
      <c r="BD522" s="10"/>
      <c r="BE522" s="10"/>
      <c r="BF522" s="10"/>
      <c r="BG522" s="10"/>
      <c r="BH522" s="10"/>
      <c r="BI522" s="10"/>
      <c r="BJ522" s="10"/>
      <c r="BK522" s="10"/>
      <c r="BM522" s="10"/>
    </row>
    <row r="523" spans="1:65" ht="12.75">
      <c r="A523" s="18">
        <v>43234</v>
      </c>
      <c r="B523" s="14" t="s">
        <v>1195</v>
      </c>
      <c r="C523" s="19">
        <v>25000</v>
      </c>
      <c r="D523" s="19"/>
      <c r="E523" s="14" t="s">
        <v>45</v>
      </c>
      <c r="F523" s="14" t="s">
        <v>1196</v>
      </c>
      <c r="G523" s="27" t="s">
        <v>1197</v>
      </c>
      <c r="H523" s="14" t="str">
        <f t="array" ref="H523">IFERROR(INDEX([1]Companies!$G:$G,MATCH(B523,[1]Companies!$A:$A,0)),"")</f>
        <v>Kenya</v>
      </c>
      <c r="I523" s="14" t="str">
        <f t="shared" si="694"/>
        <v>Kenya</v>
      </c>
      <c r="J523" s="14" t="str">
        <f t="array" ref="J523">IFERROR(INDEX([1]Companies!$Y:$Y,MATCH(B523,[1]Companies!$A:$A,0)),"")</f>
        <v>Blockchain, Information Technology, Software Engineering, Training</v>
      </c>
      <c r="K523" s="14" t="str">
        <f t="array" ref="K523">IFERROR(INDEX([1]Companies!$X:$X,MATCH(B523,[1]Companies!$A:$A,0)),"")</f>
        <v>Information Technology</v>
      </c>
      <c r="L523" s="14" t="str">
        <f>VLOOKUP(B523,[1]Companies!$A$1:$C$5243,1,FALSE)</f>
        <v>Funtrench</v>
      </c>
      <c r="M523" s="15">
        <f t="shared" si="695"/>
        <v>0.9</v>
      </c>
      <c r="N523" s="10" t="str">
        <f t="shared" si="696"/>
        <v>43234Funtrench25000</v>
      </c>
      <c r="O523" s="14" t="str">
        <f t="shared" si="697"/>
        <v/>
      </c>
      <c r="P523" s="14">
        <f t="shared" si="698"/>
        <v>1</v>
      </c>
      <c r="Q523" s="14">
        <f t="array" ref="Q523">IFERROR(INDEX([1]Companies!$D:$D,MATCH(B523,[1]Companies!$A:$A,0)),"")</f>
        <v>2018</v>
      </c>
      <c r="R523" s="17">
        <f t="shared" si="699"/>
        <v>25000</v>
      </c>
      <c r="S523" s="14">
        <f>VLOOKUP(I523,[1]Lookups!$V$3:$Y$197,4,FALSE)</f>
        <v>0</v>
      </c>
      <c r="T523" s="14" t="str">
        <f>VLOOKUP(E523,[1]Lookups!$H$3:$I$71,2,FALSE)</f>
        <v>2. Seed</v>
      </c>
      <c r="U523" s="14" t="str">
        <f>VLOOKUP(K523,[1]Lookups!$B$3:$C$142,2,FALSE)</f>
        <v>Other Technologies &amp; Information Technology</v>
      </c>
      <c r="V523" s="14">
        <f t="shared" si="735"/>
        <v>2018</v>
      </c>
      <c r="W523" s="14">
        <f t="shared" si="736"/>
        <v>5</v>
      </c>
      <c r="X523" s="14">
        <f>VLOOKUP(W523,[1]Lookups!$P$3:$S$15,2,FALSE)</f>
        <v>2</v>
      </c>
      <c r="Y523" s="16">
        <f>VLOOKUP(W523,[1]Lookups!$P$3:$U$15,3,FALSE)</f>
        <v>1</v>
      </c>
      <c r="Z523" s="16">
        <f t="shared" si="737"/>
        <v>1</v>
      </c>
      <c r="AA523" s="16" t="str">
        <f t="shared" ca="1" si="731"/>
        <v>Seedstars</v>
      </c>
      <c r="AB523" s="16">
        <f t="shared" si="731"/>
        <v>0</v>
      </c>
      <c r="AC523" s="16">
        <f t="shared" si="731"/>
        <v>0</v>
      </c>
      <c r="AD523" s="16">
        <f t="shared" si="731"/>
        <v>0</v>
      </c>
      <c r="AE523" s="16">
        <f t="shared" si="731"/>
        <v>0</v>
      </c>
      <c r="AF523" s="16">
        <f t="shared" si="731"/>
        <v>0</v>
      </c>
      <c r="AG523" s="16">
        <f t="shared" si="731"/>
        <v>0</v>
      </c>
      <c r="AH523" s="16">
        <f t="shared" si="731"/>
        <v>0</v>
      </c>
      <c r="AI523" s="16">
        <f t="shared" si="731"/>
        <v>0</v>
      </c>
      <c r="AJ523" s="16">
        <f t="shared" si="731"/>
        <v>0</v>
      </c>
      <c r="AK523" s="16">
        <f t="shared" si="731"/>
        <v>0</v>
      </c>
      <c r="AL523" s="16">
        <f t="shared" si="731"/>
        <v>0</v>
      </c>
      <c r="AM523" s="16">
        <f t="shared" si="731"/>
        <v>0</v>
      </c>
      <c r="AN523" s="16">
        <f t="shared" si="731"/>
        <v>0</v>
      </c>
      <c r="AO523" s="16">
        <f t="shared" si="731"/>
        <v>0</v>
      </c>
      <c r="AP523" s="10"/>
      <c r="AQ523" s="10"/>
      <c r="AR523" s="10"/>
      <c r="AS523" s="10" t="str">
        <f t="shared" ref="AS523" ca="1" si="749">IFERROR(__xludf.DUMMYFUNCTION("split(F479,"","",true,true)"),"Seedstars")</f>
        <v>Seedstars</v>
      </c>
      <c r="AT523" s="10"/>
      <c r="AU523" s="10"/>
      <c r="AV523" s="10"/>
      <c r="AW523" s="10"/>
      <c r="AX523" s="10"/>
      <c r="AY523" s="10"/>
      <c r="AZ523" s="10"/>
      <c r="BA523" s="10"/>
      <c r="BB523" s="10"/>
      <c r="BC523" s="10"/>
      <c r="BD523" s="10"/>
      <c r="BE523" s="10"/>
      <c r="BF523" s="10"/>
      <c r="BG523" s="10"/>
      <c r="BH523" s="10"/>
      <c r="BI523" s="10"/>
      <c r="BJ523" s="10"/>
      <c r="BK523" s="10"/>
      <c r="BM523" s="10"/>
    </row>
    <row r="524" spans="1:65" ht="12.75">
      <c r="A524" s="18">
        <v>43235</v>
      </c>
      <c r="B524" s="14" t="s">
        <v>1198</v>
      </c>
      <c r="C524" s="19">
        <v>1700000</v>
      </c>
      <c r="D524" s="19"/>
      <c r="E524" s="14" t="s">
        <v>69</v>
      </c>
      <c r="F524" s="14" t="s">
        <v>49</v>
      </c>
      <c r="G524" s="27" t="s">
        <v>1199</v>
      </c>
      <c r="H524" s="14" t="str">
        <f t="array" ref="H524">IFERROR(INDEX([1]Companies!$G:$G,MATCH(B524,[1]Companies!$A:$A,0)),"")</f>
        <v>Mauritius</v>
      </c>
      <c r="I524" s="14" t="str">
        <f t="shared" si="694"/>
        <v>Mauritius</v>
      </c>
      <c r="J524" s="14" t="str">
        <f t="array" ref="J524">IFERROR(INDEX([1]Companies!$Y:$Y,MATCH(B524,[1]Companies!$A:$A,0)),"")</f>
        <v>Android, B2B, B2C, Business Development, Digital Marketing, E-Commerce, E-Commerce Platforms, Enterprise Applications, Enterprise Software, Food Delivery, iOS, Marketplace, Mobile Apps, Product Design, Retail Technology, Social Media, Social Media Marketing, Software, Web Development</v>
      </c>
      <c r="K524" s="14" t="str">
        <f t="array" ref="K524">IFERROR(INDEX([1]Companies!$X:$X,MATCH(B524,[1]Companies!$A:$A,0)),"")</f>
        <v>Travel &amp; Leisure</v>
      </c>
      <c r="L524" s="14" t="str">
        <f>VLOOKUP(B524,[1]Companies!$A$1:$C$5243,1,FALSE)</f>
        <v>Kopa Technologies</v>
      </c>
      <c r="M524" s="15">
        <f t="shared" si="695"/>
        <v>0.9</v>
      </c>
      <c r="N524" s="10" t="str">
        <f t="shared" si="696"/>
        <v>43235Kopa Technologies1700000</v>
      </c>
      <c r="O524" s="14" t="str">
        <f t="shared" si="697"/>
        <v/>
      </c>
      <c r="P524" s="14">
        <f t="shared" si="698"/>
        <v>1</v>
      </c>
      <c r="Q524" s="14">
        <f t="array" ref="Q524">IFERROR(INDEX([1]Companies!$D:$D,MATCH(B524,[1]Companies!$A:$A,0)),"")</f>
        <v>2010</v>
      </c>
      <c r="R524" s="17">
        <f t="shared" si="699"/>
        <v>1700000</v>
      </c>
      <c r="S524" s="14">
        <f>VLOOKUP(I524,[1]Lookups!$V$3:$Y$197,4,FALSE)</f>
        <v>0</v>
      </c>
      <c r="T524" s="14" t="str">
        <f>VLOOKUP(E524,[1]Lookups!$H$3:$I$71,2,FALSE)</f>
        <v>3. Early Venture</v>
      </c>
      <c r="U524" s="14" t="str">
        <f>VLOOKUP(K524,[1]Lookups!$B$3:$C$142,2,FALSE)</f>
        <v>Travel &amp; Leisure</v>
      </c>
      <c r="V524" s="14">
        <f t="shared" si="735"/>
        <v>2018</v>
      </c>
      <c r="W524" s="14">
        <f t="shared" si="736"/>
        <v>5</v>
      </c>
      <c r="X524" s="14">
        <f>VLOOKUP(W524,[1]Lookups!$P$3:$S$15,2,FALSE)</f>
        <v>2</v>
      </c>
      <c r="Y524" s="16">
        <f>VLOOKUP(W524,[1]Lookups!$P$3:$U$15,3,FALSE)</f>
        <v>1</v>
      </c>
      <c r="Z524" s="16">
        <f t="shared" si="737"/>
        <v>1</v>
      </c>
      <c r="AA524" s="16" t="str">
        <f t="shared" ca="1" si="731"/>
        <v>Seedstars</v>
      </c>
      <c r="AB524" s="16">
        <f t="shared" si="731"/>
        <v>0</v>
      </c>
      <c r="AC524" s="16">
        <f t="shared" si="731"/>
        <v>0</v>
      </c>
      <c r="AD524" s="16">
        <f t="shared" si="731"/>
        <v>0</v>
      </c>
      <c r="AE524" s="16">
        <f t="shared" si="731"/>
        <v>0</v>
      </c>
      <c r="AF524" s="16">
        <f t="shared" si="731"/>
        <v>0</v>
      </c>
      <c r="AG524" s="16">
        <f t="shared" si="731"/>
        <v>0</v>
      </c>
      <c r="AH524" s="16">
        <f t="shared" si="731"/>
        <v>0</v>
      </c>
      <c r="AI524" s="16">
        <f t="shared" si="731"/>
        <v>0</v>
      </c>
      <c r="AJ524" s="16">
        <f t="shared" si="731"/>
        <v>0</v>
      </c>
      <c r="AK524" s="16">
        <f t="shared" si="731"/>
        <v>0</v>
      </c>
      <c r="AL524" s="16">
        <f t="shared" si="731"/>
        <v>0</v>
      </c>
      <c r="AM524" s="16">
        <f t="shared" si="731"/>
        <v>0</v>
      </c>
      <c r="AN524" s="16">
        <f t="shared" si="731"/>
        <v>0</v>
      </c>
      <c r="AO524" s="16">
        <f t="shared" si="731"/>
        <v>0</v>
      </c>
      <c r="AP524" s="10"/>
      <c r="AQ524" s="10"/>
      <c r="AR524" s="10"/>
      <c r="AS524" s="10" t="str">
        <f t="shared" ref="AS524" ca="1" si="750">IFERROR(__xludf.DUMMYFUNCTION("split(F479,"","",true,true)"),"Seedstars")</f>
        <v>Seedstars</v>
      </c>
      <c r="AT524" s="10"/>
      <c r="AU524" s="10"/>
      <c r="AV524" s="10"/>
      <c r="AW524" s="10"/>
      <c r="AX524" s="10"/>
      <c r="AY524" s="10"/>
      <c r="AZ524" s="10"/>
      <c r="BA524" s="10"/>
      <c r="BB524" s="10"/>
      <c r="BC524" s="10"/>
      <c r="BD524" s="10"/>
      <c r="BE524" s="10"/>
      <c r="BF524" s="10"/>
      <c r="BG524" s="10"/>
      <c r="BH524" s="10"/>
      <c r="BI524" s="10"/>
      <c r="BJ524" s="10"/>
      <c r="BK524" s="10"/>
      <c r="BM524" s="10"/>
    </row>
    <row r="525" spans="1:65" ht="12.75">
      <c r="A525" s="18">
        <v>43235</v>
      </c>
      <c r="B525" s="14" t="s">
        <v>1200</v>
      </c>
      <c r="C525" s="19">
        <v>100000</v>
      </c>
      <c r="D525" s="19"/>
      <c r="E525" s="14" t="s">
        <v>55</v>
      </c>
      <c r="F525" s="14" t="s">
        <v>1201</v>
      </c>
      <c r="G525" s="27" t="s">
        <v>1202</v>
      </c>
      <c r="H525" s="14" t="str">
        <f t="array" ref="H525">IFERROR(INDEX([1]Companies!$G:$G,MATCH(B525,[1]Companies!$A:$A,0)),"")</f>
        <v>Kenya</v>
      </c>
      <c r="I525" s="14" t="str">
        <f t="shared" si="694"/>
        <v>Kenya</v>
      </c>
      <c r="J525" s="14" t="str">
        <f t="array" ref="J525">IFERROR(INDEX([1]Companies!$Y:$Y,MATCH(B525,[1]Companies!$A:$A,0)),"")</f>
        <v>Agriculture</v>
      </c>
      <c r="K525" s="14" t="str">
        <f t="array" ref="K525">IFERROR(INDEX([1]Companies!$X:$X,MATCH(B525,[1]Companies!$A:$A,0)),"")</f>
        <v>Agriculture</v>
      </c>
      <c r="L525" s="14" t="str">
        <f>VLOOKUP(B525,[1]Companies!$A$1:$C$5243,1,FALSE)</f>
        <v>Selina Wamucii</v>
      </c>
      <c r="M525" s="15">
        <f t="shared" si="695"/>
        <v>0.9</v>
      </c>
      <c r="N525" s="10" t="str">
        <f t="shared" si="696"/>
        <v>43235Selina Wamucii100000</v>
      </c>
      <c r="O525" s="14" t="str">
        <f t="shared" si="697"/>
        <v/>
      </c>
      <c r="P525" s="14">
        <f t="shared" si="698"/>
        <v>1</v>
      </c>
      <c r="Q525" s="14">
        <f t="array" ref="Q525">IFERROR(INDEX([1]Companies!$D:$D,MATCH(B525,[1]Companies!$A:$A,0)),"")</f>
        <v>2015</v>
      </c>
      <c r="R525" s="17">
        <f t="shared" si="699"/>
        <v>100000</v>
      </c>
      <c r="S525" s="14">
        <f>VLOOKUP(I525,[1]Lookups!$V$3:$Y$197,4,FALSE)</f>
        <v>0</v>
      </c>
      <c r="T525" s="14" t="str">
        <f>VLOOKUP(E525,[1]Lookups!$H$3:$I$71,2,FALSE)</f>
        <v>1. Grant</v>
      </c>
      <c r="U525" s="14" t="str">
        <f>VLOOKUP(K525,[1]Lookups!$B$3:$C$142,2,FALSE)</f>
        <v>Agriculture</v>
      </c>
      <c r="V525" s="14">
        <f t="shared" si="735"/>
        <v>2018</v>
      </c>
      <c r="W525" s="14">
        <f t="shared" si="736"/>
        <v>5</v>
      </c>
      <c r="X525" s="14">
        <f>VLOOKUP(W525,[1]Lookups!$P$3:$S$15,2,FALSE)</f>
        <v>2</v>
      </c>
      <c r="Y525" s="16">
        <f>VLOOKUP(W525,[1]Lookups!$P$3:$U$15,3,FALSE)</f>
        <v>1</v>
      </c>
      <c r="Z525" s="16">
        <f t="shared" si="737"/>
        <v>1</v>
      </c>
      <c r="AA525" s="16" t="str">
        <f t="shared" ref="AA525:AO540" ca="1" si="751">AS525</f>
        <v>Seedstars</v>
      </c>
      <c r="AB525" s="16">
        <f t="shared" si="751"/>
        <v>0</v>
      </c>
      <c r="AC525" s="16">
        <f t="shared" si="751"/>
        <v>0</v>
      </c>
      <c r="AD525" s="16">
        <f t="shared" si="751"/>
        <v>0</v>
      </c>
      <c r="AE525" s="16">
        <f t="shared" si="751"/>
        <v>0</v>
      </c>
      <c r="AF525" s="16">
        <f t="shared" si="751"/>
        <v>0</v>
      </c>
      <c r="AG525" s="16">
        <f t="shared" si="751"/>
        <v>0</v>
      </c>
      <c r="AH525" s="16">
        <f t="shared" si="751"/>
        <v>0</v>
      </c>
      <c r="AI525" s="16">
        <f t="shared" si="751"/>
        <v>0</v>
      </c>
      <c r="AJ525" s="16">
        <f t="shared" si="751"/>
        <v>0</v>
      </c>
      <c r="AK525" s="16">
        <f t="shared" si="751"/>
        <v>0</v>
      </c>
      <c r="AL525" s="16">
        <f t="shared" si="751"/>
        <v>0</v>
      </c>
      <c r="AM525" s="16">
        <f t="shared" si="751"/>
        <v>0</v>
      </c>
      <c r="AN525" s="16">
        <f t="shared" si="751"/>
        <v>0</v>
      </c>
      <c r="AO525" s="16">
        <f t="shared" si="751"/>
        <v>0</v>
      </c>
      <c r="AP525" s="10"/>
      <c r="AQ525" s="10"/>
      <c r="AR525" s="10"/>
      <c r="AS525" s="10" t="str">
        <f t="shared" ref="AS525" ca="1" si="752">IFERROR(__xludf.DUMMYFUNCTION("split(F479,"","",true,true)"),"Seedstars")</f>
        <v>Seedstars</v>
      </c>
      <c r="AT525" s="10"/>
      <c r="AU525" s="10"/>
      <c r="AV525" s="10"/>
      <c r="AW525" s="10"/>
      <c r="AX525" s="10"/>
      <c r="AY525" s="10"/>
      <c r="AZ525" s="10"/>
      <c r="BA525" s="10"/>
      <c r="BB525" s="10"/>
      <c r="BC525" s="10"/>
      <c r="BD525" s="10"/>
      <c r="BE525" s="10"/>
      <c r="BF525" s="10"/>
      <c r="BG525" s="10"/>
      <c r="BH525" s="10"/>
      <c r="BI525" s="10"/>
      <c r="BJ525" s="10"/>
      <c r="BK525" s="10"/>
      <c r="BM525" s="10"/>
    </row>
    <row r="526" spans="1:65" ht="12.75">
      <c r="A526" s="18">
        <v>43235</v>
      </c>
      <c r="B526" s="14" t="s">
        <v>1203</v>
      </c>
      <c r="C526" s="19">
        <v>28000</v>
      </c>
      <c r="D526" s="19"/>
      <c r="E526" s="14" t="s">
        <v>45</v>
      </c>
      <c r="F526" s="14" t="s">
        <v>110</v>
      </c>
      <c r="G526" s="27" t="s">
        <v>1204</v>
      </c>
      <c r="H526" s="14" t="str">
        <f t="array" ref="H526">IFERROR(INDEX([1]Companies!$G:$G,MATCH(B526,[1]Companies!$A:$A,0)),"")</f>
        <v>Egypt</v>
      </c>
      <c r="I526" s="14" t="str">
        <f t="shared" si="694"/>
        <v>Egypt</v>
      </c>
      <c r="J526" s="14" t="str">
        <f t="array" ref="J526">IFERROR(INDEX([1]Companies!$Y:$Y,MATCH(B526,[1]Companies!$A:$A,0)),"")</f>
        <v>Advertising Platforms, Photography, Scheduling</v>
      </c>
      <c r="K526" s="14" t="str">
        <f t="array" ref="K526">IFERROR(INDEX([1]Companies!$X:$X,MATCH(B526,[1]Companies!$A:$A,0)),"")</f>
        <v>Media &amp; Entertainment</v>
      </c>
      <c r="L526" s="14" t="str">
        <f>VLOOKUP(B526,[1]Companies!$A$1:$C$5243,1,FALSE)</f>
        <v>Mosawer</v>
      </c>
      <c r="M526" s="15">
        <f t="shared" si="695"/>
        <v>0.9</v>
      </c>
      <c r="N526" s="10" t="str">
        <f t="shared" si="696"/>
        <v>43235Mosawer28000</v>
      </c>
      <c r="O526" s="14" t="str">
        <f t="shared" si="697"/>
        <v/>
      </c>
      <c r="P526" s="14">
        <f t="shared" si="698"/>
        <v>1</v>
      </c>
      <c r="Q526" s="14">
        <f t="array" ref="Q526">IFERROR(INDEX([1]Companies!$D:$D,MATCH(B526,[1]Companies!$A:$A,0)),"")</f>
        <v>2016</v>
      </c>
      <c r="R526" s="17">
        <f t="shared" si="699"/>
        <v>28000</v>
      </c>
      <c r="S526" s="14">
        <f>VLOOKUP(I526,[1]Lookups!$V$3:$Y$197,4,FALSE)</f>
        <v>0</v>
      </c>
      <c r="T526" s="14" t="str">
        <f>VLOOKUP(E526,[1]Lookups!$H$3:$I$71,2,FALSE)</f>
        <v>2. Seed</v>
      </c>
      <c r="U526" s="14" t="str">
        <f>VLOOKUP(K526,[1]Lookups!$B$3:$C$142,2,FALSE)</f>
        <v>Media &amp; Entertainment</v>
      </c>
      <c r="V526" s="14">
        <f t="shared" si="735"/>
        <v>2018</v>
      </c>
      <c r="W526" s="14">
        <f t="shared" si="736"/>
        <v>5</v>
      </c>
      <c r="X526" s="14">
        <f>VLOOKUP(W526,[1]Lookups!$P$3:$S$15,2,FALSE)</f>
        <v>2</v>
      </c>
      <c r="Y526" s="16">
        <f>VLOOKUP(W526,[1]Lookups!$P$3:$U$15,3,FALSE)</f>
        <v>1</v>
      </c>
      <c r="Z526" s="16">
        <f t="shared" si="737"/>
        <v>1</v>
      </c>
      <c r="AA526" s="16" t="str">
        <f t="shared" ca="1" si="751"/>
        <v>Seedstars</v>
      </c>
      <c r="AB526" s="16">
        <f t="shared" si="751"/>
        <v>0</v>
      </c>
      <c r="AC526" s="16">
        <f t="shared" si="751"/>
        <v>0</v>
      </c>
      <c r="AD526" s="16">
        <f t="shared" si="751"/>
        <v>0</v>
      </c>
      <c r="AE526" s="16">
        <f t="shared" si="751"/>
        <v>0</v>
      </c>
      <c r="AF526" s="16">
        <f t="shared" si="751"/>
        <v>0</v>
      </c>
      <c r="AG526" s="16">
        <f t="shared" si="751"/>
        <v>0</v>
      </c>
      <c r="AH526" s="16">
        <f t="shared" si="751"/>
        <v>0</v>
      </c>
      <c r="AI526" s="16">
        <f t="shared" si="751"/>
        <v>0</v>
      </c>
      <c r="AJ526" s="16">
        <f t="shared" si="751"/>
        <v>0</v>
      </c>
      <c r="AK526" s="16">
        <f t="shared" si="751"/>
        <v>0</v>
      </c>
      <c r="AL526" s="16">
        <f t="shared" si="751"/>
        <v>0</v>
      </c>
      <c r="AM526" s="16">
        <f t="shared" si="751"/>
        <v>0</v>
      </c>
      <c r="AN526" s="16">
        <f t="shared" si="751"/>
        <v>0</v>
      </c>
      <c r="AO526" s="16">
        <f t="shared" si="751"/>
        <v>0</v>
      </c>
      <c r="AP526" s="10"/>
      <c r="AQ526" s="10"/>
      <c r="AR526" s="10"/>
      <c r="AS526" s="10" t="str">
        <f t="shared" ref="AS526" ca="1" si="753">IFERROR(__xludf.DUMMYFUNCTION("split(F479,"","",true,true)"),"Seedstars")</f>
        <v>Seedstars</v>
      </c>
      <c r="AT526" s="10"/>
      <c r="AU526" s="10"/>
      <c r="AV526" s="10"/>
      <c r="AW526" s="10"/>
      <c r="AX526" s="10"/>
      <c r="AY526" s="10"/>
      <c r="AZ526" s="10"/>
      <c r="BA526" s="10"/>
      <c r="BB526" s="10"/>
      <c r="BC526" s="10"/>
      <c r="BD526" s="10"/>
      <c r="BE526" s="10"/>
      <c r="BF526" s="10"/>
      <c r="BG526" s="10"/>
      <c r="BH526" s="10"/>
      <c r="BI526" s="10"/>
      <c r="BJ526" s="10"/>
      <c r="BK526" s="10"/>
      <c r="BM526" s="10"/>
    </row>
    <row r="527" spans="1:65" ht="12.75">
      <c r="A527" s="18">
        <v>43235</v>
      </c>
      <c r="B527" s="14" t="s">
        <v>1205</v>
      </c>
      <c r="C527" s="19">
        <v>28000</v>
      </c>
      <c r="D527" s="19"/>
      <c r="E527" s="14" t="s">
        <v>45</v>
      </c>
      <c r="F527" s="14" t="s">
        <v>110</v>
      </c>
      <c r="G527" s="27" t="s">
        <v>1204</v>
      </c>
      <c r="H527" s="14" t="str">
        <f t="array" ref="H527">IFERROR(INDEX([1]Companies!$G:$G,MATCH(B527,[1]Companies!$A:$A,0)),"")</f>
        <v>Egypt</v>
      </c>
      <c r="I527" s="14" t="str">
        <f t="shared" si="694"/>
        <v>Egypt</v>
      </c>
      <c r="J527" s="14" t="str">
        <f t="array" ref="J527">IFERROR(INDEX([1]Companies!$Y:$Y,MATCH(B527,[1]Companies!$A:$A,0)),"")</f>
        <v>Automotive, retail</v>
      </c>
      <c r="K527" s="14" t="str">
        <f t="array" ref="K527">IFERROR(INDEX([1]Companies!$X:$X,MATCH(B527,[1]Companies!$A:$A,0)),"")</f>
        <v>E-Commerce &amp; Retail</v>
      </c>
      <c r="L527" s="14" t="str">
        <f>VLOOKUP(B527,[1]Companies!$A$1:$C$5243,1,FALSE)</f>
        <v>Tombeely</v>
      </c>
      <c r="M527" s="15">
        <f t="shared" si="695"/>
        <v>0.9</v>
      </c>
      <c r="N527" s="10" t="str">
        <f t="shared" si="696"/>
        <v>43235Tombeely28000</v>
      </c>
      <c r="O527" s="14" t="str">
        <f t="shared" si="697"/>
        <v/>
      </c>
      <c r="P527" s="14">
        <f t="shared" si="698"/>
        <v>1</v>
      </c>
      <c r="Q527" s="14">
        <f t="array" ref="Q527">IFERROR(INDEX([1]Companies!$D:$D,MATCH(B527,[1]Companies!$A:$A,0)),"")</f>
        <v>2018</v>
      </c>
      <c r="R527" s="17">
        <f t="shared" si="699"/>
        <v>28000</v>
      </c>
      <c r="S527" s="14">
        <f>VLOOKUP(I527,[1]Lookups!$V$3:$Y$197,4,FALSE)</f>
        <v>0</v>
      </c>
      <c r="T527" s="14" t="str">
        <f>VLOOKUP(E527,[1]Lookups!$H$3:$I$71,2,FALSE)</f>
        <v>2. Seed</v>
      </c>
      <c r="U527" s="14" t="str">
        <f>VLOOKUP(K527,[1]Lookups!$B$3:$C$142,2,FALSE)</f>
        <v>E-commerce &amp; Retail</v>
      </c>
      <c r="V527" s="14">
        <f t="shared" si="735"/>
        <v>2018</v>
      </c>
      <c r="W527" s="14">
        <f t="shared" si="736"/>
        <v>5</v>
      </c>
      <c r="X527" s="14">
        <f>VLOOKUP(W527,[1]Lookups!$P$3:$S$15,2,FALSE)</f>
        <v>2</v>
      </c>
      <c r="Y527" s="16">
        <f>VLOOKUP(W527,[1]Lookups!$P$3:$U$15,3,FALSE)</f>
        <v>1</v>
      </c>
      <c r="Z527" s="16">
        <f t="shared" si="737"/>
        <v>1</v>
      </c>
      <c r="AA527" s="16" t="str">
        <f t="shared" ca="1" si="751"/>
        <v>Seedstars</v>
      </c>
      <c r="AB527" s="16">
        <f t="shared" si="751"/>
        <v>0</v>
      </c>
      <c r="AC527" s="16">
        <f t="shared" si="751"/>
        <v>0</v>
      </c>
      <c r="AD527" s="16">
        <f t="shared" si="751"/>
        <v>0</v>
      </c>
      <c r="AE527" s="16">
        <f t="shared" si="751"/>
        <v>0</v>
      </c>
      <c r="AF527" s="16">
        <f t="shared" si="751"/>
        <v>0</v>
      </c>
      <c r="AG527" s="16">
        <f t="shared" si="751"/>
        <v>0</v>
      </c>
      <c r="AH527" s="16">
        <f t="shared" si="751"/>
        <v>0</v>
      </c>
      <c r="AI527" s="16">
        <f t="shared" si="751"/>
        <v>0</v>
      </c>
      <c r="AJ527" s="16">
        <f t="shared" si="751"/>
        <v>0</v>
      </c>
      <c r="AK527" s="16">
        <f t="shared" si="751"/>
        <v>0</v>
      </c>
      <c r="AL527" s="16">
        <f t="shared" si="751"/>
        <v>0</v>
      </c>
      <c r="AM527" s="16">
        <f t="shared" si="751"/>
        <v>0</v>
      </c>
      <c r="AN527" s="16">
        <f t="shared" si="751"/>
        <v>0</v>
      </c>
      <c r="AO527" s="16">
        <f t="shared" si="751"/>
        <v>0</v>
      </c>
      <c r="AP527" s="10"/>
      <c r="AQ527" s="10"/>
      <c r="AR527" s="10"/>
      <c r="AS527" s="10" t="str">
        <f t="shared" ref="AS527" ca="1" si="754">IFERROR(__xludf.DUMMYFUNCTION("split(F479,"","",true,true)"),"Seedstars")</f>
        <v>Seedstars</v>
      </c>
      <c r="AT527" s="10"/>
      <c r="AU527" s="10"/>
      <c r="AV527" s="10"/>
      <c r="AW527" s="10"/>
      <c r="AX527" s="10"/>
      <c r="AY527" s="10"/>
      <c r="AZ527" s="10"/>
      <c r="BA527" s="10"/>
      <c r="BB527" s="10"/>
      <c r="BC527" s="10"/>
      <c r="BD527" s="10"/>
      <c r="BE527" s="10"/>
      <c r="BF527" s="10"/>
      <c r="BG527" s="10"/>
      <c r="BH527" s="10"/>
      <c r="BI527" s="10"/>
      <c r="BJ527" s="10"/>
      <c r="BK527" s="10"/>
      <c r="BM527" s="10"/>
    </row>
    <row r="528" spans="1:65" ht="12.75">
      <c r="A528" s="18">
        <v>43235</v>
      </c>
      <c r="B528" s="14" t="s">
        <v>1206</v>
      </c>
      <c r="C528" s="19">
        <v>28000</v>
      </c>
      <c r="D528" s="33">
        <v>0.1</v>
      </c>
      <c r="E528" s="14" t="s">
        <v>45</v>
      </c>
      <c r="F528" s="14" t="s">
        <v>110</v>
      </c>
      <c r="G528" s="27" t="s">
        <v>1204</v>
      </c>
      <c r="H528" s="14" t="str">
        <f t="array" ref="H528">IFERROR(INDEX([1]Companies!$G:$G,MATCH(B528,[1]Companies!$A:$A,0)),"")</f>
        <v>Egypt</v>
      </c>
      <c r="I528" s="14" t="str">
        <f t="shared" si="694"/>
        <v>Egypt</v>
      </c>
      <c r="J528" s="14" t="str">
        <f t="array" ref="J528">IFERROR(INDEX([1]Companies!$Y:$Y,MATCH(B528,[1]Companies!$A:$A,0)),"")</f>
        <v>Savings, Financial technology</v>
      </c>
      <c r="K528" s="14" t="str">
        <f t="array" ref="K528">IFERROR(INDEX([1]Companies!$X:$X,MATCH(B528,[1]Companies!$A:$A,0)),"")</f>
        <v>Financial Services</v>
      </c>
      <c r="L528" s="14" t="str">
        <f>VLOOKUP(B528,[1]Companies!$A$1:$C$5243,1,FALSE)</f>
        <v>7Aweshly</v>
      </c>
      <c r="M528" s="15">
        <f t="shared" si="695"/>
        <v>1</v>
      </c>
      <c r="N528" s="10" t="str">
        <f t="shared" si="696"/>
        <v>432357aweshly28000</v>
      </c>
      <c r="O528" s="14" t="str">
        <f t="shared" si="697"/>
        <v/>
      </c>
      <c r="P528" s="14">
        <f t="shared" si="698"/>
        <v>1</v>
      </c>
      <c r="Q528" s="14">
        <f t="array" ref="Q528">IFERROR(INDEX([1]Companies!$D:$D,MATCH(B528,[1]Companies!$A:$A,0)),"")</f>
        <v>2017</v>
      </c>
      <c r="R528" s="17">
        <f t="shared" si="699"/>
        <v>28000</v>
      </c>
      <c r="S528" s="14">
        <f>VLOOKUP(I528,[1]Lookups!$V$3:$Y$197,4,FALSE)</f>
        <v>0</v>
      </c>
      <c r="T528" s="14" t="str">
        <f>VLOOKUP(E528,[1]Lookups!$H$3:$I$71,2,FALSE)</f>
        <v>2. Seed</v>
      </c>
      <c r="U528" s="14" t="str">
        <f>VLOOKUP(K528,[1]Lookups!$B$3:$C$142,2,FALSE)</f>
        <v>Financial Services</v>
      </c>
      <c r="V528" s="14">
        <f t="shared" si="735"/>
        <v>2018</v>
      </c>
      <c r="W528" s="14">
        <f t="shared" si="736"/>
        <v>5</v>
      </c>
      <c r="X528" s="14">
        <f>VLOOKUP(W528,[1]Lookups!$P$3:$S$15,2,FALSE)</f>
        <v>2</v>
      </c>
      <c r="Y528" s="16">
        <f>VLOOKUP(W528,[1]Lookups!$P$3:$U$15,3,FALSE)</f>
        <v>1</v>
      </c>
      <c r="Z528" s="16">
        <f t="shared" si="737"/>
        <v>1</v>
      </c>
      <c r="AA528" s="16" t="str">
        <f t="shared" ca="1" si="751"/>
        <v>Seedstars</v>
      </c>
      <c r="AB528" s="16">
        <f t="shared" si="751"/>
        <v>0</v>
      </c>
      <c r="AC528" s="16">
        <f t="shared" si="751"/>
        <v>0</v>
      </c>
      <c r="AD528" s="16">
        <f t="shared" si="751"/>
        <v>0</v>
      </c>
      <c r="AE528" s="16">
        <f t="shared" si="751"/>
        <v>0</v>
      </c>
      <c r="AF528" s="16">
        <f t="shared" si="751"/>
        <v>0</v>
      </c>
      <c r="AG528" s="16">
        <f t="shared" si="751"/>
        <v>0</v>
      </c>
      <c r="AH528" s="16">
        <f t="shared" si="751"/>
        <v>0</v>
      </c>
      <c r="AI528" s="16">
        <f t="shared" si="751"/>
        <v>0</v>
      </c>
      <c r="AJ528" s="16">
        <f t="shared" si="751"/>
        <v>0</v>
      </c>
      <c r="AK528" s="16">
        <f t="shared" si="751"/>
        <v>0</v>
      </c>
      <c r="AL528" s="16">
        <f t="shared" si="751"/>
        <v>0</v>
      </c>
      <c r="AM528" s="16">
        <f t="shared" si="751"/>
        <v>0</v>
      </c>
      <c r="AN528" s="16">
        <f t="shared" si="751"/>
        <v>0</v>
      </c>
      <c r="AO528" s="16">
        <f t="shared" si="751"/>
        <v>0</v>
      </c>
      <c r="AP528" s="10"/>
      <c r="AQ528" s="10"/>
      <c r="AR528" s="10"/>
      <c r="AS528" s="10" t="str">
        <f t="shared" ref="AS528" ca="1" si="755">IFERROR(__xludf.DUMMYFUNCTION("split(F479,"","",true,true)"),"Seedstars")</f>
        <v>Seedstars</v>
      </c>
      <c r="AT528" s="10"/>
      <c r="AU528" s="10"/>
      <c r="AV528" s="10"/>
      <c r="AW528" s="10"/>
      <c r="AX528" s="10"/>
      <c r="AY528" s="10"/>
      <c r="AZ528" s="10"/>
      <c r="BA528" s="10"/>
      <c r="BB528" s="10"/>
      <c r="BC528" s="10"/>
      <c r="BD528" s="10"/>
      <c r="BE528" s="10"/>
      <c r="BF528" s="10"/>
      <c r="BG528" s="10"/>
      <c r="BH528" s="10"/>
      <c r="BI528" s="10"/>
      <c r="BJ528" s="10"/>
      <c r="BK528" s="10"/>
      <c r="BM528" s="10"/>
    </row>
    <row r="529" spans="1:65" ht="12.75">
      <c r="A529" s="18">
        <v>43235</v>
      </c>
      <c r="B529" s="14" t="s">
        <v>1207</v>
      </c>
      <c r="C529" s="19">
        <v>28000</v>
      </c>
      <c r="D529" s="19"/>
      <c r="E529" s="14" t="s">
        <v>45</v>
      </c>
      <c r="F529" s="14" t="s">
        <v>110</v>
      </c>
      <c r="G529" s="27" t="s">
        <v>1204</v>
      </c>
      <c r="H529" s="14" t="str">
        <f t="array" ref="H529">IFERROR(INDEX([1]Companies!$G:$G,MATCH(B529,[1]Companies!$A:$A,0)),"")</f>
        <v>Egypt</v>
      </c>
      <c r="I529" s="14" t="str">
        <f t="shared" si="694"/>
        <v>Egypt</v>
      </c>
      <c r="J529" s="14" t="str">
        <f t="array" ref="J529">IFERROR(INDEX([1]Companies!$Y:$Y,MATCH(B529,[1]Companies!$A:$A,0)),"")</f>
        <v>Recruitment, Talent, Labour</v>
      </c>
      <c r="K529" s="14" t="str">
        <f t="array" ref="K529">IFERROR(INDEX([1]Companies!$X:$X,MATCH(B529,[1]Companies!$A:$A,0)),"")</f>
        <v>Commercial &amp; Professional Services</v>
      </c>
      <c r="L529" s="14" t="str">
        <f>VLOOKUP(B529,[1]Companies!$A$1:$C$5243,1,FALSE)</f>
        <v>Arza2</v>
      </c>
      <c r="M529" s="15">
        <f t="shared" si="695"/>
        <v>0.9</v>
      </c>
      <c r="N529" s="10" t="str">
        <f t="shared" si="696"/>
        <v>43235Arza228000</v>
      </c>
      <c r="O529" s="14" t="str">
        <f t="shared" si="697"/>
        <v/>
      </c>
      <c r="P529" s="14">
        <f t="shared" si="698"/>
        <v>1</v>
      </c>
      <c r="Q529" s="14">
        <f t="array" ref="Q529">IFERROR(INDEX([1]Companies!$D:$D,MATCH(B529,[1]Companies!$A:$A,0)),"")</f>
        <v>2017</v>
      </c>
      <c r="R529" s="17">
        <f t="shared" si="699"/>
        <v>28000</v>
      </c>
      <c r="S529" s="14">
        <f>VLOOKUP(I529,[1]Lookups!$V$3:$Y$197,4,FALSE)</f>
        <v>0</v>
      </c>
      <c r="T529" s="14" t="str">
        <f>VLOOKUP(E529,[1]Lookups!$H$3:$I$71,2,FALSE)</f>
        <v>2. Seed</v>
      </c>
      <c r="U529" s="14" t="str">
        <f>VLOOKUP(K529,[1]Lookups!$B$3:$C$142,2,FALSE)</f>
        <v>Other Technologies &amp; Information Technology</v>
      </c>
      <c r="V529" s="14">
        <f t="shared" si="735"/>
        <v>2018</v>
      </c>
      <c r="W529" s="14">
        <f t="shared" si="736"/>
        <v>5</v>
      </c>
      <c r="X529" s="14">
        <f>VLOOKUP(W529,[1]Lookups!$P$3:$S$15,2,FALSE)</f>
        <v>2</v>
      </c>
      <c r="Y529" s="16">
        <f>VLOOKUP(W529,[1]Lookups!$P$3:$U$15,3,FALSE)</f>
        <v>1</v>
      </c>
      <c r="Z529" s="16">
        <f t="shared" si="737"/>
        <v>1</v>
      </c>
      <c r="AA529" s="16" t="str">
        <f t="shared" ca="1" si="751"/>
        <v>Seedstars</v>
      </c>
      <c r="AB529" s="16">
        <f t="shared" si="751"/>
        <v>0</v>
      </c>
      <c r="AC529" s="16">
        <f t="shared" si="751"/>
        <v>0</v>
      </c>
      <c r="AD529" s="16">
        <f t="shared" si="751"/>
        <v>0</v>
      </c>
      <c r="AE529" s="16">
        <f t="shared" si="751"/>
        <v>0</v>
      </c>
      <c r="AF529" s="16">
        <f t="shared" si="751"/>
        <v>0</v>
      </c>
      <c r="AG529" s="16">
        <f t="shared" si="751"/>
        <v>0</v>
      </c>
      <c r="AH529" s="16">
        <f t="shared" si="751"/>
        <v>0</v>
      </c>
      <c r="AI529" s="16">
        <f t="shared" si="751"/>
        <v>0</v>
      </c>
      <c r="AJ529" s="16">
        <f t="shared" si="751"/>
        <v>0</v>
      </c>
      <c r="AK529" s="16">
        <f t="shared" si="751"/>
        <v>0</v>
      </c>
      <c r="AL529" s="16">
        <f t="shared" si="751"/>
        <v>0</v>
      </c>
      <c r="AM529" s="16">
        <f t="shared" si="751"/>
        <v>0</v>
      </c>
      <c r="AN529" s="16">
        <f t="shared" si="751"/>
        <v>0</v>
      </c>
      <c r="AO529" s="16">
        <f t="shared" si="751"/>
        <v>0</v>
      </c>
      <c r="AP529" s="10"/>
      <c r="AQ529" s="10"/>
      <c r="AR529" s="10"/>
      <c r="AS529" s="10" t="str">
        <f t="shared" ref="AS529" ca="1" si="756">IFERROR(__xludf.DUMMYFUNCTION("split(F479,"","",true,true)"),"Seedstars")</f>
        <v>Seedstars</v>
      </c>
      <c r="AT529" s="10"/>
      <c r="AU529" s="10"/>
      <c r="AV529" s="10"/>
      <c r="AW529" s="10"/>
      <c r="AX529" s="10"/>
      <c r="AY529" s="10"/>
      <c r="AZ529" s="10"/>
      <c r="BA529" s="10"/>
      <c r="BB529" s="10"/>
      <c r="BC529" s="10"/>
      <c r="BD529" s="10"/>
      <c r="BE529" s="10"/>
      <c r="BF529" s="10"/>
      <c r="BG529" s="10"/>
      <c r="BH529" s="10"/>
      <c r="BI529" s="10"/>
      <c r="BJ529" s="10"/>
      <c r="BK529" s="10"/>
      <c r="BM529" s="10"/>
    </row>
    <row r="530" spans="1:65" ht="12.75">
      <c r="A530" s="18">
        <v>43235</v>
      </c>
      <c r="B530" s="14" t="s">
        <v>1208</v>
      </c>
      <c r="C530" s="19">
        <v>28000</v>
      </c>
      <c r="D530" s="19"/>
      <c r="E530" s="14" t="s">
        <v>45</v>
      </c>
      <c r="F530" s="14" t="s">
        <v>110</v>
      </c>
      <c r="G530" s="27" t="s">
        <v>1204</v>
      </c>
      <c r="H530" s="14" t="str">
        <f t="array" ref="H530">IFERROR(INDEX([1]Companies!$G:$G,MATCH(B530,[1]Companies!$A:$A,0)),"")</f>
        <v>Egypt</v>
      </c>
      <c r="I530" s="14" t="str">
        <f t="shared" si="694"/>
        <v>Egypt</v>
      </c>
      <c r="J530" s="14" t="str">
        <f t="array" ref="J530">IFERROR(INDEX([1]Companies!$Y:$Y,MATCH(B530,[1]Companies!$A:$A,0)),"")</f>
        <v>Artificial Intelligence, E-Commerce, Health Care, Information Technology, Mobile Apps, Pharmaceutical</v>
      </c>
      <c r="K530" s="14" t="str">
        <f t="array" ref="K530">IFERROR(INDEX([1]Companies!$X:$X,MATCH(B530,[1]Companies!$A:$A,0)),"")</f>
        <v>Healthcare &amp; Pharma</v>
      </c>
      <c r="L530" s="14" t="str">
        <f>VLOOKUP(B530,[1]Companies!$A$1:$C$5243,1,FALSE)</f>
        <v>Chefaa</v>
      </c>
      <c r="M530" s="15">
        <f t="shared" si="695"/>
        <v>0.9</v>
      </c>
      <c r="N530" s="10" t="str">
        <f t="shared" si="696"/>
        <v>43235Chefaa28000</v>
      </c>
      <c r="O530" s="14" t="str">
        <f t="shared" si="697"/>
        <v/>
      </c>
      <c r="P530" s="14">
        <f t="shared" si="698"/>
        <v>1</v>
      </c>
      <c r="Q530" s="14">
        <f t="array" ref="Q530">IFERROR(INDEX([1]Companies!$D:$D,MATCH(B530,[1]Companies!$A:$A,0)),"")</f>
        <v>2017</v>
      </c>
      <c r="R530" s="17">
        <f t="shared" si="699"/>
        <v>28000</v>
      </c>
      <c r="S530" s="14">
        <f>VLOOKUP(I530,[1]Lookups!$V$3:$Y$197,4,FALSE)</f>
        <v>0</v>
      </c>
      <c r="T530" s="14" t="str">
        <f>VLOOKUP(E530,[1]Lookups!$H$3:$I$71,2,FALSE)</f>
        <v>2. Seed</v>
      </c>
      <c r="U530" s="14" t="str">
        <f>VLOOKUP(K530,[1]Lookups!$B$3:$C$142,2,FALSE)</f>
        <v>Health &amp; Pharmaceuticals</v>
      </c>
      <c r="V530" s="14">
        <f t="shared" si="735"/>
        <v>2018</v>
      </c>
      <c r="W530" s="14">
        <f t="shared" si="736"/>
        <v>5</v>
      </c>
      <c r="X530" s="14">
        <f>VLOOKUP(W530,[1]Lookups!$P$3:$S$15,2,FALSE)</f>
        <v>2</v>
      </c>
      <c r="Y530" s="16">
        <f>VLOOKUP(W530,[1]Lookups!$P$3:$U$15,3,FALSE)</f>
        <v>1</v>
      </c>
      <c r="Z530" s="16">
        <f t="shared" si="737"/>
        <v>1</v>
      </c>
      <c r="AA530" s="16" t="str">
        <f t="shared" ca="1" si="751"/>
        <v>Seedstars</v>
      </c>
      <c r="AB530" s="16">
        <f t="shared" si="751"/>
        <v>0</v>
      </c>
      <c r="AC530" s="16">
        <f t="shared" si="751"/>
        <v>0</v>
      </c>
      <c r="AD530" s="16">
        <f t="shared" si="751"/>
        <v>0</v>
      </c>
      <c r="AE530" s="16">
        <f t="shared" si="751"/>
        <v>0</v>
      </c>
      <c r="AF530" s="16">
        <f t="shared" si="751"/>
        <v>0</v>
      </c>
      <c r="AG530" s="16">
        <f t="shared" si="751"/>
        <v>0</v>
      </c>
      <c r="AH530" s="16">
        <f t="shared" si="751"/>
        <v>0</v>
      </c>
      <c r="AI530" s="16">
        <f t="shared" si="751"/>
        <v>0</v>
      </c>
      <c r="AJ530" s="16">
        <f t="shared" si="751"/>
        <v>0</v>
      </c>
      <c r="AK530" s="16">
        <f t="shared" si="751"/>
        <v>0</v>
      </c>
      <c r="AL530" s="16">
        <f t="shared" si="751"/>
        <v>0</v>
      </c>
      <c r="AM530" s="16">
        <f t="shared" si="751"/>
        <v>0</v>
      </c>
      <c r="AN530" s="16">
        <f t="shared" si="751"/>
        <v>0</v>
      </c>
      <c r="AO530" s="16">
        <f t="shared" si="751"/>
        <v>0</v>
      </c>
      <c r="AP530" s="10"/>
      <c r="AQ530" s="10"/>
      <c r="AR530" s="10"/>
      <c r="AS530" s="10" t="str">
        <f t="shared" ref="AS530" ca="1" si="757">IFERROR(__xludf.DUMMYFUNCTION("split(F479,"","",true,true)"),"Seedstars")</f>
        <v>Seedstars</v>
      </c>
      <c r="AT530" s="10"/>
      <c r="AU530" s="10"/>
      <c r="AV530" s="10"/>
      <c r="AW530" s="10"/>
      <c r="AX530" s="10"/>
      <c r="AY530" s="10"/>
      <c r="AZ530" s="10"/>
      <c r="BA530" s="10"/>
      <c r="BB530" s="10"/>
      <c r="BC530" s="10"/>
      <c r="BD530" s="10"/>
      <c r="BE530" s="10"/>
      <c r="BF530" s="10"/>
      <c r="BG530" s="10"/>
      <c r="BH530" s="10"/>
      <c r="BI530" s="10"/>
      <c r="BJ530" s="10"/>
      <c r="BK530" s="10"/>
      <c r="BM530" s="10"/>
    </row>
    <row r="531" spans="1:65" ht="12.75">
      <c r="A531" s="18">
        <v>43235</v>
      </c>
      <c r="B531" s="14" t="s">
        <v>1209</v>
      </c>
      <c r="C531" s="19">
        <v>28000</v>
      </c>
      <c r="D531" s="19"/>
      <c r="E531" s="14" t="s">
        <v>45</v>
      </c>
      <c r="F531" s="14" t="s">
        <v>110</v>
      </c>
      <c r="G531" s="27" t="s">
        <v>1204</v>
      </c>
      <c r="H531" s="14" t="str">
        <f t="array" ref="H531">IFERROR(INDEX([1]Companies!$G:$G,MATCH(B531,[1]Companies!$A:$A,0)),"")</f>
        <v>Egypt</v>
      </c>
      <c r="I531" s="14" t="str">
        <f t="shared" si="694"/>
        <v>Egypt</v>
      </c>
      <c r="J531" s="14" t="str">
        <f t="array" ref="J531">IFERROR(INDEX([1]Companies!$Y:$Y,MATCH(B531,[1]Companies!$A:$A,0)),"")</f>
        <v>Employee Benefits, Health Care, Health Insurance, Insurance, Medical, Mobile Apps</v>
      </c>
      <c r="K531" s="14" t="str">
        <f t="array" ref="K531">IFERROR(INDEX([1]Companies!$X:$X,MATCH(B531,[1]Companies!$A:$A,0)),"")</f>
        <v>Healthcare &amp; Pharma</v>
      </c>
      <c r="L531" s="14" t="str">
        <f>VLOOKUP(B531,[1]Companies!$A$1:$C$5243,1,FALSE)</f>
        <v>Medmisr</v>
      </c>
      <c r="M531" s="15">
        <f t="shared" si="695"/>
        <v>0.9</v>
      </c>
      <c r="N531" s="10" t="str">
        <f t="shared" si="696"/>
        <v>43235MedMisr28000</v>
      </c>
      <c r="O531" s="14" t="str">
        <f t="shared" si="697"/>
        <v/>
      </c>
      <c r="P531" s="14">
        <f t="shared" si="698"/>
        <v>1</v>
      </c>
      <c r="Q531" s="14">
        <f t="array" ref="Q531">IFERROR(INDEX([1]Companies!$D:$D,MATCH(B531,[1]Companies!$A:$A,0)),"")</f>
        <v>2018</v>
      </c>
      <c r="R531" s="17">
        <f t="shared" si="699"/>
        <v>28000</v>
      </c>
      <c r="S531" s="14">
        <f>VLOOKUP(I531,[1]Lookups!$V$3:$Y$197,4,FALSE)</f>
        <v>0</v>
      </c>
      <c r="T531" s="14" t="str">
        <f>VLOOKUP(E531,[1]Lookups!$H$3:$I$71,2,FALSE)</f>
        <v>2. Seed</v>
      </c>
      <c r="U531" s="14" t="str">
        <f>VLOOKUP(K531,[1]Lookups!$B$3:$C$142,2,FALSE)</f>
        <v>Health &amp; Pharmaceuticals</v>
      </c>
      <c r="V531" s="14">
        <f t="shared" si="735"/>
        <v>2018</v>
      </c>
      <c r="W531" s="14">
        <f t="shared" si="736"/>
        <v>5</v>
      </c>
      <c r="X531" s="14">
        <f>VLOOKUP(W531,[1]Lookups!$P$3:$S$15,2,FALSE)</f>
        <v>2</v>
      </c>
      <c r="Y531" s="16">
        <f>VLOOKUP(W531,[1]Lookups!$P$3:$U$15,3,FALSE)</f>
        <v>1</v>
      </c>
      <c r="Z531" s="16">
        <f t="shared" si="737"/>
        <v>1</v>
      </c>
      <c r="AA531" s="16" t="str">
        <f t="shared" ca="1" si="751"/>
        <v>Seedstars</v>
      </c>
      <c r="AB531" s="16">
        <f t="shared" si="751"/>
        <v>0</v>
      </c>
      <c r="AC531" s="16">
        <f t="shared" si="751"/>
        <v>0</v>
      </c>
      <c r="AD531" s="16">
        <f t="shared" si="751"/>
        <v>0</v>
      </c>
      <c r="AE531" s="16">
        <f t="shared" si="751"/>
        <v>0</v>
      </c>
      <c r="AF531" s="16">
        <f t="shared" si="751"/>
        <v>0</v>
      </c>
      <c r="AG531" s="16">
        <f t="shared" si="751"/>
        <v>0</v>
      </c>
      <c r="AH531" s="16">
        <f t="shared" si="751"/>
        <v>0</v>
      </c>
      <c r="AI531" s="16">
        <f t="shared" si="751"/>
        <v>0</v>
      </c>
      <c r="AJ531" s="16">
        <f t="shared" si="751"/>
        <v>0</v>
      </c>
      <c r="AK531" s="16">
        <f t="shared" si="751"/>
        <v>0</v>
      </c>
      <c r="AL531" s="16">
        <f t="shared" si="751"/>
        <v>0</v>
      </c>
      <c r="AM531" s="16">
        <f t="shared" si="751"/>
        <v>0</v>
      </c>
      <c r="AN531" s="16">
        <f t="shared" si="751"/>
        <v>0</v>
      </c>
      <c r="AO531" s="16">
        <f t="shared" si="751"/>
        <v>0</v>
      </c>
      <c r="AP531" s="10"/>
      <c r="AQ531" s="10"/>
      <c r="AR531" s="10"/>
      <c r="AS531" s="10" t="str">
        <f t="shared" ref="AS531" ca="1" si="758">IFERROR(__xludf.DUMMYFUNCTION("split(F479,"","",true,true)"),"Seedstars")</f>
        <v>Seedstars</v>
      </c>
      <c r="AT531" s="10"/>
      <c r="AU531" s="10"/>
      <c r="AV531" s="10"/>
      <c r="AW531" s="10"/>
      <c r="AX531" s="10"/>
      <c r="AY531" s="10"/>
      <c r="AZ531" s="10"/>
      <c r="BA531" s="10"/>
      <c r="BB531" s="10"/>
      <c r="BC531" s="10"/>
      <c r="BD531" s="10"/>
      <c r="BE531" s="10"/>
      <c r="BF531" s="10"/>
      <c r="BG531" s="10"/>
      <c r="BH531" s="10"/>
      <c r="BI531" s="10"/>
      <c r="BJ531" s="10"/>
      <c r="BK531" s="10"/>
      <c r="BM531" s="10"/>
    </row>
    <row r="532" spans="1:65" ht="12.75">
      <c r="A532" s="18">
        <v>43235</v>
      </c>
      <c r="B532" s="14" t="s">
        <v>1210</v>
      </c>
      <c r="C532" s="19">
        <v>28000</v>
      </c>
      <c r="D532" s="19"/>
      <c r="E532" s="14" t="s">
        <v>45</v>
      </c>
      <c r="F532" s="14" t="s">
        <v>110</v>
      </c>
      <c r="G532" s="27" t="s">
        <v>1204</v>
      </c>
      <c r="H532" s="14" t="str">
        <f t="array" ref="H532">IFERROR(INDEX([1]Companies!$G:$G,MATCH(B532,[1]Companies!$A:$A,0)),"")</f>
        <v>Egypt</v>
      </c>
      <c r="I532" s="14" t="str">
        <f t="shared" si="694"/>
        <v>Egypt</v>
      </c>
      <c r="J532" s="14" t="str">
        <f t="array" ref="J532">IFERROR(INDEX([1]Companies!$Y:$Y,MATCH(B532,[1]Companies!$A:$A,0)),"")</f>
        <v>E-Commerce, Financial Exchanges, Jewelry, Retail</v>
      </c>
      <c r="K532" s="14" t="str">
        <f t="array" ref="K532">IFERROR(INDEX([1]Companies!$X:$X,MATCH(B532,[1]Companies!$A:$A,0)),"")</f>
        <v>E-Commerce &amp; Retail</v>
      </c>
      <c r="L532" s="14" t="str">
        <f>VLOOKUP(B532,[1]Companies!$A$1:$C$5243,1,FALSE)</f>
        <v>Isagha</v>
      </c>
      <c r="M532" s="15">
        <f t="shared" si="695"/>
        <v>0.9</v>
      </c>
      <c r="N532" s="10" t="str">
        <f t="shared" si="696"/>
        <v>43235iSagha28000</v>
      </c>
      <c r="O532" s="14" t="str">
        <f t="shared" si="697"/>
        <v/>
      </c>
      <c r="P532" s="14">
        <f t="shared" si="698"/>
        <v>1</v>
      </c>
      <c r="Q532" s="14">
        <f t="array" ref="Q532">IFERROR(INDEX([1]Companies!$D:$D,MATCH(B532,[1]Companies!$A:$A,0)),"")</f>
        <v>2018</v>
      </c>
      <c r="R532" s="17">
        <f t="shared" si="699"/>
        <v>28000</v>
      </c>
      <c r="S532" s="14">
        <f>VLOOKUP(I532,[1]Lookups!$V$3:$Y$197,4,FALSE)</f>
        <v>0</v>
      </c>
      <c r="T532" s="14" t="str">
        <f>VLOOKUP(E532,[1]Lookups!$H$3:$I$71,2,FALSE)</f>
        <v>2. Seed</v>
      </c>
      <c r="U532" s="14" t="str">
        <f>VLOOKUP(K532,[1]Lookups!$B$3:$C$142,2,FALSE)</f>
        <v>E-commerce &amp; Retail</v>
      </c>
      <c r="V532" s="14">
        <f t="shared" si="735"/>
        <v>2018</v>
      </c>
      <c r="W532" s="14">
        <f t="shared" si="736"/>
        <v>5</v>
      </c>
      <c r="X532" s="14">
        <f>VLOOKUP(W532,[1]Lookups!$P$3:$S$15,2,FALSE)</f>
        <v>2</v>
      </c>
      <c r="Y532" s="16">
        <f>VLOOKUP(W532,[1]Lookups!$P$3:$U$15,3,FALSE)</f>
        <v>1</v>
      </c>
      <c r="Z532" s="16">
        <f t="shared" si="737"/>
        <v>1</v>
      </c>
      <c r="AA532" s="16" t="str">
        <f t="shared" ca="1" si="751"/>
        <v>Seedstars</v>
      </c>
      <c r="AB532" s="16">
        <f t="shared" si="751"/>
        <v>0</v>
      </c>
      <c r="AC532" s="16">
        <f t="shared" si="751"/>
        <v>0</v>
      </c>
      <c r="AD532" s="16">
        <f t="shared" si="751"/>
        <v>0</v>
      </c>
      <c r="AE532" s="16">
        <f t="shared" si="751"/>
        <v>0</v>
      </c>
      <c r="AF532" s="16">
        <f t="shared" si="751"/>
        <v>0</v>
      </c>
      <c r="AG532" s="16">
        <f t="shared" si="751"/>
        <v>0</v>
      </c>
      <c r="AH532" s="16">
        <f t="shared" si="751"/>
        <v>0</v>
      </c>
      <c r="AI532" s="16">
        <f t="shared" si="751"/>
        <v>0</v>
      </c>
      <c r="AJ532" s="16">
        <f t="shared" si="751"/>
        <v>0</v>
      </c>
      <c r="AK532" s="16">
        <f t="shared" si="751"/>
        <v>0</v>
      </c>
      <c r="AL532" s="16">
        <f t="shared" si="751"/>
        <v>0</v>
      </c>
      <c r="AM532" s="16">
        <f t="shared" si="751"/>
        <v>0</v>
      </c>
      <c r="AN532" s="16">
        <f t="shared" si="751"/>
        <v>0</v>
      </c>
      <c r="AO532" s="16">
        <f t="shared" si="751"/>
        <v>0</v>
      </c>
      <c r="AP532" s="10"/>
      <c r="AQ532" s="10"/>
      <c r="AR532" s="10"/>
      <c r="AS532" s="10" t="str">
        <f t="shared" ref="AS532" ca="1" si="759">IFERROR(__xludf.DUMMYFUNCTION("split(F479,"","",true,true)"),"Seedstars")</f>
        <v>Seedstars</v>
      </c>
      <c r="AT532" s="10"/>
      <c r="AU532" s="10"/>
      <c r="AV532" s="10"/>
      <c r="AW532" s="10"/>
      <c r="AX532" s="10"/>
      <c r="AY532" s="10"/>
      <c r="AZ532" s="10"/>
      <c r="BA532" s="10"/>
      <c r="BB532" s="10"/>
      <c r="BC532" s="10"/>
      <c r="BD532" s="10"/>
      <c r="BE532" s="10"/>
      <c r="BF532" s="10"/>
      <c r="BG532" s="10"/>
      <c r="BH532" s="10"/>
      <c r="BI532" s="10"/>
      <c r="BJ532" s="10"/>
      <c r="BK532" s="10"/>
      <c r="BM532" s="10"/>
    </row>
    <row r="533" spans="1:65" ht="12.75">
      <c r="A533" s="18">
        <v>43235</v>
      </c>
      <c r="B533" s="14" t="s">
        <v>1211</v>
      </c>
      <c r="C533" s="19">
        <v>28000</v>
      </c>
      <c r="D533" s="19"/>
      <c r="E533" s="14" t="s">
        <v>45</v>
      </c>
      <c r="F533" s="14" t="s">
        <v>110</v>
      </c>
      <c r="G533" s="27" t="s">
        <v>1204</v>
      </c>
      <c r="H533" s="14" t="str">
        <f t="array" ref="H533">IFERROR(INDEX([1]Companies!$G:$G,MATCH(B533,[1]Companies!$A:$A,0)),"")</f>
        <v>Egypt</v>
      </c>
      <c r="I533" s="14" t="str">
        <f t="shared" si="694"/>
        <v>Egypt</v>
      </c>
      <c r="J533" s="14" t="str">
        <f t="array" ref="J533">IFERROR(INDEX([1]Companies!$Y:$Y,MATCH(B533,[1]Companies!$A:$A,0)),"")</f>
        <v>Supermarket, Delivery</v>
      </c>
      <c r="K533" s="14" t="str">
        <f t="array" ref="K533">IFERROR(INDEX([1]Companies!$X:$X,MATCH(B533,[1]Companies!$A:$A,0)),"")</f>
        <v>E-Commerce &amp; Retail</v>
      </c>
      <c r="L533" s="14" t="str">
        <f>VLOOKUP(B533,[1]Companies!$A$1:$C$5243,1,FALSE)</f>
        <v>Weelo</v>
      </c>
      <c r="M533" s="15">
        <f t="shared" si="695"/>
        <v>0.9</v>
      </c>
      <c r="N533" s="10" t="str">
        <f t="shared" si="696"/>
        <v>43235Weelo28000</v>
      </c>
      <c r="O533" s="14" t="str">
        <f t="shared" si="697"/>
        <v/>
      </c>
      <c r="P533" s="14">
        <f t="shared" si="698"/>
        <v>1</v>
      </c>
      <c r="Q533" s="14">
        <f t="array" ref="Q533">IFERROR(INDEX([1]Companies!$D:$D,MATCH(B533,[1]Companies!$A:$A,0)),"")</f>
        <v>2017</v>
      </c>
      <c r="R533" s="17">
        <f t="shared" si="699"/>
        <v>28000</v>
      </c>
      <c r="S533" s="14">
        <f>VLOOKUP(I533,[1]Lookups!$V$3:$Y$197,4,FALSE)</f>
        <v>0</v>
      </c>
      <c r="T533" s="14" t="str">
        <f>VLOOKUP(E533,[1]Lookups!$H$3:$I$71,2,FALSE)</f>
        <v>2. Seed</v>
      </c>
      <c r="U533" s="14" t="str">
        <f>VLOOKUP(K533,[1]Lookups!$B$3:$C$142,2,FALSE)</f>
        <v>E-commerce &amp; Retail</v>
      </c>
      <c r="V533" s="14">
        <f t="shared" si="735"/>
        <v>2018</v>
      </c>
      <c r="W533" s="14">
        <f t="shared" si="736"/>
        <v>5</v>
      </c>
      <c r="X533" s="14">
        <f>VLOOKUP(W533,[1]Lookups!$P$3:$S$15,2,FALSE)</f>
        <v>2</v>
      </c>
      <c r="Y533" s="16">
        <f>VLOOKUP(W533,[1]Lookups!$P$3:$U$15,3,FALSE)</f>
        <v>1</v>
      </c>
      <c r="Z533" s="16">
        <f t="shared" si="737"/>
        <v>1</v>
      </c>
      <c r="AA533" s="16" t="str">
        <f t="shared" ca="1" si="751"/>
        <v>Seedstars</v>
      </c>
      <c r="AB533" s="16">
        <f t="shared" si="751"/>
        <v>0</v>
      </c>
      <c r="AC533" s="16">
        <f t="shared" si="751"/>
        <v>0</v>
      </c>
      <c r="AD533" s="16">
        <f t="shared" si="751"/>
        <v>0</v>
      </c>
      <c r="AE533" s="16">
        <f t="shared" si="751"/>
        <v>0</v>
      </c>
      <c r="AF533" s="16">
        <f t="shared" si="751"/>
        <v>0</v>
      </c>
      <c r="AG533" s="16">
        <f t="shared" si="751"/>
        <v>0</v>
      </c>
      <c r="AH533" s="16">
        <f t="shared" si="751"/>
        <v>0</v>
      </c>
      <c r="AI533" s="16">
        <f t="shared" si="751"/>
        <v>0</v>
      </c>
      <c r="AJ533" s="16">
        <f t="shared" si="751"/>
        <v>0</v>
      </c>
      <c r="AK533" s="16">
        <f t="shared" si="751"/>
        <v>0</v>
      </c>
      <c r="AL533" s="16">
        <f t="shared" si="751"/>
        <v>0</v>
      </c>
      <c r="AM533" s="16">
        <f t="shared" si="751"/>
        <v>0</v>
      </c>
      <c r="AN533" s="16">
        <f t="shared" si="751"/>
        <v>0</v>
      </c>
      <c r="AO533" s="16">
        <f t="shared" si="751"/>
        <v>0</v>
      </c>
      <c r="AP533" s="10"/>
      <c r="AQ533" s="10"/>
      <c r="AR533" s="10"/>
      <c r="AS533" s="10" t="str">
        <f t="shared" ref="AS533" ca="1" si="760">IFERROR(__xludf.DUMMYFUNCTION("split(F479,"","",true,true)"),"Seedstars")</f>
        <v>Seedstars</v>
      </c>
      <c r="AT533" s="10"/>
      <c r="AU533" s="10"/>
      <c r="AV533" s="10"/>
      <c r="AW533" s="10"/>
      <c r="AX533" s="10"/>
      <c r="AY533" s="10"/>
      <c r="AZ533" s="10"/>
      <c r="BA533" s="10"/>
      <c r="BB533" s="10"/>
      <c r="BC533" s="10"/>
      <c r="BD533" s="10"/>
      <c r="BE533" s="10"/>
      <c r="BF533" s="10"/>
      <c r="BG533" s="10"/>
      <c r="BH533" s="10"/>
      <c r="BI533" s="10"/>
      <c r="BJ533" s="10"/>
      <c r="BK533" s="10"/>
      <c r="BM533" s="10"/>
    </row>
    <row r="534" spans="1:65" ht="12.75">
      <c r="A534" s="18">
        <v>43235</v>
      </c>
      <c r="B534" s="14" t="s">
        <v>1212</v>
      </c>
      <c r="C534" s="19">
        <v>28000</v>
      </c>
      <c r="D534" s="19"/>
      <c r="E534" s="14" t="s">
        <v>45</v>
      </c>
      <c r="F534" s="14" t="s">
        <v>110</v>
      </c>
      <c r="G534" s="27" t="s">
        <v>1204</v>
      </c>
      <c r="H534" s="14" t="str">
        <f t="array" ref="H534">IFERROR(INDEX([1]Companies!$G:$G,MATCH(B534,[1]Companies!$A:$A,0)),"")</f>
        <v>Egypt</v>
      </c>
      <c r="I534" s="14" t="str">
        <f t="shared" si="694"/>
        <v>Egypt</v>
      </c>
      <c r="J534" s="14" t="str">
        <f t="array" ref="J534">IFERROR(INDEX([1]Companies!$Y:$Y,MATCH(B534,[1]Companies!$A:$A,0)),"")</f>
        <v>Transportation, Trucking, Railroad</v>
      </c>
      <c r="K534" s="14" t="str">
        <f t="array" ref="K534">IFERROR(INDEX([1]Companies!$X:$X,MATCH(B534,[1]Companies!$A:$A,0)),"")</f>
        <v>Transport &amp; Logistics</v>
      </c>
      <c r="L534" s="14" t="str">
        <f>VLOOKUP(B534,[1]Companies!$A$1:$C$5243,1,FALSE)</f>
        <v>Wasel</v>
      </c>
      <c r="M534" s="15">
        <f t="shared" si="695"/>
        <v>0.9</v>
      </c>
      <c r="N534" s="10" t="str">
        <f t="shared" si="696"/>
        <v>43235Wasel28000</v>
      </c>
      <c r="O534" s="14" t="str">
        <f t="shared" si="697"/>
        <v/>
      </c>
      <c r="P534" s="14">
        <f t="shared" si="698"/>
        <v>1</v>
      </c>
      <c r="Q534" s="14">
        <f t="array" ref="Q534">IFERROR(INDEX([1]Companies!$D:$D,MATCH(B534,[1]Companies!$A:$A,0)),"")</f>
        <v>2018</v>
      </c>
      <c r="R534" s="17">
        <f t="shared" si="699"/>
        <v>28000</v>
      </c>
      <c r="S534" s="14">
        <f>VLOOKUP(I534,[1]Lookups!$V$3:$Y$197,4,FALSE)</f>
        <v>0</v>
      </c>
      <c r="T534" s="14" t="str">
        <f>VLOOKUP(E534,[1]Lookups!$H$3:$I$71,2,FALSE)</f>
        <v>2. Seed</v>
      </c>
      <c r="U534" s="14" t="str">
        <f>VLOOKUP(K534,[1]Lookups!$B$3:$C$142,2,FALSE)</f>
        <v>Transport &amp; Logistics</v>
      </c>
      <c r="V534" s="14">
        <f t="shared" si="735"/>
        <v>2018</v>
      </c>
      <c r="W534" s="14">
        <f t="shared" si="736"/>
        <v>5</v>
      </c>
      <c r="X534" s="14">
        <f>VLOOKUP(W534,[1]Lookups!$P$3:$S$15,2,FALSE)</f>
        <v>2</v>
      </c>
      <c r="Y534" s="16">
        <f>VLOOKUP(W534,[1]Lookups!$P$3:$U$15,3,FALSE)</f>
        <v>1</v>
      </c>
      <c r="Z534" s="16">
        <f t="shared" si="737"/>
        <v>1</v>
      </c>
      <c r="AA534" s="16" t="str">
        <f t="shared" ca="1" si="751"/>
        <v>Seedstars</v>
      </c>
      <c r="AB534" s="16">
        <f t="shared" si="751"/>
        <v>0</v>
      </c>
      <c r="AC534" s="16">
        <f t="shared" si="751"/>
        <v>0</v>
      </c>
      <c r="AD534" s="16">
        <f t="shared" si="751"/>
        <v>0</v>
      </c>
      <c r="AE534" s="16">
        <f t="shared" si="751"/>
        <v>0</v>
      </c>
      <c r="AF534" s="16">
        <f t="shared" si="751"/>
        <v>0</v>
      </c>
      <c r="AG534" s="16">
        <f t="shared" si="751"/>
        <v>0</v>
      </c>
      <c r="AH534" s="16">
        <f t="shared" si="751"/>
        <v>0</v>
      </c>
      <c r="AI534" s="16">
        <f t="shared" si="751"/>
        <v>0</v>
      </c>
      <c r="AJ534" s="16">
        <f t="shared" si="751"/>
        <v>0</v>
      </c>
      <c r="AK534" s="16">
        <f t="shared" si="751"/>
        <v>0</v>
      </c>
      <c r="AL534" s="16">
        <f t="shared" si="751"/>
        <v>0</v>
      </c>
      <c r="AM534" s="16">
        <f t="shared" si="751"/>
        <v>0</v>
      </c>
      <c r="AN534" s="16">
        <f t="shared" si="751"/>
        <v>0</v>
      </c>
      <c r="AO534" s="16">
        <f t="shared" si="751"/>
        <v>0</v>
      </c>
      <c r="AP534" s="10"/>
      <c r="AQ534" s="10"/>
      <c r="AR534" s="10"/>
      <c r="AS534" s="10" t="str">
        <f t="shared" ref="AS534" ca="1" si="761">IFERROR(__xludf.DUMMYFUNCTION("split(F479,"","",true,true)"),"Seedstars")</f>
        <v>Seedstars</v>
      </c>
      <c r="AT534" s="10"/>
      <c r="AU534" s="10"/>
      <c r="AV534" s="10"/>
      <c r="AW534" s="10"/>
      <c r="AX534" s="10"/>
      <c r="AY534" s="10"/>
      <c r="AZ534" s="10"/>
      <c r="BA534" s="10"/>
      <c r="BB534" s="10"/>
      <c r="BC534" s="10"/>
      <c r="BD534" s="10"/>
      <c r="BE534" s="10"/>
      <c r="BF534" s="10"/>
      <c r="BG534" s="10"/>
      <c r="BH534" s="10"/>
      <c r="BI534" s="10"/>
      <c r="BJ534" s="10"/>
      <c r="BK534" s="10"/>
      <c r="BM534" s="10"/>
    </row>
    <row r="535" spans="1:65" ht="12.75">
      <c r="A535" s="18">
        <v>43235</v>
      </c>
      <c r="B535" s="14" t="s">
        <v>1213</v>
      </c>
      <c r="C535" s="19">
        <v>28000</v>
      </c>
      <c r="D535" s="19"/>
      <c r="E535" s="14" t="s">
        <v>45</v>
      </c>
      <c r="F535" s="14" t="s">
        <v>110</v>
      </c>
      <c r="G535" s="27" t="s">
        <v>1204</v>
      </c>
      <c r="H535" s="14" t="str">
        <f t="array" ref="H535">IFERROR(INDEX([1]Companies!$G:$G,MATCH(B535,[1]Companies!$A:$A,0)),"")</f>
        <v>Egypt</v>
      </c>
      <c r="I535" s="14" t="str">
        <f t="shared" si="694"/>
        <v>Egypt</v>
      </c>
      <c r="J535" s="14" t="str">
        <f t="array" ref="J535">IFERROR(INDEX([1]Companies!$Y:$Y,MATCH(B535,[1]Companies!$A:$A,0)),"")</f>
        <v>Schools, B2B, Transportation</v>
      </c>
      <c r="K535" s="14" t="str">
        <f t="array" ref="K535">IFERROR(INDEX([1]Companies!$X:$X,MATCH(B535,[1]Companies!$A:$A,0)),"")</f>
        <v>Transport &amp; Logistics</v>
      </c>
      <c r="L535" s="14" t="str">
        <f>VLOOKUP(B535,[1]Companies!$A$1:$C$5243,1,FALSE)</f>
        <v>Transpooler</v>
      </c>
      <c r="M535" s="15">
        <f t="shared" si="695"/>
        <v>0.9</v>
      </c>
      <c r="N535" s="10" t="str">
        <f t="shared" si="696"/>
        <v>43235Transpooler28000</v>
      </c>
      <c r="O535" s="14" t="str">
        <f t="shared" si="697"/>
        <v/>
      </c>
      <c r="P535" s="14">
        <f t="shared" si="698"/>
        <v>1</v>
      </c>
      <c r="Q535" s="14">
        <f t="array" ref="Q535">IFERROR(INDEX([1]Companies!$D:$D,MATCH(B535,[1]Companies!$A:$A,0)),"")</f>
        <v>2017</v>
      </c>
      <c r="R535" s="17">
        <f t="shared" si="699"/>
        <v>28000</v>
      </c>
      <c r="S535" s="14">
        <f>VLOOKUP(I535,[1]Lookups!$V$3:$Y$197,4,FALSE)</f>
        <v>0</v>
      </c>
      <c r="T535" s="14" t="str">
        <f>VLOOKUP(E535,[1]Lookups!$H$3:$I$71,2,FALSE)</f>
        <v>2. Seed</v>
      </c>
      <c r="U535" s="14" t="str">
        <f>VLOOKUP(K535,[1]Lookups!$B$3:$C$142,2,FALSE)</f>
        <v>Transport &amp; Logistics</v>
      </c>
      <c r="V535" s="14">
        <f t="shared" si="735"/>
        <v>2018</v>
      </c>
      <c r="W535" s="14">
        <f t="shared" si="736"/>
        <v>5</v>
      </c>
      <c r="X535" s="14">
        <f>VLOOKUP(W535,[1]Lookups!$P$3:$S$15,2,FALSE)</f>
        <v>2</v>
      </c>
      <c r="Y535" s="16">
        <f>VLOOKUP(W535,[1]Lookups!$P$3:$U$15,3,FALSE)</f>
        <v>1</v>
      </c>
      <c r="Z535" s="16">
        <f t="shared" si="737"/>
        <v>1</v>
      </c>
      <c r="AA535" s="16" t="str">
        <f t="shared" ca="1" si="751"/>
        <v>Seedstars</v>
      </c>
      <c r="AB535" s="16">
        <f t="shared" si="751"/>
        <v>0</v>
      </c>
      <c r="AC535" s="16">
        <f t="shared" si="751"/>
        <v>0</v>
      </c>
      <c r="AD535" s="16">
        <f t="shared" si="751"/>
        <v>0</v>
      </c>
      <c r="AE535" s="16">
        <f t="shared" si="751"/>
        <v>0</v>
      </c>
      <c r="AF535" s="16">
        <f t="shared" si="751"/>
        <v>0</v>
      </c>
      <c r="AG535" s="16">
        <f t="shared" si="751"/>
        <v>0</v>
      </c>
      <c r="AH535" s="16">
        <f t="shared" si="751"/>
        <v>0</v>
      </c>
      <c r="AI535" s="16">
        <f t="shared" si="751"/>
        <v>0</v>
      </c>
      <c r="AJ535" s="16">
        <f t="shared" si="751"/>
        <v>0</v>
      </c>
      <c r="AK535" s="16">
        <f t="shared" si="751"/>
        <v>0</v>
      </c>
      <c r="AL535" s="16">
        <f t="shared" si="751"/>
        <v>0</v>
      </c>
      <c r="AM535" s="16">
        <f t="shared" si="751"/>
        <v>0</v>
      </c>
      <c r="AN535" s="16">
        <f t="shared" si="751"/>
        <v>0</v>
      </c>
      <c r="AO535" s="16">
        <f t="shared" si="751"/>
        <v>0</v>
      </c>
      <c r="AP535" s="10"/>
      <c r="AQ535" s="10"/>
      <c r="AR535" s="10"/>
      <c r="AS535" s="10" t="str">
        <f t="shared" ref="AS535" ca="1" si="762">IFERROR(__xludf.DUMMYFUNCTION("split(F479,"","",true,true)"),"Seedstars")</f>
        <v>Seedstars</v>
      </c>
      <c r="AT535" s="10"/>
      <c r="AU535" s="10"/>
      <c r="AV535" s="10"/>
      <c r="AW535" s="10"/>
      <c r="AX535" s="10"/>
      <c r="AY535" s="10"/>
      <c r="AZ535" s="10"/>
      <c r="BA535" s="10"/>
      <c r="BB535" s="10"/>
      <c r="BC535" s="10"/>
      <c r="BD535" s="10"/>
      <c r="BE535" s="10"/>
      <c r="BF535" s="10"/>
      <c r="BG535" s="10"/>
      <c r="BH535" s="10"/>
      <c r="BI535" s="10"/>
      <c r="BJ535" s="10"/>
      <c r="BK535" s="10"/>
      <c r="BM535" s="10"/>
    </row>
    <row r="536" spans="1:65" ht="12.75">
      <c r="A536" s="18">
        <v>43241</v>
      </c>
      <c r="B536" s="14" t="s">
        <v>1214</v>
      </c>
      <c r="C536" s="19" t="s">
        <v>49</v>
      </c>
      <c r="D536" s="19"/>
      <c r="E536" s="14" t="s">
        <v>45</v>
      </c>
      <c r="F536" s="14" t="s">
        <v>1215</v>
      </c>
      <c r="G536" s="27" t="s">
        <v>1216</v>
      </c>
      <c r="H536" s="14" t="str">
        <f t="array" ref="H536">IFERROR(INDEX([1]Companies!$G:$G,MATCH(B536,[1]Companies!$A:$A,0)),"")</f>
        <v>Mozambique</v>
      </c>
      <c r="I536" s="14" t="str">
        <f t="shared" si="694"/>
        <v>Mozambique</v>
      </c>
      <c r="J536" s="14" t="str">
        <f t="array" ref="J536">IFERROR(INDEX([1]Companies!$Y:$Y,MATCH(B536,[1]Companies!$A:$A,0)),"")</f>
        <v>Food &amp; Beverages, E-commerce</v>
      </c>
      <c r="K536" s="14" t="str">
        <f t="array" ref="K536">IFERROR(INDEX([1]Companies!$X:$X,MATCH(B536,[1]Companies!$A:$A,0)),"")</f>
        <v>E-Commerce &amp; Retail</v>
      </c>
      <c r="L536" s="14" t="str">
        <f>VLOOKUP(B536,[1]Companies!$A$1:$C$5243,1,FALSE)</f>
        <v>Izyshop</v>
      </c>
      <c r="M536" s="15">
        <f t="shared" si="695"/>
        <v>0.9</v>
      </c>
      <c r="N536" s="10" t="str">
        <f t="shared" si="696"/>
        <v>43241IzyshopUndisclosed</v>
      </c>
      <c r="O536" s="14" t="str">
        <f t="shared" si="697"/>
        <v/>
      </c>
      <c r="P536" s="14">
        <f t="shared" si="698"/>
        <v>0</v>
      </c>
      <c r="Q536" s="14">
        <f t="array" ref="Q536">IFERROR(INDEX([1]Companies!$D:$D,MATCH(B536,[1]Companies!$A:$A,0)),"")</f>
        <v>2015</v>
      </c>
      <c r="R536" s="17">
        <f t="shared" si="699"/>
        <v>0</v>
      </c>
      <c r="S536" s="14">
        <f>VLOOKUP(I536,[1]Lookups!$V$3:$Y$197,4,FALSE)</f>
        <v>0</v>
      </c>
      <c r="T536" s="14" t="str">
        <f>VLOOKUP(E536,[1]Lookups!$H$3:$I$71,2,FALSE)</f>
        <v>2. Seed</v>
      </c>
      <c r="U536" s="14" t="str">
        <f>VLOOKUP(K536,[1]Lookups!$B$3:$C$142,2,FALSE)</f>
        <v>E-commerce &amp; Retail</v>
      </c>
      <c r="V536" s="14">
        <f t="shared" si="735"/>
        <v>2018</v>
      </c>
      <c r="W536" s="14">
        <f t="shared" si="736"/>
        <v>5</v>
      </c>
      <c r="X536" s="14">
        <f>VLOOKUP(W536,[1]Lookups!$P$3:$S$15,2,FALSE)</f>
        <v>2</v>
      </c>
      <c r="Y536" s="16">
        <f>VLOOKUP(W536,[1]Lookups!$P$3:$U$15,3,FALSE)</f>
        <v>1</v>
      </c>
      <c r="Z536" s="16">
        <f t="shared" si="737"/>
        <v>1</v>
      </c>
      <c r="AA536" s="16" t="str">
        <f t="shared" ca="1" si="751"/>
        <v>Seedstars</v>
      </c>
      <c r="AB536" s="16">
        <f t="shared" si="751"/>
        <v>0</v>
      </c>
      <c r="AC536" s="16">
        <f t="shared" si="751"/>
        <v>0</v>
      </c>
      <c r="AD536" s="16">
        <f t="shared" si="751"/>
        <v>0</v>
      </c>
      <c r="AE536" s="16">
        <f t="shared" si="751"/>
        <v>0</v>
      </c>
      <c r="AF536" s="16">
        <f t="shared" si="751"/>
        <v>0</v>
      </c>
      <c r="AG536" s="16">
        <f t="shared" si="751"/>
        <v>0</v>
      </c>
      <c r="AH536" s="16">
        <f t="shared" si="751"/>
        <v>0</v>
      </c>
      <c r="AI536" s="16">
        <f t="shared" si="751"/>
        <v>0</v>
      </c>
      <c r="AJ536" s="16">
        <f t="shared" si="751"/>
        <v>0</v>
      </c>
      <c r="AK536" s="16">
        <f t="shared" si="751"/>
        <v>0</v>
      </c>
      <c r="AL536" s="16">
        <f t="shared" si="751"/>
        <v>0</v>
      </c>
      <c r="AM536" s="16">
        <f t="shared" si="751"/>
        <v>0</v>
      </c>
      <c r="AN536" s="16">
        <f t="shared" si="751"/>
        <v>0</v>
      </c>
      <c r="AO536" s="16">
        <f t="shared" si="751"/>
        <v>0</v>
      </c>
      <c r="AP536" s="10"/>
      <c r="AQ536" s="10"/>
      <c r="AR536" s="10"/>
      <c r="AS536" s="10" t="str">
        <f t="shared" ref="AS536" ca="1" si="763">IFERROR(__xludf.DUMMYFUNCTION("split(F479,"","",true,true)"),"Seedstars")</f>
        <v>Seedstars</v>
      </c>
      <c r="AT536" s="10"/>
      <c r="AU536" s="10"/>
      <c r="AV536" s="10"/>
      <c r="AW536" s="10"/>
      <c r="AX536" s="10"/>
      <c r="AY536" s="10"/>
      <c r="AZ536" s="10"/>
      <c r="BA536" s="10"/>
      <c r="BB536" s="10"/>
      <c r="BC536" s="10"/>
      <c r="BD536" s="10"/>
      <c r="BE536" s="10"/>
      <c r="BF536" s="10"/>
      <c r="BG536" s="10"/>
      <c r="BH536" s="10"/>
      <c r="BI536" s="10"/>
      <c r="BJ536" s="10"/>
      <c r="BK536" s="10"/>
      <c r="BM536" s="10"/>
    </row>
    <row r="537" spans="1:65" ht="12.75">
      <c r="A537" s="18">
        <v>43242</v>
      </c>
      <c r="B537" s="14" t="s">
        <v>1217</v>
      </c>
      <c r="C537" s="19">
        <v>1138350</v>
      </c>
      <c r="D537" s="19"/>
      <c r="E537" s="14" t="s">
        <v>45</v>
      </c>
      <c r="F537" s="14" t="s">
        <v>1218</v>
      </c>
      <c r="G537" s="27" t="s">
        <v>1219</v>
      </c>
      <c r="H537" s="14" t="str">
        <f t="array" ref="H537">IFERROR(INDEX([1]Companies!$G:$G,MATCH(B537,[1]Companies!$A:$A,0)),"")</f>
        <v>Ivory Coast</v>
      </c>
      <c r="I537" s="14" t="str">
        <f t="shared" si="694"/>
        <v>Ivory Coast</v>
      </c>
      <c r="J537" s="14" t="str">
        <f t="array" ref="J537">IFERROR(INDEX([1]Companies!$Y:$Y,MATCH(B537,[1]Companies!$A:$A,0)),"")</f>
        <v>Digital Marketing, Digital Media, Internet</v>
      </c>
      <c r="K537" s="14" t="str">
        <f t="array" ref="K537">IFERROR(INDEX([1]Companies!$X:$X,MATCH(B537,[1]Companies!$A:$A,0)),"")</f>
        <v>Marketing</v>
      </c>
      <c r="L537" s="14" t="str">
        <f>VLOOKUP(B537,[1]Companies!$A$1:$C$5243,1,FALSE)</f>
        <v>Janngo</v>
      </c>
      <c r="M537" s="15">
        <f t="shared" si="695"/>
        <v>0.9</v>
      </c>
      <c r="N537" s="10" t="str">
        <f t="shared" si="696"/>
        <v>43242Janngo1138350</v>
      </c>
      <c r="O537" s="14" t="str">
        <f t="shared" si="697"/>
        <v/>
      </c>
      <c r="P537" s="14">
        <f t="shared" si="698"/>
        <v>1</v>
      </c>
      <c r="Q537" s="14">
        <f t="array" ref="Q537">IFERROR(INDEX([1]Companies!$D:$D,MATCH(B537,[1]Companies!$A:$A,0)),"")</f>
        <v>2018</v>
      </c>
      <c r="R537" s="17">
        <f t="shared" si="699"/>
        <v>1138350</v>
      </c>
      <c r="S537" s="14">
        <f>VLOOKUP(I537,[1]Lookups!$V$3:$Y$197,4,FALSE)</f>
        <v>0</v>
      </c>
      <c r="T537" s="14" t="str">
        <f>VLOOKUP(E537,[1]Lookups!$H$3:$I$71,2,FALSE)</f>
        <v>2. Seed</v>
      </c>
      <c r="U537" s="14" t="str">
        <f>VLOOKUP(K537,[1]Lookups!$B$3:$C$142,2,FALSE)</f>
        <v>Media &amp; Entertainment</v>
      </c>
      <c r="V537" s="14">
        <f t="shared" si="735"/>
        <v>2018</v>
      </c>
      <c r="W537" s="14">
        <f t="shared" si="736"/>
        <v>5</v>
      </c>
      <c r="X537" s="14">
        <f>VLOOKUP(W537,[1]Lookups!$P$3:$S$15,2,FALSE)</f>
        <v>2</v>
      </c>
      <c r="Y537" s="16">
        <f>VLOOKUP(W537,[1]Lookups!$P$3:$U$15,3,FALSE)</f>
        <v>1</v>
      </c>
      <c r="Z537" s="16">
        <f t="shared" si="737"/>
        <v>3</v>
      </c>
      <c r="AA537" s="16" t="str">
        <f t="shared" ca="1" si="751"/>
        <v>Seedstars</v>
      </c>
      <c r="AB537" s="16" t="str">
        <f t="shared" ca="1" si="751"/>
        <v xml:space="preserve"> Soeximex</v>
      </c>
      <c r="AC537" s="16" t="str">
        <f t="shared" ca="1" si="751"/>
        <v xml:space="preserve"> Pole Innovation Metiers</v>
      </c>
      <c r="AD537" s="16">
        <f t="shared" si="751"/>
        <v>0</v>
      </c>
      <c r="AE537" s="16">
        <f t="shared" si="751"/>
        <v>0</v>
      </c>
      <c r="AF537" s="16">
        <f t="shared" si="751"/>
        <v>0</v>
      </c>
      <c r="AG537" s="16">
        <f t="shared" si="751"/>
        <v>0</v>
      </c>
      <c r="AH537" s="16">
        <f t="shared" si="751"/>
        <v>0</v>
      </c>
      <c r="AI537" s="16">
        <f t="shared" si="751"/>
        <v>0</v>
      </c>
      <c r="AJ537" s="16">
        <f t="shared" si="751"/>
        <v>0</v>
      </c>
      <c r="AK537" s="16">
        <f t="shared" si="751"/>
        <v>0</v>
      </c>
      <c r="AL537" s="16">
        <f t="shared" si="751"/>
        <v>0</v>
      </c>
      <c r="AM537" s="16">
        <f t="shared" si="751"/>
        <v>0</v>
      </c>
      <c r="AN537" s="16">
        <f t="shared" si="751"/>
        <v>0</v>
      </c>
      <c r="AO537" s="16">
        <f t="shared" si="751"/>
        <v>0</v>
      </c>
      <c r="AP537" s="10"/>
      <c r="AQ537" s="10"/>
      <c r="AR537" s="10"/>
      <c r="AS537" s="10" t="str">
        <f t="shared" ref="AS537" ca="1" si="764">IFERROR(__xludf.DUMMYFUNCTION("split(F479,"","",true,true)"),"Seedstars")</f>
        <v>Seedstars</v>
      </c>
      <c r="AT537" s="10" t="str">
        <f ca="1">IFERROR(__xludf.DUMMYFUNCTION("""COMPUTED_VALUE""")," Soeximex")</f>
        <v xml:space="preserve"> Soeximex</v>
      </c>
      <c r="AU537" s="10" t="str">
        <f ca="1">IFERROR(__xludf.DUMMYFUNCTION("""COMPUTED_VALUE""")," Pole Innovation Metiers")</f>
        <v xml:space="preserve"> Pole Innovation Metiers</v>
      </c>
      <c r="AV537" s="10"/>
      <c r="AW537" s="10"/>
      <c r="AX537" s="10"/>
      <c r="AY537" s="10"/>
      <c r="AZ537" s="10"/>
      <c r="BA537" s="10"/>
      <c r="BB537" s="10"/>
      <c r="BC537" s="10"/>
      <c r="BD537" s="10"/>
      <c r="BE537" s="10"/>
      <c r="BF537" s="10"/>
      <c r="BG537" s="10"/>
      <c r="BH537" s="10"/>
      <c r="BI537" s="10"/>
      <c r="BJ537" s="10"/>
      <c r="BK537" s="10"/>
      <c r="BM537" s="10"/>
    </row>
    <row r="538" spans="1:65" ht="12.75">
      <c r="A538" s="18">
        <v>43243</v>
      </c>
      <c r="B538" s="14" t="s">
        <v>639</v>
      </c>
      <c r="C538" s="19">
        <v>6900000</v>
      </c>
      <c r="D538" s="19"/>
      <c r="E538" s="14" t="s">
        <v>69</v>
      </c>
      <c r="F538" s="14" t="s">
        <v>1220</v>
      </c>
      <c r="G538" s="27" t="s">
        <v>1221</v>
      </c>
      <c r="H538" s="14" t="str">
        <f t="array" ref="H538">IFERROR(INDEX([1]Companies!$G:$G,MATCH(B538,[1]Companies!$A:$A,0)),"")</f>
        <v>Nigeria</v>
      </c>
      <c r="I538" s="14" t="str">
        <f t="shared" si="694"/>
        <v>Nigeria</v>
      </c>
      <c r="J538" s="14" t="str">
        <f t="array" ref="J538">IFERROR(INDEX([1]Companies!$Y:$Y,MATCH(B538,[1]Companies!$A:$A,0)),"")</f>
        <v>Fintech, Small Medium Businesses, Working Capital, Frontier &amp; Emerging Markets, and Credit Score</v>
      </c>
      <c r="K538" s="14" t="str">
        <f t="array" ref="K538">IFERROR(INDEX([1]Companies!$X:$X,MATCH(B538,[1]Companies!$A:$A,0)),"")</f>
        <v>Financial Services</v>
      </c>
      <c r="L538" s="14" t="str">
        <f>VLOOKUP(B538,[1]Companies!$A$1:$C$5243,1,FALSE)</f>
        <v>Lidya</v>
      </c>
      <c r="M538" s="15">
        <f t="shared" si="695"/>
        <v>0.9</v>
      </c>
      <c r="N538" s="10" t="str">
        <f t="shared" si="696"/>
        <v>43243Lidya6900000</v>
      </c>
      <c r="O538" s="14" t="str">
        <f t="shared" si="697"/>
        <v/>
      </c>
      <c r="P538" s="14">
        <f t="shared" si="698"/>
        <v>1</v>
      </c>
      <c r="Q538" s="14">
        <f t="array" ref="Q538">IFERROR(INDEX([1]Companies!$D:$D,MATCH(B538,[1]Companies!$A:$A,0)),"")</f>
        <v>2016</v>
      </c>
      <c r="R538" s="17">
        <f t="shared" si="699"/>
        <v>8186000</v>
      </c>
      <c r="S538" s="14">
        <f>VLOOKUP(I538,[1]Lookups!$V$3:$Y$197,4,FALSE)</f>
        <v>0</v>
      </c>
      <c r="T538" s="14" t="str">
        <f>VLOOKUP(E538,[1]Lookups!$H$3:$I$71,2,FALSE)</f>
        <v>3. Early Venture</v>
      </c>
      <c r="U538" s="14" t="str">
        <f>VLOOKUP(K538,[1]Lookups!$B$3:$C$142,2,FALSE)</f>
        <v>Financial Services</v>
      </c>
      <c r="V538" s="14">
        <f t="shared" si="735"/>
        <v>2018</v>
      </c>
      <c r="W538" s="14">
        <f t="shared" si="736"/>
        <v>5</v>
      </c>
      <c r="X538" s="14">
        <f>VLOOKUP(W538,[1]Lookups!$P$3:$S$15,2,FALSE)</f>
        <v>2</v>
      </c>
      <c r="Y538" s="16">
        <f>VLOOKUP(W538,[1]Lookups!$P$3:$U$15,3,FALSE)</f>
        <v>1</v>
      </c>
      <c r="Z538" s="16">
        <f t="shared" si="737"/>
        <v>6</v>
      </c>
      <c r="AA538" s="16" t="str">
        <f t="shared" ca="1" si="751"/>
        <v>Seedstars</v>
      </c>
      <c r="AB538" s="16" t="str">
        <f t="shared" ca="1" si="751"/>
        <v xml:space="preserve"> Tekton Ventures</v>
      </c>
      <c r="AC538" s="16" t="str">
        <f t="shared" ca="1" si="751"/>
        <v xml:space="preserve"> Newid capital</v>
      </c>
      <c r="AD538" s="16" t="str">
        <f t="shared" ca="1" si="751"/>
        <v xml:space="preserve"> Bamboo Capital Partners</v>
      </c>
      <c r="AE538" s="16" t="str">
        <f t="shared" ca="1" si="751"/>
        <v xml:space="preserve"> Alitheia Capital</v>
      </c>
      <c r="AF538" s="16" t="str">
        <f t="shared" ca="1" si="751"/>
        <v xml:space="preserve"> Accion Venture Lab</v>
      </c>
      <c r="AG538" s="16">
        <f t="shared" si="751"/>
        <v>0</v>
      </c>
      <c r="AH538" s="16">
        <f t="shared" si="751"/>
        <v>0</v>
      </c>
      <c r="AI538" s="16">
        <f t="shared" si="751"/>
        <v>0</v>
      </c>
      <c r="AJ538" s="16">
        <f t="shared" si="751"/>
        <v>0</v>
      </c>
      <c r="AK538" s="16">
        <f t="shared" si="751"/>
        <v>0</v>
      </c>
      <c r="AL538" s="16">
        <f t="shared" si="751"/>
        <v>0</v>
      </c>
      <c r="AM538" s="16">
        <f t="shared" si="751"/>
        <v>0</v>
      </c>
      <c r="AN538" s="16">
        <f t="shared" si="751"/>
        <v>0</v>
      </c>
      <c r="AO538" s="16">
        <f t="shared" si="751"/>
        <v>0</v>
      </c>
      <c r="AP538" s="10"/>
      <c r="AQ538" s="10"/>
      <c r="AR538" s="10"/>
      <c r="AS538" s="10" t="str">
        <f t="shared" ref="AS538" ca="1" si="765">IFERROR(__xludf.DUMMYFUNCTION("split(F479,"","",true,true)"),"Seedstars")</f>
        <v>Seedstars</v>
      </c>
      <c r="AT538" s="10" t="str">
        <f ca="1">IFERROR(__xludf.DUMMYFUNCTION("""COMPUTED_VALUE""")," Tekton Ventures")</f>
        <v xml:space="preserve"> Tekton Ventures</v>
      </c>
      <c r="AU538" s="10" t="str">
        <f ca="1">IFERROR(__xludf.DUMMYFUNCTION("""COMPUTED_VALUE""")," Newid capital")</f>
        <v xml:space="preserve"> Newid capital</v>
      </c>
      <c r="AV538" s="10" t="str">
        <f ca="1">IFERROR(__xludf.DUMMYFUNCTION("""COMPUTED_VALUE""")," Bamboo Capital Partners")</f>
        <v xml:space="preserve"> Bamboo Capital Partners</v>
      </c>
      <c r="AW538" s="10" t="str">
        <f ca="1">IFERROR(__xludf.DUMMYFUNCTION("""COMPUTED_VALUE""")," Alitheia Capital")</f>
        <v xml:space="preserve"> Alitheia Capital</v>
      </c>
      <c r="AX538" s="10" t="str">
        <f ca="1">IFERROR(__xludf.DUMMYFUNCTION("""COMPUTED_VALUE""")," Accion Venture Lab")</f>
        <v xml:space="preserve"> Accion Venture Lab</v>
      </c>
      <c r="AY538" s="10"/>
      <c r="AZ538" s="10"/>
      <c r="BA538" s="10"/>
      <c r="BB538" s="10"/>
      <c r="BC538" s="10"/>
      <c r="BD538" s="10"/>
      <c r="BE538" s="10"/>
      <c r="BF538" s="10"/>
      <c r="BG538" s="10"/>
      <c r="BH538" s="10"/>
      <c r="BI538" s="10"/>
      <c r="BJ538" s="10"/>
      <c r="BK538" s="10"/>
      <c r="BM538" s="10"/>
    </row>
    <row r="539" spans="1:65" ht="12.75">
      <c r="A539" s="18">
        <v>43243</v>
      </c>
      <c r="B539" s="14" t="s">
        <v>1037</v>
      </c>
      <c r="C539" s="19">
        <v>543000</v>
      </c>
      <c r="D539" s="19"/>
      <c r="E539" s="14" t="s">
        <v>564</v>
      </c>
      <c r="F539" s="14" t="s">
        <v>1222</v>
      </c>
      <c r="G539" s="27" t="s">
        <v>1223</v>
      </c>
      <c r="H539" s="14" t="str">
        <f t="array" ref="H539">IFERROR(INDEX([1]Companies!$G:$G,MATCH(B539,[1]Companies!$A:$A,0)),"")</f>
        <v>Kenya</v>
      </c>
      <c r="I539" s="14" t="str">
        <f t="shared" si="694"/>
        <v>Kenya</v>
      </c>
      <c r="J539" s="14" t="str">
        <f t="array" ref="J539">IFERROR(INDEX([1]Companies!$Y:$Y,MATCH(B539,[1]Companies!$A:$A,0)),"")</f>
        <v>Energy, Environmental Engineering, Renewable Energy, Solar</v>
      </c>
      <c r="K539" s="14" t="str">
        <f t="array" ref="K539">IFERROR(INDEX([1]Companies!$X:$X,MATCH(B539,[1]Companies!$A:$A,0)),"")</f>
        <v>Energy &amp; Environment Resources</v>
      </c>
      <c r="L539" s="14" t="str">
        <f>VLOOKUP(B539,[1]Companies!$A$1:$C$5243,1,FALSE)</f>
        <v xml:space="preserve">Pawame </v>
      </c>
      <c r="M539" s="15">
        <f t="shared" si="695"/>
        <v>0.9</v>
      </c>
      <c r="N539" s="10" t="str">
        <f t="shared" si="696"/>
        <v>43243Pawame 543000</v>
      </c>
      <c r="O539" s="14" t="str">
        <f t="shared" si="697"/>
        <v/>
      </c>
      <c r="P539" s="14">
        <f t="shared" si="698"/>
        <v>1</v>
      </c>
      <c r="Q539" s="14">
        <f t="array" ref="Q539">IFERROR(INDEX([1]Companies!$D:$D,MATCH(B539,[1]Companies!$A:$A,0)),"")</f>
        <v>2016</v>
      </c>
      <c r="R539" s="17">
        <f t="shared" si="699"/>
        <v>2543000</v>
      </c>
      <c r="S539" s="14">
        <f>VLOOKUP(I539,[1]Lookups!$V$3:$Y$197,4,FALSE)</f>
        <v>0</v>
      </c>
      <c r="T539" s="14" t="str">
        <f>VLOOKUP(E539,[1]Lookups!$H$3:$I$71,2,FALSE)</f>
        <v>7. Offerings</v>
      </c>
      <c r="U539" s="14" t="e">
        <f>VLOOKUP(K539,[1]Lookups!$B$3:$C$142,2,FALSE)</f>
        <v>#N/A</v>
      </c>
      <c r="V539" s="14">
        <f t="shared" si="735"/>
        <v>2018</v>
      </c>
      <c r="W539" s="14">
        <f t="shared" si="736"/>
        <v>5</v>
      </c>
      <c r="X539" s="14">
        <f>VLOOKUP(W539,[1]Lookups!$P$3:$S$15,2,FALSE)</f>
        <v>2</v>
      </c>
      <c r="Y539" s="16">
        <f>VLOOKUP(W539,[1]Lookups!$P$3:$U$15,3,FALSE)</f>
        <v>1</v>
      </c>
      <c r="Z539" s="16">
        <f t="shared" si="737"/>
        <v>1</v>
      </c>
      <c r="AA539" s="16" t="str">
        <f t="shared" ca="1" si="751"/>
        <v>Seedstars</v>
      </c>
      <c r="AB539" s="16">
        <f t="shared" si="751"/>
        <v>0</v>
      </c>
      <c r="AC539" s="16">
        <f t="shared" si="751"/>
        <v>0</v>
      </c>
      <c r="AD539" s="16">
        <f t="shared" si="751"/>
        <v>0</v>
      </c>
      <c r="AE539" s="16">
        <f t="shared" si="751"/>
        <v>0</v>
      </c>
      <c r="AF539" s="16">
        <f t="shared" si="751"/>
        <v>0</v>
      </c>
      <c r="AG539" s="16">
        <f t="shared" si="751"/>
        <v>0</v>
      </c>
      <c r="AH539" s="16">
        <f t="shared" si="751"/>
        <v>0</v>
      </c>
      <c r="AI539" s="16">
        <f t="shared" si="751"/>
        <v>0</v>
      </c>
      <c r="AJ539" s="16">
        <f t="shared" si="751"/>
        <v>0</v>
      </c>
      <c r="AK539" s="16">
        <f t="shared" si="751"/>
        <v>0</v>
      </c>
      <c r="AL539" s="16">
        <f t="shared" si="751"/>
        <v>0</v>
      </c>
      <c r="AM539" s="16">
        <f t="shared" si="751"/>
        <v>0</v>
      </c>
      <c r="AN539" s="16">
        <f t="shared" si="751"/>
        <v>0</v>
      </c>
      <c r="AO539" s="16">
        <f t="shared" si="751"/>
        <v>0</v>
      </c>
      <c r="AP539" s="10"/>
      <c r="AQ539" s="10"/>
      <c r="AR539" s="10"/>
      <c r="AS539" s="10" t="str">
        <f t="shared" ref="AS539" ca="1" si="766">IFERROR(__xludf.DUMMYFUNCTION("split(F479,"","",true,true)"),"Seedstars")</f>
        <v>Seedstars</v>
      </c>
      <c r="AT539" s="10"/>
      <c r="AU539" s="10"/>
      <c r="AV539" s="10"/>
      <c r="AW539" s="10"/>
      <c r="AX539" s="10"/>
      <c r="AY539" s="10"/>
      <c r="AZ539" s="10"/>
      <c r="BA539" s="10"/>
      <c r="BB539" s="10"/>
      <c r="BC539" s="10"/>
      <c r="BD539" s="10"/>
      <c r="BE539" s="10"/>
      <c r="BF539" s="10"/>
      <c r="BG539" s="10"/>
      <c r="BH539" s="10"/>
      <c r="BI539" s="10"/>
      <c r="BJ539" s="10"/>
      <c r="BK539" s="10"/>
      <c r="BM539" s="10"/>
    </row>
    <row r="540" spans="1:65" ht="12.75">
      <c r="A540" s="18">
        <v>43244</v>
      </c>
      <c r="B540" s="14" t="s">
        <v>1224</v>
      </c>
      <c r="C540" s="19">
        <v>700000</v>
      </c>
      <c r="D540" s="19"/>
      <c r="E540" s="14" t="s">
        <v>45</v>
      </c>
      <c r="F540" s="14" t="s">
        <v>1225</v>
      </c>
      <c r="G540" s="27" t="s">
        <v>1226</v>
      </c>
      <c r="H540" s="14" t="str">
        <f t="array" ref="H540">IFERROR(INDEX([1]Companies!$G:$G,MATCH(B540,[1]Companies!$A:$A,0)),"")</f>
        <v>Mali</v>
      </c>
      <c r="I540" s="14" t="str">
        <f t="shared" si="694"/>
        <v>Mali</v>
      </c>
      <c r="J540" s="14" t="str">
        <f t="array" ref="J540">IFERROR(INDEX([1]Companies!$Y:$Y,MATCH(B540,[1]Companies!$A:$A,0)),"")</f>
        <v>Bikes, Ride hailing, Apps, Logistics</v>
      </c>
      <c r="K540" s="14" t="str">
        <f t="array" ref="K540">IFERROR(INDEX([1]Companies!$X:$X,MATCH(B540,[1]Companies!$A:$A,0)),"")</f>
        <v>Transport &amp; Logistics</v>
      </c>
      <c r="L540" s="14" t="str">
        <f>VLOOKUP(B540,[1]Companies!$A$1:$C$5243,1,FALSE)</f>
        <v>Teliman</v>
      </c>
      <c r="M540" s="15">
        <f t="shared" si="695"/>
        <v>0.9</v>
      </c>
      <c r="N540" s="10" t="str">
        <f t="shared" si="696"/>
        <v>43244Teliman700000</v>
      </c>
      <c r="O540" s="14" t="str">
        <f t="shared" si="697"/>
        <v/>
      </c>
      <c r="P540" s="14">
        <f t="shared" si="698"/>
        <v>1</v>
      </c>
      <c r="Q540" s="14">
        <f t="array" ref="Q540">IFERROR(INDEX([1]Companies!$D:$D,MATCH(B540,[1]Companies!$A:$A,0)),"")</f>
        <v>2018</v>
      </c>
      <c r="R540" s="17">
        <f t="shared" si="699"/>
        <v>700000</v>
      </c>
      <c r="S540" s="14">
        <f>VLOOKUP(I540,[1]Lookups!$V$3:$Y$197,4,FALSE)</f>
        <v>0</v>
      </c>
      <c r="T540" s="14" t="str">
        <f>VLOOKUP(E540,[1]Lookups!$H$3:$I$71,2,FALSE)</f>
        <v>2. Seed</v>
      </c>
      <c r="U540" s="14" t="str">
        <f>VLOOKUP(K540,[1]Lookups!$B$3:$C$142,2,FALSE)</f>
        <v>Transport &amp; Logistics</v>
      </c>
      <c r="V540" s="14">
        <f t="shared" si="735"/>
        <v>2018</v>
      </c>
      <c r="W540" s="14">
        <f t="shared" si="736"/>
        <v>5</v>
      </c>
      <c r="X540" s="14">
        <f>VLOOKUP(W540,[1]Lookups!$P$3:$S$15,2,FALSE)</f>
        <v>2</v>
      </c>
      <c r="Y540" s="16">
        <f>VLOOKUP(W540,[1]Lookups!$P$3:$U$15,3,FALSE)</f>
        <v>1</v>
      </c>
      <c r="Z540" s="16">
        <f t="shared" si="737"/>
        <v>1</v>
      </c>
      <c r="AA540" s="16" t="str">
        <f t="shared" ca="1" si="751"/>
        <v>Seedstars</v>
      </c>
      <c r="AB540" s="16">
        <f t="shared" si="751"/>
        <v>0</v>
      </c>
      <c r="AC540" s="16">
        <f t="shared" si="751"/>
        <v>0</v>
      </c>
      <c r="AD540" s="16">
        <f t="shared" si="751"/>
        <v>0</v>
      </c>
      <c r="AE540" s="16">
        <f t="shared" si="751"/>
        <v>0</v>
      </c>
      <c r="AF540" s="16">
        <f t="shared" si="751"/>
        <v>0</v>
      </c>
      <c r="AG540" s="16">
        <f t="shared" si="751"/>
        <v>0</v>
      </c>
      <c r="AH540" s="16">
        <f t="shared" si="751"/>
        <v>0</v>
      </c>
      <c r="AI540" s="16">
        <f t="shared" si="751"/>
        <v>0</v>
      </c>
      <c r="AJ540" s="16">
        <f t="shared" si="751"/>
        <v>0</v>
      </c>
      <c r="AK540" s="16">
        <f t="shared" si="751"/>
        <v>0</v>
      </c>
      <c r="AL540" s="16">
        <f t="shared" si="751"/>
        <v>0</v>
      </c>
      <c r="AM540" s="16">
        <f t="shared" si="751"/>
        <v>0</v>
      </c>
      <c r="AN540" s="16">
        <f t="shared" si="751"/>
        <v>0</v>
      </c>
      <c r="AO540" s="16">
        <f t="shared" si="751"/>
        <v>0</v>
      </c>
      <c r="AP540" s="10"/>
      <c r="AQ540" s="10"/>
      <c r="AR540" s="10"/>
      <c r="AS540" s="10" t="str">
        <f t="shared" ref="AS540" ca="1" si="767">IFERROR(__xludf.DUMMYFUNCTION("split(F479,"","",true,true)"),"Seedstars")</f>
        <v>Seedstars</v>
      </c>
      <c r="AT540" s="10"/>
      <c r="AU540" s="10"/>
      <c r="AV540" s="10"/>
      <c r="AW540" s="10"/>
      <c r="AX540" s="10"/>
      <c r="AY540" s="10"/>
      <c r="AZ540" s="10"/>
      <c r="BA540" s="10"/>
      <c r="BB540" s="10"/>
      <c r="BC540" s="10"/>
      <c r="BD540" s="10"/>
      <c r="BE540" s="10"/>
      <c r="BF540" s="10"/>
      <c r="BG540" s="10"/>
      <c r="BH540" s="10"/>
      <c r="BI540" s="10"/>
      <c r="BJ540" s="10"/>
      <c r="BK540" s="10"/>
      <c r="BM540" s="10"/>
    </row>
    <row r="541" spans="1:65" ht="12.75">
      <c r="A541" s="18">
        <v>43244</v>
      </c>
      <c r="B541" s="14" t="s">
        <v>1227</v>
      </c>
      <c r="C541" s="19">
        <v>300000</v>
      </c>
      <c r="D541" s="19"/>
      <c r="E541" s="14" t="s">
        <v>45</v>
      </c>
      <c r="F541" s="14" t="s">
        <v>1228</v>
      </c>
      <c r="G541" s="27" t="s">
        <v>1229</v>
      </c>
      <c r="H541" s="14" t="str">
        <f t="array" ref="H541">IFERROR(INDEX([1]Companies!$G:$G,MATCH(B541,[1]Companies!$A:$A,0)),"")</f>
        <v>Egypt</v>
      </c>
      <c r="I541" s="14" t="str">
        <f t="shared" si="694"/>
        <v>Egypt</v>
      </c>
      <c r="J541" s="14" t="str">
        <f t="array" ref="J541">IFERROR(INDEX([1]Companies!$Y:$Y,MATCH(B541,[1]Companies!$A:$A,0)),"")</f>
        <v>Information Technology, Software</v>
      </c>
      <c r="K541" s="14" t="str">
        <f t="array" ref="K541">IFERROR(INDEX([1]Companies!$X:$X,MATCH(B541,[1]Companies!$A:$A,0)),"")</f>
        <v>Information Technology</v>
      </c>
      <c r="L541" s="14" t="str">
        <f>VLOOKUP(B541,[1]Companies!$A$1:$C$5243,1,FALSE)</f>
        <v>Entlaqa</v>
      </c>
      <c r="M541" s="15">
        <f t="shared" si="695"/>
        <v>0.9</v>
      </c>
      <c r="N541" s="10" t="str">
        <f t="shared" si="696"/>
        <v>43244Entlaqa300000</v>
      </c>
      <c r="O541" s="14" t="str">
        <f t="shared" si="697"/>
        <v/>
      </c>
      <c r="P541" s="14">
        <f t="shared" si="698"/>
        <v>1</v>
      </c>
      <c r="Q541" s="14">
        <f t="array" ref="Q541">IFERROR(INDEX([1]Companies!$D:$D,MATCH(B541,[1]Companies!$A:$A,0)),"")</f>
        <v>2013</v>
      </c>
      <c r="R541" s="17">
        <f t="shared" si="699"/>
        <v>300000</v>
      </c>
      <c r="S541" s="14">
        <f>VLOOKUP(I541,[1]Lookups!$V$3:$Y$197,4,FALSE)</f>
        <v>0</v>
      </c>
      <c r="T541" s="14" t="str">
        <f>VLOOKUP(E541,[1]Lookups!$H$3:$I$71,2,FALSE)</f>
        <v>2. Seed</v>
      </c>
      <c r="U541" s="14" t="str">
        <f>VLOOKUP(K541,[1]Lookups!$B$3:$C$142,2,FALSE)</f>
        <v>Other Technologies &amp; Information Technology</v>
      </c>
      <c r="V541" s="14">
        <f t="shared" si="735"/>
        <v>2018</v>
      </c>
      <c r="W541" s="14">
        <f t="shared" si="736"/>
        <v>5</v>
      </c>
      <c r="X541" s="14">
        <f>VLOOKUP(W541,[1]Lookups!$P$3:$S$15,2,FALSE)</f>
        <v>2</v>
      </c>
      <c r="Y541" s="16">
        <f>VLOOKUP(W541,[1]Lookups!$P$3:$U$15,3,FALSE)</f>
        <v>1</v>
      </c>
      <c r="Z541" s="16">
        <f t="shared" si="737"/>
        <v>2</v>
      </c>
      <c r="AA541" s="16" t="str">
        <f t="shared" ref="AA541:AO556" ca="1" si="768">AS541</f>
        <v>Seedstars</v>
      </c>
      <c r="AB541" s="16" t="str">
        <f t="shared" ca="1" si="768"/>
        <v xml:space="preserve"> Salem ben Saleh Ba Wazier</v>
      </c>
      <c r="AC541" s="16">
        <f t="shared" si="768"/>
        <v>0</v>
      </c>
      <c r="AD541" s="16">
        <f t="shared" si="768"/>
        <v>0</v>
      </c>
      <c r="AE541" s="16">
        <f t="shared" si="768"/>
        <v>0</v>
      </c>
      <c r="AF541" s="16">
        <f t="shared" si="768"/>
        <v>0</v>
      </c>
      <c r="AG541" s="16">
        <f t="shared" si="768"/>
        <v>0</v>
      </c>
      <c r="AH541" s="16">
        <f t="shared" si="768"/>
        <v>0</v>
      </c>
      <c r="AI541" s="16">
        <f t="shared" si="768"/>
        <v>0</v>
      </c>
      <c r="AJ541" s="16">
        <f t="shared" si="768"/>
        <v>0</v>
      </c>
      <c r="AK541" s="16">
        <f t="shared" si="768"/>
        <v>0</v>
      </c>
      <c r="AL541" s="16">
        <f t="shared" si="768"/>
        <v>0</v>
      </c>
      <c r="AM541" s="16">
        <f t="shared" si="768"/>
        <v>0</v>
      </c>
      <c r="AN541" s="16">
        <f t="shared" si="768"/>
        <v>0</v>
      </c>
      <c r="AO541" s="16">
        <f t="shared" si="768"/>
        <v>0</v>
      </c>
      <c r="AP541" s="10"/>
      <c r="AQ541" s="10"/>
      <c r="AR541" s="10"/>
      <c r="AS541" s="10" t="str">
        <f t="shared" ref="AS541" ca="1" si="769">IFERROR(__xludf.DUMMYFUNCTION("split(F479,"","",true,true)"),"Seedstars")</f>
        <v>Seedstars</v>
      </c>
      <c r="AT541" s="10" t="str">
        <f ca="1">IFERROR(__xludf.DUMMYFUNCTION("""COMPUTED_VALUE""")," Salem ben Saleh Ba Wazier")</f>
        <v xml:space="preserve"> Salem ben Saleh Ba Wazier</v>
      </c>
      <c r="AU541" s="10"/>
      <c r="AV541" s="10"/>
      <c r="AW541" s="10"/>
      <c r="AX541" s="10"/>
      <c r="AY541" s="10"/>
      <c r="AZ541" s="10"/>
      <c r="BA541" s="10"/>
      <c r="BB541" s="10"/>
      <c r="BC541" s="10"/>
      <c r="BD541" s="10"/>
      <c r="BE541" s="10"/>
      <c r="BF541" s="10"/>
      <c r="BG541" s="10"/>
      <c r="BH541" s="10"/>
      <c r="BI541" s="10"/>
      <c r="BJ541" s="10"/>
      <c r="BK541" s="10"/>
      <c r="BM541" s="10"/>
    </row>
    <row r="542" spans="1:65" ht="12.75">
      <c r="A542" s="18">
        <v>43244</v>
      </c>
      <c r="B542" s="21" t="s">
        <v>1230</v>
      </c>
      <c r="C542" s="19">
        <v>150000</v>
      </c>
      <c r="D542" s="19"/>
      <c r="E542" s="14" t="s">
        <v>55</v>
      </c>
      <c r="F542" s="14" t="s">
        <v>1231</v>
      </c>
      <c r="G542" s="31" t="s">
        <v>1232</v>
      </c>
      <c r="H542" s="14" t="str">
        <f t="array" ref="H542">IFERROR(INDEX([1]Companies!$G:$G,MATCH(B542,[1]Companies!$A:$A,0)),"")</f>
        <v>Nigeria</v>
      </c>
      <c r="I542" s="14" t="str">
        <f t="shared" si="694"/>
        <v>Nigeria</v>
      </c>
      <c r="J542" s="14" t="str">
        <f t="array" ref="J542">IFERROR(INDEX([1]Companies!$Y:$Y,MATCH(B542,[1]Companies!$A:$A,0)),"")</f>
        <v>Insurance, FinTech</v>
      </c>
      <c r="K542" s="14" t="str">
        <f t="array" ref="K542">IFERROR(INDEX([1]Companies!$X:$X,MATCH(B542,[1]Companies!$A:$A,0)),"")</f>
        <v>Financial Services</v>
      </c>
      <c r="L542" s="21" t="str">
        <f>VLOOKUP(B542,[1]Companies!$A$1:$C$5243,1,FALSE)</f>
        <v>CompareInsurance.com.ng</v>
      </c>
      <c r="M542" s="15">
        <f t="shared" si="695"/>
        <v>0.9</v>
      </c>
      <c r="N542" s="10" t="str">
        <f t="shared" si="696"/>
        <v>43244CompareInsurance.com.ng150000</v>
      </c>
      <c r="O542" s="14" t="str">
        <f t="shared" si="697"/>
        <v/>
      </c>
      <c r="P542" s="14">
        <f t="shared" si="698"/>
        <v>1</v>
      </c>
      <c r="Q542" s="14">
        <f t="array" ref="Q542">IFERROR(INDEX([1]Companies!$D:$D,MATCH(B542,[1]Companies!$A:$A,0)),"")</f>
        <v>2015</v>
      </c>
      <c r="R542" s="17">
        <f t="shared" si="699"/>
        <v>150000</v>
      </c>
      <c r="S542" s="14">
        <f>VLOOKUP(I542,[1]Lookups!$V$3:$Y$197,4,FALSE)</f>
        <v>0</v>
      </c>
      <c r="T542" s="14" t="str">
        <f>VLOOKUP(E542,[1]Lookups!$H$3:$I$71,2,FALSE)</f>
        <v>1. Grant</v>
      </c>
      <c r="U542" s="14" t="str">
        <f>VLOOKUP(K542,[1]Lookups!$B$3:$C$142,2,FALSE)</f>
        <v>Financial Services</v>
      </c>
      <c r="V542" s="14">
        <f t="shared" si="735"/>
        <v>2018</v>
      </c>
      <c r="W542" s="14">
        <f t="shared" si="736"/>
        <v>5</v>
      </c>
      <c r="X542" s="14">
        <f>VLOOKUP(W542,[1]Lookups!$P$3:$S$15,2,FALSE)</f>
        <v>2</v>
      </c>
      <c r="Y542" s="16">
        <f>VLOOKUP(W542,[1]Lookups!$P$3:$U$15,3,FALSE)</f>
        <v>1</v>
      </c>
      <c r="Z542" s="16">
        <f t="shared" si="737"/>
        <v>1</v>
      </c>
      <c r="AA542" s="16" t="str">
        <f t="shared" ca="1" si="768"/>
        <v>Seedstars</v>
      </c>
      <c r="AB542" s="16">
        <f t="shared" si="768"/>
        <v>0</v>
      </c>
      <c r="AC542" s="16">
        <f t="shared" si="768"/>
        <v>0</v>
      </c>
      <c r="AD542" s="16">
        <f t="shared" si="768"/>
        <v>0</v>
      </c>
      <c r="AE542" s="16">
        <f t="shared" si="768"/>
        <v>0</v>
      </c>
      <c r="AF542" s="16">
        <f t="shared" si="768"/>
        <v>0</v>
      </c>
      <c r="AG542" s="16">
        <f t="shared" si="768"/>
        <v>0</v>
      </c>
      <c r="AH542" s="16">
        <f t="shared" si="768"/>
        <v>0</v>
      </c>
      <c r="AI542" s="16">
        <f t="shared" si="768"/>
        <v>0</v>
      </c>
      <c r="AJ542" s="16">
        <f t="shared" si="768"/>
        <v>0</v>
      </c>
      <c r="AK542" s="16">
        <f t="shared" si="768"/>
        <v>0</v>
      </c>
      <c r="AL542" s="16">
        <f t="shared" si="768"/>
        <v>0</v>
      </c>
      <c r="AM542" s="16">
        <f t="shared" si="768"/>
        <v>0</v>
      </c>
      <c r="AN542" s="16">
        <f t="shared" si="768"/>
        <v>0</v>
      </c>
      <c r="AO542" s="16">
        <f t="shared" si="768"/>
        <v>0</v>
      </c>
      <c r="AP542" s="10"/>
      <c r="AQ542" s="10"/>
      <c r="AR542" s="10"/>
      <c r="AS542" s="10" t="str">
        <f t="shared" ref="AS542" ca="1" si="770">IFERROR(__xludf.DUMMYFUNCTION("split(F479,"","",true,true)"),"Seedstars")</f>
        <v>Seedstars</v>
      </c>
      <c r="AT542" s="10"/>
      <c r="AU542" s="10"/>
      <c r="AV542" s="10"/>
      <c r="AW542" s="10"/>
      <c r="AX542" s="10"/>
      <c r="AY542" s="10"/>
      <c r="AZ542" s="10"/>
      <c r="BA542" s="10"/>
      <c r="BB542" s="10"/>
      <c r="BC542" s="10"/>
      <c r="BD542" s="10"/>
      <c r="BE542" s="10"/>
      <c r="BF542" s="10"/>
      <c r="BG542" s="10"/>
      <c r="BH542" s="10"/>
      <c r="BI542" s="10"/>
      <c r="BJ542" s="10"/>
      <c r="BK542" s="10"/>
      <c r="BM542" s="10"/>
    </row>
    <row r="543" spans="1:65" ht="12.75">
      <c r="A543" s="18">
        <v>43246</v>
      </c>
      <c r="B543" s="14" t="s">
        <v>1233</v>
      </c>
      <c r="C543" s="19">
        <v>100000</v>
      </c>
      <c r="D543" s="19"/>
      <c r="E543" s="14" t="s">
        <v>55</v>
      </c>
      <c r="F543" s="14" t="s">
        <v>1234</v>
      </c>
      <c r="G543" s="27" t="s">
        <v>1235</v>
      </c>
      <c r="H543" s="14" t="str">
        <f t="array" ref="H543">IFERROR(INDEX([1]Companies!$G:$G,MATCH(B543,[1]Companies!$A:$A,0)),"")</f>
        <v>Ghana</v>
      </c>
      <c r="I543" s="14" t="str">
        <f t="shared" si="694"/>
        <v>Ghana</v>
      </c>
      <c r="J543" s="14" t="str">
        <f t="array" ref="J543">IFERROR(INDEX([1]Companies!$Y:$Y,MATCH(B543,[1]Companies!$A:$A,0)),"")</f>
        <v>Internet, Service Industry, Transportation</v>
      </c>
      <c r="K543" s="14" t="str">
        <f t="array" ref="K543">IFERROR(INDEX([1]Companies!$X:$X,MATCH(B543,[1]Companies!$A:$A,0)),"")</f>
        <v>E-Commerce &amp; Retail</v>
      </c>
      <c r="L543" s="14" t="str">
        <f>VLOOKUP(B543,[1]Companies!$A$1:$C$5243,1,FALSE)</f>
        <v>Trade Ghana</v>
      </c>
      <c r="M543" s="15">
        <f t="shared" si="695"/>
        <v>0.9</v>
      </c>
      <c r="N543" s="10" t="str">
        <f t="shared" si="696"/>
        <v>43246Trade Ghana100000</v>
      </c>
      <c r="O543" s="14" t="str">
        <f t="shared" si="697"/>
        <v/>
      </c>
      <c r="P543" s="14">
        <f t="shared" si="698"/>
        <v>1</v>
      </c>
      <c r="Q543" s="14">
        <f t="array" ref="Q543">IFERROR(INDEX([1]Companies!$D:$D,MATCH(B543,[1]Companies!$A:$A,0)),"")</f>
        <v>2016</v>
      </c>
      <c r="R543" s="17">
        <f t="shared" si="699"/>
        <v>100000</v>
      </c>
      <c r="S543" s="14">
        <f>VLOOKUP(I543,[1]Lookups!$V$3:$Y$197,4,FALSE)</f>
        <v>0</v>
      </c>
      <c r="T543" s="14" t="str">
        <f>VLOOKUP(E543,[1]Lookups!$H$3:$I$71,2,FALSE)</f>
        <v>1. Grant</v>
      </c>
      <c r="U543" s="14" t="str">
        <f>VLOOKUP(K543,[1]Lookups!$B$3:$C$142,2,FALSE)</f>
        <v>E-commerce &amp; Retail</v>
      </c>
      <c r="V543" s="14">
        <f t="shared" si="735"/>
        <v>2018</v>
      </c>
      <c r="W543" s="14">
        <f t="shared" si="736"/>
        <v>5</v>
      </c>
      <c r="X543" s="14">
        <f>VLOOKUP(W543,[1]Lookups!$P$3:$S$15,2,FALSE)</f>
        <v>2</v>
      </c>
      <c r="Y543" s="16">
        <f>VLOOKUP(W543,[1]Lookups!$P$3:$U$15,3,FALSE)</f>
        <v>1</v>
      </c>
      <c r="Z543" s="16">
        <f t="shared" si="737"/>
        <v>1</v>
      </c>
      <c r="AA543" s="16" t="str">
        <f t="shared" ca="1" si="768"/>
        <v>Seedstars</v>
      </c>
      <c r="AB543" s="16">
        <f t="shared" si="768"/>
        <v>0</v>
      </c>
      <c r="AC543" s="16">
        <f t="shared" si="768"/>
        <v>0</v>
      </c>
      <c r="AD543" s="16">
        <f t="shared" si="768"/>
        <v>0</v>
      </c>
      <c r="AE543" s="16">
        <f t="shared" si="768"/>
        <v>0</v>
      </c>
      <c r="AF543" s="16">
        <f t="shared" si="768"/>
        <v>0</v>
      </c>
      <c r="AG543" s="16">
        <f t="shared" si="768"/>
        <v>0</v>
      </c>
      <c r="AH543" s="16">
        <f t="shared" si="768"/>
        <v>0</v>
      </c>
      <c r="AI543" s="16">
        <f t="shared" si="768"/>
        <v>0</v>
      </c>
      <c r="AJ543" s="16">
        <f t="shared" si="768"/>
        <v>0</v>
      </c>
      <c r="AK543" s="16">
        <f t="shared" si="768"/>
        <v>0</v>
      </c>
      <c r="AL543" s="16">
        <f t="shared" si="768"/>
        <v>0</v>
      </c>
      <c r="AM543" s="16">
        <f t="shared" si="768"/>
        <v>0</v>
      </c>
      <c r="AN543" s="16">
        <f t="shared" si="768"/>
        <v>0</v>
      </c>
      <c r="AO543" s="16">
        <f t="shared" si="768"/>
        <v>0</v>
      </c>
      <c r="AP543" s="10"/>
      <c r="AQ543" s="10"/>
      <c r="AR543" s="10"/>
      <c r="AS543" s="10" t="str">
        <f t="shared" ref="AS543" ca="1" si="771">IFERROR(__xludf.DUMMYFUNCTION("split(F479,"","",true,true)"),"Seedstars")</f>
        <v>Seedstars</v>
      </c>
      <c r="AT543" s="10"/>
      <c r="AU543" s="10"/>
      <c r="AV543" s="10"/>
      <c r="AW543" s="10"/>
      <c r="AX543" s="10"/>
      <c r="AY543" s="10"/>
      <c r="AZ543" s="10"/>
      <c r="BA543" s="10"/>
      <c r="BB543" s="10"/>
      <c r="BC543" s="10"/>
      <c r="BD543" s="10"/>
      <c r="BE543" s="10"/>
      <c r="BF543" s="10"/>
      <c r="BG543" s="10"/>
      <c r="BH543" s="10"/>
      <c r="BI543" s="10"/>
      <c r="BJ543" s="10"/>
      <c r="BK543" s="10"/>
      <c r="BM543" s="10"/>
    </row>
    <row r="544" spans="1:65" ht="12.75">
      <c r="A544" s="18">
        <v>43249</v>
      </c>
      <c r="B544" s="14" t="s">
        <v>1236</v>
      </c>
      <c r="C544" s="19" t="s">
        <v>49</v>
      </c>
      <c r="D544" s="19"/>
      <c r="E544" s="14" t="s">
        <v>45</v>
      </c>
      <c r="F544" s="14" t="s">
        <v>967</v>
      </c>
      <c r="G544" s="27" t="s">
        <v>1237</v>
      </c>
      <c r="H544" s="14" t="str">
        <f t="array" ref="H544">IFERROR(INDEX([1]Companies!$G:$G,MATCH(B544,[1]Companies!$A:$A,0)),"")</f>
        <v>Egypt</v>
      </c>
      <c r="I544" s="14" t="str">
        <f t="shared" si="694"/>
        <v>Egypt</v>
      </c>
      <c r="J544" s="14" t="str">
        <f t="array" ref="J544">IFERROR(INDEX([1]Companies!$Y:$Y,MATCH(B544,[1]Companies!$A:$A,0)),"")</f>
        <v>Agriculture, Biotechnology</v>
      </c>
      <c r="K544" s="14" t="str">
        <f t="array" ref="K544">IFERROR(INDEX([1]Companies!$X:$X,MATCH(B544,[1]Companies!$A:$A,0)),"")</f>
        <v>Agriculture</v>
      </c>
      <c r="L544" s="14" t="str">
        <f>VLOOKUP(B544,[1]Companies!$A$1:$C$5243,1,FALSE)</f>
        <v>Bermoda</v>
      </c>
      <c r="M544" s="15">
        <f t="shared" si="695"/>
        <v>0.9</v>
      </c>
      <c r="N544" s="10" t="str">
        <f t="shared" si="696"/>
        <v>43249BermodaUndisclosed</v>
      </c>
      <c r="O544" s="14" t="str">
        <f t="shared" si="697"/>
        <v/>
      </c>
      <c r="P544" s="14">
        <f t="shared" si="698"/>
        <v>0</v>
      </c>
      <c r="Q544" s="14">
        <f t="array" ref="Q544">IFERROR(INDEX([1]Companies!$D:$D,MATCH(B544,[1]Companies!$A:$A,0)),"")</f>
        <v>2016</v>
      </c>
      <c r="R544" s="17">
        <f t="shared" si="699"/>
        <v>0</v>
      </c>
      <c r="S544" s="14">
        <f>VLOOKUP(I544,[1]Lookups!$V$3:$Y$197,4,FALSE)</f>
        <v>0</v>
      </c>
      <c r="T544" s="14" t="str">
        <f>VLOOKUP(E544,[1]Lookups!$H$3:$I$71,2,FALSE)</f>
        <v>2. Seed</v>
      </c>
      <c r="U544" s="14" t="str">
        <f>VLOOKUP(K544,[1]Lookups!$B$3:$C$142,2,FALSE)</f>
        <v>Agriculture</v>
      </c>
      <c r="V544" s="14">
        <f t="shared" si="735"/>
        <v>2018</v>
      </c>
      <c r="W544" s="14">
        <f t="shared" si="736"/>
        <v>5</v>
      </c>
      <c r="X544" s="14">
        <f>VLOOKUP(W544,[1]Lookups!$P$3:$S$15,2,FALSE)</f>
        <v>2</v>
      </c>
      <c r="Y544" s="16">
        <f>VLOOKUP(W544,[1]Lookups!$P$3:$U$15,3,FALSE)</f>
        <v>1</v>
      </c>
      <c r="Z544" s="16">
        <f t="shared" si="737"/>
        <v>1</v>
      </c>
      <c r="AA544" s="16" t="str">
        <f t="shared" ca="1" si="768"/>
        <v>Seedstars</v>
      </c>
      <c r="AB544" s="16">
        <f t="shared" si="768"/>
        <v>0</v>
      </c>
      <c r="AC544" s="16">
        <f t="shared" si="768"/>
        <v>0</v>
      </c>
      <c r="AD544" s="16">
        <f t="shared" si="768"/>
        <v>0</v>
      </c>
      <c r="AE544" s="16">
        <f t="shared" si="768"/>
        <v>0</v>
      </c>
      <c r="AF544" s="16">
        <f t="shared" si="768"/>
        <v>0</v>
      </c>
      <c r="AG544" s="16">
        <f t="shared" si="768"/>
        <v>0</v>
      </c>
      <c r="AH544" s="16">
        <f t="shared" si="768"/>
        <v>0</v>
      </c>
      <c r="AI544" s="16">
        <f t="shared" si="768"/>
        <v>0</v>
      </c>
      <c r="AJ544" s="16">
        <f t="shared" si="768"/>
        <v>0</v>
      </c>
      <c r="AK544" s="16">
        <f t="shared" si="768"/>
        <v>0</v>
      </c>
      <c r="AL544" s="16">
        <f t="shared" si="768"/>
        <v>0</v>
      </c>
      <c r="AM544" s="16">
        <f t="shared" si="768"/>
        <v>0</v>
      </c>
      <c r="AN544" s="16">
        <f t="shared" si="768"/>
        <v>0</v>
      </c>
      <c r="AO544" s="16">
        <f t="shared" si="768"/>
        <v>0</v>
      </c>
      <c r="AP544" s="10"/>
      <c r="AQ544" s="10"/>
      <c r="AR544" s="10"/>
      <c r="AS544" s="10" t="str">
        <f t="shared" ref="AS544" ca="1" si="772">IFERROR(__xludf.DUMMYFUNCTION("split(F479,"","",true,true)"),"Seedstars")</f>
        <v>Seedstars</v>
      </c>
      <c r="AT544" s="10"/>
      <c r="AU544" s="10"/>
      <c r="AV544" s="10"/>
      <c r="AW544" s="10"/>
      <c r="AX544" s="10"/>
      <c r="AY544" s="10"/>
      <c r="AZ544" s="10"/>
      <c r="BA544" s="10"/>
      <c r="BB544" s="10"/>
      <c r="BC544" s="10"/>
      <c r="BD544" s="10"/>
      <c r="BE544" s="10"/>
      <c r="BF544" s="10"/>
      <c r="BG544" s="10"/>
      <c r="BH544" s="10"/>
      <c r="BI544" s="10"/>
      <c r="BJ544" s="10"/>
      <c r="BK544" s="10"/>
      <c r="BM544" s="10"/>
    </row>
    <row r="545" spans="1:65" ht="12.75">
      <c r="A545" s="18">
        <v>43249</v>
      </c>
      <c r="B545" s="14" t="s">
        <v>1238</v>
      </c>
      <c r="C545" s="19">
        <v>160000</v>
      </c>
      <c r="D545" s="19"/>
      <c r="E545" s="14" t="s">
        <v>45</v>
      </c>
      <c r="F545" s="14" t="s">
        <v>472</v>
      </c>
      <c r="G545" s="27" t="s">
        <v>1239</v>
      </c>
      <c r="H545" s="14" t="str">
        <f t="array" ref="H545">IFERROR(INDEX([1]Companies!$G:$G,MATCH(B545,[1]Companies!$A:$A,0)),"")</f>
        <v>South Africa</v>
      </c>
      <c r="I545" s="14" t="str">
        <f t="shared" si="694"/>
        <v>South Africa</v>
      </c>
      <c r="J545" s="14" t="str">
        <f t="array" ref="J545">IFERROR(INDEX([1]Companies!$Y:$Y,MATCH(B545,[1]Companies!$A:$A,0)),"")</f>
        <v>Security</v>
      </c>
      <c r="K545" s="14" t="str">
        <f t="array" ref="K545">IFERROR(INDEX([1]Companies!$X:$X,MATCH(B545,[1]Companies!$A:$A,0)),"")</f>
        <v>Information Technology</v>
      </c>
      <c r="L545" s="14" t="str">
        <f>VLOOKUP(B545,[1]Companies!$A$1:$C$5243,1,FALSE)</f>
        <v>Aura</v>
      </c>
      <c r="M545" s="15">
        <f t="shared" si="695"/>
        <v>0.9</v>
      </c>
      <c r="N545" s="10" t="str">
        <f t="shared" si="696"/>
        <v>43249Aura160000</v>
      </c>
      <c r="O545" s="14" t="str">
        <f t="shared" si="697"/>
        <v/>
      </c>
      <c r="P545" s="14">
        <f t="shared" si="698"/>
        <v>1</v>
      </c>
      <c r="Q545" s="14">
        <f t="array" ref="Q545">IFERROR(INDEX([1]Companies!$D:$D,MATCH(B545,[1]Companies!$A:$A,0)),"")</f>
        <v>2017</v>
      </c>
      <c r="R545" s="17">
        <f t="shared" si="699"/>
        <v>160000</v>
      </c>
      <c r="S545" s="14">
        <f>VLOOKUP(I545,[1]Lookups!$V$3:$Y$197,4,FALSE)</f>
        <v>0</v>
      </c>
      <c r="T545" s="14" t="str">
        <f>VLOOKUP(E545,[1]Lookups!$H$3:$I$71,2,FALSE)</f>
        <v>2. Seed</v>
      </c>
      <c r="U545" s="14" t="str">
        <f>VLOOKUP(K545,[1]Lookups!$B$3:$C$142,2,FALSE)</f>
        <v>Other Technologies &amp; Information Technology</v>
      </c>
      <c r="V545" s="14">
        <f t="shared" si="735"/>
        <v>2018</v>
      </c>
      <c r="W545" s="14">
        <f t="shared" si="736"/>
        <v>5</v>
      </c>
      <c r="X545" s="14">
        <f>VLOOKUP(W545,[1]Lookups!$P$3:$S$15,2,FALSE)</f>
        <v>2</v>
      </c>
      <c r="Y545" s="16">
        <f>VLOOKUP(W545,[1]Lookups!$P$3:$U$15,3,FALSE)</f>
        <v>1</v>
      </c>
      <c r="Z545" s="16">
        <f t="shared" si="737"/>
        <v>1</v>
      </c>
      <c r="AA545" s="16" t="str">
        <f t="shared" ca="1" si="768"/>
        <v>Seedstars</v>
      </c>
      <c r="AB545" s="16">
        <f t="shared" si="768"/>
        <v>0</v>
      </c>
      <c r="AC545" s="16">
        <f t="shared" si="768"/>
        <v>0</v>
      </c>
      <c r="AD545" s="16">
        <f t="shared" si="768"/>
        <v>0</v>
      </c>
      <c r="AE545" s="16">
        <f t="shared" si="768"/>
        <v>0</v>
      </c>
      <c r="AF545" s="16">
        <f t="shared" si="768"/>
        <v>0</v>
      </c>
      <c r="AG545" s="16">
        <f t="shared" si="768"/>
        <v>0</v>
      </c>
      <c r="AH545" s="16">
        <f t="shared" si="768"/>
        <v>0</v>
      </c>
      <c r="AI545" s="16">
        <f t="shared" si="768"/>
        <v>0</v>
      </c>
      <c r="AJ545" s="16">
        <f t="shared" si="768"/>
        <v>0</v>
      </c>
      <c r="AK545" s="16">
        <f t="shared" si="768"/>
        <v>0</v>
      </c>
      <c r="AL545" s="16">
        <f t="shared" si="768"/>
        <v>0</v>
      </c>
      <c r="AM545" s="16">
        <f t="shared" si="768"/>
        <v>0</v>
      </c>
      <c r="AN545" s="16">
        <f t="shared" si="768"/>
        <v>0</v>
      </c>
      <c r="AO545" s="16">
        <f t="shared" si="768"/>
        <v>0</v>
      </c>
      <c r="AP545" s="10"/>
      <c r="AQ545" s="10"/>
      <c r="AR545" s="10"/>
      <c r="AS545" s="10" t="str">
        <f t="shared" ref="AS545" ca="1" si="773">IFERROR(__xludf.DUMMYFUNCTION("split(F479,"","",true,true)"),"Seedstars")</f>
        <v>Seedstars</v>
      </c>
      <c r="AT545" s="10"/>
      <c r="AU545" s="10"/>
      <c r="AV545" s="10"/>
      <c r="AW545" s="10"/>
      <c r="AX545" s="10"/>
      <c r="AY545" s="10"/>
      <c r="AZ545" s="10"/>
      <c r="BA545" s="10"/>
      <c r="BB545" s="10"/>
      <c r="BC545" s="10"/>
      <c r="BD545" s="10"/>
      <c r="BE545" s="10"/>
      <c r="BF545" s="10"/>
      <c r="BG545" s="10"/>
      <c r="BH545" s="10"/>
      <c r="BI545" s="10"/>
      <c r="BJ545" s="10"/>
      <c r="BK545" s="10"/>
      <c r="BM545" s="10"/>
    </row>
    <row r="546" spans="1:65" ht="12.75">
      <c r="A546" s="9">
        <v>43249</v>
      </c>
      <c r="B546" s="10" t="s">
        <v>1240</v>
      </c>
      <c r="C546" s="11">
        <v>1200000</v>
      </c>
      <c r="D546" s="12"/>
      <c r="E546" s="14" t="s">
        <v>45</v>
      </c>
      <c r="F546" s="10" t="s">
        <v>1241</v>
      </c>
      <c r="G546" s="13" t="s">
        <v>1242</v>
      </c>
      <c r="H546" s="14" t="str">
        <f t="array" ref="H546">IFERROR(INDEX([1]Companies!$G:$G,MATCH(B546,[1]Companies!$A:$A,0)),"")</f>
        <v>Egypt</v>
      </c>
      <c r="I546" s="14" t="str">
        <f t="shared" si="694"/>
        <v>Egypt</v>
      </c>
      <c r="J546" s="14" t="str">
        <f t="array" ref="J546">IFERROR(INDEX([1]Companies!$Y:$Y,MATCH(B546,[1]Companies!$A:$A,0)),"")</f>
        <v>e-commerce, online shopping, and Fashion</v>
      </c>
      <c r="K546" s="14" t="str">
        <f t="array" ref="K546">IFERROR(INDEX([1]Companies!$X:$X,MATCH(B546,[1]Companies!$A:$A,0)),"")</f>
        <v>E-Commerce &amp; Retail</v>
      </c>
      <c r="L546" s="14" t="str">
        <f>VLOOKUP(B546,[1]Companies!$A$1:$C$5243,1,FALSE)</f>
        <v>Brantu</v>
      </c>
      <c r="M546" s="15">
        <f t="shared" si="695"/>
        <v>0.9</v>
      </c>
      <c r="N546" s="10" t="str">
        <f t="shared" si="696"/>
        <v>43249Brantu1200000</v>
      </c>
      <c r="O546" s="14" t="str">
        <f t="shared" si="697"/>
        <v/>
      </c>
      <c r="P546" s="14">
        <f t="shared" si="698"/>
        <v>1</v>
      </c>
      <c r="Q546" s="14">
        <f t="array" ref="Q546">IFERROR(INDEX([1]Companies!$D:$D,MATCH(B546,[1]Companies!$A:$A,0)),"")</f>
        <v>2016</v>
      </c>
      <c r="R546" s="17">
        <f t="shared" si="699"/>
        <v>1200000</v>
      </c>
      <c r="S546" s="14">
        <f>VLOOKUP(I546,[1]Lookups!$V$3:$Y$197,4,FALSE)</f>
        <v>0</v>
      </c>
      <c r="T546" s="14" t="str">
        <f>VLOOKUP(E546,[1]Lookups!$H$3:$I$71,2,FALSE)</f>
        <v>2. Seed</v>
      </c>
      <c r="U546" s="14" t="str">
        <f>VLOOKUP(K546,[1]Lookups!$B$3:$C$142,2,FALSE)</f>
        <v>E-commerce &amp; Retail</v>
      </c>
      <c r="V546" s="14">
        <f t="shared" si="735"/>
        <v>2018</v>
      </c>
      <c r="W546" s="14">
        <f t="shared" si="736"/>
        <v>5</v>
      </c>
      <c r="X546" s="14">
        <f>VLOOKUP(W546,[1]Lookups!$P$3:$S$15,2,FALSE)</f>
        <v>2</v>
      </c>
      <c r="Y546" s="16">
        <f>VLOOKUP(W546,[1]Lookups!$P$3:$U$15,3,FALSE)</f>
        <v>1</v>
      </c>
      <c r="Z546" s="16">
        <f t="shared" si="737"/>
        <v>1</v>
      </c>
      <c r="AA546" s="16" t="str">
        <f t="shared" ca="1" si="768"/>
        <v>Seedstars</v>
      </c>
      <c r="AB546" s="16">
        <f t="shared" si="768"/>
        <v>0</v>
      </c>
      <c r="AC546" s="16">
        <f t="shared" si="768"/>
        <v>0</v>
      </c>
      <c r="AD546" s="16">
        <f t="shared" si="768"/>
        <v>0</v>
      </c>
      <c r="AE546" s="16">
        <f t="shared" si="768"/>
        <v>0</v>
      </c>
      <c r="AF546" s="16">
        <f t="shared" si="768"/>
        <v>0</v>
      </c>
      <c r="AG546" s="16">
        <f t="shared" si="768"/>
        <v>0</v>
      </c>
      <c r="AH546" s="16">
        <f t="shared" si="768"/>
        <v>0</v>
      </c>
      <c r="AI546" s="16">
        <f t="shared" si="768"/>
        <v>0</v>
      </c>
      <c r="AJ546" s="16">
        <f t="shared" si="768"/>
        <v>0</v>
      </c>
      <c r="AK546" s="16">
        <f t="shared" si="768"/>
        <v>0</v>
      </c>
      <c r="AL546" s="16">
        <f t="shared" si="768"/>
        <v>0</v>
      </c>
      <c r="AM546" s="16">
        <f t="shared" si="768"/>
        <v>0</v>
      </c>
      <c r="AN546" s="16">
        <f t="shared" si="768"/>
        <v>0</v>
      </c>
      <c r="AO546" s="16">
        <f t="shared" si="768"/>
        <v>0</v>
      </c>
      <c r="AP546" s="10"/>
      <c r="AQ546" s="10"/>
      <c r="AR546" s="10"/>
      <c r="AS546" s="10" t="str">
        <f t="shared" ref="AS546" ca="1" si="774">IFERROR(__xludf.DUMMYFUNCTION("split(F479,"","",true,true)"),"Seedstars")</f>
        <v>Seedstars</v>
      </c>
      <c r="AT546" s="10"/>
      <c r="AU546" s="10"/>
      <c r="AV546" s="10"/>
      <c r="AW546" s="10"/>
      <c r="AX546" s="10"/>
      <c r="AY546" s="10"/>
      <c r="AZ546" s="10"/>
      <c r="BA546" s="10"/>
      <c r="BB546" s="10"/>
      <c r="BC546" s="10"/>
      <c r="BD546" s="10"/>
      <c r="BE546" s="10"/>
      <c r="BF546" s="10"/>
      <c r="BG546" s="10"/>
      <c r="BH546" s="10"/>
      <c r="BI546" s="10"/>
      <c r="BJ546" s="10"/>
      <c r="BK546" s="10"/>
      <c r="BM546" s="10"/>
    </row>
    <row r="547" spans="1:65" ht="12.75">
      <c r="A547" s="18">
        <v>43251</v>
      </c>
      <c r="B547" s="14" t="s">
        <v>1243</v>
      </c>
      <c r="C547" s="19">
        <v>10000000</v>
      </c>
      <c r="D547" s="19"/>
      <c r="E547" s="14" t="s">
        <v>55</v>
      </c>
      <c r="F547" s="14" t="s">
        <v>1244</v>
      </c>
      <c r="G547" s="27" t="s">
        <v>1245</v>
      </c>
      <c r="H547" s="14">
        <f t="array" ref="H547">IFERROR(INDEX([1]Companies!$G:$G,MATCH(B547,[1]Companies!$A:$A,0)),"")</f>
        <v>0</v>
      </c>
      <c r="I547" s="14">
        <f t="shared" si="694"/>
        <v>0</v>
      </c>
      <c r="J547" s="14">
        <f t="array" ref="J547">IFERROR(INDEX([1]Companies!$Y:$Y,MATCH(B547,[1]Companies!$A:$A,0)),"")</f>
        <v>0</v>
      </c>
      <c r="K547" s="14">
        <f t="array" ref="K547">IFERROR(INDEX([1]Companies!$X:$X,MATCH(B547,[1]Companies!$A:$A,0)),"")</f>
        <v>0</v>
      </c>
      <c r="L547" s="14" t="str">
        <f>VLOOKUP(B547,[1]Companies!$A$1:$C$5243,1,FALSE)</f>
        <v>O-Mobile Multimedia Ltd</v>
      </c>
      <c r="M547" s="15">
        <f t="shared" si="695"/>
        <v>0.9</v>
      </c>
      <c r="N547" s="10" t="str">
        <f t="shared" si="696"/>
        <v>43251O-Mobile Multimedia Ltd10000000</v>
      </c>
      <c r="O547" s="14" t="str">
        <f t="shared" si="697"/>
        <v/>
      </c>
      <c r="P547" s="14">
        <f t="shared" si="698"/>
        <v>1</v>
      </c>
      <c r="Q547" s="14">
        <f t="array" ref="Q547">IFERROR(INDEX([1]Companies!$D:$D,MATCH(B547,[1]Companies!$A:$A,0)),"")</f>
        <v>2017</v>
      </c>
      <c r="R547" s="17">
        <f t="shared" si="699"/>
        <v>10000000</v>
      </c>
      <c r="S547" s="14" t="e">
        <f>VLOOKUP(I547,[1]Lookups!$V$3:$Y$197,4,FALSE)</f>
        <v>#N/A</v>
      </c>
      <c r="T547" s="14" t="str">
        <f>VLOOKUP(E547,[1]Lookups!$H$3:$I$71,2,FALSE)</f>
        <v>1. Grant</v>
      </c>
      <c r="U547" s="14" t="e">
        <f>VLOOKUP(K547,[1]Lookups!$B$3:$C$142,2,FALSE)</f>
        <v>#N/A</v>
      </c>
      <c r="V547" s="14">
        <f t="shared" si="735"/>
        <v>2018</v>
      </c>
      <c r="W547" s="14">
        <f t="shared" si="736"/>
        <v>5</v>
      </c>
      <c r="X547" s="14">
        <f>VLOOKUP(W547,[1]Lookups!$P$3:$S$15,2,FALSE)</f>
        <v>2</v>
      </c>
      <c r="Y547" s="16">
        <f>VLOOKUP(W547,[1]Lookups!$P$3:$U$15,3,FALSE)</f>
        <v>1</v>
      </c>
      <c r="Z547" s="16">
        <f t="shared" si="737"/>
        <v>1</v>
      </c>
      <c r="AA547" s="16" t="str">
        <f t="shared" ca="1" si="768"/>
        <v>Seedstars</v>
      </c>
      <c r="AB547" s="16">
        <f t="shared" si="768"/>
        <v>0</v>
      </c>
      <c r="AC547" s="16">
        <f t="shared" si="768"/>
        <v>0</v>
      </c>
      <c r="AD547" s="16">
        <f t="shared" si="768"/>
        <v>0</v>
      </c>
      <c r="AE547" s="16">
        <f t="shared" si="768"/>
        <v>0</v>
      </c>
      <c r="AF547" s="16">
        <f t="shared" si="768"/>
        <v>0</v>
      </c>
      <c r="AG547" s="16">
        <f t="shared" si="768"/>
        <v>0</v>
      </c>
      <c r="AH547" s="16">
        <f t="shared" si="768"/>
        <v>0</v>
      </c>
      <c r="AI547" s="16">
        <f t="shared" si="768"/>
        <v>0</v>
      </c>
      <c r="AJ547" s="16">
        <f t="shared" si="768"/>
        <v>0</v>
      </c>
      <c r="AK547" s="16">
        <f t="shared" si="768"/>
        <v>0</v>
      </c>
      <c r="AL547" s="16">
        <f t="shared" si="768"/>
        <v>0</v>
      </c>
      <c r="AM547" s="16">
        <f t="shared" si="768"/>
        <v>0</v>
      </c>
      <c r="AN547" s="16">
        <f t="shared" si="768"/>
        <v>0</v>
      </c>
      <c r="AO547" s="16">
        <f t="shared" si="768"/>
        <v>0</v>
      </c>
      <c r="AP547" s="10"/>
      <c r="AQ547" s="10"/>
      <c r="AR547" s="10"/>
      <c r="AS547" s="10" t="str">
        <f t="shared" ref="AS547" ca="1" si="775">IFERROR(__xludf.DUMMYFUNCTION("split(F479,"","",true,true)"),"Seedstars")</f>
        <v>Seedstars</v>
      </c>
      <c r="AT547" s="10"/>
      <c r="AU547" s="10"/>
      <c r="AV547" s="10"/>
      <c r="AW547" s="10"/>
      <c r="AX547" s="10"/>
      <c r="AY547" s="10"/>
      <c r="AZ547" s="10"/>
      <c r="BA547" s="10"/>
      <c r="BB547" s="10"/>
      <c r="BC547" s="10"/>
      <c r="BD547" s="10"/>
      <c r="BE547" s="10"/>
      <c r="BF547" s="10"/>
      <c r="BG547" s="10"/>
      <c r="BH547" s="10"/>
      <c r="BI547" s="10"/>
      <c r="BJ547" s="10"/>
      <c r="BK547" s="10"/>
      <c r="BM547" s="10"/>
    </row>
    <row r="548" spans="1:65" ht="12.75">
      <c r="A548" s="18">
        <v>43251</v>
      </c>
      <c r="B548" s="14" t="s">
        <v>1246</v>
      </c>
      <c r="C548" s="19">
        <v>13900</v>
      </c>
      <c r="D548" s="19"/>
      <c r="E548" s="14" t="s">
        <v>55</v>
      </c>
      <c r="F548" s="14" t="s">
        <v>1247</v>
      </c>
      <c r="G548" s="27" t="s">
        <v>1107</v>
      </c>
      <c r="H548" s="14" t="str">
        <f t="array" ref="H548">IFERROR(INDEX([1]Companies!$G:$G,MATCH(B548,[1]Companies!$A:$A,0)),"")</f>
        <v>Nigeria</v>
      </c>
      <c r="I548" s="14" t="str">
        <f t="shared" si="694"/>
        <v>Nigeria</v>
      </c>
      <c r="J548" s="14" t="str">
        <f t="array" ref="J548">IFERROR(INDEX([1]Companies!$Y:$Y,MATCH(B548,[1]Companies!$A:$A,0)),"")</f>
        <v>Drones</v>
      </c>
      <c r="K548" s="14" t="str">
        <f t="array" ref="K548">IFERROR(INDEX([1]Companies!$X:$X,MATCH(B548,[1]Companies!$A:$A,0)),"")</f>
        <v>Emerging Technologies</v>
      </c>
      <c r="L548" s="14" t="str">
        <f>VLOOKUP(B548,[1]Companies!$A$1:$C$5243,1,FALSE)</f>
        <v>Beat Drone</v>
      </c>
      <c r="M548" s="15">
        <f t="shared" si="695"/>
        <v>0.9</v>
      </c>
      <c r="N548" s="10" t="str">
        <f t="shared" si="696"/>
        <v>43251Beat Drone13900</v>
      </c>
      <c r="O548" s="14" t="str">
        <f t="shared" si="697"/>
        <v/>
      </c>
      <c r="P548" s="14">
        <f t="shared" si="698"/>
        <v>1</v>
      </c>
      <c r="Q548" s="14">
        <f t="array" ref="Q548">IFERROR(INDEX([1]Companies!$D:$D,MATCH(B548,[1]Companies!$A:$A,0)),"")</f>
        <v>2016</v>
      </c>
      <c r="R548" s="17">
        <f t="shared" si="699"/>
        <v>13900</v>
      </c>
      <c r="S548" s="14">
        <f>VLOOKUP(I548,[1]Lookups!$V$3:$Y$197,4,FALSE)</f>
        <v>0</v>
      </c>
      <c r="T548" s="14" t="str">
        <f>VLOOKUP(E548,[1]Lookups!$H$3:$I$71,2,FALSE)</f>
        <v>1. Grant</v>
      </c>
      <c r="U548" s="14" t="str">
        <f>VLOOKUP(K548,[1]Lookups!$B$3:$C$142,2,FALSE)</f>
        <v>Emerging Technologies</v>
      </c>
      <c r="V548" s="14">
        <f t="shared" si="735"/>
        <v>2018</v>
      </c>
      <c r="W548" s="14">
        <f t="shared" si="736"/>
        <v>5</v>
      </c>
      <c r="X548" s="14">
        <f>VLOOKUP(W548,[1]Lookups!$P$3:$S$15,2,FALSE)</f>
        <v>2</v>
      </c>
      <c r="Y548" s="16">
        <f>VLOOKUP(W548,[1]Lookups!$P$3:$U$15,3,FALSE)</f>
        <v>1</v>
      </c>
      <c r="Z548" s="16">
        <f t="shared" si="737"/>
        <v>1</v>
      </c>
      <c r="AA548" s="16" t="str">
        <f t="shared" ca="1" si="768"/>
        <v>Seedstars</v>
      </c>
      <c r="AB548" s="16">
        <f t="shared" si="768"/>
        <v>0</v>
      </c>
      <c r="AC548" s="16">
        <f t="shared" si="768"/>
        <v>0</v>
      </c>
      <c r="AD548" s="16">
        <f t="shared" si="768"/>
        <v>0</v>
      </c>
      <c r="AE548" s="16">
        <f t="shared" si="768"/>
        <v>0</v>
      </c>
      <c r="AF548" s="16">
        <f t="shared" si="768"/>
        <v>0</v>
      </c>
      <c r="AG548" s="16">
        <f t="shared" si="768"/>
        <v>0</v>
      </c>
      <c r="AH548" s="16">
        <f t="shared" si="768"/>
        <v>0</v>
      </c>
      <c r="AI548" s="16">
        <f t="shared" si="768"/>
        <v>0</v>
      </c>
      <c r="AJ548" s="16">
        <f t="shared" si="768"/>
        <v>0</v>
      </c>
      <c r="AK548" s="16">
        <f t="shared" si="768"/>
        <v>0</v>
      </c>
      <c r="AL548" s="16">
        <f t="shared" si="768"/>
        <v>0</v>
      </c>
      <c r="AM548" s="16">
        <f t="shared" si="768"/>
        <v>0</v>
      </c>
      <c r="AN548" s="16">
        <f t="shared" si="768"/>
        <v>0</v>
      </c>
      <c r="AO548" s="16">
        <f t="shared" si="768"/>
        <v>0</v>
      </c>
      <c r="AP548" s="10"/>
      <c r="AQ548" s="10"/>
      <c r="AR548" s="10"/>
      <c r="AS548" s="10" t="str">
        <f t="shared" ref="AS548" ca="1" si="776">IFERROR(__xludf.DUMMYFUNCTION("split(F479,"","",true,true)"),"Seedstars")</f>
        <v>Seedstars</v>
      </c>
      <c r="AT548" s="10"/>
      <c r="AU548" s="10"/>
      <c r="AV548" s="10"/>
      <c r="AW548" s="10"/>
      <c r="AX548" s="10"/>
      <c r="AY548" s="10"/>
      <c r="AZ548" s="10"/>
      <c r="BA548" s="10"/>
      <c r="BB548" s="10"/>
      <c r="BC548" s="10"/>
      <c r="BD548" s="10"/>
      <c r="BE548" s="10"/>
      <c r="BF548" s="10"/>
      <c r="BG548" s="10"/>
      <c r="BH548" s="10"/>
      <c r="BI548" s="10"/>
      <c r="BJ548" s="10"/>
      <c r="BK548" s="10"/>
      <c r="BM548" s="10"/>
    </row>
    <row r="549" spans="1:65" ht="12.75">
      <c r="A549" s="18">
        <v>43251</v>
      </c>
      <c r="B549" s="14" t="s">
        <v>1149</v>
      </c>
      <c r="C549" s="19">
        <v>1100000</v>
      </c>
      <c r="D549" s="19"/>
      <c r="E549" s="14" t="s">
        <v>45</v>
      </c>
      <c r="F549" s="14" t="s">
        <v>1248</v>
      </c>
      <c r="G549" s="27" t="s">
        <v>1249</v>
      </c>
      <c r="H549" s="14" t="str">
        <f t="array" ref="H549">IFERROR(INDEX([1]Companies!$G:$G,MATCH(B549,[1]Companies!$A:$A,0)),"")</f>
        <v>Nigeria</v>
      </c>
      <c r="I549" s="14" t="str">
        <f t="shared" si="694"/>
        <v>Nigeria</v>
      </c>
      <c r="J549" s="14" t="str">
        <f t="array" ref="J549">IFERROR(INDEX([1]Companies!$Y:$Y,MATCH(B549,[1]Companies!$A:$A,0)),"")</f>
        <v>Banking, Debit Cards, Finance, Financial Services, Fintech</v>
      </c>
      <c r="K549" s="14" t="str">
        <f t="array" ref="K549">IFERROR(INDEX([1]Companies!$X:$X,MATCH(B549,[1]Companies!$A:$A,0)),"")</f>
        <v>Financial Services</v>
      </c>
      <c r="L549" s="14" t="str">
        <f>VLOOKUP(B549,[1]Companies!$A$1:$C$5243,1,FALSE)</f>
        <v>PiggyVest</v>
      </c>
      <c r="M549" s="15">
        <f t="shared" si="695"/>
        <v>0.9</v>
      </c>
      <c r="N549" s="10" t="str">
        <f t="shared" si="696"/>
        <v>43251PiggyVest1100000</v>
      </c>
      <c r="O549" s="14" t="str">
        <f t="shared" si="697"/>
        <v/>
      </c>
      <c r="P549" s="14">
        <f t="shared" si="698"/>
        <v>1</v>
      </c>
      <c r="Q549" s="14">
        <f t="array" ref="Q549">IFERROR(INDEX([1]Companies!$D:$D,MATCH(B549,[1]Companies!$A:$A,0)),"")</f>
        <v>2016</v>
      </c>
      <c r="R549" s="17">
        <f t="shared" si="699"/>
        <v>1150000</v>
      </c>
      <c r="S549" s="14">
        <f>VLOOKUP(I549,[1]Lookups!$V$3:$Y$197,4,FALSE)</f>
        <v>0</v>
      </c>
      <c r="T549" s="14" t="str">
        <f>VLOOKUP(E549,[1]Lookups!$H$3:$I$71,2,FALSE)</f>
        <v>2. Seed</v>
      </c>
      <c r="U549" s="14" t="str">
        <f>VLOOKUP(K549,[1]Lookups!$B$3:$C$142,2,FALSE)</f>
        <v>Financial Services</v>
      </c>
      <c r="V549" s="14">
        <f t="shared" si="735"/>
        <v>2018</v>
      </c>
      <c r="W549" s="14">
        <f t="shared" si="736"/>
        <v>5</v>
      </c>
      <c r="X549" s="14">
        <f>VLOOKUP(W549,[1]Lookups!$P$3:$S$15,2,FALSE)</f>
        <v>2</v>
      </c>
      <c r="Y549" s="16">
        <f>VLOOKUP(W549,[1]Lookups!$P$3:$U$15,3,FALSE)</f>
        <v>1</v>
      </c>
      <c r="Z549" s="16">
        <f t="shared" si="737"/>
        <v>3</v>
      </c>
      <c r="AA549" s="16" t="str">
        <f t="shared" ca="1" si="768"/>
        <v>Seedstars</v>
      </c>
      <c r="AB549" s="16" t="str">
        <f t="shared" ca="1" si="768"/>
        <v xml:space="preserve"> Village Capital</v>
      </c>
      <c r="AC549" s="16" t="str">
        <f t="shared" ca="1" si="768"/>
        <v xml:space="preserve"> Ventures Platform</v>
      </c>
      <c r="AD549" s="16">
        <f t="shared" si="768"/>
        <v>0</v>
      </c>
      <c r="AE549" s="16">
        <f t="shared" si="768"/>
        <v>0</v>
      </c>
      <c r="AF549" s="16">
        <f t="shared" si="768"/>
        <v>0</v>
      </c>
      <c r="AG549" s="16">
        <f t="shared" si="768"/>
        <v>0</v>
      </c>
      <c r="AH549" s="16">
        <f t="shared" si="768"/>
        <v>0</v>
      </c>
      <c r="AI549" s="16">
        <f t="shared" si="768"/>
        <v>0</v>
      </c>
      <c r="AJ549" s="16">
        <f t="shared" si="768"/>
        <v>0</v>
      </c>
      <c r="AK549" s="16">
        <f t="shared" si="768"/>
        <v>0</v>
      </c>
      <c r="AL549" s="16">
        <f t="shared" si="768"/>
        <v>0</v>
      </c>
      <c r="AM549" s="16">
        <f t="shared" si="768"/>
        <v>0</v>
      </c>
      <c r="AN549" s="16">
        <f t="shared" si="768"/>
        <v>0</v>
      </c>
      <c r="AO549" s="16">
        <f t="shared" si="768"/>
        <v>0</v>
      </c>
      <c r="AP549" s="10"/>
      <c r="AQ549" s="10"/>
      <c r="AR549" s="10"/>
      <c r="AS549" s="10" t="str">
        <f t="shared" ref="AS549" ca="1" si="777">IFERROR(__xludf.DUMMYFUNCTION("split(F479,"","",true,true)"),"Seedstars")</f>
        <v>Seedstars</v>
      </c>
      <c r="AT549" s="10" t="str">
        <f ca="1">IFERROR(__xludf.DUMMYFUNCTION("""COMPUTED_VALUE""")," Village Capital")</f>
        <v xml:space="preserve"> Village Capital</v>
      </c>
      <c r="AU549" s="10" t="str">
        <f ca="1">IFERROR(__xludf.DUMMYFUNCTION("""COMPUTED_VALUE""")," Ventures Platform")</f>
        <v xml:space="preserve"> Ventures Platform</v>
      </c>
      <c r="AV549" s="10"/>
      <c r="AW549" s="10"/>
      <c r="AX549" s="10"/>
      <c r="AY549" s="10"/>
      <c r="AZ549" s="10"/>
      <c r="BA549" s="10"/>
      <c r="BB549" s="10"/>
      <c r="BC549" s="10"/>
      <c r="BD549" s="10"/>
      <c r="BE549" s="10"/>
      <c r="BF549" s="10"/>
      <c r="BG549" s="10"/>
      <c r="BH549" s="10"/>
      <c r="BI549" s="10"/>
      <c r="BJ549" s="10"/>
      <c r="BK549" s="10"/>
      <c r="BM549" s="10"/>
    </row>
    <row r="550" spans="1:65" ht="12.75">
      <c r="A550" s="9">
        <v>43252</v>
      </c>
      <c r="B550" s="10" t="s">
        <v>629</v>
      </c>
      <c r="C550" s="11" t="s">
        <v>49</v>
      </c>
      <c r="D550" s="12"/>
      <c r="E550" s="10" t="s">
        <v>45</v>
      </c>
      <c r="F550" s="10" t="s">
        <v>1250</v>
      </c>
      <c r="G550" s="13" t="s">
        <v>1251</v>
      </c>
      <c r="H550" s="14" t="str">
        <f t="array" ref="H550">IFERROR(INDEX([1]Companies!$G:$G,MATCH(B550,[1]Companies!$A:$A,0)),"")</f>
        <v>Morocco</v>
      </c>
      <c r="I550" s="14" t="str">
        <f t="shared" si="694"/>
        <v>Morocco</v>
      </c>
      <c r="J550" s="14" t="str">
        <f t="array" ref="J550">IFERROR(INDEX([1]Companies!$Y:$Y,MATCH(B550,[1]Companies!$A:$A,0)),"")</f>
        <v>B2B, E-Commerce, E-Commerce Platforms</v>
      </c>
      <c r="K550" s="14" t="str">
        <f t="array" ref="K550">IFERROR(INDEX([1]Companies!$X:$X,MATCH(B550,[1]Companies!$A:$A,0)),"")</f>
        <v>E-Commerce &amp; Retail</v>
      </c>
      <c r="L550" s="14" t="str">
        <f>VLOOKUP(B550,[1]Companies!$A$1:$C$5243,1,FALSE)</f>
        <v>WaystoCap</v>
      </c>
      <c r="M550" s="15">
        <f t="shared" si="695"/>
        <v>0.9</v>
      </c>
      <c r="N550" s="10" t="str">
        <f t="shared" si="696"/>
        <v>43252WaystoCapUndisclosed</v>
      </c>
      <c r="O550" s="14" t="str">
        <f t="shared" si="697"/>
        <v/>
      </c>
      <c r="P550" s="14">
        <f t="shared" si="698"/>
        <v>0</v>
      </c>
      <c r="Q550" s="14">
        <f t="array" ref="Q550">IFERROR(INDEX([1]Companies!$D:$D,MATCH(B550,[1]Companies!$A:$A,0)),"")</f>
        <v>2014</v>
      </c>
      <c r="R550" s="17">
        <f t="shared" si="699"/>
        <v>3120000</v>
      </c>
      <c r="S550" s="14">
        <f>VLOOKUP(I550,[1]Lookups!$V$3:$Y$197,4,FALSE)</f>
        <v>0</v>
      </c>
      <c r="T550" s="14" t="str">
        <f>VLOOKUP(E550,[1]Lookups!$H$3:$I$71,2,FALSE)</f>
        <v>2. Seed</v>
      </c>
      <c r="U550" s="14" t="str">
        <f>VLOOKUP(K550,[1]Lookups!$B$3:$C$142,2,FALSE)</f>
        <v>E-commerce &amp; Retail</v>
      </c>
      <c r="V550" s="14">
        <f t="shared" si="735"/>
        <v>2018</v>
      </c>
      <c r="W550" s="14">
        <f t="shared" si="736"/>
        <v>6</v>
      </c>
      <c r="X550" s="14">
        <f>VLOOKUP(W550,[1]Lookups!$P$3:$S$15,2,FALSE)</f>
        <v>2</v>
      </c>
      <c r="Y550" s="16">
        <f>VLOOKUP(W550,[1]Lookups!$P$3:$U$15,3,FALSE)</f>
        <v>1</v>
      </c>
      <c r="Z550" s="16">
        <f t="shared" si="737"/>
        <v>1</v>
      </c>
      <c r="AA550" s="16" t="str">
        <f t="shared" ca="1" si="768"/>
        <v>Seedstars</v>
      </c>
      <c r="AB550" s="16">
        <f t="shared" si="768"/>
        <v>0</v>
      </c>
      <c r="AC550" s="16">
        <f t="shared" si="768"/>
        <v>0</v>
      </c>
      <c r="AD550" s="16">
        <f t="shared" si="768"/>
        <v>0</v>
      </c>
      <c r="AE550" s="16">
        <f t="shared" si="768"/>
        <v>0</v>
      </c>
      <c r="AF550" s="16">
        <f t="shared" si="768"/>
        <v>0</v>
      </c>
      <c r="AG550" s="16">
        <f t="shared" si="768"/>
        <v>0</v>
      </c>
      <c r="AH550" s="16">
        <f t="shared" si="768"/>
        <v>0</v>
      </c>
      <c r="AI550" s="16">
        <f t="shared" si="768"/>
        <v>0</v>
      </c>
      <c r="AJ550" s="16">
        <f t="shared" si="768"/>
        <v>0</v>
      </c>
      <c r="AK550" s="16">
        <f t="shared" si="768"/>
        <v>0</v>
      </c>
      <c r="AL550" s="16">
        <f t="shared" si="768"/>
        <v>0</v>
      </c>
      <c r="AM550" s="16">
        <f t="shared" si="768"/>
        <v>0</v>
      </c>
      <c r="AN550" s="16">
        <f t="shared" si="768"/>
        <v>0</v>
      </c>
      <c r="AO550" s="16">
        <f t="shared" si="768"/>
        <v>0</v>
      </c>
      <c r="AP550" s="10"/>
      <c r="AQ550" s="10"/>
      <c r="AR550" s="10"/>
      <c r="AS550" s="10" t="str">
        <f t="shared" ref="AS550" ca="1" si="778">IFERROR(__xludf.DUMMYFUNCTION("split(F479,"","",true,true)"),"Seedstars")</f>
        <v>Seedstars</v>
      </c>
      <c r="AT550" s="10"/>
      <c r="AU550" s="10"/>
      <c r="AV550" s="10"/>
      <c r="AW550" s="10"/>
      <c r="AX550" s="10"/>
      <c r="AY550" s="10"/>
      <c r="AZ550" s="10"/>
      <c r="BA550" s="10"/>
      <c r="BB550" s="10"/>
      <c r="BC550" s="10"/>
      <c r="BD550" s="10"/>
      <c r="BE550" s="10"/>
      <c r="BF550" s="10"/>
      <c r="BG550" s="10"/>
      <c r="BH550" s="10"/>
      <c r="BI550" s="10"/>
      <c r="BJ550" s="10"/>
      <c r="BK550" s="10"/>
      <c r="BM550" s="10"/>
    </row>
    <row r="551" spans="1:65" ht="12.75">
      <c r="A551" s="9">
        <v>43252</v>
      </c>
      <c r="B551" s="10" t="s">
        <v>1252</v>
      </c>
      <c r="C551" s="11" t="s">
        <v>49</v>
      </c>
      <c r="D551" s="12"/>
      <c r="E551" s="10" t="s">
        <v>45</v>
      </c>
      <c r="F551" s="10" t="s">
        <v>1250</v>
      </c>
      <c r="G551" s="13" t="s">
        <v>1253</v>
      </c>
      <c r="H551" s="14" t="str">
        <f t="array" ref="H551">IFERROR(INDEX([1]Companies!$G:$G,MATCH(B551,[1]Companies!$A:$A,0)),"")</f>
        <v>Egypt</v>
      </c>
      <c r="I551" s="14" t="str">
        <f t="shared" si="694"/>
        <v>Egypt</v>
      </c>
      <c r="J551" s="14" t="str">
        <f t="array" ref="J551">IFERROR(INDEX([1]Companies!$Y:$Y,MATCH(B551,[1]Companies!$A:$A,0)),"")</f>
        <v>B2B, E-Commerce, Internet</v>
      </c>
      <c r="K551" s="14" t="str">
        <f t="array" ref="K551">IFERROR(INDEX([1]Companies!$X:$X,MATCH(B551,[1]Companies!$A:$A,0)),"")</f>
        <v>E-Commerce &amp; Retail</v>
      </c>
      <c r="L551" s="14" t="str">
        <f>VLOOKUP(B551,[1]Companies!$A$1:$C$5243,1,FALSE)</f>
        <v>MaxAB</v>
      </c>
      <c r="M551" s="15">
        <f t="shared" si="695"/>
        <v>0.9</v>
      </c>
      <c r="N551" s="10" t="str">
        <f t="shared" si="696"/>
        <v>43252MaxABUndisclosed</v>
      </c>
      <c r="O551" s="14" t="str">
        <f t="shared" si="697"/>
        <v/>
      </c>
      <c r="P551" s="14">
        <f t="shared" si="698"/>
        <v>0</v>
      </c>
      <c r="Q551" s="14">
        <f t="array" ref="Q551">IFERROR(INDEX([1]Companies!$D:$D,MATCH(B551,[1]Companies!$A:$A,0)),"")</f>
        <v>2018</v>
      </c>
      <c r="R551" s="17">
        <f t="shared" si="699"/>
        <v>0</v>
      </c>
      <c r="S551" s="14">
        <f>VLOOKUP(I551,[1]Lookups!$V$3:$Y$197,4,FALSE)</f>
        <v>0</v>
      </c>
      <c r="T551" s="14" t="str">
        <f>VLOOKUP(E551,[1]Lookups!$H$3:$I$71,2,FALSE)</f>
        <v>2. Seed</v>
      </c>
      <c r="U551" s="14" t="str">
        <f>VLOOKUP(K551,[1]Lookups!$B$3:$C$142,2,FALSE)</f>
        <v>E-commerce &amp; Retail</v>
      </c>
      <c r="V551" s="14">
        <f t="shared" si="735"/>
        <v>2018</v>
      </c>
      <c r="W551" s="14">
        <f t="shared" si="736"/>
        <v>6</v>
      </c>
      <c r="X551" s="14">
        <f>VLOOKUP(W551,[1]Lookups!$P$3:$S$15,2,FALSE)</f>
        <v>2</v>
      </c>
      <c r="Y551" s="16">
        <f>VLOOKUP(W551,[1]Lookups!$P$3:$U$15,3,FALSE)</f>
        <v>1</v>
      </c>
      <c r="Z551" s="16">
        <f t="shared" si="737"/>
        <v>1</v>
      </c>
      <c r="AA551" s="16" t="str">
        <f t="shared" ca="1" si="768"/>
        <v>Seedstars</v>
      </c>
      <c r="AB551" s="16">
        <f t="shared" si="768"/>
        <v>0</v>
      </c>
      <c r="AC551" s="16">
        <f t="shared" si="768"/>
        <v>0</v>
      </c>
      <c r="AD551" s="16">
        <f t="shared" si="768"/>
        <v>0</v>
      </c>
      <c r="AE551" s="16">
        <f t="shared" si="768"/>
        <v>0</v>
      </c>
      <c r="AF551" s="16">
        <f t="shared" si="768"/>
        <v>0</v>
      </c>
      <c r="AG551" s="16">
        <f t="shared" si="768"/>
        <v>0</v>
      </c>
      <c r="AH551" s="16">
        <f t="shared" si="768"/>
        <v>0</v>
      </c>
      <c r="AI551" s="16">
        <f t="shared" si="768"/>
        <v>0</v>
      </c>
      <c r="AJ551" s="16">
        <f t="shared" si="768"/>
        <v>0</v>
      </c>
      <c r="AK551" s="16">
        <f t="shared" si="768"/>
        <v>0</v>
      </c>
      <c r="AL551" s="16">
        <f t="shared" si="768"/>
        <v>0</v>
      </c>
      <c r="AM551" s="16">
        <f t="shared" si="768"/>
        <v>0</v>
      </c>
      <c r="AN551" s="16">
        <f t="shared" si="768"/>
        <v>0</v>
      </c>
      <c r="AO551" s="16">
        <f t="shared" si="768"/>
        <v>0</v>
      </c>
      <c r="AP551" s="10"/>
      <c r="AQ551" s="10"/>
      <c r="AR551" s="10"/>
      <c r="AS551" s="10" t="str">
        <f t="shared" ref="AS551" ca="1" si="779">IFERROR(__xludf.DUMMYFUNCTION("split(F479,"","",true,true)"),"Seedstars")</f>
        <v>Seedstars</v>
      </c>
      <c r="AT551" s="10"/>
      <c r="AU551" s="10"/>
      <c r="AV551" s="10"/>
      <c r="AW551" s="10"/>
      <c r="AX551" s="10"/>
      <c r="AY551" s="10"/>
      <c r="AZ551" s="10"/>
      <c r="BA551" s="10"/>
      <c r="BB551" s="10"/>
      <c r="BC551" s="10"/>
      <c r="BD551" s="10"/>
      <c r="BE551" s="10"/>
      <c r="BF551" s="10"/>
      <c r="BG551" s="10"/>
      <c r="BH551" s="10"/>
      <c r="BI551" s="10"/>
      <c r="BJ551" s="10"/>
      <c r="BK551" s="10"/>
      <c r="BM551" s="10"/>
    </row>
    <row r="552" spans="1:65" ht="12.75">
      <c r="A552" s="18">
        <v>43252</v>
      </c>
      <c r="B552" s="14" t="s">
        <v>776</v>
      </c>
      <c r="C552" s="19">
        <v>500000</v>
      </c>
      <c r="D552" s="22"/>
      <c r="E552" s="10" t="s">
        <v>45</v>
      </c>
      <c r="F552" s="14" t="s">
        <v>741</v>
      </c>
      <c r="G552" s="13" t="s">
        <v>778</v>
      </c>
      <c r="H552" s="14" t="str">
        <f t="array" ref="H552">IFERROR(INDEX([1]Companies!$G:$G,MATCH(B552,[1]Companies!$A:$A,0)),"")</f>
        <v>United States of America</v>
      </c>
      <c r="I552" s="14" t="str">
        <f t="shared" si="694"/>
        <v>United States of America</v>
      </c>
      <c r="J552" s="14" t="str">
        <f t="array" ref="J552">IFERROR(INDEX([1]Companies!$Y:$Y,MATCH(B552,[1]Companies!$A:$A,0)),"")</f>
        <v>Artificial Intelligence, Blockchain, Database, Hardware, Software</v>
      </c>
      <c r="K552" s="14" t="str">
        <f t="array" ref="K552">IFERROR(INDEX([1]Companies!$X:$X,MATCH(B552,[1]Companies!$A:$A,0)),"")</f>
        <v>Emerging Technologies</v>
      </c>
      <c r="L552" s="14" t="str">
        <f>VLOOKUP(B552,[1]Companies!$A$1:$C$5243,1,FALSE)</f>
        <v>RxAll</v>
      </c>
      <c r="M552" s="15">
        <f t="shared" si="695"/>
        <v>0.9</v>
      </c>
      <c r="N552" s="10" t="str">
        <f t="shared" si="696"/>
        <v>43252RxAll500000</v>
      </c>
      <c r="O552" s="14" t="str">
        <f t="shared" si="697"/>
        <v/>
      </c>
      <c r="P552" s="14">
        <f t="shared" si="698"/>
        <v>1</v>
      </c>
      <c r="Q552" s="14">
        <f t="array" ref="Q552">IFERROR(INDEX([1]Companies!$D:$D,MATCH(B552,[1]Companies!$A:$A,0)),"")</f>
        <v>2016</v>
      </c>
      <c r="R552" s="17">
        <f t="shared" si="699"/>
        <v>672000</v>
      </c>
      <c r="S552" s="14">
        <f>VLOOKUP(I552,[1]Lookups!$V$3:$Y$197,4,FALSE)</f>
        <v>1</v>
      </c>
      <c r="T552" s="14" t="str">
        <f>VLOOKUP(E552,[1]Lookups!$H$3:$I$71,2,FALSE)</f>
        <v>2. Seed</v>
      </c>
      <c r="U552" s="14" t="str">
        <f>VLOOKUP(K552,[1]Lookups!$B$3:$C$142,2,FALSE)</f>
        <v>Emerging Technologies</v>
      </c>
      <c r="V552" s="14">
        <f t="shared" si="735"/>
        <v>2018</v>
      </c>
      <c r="W552" s="14">
        <f t="shared" si="736"/>
        <v>6</v>
      </c>
      <c r="X552" s="14">
        <f>VLOOKUP(W552,[1]Lookups!$P$3:$S$15,2,FALSE)</f>
        <v>2</v>
      </c>
      <c r="Y552" s="16">
        <f>VLOOKUP(W552,[1]Lookups!$P$3:$U$15,3,FALSE)</f>
        <v>1</v>
      </c>
      <c r="Z552" s="16">
        <f t="shared" si="737"/>
        <v>1</v>
      </c>
      <c r="AA552" s="16" t="str">
        <f t="shared" ca="1" si="768"/>
        <v>Seedstars</v>
      </c>
      <c r="AB552" s="16">
        <f t="shared" si="768"/>
        <v>0</v>
      </c>
      <c r="AC552" s="16">
        <f t="shared" si="768"/>
        <v>0</v>
      </c>
      <c r="AD552" s="16">
        <f t="shared" si="768"/>
        <v>0</v>
      </c>
      <c r="AE552" s="16">
        <f t="shared" si="768"/>
        <v>0</v>
      </c>
      <c r="AF552" s="16">
        <f t="shared" si="768"/>
        <v>0</v>
      </c>
      <c r="AG552" s="16">
        <f t="shared" si="768"/>
        <v>0</v>
      </c>
      <c r="AH552" s="16">
        <f t="shared" si="768"/>
        <v>0</v>
      </c>
      <c r="AI552" s="16">
        <f t="shared" si="768"/>
        <v>0</v>
      </c>
      <c r="AJ552" s="16">
        <f t="shared" si="768"/>
        <v>0</v>
      </c>
      <c r="AK552" s="16">
        <f t="shared" si="768"/>
        <v>0</v>
      </c>
      <c r="AL552" s="16">
        <f t="shared" si="768"/>
        <v>0</v>
      </c>
      <c r="AM552" s="16">
        <f t="shared" si="768"/>
        <v>0</v>
      </c>
      <c r="AN552" s="16">
        <f t="shared" si="768"/>
        <v>0</v>
      </c>
      <c r="AO552" s="16">
        <f t="shared" si="768"/>
        <v>0</v>
      </c>
      <c r="AP552" s="10"/>
      <c r="AQ552" s="10"/>
      <c r="AR552" s="10"/>
      <c r="AS552" s="10" t="str">
        <f t="shared" ref="AS552" ca="1" si="780">IFERROR(__xludf.DUMMYFUNCTION("split(F479,"","",true,true)"),"Seedstars")</f>
        <v>Seedstars</v>
      </c>
      <c r="AT552" s="10"/>
      <c r="AU552" s="10"/>
      <c r="AV552" s="10"/>
      <c r="AW552" s="10"/>
      <c r="AX552" s="10"/>
      <c r="AY552" s="10"/>
      <c r="AZ552" s="10"/>
      <c r="BA552" s="10"/>
      <c r="BB552" s="10"/>
      <c r="BC552" s="10"/>
      <c r="BD552" s="10"/>
      <c r="BE552" s="10"/>
      <c r="BF552" s="10"/>
      <c r="BG552" s="10"/>
      <c r="BH552" s="10"/>
      <c r="BI552" s="10"/>
      <c r="BJ552" s="10"/>
      <c r="BK552" s="10"/>
      <c r="BM552" s="10"/>
    </row>
    <row r="553" spans="1:65" ht="12.75">
      <c r="A553" s="18">
        <v>43252</v>
      </c>
      <c r="B553" s="14" t="s">
        <v>792</v>
      </c>
      <c r="C553" s="19">
        <v>250000</v>
      </c>
      <c r="D553" s="19"/>
      <c r="E553" s="14" t="s">
        <v>45</v>
      </c>
      <c r="F553" s="14" t="s">
        <v>49</v>
      </c>
      <c r="G553" s="27" t="s">
        <v>1254</v>
      </c>
      <c r="H553" s="14" t="str">
        <f t="array" ref="H553">IFERROR(INDEX([1]Companies!$G:$G,MATCH(B553,[1]Companies!$A:$A,0)),"")</f>
        <v>Kenya</v>
      </c>
      <c r="I553" s="14" t="str">
        <f t="shared" si="694"/>
        <v>Kenya</v>
      </c>
      <c r="J553" s="14" t="str">
        <f t="array" ref="J553">IFERROR(INDEX([1]Companies!$Y:$Y,MATCH(B553,[1]Companies!$A:$A,0)),"")</f>
        <v>Consumer, E-Commerce, Internet, Retail, Marketplace</v>
      </c>
      <c r="K553" s="14" t="str">
        <f t="array" ref="K553">IFERROR(INDEX([1]Companies!$X:$X,MATCH(B553,[1]Companies!$A:$A,0)),"")</f>
        <v>E-Commerce &amp; Retail</v>
      </c>
      <c r="L553" s="14" t="str">
        <f>VLOOKUP(B553,[1]Companies!$A$1:$C$5243,1,FALSE)</f>
        <v>AfricaSokoni</v>
      </c>
      <c r="M553" s="15">
        <f t="shared" si="695"/>
        <v>0.9</v>
      </c>
      <c r="N553" s="10" t="str">
        <f t="shared" si="696"/>
        <v>43252AfricaSokoni250000</v>
      </c>
      <c r="O553" s="14" t="str">
        <f t="shared" si="697"/>
        <v/>
      </c>
      <c r="P553" s="14">
        <f t="shared" si="698"/>
        <v>1</v>
      </c>
      <c r="Q553" s="14">
        <f t="array" ref="Q553">IFERROR(INDEX([1]Companies!$D:$D,MATCH(B553,[1]Companies!$A:$A,0)),"")</f>
        <v>2017</v>
      </c>
      <c r="R553" s="17">
        <f t="shared" si="699"/>
        <v>995000</v>
      </c>
      <c r="S553" s="14">
        <f>VLOOKUP(I553,[1]Lookups!$V$3:$Y$197,4,FALSE)</f>
        <v>0</v>
      </c>
      <c r="T553" s="14" t="str">
        <f>VLOOKUP(E553,[1]Lookups!$H$3:$I$71,2,FALSE)</f>
        <v>2. Seed</v>
      </c>
      <c r="U553" s="14" t="str">
        <f>VLOOKUP(K553,[1]Lookups!$B$3:$C$142,2,FALSE)</f>
        <v>E-commerce &amp; Retail</v>
      </c>
      <c r="V553" s="14">
        <f t="shared" si="735"/>
        <v>2018</v>
      </c>
      <c r="W553" s="14">
        <f t="shared" si="736"/>
        <v>6</v>
      </c>
      <c r="X553" s="14">
        <f>VLOOKUP(W553,[1]Lookups!$P$3:$S$15,2,FALSE)</f>
        <v>2</v>
      </c>
      <c r="Y553" s="16">
        <f>VLOOKUP(W553,[1]Lookups!$P$3:$U$15,3,FALSE)</f>
        <v>1</v>
      </c>
      <c r="Z553" s="16">
        <f t="shared" si="737"/>
        <v>1</v>
      </c>
      <c r="AA553" s="16" t="str">
        <f t="shared" ca="1" si="768"/>
        <v>Seedstars</v>
      </c>
      <c r="AB553" s="16">
        <f t="shared" si="768"/>
        <v>0</v>
      </c>
      <c r="AC553" s="16">
        <f t="shared" si="768"/>
        <v>0</v>
      </c>
      <c r="AD553" s="16">
        <f t="shared" si="768"/>
        <v>0</v>
      </c>
      <c r="AE553" s="16">
        <f t="shared" si="768"/>
        <v>0</v>
      </c>
      <c r="AF553" s="16">
        <f t="shared" si="768"/>
        <v>0</v>
      </c>
      <c r="AG553" s="16">
        <f t="shared" si="768"/>
        <v>0</v>
      </c>
      <c r="AH553" s="16">
        <f t="shared" si="768"/>
        <v>0</v>
      </c>
      <c r="AI553" s="16">
        <f t="shared" si="768"/>
        <v>0</v>
      </c>
      <c r="AJ553" s="16">
        <f t="shared" si="768"/>
        <v>0</v>
      </c>
      <c r="AK553" s="16">
        <f t="shared" si="768"/>
        <v>0</v>
      </c>
      <c r="AL553" s="16">
        <f t="shared" si="768"/>
        <v>0</v>
      </c>
      <c r="AM553" s="16">
        <f t="shared" si="768"/>
        <v>0</v>
      </c>
      <c r="AN553" s="16">
        <f t="shared" si="768"/>
        <v>0</v>
      </c>
      <c r="AO553" s="16">
        <f t="shared" si="768"/>
        <v>0</v>
      </c>
      <c r="AP553" s="10"/>
      <c r="AQ553" s="10"/>
      <c r="AR553" s="10"/>
      <c r="AS553" s="10" t="str">
        <f t="shared" ref="AS553" ca="1" si="781">IFERROR(__xludf.DUMMYFUNCTION("split(F479,"","",true,true)"),"Seedstars")</f>
        <v>Seedstars</v>
      </c>
      <c r="AT553" s="10"/>
      <c r="AU553" s="10"/>
      <c r="AV553" s="10"/>
      <c r="AW553" s="10"/>
      <c r="AX553" s="10"/>
      <c r="AY553" s="10"/>
      <c r="AZ553" s="10"/>
      <c r="BA553" s="10"/>
      <c r="BB553" s="10"/>
      <c r="BC553" s="10"/>
      <c r="BD553" s="10"/>
      <c r="BE553" s="10"/>
      <c r="BF553" s="10"/>
      <c r="BG553" s="10"/>
      <c r="BH553" s="10"/>
      <c r="BI553" s="10"/>
      <c r="BJ553" s="10"/>
      <c r="BK553" s="10"/>
      <c r="BM553" s="10"/>
    </row>
    <row r="554" spans="1:65" ht="12.75">
      <c r="A554" s="9">
        <v>43252</v>
      </c>
      <c r="B554" s="10" t="s">
        <v>1255</v>
      </c>
      <c r="C554" s="11">
        <v>120000</v>
      </c>
      <c r="D554" s="12"/>
      <c r="E554" s="14" t="s">
        <v>234</v>
      </c>
      <c r="F554" s="10" t="s">
        <v>49</v>
      </c>
      <c r="G554" s="13" t="s">
        <v>1256</v>
      </c>
      <c r="H554" s="14" t="str">
        <f t="array" ref="H554">IFERROR(INDEX([1]Companies!$G:$G,MATCH(B554,[1]Companies!$A:$A,0)),"")</f>
        <v>Senegal</v>
      </c>
      <c r="I554" s="14" t="str">
        <f t="shared" si="694"/>
        <v>Senegal</v>
      </c>
      <c r="J554" s="14" t="str">
        <f t="array" ref="J554">IFERROR(INDEX([1]Companies!$Y:$Y,MATCH(B554,[1]Companies!$A:$A,0)),"")</f>
        <v>logistics, e-commerce</v>
      </c>
      <c r="K554" s="14" t="str">
        <f t="array" ref="K554">IFERROR(INDEX([1]Companies!$X:$X,MATCH(B554,[1]Companies!$A:$A,0)),"")</f>
        <v>E-Commerce &amp; Retail</v>
      </c>
      <c r="L554" s="14" t="str">
        <f>VLOOKUP(B554,[1]Companies!$A$1:$C$5243,1,FALSE)</f>
        <v>Shopmeaway</v>
      </c>
      <c r="M554" s="15">
        <f t="shared" si="695"/>
        <v>0.9</v>
      </c>
      <c r="N554" s="10" t="str">
        <f t="shared" si="696"/>
        <v>43252Shopmeaway120000</v>
      </c>
      <c r="O554" s="14" t="str">
        <f t="shared" si="697"/>
        <v/>
      </c>
      <c r="P554" s="14">
        <f t="shared" si="698"/>
        <v>1</v>
      </c>
      <c r="Q554" s="14">
        <f t="array" ref="Q554">IFERROR(INDEX([1]Companies!$D:$D,MATCH(B554,[1]Companies!$A:$A,0)),"")</f>
        <v>2015</v>
      </c>
      <c r="R554" s="17">
        <f t="shared" si="699"/>
        <v>120000</v>
      </c>
      <c r="S554" s="14">
        <f>VLOOKUP(I554,[1]Lookups!$V$3:$Y$197,4,FALSE)</f>
        <v>0</v>
      </c>
      <c r="T554" s="14" t="str">
        <f>VLOOKUP(E554,[1]Lookups!$H$3:$I$71,2,FALSE)</f>
        <v>2. Seed</v>
      </c>
      <c r="U554" s="14" t="str">
        <f>VLOOKUP(K554,[1]Lookups!$B$3:$C$142,2,FALSE)</f>
        <v>E-commerce &amp; Retail</v>
      </c>
      <c r="V554" s="14">
        <f t="shared" si="735"/>
        <v>2018</v>
      </c>
      <c r="W554" s="14">
        <f t="shared" si="736"/>
        <v>6</v>
      </c>
      <c r="X554" s="14">
        <f>VLOOKUP(W554,[1]Lookups!$P$3:$S$15,2,FALSE)</f>
        <v>2</v>
      </c>
      <c r="Y554" s="16">
        <f>VLOOKUP(W554,[1]Lookups!$P$3:$U$15,3,FALSE)</f>
        <v>1</v>
      </c>
      <c r="Z554" s="16">
        <f t="shared" si="737"/>
        <v>1</v>
      </c>
      <c r="AA554" s="16" t="str">
        <f t="shared" ca="1" si="768"/>
        <v>Seedstars</v>
      </c>
      <c r="AB554" s="16">
        <f t="shared" si="768"/>
        <v>0</v>
      </c>
      <c r="AC554" s="16">
        <f t="shared" si="768"/>
        <v>0</v>
      </c>
      <c r="AD554" s="16">
        <f t="shared" si="768"/>
        <v>0</v>
      </c>
      <c r="AE554" s="16">
        <f t="shared" si="768"/>
        <v>0</v>
      </c>
      <c r="AF554" s="16">
        <f t="shared" si="768"/>
        <v>0</v>
      </c>
      <c r="AG554" s="16">
        <f t="shared" si="768"/>
        <v>0</v>
      </c>
      <c r="AH554" s="16">
        <f t="shared" si="768"/>
        <v>0</v>
      </c>
      <c r="AI554" s="16">
        <f t="shared" si="768"/>
        <v>0</v>
      </c>
      <c r="AJ554" s="16">
        <f t="shared" si="768"/>
        <v>0</v>
      </c>
      <c r="AK554" s="16">
        <f t="shared" si="768"/>
        <v>0</v>
      </c>
      <c r="AL554" s="16">
        <f t="shared" si="768"/>
        <v>0</v>
      </c>
      <c r="AM554" s="16">
        <f t="shared" si="768"/>
        <v>0</v>
      </c>
      <c r="AN554" s="16">
        <f t="shared" si="768"/>
        <v>0</v>
      </c>
      <c r="AO554" s="16">
        <f t="shared" si="768"/>
        <v>0</v>
      </c>
      <c r="AP554" s="10"/>
      <c r="AQ554" s="10"/>
      <c r="AR554" s="10"/>
      <c r="AS554" s="10" t="str">
        <f t="shared" ref="AS554" ca="1" si="782">IFERROR(__xludf.DUMMYFUNCTION("split(F479,"","",true,true)"),"Seedstars")</f>
        <v>Seedstars</v>
      </c>
      <c r="AT554" s="10"/>
      <c r="AU554" s="10"/>
      <c r="AV554" s="10"/>
      <c r="AW554" s="10"/>
      <c r="AX554" s="10"/>
      <c r="AY554" s="10"/>
      <c r="AZ554" s="10"/>
      <c r="BA554" s="10"/>
      <c r="BB554" s="10"/>
      <c r="BC554" s="10"/>
      <c r="BD554" s="10"/>
      <c r="BE554" s="10"/>
      <c r="BF554" s="10"/>
      <c r="BG554" s="10"/>
      <c r="BH554" s="10"/>
      <c r="BI554" s="10"/>
      <c r="BJ554" s="10"/>
      <c r="BK554" s="10"/>
      <c r="BM554" s="10"/>
    </row>
    <row r="555" spans="1:65" ht="12.75">
      <c r="A555" s="9">
        <v>43252</v>
      </c>
      <c r="B555" s="10" t="s">
        <v>1257</v>
      </c>
      <c r="C555" s="11">
        <v>10000</v>
      </c>
      <c r="D555" s="12"/>
      <c r="E555" s="14" t="s">
        <v>55</v>
      </c>
      <c r="F555" s="10" t="s">
        <v>49</v>
      </c>
      <c r="G555" s="13" t="s">
        <v>1258</v>
      </c>
      <c r="H555" s="14" t="str">
        <f t="array" ref="H555">IFERROR(INDEX([1]Companies!$G:$G,MATCH(B555,[1]Companies!$A:$A,0)),"")</f>
        <v>Nigeria</v>
      </c>
      <c r="I555" s="14" t="str">
        <f t="shared" si="694"/>
        <v>Nigeria</v>
      </c>
      <c r="J555" s="14" t="str">
        <f t="array" ref="J555">IFERROR(INDEX([1]Companies!$Y:$Y,MATCH(B555,[1]Companies!$A:$A,0)),"")</f>
        <v>Big Data, Event Management, Events, Machine Learning, Productivity Tools, Wedding</v>
      </c>
      <c r="K555" s="14" t="str">
        <f t="array" ref="K555">IFERROR(INDEX([1]Companies!$X:$X,MATCH(B555,[1]Companies!$A:$A,0)),"")</f>
        <v>Commercial &amp; Professional Services</v>
      </c>
      <c r="L555" s="14" t="str">
        <f>VLOOKUP(B555,[1]Companies!$A$1:$C$5243,1,FALSE)</f>
        <v>Lush Plans</v>
      </c>
      <c r="M555" s="15">
        <f t="shared" si="695"/>
        <v>0.9</v>
      </c>
      <c r="N555" s="10" t="str">
        <f t="shared" si="696"/>
        <v>43252Lush Plans10000</v>
      </c>
      <c r="O555" s="14" t="str">
        <f t="shared" si="697"/>
        <v/>
      </c>
      <c r="P555" s="14">
        <f t="shared" si="698"/>
        <v>1</v>
      </c>
      <c r="Q555" s="14">
        <f t="array" ref="Q555">IFERROR(INDEX([1]Companies!$D:$D,MATCH(B555,[1]Companies!$A:$A,0)),"")</f>
        <v>2018</v>
      </c>
      <c r="R555" s="17">
        <f t="shared" si="699"/>
        <v>10000</v>
      </c>
      <c r="S555" s="14">
        <f>VLOOKUP(I555,[1]Lookups!$V$3:$Y$197,4,FALSE)</f>
        <v>0</v>
      </c>
      <c r="T555" s="14" t="str">
        <f>VLOOKUP(E555,[1]Lookups!$H$3:$I$71,2,FALSE)</f>
        <v>1. Grant</v>
      </c>
      <c r="U555" s="14" t="str">
        <f>VLOOKUP(K555,[1]Lookups!$B$3:$C$142,2,FALSE)</f>
        <v>Other Technologies &amp; Information Technology</v>
      </c>
      <c r="V555" s="14">
        <f t="shared" si="735"/>
        <v>2018</v>
      </c>
      <c r="W555" s="14">
        <f t="shared" si="736"/>
        <v>6</v>
      </c>
      <c r="X555" s="14">
        <f>VLOOKUP(W555,[1]Lookups!$P$3:$S$15,2,FALSE)</f>
        <v>2</v>
      </c>
      <c r="Y555" s="16">
        <f>VLOOKUP(W555,[1]Lookups!$P$3:$U$15,3,FALSE)</f>
        <v>1</v>
      </c>
      <c r="Z555" s="16">
        <f t="shared" si="737"/>
        <v>1</v>
      </c>
      <c r="AA555" s="16" t="str">
        <f t="shared" ca="1" si="768"/>
        <v>Seedstars</v>
      </c>
      <c r="AB555" s="16">
        <f t="shared" si="768"/>
        <v>0</v>
      </c>
      <c r="AC555" s="16">
        <f t="shared" si="768"/>
        <v>0</v>
      </c>
      <c r="AD555" s="16">
        <f t="shared" si="768"/>
        <v>0</v>
      </c>
      <c r="AE555" s="16">
        <f t="shared" si="768"/>
        <v>0</v>
      </c>
      <c r="AF555" s="16">
        <f t="shared" si="768"/>
        <v>0</v>
      </c>
      <c r="AG555" s="16">
        <f t="shared" si="768"/>
        <v>0</v>
      </c>
      <c r="AH555" s="16">
        <f t="shared" si="768"/>
        <v>0</v>
      </c>
      <c r="AI555" s="16">
        <f t="shared" si="768"/>
        <v>0</v>
      </c>
      <c r="AJ555" s="16">
        <f t="shared" si="768"/>
        <v>0</v>
      </c>
      <c r="AK555" s="16">
        <f t="shared" si="768"/>
        <v>0</v>
      </c>
      <c r="AL555" s="16">
        <f t="shared" si="768"/>
        <v>0</v>
      </c>
      <c r="AM555" s="16">
        <f t="shared" si="768"/>
        <v>0</v>
      </c>
      <c r="AN555" s="16">
        <f t="shared" si="768"/>
        <v>0</v>
      </c>
      <c r="AO555" s="16">
        <f t="shared" si="768"/>
        <v>0</v>
      </c>
      <c r="AP555" s="10"/>
      <c r="AQ555" s="10"/>
      <c r="AR555" s="10"/>
      <c r="AS555" s="10" t="str">
        <f t="shared" ref="AS555" ca="1" si="783">IFERROR(__xludf.DUMMYFUNCTION("split(F479,"","",true,true)"),"Seedstars")</f>
        <v>Seedstars</v>
      </c>
      <c r="AT555" s="10"/>
      <c r="AU555" s="10"/>
      <c r="AV555" s="10"/>
      <c r="AW555" s="10"/>
      <c r="AX555" s="10"/>
      <c r="AY555" s="10"/>
      <c r="AZ555" s="10"/>
      <c r="BA555" s="10"/>
      <c r="BB555" s="10"/>
      <c r="BC555" s="10"/>
      <c r="BD555" s="10"/>
      <c r="BE555" s="10"/>
      <c r="BF555" s="10"/>
      <c r="BG555" s="10"/>
      <c r="BH555" s="10"/>
      <c r="BI555" s="10"/>
      <c r="BJ555" s="10"/>
      <c r="BK555" s="10"/>
      <c r="BM555" s="10"/>
    </row>
    <row r="556" spans="1:65" ht="12.75">
      <c r="A556" s="18">
        <v>43255</v>
      </c>
      <c r="B556" s="14" t="s">
        <v>1259</v>
      </c>
      <c r="C556" s="19" t="s">
        <v>49</v>
      </c>
      <c r="D556" s="19"/>
      <c r="E556" s="14" t="s">
        <v>45</v>
      </c>
      <c r="F556" s="14" t="s">
        <v>1260</v>
      </c>
      <c r="G556" s="27" t="s">
        <v>1261</v>
      </c>
      <c r="H556" s="14" t="str">
        <f t="array" ref="H556">IFERROR(INDEX([1]Companies!$G:$G,MATCH(B556,[1]Companies!$A:$A,0)),"")</f>
        <v>Kenya</v>
      </c>
      <c r="I556" s="14" t="str">
        <f t="shared" si="694"/>
        <v>Kenya</v>
      </c>
      <c r="J556" s="14" t="str">
        <f t="array" ref="J556">IFERROR(INDEX([1]Companies!$Y:$Y,MATCH(B556,[1]Companies!$A:$A,0)),"")</f>
        <v>Credit, Financial Services, FinTech, Micro Lending, Supply Chain Management</v>
      </c>
      <c r="K556" s="14" t="str">
        <f t="array" ref="K556">IFERROR(INDEX([1]Companies!$X:$X,MATCH(B556,[1]Companies!$A:$A,0)),"")</f>
        <v>Financial Services</v>
      </c>
      <c r="L556" s="14" t="str">
        <f>VLOOKUP(B556,[1]Companies!$A$1:$C$5243,1,FALSE)</f>
        <v>Tanda</v>
      </c>
      <c r="M556" s="15">
        <f t="shared" si="695"/>
        <v>0.9</v>
      </c>
      <c r="N556" s="10" t="str">
        <f t="shared" si="696"/>
        <v>43255TandaUndisclosed</v>
      </c>
      <c r="O556" s="14" t="str">
        <f t="shared" si="697"/>
        <v/>
      </c>
      <c r="P556" s="14">
        <f t="shared" si="698"/>
        <v>0</v>
      </c>
      <c r="Q556" s="14">
        <f t="array" ref="Q556">IFERROR(INDEX([1]Companies!$D:$D,MATCH(B556,[1]Companies!$A:$A,0)),"")</f>
        <v>2017</v>
      </c>
      <c r="R556" s="17">
        <f t="shared" si="699"/>
        <v>0</v>
      </c>
      <c r="S556" s="14">
        <f>VLOOKUP(I556,[1]Lookups!$V$3:$Y$197,4,FALSE)</f>
        <v>0</v>
      </c>
      <c r="T556" s="14" t="str">
        <f>VLOOKUP(E556,[1]Lookups!$H$3:$I$71,2,FALSE)</f>
        <v>2. Seed</v>
      </c>
      <c r="U556" s="14" t="str">
        <f>VLOOKUP(K556,[1]Lookups!$B$3:$C$142,2,FALSE)</f>
        <v>Financial Services</v>
      </c>
      <c r="V556" s="14">
        <f t="shared" si="735"/>
        <v>2018</v>
      </c>
      <c r="W556" s="14">
        <f t="shared" si="736"/>
        <v>6</v>
      </c>
      <c r="X556" s="14">
        <f>VLOOKUP(W556,[1]Lookups!$P$3:$S$15,2,FALSE)</f>
        <v>2</v>
      </c>
      <c r="Y556" s="16">
        <f>VLOOKUP(W556,[1]Lookups!$P$3:$U$15,3,FALSE)</f>
        <v>1</v>
      </c>
      <c r="Z556" s="16">
        <f t="shared" si="737"/>
        <v>1</v>
      </c>
      <c r="AA556" s="16" t="str">
        <f t="shared" ca="1" si="768"/>
        <v>Seedstars</v>
      </c>
      <c r="AB556" s="16">
        <f t="shared" si="768"/>
        <v>0</v>
      </c>
      <c r="AC556" s="16">
        <f t="shared" si="768"/>
        <v>0</v>
      </c>
      <c r="AD556" s="16">
        <f t="shared" si="768"/>
        <v>0</v>
      </c>
      <c r="AE556" s="16">
        <f t="shared" si="768"/>
        <v>0</v>
      </c>
      <c r="AF556" s="16">
        <f t="shared" si="768"/>
        <v>0</v>
      </c>
      <c r="AG556" s="16">
        <f t="shared" si="768"/>
        <v>0</v>
      </c>
      <c r="AH556" s="16">
        <f t="shared" si="768"/>
        <v>0</v>
      </c>
      <c r="AI556" s="16">
        <f t="shared" si="768"/>
        <v>0</v>
      </c>
      <c r="AJ556" s="16">
        <f t="shared" si="768"/>
        <v>0</v>
      </c>
      <c r="AK556" s="16">
        <f t="shared" si="768"/>
        <v>0</v>
      </c>
      <c r="AL556" s="16">
        <f t="shared" si="768"/>
        <v>0</v>
      </c>
      <c r="AM556" s="16">
        <f t="shared" si="768"/>
        <v>0</v>
      </c>
      <c r="AN556" s="16">
        <f t="shared" si="768"/>
        <v>0</v>
      </c>
      <c r="AO556" s="16">
        <f t="shared" si="768"/>
        <v>0</v>
      </c>
      <c r="AP556" s="10"/>
      <c r="AQ556" s="10"/>
      <c r="AR556" s="10"/>
      <c r="AS556" s="10" t="str">
        <f t="shared" ref="AS556" ca="1" si="784">IFERROR(__xludf.DUMMYFUNCTION("split(F479,"","",true,true)"),"Seedstars")</f>
        <v>Seedstars</v>
      </c>
      <c r="AT556" s="10"/>
      <c r="AU556" s="10"/>
      <c r="AV556" s="10"/>
      <c r="AW556" s="10"/>
      <c r="AX556" s="10"/>
      <c r="AY556" s="10"/>
      <c r="AZ556" s="10"/>
      <c r="BA556" s="10"/>
      <c r="BB556" s="10"/>
      <c r="BC556" s="10"/>
      <c r="BD556" s="10"/>
      <c r="BE556" s="10"/>
      <c r="BF556" s="10"/>
      <c r="BG556" s="10"/>
      <c r="BH556" s="10"/>
      <c r="BI556" s="10"/>
      <c r="BJ556" s="10"/>
      <c r="BK556" s="10"/>
      <c r="BM556" s="10"/>
    </row>
    <row r="557" spans="1:65" ht="12.75">
      <c r="A557" s="30">
        <v>43255</v>
      </c>
      <c r="B557" s="34" t="s">
        <v>1262</v>
      </c>
      <c r="C557" s="11">
        <v>23000000</v>
      </c>
      <c r="D557" s="10"/>
      <c r="E557" s="10" t="s">
        <v>958</v>
      </c>
      <c r="F557" s="10" t="s">
        <v>959</v>
      </c>
      <c r="G557" s="32" t="s">
        <v>1263</v>
      </c>
      <c r="H557" s="14" t="str">
        <f t="array" ref="H557">IFERROR(INDEX([1]Companies!$G:$G,MATCH(B557,[1]Companies!$A:$A,0)),"")</f>
        <v>Zimbabwe</v>
      </c>
      <c r="I557" s="14" t="str">
        <f t="shared" si="694"/>
        <v>Zimbabwe</v>
      </c>
      <c r="J557" s="14" t="str">
        <f t="array" ref="J557">IFERROR(INDEX([1]Companies!$Y:$Y,MATCH(B557,[1]Companies!$A:$A,0)),"")</f>
        <v>Cryptocurrency, Blockchain, Exchange</v>
      </c>
      <c r="K557" s="14" t="str">
        <f t="array" ref="K557">IFERROR(INDEX([1]Companies!$X:$X,MATCH(B557,[1]Companies!$A:$A,0)),"")</f>
        <v>Financial Services</v>
      </c>
      <c r="L557" s="14" t="str">
        <f>VLOOKUP(B557,[1]Companies!$A$1:$C$5243,1,FALSE)</f>
        <v>Golix</v>
      </c>
      <c r="M557" s="15">
        <f t="shared" si="695"/>
        <v>0.9</v>
      </c>
      <c r="N557" s="10" t="str">
        <f t="shared" si="696"/>
        <v>43255Golix23000000</v>
      </c>
      <c r="O557" s="14" t="str">
        <f t="shared" si="697"/>
        <v/>
      </c>
      <c r="P557" s="14">
        <f t="shared" si="698"/>
        <v>1</v>
      </c>
      <c r="Q557" s="14">
        <f t="array" ref="Q557">IFERROR(INDEX([1]Companies!$D:$D,MATCH(B557,[1]Companies!$A:$A,0)),"")</f>
        <v>2014</v>
      </c>
      <c r="R557" s="17">
        <f t="shared" si="699"/>
        <v>23000000</v>
      </c>
      <c r="S557" s="14">
        <f>VLOOKUP(I557,[1]Lookups!$V$3:$Y$197,4,FALSE)</f>
        <v>0</v>
      </c>
      <c r="T557" s="14" t="e">
        <f>VLOOKUP(E557,[1]Lookups!$H$3:$I$71,2,FALSE)</f>
        <v>#N/A</v>
      </c>
      <c r="U557" s="14" t="str">
        <f>VLOOKUP(K557,[1]Lookups!$B$3:$C$142,2,FALSE)</f>
        <v>Financial Services</v>
      </c>
      <c r="V557" s="14">
        <f t="shared" si="735"/>
        <v>2018</v>
      </c>
      <c r="W557" s="14">
        <f t="shared" si="736"/>
        <v>6</v>
      </c>
      <c r="X557" s="14">
        <f>VLOOKUP(W557,[1]Lookups!$P$3:$S$15,2,FALSE)</f>
        <v>2</v>
      </c>
      <c r="Y557" s="16">
        <f>VLOOKUP(W557,[1]Lookups!$P$3:$U$15,3,FALSE)</f>
        <v>1</v>
      </c>
      <c r="Z557" s="16">
        <f t="shared" si="737"/>
        <v>1</v>
      </c>
      <c r="AA557" s="16" t="str">
        <f t="shared" ref="AA557:AO572" ca="1" si="785">AS557</f>
        <v>Seedstars</v>
      </c>
      <c r="AB557" s="16">
        <f t="shared" si="785"/>
        <v>0</v>
      </c>
      <c r="AC557" s="16">
        <f t="shared" si="785"/>
        <v>0</v>
      </c>
      <c r="AD557" s="16">
        <f t="shared" si="785"/>
        <v>0</v>
      </c>
      <c r="AE557" s="16">
        <f t="shared" si="785"/>
        <v>0</v>
      </c>
      <c r="AF557" s="16">
        <f t="shared" si="785"/>
        <v>0</v>
      </c>
      <c r="AG557" s="16">
        <f t="shared" si="785"/>
        <v>0</v>
      </c>
      <c r="AH557" s="16">
        <f t="shared" si="785"/>
        <v>0</v>
      </c>
      <c r="AI557" s="16">
        <f t="shared" si="785"/>
        <v>0</v>
      </c>
      <c r="AJ557" s="16">
        <f t="shared" si="785"/>
        <v>0</v>
      </c>
      <c r="AK557" s="16">
        <f t="shared" si="785"/>
        <v>0</v>
      </c>
      <c r="AL557" s="16">
        <f t="shared" si="785"/>
        <v>0</v>
      </c>
      <c r="AM557" s="16">
        <f t="shared" si="785"/>
        <v>0</v>
      </c>
      <c r="AN557" s="16">
        <f t="shared" si="785"/>
        <v>0</v>
      </c>
      <c r="AO557" s="16">
        <f t="shared" si="785"/>
        <v>0</v>
      </c>
      <c r="AP557" s="10"/>
      <c r="AQ557" s="10"/>
      <c r="AR557" s="10"/>
      <c r="AS557" s="10" t="str">
        <f t="shared" ref="AS557" ca="1" si="786">IFERROR(__xludf.DUMMYFUNCTION("split(F479,"","",true,true)"),"Seedstars")</f>
        <v>Seedstars</v>
      </c>
      <c r="AT557" s="10"/>
      <c r="AU557" s="10"/>
      <c r="AV557" s="10"/>
      <c r="AW557" s="10"/>
      <c r="AX557" s="10"/>
      <c r="AY557" s="10"/>
      <c r="AZ557" s="10"/>
      <c r="BA557" s="10"/>
      <c r="BB557" s="10"/>
      <c r="BC557" s="10"/>
      <c r="BD557" s="10"/>
      <c r="BE557" s="10"/>
      <c r="BF557" s="10"/>
      <c r="BG557" s="10"/>
      <c r="BH557" s="10"/>
      <c r="BI557" s="10"/>
      <c r="BJ557" s="10"/>
      <c r="BK557" s="10"/>
      <c r="BM557" s="10"/>
    </row>
    <row r="558" spans="1:65" ht="12.75">
      <c r="A558" s="18">
        <v>43256</v>
      </c>
      <c r="B558" s="14" t="s">
        <v>1264</v>
      </c>
      <c r="C558" s="19">
        <v>50000</v>
      </c>
      <c r="D558" s="19"/>
      <c r="E558" s="14" t="s">
        <v>45</v>
      </c>
      <c r="F558" s="14" t="s">
        <v>1265</v>
      </c>
      <c r="G558" s="27" t="s">
        <v>1266</v>
      </c>
      <c r="H558" s="14" t="str">
        <f t="array" ref="H558">IFERROR(INDEX([1]Companies!$G:$G,MATCH(B558,[1]Companies!$A:$A,0)),"")</f>
        <v>Kenya</v>
      </c>
      <c r="I558" s="14" t="str">
        <f t="shared" si="694"/>
        <v>Kenya</v>
      </c>
      <c r="J558" s="14" t="str">
        <f t="array" ref="J558">IFERROR(INDEX([1]Companies!$Y:$Y,MATCH(B558,[1]Companies!$A:$A,0)),"")</f>
        <v>CRM, Customer Support, Customer Experience, SaaS</v>
      </c>
      <c r="K558" s="14" t="str">
        <f t="array" ref="K558">IFERROR(INDEX([1]Companies!$X:$X,MATCH(B558,[1]Companies!$A:$A,0)),"")</f>
        <v>SaaS</v>
      </c>
      <c r="L558" s="14" t="str">
        <f>VLOOKUP(B558,[1]Companies!$A$1:$C$5243,1,FALSE)</f>
        <v>Talklift</v>
      </c>
      <c r="M558" s="15">
        <f t="shared" si="695"/>
        <v>0.9</v>
      </c>
      <c r="N558" s="10" t="str">
        <f t="shared" si="696"/>
        <v>43256TalkLift50000</v>
      </c>
      <c r="O558" s="14" t="str">
        <f t="shared" si="697"/>
        <v/>
      </c>
      <c r="P558" s="14">
        <f t="shared" si="698"/>
        <v>1</v>
      </c>
      <c r="Q558" s="14">
        <f t="array" ref="Q558">IFERROR(INDEX([1]Companies!$D:$D,MATCH(B558,[1]Companies!$A:$A,0)),"")</f>
        <v>2017</v>
      </c>
      <c r="R558" s="17">
        <f t="shared" si="699"/>
        <v>100000</v>
      </c>
      <c r="S558" s="14">
        <f>VLOOKUP(I558,[1]Lookups!$V$3:$Y$197,4,FALSE)</f>
        <v>0</v>
      </c>
      <c r="T558" s="14" t="str">
        <f>VLOOKUP(E558,[1]Lookups!$H$3:$I$71,2,FALSE)</f>
        <v>2. Seed</v>
      </c>
      <c r="U558" s="14" t="str">
        <f>VLOOKUP(K558,[1]Lookups!$B$3:$C$142,2,FALSE)</f>
        <v>Other Technologies &amp; Information Technology</v>
      </c>
      <c r="V558" s="14">
        <f t="shared" si="735"/>
        <v>2018</v>
      </c>
      <c r="W558" s="14">
        <f t="shared" si="736"/>
        <v>6</v>
      </c>
      <c r="X558" s="14">
        <f>VLOOKUP(W558,[1]Lookups!$P$3:$S$15,2,FALSE)</f>
        <v>2</v>
      </c>
      <c r="Y558" s="16">
        <f>VLOOKUP(W558,[1]Lookups!$P$3:$U$15,3,FALSE)</f>
        <v>1</v>
      </c>
      <c r="Z558" s="16">
        <f t="shared" si="737"/>
        <v>1</v>
      </c>
      <c r="AA558" s="16" t="str">
        <f t="shared" ca="1" si="785"/>
        <v>Seedstars</v>
      </c>
      <c r="AB558" s="16">
        <f t="shared" si="785"/>
        <v>0</v>
      </c>
      <c r="AC558" s="16">
        <f t="shared" si="785"/>
        <v>0</v>
      </c>
      <c r="AD558" s="16">
        <f t="shared" si="785"/>
        <v>0</v>
      </c>
      <c r="AE558" s="16">
        <f t="shared" si="785"/>
        <v>0</v>
      </c>
      <c r="AF558" s="16">
        <f t="shared" si="785"/>
        <v>0</v>
      </c>
      <c r="AG558" s="16">
        <f t="shared" si="785"/>
        <v>0</v>
      </c>
      <c r="AH558" s="16">
        <f t="shared" si="785"/>
        <v>0</v>
      </c>
      <c r="AI558" s="16">
        <f t="shared" si="785"/>
        <v>0</v>
      </c>
      <c r="AJ558" s="16">
        <f t="shared" si="785"/>
        <v>0</v>
      </c>
      <c r="AK558" s="16">
        <f t="shared" si="785"/>
        <v>0</v>
      </c>
      <c r="AL558" s="16">
        <f t="shared" si="785"/>
        <v>0</v>
      </c>
      <c r="AM558" s="16">
        <f t="shared" si="785"/>
        <v>0</v>
      </c>
      <c r="AN558" s="16">
        <f t="shared" si="785"/>
        <v>0</v>
      </c>
      <c r="AO558" s="16">
        <f t="shared" si="785"/>
        <v>0</v>
      </c>
      <c r="AP558" s="10"/>
      <c r="AQ558" s="10"/>
      <c r="AR558" s="10"/>
      <c r="AS558" s="10" t="str">
        <f t="shared" ref="AS558" ca="1" si="787">IFERROR(__xludf.DUMMYFUNCTION("split(F479,"","",true,true)"),"Seedstars")</f>
        <v>Seedstars</v>
      </c>
      <c r="AT558" s="10"/>
      <c r="AU558" s="10"/>
      <c r="AV558" s="10"/>
      <c r="AW558" s="10"/>
      <c r="AX558" s="10"/>
      <c r="AY558" s="10"/>
      <c r="AZ558" s="10"/>
      <c r="BA558" s="10"/>
      <c r="BB558" s="10"/>
      <c r="BC558" s="10"/>
      <c r="BD558" s="10"/>
      <c r="BE558" s="10"/>
      <c r="BF558" s="10"/>
      <c r="BG558" s="10"/>
      <c r="BH558" s="10"/>
      <c r="BI558" s="10"/>
      <c r="BJ558" s="10"/>
      <c r="BK558" s="10"/>
      <c r="BM558" s="10"/>
    </row>
    <row r="559" spans="1:65" ht="12.75">
      <c r="A559" s="18">
        <v>43256</v>
      </c>
      <c r="B559" s="14" t="s">
        <v>1267</v>
      </c>
      <c r="C559" s="19">
        <v>50000</v>
      </c>
      <c r="D559" s="35"/>
      <c r="E559" s="14" t="s">
        <v>45</v>
      </c>
      <c r="F559" s="14" t="s">
        <v>1265</v>
      </c>
      <c r="G559" s="27" t="s">
        <v>1266</v>
      </c>
      <c r="H559" s="14" t="str">
        <f t="array" ref="H559">IFERROR(INDEX([1]Companies!$G:$G,MATCH(B559,[1]Companies!$A:$A,0)),"")</f>
        <v>Kenya</v>
      </c>
      <c r="I559" s="14" t="str">
        <f t="shared" si="694"/>
        <v>Kenya</v>
      </c>
      <c r="J559" s="14" t="str">
        <f t="array" ref="J559">IFERROR(INDEX([1]Companies!$Y:$Y,MATCH(B559,[1]Companies!$A:$A,0)),"")</f>
        <v>Architecture, Brand Marketing, Digital Marketing, Digital Media, Education, Graphic Design, Personal Branding, Recruiting, Social Media Marketing, Video Advertising</v>
      </c>
      <c r="K559" s="14" t="str">
        <f t="array" ref="K559">IFERROR(INDEX([1]Companies!$X:$X,MATCH(B559,[1]Companies!$A:$A,0)),"")</f>
        <v>Media &amp; Entertainment</v>
      </c>
      <c r="L559" s="14" t="str">
        <f>VLOOKUP(B559,[1]Companies!$A$1:$C$5243,1,FALSE)</f>
        <v>Onesha</v>
      </c>
      <c r="M559" s="15">
        <f t="shared" si="695"/>
        <v>0.9</v>
      </c>
      <c r="N559" s="10" t="str">
        <f t="shared" si="696"/>
        <v>43256Onesha50000</v>
      </c>
      <c r="O559" s="14" t="str">
        <f t="shared" si="697"/>
        <v>Duplicated</v>
      </c>
      <c r="P559" s="14">
        <f t="shared" si="698"/>
        <v>1</v>
      </c>
      <c r="Q559" s="14">
        <f t="array" ref="Q559">IFERROR(INDEX([1]Companies!$D:$D,MATCH(B559,[1]Companies!$A:$A,0)),"")</f>
        <v>2016</v>
      </c>
      <c r="R559" s="17">
        <f t="shared" si="699"/>
        <v>100000</v>
      </c>
      <c r="S559" s="14">
        <f>VLOOKUP(I559,[1]Lookups!$V$3:$Y$197,4,FALSE)</f>
        <v>0</v>
      </c>
      <c r="T559" s="14" t="str">
        <f>VLOOKUP(E559,[1]Lookups!$H$3:$I$71,2,FALSE)</f>
        <v>2. Seed</v>
      </c>
      <c r="U559" s="14" t="str">
        <f>VLOOKUP(K559,[1]Lookups!$B$3:$C$142,2,FALSE)</f>
        <v>Media &amp; Entertainment</v>
      </c>
      <c r="V559" s="14">
        <f t="shared" si="735"/>
        <v>2018</v>
      </c>
      <c r="W559" s="14">
        <f t="shared" si="736"/>
        <v>6</v>
      </c>
      <c r="X559" s="14">
        <f>VLOOKUP(W559,[1]Lookups!$P$3:$S$15,2,FALSE)</f>
        <v>2</v>
      </c>
      <c r="Y559" s="16">
        <f>VLOOKUP(W559,[1]Lookups!$P$3:$U$15,3,FALSE)</f>
        <v>1</v>
      </c>
      <c r="Z559" s="16">
        <f t="shared" si="737"/>
        <v>1</v>
      </c>
      <c r="AA559" s="16" t="str">
        <f t="shared" ca="1" si="785"/>
        <v>Seedstars</v>
      </c>
      <c r="AB559" s="16">
        <f t="shared" si="785"/>
        <v>0</v>
      </c>
      <c r="AC559" s="16">
        <f t="shared" si="785"/>
        <v>0</v>
      </c>
      <c r="AD559" s="16">
        <f t="shared" si="785"/>
        <v>0</v>
      </c>
      <c r="AE559" s="16">
        <f t="shared" si="785"/>
        <v>0</v>
      </c>
      <c r="AF559" s="16">
        <f t="shared" si="785"/>
        <v>0</v>
      </c>
      <c r="AG559" s="16">
        <f t="shared" si="785"/>
        <v>0</v>
      </c>
      <c r="AH559" s="16">
        <f t="shared" si="785"/>
        <v>0</v>
      </c>
      <c r="AI559" s="16">
        <f t="shared" si="785"/>
        <v>0</v>
      </c>
      <c r="AJ559" s="16">
        <f t="shared" si="785"/>
        <v>0</v>
      </c>
      <c r="AK559" s="16">
        <f t="shared" si="785"/>
        <v>0</v>
      </c>
      <c r="AL559" s="16">
        <f t="shared" si="785"/>
        <v>0</v>
      </c>
      <c r="AM559" s="16">
        <f t="shared" si="785"/>
        <v>0</v>
      </c>
      <c r="AN559" s="16">
        <f t="shared" si="785"/>
        <v>0</v>
      </c>
      <c r="AO559" s="16">
        <f t="shared" si="785"/>
        <v>0</v>
      </c>
      <c r="AP559" s="10"/>
      <c r="AQ559" s="10"/>
      <c r="AR559" s="10"/>
      <c r="AS559" s="10" t="str">
        <f t="shared" ref="AS559" ca="1" si="788">IFERROR(__xludf.DUMMYFUNCTION("split(F479,"","",true,true)"),"Seedstars")</f>
        <v>Seedstars</v>
      </c>
      <c r="AT559" s="10"/>
      <c r="AU559" s="10"/>
      <c r="AV559" s="10"/>
      <c r="AW559" s="10"/>
      <c r="AX559" s="10"/>
      <c r="AY559" s="10"/>
      <c r="AZ559" s="10"/>
      <c r="BA559" s="10"/>
      <c r="BB559" s="10"/>
      <c r="BC559" s="10"/>
      <c r="BD559" s="10"/>
      <c r="BE559" s="10"/>
      <c r="BF559" s="10"/>
      <c r="BG559" s="10"/>
      <c r="BH559" s="10"/>
      <c r="BI559" s="10"/>
      <c r="BJ559" s="10"/>
      <c r="BK559" s="10"/>
      <c r="BM559" s="10"/>
    </row>
    <row r="560" spans="1:65" ht="12.75">
      <c r="A560" s="9">
        <v>43256</v>
      </c>
      <c r="B560" s="10" t="s">
        <v>1267</v>
      </c>
      <c r="C560" s="11">
        <v>50000</v>
      </c>
      <c r="D560" s="12"/>
      <c r="E560" s="10" t="s">
        <v>45</v>
      </c>
      <c r="F560" s="10" t="s">
        <v>1265</v>
      </c>
      <c r="G560" s="13" t="s">
        <v>1266</v>
      </c>
      <c r="H560" s="14" t="str">
        <f t="array" ref="H560">IFERROR(INDEX([1]Companies!$G:$G,MATCH(B560,[1]Companies!$A:$A,0)),"")</f>
        <v>Kenya</v>
      </c>
      <c r="I560" s="14" t="str">
        <f t="shared" si="694"/>
        <v>Kenya</v>
      </c>
      <c r="J560" s="14" t="str">
        <f t="array" ref="J560">IFERROR(INDEX([1]Companies!$Y:$Y,MATCH(B560,[1]Companies!$A:$A,0)),"")</f>
        <v>Architecture, Brand Marketing, Digital Marketing, Digital Media, Education, Graphic Design, Personal Branding, Recruiting, Social Media Marketing, Video Advertising</v>
      </c>
      <c r="K560" s="14" t="str">
        <f t="array" ref="K560">IFERROR(INDEX([1]Companies!$X:$X,MATCH(B560,[1]Companies!$A:$A,0)),"")</f>
        <v>Media &amp; Entertainment</v>
      </c>
      <c r="L560" s="14" t="str">
        <f>VLOOKUP(B560,[1]Companies!$A$1:$C$5243,1,FALSE)</f>
        <v>Onesha</v>
      </c>
      <c r="M560" s="15">
        <f t="shared" si="695"/>
        <v>0.9</v>
      </c>
      <c r="N560" s="10" t="str">
        <f t="shared" si="696"/>
        <v>43256Onesha50000</v>
      </c>
      <c r="O560" s="14" t="str">
        <f t="shared" si="697"/>
        <v>Duplicated</v>
      </c>
      <c r="P560" s="14">
        <f t="shared" si="698"/>
        <v>1</v>
      </c>
      <c r="Q560" s="14">
        <f t="array" ref="Q560">IFERROR(INDEX([1]Companies!$D:$D,MATCH(B560,[1]Companies!$A:$A,0)),"")</f>
        <v>2016</v>
      </c>
      <c r="R560" s="17">
        <f t="shared" si="699"/>
        <v>100000</v>
      </c>
      <c r="S560" s="14">
        <f>VLOOKUP(I560,[1]Lookups!$V$3:$Y$197,4,FALSE)</f>
        <v>0</v>
      </c>
      <c r="T560" s="14" t="str">
        <f>VLOOKUP(E560,[1]Lookups!$H$3:$I$71,2,FALSE)</f>
        <v>2. Seed</v>
      </c>
      <c r="U560" s="14" t="str">
        <f>VLOOKUP(K560,[1]Lookups!$B$3:$C$142,2,FALSE)</f>
        <v>Media &amp; Entertainment</v>
      </c>
      <c r="V560" s="14">
        <f t="shared" si="735"/>
        <v>2018</v>
      </c>
      <c r="W560" s="14">
        <f t="shared" si="736"/>
        <v>6</v>
      </c>
      <c r="X560" s="14">
        <f>VLOOKUP(W560,[1]Lookups!$P$3:$S$15,2,FALSE)</f>
        <v>2</v>
      </c>
      <c r="Y560" s="16">
        <f>VLOOKUP(W560,[1]Lookups!$P$3:$U$15,3,FALSE)</f>
        <v>1</v>
      </c>
      <c r="Z560" s="16">
        <f t="shared" si="737"/>
        <v>1</v>
      </c>
      <c r="AA560" s="16" t="str">
        <f t="shared" ca="1" si="785"/>
        <v>Seedstars</v>
      </c>
      <c r="AB560" s="16">
        <f t="shared" si="785"/>
        <v>0</v>
      </c>
      <c r="AC560" s="16">
        <f t="shared" si="785"/>
        <v>0</v>
      </c>
      <c r="AD560" s="16">
        <f t="shared" si="785"/>
        <v>0</v>
      </c>
      <c r="AE560" s="16">
        <f t="shared" si="785"/>
        <v>0</v>
      </c>
      <c r="AF560" s="16">
        <f t="shared" si="785"/>
        <v>0</v>
      </c>
      <c r="AG560" s="16">
        <f t="shared" si="785"/>
        <v>0</v>
      </c>
      <c r="AH560" s="16">
        <f t="shared" si="785"/>
        <v>0</v>
      </c>
      <c r="AI560" s="16">
        <f t="shared" si="785"/>
        <v>0</v>
      </c>
      <c r="AJ560" s="16">
        <f t="shared" si="785"/>
        <v>0</v>
      </c>
      <c r="AK560" s="16">
        <f t="shared" si="785"/>
        <v>0</v>
      </c>
      <c r="AL560" s="16">
        <f t="shared" si="785"/>
        <v>0</v>
      </c>
      <c r="AM560" s="16">
        <f t="shared" si="785"/>
        <v>0</v>
      </c>
      <c r="AN560" s="16">
        <f t="shared" si="785"/>
        <v>0</v>
      </c>
      <c r="AO560" s="16">
        <f t="shared" si="785"/>
        <v>0</v>
      </c>
      <c r="AP560" s="10"/>
      <c r="AQ560" s="10"/>
      <c r="AR560" s="10"/>
      <c r="AS560" s="10" t="str">
        <f t="shared" ref="AS560" ca="1" si="789">IFERROR(__xludf.DUMMYFUNCTION("split(F479,"","",true,true)"),"Seedstars")</f>
        <v>Seedstars</v>
      </c>
      <c r="AT560" s="10"/>
      <c r="AU560" s="10"/>
      <c r="AV560" s="10"/>
      <c r="AW560" s="10"/>
      <c r="AX560" s="10"/>
      <c r="AY560" s="10"/>
      <c r="AZ560" s="10"/>
      <c r="BA560" s="10"/>
      <c r="BB560" s="10"/>
      <c r="BC560" s="10"/>
      <c r="BD560" s="10"/>
      <c r="BE560" s="10"/>
      <c r="BF560" s="10"/>
      <c r="BG560" s="10"/>
      <c r="BH560" s="10"/>
      <c r="BI560" s="10"/>
      <c r="BJ560" s="10"/>
      <c r="BK560" s="10"/>
      <c r="BM560" s="10"/>
    </row>
    <row r="561" spans="1:65" ht="12.75">
      <c r="A561" s="18">
        <v>43256</v>
      </c>
      <c r="B561" s="14" t="s">
        <v>1268</v>
      </c>
      <c r="C561" s="19">
        <v>50000</v>
      </c>
      <c r="D561" s="35"/>
      <c r="E561" s="14" t="s">
        <v>45</v>
      </c>
      <c r="F561" s="14" t="s">
        <v>1265</v>
      </c>
      <c r="G561" s="27" t="s">
        <v>1266</v>
      </c>
      <c r="H561" s="14" t="str">
        <f t="array" ref="H561">IFERROR(INDEX([1]Companies!$G:$G,MATCH(B561,[1]Companies!$A:$A,0)),"")</f>
        <v>Kenya</v>
      </c>
      <c r="I561" s="14" t="str">
        <f t="shared" si="694"/>
        <v>Kenya</v>
      </c>
      <c r="J561" s="14" t="str">
        <f t="array" ref="J561">IFERROR(INDEX([1]Companies!$Y:$Y,MATCH(B561,[1]Companies!$A:$A,0)),"")</f>
        <v>FinTech, Human Resources, Payments, SaaS, Software</v>
      </c>
      <c r="K561" s="14" t="str">
        <f t="array" ref="K561">IFERROR(INDEX([1]Companies!$X:$X,MATCH(B561,[1]Companies!$A:$A,0)),"")</f>
        <v>Commercial &amp; Professional Services</v>
      </c>
      <c r="L561" s="14" t="str">
        <f>VLOOKUP(B561,[1]Companies!$A$1:$C$5243,1,FALSE)</f>
        <v>Tozzaplus</v>
      </c>
      <c r="M561" s="15">
        <f t="shared" si="695"/>
        <v>0.9</v>
      </c>
      <c r="N561" s="10" t="str">
        <f t="shared" si="696"/>
        <v>43256TozzaPlus50000</v>
      </c>
      <c r="O561" s="14" t="str">
        <f t="shared" si="697"/>
        <v/>
      </c>
      <c r="P561" s="14">
        <f t="shared" si="698"/>
        <v>1</v>
      </c>
      <c r="Q561" s="14">
        <f t="array" ref="Q561">IFERROR(INDEX([1]Companies!$D:$D,MATCH(B561,[1]Companies!$A:$A,0)),"")</f>
        <v>2017</v>
      </c>
      <c r="R561" s="17">
        <f t="shared" si="699"/>
        <v>50000</v>
      </c>
      <c r="S561" s="14">
        <f>VLOOKUP(I561,[1]Lookups!$V$3:$Y$197,4,FALSE)</f>
        <v>0</v>
      </c>
      <c r="T561" s="14" t="str">
        <f>VLOOKUP(E561,[1]Lookups!$H$3:$I$71,2,FALSE)</f>
        <v>2. Seed</v>
      </c>
      <c r="U561" s="14" t="str">
        <f>VLOOKUP(K561,[1]Lookups!$B$3:$C$142,2,FALSE)</f>
        <v>Other Technologies &amp; Information Technology</v>
      </c>
      <c r="V561" s="14">
        <f t="shared" si="735"/>
        <v>2018</v>
      </c>
      <c r="W561" s="14">
        <f t="shared" si="736"/>
        <v>6</v>
      </c>
      <c r="X561" s="14">
        <f>VLOOKUP(W561,[1]Lookups!$P$3:$S$15,2,FALSE)</f>
        <v>2</v>
      </c>
      <c r="Y561" s="16">
        <f>VLOOKUP(W561,[1]Lookups!$P$3:$U$15,3,FALSE)</f>
        <v>1</v>
      </c>
      <c r="Z561" s="16">
        <f t="shared" si="737"/>
        <v>1</v>
      </c>
      <c r="AA561" s="16" t="str">
        <f t="shared" ca="1" si="785"/>
        <v>Seedstars</v>
      </c>
      <c r="AB561" s="16">
        <f t="shared" si="785"/>
        <v>0</v>
      </c>
      <c r="AC561" s="16">
        <f t="shared" si="785"/>
        <v>0</v>
      </c>
      <c r="AD561" s="16">
        <f t="shared" si="785"/>
        <v>0</v>
      </c>
      <c r="AE561" s="16">
        <f t="shared" si="785"/>
        <v>0</v>
      </c>
      <c r="AF561" s="16">
        <f t="shared" si="785"/>
        <v>0</v>
      </c>
      <c r="AG561" s="16">
        <f t="shared" si="785"/>
        <v>0</v>
      </c>
      <c r="AH561" s="16">
        <f t="shared" si="785"/>
        <v>0</v>
      </c>
      <c r="AI561" s="16">
        <f t="shared" si="785"/>
        <v>0</v>
      </c>
      <c r="AJ561" s="16">
        <f t="shared" si="785"/>
        <v>0</v>
      </c>
      <c r="AK561" s="16">
        <f t="shared" si="785"/>
        <v>0</v>
      </c>
      <c r="AL561" s="16">
        <f t="shared" si="785"/>
        <v>0</v>
      </c>
      <c r="AM561" s="16">
        <f t="shared" si="785"/>
        <v>0</v>
      </c>
      <c r="AN561" s="16">
        <f t="shared" si="785"/>
        <v>0</v>
      </c>
      <c r="AO561" s="16">
        <f t="shared" si="785"/>
        <v>0</v>
      </c>
      <c r="AP561" s="10"/>
      <c r="AQ561" s="10"/>
      <c r="AR561" s="10"/>
      <c r="AS561" s="10" t="str">
        <f t="shared" ref="AS561" ca="1" si="790">IFERROR(__xludf.DUMMYFUNCTION("split(F479,"","",true,true)"),"Seedstars")</f>
        <v>Seedstars</v>
      </c>
      <c r="AT561" s="10"/>
      <c r="AU561" s="10"/>
      <c r="AV561" s="10"/>
      <c r="AW561" s="10"/>
      <c r="AX561" s="10"/>
      <c r="AY561" s="10"/>
      <c r="AZ561" s="10"/>
      <c r="BA561" s="10"/>
      <c r="BB561" s="10"/>
      <c r="BC561" s="10"/>
      <c r="BD561" s="10"/>
      <c r="BE561" s="10"/>
      <c r="BF561" s="10"/>
      <c r="BG561" s="10"/>
      <c r="BH561" s="10"/>
      <c r="BI561" s="10"/>
      <c r="BJ561" s="10"/>
      <c r="BK561" s="10"/>
      <c r="BM561" s="10"/>
    </row>
    <row r="562" spans="1:65" ht="12.75">
      <c r="A562" s="18">
        <v>43257</v>
      </c>
      <c r="B562" s="14" t="s">
        <v>1269</v>
      </c>
      <c r="C562" s="19">
        <v>120000</v>
      </c>
      <c r="D562" s="19"/>
      <c r="E562" s="14" t="s">
        <v>45</v>
      </c>
      <c r="F562" s="14" t="s">
        <v>879</v>
      </c>
      <c r="G562" s="27" t="s">
        <v>1270</v>
      </c>
      <c r="H562" s="14" t="str">
        <f t="array" ref="H562">IFERROR(INDEX([1]Companies!$G:$G,MATCH(B562,[1]Companies!$A:$A,0)),"")</f>
        <v>Nigeria</v>
      </c>
      <c r="I562" s="14" t="str">
        <f t="shared" si="694"/>
        <v>Nigeria</v>
      </c>
      <c r="J562" s="14" t="str">
        <f t="array" ref="J562">IFERROR(INDEX([1]Companies!$Y:$Y,MATCH(B562,[1]Companies!$A:$A,0)),"")</f>
        <v>Medical Equipment, Medical Equipment Maintenance &amp; Repair, Training, Medical Equipment Financing, Economic Development, Shipping and Logistics, Biomedical Training, Medical Diagnostics, and Primary Care</v>
      </c>
      <c r="K562" s="14" t="str">
        <f t="array" ref="K562">IFERROR(INDEX([1]Companies!$X:$X,MATCH(B562,[1]Companies!$A:$A,0)),"")</f>
        <v>Healthcare &amp; Pharma</v>
      </c>
      <c r="L562" s="14" t="str">
        <f>VLOOKUP(B562,[1]Companies!$A$1:$C$5243,1,FALSE)</f>
        <v>Mdaas Global</v>
      </c>
      <c r="M562" s="15">
        <f t="shared" si="695"/>
        <v>0.9</v>
      </c>
      <c r="N562" s="10" t="str">
        <f t="shared" si="696"/>
        <v>43257MDaas Global120000</v>
      </c>
      <c r="O562" s="14" t="str">
        <f t="shared" si="697"/>
        <v/>
      </c>
      <c r="P562" s="14">
        <f t="shared" si="698"/>
        <v>1</v>
      </c>
      <c r="Q562" s="14">
        <f t="array" ref="Q562">IFERROR(INDEX([1]Companies!$D:$D,MATCH(B562,[1]Companies!$A:$A,0)),"")</f>
        <v>2016</v>
      </c>
      <c r="R562" s="17">
        <f t="shared" si="699"/>
        <v>1280000</v>
      </c>
      <c r="S562" s="14">
        <f>VLOOKUP(I562,[1]Lookups!$V$3:$Y$197,4,FALSE)</f>
        <v>0</v>
      </c>
      <c r="T562" s="14" t="str">
        <f>VLOOKUP(E562,[1]Lookups!$H$3:$I$71,2,FALSE)</f>
        <v>2. Seed</v>
      </c>
      <c r="U562" s="14" t="str">
        <f>VLOOKUP(K562,[1]Lookups!$B$3:$C$142,2,FALSE)</f>
        <v>Health &amp; Pharmaceuticals</v>
      </c>
      <c r="V562" s="14">
        <f t="shared" si="735"/>
        <v>2018</v>
      </c>
      <c r="W562" s="14">
        <f t="shared" si="736"/>
        <v>6</v>
      </c>
      <c r="X562" s="14">
        <f>VLOOKUP(W562,[1]Lookups!$P$3:$S$15,2,FALSE)</f>
        <v>2</v>
      </c>
      <c r="Y562" s="16">
        <f>VLOOKUP(W562,[1]Lookups!$P$3:$U$15,3,FALSE)</f>
        <v>1</v>
      </c>
      <c r="Z562" s="16">
        <f t="shared" si="737"/>
        <v>1</v>
      </c>
      <c r="AA562" s="16" t="str">
        <f t="shared" ca="1" si="785"/>
        <v>Seedstars</v>
      </c>
      <c r="AB562" s="16">
        <f t="shared" si="785"/>
        <v>0</v>
      </c>
      <c r="AC562" s="16">
        <f t="shared" si="785"/>
        <v>0</v>
      </c>
      <c r="AD562" s="16">
        <f t="shared" si="785"/>
        <v>0</v>
      </c>
      <c r="AE562" s="16">
        <f t="shared" si="785"/>
        <v>0</v>
      </c>
      <c r="AF562" s="16">
        <f t="shared" si="785"/>
        <v>0</v>
      </c>
      <c r="AG562" s="16">
        <f t="shared" si="785"/>
        <v>0</v>
      </c>
      <c r="AH562" s="16">
        <f t="shared" si="785"/>
        <v>0</v>
      </c>
      <c r="AI562" s="16">
        <f t="shared" si="785"/>
        <v>0</v>
      </c>
      <c r="AJ562" s="16">
        <f t="shared" si="785"/>
        <v>0</v>
      </c>
      <c r="AK562" s="16">
        <f t="shared" si="785"/>
        <v>0</v>
      </c>
      <c r="AL562" s="16">
        <f t="shared" si="785"/>
        <v>0</v>
      </c>
      <c r="AM562" s="16">
        <f t="shared" si="785"/>
        <v>0</v>
      </c>
      <c r="AN562" s="16">
        <f t="shared" si="785"/>
        <v>0</v>
      </c>
      <c r="AO562" s="16">
        <f t="shared" si="785"/>
        <v>0</v>
      </c>
      <c r="AP562" s="10"/>
      <c r="AQ562" s="10"/>
      <c r="AR562" s="10"/>
      <c r="AS562" s="10" t="str">
        <f t="shared" ref="AS562" ca="1" si="791">IFERROR(__xludf.DUMMYFUNCTION("split(F479,"","",true,true)"),"Seedstars")</f>
        <v>Seedstars</v>
      </c>
      <c r="AT562" s="10"/>
      <c r="AU562" s="10"/>
      <c r="AV562" s="10"/>
      <c r="AW562" s="10"/>
      <c r="AX562" s="10"/>
      <c r="AY562" s="10"/>
      <c r="AZ562" s="10"/>
      <c r="BA562" s="10"/>
      <c r="BB562" s="10"/>
      <c r="BC562" s="10"/>
      <c r="BD562" s="10"/>
      <c r="BE562" s="10"/>
      <c r="BF562" s="10"/>
      <c r="BG562" s="10"/>
      <c r="BH562" s="10"/>
      <c r="BI562" s="10"/>
      <c r="BJ562" s="10"/>
      <c r="BK562" s="10"/>
      <c r="BM562" s="10"/>
    </row>
    <row r="563" spans="1:65" ht="12.75">
      <c r="A563" s="18">
        <v>43258</v>
      </c>
      <c r="B563" s="14" t="s">
        <v>1271</v>
      </c>
      <c r="C563" s="19">
        <v>3000000</v>
      </c>
      <c r="D563" s="19"/>
      <c r="E563" s="14" t="s">
        <v>69</v>
      </c>
      <c r="F563" s="14" t="s">
        <v>49</v>
      </c>
      <c r="G563" s="27" t="s">
        <v>1272</v>
      </c>
      <c r="H563" s="14" t="str">
        <f t="array" ref="H563">IFERROR(INDEX([1]Companies!$G:$G,MATCH(B563,[1]Companies!$A:$A,0)),"")</f>
        <v>Kenya</v>
      </c>
      <c r="I563" s="14" t="str">
        <f t="shared" si="694"/>
        <v>Kenya</v>
      </c>
      <c r="J563" s="14" t="str">
        <f t="array" ref="J563">IFERROR(INDEX([1]Companies!$Y:$Y,MATCH(B563,[1]Companies!$A:$A,0)),"")</f>
        <v>Taxi Hailing Platform, Taxi, Taxi App, Taxi Aggregator, App, transport logistic, Wallet, SOS, Rider, Driver, Africa, kenya, and Mobile App</v>
      </c>
      <c r="K563" s="14" t="str">
        <f t="array" ref="K563">IFERROR(INDEX([1]Companies!$X:$X,MATCH(B563,[1]Companies!$A:$A,0)),"")</f>
        <v>Transport &amp; Logistics</v>
      </c>
      <c r="L563" s="14" t="str">
        <f>VLOOKUP(B563,[1]Companies!$A$1:$C$5243,1,FALSE)</f>
        <v>Little Cab</v>
      </c>
      <c r="M563" s="15">
        <f t="shared" si="695"/>
        <v>0.9</v>
      </c>
      <c r="N563" s="10" t="str">
        <f t="shared" si="696"/>
        <v>43258Little Cab3000000</v>
      </c>
      <c r="O563" s="14" t="str">
        <f t="shared" si="697"/>
        <v/>
      </c>
      <c r="P563" s="14">
        <f t="shared" si="698"/>
        <v>1</v>
      </c>
      <c r="Q563" s="14">
        <f t="array" ref="Q563">IFERROR(INDEX([1]Companies!$D:$D,MATCH(B563,[1]Companies!$A:$A,0)),"")</f>
        <v>2016</v>
      </c>
      <c r="R563" s="17">
        <f t="shared" si="699"/>
        <v>3000000</v>
      </c>
      <c r="S563" s="14">
        <f>VLOOKUP(I563,[1]Lookups!$V$3:$Y$197,4,FALSE)</f>
        <v>0</v>
      </c>
      <c r="T563" s="14" t="str">
        <f>VLOOKUP(E563,[1]Lookups!$H$3:$I$71,2,FALSE)</f>
        <v>3. Early Venture</v>
      </c>
      <c r="U563" s="14" t="str">
        <f>VLOOKUP(K563,[1]Lookups!$B$3:$C$142,2,FALSE)</f>
        <v>Transport &amp; Logistics</v>
      </c>
      <c r="V563" s="14">
        <f t="shared" si="735"/>
        <v>2018</v>
      </c>
      <c r="W563" s="14">
        <f t="shared" si="736"/>
        <v>6</v>
      </c>
      <c r="X563" s="14">
        <f>VLOOKUP(W563,[1]Lookups!$P$3:$S$15,2,FALSE)</f>
        <v>2</v>
      </c>
      <c r="Y563" s="16">
        <f>VLOOKUP(W563,[1]Lookups!$P$3:$U$15,3,FALSE)</f>
        <v>1</v>
      </c>
      <c r="Z563" s="16">
        <f t="shared" si="737"/>
        <v>1</v>
      </c>
      <c r="AA563" s="16" t="str">
        <f t="shared" ca="1" si="785"/>
        <v>Seedstars</v>
      </c>
      <c r="AB563" s="16">
        <f t="shared" si="785"/>
        <v>0</v>
      </c>
      <c r="AC563" s="16">
        <f t="shared" si="785"/>
        <v>0</v>
      </c>
      <c r="AD563" s="16">
        <f t="shared" si="785"/>
        <v>0</v>
      </c>
      <c r="AE563" s="16">
        <f t="shared" si="785"/>
        <v>0</v>
      </c>
      <c r="AF563" s="16">
        <f t="shared" si="785"/>
        <v>0</v>
      </c>
      <c r="AG563" s="16">
        <f t="shared" si="785"/>
        <v>0</v>
      </c>
      <c r="AH563" s="16">
        <f t="shared" si="785"/>
        <v>0</v>
      </c>
      <c r="AI563" s="16">
        <f t="shared" si="785"/>
        <v>0</v>
      </c>
      <c r="AJ563" s="16">
        <f t="shared" si="785"/>
        <v>0</v>
      </c>
      <c r="AK563" s="16">
        <f t="shared" si="785"/>
        <v>0</v>
      </c>
      <c r="AL563" s="16">
        <f t="shared" si="785"/>
        <v>0</v>
      </c>
      <c r="AM563" s="16">
        <f t="shared" si="785"/>
        <v>0</v>
      </c>
      <c r="AN563" s="16">
        <f t="shared" si="785"/>
        <v>0</v>
      </c>
      <c r="AO563" s="16">
        <f t="shared" si="785"/>
        <v>0</v>
      </c>
      <c r="AP563" s="10"/>
      <c r="AQ563" s="10"/>
      <c r="AR563" s="10"/>
      <c r="AS563" s="10" t="str">
        <f t="shared" ref="AS563" ca="1" si="792">IFERROR(__xludf.DUMMYFUNCTION("split(F479,"","",true,true)"),"Seedstars")</f>
        <v>Seedstars</v>
      </c>
      <c r="AT563" s="10"/>
      <c r="AU563" s="10"/>
      <c r="AV563" s="10"/>
      <c r="AW563" s="10"/>
      <c r="AX563" s="10"/>
      <c r="AY563" s="10"/>
      <c r="AZ563" s="10"/>
      <c r="BA563" s="10"/>
      <c r="BB563" s="10"/>
      <c r="BC563" s="10"/>
      <c r="BD563" s="10"/>
      <c r="BE563" s="10"/>
      <c r="BF563" s="10"/>
      <c r="BG563" s="10"/>
      <c r="BH563" s="10"/>
      <c r="BI563" s="10"/>
      <c r="BJ563" s="10"/>
      <c r="BK563" s="10"/>
      <c r="BM563" s="10"/>
    </row>
    <row r="564" spans="1:65" ht="12.75">
      <c r="A564" s="18">
        <v>43259</v>
      </c>
      <c r="B564" s="14" t="s">
        <v>1024</v>
      </c>
      <c r="C564" s="19" t="s">
        <v>49</v>
      </c>
      <c r="D564" s="19"/>
      <c r="E564" s="14" t="s">
        <v>45</v>
      </c>
      <c r="F564" s="14" t="s">
        <v>1273</v>
      </c>
      <c r="G564" s="27" t="s">
        <v>1274</v>
      </c>
      <c r="H564" s="14" t="str">
        <f t="array" ref="H564">IFERROR(INDEX([1]Companies!$G:$G,MATCH(B564,[1]Companies!$A:$A,0)),"")</f>
        <v>Zambia</v>
      </c>
      <c r="I564" s="14" t="str">
        <f t="shared" si="694"/>
        <v>Zambia</v>
      </c>
      <c r="J564" s="14" t="str">
        <f t="array" ref="J564">IFERROR(INDEX([1]Companies!$Y:$Y,MATCH(B564,[1]Companies!$A:$A,0)),"")</f>
        <v>Delivery, Delivery Service, Logistics</v>
      </c>
      <c r="K564" s="14" t="str">
        <f t="array" ref="K564">IFERROR(INDEX([1]Companies!$X:$X,MATCH(B564,[1]Companies!$A:$A,0)),"")</f>
        <v>Transport &amp; Logistics</v>
      </c>
      <c r="L564" s="14" t="str">
        <f>VLOOKUP(B564,[1]Companies!$A$1:$C$5243,1,FALSE)</f>
        <v>Musanga</v>
      </c>
      <c r="M564" s="15">
        <f t="shared" si="695"/>
        <v>0.9</v>
      </c>
      <c r="N564" s="10" t="str">
        <f t="shared" si="696"/>
        <v>43259MusangaUndisclosed</v>
      </c>
      <c r="O564" s="14" t="str">
        <f t="shared" si="697"/>
        <v/>
      </c>
      <c r="P564" s="14">
        <f t="shared" si="698"/>
        <v>0</v>
      </c>
      <c r="Q564" s="14">
        <f t="array" ref="Q564">IFERROR(INDEX([1]Companies!$D:$D,MATCH(B564,[1]Companies!$A:$A,0)),"")</f>
        <v>2016</v>
      </c>
      <c r="R564" s="17">
        <f t="shared" si="699"/>
        <v>266000</v>
      </c>
      <c r="S564" s="14">
        <f>VLOOKUP(I564,[1]Lookups!$V$3:$Y$197,4,FALSE)</f>
        <v>0</v>
      </c>
      <c r="T564" s="14" t="str">
        <f>VLOOKUP(E564,[1]Lookups!$H$3:$I$71,2,FALSE)</f>
        <v>2. Seed</v>
      </c>
      <c r="U564" s="14" t="str">
        <f>VLOOKUP(K564,[1]Lookups!$B$3:$C$142,2,FALSE)</f>
        <v>Transport &amp; Logistics</v>
      </c>
      <c r="V564" s="14">
        <f t="shared" si="735"/>
        <v>2018</v>
      </c>
      <c r="W564" s="14">
        <f t="shared" si="736"/>
        <v>6</v>
      </c>
      <c r="X564" s="14">
        <f>VLOOKUP(W564,[1]Lookups!$P$3:$S$15,2,FALSE)</f>
        <v>2</v>
      </c>
      <c r="Y564" s="16">
        <f>VLOOKUP(W564,[1]Lookups!$P$3:$U$15,3,FALSE)</f>
        <v>1</v>
      </c>
      <c r="Z564" s="16">
        <f t="shared" si="737"/>
        <v>1</v>
      </c>
      <c r="AA564" s="16" t="str">
        <f t="shared" ca="1" si="785"/>
        <v>Seedstars</v>
      </c>
      <c r="AB564" s="16">
        <f t="shared" si="785"/>
        <v>0</v>
      </c>
      <c r="AC564" s="16">
        <f t="shared" si="785"/>
        <v>0</v>
      </c>
      <c r="AD564" s="16">
        <f t="shared" si="785"/>
        <v>0</v>
      </c>
      <c r="AE564" s="16">
        <f t="shared" si="785"/>
        <v>0</v>
      </c>
      <c r="AF564" s="16">
        <f t="shared" si="785"/>
        <v>0</v>
      </c>
      <c r="AG564" s="16">
        <f t="shared" si="785"/>
        <v>0</v>
      </c>
      <c r="AH564" s="16">
        <f t="shared" si="785"/>
        <v>0</v>
      </c>
      <c r="AI564" s="16">
        <f t="shared" si="785"/>
        <v>0</v>
      </c>
      <c r="AJ564" s="16">
        <f t="shared" si="785"/>
        <v>0</v>
      </c>
      <c r="AK564" s="16">
        <f t="shared" si="785"/>
        <v>0</v>
      </c>
      <c r="AL564" s="16">
        <f t="shared" si="785"/>
        <v>0</v>
      </c>
      <c r="AM564" s="16">
        <f t="shared" si="785"/>
        <v>0</v>
      </c>
      <c r="AN564" s="16">
        <f t="shared" si="785"/>
        <v>0</v>
      </c>
      <c r="AO564" s="16">
        <f t="shared" si="785"/>
        <v>0</v>
      </c>
      <c r="AP564" s="10"/>
      <c r="AQ564" s="10"/>
      <c r="AR564" s="10"/>
      <c r="AS564" s="10" t="str">
        <f t="shared" ref="AS564" ca="1" si="793">IFERROR(__xludf.DUMMYFUNCTION("split(F479,"","",true,true)"),"Seedstars")</f>
        <v>Seedstars</v>
      </c>
      <c r="AT564" s="10"/>
      <c r="AU564" s="10"/>
      <c r="AV564" s="10"/>
      <c r="AW564" s="10"/>
      <c r="AX564" s="10"/>
      <c r="AY564" s="10"/>
      <c r="AZ564" s="10"/>
      <c r="BA564" s="10"/>
      <c r="BB564" s="10"/>
      <c r="BC564" s="10"/>
      <c r="BD564" s="10"/>
      <c r="BE564" s="10"/>
      <c r="BF564" s="10"/>
      <c r="BG564" s="10"/>
      <c r="BH564" s="10"/>
      <c r="BI564" s="10"/>
      <c r="BJ564" s="10"/>
      <c r="BK564" s="10"/>
      <c r="BM564" s="10"/>
    </row>
    <row r="565" spans="1:65" ht="12.75">
      <c r="A565" s="18">
        <v>43259</v>
      </c>
      <c r="B565" s="14" t="s">
        <v>1275</v>
      </c>
      <c r="C565" s="19" t="s">
        <v>49</v>
      </c>
      <c r="D565" s="19"/>
      <c r="E565" s="14" t="s">
        <v>45</v>
      </c>
      <c r="F565" s="14" t="s">
        <v>1276</v>
      </c>
      <c r="G565" s="27" t="s">
        <v>1277</v>
      </c>
      <c r="H565" s="14" t="str">
        <f t="array" ref="H565">IFERROR(INDEX([1]Companies!$G:$G,MATCH(B565,[1]Companies!$A:$A,0)),"")</f>
        <v>South Africa</v>
      </c>
      <c r="I565" s="14" t="str">
        <f t="shared" si="694"/>
        <v>South Africa</v>
      </c>
      <c r="J565" s="14" t="str">
        <f t="array" ref="J565">IFERROR(INDEX([1]Companies!$Y:$Y,MATCH(B565,[1]Companies!$A:$A,0)),"")</f>
        <v>Consumer Electronics, Information Technology, Security</v>
      </c>
      <c r="K565" s="14" t="str">
        <f t="array" ref="K565">IFERROR(INDEX([1]Companies!$X:$X,MATCH(B565,[1]Companies!$A:$A,0)),"")</f>
        <v>Information Technology</v>
      </c>
      <c r="L565" s="14" t="str">
        <f>VLOOKUP(B565,[1]Companies!$A$1:$C$5243,1,FALSE)</f>
        <v>Lumkani</v>
      </c>
      <c r="M565" s="15">
        <f t="shared" si="695"/>
        <v>0.9</v>
      </c>
      <c r="N565" s="10" t="str">
        <f t="shared" si="696"/>
        <v>43259LumkaniUndisclosed</v>
      </c>
      <c r="O565" s="14" t="str">
        <f t="shared" si="697"/>
        <v/>
      </c>
      <c r="P565" s="14">
        <f t="shared" si="698"/>
        <v>0</v>
      </c>
      <c r="Q565" s="14">
        <f t="array" ref="Q565">IFERROR(INDEX([1]Companies!$D:$D,MATCH(B565,[1]Companies!$A:$A,0)),"")</f>
        <v>2014</v>
      </c>
      <c r="R565" s="17">
        <f t="shared" si="699"/>
        <v>0</v>
      </c>
      <c r="S565" s="14">
        <f>VLOOKUP(I565,[1]Lookups!$V$3:$Y$197,4,FALSE)</f>
        <v>0</v>
      </c>
      <c r="T565" s="14" t="str">
        <f>VLOOKUP(E565,[1]Lookups!$H$3:$I$71,2,FALSE)</f>
        <v>2. Seed</v>
      </c>
      <c r="U565" s="14" t="str">
        <f>VLOOKUP(K565,[1]Lookups!$B$3:$C$142,2,FALSE)</f>
        <v>Other Technologies &amp; Information Technology</v>
      </c>
      <c r="V565" s="14">
        <f t="shared" si="735"/>
        <v>2018</v>
      </c>
      <c r="W565" s="14">
        <f t="shared" si="736"/>
        <v>6</v>
      </c>
      <c r="X565" s="14">
        <f>VLOOKUP(W565,[1]Lookups!$P$3:$S$15,2,FALSE)</f>
        <v>2</v>
      </c>
      <c r="Y565" s="16">
        <f>VLOOKUP(W565,[1]Lookups!$P$3:$U$15,3,FALSE)</f>
        <v>1</v>
      </c>
      <c r="Z565" s="16">
        <f t="shared" si="737"/>
        <v>3</v>
      </c>
      <c r="AA565" s="16" t="str">
        <f t="shared" ca="1" si="785"/>
        <v>Seedstars</v>
      </c>
      <c r="AB565" s="16" t="str">
        <f t="shared" ca="1" si="785"/>
        <v xml:space="preserve"> 4Di Capital</v>
      </c>
      <c r="AC565" s="16" t="str">
        <f t="shared" ca="1" si="785"/>
        <v xml:space="preserve"> Accion Venture Lab</v>
      </c>
      <c r="AD565" s="16">
        <f t="shared" si="785"/>
        <v>0</v>
      </c>
      <c r="AE565" s="16">
        <f t="shared" si="785"/>
        <v>0</v>
      </c>
      <c r="AF565" s="16">
        <f t="shared" si="785"/>
        <v>0</v>
      </c>
      <c r="AG565" s="16">
        <f t="shared" si="785"/>
        <v>0</v>
      </c>
      <c r="AH565" s="16">
        <f t="shared" si="785"/>
        <v>0</v>
      </c>
      <c r="AI565" s="16">
        <f t="shared" si="785"/>
        <v>0</v>
      </c>
      <c r="AJ565" s="16">
        <f t="shared" si="785"/>
        <v>0</v>
      </c>
      <c r="AK565" s="16">
        <f t="shared" si="785"/>
        <v>0</v>
      </c>
      <c r="AL565" s="16">
        <f t="shared" si="785"/>
        <v>0</v>
      </c>
      <c r="AM565" s="16">
        <f t="shared" si="785"/>
        <v>0</v>
      </c>
      <c r="AN565" s="16">
        <f t="shared" si="785"/>
        <v>0</v>
      </c>
      <c r="AO565" s="16">
        <f t="shared" si="785"/>
        <v>0</v>
      </c>
      <c r="AP565" s="10"/>
      <c r="AQ565" s="10"/>
      <c r="AR565" s="10"/>
      <c r="AS565" s="10" t="str">
        <f t="shared" ref="AS565" ca="1" si="794">IFERROR(__xludf.DUMMYFUNCTION("split(F479,"","",true,true)"),"Seedstars")</f>
        <v>Seedstars</v>
      </c>
      <c r="AT565" s="10" t="str">
        <f ca="1">IFERROR(__xludf.DUMMYFUNCTION("""COMPUTED_VALUE""")," 4Di Capital")</f>
        <v xml:space="preserve"> 4Di Capital</v>
      </c>
      <c r="AU565" s="10" t="str">
        <f ca="1">IFERROR(__xludf.DUMMYFUNCTION("""COMPUTED_VALUE""")," Accion Venture Lab")</f>
        <v xml:space="preserve"> Accion Venture Lab</v>
      </c>
      <c r="AV565" s="10"/>
      <c r="AW565" s="10"/>
      <c r="AX565" s="10"/>
      <c r="AY565" s="10"/>
      <c r="AZ565" s="10"/>
      <c r="BA565" s="10"/>
      <c r="BB565" s="10"/>
      <c r="BC565" s="10"/>
      <c r="BD565" s="10"/>
      <c r="BE565" s="10"/>
      <c r="BF565" s="10"/>
      <c r="BG565" s="10"/>
      <c r="BH565" s="10"/>
      <c r="BI565" s="10"/>
      <c r="BJ565" s="10"/>
      <c r="BK565" s="10"/>
      <c r="BM565" s="10"/>
    </row>
    <row r="566" spans="1:65" ht="12.75">
      <c r="A566" s="18">
        <v>43259</v>
      </c>
      <c r="B566" s="14" t="s">
        <v>1278</v>
      </c>
      <c r="C566" s="19">
        <v>1200000</v>
      </c>
      <c r="D566" s="36"/>
      <c r="E566" s="10" t="s">
        <v>91</v>
      </c>
      <c r="F566" s="14" t="s">
        <v>437</v>
      </c>
      <c r="G566" s="27" t="s">
        <v>1279</v>
      </c>
      <c r="H566" s="14" t="str">
        <f t="array" ref="H566">IFERROR(INDEX([1]Companies!$G:$G,MATCH(B566,[1]Companies!$A:$A,0)),"")</f>
        <v>Kenya</v>
      </c>
      <c r="I566" s="14" t="str">
        <f t="shared" si="694"/>
        <v>Kenya</v>
      </c>
      <c r="J566" s="14" t="str">
        <f t="array" ref="J566">IFERROR(INDEX([1]Companies!$Y:$Y,MATCH(B566,[1]Companies!$A:$A,0)),"")</f>
        <v>Procurement, Value Engineering, Tax planning and Advisory</v>
      </c>
      <c r="K566" s="14" t="str">
        <f t="array" ref="K566">IFERROR(INDEX([1]Companies!$X:$X,MATCH(B566,[1]Companies!$A:$A,0)),"")</f>
        <v>Real Estate</v>
      </c>
      <c r="L566" s="14" t="str">
        <f>VLOOKUP(B566,[1]Companies!$A$1:$C$5243,1,FALSE)</f>
        <v>Questworks</v>
      </c>
      <c r="M566" s="15">
        <f t="shared" si="695"/>
        <v>0.9</v>
      </c>
      <c r="N566" s="10" t="str">
        <f t="shared" si="696"/>
        <v>43259Questworks1200000</v>
      </c>
      <c r="O566" s="14" t="str">
        <f t="shared" si="697"/>
        <v/>
      </c>
      <c r="P566" s="14">
        <f t="shared" si="698"/>
        <v>1</v>
      </c>
      <c r="Q566" s="14">
        <f t="array" ref="Q566">IFERROR(INDEX([1]Companies!$D:$D,MATCH(B566,[1]Companies!$A:$A,0)),"")</f>
        <v>2011</v>
      </c>
      <c r="R566" s="17">
        <f t="shared" si="699"/>
        <v>1200000</v>
      </c>
      <c r="S566" s="14">
        <f>VLOOKUP(I566,[1]Lookups!$V$3:$Y$197,4,FALSE)</f>
        <v>0</v>
      </c>
      <c r="T566" s="14" t="str">
        <f>VLOOKUP(E566,[1]Lookups!$H$3:$I$71,2,FALSE)</f>
        <v>5. Debt Financing</v>
      </c>
      <c r="U566" s="14" t="str">
        <f>VLOOKUP(K566,[1]Lookups!$B$3:$C$142,2,FALSE)</f>
        <v>Construction &amp; Real Estate</v>
      </c>
      <c r="V566" s="14">
        <f t="shared" si="735"/>
        <v>2018</v>
      </c>
      <c r="W566" s="14">
        <f t="shared" si="736"/>
        <v>6</v>
      </c>
      <c r="X566" s="14">
        <f>VLOOKUP(W566,[1]Lookups!$P$3:$S$15,2,FALSE)</f>
        <v>2</v>
      </c>
      <c r="Y566" s="16">
        <f>VLOOKUP(W566,[1]Lookups!$P$3:$U$15,3,FALSE)</f>
        <v>1</v>
      </c>
      <c r="Z566" s="16">
        <f t="shared" si="737"/>
        <v>1</v>
      </c>
      <c r="AA566" s="16" t="str">
        <f t="shared" ca="1" si="785"/>
        <v>Seedstars</v>
      </c>
      <c r="AB566" s="16">
        <f t="shared" si="785"/>
        <v>0</v>
      </c>
      <c r="AC566" s="16">
        <f t="shared" si="785"/>
        <v>0</v>
      </c>
      <c r="AD566" s="16">
        <f t="shared" si="785"/>
        <v>0</v>
      </c>
      <c r="AE566" s="16">
        <f t="shared" si="785"/>
        <v>0</v>
      </c>
      <c r="AF566" s="16">
        <f t="shared" si="785"/>
        <v>0</v>
      </c>
      <c r="AG566" s="16">
        <f t="shared" si="785"/>
        <v>0</v>
      </c>
      <c r="AH566" s="16">
        <f t="shared" si="785"/>
        <v>0</v>
      </c>
      <c r="AI566" s="16">
        <f t="shared" si="785"/>
        <v>0</v>
      </c>
      <c r="AJ566" s="16">
        <f t="shared" si="785"/>
        <v>0</v>
      </c>
      <c r="AK566" s="16">
        <f t="shared" si="785"/>
        <v>0</v>
      </c>
      <c r="AL566" s="16">
        <f t="shared" si="785"/>
        <v>0</v>
      </c>
      <c r="AM566" s="16">
        <f t="shared" si="785"/>
        <v>0</v>
      </c>
      <c r="AN566" s="16">
        <f t="shared" si="785"/>
        <v>0</v>
      </c>
      <c r="AO566" s="16">
        <f t="shared" si="785"/>
        <v>0</v>
      </c>
      <c r="AP566" s="10"/>
      <c r="AQ566" s="10"/>
      <c r="AR566" s="10"/>
      <c r="AS566" s="10" t="str">
        <f t="shared" ref="AS566" ca="1" si="795">IFERROR(__xludf.DUMMYFUNCTION("split(F479,"","",true,true)"),"Seedstars")</f>
        <v>Seedstars</v>
      </c>
      <c r="AT566" s="10"/>
      <c r="AU566" s="10"/>
      <c r="AV566" s="10"/>
      <c r="AW566" s="10"/>
      <c r="AX566" s="10"/>
      <c r="AY566" s="10"/>
      <c r="AZ566" s="10"/>
      <c r="BA566" s="10"/>
      <c r="BB566" s="10"/>
      <c r="BC566" s="10"/>
      <c r="BD566" s="10"/>
      <c r="BE566" s="10"/>
      <c r="BF566" s="10"/>
      <c r="BG566" s="10"/>
      <c r="BH566" s="10"/>
      <c r="BI566" s="10"/>
      <c r="BJ566" s="10"/>
      <c r="BK566" s="10"/>
      <c r="BM566" s="10"/>
    </row>
    <row r="567" spans="1:65" ht="12.75">
      <c r="A567" s="18">
        <v>43265</v>
      </c>
      <c r="B567" s="14" t="s">
        <v>1280</v>
      </c>
      <c r="C567" s="19">
        <v>15000</v>
      </c>
      <c r="D567" s="19"/>
      <c r="E567" s="14" t="s">
        <v>45</v>
      </c>
      <c r="F567" s="14" t="s">
        <v>1281</v>
      </c>
      <c r="G567" s="27" t="s">
        <v>1282</v>
      </c>
      <c r="H567" s="14" t="str">
        <f t="array" ref="H567">IFERROR(INDEX([1]Companies!$G:$G,MATCH(B567,[1]Companies!$A:$A,0)),"")</f>
        <v>Nigeria</v>
      </c>
      <c r="I567" s="14" t="str">
        <f t="shared" si="694"/>
        <v>Nigeria</v>
      </c>
      <c r="J567" s="14" t="str">
        <f t="array" ref="J567">IFERROR(INDEX([1]Companies!$Y:$Y,MATCH(B567,[1]Companies!$A:$A,0)),"")</f>
        <v>Personal Finance, Wealth Management, Savings</v>
      </c>
      <c r="K567" s="14" t="str">
        <f t="array" ref="K567">IFERROR(INDEX([1]Companies!$X:$X,MATCH(B567,[1]Companies!$A:$A,0)),"")</f>
        <v>Financial Services</v>
      </c>
      <c r="L567" s="14" t="str">
        <f>VLOOKUP(B567,[1]Companies!$A$1:$C$5243,1,FALSE)</f>
        <v>Cowrywise</v>
      </c>
      <c r="M567" s="15">
        <f t="shared" si="695"/>
        <v>0.9</v>
      </c>
      <c r="N567" s="10" t="str">
        <f t="shared" si="696"/>
        <v>43265CowryWise15000</v>
      </c>
      <c r="O567" s="14" t="str">
        <f t="shared" si="697"/>
        <v/>
      </c>
      <c r="P567" s="14">
        <f t="shared" si="698"/>
        <v>1</v>
      </c>
      <c r="Q567" s="14">
        <f t="array" ref="Q567">IFERROR(INDEX([1]Companies!$D:$D,MATCH(B567,[1]Companies!$A:$A,0)),"")</f>
        <v>2017</v>
      </c>
      <c r="R567" s="17">
        <f t="shared" si="699"/>
        <v>185000</v>
      </c>
      <c r="S567" s="14">
        <f>VLOOKUP(I567,[1]Lookups!$V$3:$Y$197,4,FALSE)</f>
        <v>0</v>
      </c>
      <c r="T567" s="14" t="str">
        <f>VLOOKUP(E567,[1]Lookups!$H$3:$I$71,2,FALSE)</f>
        <v>2. Seed</v>
      </c>
      <c r="U567" s="14" t="str">
        <f>VLOOKUP(K567,[1]Lookups!$B$3:$C$142,2,FALSE)</f>
        <v>Financial Services</v>
      </c>
      <c r="V567" s="14">
        <f t="shared" si="735"/>
        <v>2018</v>
      </c>
      <c r="W567" s="14">
        <f t="shared" si="736"/>
        <v>6</v>
      </c>
      <c r="X567" s="14">
        <f>VLOOKUP(W567,[1]Lookups!$P$3:$S$15,2,FALSE)</f>
        <v>2</v>
      </c>
      <c r="Y567" s="16">
        <f>VLOOKUP(W567,[1]Lookups!$P$3:$U$15,3,FALSE)</f>
        <v>1</v>
      </c>
      <c r="Z567" s="16">
        <f t="shared" si="737"/>
        <v>1</v>
      </c>
      <c r="AA567" s="16" t="str">
        <f t="shared" ca="1" si="785"/>
        <v>Seedstars</v>
      </c>
      <c r="AB567" s="16">
        <f t="shared" si="785"/>
        <v>0</v>
      </c>
      <c r="AC567" s="16">
        <f t="shared" si="785"/>
        <v>0</v>
      </c>
      <c r="AD567" s="16">
        <f t="shared" si="785"/>
        <v>0</v>
      </c>
      <c r="AE567" s="16">
        <f t="shared" si="785"/>
        <v>0</v>
      </c>
      <c r="AF567" s="16">
        <f t="shared" si="785"/>
        <v>0</v>
      </c>
      <c r="AG567" s="16">
        <f t="shared" si="785"/>
        <v>0</v>
      </c>
      <c r="AH567" s="16">
        <f t="shared" si="785"/>
        <v>0</v>
      </c>
      <c r="AI567" s="16">
        <f t="shared" si="785"/>
        <v>0</v>
      </c>
      <c r="AJ567" s="16">
        <f t="shared" si="785"/>
        <v>0</v>
      </c>
      <c r="AK567" s="16">
        <f t="shared" si="785"/>
        <v>0</v>
      </c>
      <c r="AL567" s="16">
        <f t="shared" si="785"/>
        <v>0</v>
      </c>
      <c r="AM567" s="16">
        <f t="shared" si="785"/>
        <v>0</v>
      </c>
      <c r="AN567" s="16">
        <f t="shared" si="785"/>
        <v>0</v>
      </c>
      <c r="AO567" s="16">
        <f t="shared" si="785"/>
        <v>0</v>
      </c>
      <c r="AP567" s="10"/>
      <c r="AQ567" s="10"/>
      <c r="AR567" s="10"/>
      <c r="AS567" s="10" t="str">
        <f t="shared" ref="AS567" ca="1" si="796">IFERROR(__xludf.DUMMYFUNCTION("split(F479,"","",true,true)"),"Seedstars")</f>
        <v>Seedstars</v>
      </c>
      <c r="AT567" s="10"/>
      <c r="AU567" s="10"/>
      <c r="AV567" s="10"/>
      <c r="AW567" s="10"/>
      <c r="AX567" s="10"/>
      <c r="AY567" s="10"/>
      <c r="AZ567" s="10"/>
      <c r="BA567" s="10"/>
      <c r="BB567" s="10"/>
      <c r="BC567" s="10"/>
      <c r="BD567" s="10"/>
      <c r="BE567" s="10"/>
      <c r="BF567" s="10"/>
      <c r="BG567" s="10"/>
      <c r="BH567" s="10"/>
      <c r="BI567" s="10"/>
      <c r="BJ567" s="10"/>
      <c r="BK567" s="10"/>
      <c r="BM567" s="10"/>
    </row>
    <row r="568" spans="1:65" ht="12.75">
      <c r="A568" s="18">
        <v>43266</v>
      </c>
      <c r="B568" s="14" t="s">
        <v>1283</v>
      </c>
      <c r="C568" s="19">
        <v>33000</v>
      </c>
      <c r="D568" s="19"/>
      <c r="E568" s="14" t="s">
        <v>55</v>
      </c>
      <c r="F568" s="14" t="s">
        <v>1284</v>
      </c>
      <c r="G568" s="27" t="s">
        <v>1285</v>
      </c>
      <c r="H568" s="14" t="str">
        <f t="array" ref="H568">IFERROR(INDEX([1]Companies!$G:$G,MATCH(B568,[1]Companies!$A:$A,0)),"")</f>
        <v>Uganda</v>
      </c>
      <c r="I568" s="14" t="str">
        <f t="shared" si="694"/>
        <v>Uganda</v>
      </c>
      <c r="J568" s="14" t="str">
        <f t="array" ref="J568">IFERROR(INDEX([1]Companies!$Y:$Y,MATCH(B568,[1]Companies!$A:$A,0)),"")</f>
        <v>Health Care, Health Diagnostics, Medical Device, Mobile Apps</v>
      </c>
      <c r="K568" s="14" t="str">
        <f t="array" ref="K568">IFERROR(INDEX([1]Companies!$X:$X,MATCH(B568,[1]Companies!$A:$A,0)),"")</f>
        <v>Healthcare &amp; Pharma</v>
      </c>
      <c r="L568" s="14" t="str">
        <f>VLOOKUP(B568,[1]Companies!$A$1:$C$5243,1,FALSE)</f>
        <v>Matibabu</v>
      </c>
      <c r="M568" s="15">
        <f t="shared" si="695"/>
        <v>0.9</v>
      </c>
      <c r="N568" s="10" t="str">
        <f t="shared" si="696"/>
        <v>43266Matibabu33000</v>
      </c>
      <c r="O568" s="14" t="str">
        <f t="shared" si="697"/>
        <v/>
      </c>
      <c r="P568" s="14">
        <f t="shared" si="698"/>
        <v>1</v>
      </c>
      <c r="Q568" s="14">
        <f t="array" ref="Q568">IFERROR(INDEX([1]Companies!$D:$D,MATCH(B568,[1]Companies!$A:$A,0)),"")</f>
        <v>2013</v>
      </c>
      <c r="R568" s="17">
        <f t="shared" si="699"/>
        <v>33000</v>
      </c>
      <c r="S568" s="14">
        <f>VLOOKUP(I568,[1]Lookups!$V$3:$Y$197,4,FALSE)</f>
        <v>0</v>
      </c>
      <c r="T568" s="14" t="str">
        <f>VLOOKUP(E568,[1]Lookups!$H$3:$I$71,2,FALSE)</f>
        <v>1. Grant</v>
      </c>
      <c r="U568" s="14" t="str">
        <f>VLOOKUP(K568,[1]Lookups!$B$3:$C$142,2,FALSE)</f>
        <v>Health &amp; Pharmaceuticals</v>
      </c>
      <c r="V568" s="14">
        <f t="shared" si="735"/>
        <v>2018</v>
      </c>
      <c r="W568" s="14">
        <f t="shared" si="736"/>
        <v>6</v>
      </c>
      <c r="X568" s="14">
        <f>VLOOKUP(W568,[1]Lookups!$P$3:$S$15,2,FALSE)</f>
        <v>2</v>
      </c>
      <c r="Y568" s="16">
        <f>VLOOKUP(W568,[1]Lookups!$P$3:$U$15,3,FALSE)</f>
        <v>1</v>
      </c>
      <c r="Z568" s="16">
        <f t="shared" si="737"/>
        <v>1</v>
      </c>
      <c r="AA568" s="16" t="str">
        <f t="shared" ca="1" si="785"/>
        <v>Seedstars</v>
      </c>
      <c r="AB568" s="16">
        <f t="shared" si="785"/>
        <v>0</v>
      </c>
      <c r="AC568" s="16">
        <f t="shared" si="785"/>
        <v>0</v>
      </c>
      <c r="AD568" s="16">
        <f t="shared" si="785"/>
        <v>0</v>
      </c>
      <c r="AE568" s="16">
        <f t="shared" si="785"/>
        <v>0</v>
      </c>
      <c r="AF568" s="16">
        <f t="shared" si="785"/>
        <v>0</v>
      </c>
      <c r="AG568" s="16">
        <f t="shared" si="785"/>
        <v>0</v>
      </c>
      <c r="AH568" s="16">
        <f t="shared" si="785"/>
        <v>0</v>
      </c>
      <c r="AI568" s="16">
        <f t="shared" si="785"/>
        <v>0</v>
      </c>
      <c r="AJ568" s="16">
        <f t="shared" si="785"/>
        <v>0</v>
      </c>
      <c r="AK568" s="16">
        <f t="shared" si="785"/>
        <v>0</v>
      </c>
      <c r="AL568" s="16">
        <f t="shared" si="785"/>
        <v>0</v>
      </c>
      <c r="AM568" s="16">
        <f t="shared" si="785"/>
        <v>0</v>
      </c>
      <c r="AN568" s="16">
        <f t="shared" si="785"/>
        <v>0</v>
      </c>
      <c r="AO568" s="16">
        <f t="shared" si="785"/>
        <v>0</v>
      </c>
      <c r="AP568" s="10"/>
      <c r="AQ568" s="10"/>
      <c r="AR568" s="10"/>
      <c r="AS568" s="10" t="str">
        <f t="shared" ref="AS568" ca="1" si="797">IFERROR(__xludf.DUMMYFUNCTION("split(F479,"","",true,true)"),"Seedstars")</f>
        <v>Seedstars</v>
      </c>
      <c r="AT568" s="10"/>
      <c r="AU568" s="10"/>
      <c r="AV568" s="10"/>
      <c r="AW568" s="10"/>
      <c r="AX568" s="10"/>
      <c r="AY568" s="10"/>
      <c r="AZ568" s="10"/>
      <c r="BA568" s="10"/>
      <c r="BB568" s="10"/>
      <c r="BC568" s="10"/>
      <c r="BD568" s="10"/>
      <c r="BE568" s="10"/>
      <c r="BF568" s="10"/>
      <c r="BG568" s="10"/>
      <c r="BH568" s="10"/>
      <c r="BI568" s="10"/>
      <c r="BJ568" s="10"/>
      <c r="BK568" s="10"/>
      <c r="BM568" s="10"/>
    </row>
    <row r="569" spans="1:65" ht="12.75">
      <c r="A569" s="18">
        <v>43269</v>
      </c>
      <c r="B569" s="14" t="s">
        <v>1286</v>
      </c>
      <c r="C569" s="19" t="s">
        <v>49</v>
      </c>
      <c r="D569" s="19"/>
      <c r="E569" s="14" t="s">
        <v>69</v>
      </c>
      <c r="F569" s="14" t="s">
        <v>49</v>
      </c>
      <c r="G569" s="27" t="s">
        <v>1287</v>
      </c>
      <c r="H569" s="14" t="str">
        <f t="array" ref="H569">IFERROR(INDEX([1]Companies!$G:$G,MATCH(B569,[1]Companies!$A:$A,0)),"")</f>
        <v>South Africa</v>
      </c>
      <c r="I569" s="14" t="str">
        <f t="shared" si="694"/>
        <v>South Africa</v>
      </c>
      <c r="J569" s="14" t="str">
        <f t="array" ref="J569">IFERROR(INDEX([1]Companies!$Y:$Y,MATCH(B569,[1]Companies!$A:$A,0)),"")</f>
        <v>Data Center Automation, Digital Media, Digital Signage, Industrial Automation</v>
      </c>
      <c r="K569" s="14" t="str">
        <f t="array" ref="K569">IFERROR(INDEX([1]Companies!$X:$X,MATCH(B569,[1]Companies!$A:$A,0)),"")</f>
        <v>Real estate</v>
      </c>
      <c r="L569" s="14" t="str">
        <f>VLOOKUP(B569,[1]Companies!$A$1:$C$5243,1,FALSE)</f>
        <v>Houseme</v>
      </c>
      <c r="M569" s="15">
        <f t="shared" si="695"/>
        <v>0.9</v>
      </c>
      <c r="N569" s="10" t="str">
        <f t="shared" si="696"/>
        <v>43269HouseMeUndisclosed</v>
      </c>
      <c r="O569" s="14" t="str">
        <f t="shared" si="697"/>
        <v/>
      </c>
      <c r="P569" s="14">
        <f t="shared" si="698"/>
        <v>0</v>
      </c>
      <c r="Q569" s="14">
        <f t="array" ref="Q569">IFERROR(INDEX([1]Companies!$D:$D,MATCH(B569,[1]Companies!$A:$A,0)),"")</f>
        <v>2016</v>
      </c>
      <c r="R569" s="17">
        <f t="shared" si="699"/>
        <v>0</v>
      </c>
      <c r="S569" s="14">
        <f>VLOOKUP(I569,[1]Lookups!$V$3:$Y$197,4,FALSE)</f>
        <v>0</v>
      </c>
      <c r="T569" s="14" t="str">
        <f>VLOOKUP(E569,[1]Lookups!$H$3:$I$71,2,FALSE)</f>
        <v>3. Early Venture</v>
      </c>
      <c r="U569" s="14" t="str">
        <f>VLOOKUP(K569,[1]Lookups!$B$3:$C$142,2,FALSE)</f>
        <v>Construction &amp; Real Estate</v>
      </c>
      <c r="V569" s="14">
        <f t="shared" si="735"/>
        <v>2018</v>
      </c>
      <c r="W569" s="14">
        <f t="shared" si="736"/>
        <v>6</v>
      </c>
      <c r="X569" s="14">
        <f>VLOOKUP(W569,[1]Lookups!$P$3:$S$15,2,FALSE)</f>
        <v>2</v>
      </c>
      <c r="Y569" s="16">
        <f>VLOOKUP(W569,[1]Lookups!$P$3:$U$15,3,FALSE)</f>
        <v>1</v>
      </c>
      <c r="Z569" s="16">
        <f t="shared" si="737"/>
        <v>1</v>
      </c>
      <c r="AA569" s="16" t="str">
        <f t="shared" ca="1" si="785"/>
        <v>Seedstars</v>
      </c>
      <c r="AB569" s="16">
        <f t="shared" si="785"/>
        <v>0</v>
      </c>
      <c r="AC569" s="16">
        <f t="shared" si="785"/>
        <v>0</v>
      </c>
      <c r="AD569" s="16">
        <f t="shared" si="785"/>
        <v>0</v>
      </c>
      <c r="AE569" s="16">
        <f t="shared" si="785"/>
        <v>0</v>
      </c>
      <c r="AF569" s="16">
        <f t="shared" si="785"/>
        <v>0</v>
      </c>
      <c r="AG569" s="16">
        <f t="shared" si="785"/>
        <v>0</v>
      </c>
      <c r="AH569" s="16">
        <f t="shared" si="785"/>
        <v>0</v>
      </c>
      <c r="AI569" s="16">
        <f t="shared" si="785"/>
        <v>0</v>
      </c>
      <c r="AJ569" s="16">
        <f t="shared" si="785"/>
        <v>0</v>
      </c>
      <c r="AK569" s="16">
        <f t="shared" si="785"/>
        <v>0</v>
      </c>
      <c r="AL569" s="16">
        <f t="shared" si="785"/>
        <v>0</v>
      </c>
      <c r="AM569" s="16">
        <f t="shared" si="785"/>
        <v>0</v>
      </c>
      <c r="AN569" s="16">
        <f t="shared" si="785"/>
        <v>0</v>
      </c>
      <c r="AO569" s="16">
        <f t="shared" si="785"/>
        <v>0</v>
      </c>
      <c r="AP569" s="10"/>
      <c r="AQ569" s="10"/>
      <c r="AR569" s="10"/>
      <c r="AS569" s="10" t="str">
        <f t="shared" ref="AS569" ca="1" si="798">IFERROR(__xludf.DUMMYFUNCTION("split(F479,"","",true,true)"),"Seedstars")</f>
        <v>Seedstars</v>
      </c>
      <c r="AT569" s="10"/>
      <c r="AU569" s="10"/>
      <c r="AV569" s="10"/>
      <c r="AW569" s="10"/>
      <c r="AX569" s="10"/>
      <c r="AY569" s="10"/>
      <c r="AZ569" s="10"/>
      <c r="BA569" s="10"/>
      <c r="BB569" s="10"/>
      <c r="BC569" s="10"/>
      <c r="BD569" s="10"/>
      <c r="BE569" s="10"/>
      <c r="BF569" s="10"/>
      <c r="BG569" s="10"/>
      <c r="BH569" s="10"/>
      <c r="BI569" s="10"/>
      <c r="BJ569" s="10"/>
      <c r="BK569" s="10"/>
      <c r="BM569" s="10"/>
    </row>
    <row r="570" spans="1:65" ht="12.75">
      <c r="A570" s="18">
        <v>43270</v>
      </c>
      <c r="B570" s="14" t="s">
        <v>1288</v>
      </c>
      <c r="C570" s="19" t="s">
        <v>49</v>
      </c>
      <c r="D570" s="19"/>
      <c r="E570" s="14" t="s">
        <v>45</v>
      </c>
      <c r="F570" s="14" t="s">
        <v>1289</v>
      </c>
      <c r="G570" s="27" t="s">
        <v>1290</v>
      </c>
      <c r="H570" s="14" t="str">
        <f t="array" ref="H570">IFERROR(INDEX([1]Companies!$G:$G,MATCH(B570,[1]Companies!$A:$A,0)),"")</f>
        <v>Egypt</v>
      </c>
      <c r="I570" s="14" t="str">
        <f t="shared" si="694"/>
        <v>Egypt</v>
      </c>
      <c r="J570" s="14" t="str">
        <f t="array" ref="J570">IFERROR(INDEX([1]Companies!$Y:$Y,MATCH(B570,[1]Companies!$A:$A,0)),"")</f>
        <v>Cyber Security, Developer Tools, Information Technology, Internet, SaaS</v>
      </c>
      <c r="K570" s="14" t="str">
        <f t="array" ref="K570">IFERROR(INDEX([1]Companies!$X:$X,MATCH(B570,[1]Companies!$A:$A,0)),"")</f>
        <v>Information Technology</v>
      </c>
      <c r="L570" s="14" t="str">
        <f>VLOOKUP(B570,[1]Companies!$A$1:$C$5243,1,FALSE)</f>
        <v>Shieldfy</v>
      </c>
      <c r="M570" s="15">
        <f t="shared" si="695"/>
        <v>0.9</v>
      </c>
      <c r="N570" s="10" t="str">
        <f t="shared" si="696"/>
        <v>43270ShieldfyUndisclosed</v>
      </c>
      <c r="O570" s="14" t="str">
        <f t="shared" si="697"/>
        <v/>
      </c>
      <c r="P570" s="14">
        <f t="shared" si="698"/>
        <v>0</v>
      </c>
      <c r="Q570" s="14">
        <f t="array" ref="Q570">IFERROR(INDEX([1]Companies!$D:$D,MATCH(B570,[1]Companies!$A:$A,0)),"")</f>
        <v>2016</v>
      </c>
      <c r="R570" s="17">
        <f t="shared" si="699"/>
        <v>0</v>
      </c>
      <c r="S570" s="14">
        <f>VLOOKUP(I570,[1]Lookups!$V$3:$Y$197,4,FALSE)</f>
        <v>0</v>
      </c>
      <c r="T570" s="14" t="str">
        <f>VLOOKUP(E570,[1]Lookups!$H$3:$I$71,2,FALSE)</f>
        <v>2. Seed</v>
      </c>
      <c r="U570" s="14" t="str">
        <f>VLOOKUP(K570,[1]Lookups!$B$3:$C$142,2,FALSE)</f>
        <v>Other Technologies &amp; Information Technology</v>
      </c>
      <c r="V570" s="14">
        <f t="shared" si="735"/>
        <v>2018</v>
      </c>
      <c r="W570" s="14">
        <f t="shared" si="736"/>
        <v>6</v>
      </c>
      <c r="X570" s="14">
        <f>VLOOKUP(W570,[1]Lookups!$P$3:$S$15,2,FALSE)</f>
        <v>2</v>
      </c>
      <c r="Y570" s="16">
        <f>VLOOKUP(W570,[1]Lookups!$P$3:$U$15,3,FALSE)</f>
        <v>1</v>
      </c>
      <c r="Z570" s="16">
        <f t="shared" si="737"/>
        <v>1</v>
      </c>
      <c r="AA570" s="16" t="str">
        <f t="shared" ca="1" si="785"/>
        <v>Seedstars</v>
      </c>
      <c r="AB570" s="16">
        <f t="shared" si="785"/>
        <v>0</v>
      </c>
      <c r="AC570" s="16">
        <f t="shared" si="785"/>
        <v>0</v>
      </c>
      <c r="AD570" s="16">
        <f t="shared" si="785"/>
        <v>0</v>
      </c>
      <c r="AE570" s="16">
        <f t="shared" si="785"/>
        <v>0</v>
      </c>
      <c r="AF570" s="16">
        <f t="shared" si="785"/>
        <v>0</v>
      </c>
      <c r="AG570" s="16">
        <f t="shared" si="785"/>
        <v>0</v>
      </c>
      <c r="AH570" s="16">
        <f t="shared" si="785"/>
        <v>0</v>
      </c>
      <c r="AI570" s="16">
        <f t="shared" si="785"/>
        <v>0</v>
      </c>
      <c r="AJ570" s="16">
        <f t="shared" si="785"/>
        <v>0</v>
      </c>
      <c r="AK570" s="16">
        <f t="shared" si="785"/>
        <v>0</v>
      </c>
      <c r="AL570" s="16">
        <f t="shared" si="785"/>
        <v>0</v>
      </c>
      <c r="AM570" s="16">
        <f t="shared" si="785"/>
        <v>0</v>
      </c>
      <c r="AN570" s="16">
        <f t="shared" si="785"/>
        <v>0</v>
      </c>
      <c r="AO570" s="16">
        <f t="shared" si="785"/>
        <v>0</v>
      </c>
      <c r="AP570" s="10"/>
      <c r="AQ570" s="10"/>
      <c r="AR570" s="10"/>
      <c r="AS570" s="10" t="str">
        <f t="shared" ref="AS570" ca="1" si="799">IFERROR(__xludf.DUMMYFUNCTION("split(F479,"","",true,true)"),"Seedstars")</f>
        <v>Seedstars</v>
      </c>
      <c r="AT570" s="14"/>
      <c r="AU570" s="14"/>
      <c r="AV570" s="14"/>
      <c r="AW570" s="14"/>
      <c r="AX570" s="14"/>
      <c r="AY570" s="14"/>
      <c r="AZ570" s="14"/>
      <c r="BA570" s="14"/>
      <c r="BB570" s="14"/>
      <c r="BC570" s="14"/>
      <c r="BD570" s="14"/>
      <c r="BE570" s="14"/>
      <c r="BF570" s="14"/>
      <c r="BG570" s="14"/>
      <c r="BH570" s="14"/>
      <c r="BI570" s="14"/>
      <c r="BJ570" s="14"/>
      <c r="BK570" s="14"/>
      <c r="BL570" s="14"/>
      <c r="BM570" s="14"/>
    </row>
    <row r="571" spans="1:65" ht="12.75">
      <c r="A571" s="9">
        <v>43271</v>
      </c>
      <c r="B571" s="10" t="s">
        <v>596</v>
      </c>
      <c r="C571" s="11">
        <v>1000000</v>
      </c>
      <c r="D571" s="12"/>
      <c r="E571" s="10" t="s">
        <v>69</v>
      </c>
      <c r="F571" s="10" t="s">
        <v>1291</v>
      </c>
      <c r="G571" s="13" t="s">
        <v>1292</v>
      </c>
      <c r="H571" s="14" t="str">
        <f t="array" ref="H571">IFERROR(INDEX([1]Companies!$G:$G,MATCH(B571,[1]Companies!$A:$A,0)),"")</f>
        <v>Ethiopia</v>
      </c>
      <c r="I571" s="14" t="str">
        <f t="shared" si="694"/>
        <v>Ethiopia</v>
      </c>
      <c r="J571" s="14" t="str">
        <f t="array" ref="J571">IFERROR(INDEX([1]Companies!$Y:$Y,MATCH(B571,[1]Companies!$A:$A,0)),"")</f>
        <v>Agriculture, Artificial Intelligence, Biotechnology, Food and Beverage, Health Care</v>
      </c>
      <c r="K571" s="14" t="str">
        <f t="array" ref="K571">IFERROR(INDEX([1]Companies!$X:$X,MATCH(B571,[1]Companies!$A:$A,0)),"")</f>
        <v>Agriculture</v>
      </c>
      <c r="L571" s="14" t="str">
        <f>VLOOKUP(B571,[1]Companies!$A$1:$C$5243,1,FALSE)</f>
        <v>GreenPath Food</v>
      </c>
      <c r="M571" s="15">
        <f t="shared" si="695"/>
        <v>0.9</v>
      </c>
      <c r="N571" s="10" t="str">
        <f t="shared" si="696"/>
        <v>43271GreenPath Food1000000</v>
      </c>
      <c r="O571" s="14" t="str">
        <f t="shared" si="697"/>
        <v/>
      </c>
      <c r="P571" s="14">
        <f t="shared" si="698"/>
        <v>1</v>
      </c>
      <c r="Q571" s="14">
        <f t="array" ref="Q571">IFERROR(INDEX([1]Companies!$D:$D,MATCH(B571,[1]Companies!$A:$A,0)),"")</f>
        <v>2014</v>
      </c>
      <c r="R571" s="17">
        <f t="shared" si="699"/>
        <v>1000000</v>
      </c>
      <c r="S571" s="14">
        <f>VLOOKUP(I571,[1]Lookups!$V$3:$Y$197,4,FALSE)</f>
        <v>0</v>
      </c>
      <c r="T571" s="14" t="str">
        <f>VLOOKUP(E571,[1]Lookups!$H$3:$I$71,2,FALSE)</f>
        <v>3. Early Venture</v>
      </c>
      <c r="U571" s="14" t="str">
        <f>VLOOKUP(K571,[1]Lookups!$B$3:$C$142,2,FALSE)</f>
        <v>Agriculture</v>
      </c>
      <c r="V571" s="14">
        <f t="shared" si="735"/>
        <v>2018</v>
      </c>
      <c r="W571" s="14">
        <f t="shared" si="736"/>
        <v>6</v>
      </c>
      <c r="X571" s="14">
        <f>VLOOKUP(W571,[1]Lookups!$P$3:$S$15,2,FALSE)</f>
        <v>2</v>
      </c>
      <c r="Y571" s="16">
        <f>VLOOKUP(W571,[1]Lookups!$P$3:$U$15,3,FALSE)</f>
        <v>1</v>
      </c>
      <c r="Z571" s="16">
        <f t="shared" si="737"/>
        <v>2</v>
      </c>
      <c r="AA571" s="16" t="str">
        <f t="shared" ca="1" si="785"/>
        <v>Seedstars</v>
      </c>
      <c r="AB571" s="16" t="str">
        <f t="shared" ca="1" si="785"/>
        <v xml:space="preserve"> Novastar Ventures</v>
      </c>
      <c r="AC571" s="16">
        <f t="shared" si="785"/>
        <v>0</v>
      </c>
      <c r="AD571" s="16">
        <f t="shared" si="785"/>
        <v>0</v>
      </c>
      <c r="AE571" s="16">
        <f t="shared" si="785"/>
        <v>0</v>
      </c>
      <c r="AF571" s="16">
        <f t="shared" si="785"/>
        <v>0</v>
      </c>
      <c r="AG571" s="16">
        <f t="shared" si="785"/>
        <v>0</v>
      </c>
      <c r="AH571" s="16">
        <f t="shared" si="785"/>
        <v>0</v>
      </c>
      <c r="AI571" s="16">
        <f t="shared" si="785"/>
        <v>0</v>
      </c>
      <c r="AJ571" s="16">
        <f t="shared" si="785"/>
        <v>0</v>
      </c>
      <c r="AK571" s="16">
        <f t="shared" si="785"/>
        <v>0</v>
      </c>
      <c r="AL571" s="16">
        <f t="shared" si="785"/>
        <v>0</v>
      </c>
      <c r="AM571" s="16">
        <f t="shared" si="785"/>
        <v>0</v>
      </c>
      <c r="AN571" s="16">
        <f t="shared" si="785"/>
        <v>0</v>
      </c>
      <c r="AO571" s="16">
        <f t="shared" si="785"/>
        <v>0</v>
      </c>
      <c r="AP571" s="10"/>
      <c r="AQ571" s="10"/>
      <c r="AR571" s="10"/>
      <c r="AS571" s="10" t="str">
        <f t="shared" ref="AS571" ca="1" si="800">IFERROR(__xludf.DUMMYFUNCTION("split(F479,"","",true,true)"),"Seedstars")</f>
        <v>Seedstars</v>
      </c>
      <c r="AT571" s="10" t="str">
        <f ca="1">IFERROR(__xludf.DUMMYFUNCTION("""COMPUTED_VALUE""")," Novastar Ventures")</f>
        <v xml:space="preserve"> Novastar Ventures</v>
      </c>
      <c r="AU571" s="10"/>
      <c r="AV571" s="10"/>
      <c r="AW571" s="10"/>
      <c r="AX571" s="10"/>
      <c r="AY571" s="10"/>
      <c r="AZ571" s="10"/>
      <c r="BA571" s="10"/>
      <c r="BB571" s="10"/>
      <c r="BC571" s="10"/>
      <c r="BD571" s="10"/>
      <c r="BE571" s="10"/>
      <c r="BF571" s="10"/>
      <c r="BG571" s="10"/>
      <c r="BH571" s="10"/>
      <c r="BI571" s="10"/>
      <c r="BJ571" s="10"/>
      <c r="BK571" s="10"/>
      <c r="BM571" s="10"/>
    </row>
    <row r="572" spans="1:65" ht="12.75">
      <c r="A572" s="18">
        <v>43273</v>
      </c>
      <c r="B572" s="14" t="s">
        <v>1293</v>
      </c>
      <c r="C572" s="19">
        <v>50000</v>
      </c>
      <c r="D572" s="19"/>
      <c r="E572" s="14" t="s">
        <v>45</v>
      </c>
      <c r="F572" s="14" t="s">
        <v>1294</v>
      </c>
      <c r="G572" s="27" t="s">
        <v>1107</v>
      </c>
      <c r="H572" s="14" t="str">
        <f t="array" ref="H572">IFERROR(INDEX([1]Companies!$G:$G,MATCH(B572,[1]Companies!$A:$A,0)),"")</f>
        <v>Nigeria</v>
      </c>
      <c r="I572" s="14" t="str">
        <f t="shared" si="694"/>
        <v>Nigeria</v>
      </c>
      <c r="J572" s="14" t="str">
        <f t="array" ref="J572">IFERROR(INDEX([1]Companies!$Y:$Y,MATCH(B572,[1]Companies!$A:$A,0)),"")</f>
        <v>Accounting, Banking, Financial Services, Cloud Computing</v>
      </c>
      <c r="K572" s="14" t="str">
        <f t="array" ref="K572">IFERROR(INDEX([1]Companies!$X:$X,MATCH(B572,[1]Companies!$A:$A,0)),"")</f>
        <v>Financial Services</v>
      </c>
      <c r="L572" s="14" t="str">
        <f>VLOOKUP(B572,[1]Companies!$A$1:$C$5243,1,FALSE)</f>
        <v>Accounteer</v>
      </c>
      <c r="M572" s="15">
        <f t="shared" si="695"/>
        <v>0.9</v>
      </c>
      <c r="N572" s="10" t="str">
        <f t="shared" si="696"/>
        <v>43273Accounteer50000</v>
      </c>
      <c r="O572" s="14" t="str">
        <f t="shared" si="697"/>
        <v/>
      </c>
      <c r="P572" s="14">
        <f t="shared" si="698"/>
        <v>1</v>
      </c>
      <c r="Q572" s="14">
        <f t="array" ref="Q572">IFERROR(INDEX([1]Companies!$D:$D,MATCH(B572,[1]Companies!$A:$A,0)),"")</f>
        <v>2015</v>
      </c>
      <c r="R572" s="17">
        <f t="shared" si="699"/>
        <v>75000</v>
      </c>
      <c r="S572" s="14">
        <f>VLOOKUP(I572,[1]Lookups!$V$3:$Y$197,4,FALSE)</f>
        <v>0</v>
      </c>
      <c r="T572" s="14" t="str">
        <f>VLOOKUP(E572,[1]Lookups!$H$3:$I$71,2,FALSE)</f>
        <v>2. Seed</v>
      </c>
      <c r="U572" s="14" t="str">
        <f>VLOOKUP(K572,[1]Lookups!$B$3:$C$142,2,FALSE)</f>
        <v>Financial Services</v>
      </c>
      <c r="V572" s="14">
        <f t="shared" si="735"/>
        <v>2018</v>
      </c>
      <c r="W572" s="14">
        <f t="shared" si="736"/>
        <v>6</v>
      </c>
      <c r="X572" s="14">
        <f>VLOOKUP(W572,[1]Lookups!$P$3:$S$15,2,FALSE)</f>
        <v>2</v>
      </c>
      <c r="Y572" s="16">
        <f>VLOOKUP(W572,[1]Lookups!$P$3:$U$15,3,FALSE)</f>
        <v>1</v>
      </c>
      <c r="Z572" s="16">
        <f t="shared" si="737"/>
        <v>1</v>
      </c>
      <c r="AA572" s="16" t="str">
        <f t="shared" ca="1" si="785"/>
        <v>Seedstars</v>
      </c>
      <c r="AB572" s="16">
        <f t="shared" si="785"/>
        <v>0</v>
      </c>
      <c r="AC572" s="16">
        <f t="shared" si="785"/>
        <v>0</v>
      </c>
      <c r="AD572" s="16">
        <f t="shared" si="785"/>
        <v>0</v>
      </c>
      <c r="AE572" s="16">
        <f t="shared" si="785"/>
        <v>0</v>
      </c>
      <c r="AF572" s="16">
        <f t="shared" si="785"/>
        <v>0</v>
      </c>
      <c r="AG572" s="16">
        <f t="shared" si="785"/>
        <v>0</v>
      </c>
      <c r="AH572" s="16">
        <f t="shared" si="785"/>
        <v>0</v>
      </c>
      <c r="AI572" s="16">
        <f t="shared" si="785"/>
        <v>0</v>
      </c>
      <c r="AJ572" s="16">
        <f t="shared" si="785"/>
        <v>0</v>
      </c>
      <c r="AK572" s="16">
        <f t="shared" si="785"/>
        <v>0</v>
      </c>
      <c r="AL572" s="16">
        <f t="shared" si="785"/>
        <v>0</v>
      </c>
      <c r="AM572" s="16">
        <f t="shared" si="785"/>
        <v>0</v>
      </c>
      <c r="AN572" s="16">
        <f t="shared" si="785"/>
        <v>0</v>
      </c>
      <c r="AO572" s="16">
        <f t="shared" si="785"/>
        <v>0</v>
      </c>
      <c r="AP572" s="10"/>
      <c r="AQ572" s="10"/>
      <c r="AR572" s="10"/>
      <c r="AS572" s="10" t="str">
        <f t="shared" ref="AS572" ca="1" si="801">IFERROR(__xludf.DUMMYFUNCTION("split(F479,"","",true,true)"),"Seedstars")</f>
        <v>Seedstars</v>
      </c>
      <c r="AT572" s="10"/>
      <c r="AU572" s="10"/>
      <c r="AV572" s="10"/>
      <c r="AW572" s="10"/>
      <c r="AX572" s="10"/>
      <c r="AY572" s="10"/>
      <c r="AZ572" s="10"/>
      <c r="BA572" s="10"/>
      <c r="BB572" s="10"/>
      <c r="BC572" s="10"/>
      <c r="BD572" s="10"/>
      <c r="BE572" s="10"/>
      <c r="BF572" s="10"/>
      <c r="BG572" s="10"/>
      <c r="BH572" s="10"/>
      <c r="BI572" s="10"/>
      <c r="BJ572" s="10"/>
      <c r="BK572" s="10"/>
      <c r="BM572" s="10"/>
    </row>
    <row r="573" spans="1:65" ht="12.75">
      <c r="A573" s="18">
        <v>43278</v>
      </c>
      <c r="B573" s="14" t="s">
        <v>1295</v>
      </c>
      <c r="C573" s="19" t="s">
        <v>49</v>
      </c>
      <c r="D573" s="19"/>
      <c r="E573" s="14" t="s">
        <v>45</v>
      </c>
      <c r="F573" s="14" t="s">
        <v>1083</v>
      </c>
      <c r="G573" s="27" t="s">
        <v>1296</v>
      </c>
      <c r="H573" s="14" t="str">
        <f t="array" ref="H573">IFERROR(INDEX([1]Companies!$G:$G,MATCH(B573,[1]Companies!$A:$A,0)),"")</f>
        <v>Uganda</v>
      </c>
      <c r="I573" s="14" t="str">
        <f t="shared" si="694"/>
        <v>Uganda</v>
      </c>
      <c r="J573" s="14" t="str">
        <f t="array" ref="J573">IFERROR(INDEX([1]Companies!$Y:$Y,MATCH(B573,[1]Companies!$A:$A,0)),"")</f>
        <v>Healthcare, MicroSavings, Financial Services</v>
      </c>
      <c r="K573" s="14" t="str">
        <f t="array" ref="K573">IFERROR(INDEX([1]Companies!$X:$X,MATCH(B573,[1]Companies!$A:$A,0)),"")</f>
        <v>Financial Services</v>
      </c>
      <c r="L573" s="14" t="str">
        <f>VLOOKUP(B573,[1]Companies!$A$1:$C$5243,1,FALSE)</f>
        <v>Clinicpesa</v>
      </c>
      <c r="M573" s="15">
        <f t="shared" si="695"/>
        <v>0.9</v>
      </c>
      <c r="N573" s="10" t="str">
        <f t="shared" si="696"/>
        <v>43278ClinicPesaUndisclosed</v>
      </c>
      <c r="O573" s="14" t="str">
        <f t="shared" si="697"/>
        <v/>
      </c>
      <c r="P573" s="14">
        <f t="shared" si="698"/>
        <v>0</v>
      </c>
      <c r="Q573" s="14">
        <f t="array" ref="Q573">IFERROR(INDEX([1]Companies!$D:$D,MATCH(B573,[1]Companies!$A:$A,0)),"")</f>
        <v>2016</v>
      </c>
      <c r="R573" s="17">
        <f t="shared" si="699"/>
        <v>20000</v>
      </c>
      <c r="S573" s="14">
        <f>VLOOKUP(I573,[1]Lookups!$V$3:$Y$197,4,FALSE)</f>
        <v>0</v>
      </c>
      <c r="T573" s="14" t="str">
        <f>VLOOKUP(E573,[1]Lookups!$H$3:$I$71,2,FALSE)</f>
        <v>2. Seed</v>
      </c>
      <c r="U573" s="14" t="str">
        <f>VLOOKUP(K573,[1]Lookups!$B$3:$C$142,2,FALSE)</f>
        <v>Financial Services</v>
      </c>
      <c r="V573" s="14">
        <f t="shared" si="735"/>
        <v>2018</v>
      </c>
      <c r="W573" s="14">
        <f t="shared" si="736"/>
        <v>6</v>
      </c>
      <c r="X573" s="14">
        <f>VLOOKUP(W573,[1]Lookups!$P$3:$S$15,2,FALSE)</f>
        <v>2</v>
      </c>
      <c r="Y573" s="16">
        <f>VLOOKUP(W573,[1]Lookups!$P$3:$U$15,3,FALSE)</f>
        <v>1</v>
      </c>
      <c r="Z573" s="16">
        <f t="shared" si="737"/>
        <v>1</v>
      </c>
      <c r="AA573" s="16" t="str">
        <f t="shared" ref="AA573:AO588" ca="1" si="802">AS573</f>
        <v>Seedstars</v>
      </c>
      <c r="AB573" s="16">
        <f t="shared" si="802"/>
        <v>0</v>
      </c>
      <c r="AC573" s="16">
        <f t="shared" si="802"/>
        <v>0</v>
      </c>
      <c r="AD573" s="16">
        <f t="shared" si="802"/>
        <v>0</v>
      </c>
      <c r="AE573" s="16">
        <f t="shared" si="802"/>
        <v>0</v>
      </c>
      <c r="AF573" s="16">
        <f t="shared" si="802"/>
        <v>0</v>
      </c>
      <c r="AG573" s="16">
        <f t="shared" si="802"/>
        <v>0</v>
      </c>
      <c r="AH573" s="16">
        <f t="shared" si="802"/>
        <v>0</v>
      </c>
      <c r="AI573" s="16">
        <f t="shared" si="802"/>
        <v>0</v>
      </c>
      <c r="AJ573" s="16">
        <f t="shared" si="802"/>
        <v>0</v>
      </c>
      <c r="AK573" s="16">
        <f t="shared" si="802"/>
        <v>0</v>
      </c>
      <c r="AL573" s="16">
        <f t="shared" si="802"/>
        <v>0</v>
      </c>
      <c r="AM573" s="16">
        <f t="shared" si="802"/>
        <v>0</v>
      </c>
      <c r="AN573" s="16">
        <f t="shared" si="802"/>
        <v>0</v>
      </c>
      <c r="AO573" s="16">
        <f t="shared" si="802"/>
        <v>0</v>
      </c>
      <c r="AP573" s="10"/>
      <c r="AQ573" s="10"/>
      <c r="AR573" s="10"/>
      <c r="AS573" s="10" t="str">
        <f t="shared" ref="AS573" ca="1" si="803">IFERROR(__xludf.DUMMYFUNCTION("split(F479,"","",true,true)"),"Seedstars")</f>
        <v>Seedstars</v>
      </c>
      <c r="AT573" s="10"/>
      <c r="AU573" s="10"/>
      <c r="AV573" s="10"/>
      <c r="AW573" s="10"/>
      <c r="AX573" s="10"/>
      <c r="AY573" s="10"/>
      <c r="AZ573" s="10"/>
      <c r="BA573" s="10"/>
      <c r="BB573" s="10"/>
      <c r="BC573" s="10"/>
      <c r="BD573" s="10"/>
      <c r="BE573" s="10"/>
      <c r="BF573" s="10"/>
      <c r="BG573" s="10"/>
      <c r="BH573" s="10"/>
      <c r="BI573" s="10"/>
      <c r="BJ573" s="10"/>
      <c r="BK573" s="10"/>
      <c r="BM573" s="10"/>
    </row>
    <row r="574" spans="1:65" ht="12.75">
      <c r="A574" s="9">
        <v>43278</v>
      </c>
      <c r="B574" s="10" t="s">
        <v>1297</v>
      </c>
      <c r="C574" s="11" t="s">
        <v>49</v>
      </c>
      <c r="D574" s="12"/>
      <c r="E574" s="10" t="s">
        <v>45</v>
      </c>
      <c r="F574" s="10" t="s">
        <v>49</v>
      </c>
      <c r="G574" s="13" t="s">
        <v>1298</v>
      </c>
      <c r="H574" s="14" t="str">
        <f t="array" ref="H574">IFERROR(INDEX([1]Companies!$G:$G,MATCH(B574,[1]Companies!$A:$A,0)),"")</f>
        <v>Morocco</v>
      </c>
      <c r="I574" s="14" t="str">
        <f t="shared" si="694"/>
        <v>Morocco</v>
      </c>
      <c r="J574" s="14" t="str">
        <f t="array" ref="J574">IFERROR(INDEX([1]Companies!$Y:$Y,MATCH(B574,[1]Companies!$A:$A,0)),"")</f>
        <v>Artificial Intelligence, Blockchain, Hardware, Internet of Things, Mobile Apps, SaaS, Transportation</v>
      </c>
      <c r="K574" s="14" t="str">
        <f t="array" ref="K574">IFERROR(INDEX([1]Companies!$X:$X,MATCH(B574,[1]Companies!$A:$A,0)),"")</f>
        <v>Transport &amp; Logistics</v>
      </c>
      <c r="L574" s="14" t="str">
        <f>VLOOKUP(B574,[1]Companies!$A$1:$C$5243,1,FALSE)</f>
        <v>Casky</v>
      </c>
      <c r="M574" s="15">
        <f t="shared" si="695"/>
        <v>0.9</v>
      </c>
      <c r="N574" s="10" t="str">
        <f t="shared" si="696"/>
        <v>43278CaskyUndisclosed</v>
      </c>
      <c r="O574" s="14" t="str">
        <f t="shared" si="697"/>
        <v/>
      </c>
      <c r="P574" s="14">
        <f t="shared" si="698"/>
        <v>0</v>
      </c>
      <c r="Q574" s="14">
        <f t="array" ref="Q574">IFERROR(INDEX([1]Companies!$D:$D,MATCH(B574,[1]Companies!$A:$A,0)),"")</f>
        <v>2017</v>
      </c>
      <c r="R574" s="17">
        <f t="shared" si="699"/>
        <v>0</v>
      </c>
      <c r="S574" s="14">
        <f>VLOOKUP(I574,[1]Lookups!$V$3:$Y$197,4,FALSE)</f>
        <v>0</v>
      </c>
      <c r="T574" s="14" t="str">
        <f>VLOOKUP(E574,[1]Lookups!$H$3:$I$71,2,FALSE)</f>
        <v>2. Seed</v>
      </c>
      <c r="U574" s="14" t="str">
        <f>VLOOKUP(K574,[1]Lookups!$B$3:$C$142,2,FALSE)</f>
        <v>Transport &amp; Logistics</v>
      </c>
      <c r="V574" s="14">
        <f t="shared" si="735"/>
        <v>2018</v>
      </c>
      <c r="W574" s="14">
        <f t="shared" si="736"/>
        <v>6</v>
      </c>
      <c r="X574" s="14">
        <f>VLOOKUP(W574,[1]Lookups!$P$3:$S$15,2,FALSE)</f>
        <v>2</v>
      </c>
      <c r="Y574" s="16">
        <f>VLOOKUP(W574,[1]Lookups!$P$3:$U$15,3,FALSE)</f>
        <v>1</v>
      </c>
      <c r="Z574" s="16">
        <f t="shared" si="737"/>
        <v>1</v>
      </c>
      <c r="AA574" s="16" t="str">
        <f t="shared" ca="1" si="802"/>
        <v>Seedstars</v>
      </c>
      <c r="AB574" s="16">
        <f t="shared" si="802"/>
        <v>0</v>
      </c>
      <c r="AC574" s="16">
        <f t="shared" si="802"/>
        <v>0</v>
      </c>
      <c r="AD574" s="16">
        <f t="shared" si="802"/>
        <v>0</v>
      </c>
      <c r="AE574" s="16">
        <f t="shared" si="802"/>
        <v>0</v>
      </c>
      <c r="AF574" s="16">
        <f t="shared" si="802"/>
        <v>0</v>
      </c>
      <c r="AG574" s="16">
        <f t="shared" si="802"/>
        <v>0</v>
      </c>
      <c r="AH574" s="16">
        <f t="shared" si="802"/>
        <v>0</v>
      </c>
      <c r="AI574" s="16">
        <f t="shared" si="802"/>
        <v>0</v>
      </c>
      <c r="AJ574" s="16">
        <f t="shared" si="802"/>
        <v>0</v>
      </c>
      <c r="AK574" s="16">
        <f t="shared" si="802"/>
        <v>0</v>
      </c>
      <c r="AL574" s="16">
        <f t="shared" si="802"/>
        <v>0</v>
      </c>
      <c r="AM574" s="16">
        <f t="shared" si="802"/>
        <v>0</v>
      </c>
      <c r="AN574" s="16">
        <f t="shared" si="802"/>
        <v>0</v>
      </c>
      <c r="AO574" s="16">
        <f t="shared" si="802"/>
        <v>0</v>
      </c>
      <c r="AP574" s="10"/>
      <c r="AQ574" s="10"/>
      <c r="AR574" s="10"/>
      <c r="AS574" s="10" t="str">
        <f t="shared" ref="AS574" ca="1" si="804">IFERROR(__xludf.DUMMYFUNCTION("split(F479,"","",true,true)"),"Seedstars")</f>
        <v>Seedstars</v>
      </c>
      <c r="AT574" s="10"/>
      <c r="AU574" s="10"/>
      <c r="AV574" s="10"/>
      <c r="AW574" s="10"/>
      <c r="AX574" s="10"/>
      <c r="AY574" s="10"/>
      <c r="AZ574" s="10"/>
      <c r="BA574" s="10"/>
      <c r="BB574" s="10"/>
      <c r="BC574" s="10"/>
      <c r="BD574" s="10"/>
      <c r="BE574" s="10"/>
      <c r="BF574" s="10"/>
      <c r="BG574" s="10"/>
      <c r="BH574" s="10"/>
      <c r="BI574" s="10"/>
      <c r="BJ574" s="10"/>
      <c r="BK574" s="10"/>
      <c r="BM574" s="10"/>
    </row>
    <row r="575" spans="1:65" ht="12.75">
      <c r="A575" s="18">
        <v>43278</v>
      </c>
      <c r="B575" s="14" t="s">
        <v>1299</v>
      </c>
      <c r="C575" s="19" t="s">
        <v>49</v>
      </c>
      <c r="D575" s="19"/>
      <c r="E575" s="14" t="s">
        <v>45</v>
      </c>
      <c r="F575" s="14" t="s">
        <v>1083</v>
      </c>
      <c r="G575" s="27" t="s">
        <v>1300</v>
      </c>
      <c r="H575" s="14" t="str">
        <f t="array" ref="H575">IFERROR(INDEX([1]Companies!$G:$G,MATCH(B575,[1]Companies!$A:$A,0)),"")</f>
        <v>Uganda</v>
      </c>
      <c r="I575" s="14" t="str">
        <f t="shared" si="694"/>
        <v>Uganda</v>
      </c>
      <c r="J575" s="14" t="str">
        <f t="array" ref="J575">IFERROR(INDEX([1]Companies!$Y:$Y,MATCH(B575,[1]Companies!$A:$A,0)),"")</f>
        <v>Artificial Intelligence, Health Care, Health Diagnostics, Machine Learning, Medical, Medical Device</v>
      </c>
      <c r="K575" s="14" t="str">
        <f t="array" ref="K575">IFERROR(INDEX([1]Companies!$X:$X,MATCH(B575,[1]Companies!$A:$A,0)),"")</f>
        <v>Healthcare &amp; Pharma</v>
      </c>
      <c r="L575" s="14" t="str">
        <f>VLOOKUP(B575,[1]Companies!$A$1:$C$5243,1,FALSE)</f>
        <v>Mamaope</v>
      </c>
      <c r="M575" s="15">
        <f t="shared" si="695"/>
        <v>0.9</v>
      </c>
      <c r="N575" s="10" t="str">
        <f t="shared" si="696"/>
        <v>43278MamaOpeUndisclosed</v>
      </c>
      <c r="O575" s="14" t="str">
        <f t="shared" si="697"/>
        <v/>
      </c>
      <c r="P575" s="14">
        <f t="shared" si="698"/>
        <v>0</v>
      </c>
      <c r="Q575" s="14">
        <f t="array" ref="Q575">IFERROR(INDEX([1]Companies!$D:$D,MATCH(B575,[1]Companies!$A:$A,0)),"")</f>
        <v>2017</v>
      </c>
      <c r="R575" s="17">
        <f t="shared" si="699"/>
        <v>0</v>
      </c>
      <c r="S575" s="14">
        <f>VLOOKUP(I575,[1]Lookups!$V$3:$Y$197,4,FALSE)</f>
        <v>0</v>
      </c>
      <c r="T575" s="14" t="str">
        <f>VLOOKUP(E575,[1]Lookups!$H$3:$I$71,2,FALSE)</f>
        <v>2. Seed</v>
      </c>
      <c r="U575" s="14" t="str">
        <f>VLOOKUP(K575,[1]Lookups!$B$3:$C$142,2,FALSE)</f>
        <v>Health &amp; Pharmaceuticals</v>
      </c>
      <c r="V575" s="14">
        <f t="shared" si="735"/>
        <v>2018</v>
      </c>
      <c r="W575" s="14">
        <f t="shared" si="736"/>
        <v>6</v>
      </c>
      <c r="X575" s="14">
        <f>VLOOKUP(W575,[1]Lookups!$P$3:$S$15,2,FALSE)</f>
        <v>2</v>
      </c>
      <c r="Y575" s="16">
        <f>VLOOKUP(W575,[1]Lookups!$P$3:$U$15,3,FALSE)</f>
        <v>1</v>
      </c>
      <c r="Z575" s="16">
        <f t="shared" si="737"/>
        <v>1</v>
      </c>
      <c r="AA575" s="16" t="str">
        <f t="shared" ca="1" si="802"/>
        <v>Seedstars</v>
      </c>
      <c r="AB575" s="16">
        <f t="shared" si="802"/>
        <v>0</v>
      </c>
      <c r="AC575" s="16">
        <f t="shared" si="802"/>
        <v>0</v>
      </c>
      <c r="AD575" s="16">
        <f t="shared" si="802"/>
        <v>0</v>
      </c>
      <c r="AE575" s="16">
        <f t="shared" si="802"/>
        <v>0</v>
      </c>
      <c r="AF575" s="16">
        <f t="shared" si="802"/>
        <v>0</v>
      </c>
      <c r="AG575" s="16">
        <f t="shared" si="802"/>
        <v>0</v>
      </c>
      <c r="AH575" s="16">
        <f t="shared" si="802"/>
        <v>0</v>
      </c>
      <c r="AI575" s="16">
        <f t="shared" si="802"/>
        <v>0</v>
      </c>
      <c r="AJ575" s="16">
        <f t="shared" si="802"/>
        <v>0</v>
      </c>
      <c r="AK575" s="16">
        <f t="shared" si="802"/>
        <v>0</v>
      </c>
      <c r="AL575" s="16">
        <f t="shared" si="802"/>
        <v>0</v>
      </c>
      <c r="AM575" s="16">
        <f t="shared" si="802"/>
        <v>0</v>
      </c>
      <c r="AN575" s="16">
        <f t="shared" si="802"/>
        <v>0</v>
      </c>
      <c r="AO575" s="16">
        <f t="shared" si="802"/>
        <v>0</v>
      </c>
      <c r="AP575" s="10"/>
      <c r="AQ575" s="10"/>
      <c r="AR575" s="10"/>
      <c r="AS575" s="10" t="str">
        <f t="shared" ref="AS575" ca="1" si="805">IFERROR(__xludf.DUMMYFUNCTION("split(F479,"","",true,true)"),"Seedstars")</f>
        <v>Seedstars</v>
      </c>
      <c r="AT575" s="10"/>
      <c r="AU575" s="10"/>
      <c r="AV575" s="10"/>
      <c r="AW575" s="10"/>
      <c r="AX575" s="10"/>
      <c r="AY575" s="10"/>
      <c r="AZ575" s="10"/>
      <c r="BA575" s="10"/>
      <c r="BB575" s="10"/>
      <c r="BC575" s="10"/>
      <c r="BD575" s="10"/>
      <c r="BE575" s="10"/>
      <c r="BF575" s="10"/>
      <c r="BG575" s="10"/>
      <c r="BH575" s="10"/>
      <c r="BI575" s="10"/>
      <c r="BJ575" s="10"/>
      <c r="BK575" s="10"/>
      <c r="BM575" s="10"/>
    </row>
    <row r="576" spans="1:65" ht="12.75">
      <c r="A576" s="18">
        <v>43278</v>
      </c>
      <c r="B576" s="14" t="s">
        <v>1301</v>
      </c>
      <c r="C576" s="19">
        <v>15000</v>
      </c>
      <c r="D576" s="19"/>
      <c r="E576" s="14" t="s">
        <v>45</v>
      </c>
      <c r="F576" s="14" t="s">
        <v>1281</v>
      </c>
      <c r="G576" s="27" t="s">
        <v>1107</v>
      </c>
      <c r="H576" s="14" t="str">
        <f t="array" ref="H576">IFERROR(INDEX([1]Companies!$G:$G,MATCH(B576,[1]Companies!$A:$A,0)),"")</f>
        <v>Nigeria</v>
      </c>
      <c r="I576" s="14" t="str">
        <f t="shared" si="694"/>
        <v>Nigeria</v>
      </c>
      <c r="J576" s="14" t="str">
        <f t="array" ref="J576">IFERROR(INDEX([1]Companies!$Y:$Y,MATCH(B576,[1]Companies!$A:$A,0)),"")</f>
        <v>Bitcoin, Cryptocurrency, Mobile Apps</v>
      </c>
      <c r="K576" s="14" t="str">
        <f t="array" ref="K576">IFERROR(INDEX([1]Companies!$X:$X,MATCH(B576,[1]Companies!$A:$A,0)),"")</f>
        <v>Financial Services</v>
      </c>
      <c r="L576" s="14" t="str">
        <f>VLOOKUP(B576,[1]Companies!$A$1:$C$5243,1,FALSE)</f>
        <v>Buycoins</v>
      </c>
      <c r="M576" s="15">
        <f t="shared" si="695"/>
        <v>0.9</v>
      </c>
      <c r="N576" s="10" t="str">
        <f t="shared" si="696"/>
        <v>43278BuyCoins15000</v>
      </c>
      <c r="O576" s="14" t="str">
        <f t="shared" si="697"/>
        <v/>
      </c>
      <c r="P576" s="14">
        <f t="shared" si="698"/>
        <v>1</v>
      </c>
      <c r="Q576" s="14">
        <f t="array" ref="Q576">IFERROR(INDEX([1]Companies!$D:$D,MATCH(B576,[1]Companies!$A:$A,0)),"")</f>
        <v>2017</v>
      </c>
      <c r="R576" s="17">
        <f t="shared" si="699"/>
        <v>1235000</v>
      </c>
      <c r="S576" s="14">
        <f>VLOOKUP(I576,[1]Lookups!$V$3:$Y$197,4,FALSE)</f>
        <v>0</v>
      </c>
      <c r="T576" s="14" t="str">
        <f>VLOOKUP(E576,[1]Lookups!$H$3:$I$71,2,FALSE)</f>
        <v>2. Seed</v>
      </c>
      <c r="U576" s="14" t="str">
        <f>VLOOKUP(K576,[1]Lookups!$B$3:$C$142,2,FALSE)</f>
        <v>Financial Services</v>
      </c>
      <c r="V576" s="14">
        <f t="shared" si="735"/>
        <v>2018</v>
      </c>
      <c r="W576" s="14">
        <f t="shared" si="736"/>
        <v>6</v>
      </c>
      <c r="X576" s="14">
        <f>VLOOKUP(W576,[1]Lookups!$P$3:$S$15,2,FALSE)</f>
        <v>2</v>
      </c>
      <c r="Y576" s="16">
        <f>VLOOKUP(W576,[1]Lookups!$P$3:$U$15,3,FALSE)</f>
        <v>1</v>
      </c>
      <c r="Z576" s="16">
        <f t="shared" si="737"/>
        <v>1</v>
      </c>
      <c r="AA576" s="16" t="str">
        <f t="shared" ca="1" si="802"/>
        <v>Seedstars</v>
      </c>
      <c r="AB576" s="16">
        <f t="shared" si="802"/>
        <v>0</v>
      </c>
      <c r="AC576" s="16">
        <f t="shared" si="802"/>
        <v>0</v>
      </c>
      <c r="AD576" s="16">
        <f t="shared" si="802"/>
        <v>0</v>
      </c>
      <c r="AE576" s="16">
        <f t="shared" si="802"/>
        <v>0</v>
      </c>
      <c r="AF576" s="16">
        <f t="shared" si="802"/>
        <v>0</v>
      </c>
      <c r="AG576" s="16">
        <f t="shared" si="802"/>
        <v>0</v>
      </c>
      <c r="AH576" s="16">
        <f t="shared" si="802"/>
        <v>0</v>
      </c>
      <c r="AI576" s="16">
        <f t="shared" si="802"/>
        <v>0</v>
      </c>
      <c r="AJ576" s="16">
        <f t="shared" si="802"/>
        <v>0</v>
      </c>
      <c r="AK576" s="16">
        <f t="shared" si="802"/>
        <v>0</v>
      </c>
      <c r="AL576" s="16">
        <f t="shared" si="802"/>
        <v>0</v>
      </c>
      <c r="AM576" s="16">
        <f t="shared" si="802"/>
        <v>0</v>
      </c>
      <c r="AN576" s="16">
        <f t="shared" si="802"/>
        <v>0</v>
      </c>
      <c r="AO576" s="16">
        <f t="shared" si="802"/>
        <v>0</v>
      </c>
      <c r="AP576" s="10"/>
      <c r="AQ576" s="10"/>
      <c r="AR576" s="10"/>
      <c r="AS576" s="10" t="str">
        <f t="shared" ref="AS576" ca="1" si="806">IFERROR(__xludf.DUMMYFUNCTION("split(F479,"","",true,true)"),"Seedstars")</f>
        <v>Seedstars</v>
      </c>
      <c r="AT576" s="10"/>
      <c r="AU576" s="10"/>
      <c r="AV576" s="10"/>
      <c r="AW576" s="10"/>
      <c r="AX576" s="10"/>
      <c r="AY576" s="10"/>
      <c r="AZ576" s="10"/>
      <c r="BA576" s="10"/>
      <c r="BB576" s="10"/>
      <c r="BC576" s="10"/>
      <c r="BD576" s="10"/>
      <c r="BE576" s="10"/>
      <c r="BF576" s="10"/>
      <c r="BG576" s="10"/>
      <c r="BH576" s="10"/>
      <c r="BI576" s="10"/>
      <c r="BJ576" s="10"/>
      <c r="BK576" s="10"/>
      <c r="BM576" s="10"/>
    </row>
    <row r="577" spans="1:65" ht="12.75">
      <c r="A577" s="18">
        <v>43278</v>
      </c>
      <c r="B577" s="14" t="s">
        <v>1302</v>
      </c>
      <c r="C577" s="19">
        <v>13903</v>
      </c>
      <c r="D577" s="19"/>
      <c r="E577" s="14" t="s">
        <v>55</v>
      </c>
      <c r="F577" s="14" t="s">
        <v>1303</v>
      </c>
      <c r="G577" s="27" t="s">
        <v>1304</v>
      </c>
      <c r="H577" s="14" t="str">
        <f t="array" ref="H577">IFERROR(INDEX([1]Companies!$G:$G,MATCH(B577,[1]Companies!$A:$A,0)),"")</f>
        <v>Nigeria</v>
      </c>
      <c r="I577" s="14" t="str">
        <f t="shared" si="694"/>
        <v>Nigeria</v>
      </c>
      <c r="J577" s="14" t="str">
        <f t="array" ref="J577">IFERROR(INDEX([1]Companies!$Y:$Y,MATCH(B577,[1]Companies!$A:$A,0)),"")</f>
        <v>E-Booking</v>
      </c>
      <c r="K577" s="14" t="str">
        <f t="array" ref="K577">IFERROR(INDEX([1]Companies!$X:$X,MATCH(B577,[1]Companies!$A:$A,0)),"")</f>
        <v>Transport &amp; Logistics</v>
      </c>
      <c r="L577" s="14" t="str">
        <f>VLOOKUP(B577,[1]Companies!$A$1:$C$5243,1,FALSE)</f>
        <v>Staffbus</v>
      </c>
      <c r="M577" s="15">
        <f t="shared" si="695"/>
        <v>0.9</v>
      </c>
      <c r="N577" s="10" t="str">
        <f t="shared" si="696"/>
        <v>43278Staffbus13903</v>
      </c>
      <c r="O577" s="14" t="str">
        <f t="shared" si="697"/>
        <v/>
      </c>
      <c r="P577" s="14">
        <f t="shared" si="698"/>
        <v>1</v>
      </c>
      <c r="Q577" s="14">
        <f t="array" ref="Q577">IFERROR(INDEX([1]Companies!$D:$D,MATCH(B577,[1]Companies!$A:$A,0)),"")</f>
        <v>2016</v>
      </c>
      <c r="R577" s="17">
        <f t="shared" si="699"/>
        <v>13903</v>
      </c>
      <c r="S577" s="14">
        <f>VLOOKUP(I577,[1]Lookups!$V$3:$Y$197,4,FALSE)</f>
        <v>0</v>
      </c>
      <c r="T577" s="14" t="str">
        <f>VLOOKUP(E577,[1]Lookups!$H$3:$I$71,2,FALSE)</f>
        <v>1. Grant</v>
      </c>
      <c r="U577" s="14" t="str">
        <f>VLOOKUP(K577,[1]Lookups!$B$3:$C$142,2,FALSE)</f>
        <v>Transport &amp; Logistics</v>
      </c>
      <c r="V577" s="14">
        <f t="shared" si="735"/>
        <v>2018</v>
      </c>
      <c r="W577" s="14">
        <f t="shared" si="736"/>
        <v>6</v>
      </c>
      <c r="X577" s="14">
        <f>VLOOKUP(W577,[1]Lookups!$P$3:$S$15,2,FALSE)</f>
        <v>2</v>
      </c>
      <c r="Y577" s="16">
        <f>VLOOKUP(W577,[1]Lookups!$P$3:$U$15,3,FALSE)</f>
        <v>1</v>
      </c>
      <c r="Z577" s="16">
        <f t="shared" si="737"/>
        <v>1</v>
      </c>
      <c r="AA577" s="16" t="str">
        <f t="shared" ca="1" si="802"/>
        <v>Seedstars</v>
      </c>
      <c r="AB577" s="16">
        <f t="shared" si="802"/>
        <v>0</v>
      </c>
      <c r="AC577" s="16">
        <f t="shared" si="802"/>
        <v>0</v>
      </c>
      <c r="AD577" s="16">
        <f t="shared" si="802"/>
        <v>0</v>
      </c>
      <c r="AE577" s="16">
        <f t="shared" si="802"/>
        <v>0</v>
      </c>
      <c r="AF577" s="16">
        <f t="shared" si="802"/>
        <v>0</v>
      </c>
      <c r="AG577" s="16">
        <f t="shared" si="802"/>
        <v>0</v>
      </c>
      <c r="AH577" s="16">
        <f t="shared" si="802"/>
        <v>0</v>
      </c>
      <c r="AI577" s="16">
        <f t="shared" si="802"/>
        <v>0</v>
      </c>
      <c r="AJ577" s="16">
        <f t="shared" si="802"/>
        <v>0</v>
      </c>
      <c r="AK577" s="16">
        <f t="shared" si="802"/>
        <v>0</v>
      </c>
      <c r="AL577" s="16">
        <f t="shared" si="802"/>
        <v>0</v>
      </c>
      <c r="AM577" s="16">
        <f t="shared" si="802"/>
        <v>0</v>
      </c>
      <c r="AN577" s="16">
        <f t="shared" si="802"/>
        <v>0</v>
      </c>
      <c r="AO577" s="16">
        <f t="shared" si="802"/>
        <v>0</v>
      </c>
      <c r="AP577" s="10"/>
      <c r="AQ577" s="10"/>
      <c r="AR577" s="10"/>
      <c r="AS577" s="10" t="str">
        <f t="shared" ref="AS577" ca="1" si="807">IFERROR(__xludf.DUMMYFUNCTION("split(F479,"","",true,true)"),"Seedstars")</f>
        <v>Seedstars</v>
      </c>
      <c r="AT577" s="10"/>
      <c r="AU577" s="10"/>
      <c r="AV577" s="10"/>
      <c r="AW577" s="10"/>
      <c r="AX577" s="10"/>
      <c r="AY577" s="10"/>
      <c r="AZ577" s="10"/>
      <c r="BA577" s="10"/>
      <c r="BB577" s="10"/>
      <c r="BC577" s="10"/>
      <c r="BD577" s="10"/>
      <c r="BE577" s="10"/>
      <c r="BF577" s="10"/>
      <c r="BG577" s="10"/>
      <c r="BH577" s="10"/>
      <c r="BI577" s="10"/>
      <c r="BJ577" s="10"/>
      <c r="BK577" s="10"/>
      <c r="BM577" s="10"/>
    </row>
    <row r="578" spans="1:65" ht="12.75">
      <c r="A578" s="18">
        <v>43279</v>
      </c>
      <c r="B578" s="14" t="s">
        <v>1305</v>
      </c>
      <c r="C578" s="19">
        <v>1200000</v>
      </c>
      <c r="D578" s="19"/>
      <c r="E578" s="14" t="s">
        <v>45</v>
      </c>
      <c r="F578" s="14" t="s">
        <v>1306</v>
      </c>
      <c r="G578" s="27" t="s">
        <v>1307</v>
      </c>
      <c r="H578" s="14" t="str">
        <f t="array" ref="H578">IFERROR(INDEX([1]Companies!$G:$G,MATCH(B578,[1]Companies!$A:$A,0)),"")</f>
        <v>Nigeria</v>
      </c>
      <c r="I578" s="14" t="str">
        <f t="shared" si="694"/>
        <v>Nigeria</v>
      </c>
      <c r="J578" s="14" t="str">
        <f t="array" ref="J578">IFERROR(INDEX([1]Companies!$Y:$Y,MATCH(B578,[1]Companies!$A:$A,0)),"")</f>
        <v>SMEs export/import solution, E-commerce Supply Chain, Mail/Parcel, Office/Home Moving, Haulage, Air Freight, Project Cargo, Sea Freight, Agribusiness</v>
      </c>
      <c r="K578" s="14" t="str">
        <f t="array" ref="K578">IFERROR(INDEX([1]Companies!$X:$X,MATCH(B578,[1]Companies!$A:$A,0)),"")</f>
        <v>Transport &amp; Logistics</v>
      </c>
      <c r="L578" s="14" t="str">
        <f>VLOOKUP(B578,[1]Companies!$A$1:$C$5243,1,FALSE)</f>
        <v>Kobo360</v>
      </c>
      <c r="M578" s="15">
        <f t="shared" si="695"/>
        <v>0.9</v>
      </c>
      <c r="N578" s="10" t="str">
        <f t="shared" si="696"/>
        <v>43279Kobo3601200000</v>
      </c>
      <c r="O578" s="14" t="str">
        <f t="shared" si="697"/>
        <v/>
      </c>
      <c r="P578" s="14">
        <f t="shared" si="698"/>
        <v>1</v>
      </c>
      <c r="Q578" s="14">
        <f t="array" ref="Q578">IFERROR(INDEX([1]Companies!$D:$D,MATCH(B578,[1]Companies!$A:$A,0)),"")</f>
        <v>2017</v>
      </c>
      <c r="R578" s="17">
        <f t="shared" si="699"/>
        <v>37320000</v>
      </c>
      <c r="S578" s="14">
        <f>VLOOKUP(I578,[1]Lookups!$V$3:$Y$197,4,FALSE)</f>
        <v>0</v>
      </c>
      <c r="T578" s="14" t="str">
        <f>VLOOKUP(E578,[1]Lookups!$H$3:$I$71,2,FALSE)</f>
        <v>2. Seed</v>
      </c>
      <c r="U578" s="14" t="str">
        <f>VLOOKUP(K578,[1]Lookups!$B$3:$C$142,2,FALSE)</f>
        <v>Transport &amp; Logistics</v>
      </c>
      <c r="V578" s="14">
        <f t="shared" si="735"/>
        <v>2018</v>
      </c>
      <c r="W578" s="14">
        <f t="shared" si="736"/>
        <v>6</v>
      </c>
      <c r="X578" s="14">
        <f>VLOOKUP(W578,[1]Lookups!$P$3:$S$15,2,FALSE)</f>
        <v>2</v>
      </c>
      <c r="Y578" s="16">
        <f>VLOOKUP(W578,[1]Lookups!$P$3:$U$15,3,FALSE)</f>
        <v>1</v>
      </c>
      <c r="Z578" s="16">
        <f t="shared" si="737"/>
        <v>2</v>
      </c>
      <c r="AA578" s="16" t="str">
        <f t="shared" ca="1" si="802"/>
        <v>Seedstars</v>
      </c>
      <c r="AB578" s="16" t="str">
        <f t="shared" ca="1" si="802"/>
        <v>Africa Future Limited</v>
      </c>
      <c r="AC578" s="16">
        <f t="shared" si="802"/>
        <v>0</v>
      </c>
      <c r="AD578" s="16">
        <f t="shared" si="802"/>
        <v>0</v>
      </c>
      <c r="AE578" s="16">
        <f t="shared" si="802"/>
        <v>0</v>
      </c>
      <c r="AF578" s="16">
        <f t="shared" si="802"/>
        <v>0</v>
      </c>
      <c r="AG578" s="16">
        <f t="shared" si="802"/>
        <v>0</v>
      </c>
      <c r="AH578" s="16">
        <f t="shared" si="802"/>
        <v>0</v>
      </c>
      <c r="AI578" s="16">
        <f t="shared" si="802"/>
        <v>0</v>
      </c>
      <c r="AJ578" s="16">
        <f t="shared" si="802"/>
        <v>0</v>
      </c>
      <c r="AK578" s="16">
        <f t="shared" si="802"/>
        <v>0</v>
      </c>
      <c r="AL578" s="16">
        <f t="shared" si="802"/>
        <v>0</v>
      </c>
      <c r="AM578" s="16">
        <f t="shared" si="802"/>
        <v>0</v>
      </c>
      <c r="AN578" s="16">
        <f t="shared" si="802"/>
        <v>0</v>
      </c>
      <c r="AO578" s="16">
        <f t="shared" si="802"/>
        <v>0</v>
      </c>
      <c r="AP578" s="10"/>
      <c r="AQ578" s="10"/>
      <c r="AR578" s="10"/>
      <c r="AS578" s="10" t="str">
        <f t="shared" ref="AS578" ca="1" si="808">IFERROR(__xludf.DUMMYFUNCTION("split(F479,"","",true,true)"),"Seedstars")</f>
        <v>Seedstars</v>
      </c>
      <c r="AT578" s="10" t="str">
        <f ca="1">IFERROR(__xludf.DUMMYFUNCTION("""COMPUTED_VALUE"""),"Africa Future Limited")</f>
        <v>Africa Future Limited</v>
      </c>
      <c r="AU578" s="10"/>
      <c r="AV578" s="10"/>
      <c r="AW578" s="10"/>
      <c r="AX578" s="10"/>
      <c r="AY578" s="10"/>
      <c r="AZ578" s="10"/>
      <c r="BA578" s="10"/>
      <c r="BB578" s="10"/>
      <c r="BC578" s="10"/>
      <c r="BD578" s="10"/>
      <c r="BE578" s="10"/>
      <c r="BF578" s="10"/>
      <c r="BG578" s="10"/>
      <c r="BH578" s="10"/>
      <c r="BI578" s="10"/>
      <c r="BJ578" s="10"/>
      <c r="BK578" s="10"/>
      <c r="BM578" s="10"/>
    </row>
    <row r="579" spans="1:65" ht="12.75">
      <c r="A579" s="18">
        <v>43280</v>
      </c>
      <c r="B579" s="14" t="s">
        <v>1308</v>
      </c>
      <c r="C579" s="19" t="s">
        <v>49</v>
      </c>
      <c r="D579" s="19"/>
      <c r="E579" s="14" t="s">
        <v>45</v>
      </c>
      <c r="F579" s="14" t="s">
        <v>1273</v>
      </c>
      <c r="G579" s="27" t="s">
        <v>1309</v>
      </c>
      <c r="H579" s="14" t="str">
        <f t="array" ref="H579">IFERROR(INDEX([1]Companies!$G:$G,MATCH(B579,[1]Companies!$A:$A,0)),"")</f>
        <v>Zambia</v>
      </c>
      <c r="I579" s="14" t="str">
        <f t="shared" si="694"/>
        <v>Zambia</v>
      </c>
      <c r="J579" s="14" t="str">
        <f t="array" ref="J579">IFERROR(INDEX([1]Companies!$Y:$Y,MATCH(B579,[1]Companies!$A:$A,0)),"")</f>
        <v>Apps, Internet, Retail</v>
      </c>
      <c r="K579" s="14" t="str">
        <f t="array" ref="K579">IFERROR(INDEX([1]Companies!$X:$X,MATCH(B579,[1]Companies!$A:$A,0)),"")</f>
        <v>Financial services</v>
      </c>
      <c r="L579" s="14" t="str">
        <f>VLOOKUP(B579,[1]Companies!$A$1:$C$5243,1,FALSE)</f>
        <v>ZPOS</v>
      </c>
      <c r="M579" s="15">
        <f t="shared" si="695"/>
        <v>0.9</v>
      </c>
      <c r="N579" s="10" t="str">
        <f t="shared" si="696"/>
        <v>43280ZPOSUndisclosed</v>
      </c>
      <c r="O579" s="14" t="str">
        <f t="shared" si="697"/>
        <v/>
      </c>
      <c r="P579" s="14">
        <f t="shared" si="698"/>
        <v>0</v>
      </c>
      <c r="Q579" s="14">
        <f t="array" ref="Q579">IFERROR(INDEX([1]Companies!$D:$D,MATCH(B579,[1]Companies!$A:$A,0)),"")</f>
        <v>2016</v>
      </c>
      <c r="R579" s="17">
        <f t="shared" si="699"/>
        <v>0</v>
      </c>
      <c r="S579" s="14">
        <f>VLOOKUP(I579,[1]Lookups!$V$3:$Y$197,4,FALSE)</f>
        <v>0</v>
      </c>
      <c r="T579" s="14" t="str">
        <f>VLOOKUP(E579,[1]Lookups!$H$3:$I$71,2,FALSE)</f>
        <v>2. Seed</v>
      </c>
      <c r="U579" s="14" t="str">
        <f>VLOOKUP(K579,[1]Lookups!$B$3:$C$142,2,FALSE)</f>
        <v>Financial Services</v>
      </c>
      <c r="V579" s="14">
        <f t="shared" si="735"/>
        <v>2018</v>
      </c>
      <c r="W579" s="14">
        <f t="shared" si="736"/>
        <v>6</v>
      </c>
      <c r="X579" s="14">
        <f>VLOOKUP(W579,[1]Lookups!$P$3:$S$15,2,FALSE)</f>
        <v>2</v>
      </c>
      <c r="Y579" s="16">
        <f>VLOOKUP(W579,[1]Lookups!$P$3:$U$15,3,FALSE)</f>
        <v>1</v>
      </c>
      <c r="Z579" s="16">
        <f t="shared" si="737"/>
        <v>1</v>
      </c>
      <c r="AA579" s="16" t="str">
        <f t="shared" ca="1" si="802"/>
        <v>Seedstars</v>
      </c>
      <c r="AB579" s="16">
        <f t="shared" si="802"/>
        <v>0</v>
      </c>
      <c r="AC579" s="16">
        <f t="shared" si="802"/>
        <v>0</v>
      </c>
      <c r="AD579" s="16">
        <f t="shared" si="802"/>
        <v>0</v>
      </c>
      <c r="AE579" s="16">
        <f t="shared" si="802"/>
        <v>0</v>
      </c>
      <c r="AF579" s="16">
        <f t="shared" si="802"/>
        <v>0</v>
      </c>
      <c r="AG579" s="16">
        <f t="shared" si="802"/>
        <v>0</v>
      </c>
      <c r="AH579" s="16">
        <f t="shared" si="802"/>
        <v>0</v>
      </c>
      <c r="AI579" s="16">
        <f t="shared" si="802"/>
        <v>0</v>
      </c>
      <c r="AJ579" s="16">
        <f t="shared" si="802"/>
        <v>0</v>
      </c>
      <c r="AK579" s="16">
        <f t="shared" si="802"/>
        <v>0</v>
      </c>
      <c r="AL579" s="16">
        <f t="shared" si="802"/>
        <v>0</v>
      </c>
      <c r="AM579" s="16">
        <f t="shared" si="802"/>
        <v>0</v>
      </c>
      <c r="AN579" s="16">
        <f t="shared" si="802"/>
        <v>0</v>
      </c>
      <c r="AO579" s="16">
        <f t="shared" si="802"/>
        <v>0</v>
      </c>
      <c r="AP579" s="10"/>
      <c r="AQ579" s="10"/>
      <c r="AR579" s="10"/>
      <c r="AS579" s="10" t="str">
        <f t="shared" ref="AS579" ca="1" si="809">IFERROR(__xludf.DUMMYFUNCTION("split(F479,"","",true,true)"),"Seedstars")</f>
        <v>Seedstars</v>
      </c>
      <c r="AT579" s="10"/>
      <c r="AU579" s="10"/>
      <c r="AV579" s="10"/>
      <c r="AW579" s="10"/>
      <c r="AX579" s="10"/>
      <c r="AY579" s="10"/>
      <c r="AZ579" s="10"/>
      <c r="BA579" s="10"/>
      <c r="BB579" s="10"/>
      <c r="BC579" s="10"/>
      <c r="BD579" s="10"/>
      <c r="BE579" s="10"/>
      <c r="BF579" s="10"/>
      <c r="BG579" s="10"/>
      <c r="BH579" s="10"/>
      <c r="BI579" s="10"/>
      <c r="BJ579" s="10"/>
      <c r="BK579" s="10"/>
      <c r="BM579" s="10"/>
    </row>
    <row r="580" spans="1:65" ht="12.75">
      <c r="A580" s="9">
        <v>43280</v>
      </c>
      <c r="B580" s="10" t="s">
        <v>656</v>
      </c>
      <c r="C580" s="11" t="s">
        <v>49</v>
      </c>
      <c r="D580" s="12"/>
      <c r="E580" s="10" t="s">
        <v>45</v>
      </c>
      <c r="F580" s="10" t="s">
        <v>1273</v>
      </c>
      <c r="G580" s="13" t="s">
        <v>1310</v>
      </c>
      <c r="H580" s="14" t="str">
        <f t="array" ref="H580">IFERROR(INDEX([1]Companies!$G:$G,MATCH(B580,[1]Companies!$A:$A,0)),"")</f>
        <v>Zambia</v>
      </c>
      <c r="I580" s="14" t="str">
        <f t="shared" si="694"/>
        <v>Zambia</v>
      </c>
      <c r="J580" s="14" t="str">
        <f t="array" ref="J580">IFERROR(INDEX([1]Companies!$Y:$Y,MATCH(B580,[1]Companies!$A:$A,0)),"")</f>
        <v>Information Services, Information Technology, Technical Support</v>
      </c>
      <c r="K580" s="14" t="str">
        <f t="array" ref="K580">IFERROR(INDEX([1]Companies!$X:$X,MATCH(B580,[1]Companies!$A:$A,0)),"")</f>
        <v>Information Technology</v>
      </c>
      <c r="L580" s="14" t="str">
        <f>VLOOKUP(B580,[1]Companies!$A$1:$C$5243,1,FALSE)</f>
        <v>Outsource Now</v>
      </c>
      <c r="M580" s="15">
        <f t="shared" si="695"/>
        <v>0.9</v>
      </c>
      <c r="N580" s="10" t="str">
        <f t="shared" si="696"/>
        <v>43280Outsource NowUndisclosed</v>
      </c>
      <c r="O580" s="14" t="str">
        <f t="shared" si="697"/>
        <v/>
      </c>
      <c r="P580" s="14">
        <f t="shared" si="698"/>
        <v>0</v>
      </c>
      <c r="Q580" s="14">
        <f t="array" ref="Q580">IFERROR(INDEX([1]Companies!$D:$D,MATCH(B580,[1]Companies!$A:$A,0)),"")</f>
        <v>2017</v>
      </c>
      <c r="R580" s="17">
        <f t="shared" si="699"/>
        <v>0</v>
      </c>
      <c r="S580" s="14">
        <f>VLOOKUP(I580,[1]Lookups!$V$3:$Y$197,4,FALSE)</f>
        <v>0</v>
      </c>
      <c r="T580" s="14" t="str">
        <f>VLOOKUP(E580,[1]Lookups!$H$3:$I$71,2,FALSE)</f>
        <v>2. Seed</v>
      </c>
      <c r="U580" s="14" t="str">
        <f>VLOOKUP(K580,[1]Lookups!$B$3:$C$142,2,FALSE)</f>
        <v>Other Technologies &amp; Information Technology</v>
      </c>
      <c r="V580" s="14">
        <f t="shared" si="735"/>
        <v>2018</v>
      </c>
      <c r="W580" s="14">
        <f t="shared" si="736"/>
        <v>6</v>
      </c>
      <c r="X580" s="14">
        <f>VLOOKUP(W580,[1]Lookups!$P$3:$S$15,2,FALSE)</f>
        <v>2</v>
      </c>
      <c r="Y580" s="16">
        <f>VLOOKUP(W580,[1]Lookups!$P$3:$U$15,3,FALSE)</f>
        <v>1</v>
      </c>
      <c r="Z580" s="16">
        <f t="shared" si="737"/>
        <v>1</v>
      </c>
      <c r="AA580" s="16" t="str">
        <f t="shared" ca="1" si="802"/>
        <v>Seedstars</v>
      </c>
      <c r="AB580" s="16">
        <f t="shared" si="802"/>
        <v>0</v>
      </c>
      <c r="AC580" s="16">
        <f t="shared" si="802"/>
        <v>0</v>
      </c>
      <c r="AD580" s="16">
        <f t="shared" si="802"/>
        <v>0</v>
      </c>
      <c r="AE580" s="16">
        <f t="shared" si="802"/>
        <v>0</v>
      </c>
      <c r="AF580" s="16">
        <f t="shared" si="802"/>
        <v>0</v>
      </c>
      <c r="AG580" s="16">
        <f t="shared" si="802"/>
        <v>0</v>
      </c>
      <c r="AH580" s="16">
        <f t="shared" si="802"/>
        <v>0</v>
      </c>
      <c r="AI580" s="16">
        <f t="shared" si="802"/>
        <v>0</v>
      </c>
      <c r="AJ580" s="16">
        <f t="shared" si="802"/>
        <v>0</v>
      </c>
      <c r="AK580" s="16">
        <f t="shared" si="802"/>
        <v>0</v>
      </c>
      <c r="AL580" s="16">
        <f t="shared" si="802"/>
        <v>0</v>
      </c>
      <c r="AM580" s="16">
        <f t="shared" si="802"/>
        <v>0</v>
      </c>
      <c r="AN580" s="16">
        <f t="shared" si="802"/>
        <v>0</v>
      </c>
      <c r="AO580" s="16">
        <f t="shared" si="802"/>
        <v>0</v>
      </c>
      <c r="AP580" s="10"/>
      <c r="AQ580" s="10"/>
      <c r="AR580" s="10"/>
      <c r="AS580" s="10" t="str">
        <f t="shared" ref="AS580" ca="1" si="810">IFERROR(__xludf.DUMMYFUNCTION("split(F479,"","",true,true)"),"Seedstars")</f>
        <v>Seedstars</v>
      </c>
      <c r="AT580" s="10"/>
      <c r="AU580" s="10"/>
      <c r="AV580" s="10"/>
      <c r="AW580" s="10"/>
      <c r="AX580" s="10"/>
      <c r="AY580" s="10"/>
      <c r="AZ580" s="10"/>
      <c r="BA580" s="10"/>
      <c r="BB580" s="10"/>
      <c r="BC580" s="10"/>
      <c r="BD580" s="10"/>
      <c r="BE580" s="10"/>
      <c r="BF580" s="10"/>
      <c r="BG580" s="10"/>
      <c r="BH580" s="10"/>
      <c r="BI580" s="10"/>
      <c r="BJ580" s="10"/>
      <c r="BK580" s="10"/>
      <c r="BM580" s="10"/>
    </row>
    <row r="581" spans="1:65" ht="12.75">
      <c r="A581" s="18">
        <v>43280</v>
      </c>
      <c r="B581" s="14" t="s">
        <v>1305</v>
      </c>
      <c r="C581" s="19">
        <v>120000</v>
      </c>
      <c r="D581" s="19"/>
      <c r="E581" s="14" t="s">
        <v>234</v>
      </c>
      <c r="F581" s="14" t="s">
        <v>305</v>
      </c>
      <c r="G581" s="27" t="s">
        <v>1311</v>
      </c>
      <c r="H581" s="14" t="str">
        <f t="array" ref="H581">IFERROR(INDEX([1]Companies!$G:$G,MATCH(B581,[1]Companies!$A:$A,0)),"")</f>
        <v>Nigeria</v>
      </c>
      <c r="I581" s="14" t="str">
        <f t="shared" si="694"/>
        <v>Nigeria</v>
      </c>
      <c r="J581" s="14" t="str">
        <f t="array" ref="J581">IFERROR(INDEX([1]Companies!$Y:$Y,MATCH(B581,[1]Companies!$A:$A,0)),"")</f>
        <v>SMEs export/import solution, E-commerce Supply Chain, Mail/Parcel, Office/Home Moving, Haulage, Air Freight, Project Cargo, Sea Freight, Agribusiness</v>
      </c>
      <c r="K581" s="14" t="str">
        <f t="array" ref="K581">IFERROR(INDEX([1]Companies!$X:$X,MATCH(B581,[1]Companies!$A:$A,0)),"")</f>
        <v>Transport &amp; Logistics</v>
      </c>
      <c r="L581" s="14" t="str">
        <f>VLOOKUP(B581,[1]Companies!$A$1:$C$5243,1,FALSE)</f>
        <v>Kobo360</v>
      </c>
      <c r="M581" s="15">
        <f t="shared" si="695"/>
        <v>0.9</v>
      </c>
      <c r="N581" s="10" t="str">
        <f t="shared" si="696"/>
        <v>43280Kobo360120000</v>
      </c>
      <c r="O581" s="14" t="str">
        <f t="shared" si="697"/>
        <v/>
      </c>
      <c r="P581" s="14">
        <f t="shared" si="698"/>
        <v>1</v>
      </c>
      <c r="Q581" s="14">
        <f t="array" ref="Q581">IFERROR(INDEX([1]Companies!$D:$D,MATCH(B581,[1]Companies!$A:$A,0)),"")</f>
        <v>2017</v>
      </c>
      <c r="R581" s="17">
        <f t="shared" si="699"/>
        <v>37320000</v>
      </c>
      <c r="S581" s="14">
        <f>VLOOKUP(I581,[1]Lookups!$V$3:$Y$197,4,FALSE)</f>
        <v>0</v>
      </c>
      <c r="T581" s="14" t="str">
        <f>VLOOKUP(E581,[1]Lookups!$H$3:$I$71,2,FALSE)</f>
        <v>2. Seed</v>
      </c>
      <c r="U581" s="14" t="str">
        <f>VLOOKUP(K581,[1]Lookups!$B$3:$C$142,2,FALSE)</f>
        <v>Transport &amp; Logistics</v>
      </c>
      <c r="V581" s="14">
        <f t="shared" si="735"/>
        <v>2018</v>
      </c>
      <c r="W581" s="14">
        <f t="shared" si="736"/>
        <v>6</v>
      </c>
      <c r="X581" s="14">
        <f>VLOOKUP(W581,[1]Lookups!$P$3:$S$15,2,FALSE)</f>
        <v>2</v>
      </c>
      <c r="Y581" s="16">
        <f>VLOOKUP(W581,[1]Lookups!$P$3:$U$15,3,FALSE)</f>
        <v>1</v>
      </c>
      <c r="Z581" s="16">
        <f t="shared" si="737"/>
        <v>1</v>
      </c>
      <c r="AA581" s="16" t="str">
        <f t="shared" ca="1" si="802"/>
        <v>Seedstars</v>
      </c>
      <c r="AB581" s="16">
        <f t="shared" si="802"/>
        <v>0</v>
      </c>
      <c r="AC581" s="16">
        <f t="shared" si="802"/>
        <v>0</v>
      </c>
      <c r="AD581" s="16">
        <f t="shared" si="802"/>
        <v>0</v>
      </c>
      <c r="AE581" s="16">
        <f t="shared" si="802"/>
        <v>0</v>
      </c>
      <c r="AF581" s="16">
        <f t="shared" si="802"/>
        <v>0</v>
      </c>
      <c r="AG581" s="16">
        <f t="shared" si="802"/>
        <v>0</v>
      </c>
      <c r="AH581" s="16">
        <f t="shared" si="802"/>
        <v>0</v>
      </c>
      <c r="AI581" s="16">
        <f t="shared" si="802"/>
        <v>0</v>
      </c>
      <c r="AJ581" s="16">
        <f t="shared" si="802"/>
        <v>0</v>
      </c>
      <c r="AK581" s="16">
        <f t="shared" si="802"/>
        <v>0</v>
      </c>
      <c r="AL581" s="16">
        <f t="shared" si="802"/>
        <v>0</v>
      </c>
      <c r="AM581" s="16">
        <f t="shared" si="802"/>
        <v>0</v>
      </c>
      <c r="AN581" s="16">
        <f t="shared" si="802"/>
        <v>0</v>
      </c>
      <c r="AO581" s="16">
        <f t="shared" si="802"/>
        <v>0</v>
      </c>
      <c r="AP581" s="10"/>
      <c r="AQ581" s="10"/>
      <c r="AR581" s="10"/>
      <c r="AS581" s="10" t="str">
        <f t="shared" ref="AS581" ca="1" si="811">IFERROR(__xludf.DUMMYFUNCTION("split(F479,"","",true,true)"),"Seedstars")</f>
        <v>Seedstars</v>
      </c>
      <c r="AT581" s="10"/>
      <c r="AU581" s="10"/>
      <c r="AV581" s="10"/>
      <c r="AW581" s="10"/>
      <c r="AX581" s="10"/>
      <c r="AY581" s="10"/>
      <c r="AZ581" s="10"/>
      <c r="BA581" s="10"/>
      <c r="BB581" s="10"/>
      <c r="BC581" s="10"/>
      <c r="BD581" s="10"/>
      <c r="BE581" s="10"/>
      <c r="BF581" s="10"/>
      <c r="BG581" s="10"/>
      <c r="BH581" s="10"/>
      <c r="BI581" s="10"/>
      <c r="BJ581" s="10"/>
      <c r="BK581" s="10"/>
      <c r="BM581" s="10"/>
    </row>
    <row r="582" spans="1:65" ht="12.75">
      <c r="A582" s="18">
        <v>43281</v>
      </c>
      <c r="B582" s="14" t="s">
        <v>1312</v>
      </c>
      <c r="C582" s="19">
        <v>25000</v>
      </c>
      <c r="D582" s="19"/>
      <c r="E582" s="14" t="s">
        <v>55</v>
      </c>
      <c r="F582" s="14" t="s">
        <v>1313</v>
      </c>
      <c r="G582" s="27" t="s">
        <v>1314</v>
      </c>
      <c r="H582" s="14" t="str">
        <f t="array" ref="H582">IFERROR(INDEX([1]Companies!$G:$G,MATCH(B582,[1]Companies!$A:$A,0)),"")</f>
        <v>Uganda</v>
      </c>
      <c r="I582" s="14" t="str">
        <f t="shared" si="694"/>
        <v>Uganda</v>
      </c>
      <c r="J582" s="14" t="str">
        <f t="array" ref="J582">IFERROR(INDEX([1]Companies!$Y:$Y,MATCH(B582,[1]Companies!$A:$A,0)),"")</f>
        <v>Clean Technology</v>
      </c>
      <c r="K582" s="14" t="str">
        <f t="array" ref="K582">IFERROR(INDEX([1]Companies!$X:$X,MATCH(B582,[1]Companies!$A:$A,0)),"")</f>
        <v>Resource &amp; Energy</v>
      </c>
      <c r="L582" s="14" t="str">
        <f>VLOOKUP(B582,[1]Companies!$A$1:$C$5243,1,FALSE)</f>
        <v>Powah Limited</v>
      </c>
      <c r="M582" s="15">
        <f t="shared" si="695"/>
        <v>0.9</v>
      </c>
      <c r="N582" s="10" t="str">
        <f t="shared" si="696"/>
        <v>43281Powah Limited25000</v>
      </c>
      <c r="O582" s="14" t="str">
        <f t="shared" si="697"/>
        <v/>
      </c>
      <c r="P582" s="14">
        <f t="shared" si="698"/>
        <v>1</v>
      </c>
      <c r="Q582" s="14">
        <f t="array" ref="Q582">IFERROR(INDEX([1]Companies!$D:$D,MATCH(B582,[1]Companies!$A:$A,0)),"")</f>
        <v>2017</v>
      </c>
      <c r="R582" s="17">
        <f t="shared" si="699"/>
        <v>25000</v>
      </c>
      <c r="S582" s="14">
        <f>VLOOKUP(I582,[1]Lookups!$V$3:$Y$197,4,FALSE)</f>
        <v>0</v>
      </c>
      <c r="T582" s="14" t="str">
        <f>VLOOKUP(E582,[1]Lookups!$H$3:$I$71,2,FALSE)</f>
        <v>1. Grant</v>
      </c>
      <c r="U582" s="14" t="str">
        <f>VLOOKUP(K582,[1]Lookups!$B$3:$C$142,2,FALSE)</f>
        <v>Energy &amp; Resources</v>
      </c>
      <c r="V582" s="14">
        <f t="shared" si="735"/>
        <v>2018</v>
      </c>
      <c r="W582" s="14">
        <f t="shared" si="736"/>
        <v>6</v>
      </c>
      <c r="X582" s="14">
        <f>VLOOKUP(W582,[1]Lookups!$P$3:$S$15,2,FALSE)</f>
        <v>2</v>
      </c>
      <c r="Y582" s="16">
        <f>VLOOKUP(W582,[1]Lookups!$P$3:$U$15,3,FALSE)</f>
        <v>1</v>
      </c>
      <c r="Z582" s="16">
        <f t="shared" si="737"/>
        <v>1</v>
      </c>
      <c r="AA582" s="16" t="str">
        <f t="shared" ca="1" si="802"/>
        <v>Seedstars</v>
      </c>
      <c r="AB582" s="16">
        <f t="shared" si="802"/>
        <v>0</v>
      </c>
      <c r="AC582" s="16">
        <f t="shared" si="802"/>
        <v>0</v>
      </c>
      <c r="AD582" s="16">
        <f t="shared" si="802"/>
        <v>0</v>
      </c>
      <c r="AE582" s="16">
        <f t="shared" si="802"/>
        <v>0</v>
      </c>
      <c r="AF582" s="16">
        <f t="shared" si="802"/>
        <v>0</v>
      </c>
      <c r="AG582" s="16">
        <f t="shared" si="802"/>
        <v>0</v>
      </c>
      <c r="AH582" s="16">
        <f t="shared" si="802"/>
        <v>0</v>
      </c>
      <c r="AI582" s="16">
        <f t="shared" si="802"/>
        <v>0</v>
      </c>
      <c r="AJ582" s="16">
        <f t="shared" si="802"/>
        <v>0</v>
      </c>
      <c r="AK582" s="16">
        <f t="shared" si="802"/>
        <v>0</v>
      </c>
      <c r="AL582" s="16">
        <f t="shared" si="802"/>
        <v>0</v>
      </c>
      <c r="AM582" s="16">
        <f t="shared" si="802"/>
        <v>0</v>
      </c>
      <c r="AN582" s="16">
        <f t="shared" si="802"/>
        <v>0</v>
      </c>
      <c r="AO582" s="16">
        <f t="shared" si="802"/>
        <v>0</v>
      </c>
      <c r="AP582" s="10"/>
      <c r="AQ582" s="10"/>
      <c r="AR582" s="10"/>
      <c r="AS582" s="10" t="str">
        <f t="shared" ref="AS582" ca="1" si="812">IFERROR(__xludf.DUMMYFUNCTION("split(F479,"","",true,true)"),"Seedstars")</f>
        <v>Seedstars</v>
      </c>
      <c r="AT582" s="10"/>
      <c r="AU582" s="10"/>
      <c r="AV582" s="10"/>
      <c r="AW582" s="10"/>
      <c r="AX582" s="10"/>
      <c r="AY582" s="10"/>
      <c r="AZ582" s="10"/>
      <c r="BA582" s="10"/>
      <c r="BB582" s="10"/>
      <c r="BC582" s="10"/>
      <c r="BD582" s="10"/>
      <c r="BE582" s="10"/>
      <c r="BF582" s="10"/>
      <c r="BG582" s="10"/>
      <c r="BH582" s="10"/>
      <c r="BI582" s="10"/>
      <c r="BJ582" s="10"/>
      <c r="BK582" s="10"/>
      <c r="BM582" s="10"/>
    </row>
    <row r="583" spans="1:65" ht="12.75">
      <c r="A583" s="9">
        <v>43281</v>
      </c>
      <c r="B583" s="10" t="s">
        <v>1315</v>
      </c>
      <c r="C583" s="11">
        <v>20000</v>
      </c>
      <c r="D583" s="12"/>
      <c r="E583" s="10" t="s">
        <v>45</v>
      </c>
      <c r="F583" s="10" t="s">
        <v>1265</v>
      </c>
      <c r="G583" s="13" t="s">
        <v>1316</v>
      </c>
      <c r="H583" s="14" t="str">
        <f t="array" ref="H583">IFERROR(INDEX([1]Companies!$G:$G,MATCH(B583,[1]Companies!$A:$A,0)),"")</f>
        <v>Kenya</v>
      </c>
      <c r="I583" s="14" t="str">
        <f t="shared" si="694"/>
        <v>Kenya</v>
      </c>
      <c r="J583" s="14" t="str">
        <f t="array" ref="J583">IFERROR(INDEX([1]Companies!$Y:$Y,MATCH(B583,[1]Companies!$A:$A,0)),"")</f>
        <v>Brand Marketing, Consulting, Digital Marketing, Information Technology, Software, Software Engineering</v>
      </c>
      <c r="K583" s="14" t="str">
        <f t="array" ref="K583">IFERROR(INDEX([1]Companies!$X:$X,MATCH(B583,[1]Companies!$A:$A,0)),"")</f>
        <v>Information Technology</v>
      </c>
      <c r="L583" s="14" t="str">
        <f>VLOOKUP(B583,[1]Companies!$A$1:$C$5243,1,FALSE)</f>
        <v>Briglobe</v>
      </c>
      <c r="M583" s="15">
        <f t="shared" si="695"/>
        <v>0.9</v>
      </c>
      <c r="N583" s="10" t="str">
        <f t="shared" si="696"/>
        <v>43281Briglobe20000</v>
      </c>
      <c r="O583" s="14" t="str">
        <f t="shared" si="697"/>
        <v/>
      </c>
      <c r="P583" s="14">
        <f t="shared" si="698"/>
        <v>1</v>
      </c>
      <c r="Q583" s="14">
        <f t="array" ref="Q583">IFERROR(INDEX([1]Companies!$D:$D,MATCH(B583,[1]Companies!$A:$A,0)),"")</f>
        <v>2015</v>
      </c>
      <c r="R583" s="17">
        <f t="shared" si="699"/>
        <v>20000</v>
      </c>
      <c r="S583" s="14">
        <f>VLOOKUP(I583,[1]Lookups!$V$3:$Y$197,4,FALSE)</f>
        <v>0</v>
      </c>
      <c r="T583" s="14" t="str">
        <f>VLOOKUP(E583,[1]Lookups!$H$3:$I$71,2,FALSE)</f>
        <v>2. Seed</v>
      </c>
      <c r="U583" s="14" t="str">
        <f>VLOOKUP(K583,[1]Lookups!$B$3:$C$142,2,FALSE)</f>
        <v>Other Technologies &amp; Information Technology</v>
      </c>
      <c r="V583" s="14">
        <f t="shared" si="735"/>
        <v>2018</v>
      </c>
      <c r="W583" s="14">
        <f t="shared" si="736"/>
        <v>6</v>
      </c>
      <c r="X583" s="14">
        <f>VLOOKUP(W583,[1]Lookups!$P$3:$S$15,2,FALSE)</f>
        <v>2</v>
      </c>
      <c r="Y583" s="16">
        <f>VLOOKUP(W583,[1]Lookups!$P$3:$U$15,3,FALSE)</f>
        <v>1</v>
      </c>
      <c r="Z583" s="16">
        <f t="shared" si="737"/>
        <v>1</v>
      </c>
      <c r="AA583" s="16" t="str">
        <f t="shared" ca="1" si="802"/>
        <v>Seedstars</v>
      </c>
      <c r="AB583" s="16">
        <f t="shared" si="802"/>
        <v>0</v>
      </c>
      <c r="AC583" s="16">
        <f t="shared" si="802"/>
        <v>0</v>
      </c>
      <c r="AD583" s="16">
        <f t="shared" si="802"/>
        <v>0</v>
      </c>
      <c r="AE583" s="16">
        <f t="shared" si="802"/>
        <v>0</v>
      </c>
      <c r="AF583" s="16">
        <f t="shared" si="802"/>
        <v>0</v>
      </c>
      <c r="AG583" s="16">
        <f t="shared" si="802"/>
        <v>0</v>
      </c>
      <c r="AH583" s="16">
        <f t="shared" si="802"/>
        <v>0</v>
      </c>
      <c r="AI583" s="16">
        <f t="shared" si="802"/>
        <v>0</v>
      </c>
      <c r="AJ583" s="16">
        <f t="shared" si="802"/>
        <v>0</v>
      </c>
      <c r="AK583" s="16">
        <f t="shared" si="802"/>
        <v>0</v>
      </c>
      <c r="AL583" s="16">
        <f t="shared" si="802"/>
        <v>0</v>
      </c>
      <c r="AM583" s="16">
        <f t="shared" si="802"/>
        <v>0</v>
      </c>
      <c r="AN583" s="16">
        <f t="shared" si="802"/>
        <v>0</v>
      </c>
      <c r="AO583" s="16">
        <f t="shared" si="802"/>
        <v>0</v>
      </c>
      <c r="AP583" s="10"/>
      <c r="AQ583" s="10"/>
      <c r="AR583" s="10"/>
      <c r="AS583" s="10" t="str">
        <f t="shared" ref="AS583" ca="1" si="813">IFERROR(__xludf.DUMMYFUNCTION("split(F479,"","",true,true)"),"Seedstars")</f>
        <v>Seedstars</v>
      </c>
      <c r="AT583" s="10"/>
      <c r="AU583" s="10"/>
      <c r="AV583" s="10"/>
      <c r="AW583" s="10"/>
      <c r="AX583" s="10"/>
      <c r="AY583" s="10"/>
      <c r="AZ583" s="10"/>
      <c r="BA583" s="10"/>
      <c r="BB583" s="10"/>
      <c r="BC583" s="10"/>
      <c r="BD583" s="10"/>
      <c r="BE583" s="10"/>
      <c r="BF583" s="10"/>
      <c r="BG583" s="10"/>
      <c r="BH583" s="10"/>
      <c r="BI583" s="10"/>
      <c r="BJ583" s="10"/>
      <c r="BK583" s="10"/>
      <c r="BM583" s="10"/>
    </row>
    <row r="584" spans="1:65" ht="12.75">
      <c r="A584" s="18">
        <v>43282</v>
      </c>
      <c r="B584" s="14" t="s">
        <v>836</v>
      </c>
      <c r="C584" s="19">
        <v>20000</v>
      </c>
      <c r="D584" s="19"/>
      <c r="E584" s="14" t="s">
        <v>45</v>
      </c>
      <c r="F584" s="14" t="s">
        <v>49</v>
      </c>
      <c r="G584" s="27" t="s">
        <v>1317</v>
      </c>
      <c r="H584" s="14" t="str">
        <f t="array" ref="H584">IFERROR(INDEX([1]Companies!$G:$G,MATCH(B584,[1]Companies!$A:$A,0)),"")</f>
        <v>South Africa</v>
      </c>
      <c r="I584" s="14" t="str">
        <f t="shared" si="694"/>
        <v>South Africa</v>
      </c>
      <c r="J584" s="14" t="str">
        <f t="array" ref="J584">IFERROR(INDEX([1]Companies!$Y:$Y,MATCH(B584,[1]Companies!$A:$A,0)),"")</f>
        <v>Marketplace</v>
      </c>
      <c r="K584" s="14" t="str">
        <f t="array" ref="K584">IFERROR(INDEX([1]Companies!$X:$X,MATCH(B584,[1]Companies!$A:$A,0)),"")</f>
        <v>Recruitment</v>
      </c>
      <c r="L584" s="14" t="str">
        <f>VLOOKUP(B584,[1]Companies!$A$1:$C$5243,1,FALSE)</f>
        <v>JobJack</v>
      </c>
      <c r="M584" s="15">
        <f t="shared" si="695"/>
        <v>0.9</v>
      </c>
      <c r="N584" s="10" t="str">
        <f t="shared" si="696"/>
        <v>43282JobJack20000</v>
      </c>
      <c r="O584" s="14" t="str">
        <f t="shared" si="697"/>
        <v/>
      </c>
      <c r="P584" s="14">
        <f t="shared" si="698"/>
        <v>1</v>
      </c>
      <c r="Q584" s="14">
        <f t="array" ref="Q584">IFERROR(INDEX([1]Companies!$D:$D,MATCH(B584,[1]Companies!$A:$A,0)),"")</f>
        <v>2018</v>
      </c>
      <c r="R584" s="17">
        <f t="shared" si="699"/>
        <v>58000</v>
      </c>
      <c r="S584" s="14">
        <f>VLOOKUP(I584,[1]Lookups!$V$3:$Y$197,4,FALSE)</f>
        <v>0</v>
      </c>
      <c r="T584" s="14" t="str">
        <f>VLOOKUP(E584,[1]Lookups!$H$3:$I$71,2,FALSE)</f>
        <v>2. Seed</v>
      </c>
      <c r="U584" s="14" t="str">
        <f>VLOOKUP(K584,[1]Lookups!$B$3:$C$142,2,FALSE)</f>
        <v>Employment, Talent &amp; Labour</v>
      </c>
      <c r="V584" s="14">
        <f t="shared" si="735"/>
        <v>2018</v>
      </c>
      <c r="W584" s="14">
        <f t="shared" si="736"/>
        <v>7</v>
      </c>
      <c r="X584" s="14">
        <f>VLOOKUP(W584,[1]Lookups!$P$3:$S$15,2,FALSE)</f>
        <v>3</v>
      </c>
      <c r="Y584" s="16">
        <f>VLOOKUP(W584,[1]Lookups!$P$3:$U$15,3,FALSE)</f>
        <v>2</v>
      </c>
      <c r="Z584" s="16">
        <f t="shared" si="737"/>
        <v>1</v>
      </c>
      <c r="AA584" s="16" t="str">
        <f t="shared" ca="1" si="802"/>
        <v>Seedstars</v>
      </c>
      <c r="AB584" s="16">
        <f t="shared" si="802"/>
        <v>0</v>
      </c>
      <c r="AC584" s="16">
        <f t="shared" si="802"/>
        <v>0</v>
      </c>
      <c r="AD584" s="16">
        <f t="shared" si="802"/>
        <v>0</v>
      </c>
      <c r="AE584" s="16">
        <f t="shared" si="802"/>
        <v>0</v>
      </c>
      <c r="AF584" s="16">
        <f t="shared" si="802"/>
        <v>0</v>
      </c>
      <c r="AG584" s="16">
        <f t="shared" si="802"/>
        <v>0</v>
      </c>
      <c r="AH584" s="16">
        <f t="shared" si="802"/>
        <v>0</v>
      </c>
      <c r="AI584" s="16">
        <f t="shared" si="802"/>
        <v>0</v>
      </c>
      <c r="AJ584" s="16">
        <f t="shared" si="802"/>
        <v>0</v>
      </c>
      <c r="AK584" s="16">
        <f t="shared" si="802"/>
        <v>0</v>
      </c>
      <c r="AL584" s="16">
        <f t="shared" si="802"/>
        <v>0</v>
      </c>
      <c r="AM584" s="16">
        <f t="shared" si="802"/>
        <v>0</v>
      </c>
      <c r="AN584" s="16">
        <f t="shared" si="802"/>
        <v>0</v>
      </c>
      <c r="AO584" s="16">
        <f t="shared" si="802"/>
        <v>0</v>
      </c>
      <c r="AP584" s="10"/>
      <c r="AQ584" s="10"/>
      <c r="AR584" s="10"/>
      <c r="AS584" s="10" t="str">
        <f t="shared" ref="AS584" ca="1" si="814">IFERROR(__xludf.DUMMYFUNCTION("split(F479,"","",true,true)"),"Seedstars")</f>
        <v>Seedstars</v>
      </c>
      <c r="AT584" s="10"/>
      <c r="AU584" s="10"/>
      <c r="AV584" s="10"/>
      <c r="AW584" s="10"/>
      <c r="AX584" s="10"/>
      <c r="AY584" s="10"/>
      <c r="AZ584" s="10"/>
      <c r="BA584" s="10"/>
      <c r="BB584" s="10"/>
      <c r="BC584" s="10"/>
      <c r="BD584" s="10"/>
      <c r="BE584" s="10"/>
      <c r="BF584" s="10"/>
      <c r="BG584" s="10"/>
      <c r="BH584" s="10"/>
      <c r="BI584" s="10"/>
      <c r="BJ584" s="10"/>
      <c r="BK584" s="10"/>
      <c r="BM584" s="10"/>
    </row>
    <row r="585" spans="1:65" ht="12.75">
      <c r="A585" s="9">
        <v>43283</v>
      </c>
      <c r="B585" s="10" t="s">
        <v>1318</v>
      </c>
      <c r="C585" s="11">
        <v>5000</v>
      </c>
      <c r="D585" s="12"/>
      <c r="E585" s="10" t="s">
        <v>45</v>
      </c>
      <c r="F585" s="10" t="s">
        <v>49</v>
      </c>
      <c r="G585" s="13" t="s">
        <v>1319</v>
      </c>
      <c r="H585" s="14" t="str">
        <f t="array" ref="H585">IFERROR(INDEX([1]Companies!$G:$G,MATCH(B585,[1]Companies!$A:$A,0)),"")</f>
        <v>Nigeria</v>
      </c>
      <c r="I585" s="14" t="str">
        <f t="shared" si="694"/>
        <v>Nigeria</v>
      </c>
      <c r="J585" s="14" t="str">
        <f t="array" ref="J585">IFERROR(INDEX([1]Companies!$Y:$Y,MATCH(B585,[1]Companies!$A:$A,0)),"")</f>
        <v>Energy, Financial Services, Renewable Energy, Retail, Solar</v>
      </c>
      <c r="K585" s="14" t="str">
        <f t="array" ref="K585">IFERROR(INDEX([1]Companies!$X:$X,MATCH(B585,[1]Companies!$A:$A,0)),"")</f>
        <v>Resource &amp; Energy</v>
      </c>
      <c r="L585" s="14" t="str">
        <f>VLOOKUP(B585,[1]Companies!$A$1:$C$5243,1,FALSE)</f>
        <v>Solatrify</v>
      </c>
      <c r="M585" s="15">
        <f t="shared" si="695"/>
        <v>0.9</v>
      </c>
      <c r="N585" s="10" t="str">
        <f t="shared" si="696"/>
        <v>43283Solatrify5000</v>
      </c>
      <c r="O585" s="14" t="str">
        <f t="shared" si="697"/>
        <v/>
      </c>
      <c r="P585" s="14">
        <f t="shared" si="698"/>
        <v>1</v>
      </c>
      <c r="Q585" s="14">
        <f t="array" ref="Q585">IFERROR(INDEX([1]Companies!$D:$D,MATCH(B585,[1]Companies!$A:$A,0)),"")</f>
        <v>2018</v>
      </c>
      <c r="R585" s="17">
        <f t="shared" si="699"/>
        <v>5000</v>
      </c>
      <c r="S585" s="14">
        <f>VLOOKUP(I585,[1]Lookups!$V$3:$Y$197,4,FALSE)</f>
        <v>0</v>
      </c>
      <c r="T585" s="14" t="str">
        <f>VLOOKUP(E585,[1]Lookups!$H$3:$I$71,2,FALSE)</f>
        <v>2. Seed</v>
      </c>
      <c r="U585" s="14" t="str">
        <f>VLOOKUP(K585,[1]Lookups!$B$3:$C$142,2,FALSE)</f>
        <v>Energy &amp; Resources</v>
      </c>
      <c r="V585" s="14">
        <f t="shared" si="735"/>
        <v>2018</v>
      </c>
      <c r="W585" s="14">
        <f t="shared" si="736"/>
        <v>7</v>
      </c>
      <c r="X585" s="14">
        <f>VLOOKUP(W585,[1]Lookups!$P$3:$S$15,2,FALSE)</f>
        <v>3</v>
      </c>
      <c r="Y585" s="16">
        <f>VLOOKUP(W585,[1]Lookups!$P$3:$U$15,3,FALSE)</f>
        <v>2</v>
      </c>
      <c r="Z585" s="16">
        <f t="shared" si="737"/>
        <v>1</v>
      </c>
      <c r="AA585" s="16" t="str">
        <f t="shared" ca="1" si="802"/>
        <v>Seedstars</v>
      </c>
      <c r="AB585" s="16">
        <f t="shared" si="802"/>
        <v>0</v>
      </c>
      <c r="AC585" s="16">
        <f t="shared" si="802"/>
        <v>0</v>
      </c>
      <c r="AD585" s="16">
        <f t="shared" si="802"/>
        <v>0</v>
      </c>
      <c r="AE585" s="16">
        <f t="shared" si="802"/>
        <v>0</v>
      </c>
      <c r="AF585" s="16">
        <f t="shared" si="802"/>
        <v>0</v>
      </c>
      <c r="AG585" s="16">
        <f t="shared" si="802"/>
        <v>0</v>
      </c>
      <c r="AH585" s="16">
        <f t="shared" si="802"/>
        <v>0</v>
      </c>
      <c r="AI585" s="16">
        <f t="shared" si="802"/>
        <v>0</v>
      </c>
      <c r="AJ585" s="16">
        <f t="shared" si="802"/>
        <v>0</v>
      </c>
      <c r="AK585" s="16">
        <f t="shared" si="802"/>
        <v>0</v>
      </c>
      <c r="AL585" s="16">
        <f t="shared" si="802"/>
        <v>0</v>
      </c>
      <c r="AM585" s="16">
        <f t="shared" si="802"/>
        <v>0</v>
      </c>
      <c r="AN585" s="16">
        <f t="shared" si="802"/>
        <v>0</v>
      </c>
      <c r="AO585" s="16">
        <f t="shared" si="802"/>
        <v>0</v>
      </c>
      <c r="AP585" s="10"/>
      <c r="AQ585" s="10"/>
      <c r="AR585" s="10"/>
      <c r="AS585" s="10" t="str">
        <f t="shared" ref="AS585" ca="1" si="815">IFERROR(__xludf.DUMMYFUNCTION("split(F479,"","",true,true)"),"Seedstars")</f>
        <v>Seedstars</v>
      </c>
      <c r="AT585" s="10"/>
      <c r="AU585" s="10"/>
      <c r="AV585" s="10"/>
      <c r="AW585" s="10"/>
      <c r="AX585" s="10"/>
      <c r="AY585" s="10"/>
      <c r="AZ585" s="10"/>
      <c r="BA585" s="10"/>
      <c r="BB585" s="10"/>
      <c r="BC585" s="10"/>
      <c r="BD585" s="10"/>
      <c r="BE585" s="10"/>
      <c r="BF585" s="10"/>
      <c r="BG585" s="10"/>
      <c r="BH585" s="10"/>
      <c r="BI585" s="10"/>
      <c r="BJ585" s="10"/>
      <c r="BK585" s="10"/>
      <c r="BM585" s="10"/>
    </row>
    <row r="586" spans="1:65" ht="12.75">
      <c r="A586" s="9">
        <v>43284</v>
      </c>
      <c r="B586" s="10" t="s">
        <v>399</v>
      </c>
      <c r="C586" s="11">
        <v>7000000</v>
      </c>
      <c r="D586" s="12"/>
      <c r="E586" s="10" t="s">
        <v>328</v>
      </c>
      <c r="F586" s="10" t="s">
        <v>1320</v>
      </c>
      <c r="G586" s="13" t="s">
        <v>1321</v>
      </c>
      <c r="H586" s="14" t="str">
        <f t="array" ref="H586">IFERROR(INDEX([1]Companies!$G:$G,MATCH(B586,[1]Companies!$A:$A,0)),"")</f>
        <v>Kenya</v>
      </c>
      <c r="I586" s="14" t="str">
        <f t="shared" si="694"/>
        <v>Kenya</v>
      </c>
      <c r="J586" s="14" t="str">
        <f t="array" ref="J586">IFERROR(INDEX([1]Companies!$Y:$Y,MATCH(B586,[1]Companies!$A:$A,0)),"")</f>
        <v>mCommerce, Distribution, and Agriculture</v>
      </c>
      <c r="K586" s="14" t="str">
        <f t="array" ref="K586">IFERROR(INDEX([1]Companies!$X:$X,MATCH(B586,[1]Companies!$A:$A,0)),"")</f>
        <v>E-Commerce &amp; Retail</v>
      </c>
      <c r="L586" s="14" t="str">
        <f>VLOOKUP(B586,[1]Companies!$A$1:$C$5243,1,FALSE)</f>
        <v>Twiga Foods</v>
      </c>
      <c r="M586" s="15">
        <f t="shared" si="695"/>
        <v>0.9</v>
      </c>
      <c r="N586" s="10" t="str">
        <f t="shared" si="696"/>
        <v>43284Twiga Foods7000000</v>
      </c>
      <c r="O586" s="14" t="str">
        <f t="shared" si="697"/>
        <v/>
      </c>
      <c r="P586" s="14">
        <f t="shared" si="698"/>
        <v>1</v>
      </c>
      <c r="Q586" s="14">
        <f t="array" ref="Q586">IFERROR(INDEX([1]Companies!$D:$D,MATCH(B586,[1]Companies!$A:$A,0)),"")</f>
        <v>2013</v>
      </c>
      <c r="R586" s="17">
        <f t="shared" si="699"/>
        <v>40350000</v>
      </c>
      <c r="S586" s="14">
        <f>VLOOKUP(I586,[1]Lookups!$V$3:$Y$197,4,FALSE)</f>
        <v>0</v>
      </c>
      <c r="T586" s="14" t="str">
        <f>VLOOKUP(E586,[1]Lookups!$H$3:$I$71,2,FALSE)</f>
        <v>4. Late Venture</v>
      </c>
      <c r="U586" s="14" t="str">
        <f>VLOOKUP(K586,[1]Lookups!$B$3:$C$142,2,FALSE)</f>
        <v>E-commerce &amp; Retail</v>
      </c>
      <c r="V586" s="14">
        <f t="shared" si="735"/>
        <v>2018</v>
      </c>
      <c r="W586" s="14">
        <f t="shared" si="736"/>
        <v>7</v>
      </c>
      <c r="X586" s="14">
        <f>VLOOKUP(W586,[1]Lookups!$P$3:$S$15,2,FALSE)</f>
        <v>3</v>
      </c>
      <c r="Y586" s="16">
        <f>VLOOKUP(W586,[1]Lookups!$P$3:$U$15,3,FALSE)</f>
        <v>2</v>
      </c>
      <c r="Z586" s="16">
        <f t="shared" si="737"/>
        <v>2</v>
      </c>
      <c r="AA586" s="16" t="str">
        <f t="shared" ca="1" si="802"/>
        <v>Seedstars</v>
      </c>
      <c r="AB586" s="16" t="str">
        <f t="shared" ca="1" si="802"/>
        <v xml:space="preserve"> International Finance Corporation</v>
      </c>
      <c r="AC586" s="16">
        <f t="shared" si="802"/>
        <v>0</v>
      </c>
      <c r="AD586" s="16">
        <f t="shared" si="802"/>
        <v>0</v>
      </c>
      <c r="AE586" s="16">
        <f t="shared" si="802"/>
        <v>0</v>
      </c>
      <c r="AF586" s="16">
        <f t="shared" si="802"/>
        <v>0</v>
      </c>
      <c r="AG586" s="16">
        <f t="shared" si="802"/>
        <v>0</v>
      </c>
      <c r="AH586" s="16">
        <f t="shared" si="802"/>
        <v>0</v>
      </c>
      <c r="AI586" s="16">
        <f t="shared" si="802"/>
        <v>0</v>
      </c>
      <c r="AJ586" s="16">
        <f t="shared" si="802"/>
        <v>0</v>
      </c>
      <c r="AK586" s="16">
        <f t="shared" si="802"/>
        <v>0</v>
      </c>
      <c r="AL586" s="16">
        <f t="shared" si="802"/>
        <v>0</v>
      </c>
      <c r="AM586" s="16">
        <f t="shared" si="802"/>
        <v>0</v>
      </c>
      <c r="AN586" s="16">
        <f t="shared" si="802"/>
        <v>0</v>
      </c>
      <c r="AO586" s="16">
        <f t="shared" si="802"/>
        <v>0</v>
      </c>
      <c r="AP586" s="10"/>
      <c r="AQ586" s="10"/>
      <c r="AR586" s="10"/>
      <c r="AS586" s="10" t="str">
        <f t="shared" ref="AS586" ca="1" si="816">IFERROR(__xludf.DUMMYFUNCTION("split(F479,"","",true,true)"),"Seedstars")</f>
        <v>Seedstars</v>
      </c>
      <c r="AT586" s="10" t="str">
        <f ca="1">IFERROR(__xludf.DUMMYFUNCTION("""COMPUTED_VALUE""")," International Finance Corporation")</f>
        <v xml:space="preserve"> International Finance Corporation</v>
      </c>
      <c r="AU586" s="10"/>
      <c r="AV586" s="10"/>
      <c r="AW586" s="10"/>
      <c r="AX586" s="10"/>
      <c r="AY586" s="10"/>
      <c r="AZ586" s="10"/>
      <c r="BA586" s="10"/>
      <c r="BB586" s="10"/>
      <c r="BC586" s="10"/>
      <c r="BD586" s="10"/>
      <c r="BE586" s="10"/>
      <c r="BF586" s="10"/>
      <c r="BG586" s="10"/>
      <c r="BH586" s="10"/>
      <c r="BI586" s="10"/>
      <c r="BJ586" s="10"/>
      <c r="BK586" s="10"/>
      <c r="BM586" s="10"/>
    </row>
    <row r="587" spans="1:65" ht="12.75">
      <c r="A587" s="18">
        <v>43286</v>
      </c>
      <c r="B587" s="14" t="s">
        <v>66</v>
      </c>
      <c r="C587" s="19">
        <v>30800000</v>
      </c>
      <c r="D587" s="19"/>
      <c r="E587" s="14" t="s">
        <v>112</v>
      </c>
      <c r="F587" s="14" t="s">
        <v>1322</v>
      </c>
      <c r="G587" s="21" t="s">
        <v>1323</v>
      </c>
      <c r="H587" s="14" t="str">
        <f t="array" ref="H587">IFERROR(INDEX([1]Companies!$G:$G,MATCH(B587,[1]Companies!$A:$A,0)),"")</f>
        <v>South Africa</v>
      </c>
      <c r="I587" s="14" t="str">
        <f t="shared" si="694"/>
        <v>South Africa</v>
      </c>
      <c r="J587" s="14" t="str">
        <f t="array" ref="J587">IFERROR(INDEX([1]Companies!$Y:$Y,MATCH(B587,[1]Companies!$A:$A,0)),"")</f>
        <v>E-Learning, Education, Tutoring</v>
      </c>
      <c r="K587" s="14" t="str">
        <f t="array" ref="K587">IFERROR(INDEX([1]Companies!$X:$X,MATCH(B587,[1]Companies!$A:$A,0)),"")</f>
        <v>Education</v>
      </c>
      <c r="L587" s="14" t="str">
        <f>VLOOKUP(B587,[1]Companies!$A$1:$C$5243,1,FALSE)</f>
        <v>African Leadership Academy</v>
      </c>
      <c r="M587" s="15">
        <f t="shared" si="695"/>
        <v>0.9</v>
      </c>
      <c r="N587" s="10" t="str">
        <f t="shared" si="696"/>
        <v>43286African Leadership Academy30800000</v>
      </c>
      <c r="O587" s="14" t="str">
        <f t="shared" si="697"/>
        <v/>
      </c>
      <c r="P587" s="14">
        <f t="shared" si="698"/>
        <v>1</v>
      </c>
      <c r="Q587" s="14">
        <f t="array" ref="Q587">IFERROR(INDEX([1]Companies!$D:$D,MATCH(B587,[1]Companies!$A:$A,0)),"")</f>
        <v>2008</v>
      </c>
      <c r="R587" s="17">
        <f t="shared" si="699"/>
        <v>55800000</v>
      </c>
      <c r="S587" s="14">
        <f>VLOOKUP(I587,[1]Lookups!$V$3:$Y$197,4,FALSE)</f>
        <v>0</v>
      </c>
      <c r="T587" s="14" t="str">
        <f>VLOOKUP(E587,[1]Lookups!$H$3:$I$71,2,FALSE)</f>
        <v>3. Early Venture</v>
      </c>
      <c r="U587" s="14" t="str">
        <f>VLOOKUP(K587,[1]Lookups!$B$3:$C$142,2,FALSE)</f>
        <v>Education</v>
      </c>
      <c r="V587" s="14">
        <f t="shared" si="735"/>
        <v>2018</v>
      </c>
      <c r="W587" s="14">
        <f t="shared" si="736"/>
        <v>7</v>
      </c>
      <c r="X587" s="14">
        <f>VLOOKUP(W587,[1]Lookups!$P$3:$S$15,2,FALSE)</f>
        <v>3</v>
      </c>
      <c r="Y587" s="16">
        <f>VLOOKUP(W587,[1]Lookups!$P$3:$U$15,3,FALSE)</f>
        <v>2</v>
      </c>
      <c r="Z587" s="16">
        <f t="shared" si="737"/>
        <v>3</v>
      </c>
      <c r="AA587" s="16" t="str">
        <f t="shared" ca="1" si="802"/>
        <v>Seedstars</v>
      </c>
      <c r="AB587" s="16" t="str">
        <f t="shared" ca="1" si="802"/>
        <v xml:space="preserve"> Omidyar Network</v>
      </c>
      <c r="AC587" s="16" t="str">
        <f t="shared" ca="1" si="802"/>
        <v xml:space="preserve"> </v>
      </c>
      <c r="AD587" s="16">
        <f t="shared" si="802"/>
        <v>0</v>
      </c>
      <c r="AE587" s="16">
        <f t="shared" si="802"/>
        <v>0</v>
      </c>
      <c r="AF587" s="16">
        <f t="shared" si="802"/>
        <v>0</v>
      </c>
      <c r="AG587" s="16">
        <f t="shared" si="802"/>
        <v>0</v>
      </c>
      <c r="AH587" s="16">
        <f t="shared" si="802"/>
        <v>0</v>
      </c>
      <c r="AI587" s="16">
        <f t="shared" si="802"/>
        <v>0</v>
      </c>
      <c r="AJ587" s="16">
        <f t="shared" si="802"/>
        <v>0</v>
      </c>
      <c r="AK587" s="16">
        <f t="shared" si="802"/>
        <v>0</v>
      </c>
      <c r="AL587" s="16">
        <f t="shared" si="802"/>
        <v>0</v>
      </c>
      <c r="AM587" s="16">
        <f t="shared" si="802"/>
        <v>0</v>
      </c>
      <c r="AN587" s="16">
        <f t="shared" si="802"/>
        <v>0</v>
      </c>
      <c r="AO587" s="16">
        <f t="shared" si="802"/>
        <v>0</v>
      </c>
      <c r="AP587" s="10"/>
      <c r="AQ587" s="10"/>
      <c r="AR587" s="10"/>
      <c r="AS587" s="10" t="str">
        <f t="shared" ref="AS587" ca="1" si="817">IFERROR(__xludf.DUMMYFUNCTION("split(F479,"","",true,true)"),"Seedstars")</f>
        <v>Seedstars</v>
      </c>
      <c r="AT587" s="10" t="str">
        <f ca="1">IFERROR(__xludf.DUMMYFUNCTION("""COMPUTED_VALUE""")," Omidyar Network")</f>
        <v xml:space="preserve"> Omidyar Network</v>
      </c>
      <c r="AU587" s="10" t="str">
        <f ca="1">IFERROR(__xludf.DUMMYFUNCTION("""COMPUTED_VALUE""")," ")</f>
        <v xml:space="preserve"> </v>
      </c>
      <c r="AV587" s="10"/>
      <c r="AW587" s="10"/>
      <c r="AX587" s="10"/>
      <c r="AY587" s="10"/>
      <c r="AZ587" s="10"/>
      <c r="BA587" s="10"/>
      <c r="BB587" s="10"/>
      <c r="BC587" s="10"/>
      <c r="BD587" s="10"/>
      <c r="BE587" s="10"/>
      <c r="BF587" s="10"/>
      <c r="BG587" s="10"/>
      <c r="BH587" s="10"/>
      <c r="BI587" s="10"/>
      <c r="BJ587" s="10"/>
      <c r="BK587" s="10"/>
      <c r="BM587" s="10"/>
    </row>
    <row r="588" spans="1:65" ht="12.75">
      <c r="A588" s="18">
        <v>43286</v>
      </c>
      <c r="B588" s="14" t="s">
        <v>1324</v>
      </c>
      <c r="C588" s="19" t="s">
        <v>49</v>
      </c>
      <c r="D588" s="19"/>
      <c r="E588" s="14" t="s">
        <v>45</v>
      </c>
      <c r="F588" s="14" t="s">
        <v>1325</v>
      </c>
      <c r="G588" s="27" t="s">
        <v>1326</v>
      </c>
      <c r="H588" s="14" t="str">
        <f t="array" ref="H588">IFERROR(INDEX([1]Companies!$G:$G,MATCH(B588,[1]Companies!$A:$A,0)),"")</f>
        <v>Kenya</v>
      </c>
      <c r="I588" s="14" t="str">
        <f t="shared" si="694"/>
        <v>Kenya</v>
      </c>
      <c r="J588" s="14" t="str">
        <f t="array" ref="J588">IFERROR(INDEX([1]Companies!$Y:$Y,MATCH(B588,[1]Companies!$A:$A,0)),"")</f>
        <v>Marketplace, Aggregator, Insurtech</v>
      </c>
      <c r="K588" s="14" t="str">
        <f t="array" ref="K588">IFERROR(INDEX([1]Companies!$X:$X,MATCH(B588,[1]Companies!$A:$A,0)),"")</f>
        <v>Financial Services</v>
      </c>
      <c r="L588" s="14" t="str">
        <f>VLOOKUP(B588,[1]Companies!$A$1:$C$5243,1,FALSE)</f>
        <v>Bismart Insurance</v>
      </c>
      <c r="M588" s="15">
        <f t="shared" si="695"/>
        <v>0.9</v>
      </c>
      <c r="N588" s="10" t="str">
        <f t="shared" si="696"/>
        <v>43286Bismart InsuranceUndisclosed</v>
      </c>
      <c r="O588" s="14" t="str">
        <f t="shared" si="697"/>
        <v/>
      </c>
      <c r="P588" s="14">
        <f t="shared" si="698"/>
        <v>0</v>
      </c>
      <c r="Q588" s="14">
        <f t="array" ref="Q588">IFERROR(INDEX([1]Companies!$D:$D,MATCH(B588,[1]Companies!$A:$A,0)),"")</f>
        <v>2017</v>
      </c>
      <c r="R588" s="17">
        <f t="shared" si="699"/>
        <v>0</v>
      </c>
      <c r="S588" s="14">
        <f>VLOOKUP(I588,[1]Lookups!$V$3:$Y$197,4,FALSE)</f>
        <v>0</v>
      </c>
      <c r="T588" s="14" t="str">
        <f>VLOOKUP(E588,[1]Lookups!$H$3:$I$71,2,FALSE)</f>
        <v>2. Seed</v>
      </c>
      <c r="U588" s="14" t="str">
        <f>VLOOKUP(K588,[1]Lookups!$B$3:$C$142,2,FALSE)</f>
        <v>Financial Services</v>
      </c>
      <c r="V588" s="14">
        <f t="shared" si="735"/>
        <v>2018</v>
      </c>
      <c r="W588" s="14">
        <f t="shared" si="736"/>
        <v>7</v>
      </c>
      <c r="X588" s="14">
        <f>VLOOKUP(W588,[1]Lookups!$P$3:$S$15,2,FALSE)</f>
        <v>3</v>
      </c>
      <c r="Y588" s="16">
        <f>VLOOKUP(W588,[1]Lookups!$P$3:$U$15,3,FALSE)</f>
        <v>2</v>
      </c>
      <c r="Z588" s="16">
        <f t="shared" si="737"/>
        <v>1</v>
      </c>
      <c r="AA588" s="16" t="str">
        <f t="shared" ca="1" si="802"/>
        <v>Seedstars</v>
      </c>
      <c r="AB588" s="16">
        <f t="shared" si="802"/>
        <v>0</v>
      </c>
      <c r="AC588" s="16">
        <f t="shared" si="802"/>
        <v>0</v>
      </c>
      <c r="AD588" s="16">
        <f t="shared" si="802"/>
        <v>0</v>
      </c>
      <c r="AE588" s="16">
        <f t="shared" si="802"/>
        <v>0</v>
      </c>
      <c r="AF588" s="16">
        <f t="shared" si="802"/>
        <v>0</v>
      </c>
      <c r="AG588" s="16">
        <f t="shared" si="802"/>
        <v>0</v>
      </c>
      <c r="AH588" s="16">
        <f t="shared" si="802"/>
        <v>0</v>
      </c>
      <c r="AI588" s="16">
        <f t="shared" si="802"/>
        <v>0</v>
      </c>
      <c r="AJ588" s="16">
        <f t="shared" si="802"/>
        <v>0</v>
      </c>
      <c r="AK588" s="16">
        <f t="shared" si="802"/>
        <v>0</v>
      </c>
      <c r="AL588" s="16">
        <f t="shared" si="802"/>
        <v>0</v>
      </c>
      <c r="AM588" s="16">
        <f t="shared" si="802"/>
        <v>0</v>
      </c>
      <c r="AN588" s="16">
        <f t="shared" si="802"/>
        <v>0</v>
      </c>
      <c r="AO588" s="16">
        <f t="shared" si="802"/>
        <v>0</v>
      </c>
      <c r="AP588" s="10"/>
      <c r="AQ588" s="10"/>
      <c r="AR588" s="10"/>
      <c r="AS588" s="10" t="str">
        <f t="shared" ref="AS588" ca="1" si="818">IFERROR(__xludf.DUMMYFUNCTION("split(F479,"","",true,true)"),"Seedstars")</f>
        <v>Seedstars</v>
      </c>
      <c r="AT588" s="10"/>
      <c r="AU588" s="10"/>
      <c r="AV588" s="10"/>
      <c r="AW588" s="10"/>
      <c r="AX588" s="10"/>
      <c r="AY588" s="10"/>
      <c r="AZ588" s="10"/>
      <c r="BA588" s="10"/>
      <c r="BB588" s="10"/>
      <c r="BC588" s="10"/>
      <c r="BD588" s="10"/>
      <c r="BE588" s="10"/>
      <c r="BF588" s="10"/>
      <c r="BG588" s="10"/>
      <c r="BH588" s="10"/>
      <c r="BI588" s="10"/>
      <c r="BJ588" s="10"/>
      <c r="BK588" s="10"/>
      <c r="BM588" s="10"/>
    </row>
    <row r="589" spans="1:65" ht="12.75">
      <c r="A589" s="18">
        <v>43286</v>
      </c>
      <c r="B589" s="14" t="s">
        <v>1327</v>
      </c>
      <c r="C589" s="19">
        <v>50000</v>
      </c>
      <c r="D589" s="19"/>
      <c r="E589" s="14" t="s">
        <v>234</v>
      </c>
      <c r="F589" s="14" t="s">
        <v>49</v>
      </c>
      <c r="G589" s="13" t="s">
        <v>1328</v>
      </c>
      <c r="H589" s="14" t="str">
        <f t="array" ref="H589">IFERROR(INDEX([1]Companies!$G:$G,MATCH(B589,[1]Companies!$A:$A,0)),"")</f>
        <v>Nigeria</v>
      </c>
      <c r="I589" s="14" t="str">
        <f t="shared" si="694"/>
        <v>Nigeria</v>
      </c>
      <c r="J589" s="14" t="str">
        <f t="array" ref="J589">IFERROR(INDEX([1]Companies!$Y:$Y,MATCH(B589,[1]Companies!$A:$A,0)),"")</f>
        <v>Delivery Services, Location Based Services, Logistics</v>
      </c>
      <c r="K589" s="14" t="str">
        <f t="array" ref="K589">IFERROR(INDEX([1]Companies!$X:$X,MATCH(B589,[1]Companies!$A:$A,0)),"")</f>
        <v>Transport &amp; Logistics</v>
      </c>
      <c r="L589" s="14" t="str">
        <f>VLOOKUP(B589,[1]Companies!$A$1:$C$5243,1,FALSE)</f>
        <v>Africa Delivery Technologies Ltd</v>
      </c>
      <c r="M589" s="15">
        <f t="shared" si="695"/>
        <v>0.9</v>
      </c>
      <c r="N589" s="10" t="str">
        <f t="shared" si="696"/>
        <v>43286Africa Delivery Technologies Ltd50000</v>
      </c>
      <c r="O589" s="14" t="str">
        <f t="shared" si="697"/>
        <v/>
      </c>
      <c r="P589" s="14">
        <f t="shared" si="698"/>
        <v>1</v>
      </c>
      <c r="Q589" s="14">
        <f t="array" ref="Q589">IFERROR(INDEX([1]Companies!$D:$D,MATCH(B589,[1]Companies!$A:$A,0)),"")</f>
        <v>2018</v>
      </c>
      <c r="R589" s="17">
        <f t="shared" si="699"/>
        <v>560000</v>
      </c>
      <c r="S589" s="14">
        <f>VLOOKUP(I589,[1]Lookups!$V$3:$Y$197,4,FALSE)</f>
        <v>0</v>
      </c>
      <c r="T589" s="14" t="str">
        <f>VLOOKUP(E589,[1]Lookups!$H$3:$I$71,2,FALSE)</f>
        <v>2. Seed</v>
      </c>
      <c r="U589" s="14" t="str">
        <f>VLOOKUP(K589,[1]Lookups!$B$3:$C$142,2,FALSE)</f>
        <v>Transport &amp; Logistics</v>
      </c>
      <c r="V589" s="14">
        <f t="shared" si="735"/>
        <v>2018</v>
      </c>
      <c r="W589" s="14">
        <f t="shared" si="736"/>
        <v>7</v>
      </c>
      <c r="X589" s="14">
        <f>VLOOKUP(W589,[1]Lookups!$P$3:$S$15,2,FALSE)</f>
        <v>3</v>
      </c>
      <c r="Y589" s="16">
        <f>VLOOKUP(W589,[1]Lookups!$P$3:$U$15,3,FALSE)</f>
        <v>2</v>
      </c>
      <c r="Z589" s="16">
        <f t="shared" si="737"/>
        <v>1</v>
      </c>
      <c r="AA589" s="16" t="str">
        <f t="shared" ref="AA589:AO604" ca="1" si="819">AS589</f>
        <v>Seedstars</v>
      </c>
      <c r="AB589" s="16">
        <f t="shared" si="819"/>
        <v>0</v>
      </c>
      <c r="AC589" s="16">
        <f t="shared" si="819"/>
        <v>0</v>
      </c>
      <c r="AD589" s="16">
        <f t="shared" si="819"/>
        <v>0</v>
      </c>
      <c r="AE589" s="16">
        <f t="shared" si="819"/>
        <v>0</v>
      </c>
      <c r="AF589" s="16">
        <f t="shared" si="819"/>
        <v>0</v>
      </c>
      <c r="AG589" s="16">
        <f t="shared" si="819"/>
        <v>0</v>
      </c>
      <c r="AH589" s="16">
        <f t="shared" si="819"/>
        <v>0</v>
      </c>
      <c r="AI589" s="16">
        <f t="shared" si="819"/>
        <v>0</v>
      </c>
      <c r="AJ589" s="16">
        <f t="shared" si="819"/>
        <v>0</v>
      </c>
      <c r="AK589" s="16">
        <f t="shared" si="819"/>
        <v>0</v>
      </c>
      <c r="AL589" s="16">
        <f t="shared" si="819"/>
        <v>0</v>
      </c>
      <c r="AM589" s="16">
        <f t="shared" si="819"/>
        <v>0</v>
      </c>
      <c r="AN589" s="16">
        <f t="shared" si="819"/>
        <v>0</v>
      </c>
      <c r="AO589" s="16">
        <f t="shared" si="819"/>
        <v>0</v>
      </c>
      <c r="AP589" s="10"/>
      <c r="AQ589" s="10"/>
      <c r="AR589" s="10"/>
      <c r="AS589" s="10" t="str">
        <f t="shared" ref="AS589" ca="1" si="820">IFERROR(__xludf.DUMMYFUNCTION("split(F479,"","",true,true)"),"Seedstars")</f>
        <v>Seedstars</v>
      </c>
      <c r="AT589" s="10"/>
      <c r="AU589" s="10"/>
      <c r="AV589" s="10"/>
      <c r="AW589" s="10"/>
      <c r="AX589" s="10"/>
      <c r="AY589" s="10"/>
      <c r="AZ589" s="10"/>
      <c r="BA589" s="10"/>
      <c r="BB589" s="10"/>
      <c r="BC589" s="10"/>
      <c r="BD589" s="10"/>
      <c r="BE589" s="10"/>
      <c r="BF589" s="10"/>
      <c r="BG589" s="10"/>
      <c r="BH589" s="10"/>
      <c r="BI589" s="10"/>
      <c r="BJ589" s="10"/>
      <c r="BK589" s="10"/>
      <c r="BM589" s="10"/>
    </row>
    <row r="590" spans="1:65" ht="12.75">
      <c r="A590" s="18">
        <v>43287</v>
      </c>
      <c r="B590" s="14" t="s">
        <v>1329</v>
      </c>
      <c r="C590" s="19">
        <v>450000</v>
      </c>
      <c r="D590" s="19"/>
      <c r="E590" s="14" t="s">
        <v>45</v>
      </c>
      <c r="F590" s="14" t="s">
        <v>49</v>
      </c>
      <c r="G590" s="27" t="s">
        <v>1330</v>
      </c>
      <c r="H590" s="14" t="str">
        <f t="array" ref="H590">IFERROR(INDEX([1]Companies!$G:$G,MATCH(B590,[1]Companies!$A:$A,0)),"")</f>
        <v>Kenya</v>
      </c>
      <c r="I590" s="14" t="str">
        <f t="shared" si="694"/>
        <v>Kenya</v>
      </c>
      <c r="J590" s="14" t="str">
        <f t="array" ref="J590">IFERROR(INDEX([1]Companies!$Y:$Y,MATCH(B590,[1]Companies!$A:$A,0)),"")</f>
        <v>Bitcoin, Blockchain, Cryptocurrency, Financial Services, Lending, Mobile Apps, Peer to Peer</v>
      </c>
      <c r="K590" s="14" t="str">
        <f t="array" ref="K590">IFERROR(INDEX([1]Companies!$X:$X,MATCH(B590,[1]Companies!$A:$A,0)),"")</f>
        <v>Financial Services</v>
      </c>
      <c r="L590" s="14" t="str">
        <f>VLOOKUP(B590,[1]Companies!$A$1:$C$5243,1,FALSE)</f>
        <v>Ubapesa</v>
      </c>
      <c r="M590" s="15">
        <f t="shared" si="695"/>
        <v>0.9</v>
      </c>
      <c r="N590" s="10" t="str">
        <f t="shared" si="696"/>
        <v>43287Ubapesa450000</v>
      </c>
      <c r="O590" s="14" t="str">
        <f t="shared" si="697"/>
        <v/>
      </c>
      <c r="P590" s="14">
        <f t="shared" si="698"/>
        <v>1</v>
      </c>
      <c r="Q590" s="14">
        <f t="array" ref="Q590">IFERROR(INDEX([1]Companies!$D:$D,MATCH(B590,[1]Companies!$A:$A,0)),"")</f>
        <v>2017</v>
      </c>
      <c r="R590" s="17">
        <f t="shared" si="699"/>
        <v>450000</v>
      </c>
      <c r="S590" s="14">
        <f>VLOOKUP(I590,[1]Lookups!$V$3:$Y$197,4,FALSE)</f>
        <v>0</v>
      </c>
      <c r="T590" s="14" t="str">
        <f>VLOOKUP(E590,[1]Lookups!$H$3:$I$71,2,FALSE)</f>
        <v>2. Seed</v>
      </c>
      <c r="U590" s="14" t="str">
        <f>VLOOKUP(K590,[1]Lookups!$B$3:$C$142,2,FALSE)</f>
        <v>Financial Services</v>
      </c>
      <c r="V590" s="14">
        <f t="shared" si="735"/>
        <v>2018</v>
      </c>
      <c r="W590" s="14">
        <f t="shared" si="736"/>
        <v>7</v>
      </c>
      <c r="X590" s="14">
        <f>VLOOKUP(W590,[1]Lookups!$P$3:$S$15,2,FALSE)</f>
        <v>3</v>
      </c>
      <c r="Y590" s="16">
        <f>VLOOKUP(W590,[1]Lookups!$P$3:$U$15,3,FALSE)</f>
        <v>2</v>
      </c>
      <c r="Z590" s="16">
        <f t="shared" si="737"/>
        <v>1</v>
      </c>
      <c r="AA590" s="16" t="str">
        <f t="shared" ca="1" si="819"/>
        <v>Seedstars</v>
      </c>
      <c r="AB590" s="16">
        <f t="shared" si="819"/>
        <v>0</v>
      </c>
      <c r="AC590" s="16">
        <f t="shared" si="819"/>
        <v>0</v>
      </c>
      <c r="AD590" s="16">
        <f t="shared" si="819"/>
        <v>0</v>
      </c>
      <c r="AE590" s="16">
        <f t="shared" si="819"/>
        <v>0</v>
      </c>
      <c r="AF590" s="16">
        <f t="shared" si="819"/>
        <v>0</v>
      </c>
      <c r="AG590" s="16">
        <f t="shared" si="819"/>
        <v>0</v>
      </c>
      <c r="AH590" s="16">
        <f t="shared" si="819"/>
        <v>0</v>
      </c>
      <c r="AI590" s="16">
        <f t="shared" si="819"/>
        <v>0</v>
      </c>
      <c r="AJ590" s="16">
        <f t="shared" si="819"/>
        <v>0</v>
      </c>
      <c r="AK590" s="16">
        <f t="shared" si="819"/>
        <v>0</v>
      </c>
      <c r="AL590" s="16">
        <f t="shared" si="819"/>
        <v>0</v>
      </c>
      <c r="AM590" s="16">
        <f t="shared" si="819"/>
        <v>0</v>
      </c>
      <c r="AN590" s="16">
        <f t="shared" si="819"/>
        <v>0</v>
      </c>
      <c r="AO590" s="16">
        <f t="shared" si="819"/>
        <v>0</v>
      </c>
      <c r="AP590" s="10"/>
      <c r="AQ590" s="10"/>
      <c r="AR590" s="10"/>
      <c r="AS590" s="10" t="str">
        <f t="shared" ref="AS590" ca="1" si="821">IFERROR(__xludf.DUMMYFUNCTION("split(F479,"","",true,true)"),"Seedstars")</f>
        <v>Seedstars</v>
      </c>
      <c r="AT590" s="10"/>
      <c r="AU590" s="10"/>
      <c r="AV590" s="10"/>
      <c r="AW590" s="10"/>
      <c r="AX590" s="10"/>
      <c r="AY590" s="10"/>
      <c r="AZ590" s="10"/>
      <c r="BA590" s="10"/>
      <c r="BB590" s="10"/>
      <c r="BC590" s="10"/>
      <c r="BD590" s="10"/>
      <c r="BE590" s="10"/>
      <c r="BF590" s="10"/>
      <c r="BG590" s="10"/>
      <c r="BH590" s="10"/>
      <c r="BI590" s="10"/>
      <c r="BJ590" s="10"/>
      <c r="BK590" s="10"/>
      <c r="BM590" s="10"/>
    </row>
    <row r="591" spans="1:65" ht="12.75">
      <c r="A591" s="18">
        <v>43287</v>
      </c>
      <c r="B591" s="14" t="s">
        <v>1331</v>
      </c>
      <c r="C591" s="19">
        <v>100000</v>
      </c>
      <c r="D591" s="19"/>
      <c r="E591" s="14" t="s">
        <v>45</v>
      </c>
      <c r="F591" s="14" t="s">
        <v>49</v>
      </c>
      <c r="G591" s="27" t="s">
        <v>1332</v>
      </c>
      <c r="H591" s="14" t="str">
        <f t="array" ref="H591">IFERROR(INDEX([1]Companies!$G:$G,MATCH(B591,[1]Companies!$A:$A,0)),"")</f>
        <v>Egypt</v>
      </c>
      <c r="I591" s="14" t="str">
        <f t="shared" si="694"/>
        <v>Egypt</v>
      </c>
      <c r="J591" s="14" t="str">
        <f t="array" ref="J591">IFERROR(INDEX([1]Companies!$Y:$Y,MATCH(B591,[1]Companies!$A:$A,0)),"")</f>
        <v>Big Data, Internet, Social</v>
      </c>
      <c r="K591" s="14" t="str">
        <f t="array" ref="K591">IFERROR(INDEX([1]Companies!$X:$X,MATCH(B591,[1]Companies!$A:$A,0)),"")</f>
        <v>Information Technology</v>
      </c>
      <c r="L591" s="14" t="str">
        <f>VLOOKUP(B591,[1]Companies!$A$1:$C$5243,1,FALSE)</f>
        <v>Webville</v>
      </c>
      <c r="M591" s="15">
        <f t="shared" si="695"/>
        <v>0.9</v>
      </c>
      <c r="N591" s="10" t="str">
        <f t="shared" si="696"/>
        <v>43287Webville100000</v>
      </c>
      <c r="O591" s="14" t="str">
        <f t="shared" si="697"/>
        <v/>
      </c>
      <c r="P591" s="14">
        <f t="shared" si="698"/>
        <v>1</v>
      </c>
      <c r="Q591" s="14">
        <f t="array" ref="Q591">IFERROR(INDEX([1]Companies!$D:$D,MATCH(B591,[1]Companies!$A:$A,0)),"")</f>
        <v>2015</v>
      </c>
      <c r="R591" s="17">
        <f t="shared" si="699"/>
        <v>100000</v>
      </c>
      <c r="S591" s="14">
        <f>VLOOKUP(I591,[1]Lookups!$V$3:$Y$197,4,FALSE)</f>
        <v>0</v>
      </c>
      <c r="T591" s="14" t="str">
        <f>VLOOKUP(E591,[1]Lookups!$H$3:$I$71,2,FALSE)</f>
        <v>2. Seed</v>
      </c>
      <c r="U591" s="14" t="str">
        <f>VLOOKUP(K591,[1]Lookups!$B$3:$C$142,2,FALSE)</f>
        <v>Other Technologies &amp; Information Technology</v>
      </c>
      <c r="V591" s="14">
        <f t="shared" si="735"/>
        <v>2018</v>
      </c>
      <c r="W591" s="14">
        <f t="shared" si="736"/>
        <v>7</v>
      </c>
      <c r="X591" s="14">
        <f>VLOOKUP(W591,[1]Lookups!$P$3:$S$15,2,FALSE)</f>
        <v>3</v>
      </c>
      <c r="Y591" s="16">
        <f>VLOOKUP(W591,[1]Lookups!$P$3:$U$15,3,FALSE)</f>
        <v>2</v>
      </c>
      <c r="Z591" s="16">
        <f t="shared" si="737"/>
        <v>1</v>
      </c>
      <c r="AA591" s="16" t="str">
        <f t="shared" ca="1" si="819"/>
        <v>Seedstars</v>
      </c>
      <c r="AB591" s="16">
        <f t="shared" si="819"/>
        <v>0</v>
      </c>
      <c r="AC591" s="16">
        <f t="shared" si="819"/>
        <v>0</v>
      </c>
      <c r="AD591" s="16">
        <f t="shared" si="819"/>
        <v>0</v>
      </c>
      <c r="AE591" s="16">
        <f t="shared" si="819"/>
        <v>0</v>
      </c>
      <c r="AF591" s="16">
        <f t="shared" si="819"/>
        <v>0</v>
      </c>
      <c r="AG591" s="16">
        <f t="shared" si="819"/>
        <v>0</v>
      </c>
      <c r="AH591" s="16">
        <f t="shared" si="819"/>
        <v>0</v>
      </c>
      <c r="AI591" s="16">
        <f t="shared" si="819"/>
        <v>0</v>
      </c>
      <c r="AJ591" s="16">
        <f t="shared" si="819"/>
        <v>0</v>
      </c>
      <c r="AK591" s="16">
        <f t="shared" si="819"/>
        <v>0</v>
      </c>
      <c r="AL591" s="16">
        <f t="shared" si="819"/>
        <v>0</v>
      </c>
      <c r="AM591" s="16">
        <f t="shared" si="819"/>
        <v>0</v>
      </c>
      <c r="AN591" s="16">
        <f t="shared" si="819"/>
        <v>0</v>
      </c>
      <c r="AO591" s="16">
        <f t="shared" si="819"/>
        <v>0</v>
      </c>
      <c r="AP591" s="10"/>
      <c r="AQ591" s="10"/>
      <c r="AR591" s="10"/>
      <c r="AS591" s="10" t="str">
        <f t="shared" ref="AS591" ca="1" si="822">IFERROR(__xludf.DUMMYFUNCTION("split(F479,"","",true,true)"),"Seedstars")</f>
        <v>Seedstars</v>
      </c>
      <c r="AT591" s="10"/>
      <c r="AU591" s="10"/>
      <c r="AV591" s="10"/>
      <c r="AW591" s="10"/>
      <c r="AX591" s="10"/>
      <c r="AY591" s="10"/>
      <c r="AZ591" s="10"/>
      <c r="BA591" s="10"/>
      <c r="BB591" s="10"/>
      <c r="BC591" s="10"/>
      <c r="BD591" s="10"/>
      <c r="BE591" s="10"/>
      <c r="BF591" s="10"/>
      <c r="BG591" s="10"/>
      <c r="BH591" s="10"/>
      <c r="BI591" s="10"/>
      <c r="BJ591" s="10"/>
      <c r="BK591" s="10"/>
      <c r="BM591" s="10"/>
    </row>
    <row r="592" spans="1:65" ht="12.75">
      <c r="A592" s="18">
        <v>43288</v>
      </c>
      <c r="B592" s="14" t="s">
        <v>1333</v>
      </c>
      <c r="C592" s="19">
        <v>1100000</v>
      </c>
      <c r="D592" s="19"/>
      <c r="E592" s="14" t="s">
        <v>55</v>
      </c>
      <c r="F592" s="14" t="s">
        <v>1334</v>
      </c>
      <c r="G592" s="27" t="s">
        <v>1335</v>
      </c>
      <c r="H592" s="14" t="str">
        <f t="array" ref="H592">IFERROR(INDEX([1]Companies!$G:$G,MATCH(B592,[1]Companies!$A:$A,0)),"")</f>
        <v>Ethiopia</v>
      </c>
      <c r="I592" s="14" t="str">
        <f t="shared" si="694"/>
        <v>Ethiopia</v>
      </c>
      <c r="J592" s="14" t="str">
        <f t="array" ref="J592">IFERROR(INDEX([1]Companies!$Y:$Y,MATCH(B592,[1]Companies!$A:$A,0)),"")</f>
        <v>Agribusiness, Entrepreneurship, Incubation, Startups, Youth Empowerment, Coworking Space</v>
      </c>
      <c r="K592" s="14" t="str">
        <f t="array" ref="K592">IFERROR(INDEX([1]Companies!$X:$X,MATCH(B592,[1]Companies!$A:$A,0)),"")</f>
        <v>Agriculture</v>
      </c>
      <c r="L592" s="14" t="str">
        <f>VLOOKUP(B592,[1]Companies!$A$1:$C$5243,1,FALSE)</f>
        <v>Bluemoon</v>
      </c>
      <c r="M592" s="15">
        <f t="shared" si="695"/>
        <v>0.9</v>
      </c>
      <c r="N592" s="10" t="str">
        <f t="shared" si="696"/>
        <v>43288BlueMoon1100000</v>
      </c>
      <c r="O592" s="14" t="str">
        <f t="shared" si="697"/>
        <v/>
      </c>
      <c r="P592" s="14">
        <f t="shared" si="698"/>
        <v>1</v>
      </c>
      <c r="Q592" s="14">
        <f t="array" ref="Q592">IFERROR(INDEX([1]Companies!$D:$D,MATCH(B592,[1]Companies!$A:$A,0)),"")</f>
        <v>2016</v>
      </c>
      <c r="R592" s="17">
        <f t="shared" si="699"/>
        <v>1100000</v>
      </c>
      <c r="S592" s="14">
        <f>VLOOKUP(I592,[1]Lookups!$V$3:$Y$197,4,FALSE)</f>
        <v>0</v>
      </c>
      <c r="T592" s="14" t="str">
        <f>VLOOKUP(E592,[1]Lookups!$H$3:$I$71,2,FALSE)</f>
        <v>1. Grant</v>
      </c>
      <c r="U592" s="14" t="str">
        <f>VLOOKUP(K592,[1]Lookups!$B$3:$C$142,2,FALSE)</f>
        <v>Agriculture</v>
      </c>
      <c r="V592" s="14">
        <f t="shared" si="735"/>
        <v>2018</v>
      </c>
      <c r="W592" s="14">
        <f t="shared" si="736"/>
        <v>7</v>
      </c>
      <c r="X592" s="14">
        <f>VLOOKUP(W592,[1]Lookups!$P$3:$S$15,2,FALSE)</f>
        <v>3</v>
      </c>
      <c r="Y592" s="16">
        <f>VLOOKUP(W592,[1]Lookups!$P$3:$U$15,3,FALSE)</f>
        <v>2</v>
      </c>
      <c r="Z592" s="16">
        <f t="shared" si="737"/>
        <v>1</v>
      </c>
      <c r="AA592" s="16" t="str">
        <f t="shared" ca="1" si="819"/>
        <v>Seedstars</v>
      </c>
      <c r="AB592" s="16">
        <f t="shared" si="819"/>
        <v>0</v>
      </c>
      <c r="AC592" s="16">
        <f t="shared" si="819"/>
        <v>0</v>
      </c>
      <c r="AD592" s="16">
        <f t="shared" si="819"/>
        <v>0</v>
      </c>
      <c r="AE592" s="16">
        <f t="shared" si="819"/>
        <v>0</v>
      </c>
      <c r="AF592" s="16">
        <f t="shared" si="819"/>
        <v>0</v>
      </c>
      <c r="AG592" s="16">
        <f t="shared" si="819"/>
        <v>0</v>
      </c>
      <c r="AH592" s="16">
        <f t="shared" si="819"/>
        <v>0</v>
      </c>
      <c r="AI592" s="16">
        <f t="shared" si="819"/>
        <v>0</v>
      </c>
      <c r="AJ592" s="16">
        <f t="shared" si="819"/>
        <v>0</v>
      </c>
      <c r="AK592" s="16">
        <f t="shared" si="819"/>
        <v>0</v>
      </c>
      <c r="AL592" s="16">
        <f t="shared" si="819"/>
        <v>0</v>
      </c>
      <c r="AM592" s="16">
        <f t="shared" si="819"/>
        <v>0</v>
      </c>
      <c r="AN592" s="16">
        <f t="shared" si="819"/>
        <v>0</v>
      </c>
      <c r="AO592" s="16">
        <f t="shared" si="819"/>
        <v>0</v>
      </c>
      <c r="AP592" s="10"/>
      <c r="AQ592" s="10"/>
      <c r="AR592" s="10"/>
      <c r="AS592" s="10" t="str">
        <f t="shared" ref="AS592" ca="1" si="823">IFERROR(__xludf.DUMMYFUNCTION("split(F479,"","",true,true)"),"Seedstars")</f>
        <v>Seedstars</v>
      </c>
      <c r="AT592" s="10"/>
      <c r="AU592" s="10"/>
      <c r="AV592" s="10"/>
      <c r="AW592" s="10"/>
      <c r="AX592" s="10"/>
      <c r="AY592" s="10"/>
      <c r="AZ592" s="10"/>
      <c r="BA592" s="10"/>
      <c r="BB592" s="10"/>
      <c r="BC592" s="10"/>
      <c r="BD592" s="10"/>
      <c r="BE592" s="10"/>
      <c r="BF592" s="10"/>
      <c r="BG592" s="10"/>
      <c r="BH592" s="10"/>
      <c r="BI592" s="10"/>
      <c r="BJ592" s="10"/>
      <c r="BK592" s="10"/>
      <c r="BM592" s="10"/>
    </row>
    <row r="593" spans="1:65" ht="12.75">
      <c r="A593" s="18">
        <v>43290</v>
      </c>
      <c r="B593" s="14" t="s">
        <v>301</v>
      </c>
      <c r="C593" s="19" t="s">
        <v>49</v>
      </c>
      <c r="D593" s="19"/>
      <c r="E593" s="14" t="s">
        <v>112</v>
      </c>
      <c r="F593" s="14" t="s">
        <v>1336</v>
      </c>
      <c r="G593" s="27" t="s">
        <v>1337</v>
      </c>
      <c r="H593" s="14" t="str">
        <f t="array" ref="H593">IFERROR(INDEX([1]Companies!$G:$G,MATCH(B593,[1]Companies!$A:$A,0)),"")</f>
        <v>Senegal</v>
      </c>
      <c r="I593" s="14" t="str">
        <f t="shared" si="694"/>
        <v>Senegal</v>
      </c>
      <c r="J593" s="14" t="str">
        <f t="array" ref="J593">IFERROR(INDEX([1]Companies!$Y:$Y,MATCH(B593,[1]Companies!$A:$A,0)),"")</f>
        <v>Environmental Consulting, Financial Services, Renewable Energy, Solar</v>
      </c>
      <c r="K593" s="14" t="str">
        <f t="array" ref="K593">IFERROR(INDEX([1]Companies!$X:$X,MATCH(B593,[1]Companies!$A:$A,0)),"")</f>
        <v>Energy &amp; Environment Resources</v>
      </c>
      <c r="L593" s="14" t="str">
        <f>VLOOKUP(B593,[1]Companies!$A$1:$C$5243,1,FALSE)</f>
        <v>Oolu</v>
      </c>
      <c r="M593" s="15">
        <f t="shared" si="695"/>
        <v>0.9</v>
      </c>
      <c r="N593" s="10" t="str">
        <f t="shared" si="696"/>
        <v>43290OoluUndisclosed</v>
      </c>
      <c r="O593" s="14" t="str">
        <f t="shared" si="697"/>
        <v/>
      </c>
      <c r="P593" s="14">
        <f t="shared" si="698"/>
        <v>0</v>
      </c>
      <c r="Q593" s="14">
        <f t="array" ref="Q593">IFERROR(INDEX([1]Companies!$D:$D,MATCH(B593,[1]Companies!$A:$A,0)),"")</f>
        <v>2015</v>
      </c>
      <c r="R593" s="17">
        <f t="shared" si="699"/>
        <v>4200000</v>
      </c>
      <c r="S593" s="14">
        <f>VLOOKUP(I593,[1]Lookups!$V$3:$Y$197,4,FALSE)</f>
        <v>0</v>
      </c>
      <c r="T593" s="14" t="str">
        <f>VLOOKUP(E593,[1]Lookups!$H$3:$I$71,2,FALSE)</f>
        <v>3. Early Venture</v>
      </c>
      <c r="U593" s="14" t="e">
        <f>VLOOKUP(K593,[1]Lookups!$B$3:$C$142,2,FALSE)</f>
        <v>#N/A</v>
      </c>
      <c r="V593" s="14">
        <f t="shared" si="735"/>
        <v>2018</v>
      </c>
      <c r="W593" s="14">
        <f t="shared" si="736"/>
        <v>7</v>
      </c>
      <c r="X593" s="14">
        <f>VLOOKUP(W593,[1]Lookups!$P$3:$S$15,2,FALSE)</f>
        <v>3</v>
      </c>
      <c r="Y593" s="16">
        <f>VLOOKUP(W593,[1]Lookups!$P$3:$U$15,3,FALSE)</f>
        <v>2</v>
      </c>
      <c r="Z593" s="16">
        <f t="shared" si="737"/>
        <v>1</v>
      </c>
      <c r="AA593" s="16" t="str">
        <f t="shared" ca="1" si="819"/>
        <v>Seedstars</v>
      </c>
      <c r="AB593" s="16">
        <f t="shared" si="819"/>
        <v>0</v>
      </c>
      <c r="AC593" s="16">
        <f t="shared" si="819"/>
        <v>0</v>
      </c>
      <c r="AD593" s="16">
        <f t="shared" si="819"/>
        <v>0</v>
      </c>
      <c r="AE593" s="16">
        <f t="shared" si="819"/>
        <v>0</v>
      </c>
      <c r="AF593" s="16">
        <f t="shared" si="819"/>
        <v>0</v>
      </c>
      <c r="AG593" s="16">
        <f t="shared" si="819"/>
        <v>0</v>
      </c>
      <c r="AH593" s="16">
        <f t="shared" si="819"/>
        <v>0</v>
      </c>
      <c r="AI593" s="16">
        <f t="shared" si="819"/>
        <v>0</v>
      </c>
      <c r="AJ593" s="16">
        <f t="shared" si="819"/>
        <v>0</v>
      </c>
      <c r="AK593" s="16">
        <f t="shared" si="819"/>
        <v>0</v>
      </c>
      <c r="AL593" s="16">
        <f t="shared" si="819"/>
        <v>0</v>
      </c>
      <c r="AM593" s="16">
        <f t="shared" si="819"/>
        <v>0</v>
      </c>
      <c r="AN593" s="16">
        <f t="shared" si="819"/>
        <v>0</v>
      </c>
      <c r="AO593" s="16">
        <f t="shared" si="819"/>
        <v>0</v>
      </c>
      <c r="AP593" s="10"/>
      <c r="AQ593" s="10"/>
      <c r="AR593" s="10"/>
      <c r="AS593" s="10" t="str">
        <f t="shared" ref="AS593" ca="1" si="824">IFERROR(__xludf.DUMMYFUNCTION("split(F479,"","",true,true)"),"Seedstars")</f>
        <v>Seedstars</v>
      </c>
      <c r="AT593" s="10"/>
      <c r="AU593" s="10"/>
      <c r="AV593" s="10"/>
      <c r="AW593" s="10"/>
      <c r="AX593" s="10"/>
      <c r="AY593" s="10"/>
      <c r="AZ593" s="10"/>
      <c r="BA593" s="10"/>
      <c r="BB593" s="10"/>
      <c r="BC593" s="10"/>
      <c r="BD593" s="10"/>
      <c r="BE593" s="10"/>
      <c r="BF593" s="10"/>
      <c r="BG593" s="10"/>
      <c r="BH593" s="10"/>
      <c r="BI593" s="10"/>
      <c r="BJ593" s="10"/>
      <c r="BK593" s="10"/>
      <c r="BM593" s="10"/>
    </row>
    <row r="594" spans="1:65" ht="12.75">
      <c r="A594" s="18">
        <v>43292</v>
      </c>
      <c r="B594" s="14" t="s">
        <v>533</v>
      </c>
      <c r="C594" s="19">
        <v>500000</v>
      </c>
      <c r="D594" s="19"/>
      <c r="E594" s="10" t="s">
        <v>91</v>
      </c>
      <c r="F594" s="14" t="s">
        <v>1338</v>
      </c>
      <c r="G594" s="27" t="s">
        <v>1339</v>
      </c>
      <c r="H594" s="14" t="str">
        <f t="array" ref="H594">IFERROR(INDEX([1]Companies!$G:$G,MATCH(B594,[1]Companies!$A:$A,0)),"")</f>
        <v>Kenya</v>
      </c>
      <c r="I594" s="14" t="str">
        <f t="shared" si="694"/>
        <v>Kenya</v>
      </c>
      <c r="J594" s="14" t="str">
        <f t="array" ref="J594">IFERROR(INDEX([1]Companies!$Y:$Y,MATCH(B594,[1]Companies!$A:$A,0)),"")</f>
        <v>Agriculture, Farmers Market, Financial Services, Machine Learning</v>
      </c>
      <c r="K594" s="14" t="str">
        <f t="array" ref="K594">IFERROR(INDEX([1]Companies!$X:$X,MATCH(B594,[1]Companies!$A:$A,0)),"")</f>
        <v>Agriculture</v>
      </c>
      <c r="L594" s="14" t="str">
        <f>VLOOKUP(B594,[1]Companies!$A$1:$C$5243,1,FALSE)</f>
        <v>Apollo Agriculture</v>
      </c>
      <c r="M594" s="15">
        <f t="shared" si="695"/>
        <v>0.9</v>
      </c>
      <c r="N594" s="10" t="str">
        <f t="shared" si="696"/>
        <v>43292Apollo Agriculture500000</v>
      </c>
      <c r="O594" s="14" t="str">
        <f t="shared" si="697"/>
        <v/>
      </c>
      <c r="P594" s="14">
        <f t="shared" si="698"/>
        <v>1</v>
      </c>
      <c r="Q594" s="14">
        <f t="array" ref="Q594">IFERROR(INDEX([1]Companies!$D:$D,MATCH(B594,[1]Companies!$A:$A,0)),"")</f>
        <v>2015</v>
      </c>
      <c r="R594" s="17">
        <f t="shared" si="699"/>
        <v>1600000</v>
      </c>
      <c r="S594" s="14">
        <f>VLOOKUP(I594,[1]Lookups!$V$3:$Y$197,4,FALSE)</f>
        <v>0</v>
      </c>
      <c r="T594" s="14" t="str">
        <f>VLOOKUP(E594,[1]Lookups!$H$3:$I$71,2,FALSE)</f>
        <v>5. Debt Financing</v>
      </c>
      <c r="U594" s="14" t="str">
        <f>VLOOKUP(K594,[1]Lookups!$B$3:$C$142,2,FALSE)</f>
        <v>Agriculture</v>
      </c>
      <c r="V594" s="14">
        <f t="shared" si="735"/>
        <v>2018</v>
      </c>
      <c r="W594" s="14">
        <f t="shared" si="736"/>
        <v>7</v>
      </c>
      <c r="X594" s="14">
        <f>VLOOKUP(W594,[1]Lookups!$P$3:$S$15,2,FALSE)</f>
        <v>3</v>
      </c>
      <c r="Y594" s="16">
        <f>VLOOKUP(W594,[1]Lookups!$P$3:$U$15,3,FALSE)</f>
        <v>2</v>
      </c>
      <c r="Z594" s="16">
        <f t="shared" si="737"/>
        <v>2</v>
      </c>
      <c r="AA594" s="16" t="str">
        <f t="shared" ca="1" si="819"/>
        <v>Seedstars</v>
      </c>
      <c r="AB594" s="16" t="str">
        <f t="shared" ca="1" si="819"/>
        <v xml:space="preserve"> Rabobank Foundation</v>
      </c>
      <c r="AC594" s="16">
        <f t="shared" si="819"/>
        <v>0</v>
      </c>
      <c r="AD594" s="16">
        <f t="shared" si="819"/>
        <v>0</v>
      </c>
      <c r="AE594" s="16">
        <f t="shared" si="819"/>
        <v>0</v>
      </c>
      <c r="AF594" s="16">
        <f t="shared" si="819"/>
        <v>0</v>
      </c>
      <c r="AG594" s="16">
        <f t="shared" si="819"/>
        <v>0</v>
      </c>
      <c r="AH594" s="16">
        <f t="shared" si="819"/>
        <v>0</v>
      </c>
      <c r="AI594" s="16">
        <f t="shared" si="819"/>
        <v>0</v>
      </c>
      <c r="AJ594" s="16">
        <f t="shared" si="819"/>
        <v>0</v>
      </c>
      <c r="AK594" s="16">
        <f t="shared" si="819"/>
        <v>0</v>
      </c>
      <c r="AL594" s="16">
        <f t="shared" si="819"/>
        <v>0</v>
      </c>
      <c r="AM594" s="16">
        <f t="shared" si="819"/>
        <v>0</v>
      </c>
      <c r="AN594" s="16">
        <f t="shared" si="819"/>
        <v>0</v>
      </c>
      <c r="AO594" s="16">
        <f t="shared" si="819"/>
        <v>0</v>
      </c>
      <c r="AP594" s="10"/>
      <c r="AQ594" s="10"/>
      <c r="AR594" s="10"/>
      <c r="AS594" s="10" t="str">
        <f t="shared" ref="AS594" ca="1" si="825">IFERROR(__xludf.DUMMYFUNCTION("split(F479,"","",true,true)"),"Seedstars")</f>
        <v>Seedstars</v>
      </c>
      <c r="AT594" s="10" t="str">
        <f ca="1">IFERROR(__xludf.DUMMYFUNCTION("""COMPUTED_VALUE""")," Rabobank Foundation")</f>
        <v xml:space="preserve"> Rabobank Foundation</v>
      </c>
      <c r="AU594" s="10"/>
      <c r="AV594" s="10"/>
      <c r="AW594" s="10"/>
      <c r="AX594" s="10"/>
      <c r="AY594" s="10"/>
      <c r="AZ594" s="10"/>
      <c r="BA594" s="10"/>
      <c r="BB594" s="10"/>
      <c r="BC594" s="10"/>
      <c r="BD594" s="10"/>
      <c r="BE594" s="10"/>
      <c r="BF594" s="10"/>
      <c r="BG594" s="10"/>
      <c r="BH594" s="10"/>
      <c r="BI594" s="10"/>
      <c r="BJ594" s="10"/>
      <c r="BK594" s="10"/>
      <c r="BM594" s="10"/>
    </row>
    <row r="595" spans="1:65" ht="12.75">
      <c r="A595" s="18">
        <v>43292</v>
      </c>
      <c r="B595" s="14" t="s">
        <v>1340</v>
      </c>
      <c r="C595" s="19">
        <v>250000</v>
      </c>
      <c r="D595" s="19"/>
      <c r="E595" s="14" t="s">
        <v>69</v>
      </c>
      <c r="F595" s="14" t="s">
        <v>1341</v>
      </c>
      <c r="G595" s="27" t="s">
        <v>1342</v>
      </c>
      <c r="H595" s="14" t="str">
        <f t="array" ref="H595">IFERROR(INDEX([1]Companies!$G:$G,MATCH(B595,[1]Companies!$A:$A,0)),"")</f>
        <v>Ghana</v>
      </c>
      <c r="I595" s="14" t="str">
        <f t="shared" si="694"/>
        <v>Ghana</v>
      </c>
      <c r="J595" s="14" t="str">
        <f t="array" ref="J595">IFERROR(INDEX([1]Companies!$Y:$Y,MATCH(B595,[1]Companies!$A:$A,0)),"")</f>
        <v>Fitness, Health Care, Pharmaceutical, Wellness</v>
      </c>
      <c r="K595" s="14" t="str">
        <f t="array" ref="K595">IFERROR(INDEX([1]Companies!$X:$X,MATCH(B595,[1]Companies!$A:$A,0)),"")</f>
        <v>Healthcare &amp; Pharma</v>
      </c>
      <c r="L595" s="14" t="str">
        <f>VLOOKUP(B595,[1]Companies!$A$1:$C$5243,1,FALSE)</f>
        <v>Redbird Health Tech</v>
      </c>
      <c r="M595" s="15">
        <f t="shared" si="695"/>
        <v>0.9</v>
      </c>
      <c r="N595" s="10" t="str">
        <f t="shared" si="696"/>
        <v>43292Redbird Health Tech250000</v>
      </c>
      <c r="O595" s="14" t="str">
        <f t="shared" si="697"/>
        <v/>
      </c>
      <c r="P595" s="14">
        <f t="shared" si="698"/>
        <v>1</v>
      </c>
      <c r="Q595" s="14">
        <f t="array" ref="Q595">IFERROR(INDEX([1]Companies!$D:$D,MATCH(B595,[1]Companies!$A:$A,0)),"")</f>
        <v>2017</v>
      </c>
      <c r="R595" s="17">
        <f t="shared" si="699"/>
        <v>250000</v>
      </c>
      <c r="S595" s="14">
        <f>VLOOKUP(I595,[1]Lookups!$V$3:$Y$197,4,FALSE)</f>
        <v>0</v>
      </c>
      <c r="T595" s="14" t="str">
        <f>VLOOKUP(E595,[1]Lookups!$H$3:$I$71,2,FALSE)</f>
        <v>3. Early Venture</v>
      </c>
      <c r="U595" s="14" t="str">
        <f>VLOOKUP(K595,[1]Lookups!$B$3:$C$142,2,FALSE)</f>
        <v>Health &amp; Pharmaceuticals</v>
      </c>
      <c r="V595" s="14">
        <f t="shared" si="735"/>
        <v>2018</v>
      </c>
      <c r="W595" s="14">
        <f t="shared" si="736"/>
        <v>7</v>
      </c>
      <c r="X595" s="14">
        <f>VLOOKUP(W595,[1]Lookups!$P$3:$S$15,2,FALSE)</f>
        <v>3</v>
      </c>
      <c r="Y595" s="16">
        <f>VLOOKUP(W595,[1]Lookups!$P$3:$U$15,3,FALSE)</f>
        <v>2</v>
      </c>
      <c r="Z595" s="16">
        <f t="shared" si="737"/>
        <v>1</v>
      </c>
      <c r="AA595" s="16" t="str">
        <f t="shared" ca="1" si="819"/>
        <v>Seedstars</v>
      </c>
      <c r="AB595" s="16">
        <f t="shared" si="819"/>
        <v>0</v>
      </c>
      <c r="AC595" s="16">
        <f t="shared" si="819"/>
        <v>0</v>
      </c>
      <c r="AD595" s="16">
        <f t="shared" si="819"/>
        <v>0</v>
      </c>
      <c r="AE595" s="16">
        <f t="shared" si="819"/>
        <v>0</v>
      </c>
      <c r="AF595" s="16">
        <f t="shared" si="819"/>
        <v>0</v>
      </c>
      <c r="AG595" s="16">
        <f t="shared" si="819"/>
        <v>0</v>
      </c>
      <c r="AH595" s="16">
        <f t="shared" si="819"/>
        <v>0</v>
      </c>
      <c r="AI595" s="16">
        <f t="shared" si="819"/>
        <v>0</v>
      </c>
      <c r="AJ595" s="16">
        <f t="shared" si="819"/>
        <v>0</v>
      </c>
      <c r="AK595" s="16">
        <f t="shared" si="819"/>
        <v>0</v>
      </c>
      <c r="AL595" s="16">
        <f t="shared" si="819"/>
        <v>0</v>
      </c>
      <c r="AM595" s="16">
        <f t="shared" si="819"/>
        <v>0</v>
      </c>
      <c r="AN595" s="16">
        <f t="shared" si="819"/>
        <v>0</v>
      </c>
      <c r="AO595" s="16">
        <f t="shared" si="819"/>
        <v>0</v>
      </c>
      <c r="AP595" s="10"/>
      <c r="AQ595" s="10"/>
      <c r="AR595" s="10"/>
      <c r="AS595" s="10" t="str">
        <f t="shared" ref="AS595" ca="1" si="826">IFERROR(__xludf.DUMMYFUNCTION("split(F479,"","",true,true)"),"Seedstars")</f>
        <v>Seedstars</v>
      </c>
      <c r="AT595" s="10"/>
      <c r="AU595" s="10"/>
      <c r="AV595" s="10"/>
      <c r="AW595" s="10"/>
      <c r="AX595" s="10"/>
      <c r="AY595" s="10"/>
      <c r="AZ595" s="10"/>
      <c r="BA595" s="10"/>
      <c r="BB595" s="10"/>
      <c r="BC595" s="10"/>
      <c r="BD595" s="10"/>
      <c r="BE595" s="10"/>
      <c r="BF595" s="10"/>
      <c r="BG595" s="10"/>
      <c r="BH595" s="10"/>
      <c r="BI595" s="10"/>
      <c r="BJ595" s="10"/>
      <c r="BK595" s="10"/>
      <c r="BM595" s="10"/>
    </row>
    <row r="596" spans="1:65" ht="12.75">
      <c r="A596" s="18">
        <v>43293</v>
      </c>
      <c r="B596" s="14" t="s">
        <v>1343</v>
      </c>
      <c r="C596" s="19">
        <v>40000</v>
      </c>
      <c r="D596" s="19"/>
      <c r="E596" s="14" t="s">
        <v>45</v>
      </c>
      <c r="F596" s="14" t="s">
        <v>1166</v>
      </c>
      <c r="G596" s="27" t="s">
        <v>1344</v>
      </c>
      <c r="H596" s="14" t="str">
        <f t="array" ref="H596">IFERROR(INDEX([1]Companies!$G:$G,MATCH(B596,[1]Companies!$A:$A,0)),"")</f>
        <v>Nigeria</v>
      </c>
      <c r="I596" s="14" t="str">
        <f t="shared" si="694"/>
        <v>Nigeria</v>
      </c>
      <c r="J596" s="14" t="str">
        <f t="array" ref="J596">IFERROR(INDEX([1]Companies!$Y:$Y,MATCH(B596,[1]Companies!$A:$A,0)),"")</f>
        <v>Software Engineering, Software Development, and IT Professionals</v>
      </c>
      <c r="K596" s="14" t="str">
        <f t="array" ref="K596">IFERROR(INDEX([1]Companies!$X:$X,MATCH(B596,[1]Companies!$A:$A,0)),"")</f>
        <v>Education</v>
      </c>
      <c r="L596" s="14" t="str">
        <f>VLOOKUP(B596,[1]Companies!$A$1:$C$5243,1,FALSE)</f>
        <v>LearnFactory Nigeria</v>
      </c>
      <c r="M596" s="15">
        <f t="shared" si="695"/>
        <v>0.9</v>
      </c>
      <c r="N596" s="10" t="str">
        <f t="shared" si="696"/>
        <v>43293LearnFactory Nigeria40000</v>
      </c>
      <c r="O596" s="14" t="str">
        <f t="shared" si="697"/>
        <v/>
      </c>
      <c r="P596" s="14">
        <f t="shared" si="698"/>
        <v>1</v>
      </c>
      <c r="Q596" s="14">
        <f t="array" ref="Q596">IFERROR(INDEX([1]Companies!$D:$D,MATCH(B596,[1]Companies!$A:$A,0)),"")</f>
        <v>2015</v>
      </c>
      <c r="R596" s="17">
        <f t="shared" si="699"/>
        <v>165000</v>
      </c>
      <c r="S596" s="14">
        <f>VLOOKUP(I596,[1]Lookups!$V$3:$Y$197,4,FALSE)</f>
        <v>0</v>
      </c>
      <c r="T596" s="14" t="str">
        <f>VLOOKUP(E596,[1]Lookups!$H$3:$I$71,2,FALSE)</f>
        <v>2. Seed</v>
      </c>
      <c r="U596" s="14" t="str">
        <f>VLOOKUP(K596,[1]Lookups!$B$3:$C$142,2,FALSE)</f>
        <v>Education</v>
      </c>
      <c r="V596" s="14">
        <f t="shared" si="735"/>
        <v>2018</v>
      </c>
      <c r="W596" s="14">
        <f t="shared" si="736"/>
        <v>7</v>
      </c>
      <c r="X596" s="14">
        <f>VLOOKUP(W596,[1]Lookups!$P$3:$S$15,2,FALSE)</f>
        <v>3</v>
      </c>
      <c r="Y596" s="16">
        <f>VLOOKUP(W596,[1]Lookups!$P$3:$U$15,3,FALSE)</f>
        <v>2</v>
      </c>
      <c r="Z596" s="16">
        <f t="shared" si="737"/>
        <v>1</v>
      </c>
      <c r="AA596" s="16" t="str">
        <f t="shared" ca="1" si="819"/>
        <v>Seedstars</v>
      </c>
      <c r="AB596" s="16">
        <f t="shared" si="819"/>
        <v>0</v>
      </c>
      <c r="AC596" s="16">
        <f t="shared" si="819"/>
        <v>0</v>
      </c>
      <c r="AD596" s="16">
        <f t="shared" si="819"/>
        <v>0</v>
      </c>
      <c r="AE596" s="16">
        <f t="shared" si="819"/>
        <v>0</v>
      </c>
      <c r="AF596" s="16">
        <f t="shared" si="819"/>
        <v>0</v>
      </c>
      <c r="AG596" s="16">
        <f t="shared" si="819"/>
        <v>0</v>
      </c>
      <c r="AH596" s="16">
        <f t="shared" si="819"/>
        <v>0</v>
      </c>
      <c r="AI596" s="16">
        <f t="shared" si="819"/>
        <v>0</v>
      </c>
      <c r="AJ596" s="16">
        <f t="shared" si="819"/>
        <v>0</v>
      </c>
      <c r="AK596" s="16">
        <f t="shared" si="819"/>
        <v>0</v>
      </c>
      <c r="AL596" s="16">
        <f t="shared" si="819"/>
        <v>0</v>
      </c>
      <c r="AM596" s="16">
        <f t="shared" si="819"/>
        <v>0</v>
      </c>
      <c r="AN596" s="16">
        <f t="shared" si="819"/>
        <v>0</v>
      </c>
      <c r="AO596" s="16">
        <f t="shared" si="819"/>
        <v>0</v>
      </c>
      <c r="AP596" s="10"/>
      <c r="AQ596" s="10"/>
      <c r="AR596" s="10"/>
      <c r="AS596" s="10" t="str">
        <f t="shared" ref="AS596" ca="1" si="827">IFERROR(__xludf.DUMMYFUNCTION("split(F479,"","",true,true)"),"Seedstars")</f>
        <v>Seedstars</v>
      </c>
      <c r="AT596" s="10"/>
      <c r="AU596" s="10"/>
      <c r="AV596" s="10"/>
      <c r="AW596" s="10"/>
      <c r="AX596" s="10"/>
      <c r="AY596" s="10"/>
      <c r="AZ596" s="10"/>
      <c r="BA596" s="10"/>
      <c r="BB596" s="10"/>
      <c r="BC596" s="10"/>
      <c r="BD596" s="10"/>
      <c r="BE596" s="10"/>
      <c r="BF596" s="10"/>
      <c r="BG596" s="10"/>
      <c r="BH596" s="10"/>
      <c r="BI596" s="10"/>
      <c r="BJ596" s="10"/>
      <c r="BK596" s="10"/>
      <c r="BM596" s="10"/>
    </row>
    <row r="597" spans="1:65" ht="12.75">
      <c r="A597" s="18">
        <v>43293</v>
      </c>
      <c r="B597" s="14" t="s">
        <v>1345</v>
      </c>
      <c r="C597" s="19">
        <v>40000</v>
      </c>
      <c r="D597" s="19"/>
      <c r="E597" s="14" t="s">
        <v>45</v>
      </c>
      <c r="F597" s="14" t="s">
        <v>1166</v>
      </c>
      <c r="G597" s="27" t="s">
        <v>1344</v>
      </c>
      <c r="H597" s="14" t="str">
        <f t="array" ref="H597">IFERROR(INDEX([1]Companies!$G:$G,MATCH(B597,[1]Companies!$A:$A,0)),"")</f>
        <v>Kenya</v>
      </c>
      <c r="I597" s="14" t="str">
        <f t="shared" si="694"/>
        <v>Kenya</v>
      </c>
      <c r="J597" s="14" t="str">
        <f t="array" ref="J597">IFERROR(INDEX([1]Companies!$Y:$Y,MATCH(B597,[1]Companies!$A:$A,0)),"")</f>
        <v>Children, Education, Gaming</v>
      </c>
      <c r="K597" s="14" t="str">
        <f t="array" ref="K597">IFERROR(INDEX([1]Companies!$X:$X,MATCH(B597,[1]Companies!$A:$A,0)),"")</f>
        <v>Education</v>
      </c>
      <c r="L597" s="14" t="str">
        <f>VLOOKUP(B597,[1]Companies!$A$1:$C$5243,1,FALSE)</f>
        <v>eLimu</v>
      </c>
      <c r="M597" s="15">
        <f t="shared" si="695"/>
        <v>0.9</v>
      </c>
      <c r="N597" s="10" t="str">
        <f t="shared" si="696"/>
        <v>43293eLimu40000</v>
      </c>
      <c r="O597" s="14" t="str">
        <f t="shared" si="697"/>
        <v/>
      </c>
      <c r="P597" s="14">
        <f t="shared" si="698"/>
        <v>1</v>
      </c>
      <c r="Q597" s="14">
        <f t="array" ref="Q597">IFERROR(INDEX([1]Companies!$D:$D,MATCH(B597,[1]Companies!$A:$A,0)),"")</f>
        <v>2012</v>
      </c>
      <c r="R597" s="17">
        <f t="shared" si="699"/>
        <v>40000</v>
      </c>
      <c r="S597" s="14">
        <f>VLOOKUP(I597,[1]Lookups!$V$3:$Y$197,4,FALSE)</f>
        <v>0</v>
      </c>
      <c r="T597" s="14" t="str">
        <f>VLOOKUP(E597,[1]Lookups!$H$3:$I$71,2,FALSE)</f>
        <v>2. Seed</v>
      </c>
      <c r="U597" s="14" t="str">
        <f>VLOOKUP(K597,[1]Lookups!$B$3:$C$142,2,FALSE)</f>
        <v>Education</v>
      </c>
      <c r="V597" s="14">
        <f t="shared" si="735"/>
        <v>2018</v>
      </c>
      <c r="W597" s="14">
        <f t="shared" si="736"/>
        <v>7</v>
      </c>
      <c r="X597" s="14">
        <f>VLOOKUP(W597,[1]Lookups!$P$3:$S$15,2,FALSE)</f>
        <v>3</v>
      </c>
      <c r="Y597" s="16">
        <f>VLOOKUP(W597,[1]Lookups!$P$3:$U$15,3,FALSE)</f>
        <v>2</v>
      </c>
      <c r="Z597" s="16">
        <f t="shared" si="737"/>
        <v>1</v>
      </c>
      <c r="AA597" s="16" t="str">
        <f t="shared" ca="1" si="819"/>
        <v>Seedstars</v>
      </c>
      <c r="AB597" s="16">
        <f t="shared" si="819"/>
        <v>0</v>
      </c>
      <c r="AC597" s="16">
        <f t="shared" si="819"/>
        <v>0</v>
      </c>
      <c r="AD597" s="16">
        <f t="shared" si="819"/>
        <v>0</v>
      </c>
      <c r="AE597" s="16">
        <f t="shared" si="819"/>
        <v>0</v>
      </c>
      <c r="AF597" s="16">
        <f t="shared" si="819"/>
        <v>0</v>
      </c>
      <c r="AG597" s="16">
        <f t="shared" si="819"/>
        <v>0</v>
      </c>
      <c r="AH597" s="16">
        <f t="shared" si="819"/>
        <v>0</v>
      </c>
      <c r="AI597" s="16">
        <f t="shared" si="819"/>
        <v>0</v>
      </c>
      <c r="AJ597" s="16">
        <f t="shared" si="819"/>
        <v>0</v>
      </c>
      <c r="AK597" s="16">
        <f t="shared" si="819"/>
        <v>0</v>
      </c>
      <c r="AL597" s="16">
        <f t="shared" si="819"/>
        <v>0</v>
      </c>
      <c r="AM597" s="16">
        <f t="shared" si="819"/>
        <v>0</v>
      </c>
      <c r="AN597" s="16">
        <f t="shared" si="819"/>
        <v>0</v>
      </c>
      <c r="AO597" s="16">
        <f t="shared" si="819"/>
        <v>0</v>
      </c>
      <c r="AP597" s="10"/>
      <c r="AQ597" s="10"/>
      <c r="AR597" s="10"/>
      <c r="AS597" s="10" t="str">
        <f t="shared" ref="AS597" ca="1" si="828">IFERROR(__xludf.DUMMYFUNCTION("split(F479,"","",true,true)"),"Seedstars")</f>
        <v>Seedstars</v>
      </c>
      <c r="AT597" s="10"/>
      <c r="AU597" s="10"/>
      <c r="AV597" s="10"/>
      <c r="AW597" s="10"/>
      <c r="AX597" s="10"/>
      <c r="AY597" s="10"/>
      <c r="AZ597" s="10"/>
      <c r="BA597" s="10"/>
      <c r="BB597" s="10"/>
      <c r="BC597" s="10"/>
      <c r="BD597" s="10"/>
      <c r="BE597" s="10"/>
      <c r="BF597" s="10"/>
      <c r="BG597" s="10"/>
      <c r="BH597" s="10"/>
      <c r="BI597" s="10"/>
      <c r="BJ597" s="10"/>
      <c r="BK597" s="10"/>
      <c r="BM597" s="10"/>
    </row>
    <row r="598" spans="1:65" ht="12.75">
      <c r="A598" s="18">
        <v>43293</v>
      </c>
      <c r="B598" s="14" t="s">
        <v>1346</v>
      </c>
      <c r="C598" s="19">
        <v>40000</v>
      </c>
      <c r="D598" s="19"/>
      <c r="E598" s="14" t="s">
        <v>45</v>
      </c>
      <c r="F598" s="14" t="s">
        <v>1166</v>
      </c>
      <c r="G598" s="27" t="s">
        <v>1344</v>
      </c>
      <c r="H598" s="14" t="str">
        <f t="array" ref="H598">IFERROR(INDEX([1]Companies!$G:$G,MATCH(B598,[1]Companies!$A:$A,0)),"")</f>
        <v>Ethiopia</v>
      </c>
      <c r="I598" s="14" t="str">
        <f t="shared" si="694"/>
        <v>Ethiopia</v>
      </c>
      <c r="J598" s="14" t="str">
        <f t="array" ref="J598">IFERROR(INDEX([1]Companies!$Y:$Y,MATCH(B598,[1]Companies!$A:$A,0)),"")</f>
        <v>Edtech</v>
      </c>
      <c r="K598" s="14" t="str">
        <f t="array" ref="K598">IFERROR(INDEX([1]Companies!$X:$X,MATCH(B598,[1]Companies!$A:$A,0)),"")</f>
        <v>Education</v>
      </c>
      <c r="L598" s="14" t="str">
        <f>VLOOKUP(B598,[1]Companies!$A$1:$C$5243,1,FALSE)</f>
        <v>Langbot</v>
      </c>
      <c r="M598" s="15">
        <f t="shared" si="695"/>
        <v>0.9</v>
      </c>
      <c r="N598" s="10" t="str">
        <f t="shared" si="696"/>
        <v>43293LangBot40000</v>
      </c>
      <c r="O598" s="14" t="str">
        <f t="shared" si="697"/>
        <v/>
      </c>
      <c r="P598" s="14">
        <f t="shared" si="698"/>
        <v>1</v>
      </c>
      <c r="Q598" s="14">
        <f t="array" ref="Q598">IFERROR(INDEX([1]Companies!$D:$D,MATCH(B598,[1]Companies!$A:$A,0)),"")</f>
        <v>2017</v>
      </c>
      <c r="R598" s="17">
        <f t="shared" si="699"/>
        <v>40000</v>
      </c>
      <c r="S598" s="14">
        <f>VLOOKUP(I598,[1]Lookups!$V$3:$Y$197,4,FALSE)</f>
        <v>0</v>
      </c>
      <c r="T598" s="14" t="str">
        <f>VLOOKUP(E598,[1]Lookups!$H$3:$I$71,2,FALSE)</f>
        <v>2. Seed</v>
      </c>
      <c r="U598" s="14" t="str">
        <f>VLOOKUP(K598,[1]Lookups!$B$3:$C$142,2,FALSE)</f>
        <v>Education</v>
      </c>
      <c r="V598" s="14">
        <f t="shared" si="735"/>
        <v>2018</v>
      </c>
      <c r="W598" s="14">
        <f t="shared" si="736"/>
        <v>7</v>
      </c>
      <c r="X598" s="14">
        <f>VLOOKUP(W598,[1]Lookups!$P$3:$S$15,2,FALSE)</f>
        <v>3</v>
      </c>
      <c r="Y598" s="16">
        <f>VLOOKUP(W598,[1]Lookups!$P$3:$U$15,3,FALSE)</f>
        <v>2</v>
      </c>
      <c r="Z598" s="16">
        <f t="shared" si="737"/>
        <v>1</v>
      </c>
      <c r="AA598" s="16" t="str">
        <f t="shared" ca="1" si="819"/>
        <v>Seedstars</v>
      </c>
      <c r="AB598" s="16">
        <f t="shared" si="819"/>
        <v>0</v>
      </c>
      <c r="AC598" s="16">
        <f t="shared" si="819"/>
        <v>0</v>
      </c>
      <c r="AD598" s="16">
        <f t="shared" si="819"/>
        <v>0</v>
      </c>
      <c r="AE598" s="16">
        <f t="shared" si="819"/>
        <v>0</v>
      </c>
      <c r="AF598" s="16">
        <f t="shared" si="819"/>
        <v>0</v>
      </c>
      <c r="AG598" s="16">
        <f t="shared" si="819"/>
        <v>0</v>
      </c>
      <c r="AH598" s="16">
        <f t="shared" si="819"/>
        <v>0</v>
      </c>
      <c r="AI598" s="16">
        <f t="shared" si="819"/>
        <v>0</v>
      </c>
      <c r="AJ598" s="16">
        <f t="shared" si="819"/>
        <v>0</v>
      </c>
      <c r="AK598" s="16">
        <f t="shared" si="819"/>
        <v>0</v>
      </c>
      <c r="AL598" s="16">
        <f t="shared" si="819"/>
        <v>0</v>
      </c>
      <c r="AM598" s="16">
        <f t="shared" si="819"/>
        <v>0</v>
      </c>
      <c r="AN598" s="16">
        <f t="shared" si="819"/>
        <v>0</v>
      </c>
      <c r="AO598" s="16">
        <f t="shared" si="819"/>
        <v>0</v>
      </c>
      <c r="AP598" s="10"/>
      <c r="AQ598" s="10"/>
      <c r="AR598" s="10"/>
      <c r="AS598" s="10" t="str">
        <f t="shared" ref="AS598" ca="1" si="829">IFERROR(__xludf.DUMMYFUNCTION("split(F479,"","",true,true)"),"Seedstars")</f>
        <v>Seedstars</v>
      </c>
      <c r="AT598" s="10"/>
      <c r="AU598" s="10"/>
      <c r="AV598" s="10"/>
      <c r="AW598" s="10"/>
      <c r="AX598" s="10"/>
      <c r="AY598" s="10"/>
      <c r="AZ598" s="10"/>
      <c r="BA598" s="10"/>
      <c r="BB598" s="10"/>
      <c r="BC598" s="10"/>
      <c r="BD598" s="10"/>
      <c r="BE598" s="10"/>
      <c r="BF598" s="10"/>
      <c r="BG598" s="10"/>
      <c r="BH598" s="10"/>
      <c r="BI598" s="10"/>
      <c r="BJ598" s="10"/>
      <c r="BK598" s="10"/>
      <c r="BM598" s="10"/>
    </row>
    <row r="599" spans="1:65" ht="12.75">
      <c r="A599" s="18">
        <v>43293</v>
      </c>
      <c r="B599" s="14" t="s">
        <v>1347</v>
      </c>
      <c r="C599" s="19">
        <v>40000</v>
      </c>
      <c r="D599" s="19"/>
      <c r="E599" s="14" t="s">
        <v>45</v>
      </c>
      <c r="F599" s="14" t="s">
        <v>1166</v>
      </c>
      <c r="G599" s="27" t="s">
        <v>1344</v>
      </c>
      <c r="H599" s="14" t="str">
        <f t="array" ref="H599">IFERROR(INDEX([1]Companies!$G:$G,MATCH(B599,[1]Companies!$A:$A,0)),"")</f>
        <v>South Africa</v>
      </c>
      <c r="I599" s="14" t="str">
        <f t="shared" si="694"/>
        <v>South Africa</v>
      </c>
      <c r="J599" s="14" t="str">
        <f t="array" ref="J599">IFERROR(INDEX([1]Companies!$Y:$Y,MATCH(B599,[1]Companies!$A:$A,0)),"")</f>
        <v>E-Learning, Information Technology</v>
      </c>
      <c r="K599" s="14" t="str">
        <f t="array" ref="K599">IFERROR(INDEX([1]Companies!$X:$X,MATCH(B599,[1]Companies!$A:$A,0)),"")</f>
        <v>Education</v>
      </c>
      <c r="L599" s="14" t="str">
        <f>VLOOKUP(B599,[1]Companies!$A$1:$C$5243,1,FALSE)</f>
        <v>LightBulb</v>
      </c>
      <c r="M599" s="15">
        <f t="shared" si="695"/>
        <v>0.9</v>
      </c>
      <c r="N599" s="10" t="str">
        <f t="shared" si="696"/>
        <v>43293LightBulb40000</v>
      </c>
      <c r="O599" s="14" t="str">
        <f t="shared" si="697"/>
        <v/>
      </c>
      <c r="P599" s="14">
        <f t="shared" si="698"/>
        <v>1</v>
      </c>
      <c r="Q599" s="14">
        <f t="array" ref="Q599">IFERROR(INDEX([1]Companies!$D:$D,MATCH(B599,[1]Companies!$A:$A,0)),"")</f>
        <v>2015</v>
      </c>
      <c r="R599" s="17">
        <f t="shared" si="699"/>
        <v>40000</v>
      </c>
      <c r="S599" s="14">
        <f>VLOOKUP(I599,[1]Lookups!$V$3:$Y$197,4,FALSE)</f>
        <v>0</v>
      </c>
      <c r="T599" s="14" t="str">
        <f>VLOOKUP(E599,[1]Lookups!$H$3:$I$71,2,FALSE)</f>
        <v>2. Seed</v>
      </c>
      <c r="U599" s="14" t="str">
        <f>VLOOKUP(K599,[1]Lookups!$B$3:$C$142,2,FALSE)</f>
        <v>Education</v>
      </c>
      <c r="V599" s="14">
        <f t="shared" si="735"/>
        <v>2018</v>
      </c>
      <c r="W599" s="14">
        <f t="shared" si="736"/>
        <v>7</v>
      </c>
      <c r="X599" s="14">
        <f>VLOOKUP(W599,[1]Lookups!$P$3:$S$15,2,FALSE)</f>
        <v>3</v>
      </c>
      <c r="Y599" s="16">
        <f>VLOOKUP(W599,[1]Lookups!$P$3:$U$15,3,FALSE)</f>
        <v>2</v>
      </c>
      <c r="Z599" s="16">
        <f t="shared" si="737"/>
        <v>1</v>
      </c>
      <c r="AA599" s="16" t="str">
        <f t="shared" ca="1" si="819"/>
        <v>Seedstars</v>
      </c>
      <c r="AB599" s="16">
        <f t="shared" si="819"/>
        <v>0</v>
      </c>
      <c r="AC599" s="16">
        <f t="shared" si="819"/>
        <v>0</v>
      </c>
      <c r="AD599" s="16">
        <f t="shared" si="819"/>
        <v>0</v>
      </c>
      <c r="AE599" s="16">
        <f t="shared" si="819"/>
        <v>0</v>
      </c>
      <c r="AF599" s="16">
        <f t="shared" si="819"/>
        <v>0</v>
      </c>
      <c r="AG599" s="16">
        <f t="shared" si="819"/>
        <v>0</v>
      </c>
      <c r="AH599" s="16">
        <f t="shared" si="819"/>
        <v>0</v>
      </c>
      <c r="AI599" s="16">
        <f t="shared" si="819"/>
        <v>0</v>
      </c>
      <c r="AJ599" s="16">
        <f t="shared" si="819"/>
        <v>0</v>
      </c>
      <c r="AK599" s="16">
        <f t="shared" si="819"/>
        <v>0</v>
      </c>
      <c r="AL599" s="16">
        <f t="shared" si="819"/>
        <v>0</v>
      </c>
      <c r="AM599" s="16">
        <f t="shared" si="819"/>
        <v>0</v>
      </c>
      <c r="AN599" s="16">
        <f t="shared" si="819"/>
        <v>0</v>
      </c>
      <c r="AO599" s="16">
        <f t="shared" si="819"/>
        <v>0</v>
      </c>
      <c r="AP599" s="10"/>
      <c r="AQ599" s="10"/>
      <c r="AR599" s="10"/>
      <c r="AS599" s="10" t="str">
        <f t="shared" ref="AS599" ca="1" si="830">IFERROR(__xludf.DUMMYFUNCTION("split(F479,"","",true,true)"),"Seedstars")</f>
        <v>Seedstars</v>
      </c>
      <c r="AT599" s="10"/>
      <c r="AU599" s="10"/>
      <c r="AV599" s="10"/>
      <c r="AW599" s="10"/>
      <c r="AX599" s="10"/>
      <c r="AY599" s="10"/>
      <c r="AZ599" s="10"/>
      <c r="BA599" s="10"/>
      <c r="BB599" s="10"/>
      <c r="BC599" s="10"/>
      <c r="BD599" s="10"/>
      <c r="BE599" s="10"/>
      <c r="BF599" s="10"/>
      <c r="BG599" s="10"/>
      <c r="BH599" s="10"/>
      <c r="BI599" s="10"/>
      <c r="BJ599" s="10"/>
      <c r="BK599" s="10"/>
      <c r="BM599" s="10"/>
    </row>
    <row r="600" spans="1:65" ht="12.75">
      <c r="A600" s="18">
        <v>43294</v>
      </c>
      <c r="B600" s="14" t="s">
        <v>662</v>
      </c>
      <c r="C600" s="19">
        <v>2000000</v>
      </c>
      <c r="D600" s="19"/>
      <c r="E600" s="14" t="s">
        <v>69</v>
      </c>
      <c r="F600" s="14" t="s">
        <v>1348</v>
      </c>
      <c r="G600" s="27" t="s">
        <v>1349</v>
      </c>
      <c r="H600" s="14" t="str">
        <f t="array" ref="H600">IFERROR(INDEX([1]Companies!$G:$G,MATCH(B600,[1]Companies!$A:$A,0)),"")</f>
        <v>South Africa</v>
      </c>
      <c r="I600" s="14" t="str">
        <f t="shared" si="694"/>
        <v>South Africa</v>
      </c>
      <c r="J600" s="14" t="str">
        <f t="array" ref="J600">IFERROR(INDEX([1]Companies!$Y:$Y,MATCH(B600,[1]Companies!$A:$A,0)),"")</f>
        <v>Data Analytics, Aerial Engineering Design and Manufacture, Machine Learning, and Image Processing, Agtech, Drones, Farming, Software</v>
      </c>
      <c r="K600" s="14" t="str">
        <f t="array" ref="K600">IFERROR(INDEX([1]Companies!$X:$X,MATCH(B600,[1]Companies!$A:$A,0)),"")</f>
        <v>Emerging Technologies</v>
      </c>
      <c r="L600" s="14" t="str">
        <f>VLOOKUP(B600,[1]Companies!$A$1:$C$5243,1,FALSE)</f>
        <v>Aerobotics</v>
      </c>
      <c r="M600" s="15">
        <f t="shared" si="695"/>
        <v>0.9</v>
      </c>
      <c r="N600" s="10" t="str">
        <f t="shared" si="696"/>
        <v>43294Aerobotics2000000</v>
      </c>
      <c r="O600" s="14" t="str">
        <f t="shared" si="697"/>
        <v/>
      </c>
      <c r="P600" s="14">
        <f t="shared" si="698"/>
        <v>1</v>
      </c>
      <c r="Q600" s="14">
        <f t="array" ref="Q600">IFERROR(INDEX([1]Companies!$D:$D,MATCH(B600,[1]Companies!$A:$A,0)),"")</f>
        <v>2014</v>
      </c>
      <c r="R600" s="17">
        <f t="shared" si="699"/>
        <v>4667000</v>
      </c>
      <c r="S600" s="14">
        <f>VLOOKUP(I600,[1]Lookups!$V$3:$Y$197,4,FALSE)</f>
        <v>0</v>
      </c>
      <c r="T600" s="14" t="str">
        <f>VLOOKUP(E600,[1]Lookups!$H$3:$I$71,2,FALSE)</f>
        <v>3. Early Venture</v>
      </c>
      <c r="U600" s="14" t="str">
        <f>VLOOKUP(K600,[1]Lookups!$B$3:$C$142,2,FALSE)</f>
        <v>Emerging Technologies</v>
      </c>
      <c r="V600" s="14">
        <f t="shared" si="735"/>
        <v>2018</v>
      </c>
      <c r="W600" s="14">
        <f t="shared" si="736"/>
        <v>7</v>
      </c>
      <c r="X600" s="14">
        <f>VLOOKUP(W600,[1]Lookups!$P$3:$S$15,2,FALSE)</f>
        <v>3</v>
      </c>
      <c r="Y600" s="16">
        <f>VLOOKUP(W600,[1]Lookups!$P$3:$U$15,3,FALSE)</f>
        <v>2</v>
      </c>
      <c r="Z600" s="16">
        <f t="shared" si="737"/>
        <v>2</v>
      </c>
      <c r="AA600" s="16" t="str">
        <f t="shared" ca="1" si="819"/>
        <v>Seedstars</v>
      </c>
      <c r="AB600" s="16" t="str">
        <f t="shared" ca="1" si="819"/>
        <v xml:space="preserve"> AgFunder</v>
      </c>
      <c r="AC600" s="16">
        <f t="shared" si="819"/>
        <v>0</v>
      </c>
      <c r="AD600" s="16">
        <f t="shared" si="819"/>
        <v>0</v>
      </c>
      <c r="AE600" s="16">
        <f t="shared" si="819"/>
        <v>0</v>
      </c>
      <c r="AF600" s="16">
        <f t="shared" si="819"/>
        <v>0</v>
      </c>
      <c r="AG600" s="16">
        <f t="shared" si="819"/>
        <v>0</v>
      </c>
      <c r="AH600" s="16">
        <f t="shared" si="819"/>
        <v>0</v>
      </c>
      <c r="AI600" s="16">
        <f t="shared" si="819"/>
        <v>0</v>
      </c>
      <c r="AJ600" s="16">
        <f t="shared" si="819"/>
        <v>0</v>
      </c>
      <c r="AK600" s="16">
        <f t="shared" si="819"/>
        <v>0</v>
      </c>
      <c r="AL600" s="16">
        <f t="shared" si="819"/>
        <v>0</v>
      </c>
      <c r="AM600" s="16">
        <f t="shared" si="819"/>
        <v>0</v>
      </c>
      <c r="AN600" s="16">
        <f t="shared" si="819"/>
        <v>0</v>
      </c>
      <c r="AO600" s="16">
        <f t="shared" si="819"/>
        <v>0</v>
      </c>
      <c r="AP600" s="10"/>
      <c r="AQ600" s="10"/>
      <c r="AR600" s="10"/>
      <c r="AS600" s="10" t="str">
        <f t="shared" ref="AS600" ca="1" si="831">IFERROR(__xludf.DUMMYFUNCTION("split(F479,"","",true,true)"),"Seedstars")</f>
        <v>Seedstars</v>
      </c>
      <c r="AT600" s="10" t="str">
        <f ca="1">IFERROR(__xludf.DUMMYFUNCTION("""COMPUTED_VALUE""")," AgFunder")</f>
        <v xml:space="preserve"> AgFunder</v>
      </c>
      <c r="AU600" s="10"/>
      <c r="AV600" s="10"/>
      <c r="AW600" s="10"/>
      <c r="AX600" s="10"/>
      <c r="AY600" s="10"/>
      <c r="AZ600" s="10"/>
      <c r="BA600" s="10"/>
      <c r="BB600" s="10"/>
      <c r="BC600" s="10"/>
      <c r="BD600" s="10"/>
      <c r="BE600" s="10"/>
      <c r="BF600" s="10"/>
      <c r="BG600" s="10"/>
      <c r="BH600" s="10"/>
      <c r="BI600" s="10"/>
      <c r="BJ600" s="10"/>
      <c r="BK600" s="10"/>
      <c r="BM600" s="10"/>
    </row>
    <row r="601" spans="1:65" ht="12.75">
      <c r="A601" s="18">
        <v>43294</v>
      </c>
      <c r="B601" s="14" t="s">
        <v>1350</v>
      </c>
      <c r="C601" s="19">
        <v>250000</v>
      </c>
      <c r="D601" s="19"/>
      <c r="E601" s="14" t="s">
        <v>564</v>
      </c>
      <c r="F601" s="14" t="s">
        <v>49</v>
      </c>
      <c r="G601" s="27" t="s">
        <v>1351</v>
      </c>
      <c r="H601" s="14" t="str">
        <f t="array" ref="H601">IFERROR(INDEX([1]Companies!$G:$G,MATCH(B601,[1]Companies!$A:$A,0)),"")</f>
        <v>Rwanda</v>
      </c>
      <c r="I601" s="14" t="str">
        <f t="shared" si="694"/>
        <v>Rwanda</v>
      </c>
      <c r="J601" s="14" t="str">
        <f t="array" ref="J601">IFERROR(INDEX([1]Companies!$Y:$Y,MATCH(B601,[1]Companies!$A:$A,0)),"")</f>
        <v>Clean Energy, Energy, Solar, Internet, Kiosks</v>
      </c>
      <c r="K601" s="14" t="str">
        <f t="array" ref="K601">IFERROR(INDEX([1]Companies!$X:$X,MATCH(B601,[1]Companies!$A:$A,0)),"")</f>
        <v>Energy &amp; Environment Resources</v>
      </c>
      <c r="L601" s="14" t="str">
        <f>VLOOKUP(B601,[1]Companies!$A$1:$C$5243,1,FALSE)</f>
        <v>ARED</v>
      </c>
      <c r="M601" s="15">
        <f t="shared" si="695"/>
        <v>0.9</v>
      </c>
      <c r="N601" s="10" t="str">
        <f t="shared" si="696"/>
        <v>43294ARED250000</v>
      </c>
      <c r="O601" s="14" t="str">
        <f t="shared" si="697"/>
        <v/>
      </c>
      <c r="P601" s="14">
        <f t="shared" si="698"/>
        <v>1</v>
      </c>
      <c r="Q601" s="14">
        <f t="array" ref="Q601">IFERROR(INDEX([1]Companies!$D:$D,MATCH(B601,[1]Companies!$A:$A,0)),"")</f>
        <v>2013</v>
      </c>
      <c r="R601" s="17">
        <f t="shared" si="699"/>
        <v>250000</v>
      </c>
      <c r="S601" s="14">
        <f>VLOOKUP(I601,[1]Lookups!$V$3:$Y$197,4,FALSE)</f>
        <v>0</v>
      </c>
      <c r="T601" s="14" t="str">
        <f>VLOOKUP(E601,[1]Lookups!$H$3:$I$71,2,FALSE)</f>
        <v>7. Offerings</v>
      </c>
      <c r="U601" s="14" t="e">
        <f>VLOOKUP(K601,[1]Lookups!$B$3:$C$142,2,FALSE)</f>
        <v>#N/A</v>
      </c>
      <c r="V601" s="14">
        <f t="shared" si="735"/>
        <v>2018</v>
      </c>
      <c r="W601" s="14">
        <f t="shared" si="736"/>
        <v>7</v>
      </c>
      <c r="X601" s="14">
        <f>VLOOKUP(W601,[1]Lookups!$P$3:$S$15,2,FALSE)</f>
        <v>3</v>
      </c>
      <c r="Y601" s="16">
        <f>VLOOKUP(W601,[1]Lookups!$P$3:$U$15,3,FALSE)</f>
        <v>2</v>
      </c>
      <c r="Z601" s="16">
        <f t="shared" si="737"/>
        <v>1</v>
      </c>
      <c r="AA601" s="16" t="str">
        <f t="shared" ca="1" si="819"/>
        <v>Seedstars</v>
      </c>
      <c r="AB601" s="16">
        <f t="shared" si="819"/>
        <v>0</v>
      </c>
      <c r="AC601" s="16">
        <f t="shared" si="819"/>
        <v>0</v>
      </c>
      <c r="AD601" s="16">
        <f t="shared" si="819"/>
        <v>0</v>
      </c>
      <c r="AE601" s="16">
        <f t="shared" si="819"/>
        <v>0</v>
      </c>
      <c r="AF601" s="16">
        <f t="shared" si="819"/>
        <v>0</v>
      </c>
      <c r="AG601" s="16">
        <f t="shared" si="819"/>
        <v>0</v>
      </c>
      <c r="AH601" s="16">
        <f t="shared" si="819"/>
        <v>0</v>
      </c>
      <c r="AI601" s="16">
        <f t="shared" si="819"/>
        <v>0</v>
      </c>
      <c r="AJ601" s="16">
        <f t="shared" si="819"/>
        <v>0</v>
      </c>
      <c r="AK601" s="16">
        <f t="shared" si="819"/>
        <v>0</v>
      </c>
      <c r="AL601" s="16">
        <f t="shared" si="819"/>
        <v>0</v>
      </c>
      <c r="AM601" s="16">
        <f t="shared" si="819"/>
        <v>0</v>
      </c>
      <c r="AN601" s="16">
        <f t="shared" si="819"/>
        <v>0</v>
      </c>
      <c r="AO601" s="16">
        <f t="shared" si="819"/>
        <v>0</v>
      </c>
      <c r="AP601" s="10"/>
      <c r="AQ601" s="10"/>
      <c r="AR601" s="10"/>
      <c r="AS601" s="10" t="str">
        <f t="shared" ref="AS601" ca="1" si="832">IFERROR(__xludf.DUMMYFUNCTION("split(F479,"","",true,true)"),"Seedstars")</f>
        <v>Seedstars</v>
      </c>
      <c r="AT601" s="10"/>
      <c r="AU601" s="10"/>
      <c r="AV601" s="10"/>
      <c r="AW601" s="10"/>
      <c r="AX601" s="10"/>
      <c r="AY601" s="10"/>
      <c r="AZ601" s="10"/>
      <c r="BA601" s="10"/>
      <c r="BB601" s="10"/>
      <c r="BC601" s="10"/>
      <c r="BD601" s="10"/>
      <c r="BE601" s="10"/>
      <c r="BF601" s="10"/>
      <c r="BG601" s="10"/>
      <c r="BH601" s="10"/>
      <c r="BI601" s="10"/>
      <c r="BJ601" s="10"/>
      <c r="BK601" s="10"/>
      <c r="BM601" s="10"/>
    </row>
    <row r="602" spans="1:65" ht="12.75">
      <c r="A602" s="9">
        <v>43294</v>
      </c>
      <c r="B602" s="10" t="s">
        <v>1352</v>
      </c>
      <c r="C602" s="11">
        <v>50000</v>
      </c>
      <c r="D602" s="12"/>
      <c r="E602" s="10" t="s">
        <v>45</v>
      </c>
      <c r="F602" s="10" t="s">
        <v>1166</v>
      </c>
      <c r="G602" s="13" t="s">
        <v>1344</v>
      </c>
      <c r="H602" s="14" t="str">
        <f t="array" ref="H602">IFERROR(INDEX([1]Companies!$G:$G,MATCH(B602,[1]Companies!$A:$A,0)),"")</f>
        <v>Nigeria</v>
      </c>
      <c r="I602" s="14" t="str">
        <f t="shared" si="694"/>
        <v>Nigeria</v>
      </c>
      <c r="J602" s="14" t="str">
        <f t="array" ref="J602">IFERROR(INDEX([1]Companies!$Y:$Y,MATCH(B602,[1]Companies!$A:$A,0)),"")</f>
        <v>Property Management, Real Estate Advisory, Property Technology, Rent Insurance</v>
      </c>
      <c r="K602" s="14" t="str">
        <f t="array" ref="K602">IFERROR(INDEX([1]Companies!$X:$X,MATCH(B602,[1]Companies!$A:$A,0)),"")</f>
        <v>E-Commerce &amp; Retail</v>
      </c>
      <c r="L602" s="14" t="str">
        <f>VLOOKUP(B602,[1]Companies!$A$1:$C$5243,1,FALSE)</f>
        <v>RentSmallSmall</v>
      </c>
      <c r="M602" s="15">
        <f t="shared" si="695"/>
        <v>0.9</v>
      </c>
      <c r="N602" s="10" t="str">
        <f t="shared" si="696"/>
        <v>43294RentSmallSmall50000</v>
      </c>
      <c r="O602" s="14" t="str">
        <f t="shared" si="697"/>
        <v/>
      </c>
      <c r="P602" s="14">
        <f t="shared" si="698"/>
        <v>1</v>
      </c>
      <c r="Q602" s="14">
        <f t="array" ref="Q602">IFERROR(INDEX([1]Companies!$D:$D,MATCH(B602,[1]Companies!$A:$A,0)),"")</f>
        <v>2018</v>
      </c>
      <c r="R602" s="17">
        <f t="shared" si="699"/>
        <v>50000</v>
      </c>
      <c r="S602" s="14">
        <f>VLOOKUP(I602,[1]Lookups!$V$3:$Y$197,4,FALSE)</f>
        <v>0</v>
      </c>
      <c r="T602" s="14" t="str">
        <f>VLOOKUP(E602,[1]Lookups!$H$3:$I$71,2,FALSE)</f>
        <v>2. Seed</v>
      </c>
      <c r="U602" s="14" t="str">
        <f>VLOOKUP(K602,[1]Lookups!$B$3:$C$142,2,FALSE)</f>
        <v>E-commerce &amp; Retail</v>
      </c>
      <c r="V602" s="14">
        <f t="shared" si="735"/>
        <v>2018</v>
      </c>
      <c r="W602" s="14">
        <f t="shared" si="736"/>
        <v>7</v>
      </c>
      <c r="X602" s="14">
        <f>VLOOKUP(W602,[1]Lookups!$P$3:$S$15,2,FALSE)</f>
        <v>3</v>
      </c>
      <c r="Y602" s="16">
        <f>VLOOKUP(W602,[1]Lookups!$P$3:$U$15,3,FALSE)</f>
        <v>2</v>
      </c>
      <c r="Z602" s="16">
        <f t="shared" si="737"/>
        <v>1</v>
      </c>
      <c r="AA602" s="16" t="str">
        <f t="shared" ca="1" si="819"/>
        <v>Seedstars</v>
      </c>
      <c r="AB602" s="16">
        <f t="shared" si="819"/>
        <v>0</v>
      </c>
      <c r="AC602" s="16">
        <f t="shared" si="819"/>
        <v>0</v>
      </c>
      <c r="AD602" s="16">
        <f t="shared" si="819"/>
        <v>0</v>
      </c>
      <c r="AE602" s="16">
        <f t="shared" si="819"/>
        <v>0</v>
      </c>
      <c r="AF602" s="16">
        <f t="shared" si="819"/>
        <v>0</v>
      </c>
      <c r="AG602" s="16">
        <f t="shared" si="819"/>
        <v>0</v>
      </c>
      <c r="AH602" s="16">
        <f t="shared" si="819"/>
        <v>0</v>
      </c>
      <c r="AI602" s="16">
        <f t="shared" si="819"/>
        <v>0</v>
      </c>
      <c r="AJ602" s="16">
        <f t="shared" si="819"/>
        <v>0</v>
      </c>
      <c r="AK602" s="16">
        <f t="shared" si="819"/>
        <v>0</v>
      </c>
      <c r="AL602" s="16">
        <f t="shared" si="819"/>
        <v>0</v>
      </c>
      <c r="AM602" s="16">
        <f t="shared" si="819"/>
        <v>0</v>
      </c>
      <c r="AN602" s="16">
        <f t="shared" si="819"/>
        <v>0</v>
      </c>
      <c r="AO602" s="16">
        <f t="shared" si="819"/>
        <v>0</v>
      </c>
      <c r="AP602" s="10"/>
      <c r="AQ602" s="10"/>
      <c r="AR602" s="10"/>
      <c r="AS602" s="10" t="str">
        <f t="shared" ref="AS602" ca="1" si="833">IFERROR(__xludf.DUMMYFUNCTION("split(F479,"","",true,true)"),"Seedstars")</f>
        <v>Seedstars</v>
      </c>
      <c r="AT602" s="10"/>
      <c r="AU602" s="10"/>
      <c r="AV602" s="10"/>
      <c r="AW602" s="10"/>
      <c r="AX602" s="10"/>
      <c r="AY602" s="10"/>
      <c r="AZ602" s="10"/>
      <c r="BA602" s="10"/>
      <c r="BB602" s="10"/>
      <c r="BC602" s="10"/>
      <c r="BD602" s="10"/>
      <c r="BE602" s="10"/>
      <c r="BF602" s="10"/>
      <c r="BG602" s="10"/>
      <c r="BH602" s="10"/>
      <c r="BI602" s="10"/>
      <c r="BJ602" s="10"/>
      <c r="BK602" s="10"/>
      <c r="BM602" s="10"/>
    </row>
    <row r="603" spans="1:65" ht="12.75">
      <c r="A603" s="18">
        <v>43294</v>
      </c>
      <c r="B603" s="14" t="s">
        <v>1353</v>
      </c>
      <c r="C603" s="19">
        <v>40000</v>
      </c>
      <c r="D603" s="19"/>
      <c r="E603" s="14" t="s">
        <v>45</v>
      </c>
      <c r="F603" s="14" t="s">
        <v>1166</v>
      </c>
      <c r="G603" s="27" t="s">
        <v>1354</v>
      </c>
      <c r="H603" s="14" t="str">
        <f t="array" ref="H603">IFERROR(INDEX([1]Companies!$G:$G,MATCH(B603,[1]Companies!$A:$A,0)),"")</f>
        <v>South Africa</v>
      </c>
      <c r="I603" s="14" t="str">
        <f t="shared" si="694"/>
        <v>South Africa</v>
      </c>
      <c r="J603" s="14" t="str">
        <f t="array" ref="J603">IFERROR(INDEX([1]Companies!$Y:$Y,MATCH(B603,[1]Companies!$A:$A,0)),"")</f>
        <v>Edtech</v>
      </c>
      <c r="K603" s="14" t="str">
        <f t="array" ref="K603">IFERROR(INDEX([1]Companies!$X:$X,MATCH(B603,[1]Companies!$A:$A,0)),"")</f>
        <v>Education</v>
      </c>
      <c r="L603" s="14" t="str">
        <f>VLOOKUP(B603,[1]Companies!$A$1:$C$5243,1,FALSE)</f>
        <v>Nahana Africa</v>
      </c>
      <c r="M603" s="15">
        <f t="shared" si="695"/>
        <v>0.9</v>
      </c>
      <c r="N603" s="10" t="str">
        <f t="shared" si="696"/>
        <v>43294Nahana Africa40000</v>
      </c>
      <c r="O603" s="14" t="str">
        <f t="shared" si="697"/>
        <v/>
      </c>
      <c r="P603" s="14">
        <f t="shared" si="698"/>
        <v>1</v>
      </c>
      <c r="Q603" s="14">
        <f t="array" ref="Q603">IFERROR(INDEX([1]Companies!$D:$D,MATCH(B603,[1]Companies!$A:$A,0)),"")</f>
        <v>0</v>
      </c>
      <c r="R603" s="17">
        <f t="shared" si="699"/>
        <v>40000</v>
      </c>
      <c r="S603" s="14">
        <f>VLOOKUP(I603,[1]Lookups!$V$3:$Y$197,4,FALSE)</f>
        <v>0</v>
      </c>
      <c r="T603" s="14" t="str">
        <f>VLOOKUP(E603,[1]Lookups!$H$3:$I$71,2,FALSE)</f>
        <v>2. Seed</v>
      </c>
      <c r="U603" s="14" t="str">
        <f>VLOOKUP(K603,[1]Lookups!$B$3:$C$142,2,FALSE)</f>
        <v>Education</v>
      </c>
      <c r="V603" s="14">
        <f t="shared" si="735"/>
        <v>2018</v>
      </c>
      <c r="W603" s="14">
        <f t="shared" si="736"/>
        <v>7</v>
      </c>
      <c r="X603" s="14">
        <f>VLOOKUP(W603,[1]Lookups!$P$3:$S$15,2,FALSE)</f>
        <v>3</v>
      </c>
      <c r="Y603" s="16">
        <f>VLOOKUP(W603,[1]Lookups!$P$3:$U$15,3,FALSE)</f>
        <v>2</v>
      </c>
      <c r="Z603" s="16">
        <f t="shared" si="737"/>
        <v>1</v>
      </c>
      <c r="AA603" s="16" t="str">
        <f t="shared" ca="1" si="819"/>
        <v>Seedstars</v>
      </c>
      <c r="AB603" s="16">
        <f t="shared" si="819"/>
        <v>0</v>
      </c>
      <c r="AC603" s="16">
        <f t="shared" si="819"/>
        <v>0</v>
      </c>
      <c r="AD603" s="16">
        <f t="shared" si="819"/>
        <v>0</v>
      </c>
      <c r="AE603" s="16">
        <f t="shared" si="819"/>
        <v>0</v>
      </c>
      <c r="AF603" s="16">
        <f t="shared" si="819"/>
        <v>0</v>
      </c>
      <c r="AG603" s="16">
        <f t="shared" si="819"/>
        <v>0</v>
      </c>
      <c r="AH603" s="16">
        <f t="shared" si="819"/>
        <v>0</v>
      </c>
      <c r="AI603" s="16">
        <f t="shared" si="819"/>
        <v>0</v>
      </c>
      <c r="AJ603" s="16">
        <f t="shared" si="819"/>
        <v>0</v>
      </c>
      <c r="AK603" s="16">
        <f t="shared" si="819"/>
        <v>0</v>
      </c>
      <c r="AL603" s="16">
        <f t="shared" si="819"/>
        <v>0</v>
      </c>
      <c r="AM603" s="16">
        <f t="shared" si="819"/>
        <v>0</v>
      </c>
      <c r="AN603" s="16">
        <f t="shared" si="819"/>
        <v>0</v>
      </c>
      <c r="AO603" s="16">
        <f t="shared" si="819"/>
        <v>0</v>
      </c>
      <c r="AP603" s="10"/>
      <c r="AQ603" s="10"/>
      <c r="AR603" s="10"/>
      <c r="AS603" s="10" t="str">
        <f t="shared" ref="AS603" ca="1" si="834">IFERROR(__xludf.DUMMYFUNCTION("split(F479,"","",true,true)"),"Seedstars")</f>
        <v>Seedstars</v>
      </c>
      <c r="AT603" s="10"/>
      <c r="AU603" s="10"/>
      <c r="AV603" s="10"/>
      <c r="AW603" s="10"/>
      <c r="AX603" s="10"/>
      <c r="AY603" s="10"/>
      <c r="AZ603" s="10"/>
      <c r="BA603" s="10"/>
      <c r="BB603" s="10"/>
      <c r="BC603" s="10"/>
      <c r="BD603" s="10"/>
      <c r="BE603" s="10"/>
      <c r="BF603" s="10"/>
      <c r="BG603" s="10"/>
      <c r="BH603" s="10"/>
      <c r="BI603" s="10"/>
      <c r="BJ603" s="10"/>
      <c r="BK603" s="10"/>
      <c r="BM603" s="10"/>
    </row>
    <row r="604" spans="1:65" ht="12.75">
      <c r="A604" s="18">
        <v>43294</v>
      </c>
      <c r="B604" s="14" t="s">
        <v>1355</v>
      </c>
      <c r="C604" s="19">
        <v>17000</v>
      </c>
      <c r="D604" s="19"/>
      <c r="E604" s="14" t="s">
        <v>45</v>
      </c>
      <c r="F604" s="14" t="s">
        <v>825</v>
      </c>
      <c r="G604" s="27" t="s">
        <v>1356</v>
      </c>
      <c r="H604" s="14" t="str">
        <f t="array" ref="H604">IFERROR(INDEX([1]Companies!$G:$G,MATCH(B604,[1]Companies!$A:$A,0)),"")</f>
        <v>Nigeria</v>
      </c>
      <c r="I604" s="14" t="str">
        <f t="shared" si="694"/>
        <v>Nigeria</v>
      </c>
      <c r="J604" s="14" t="str">
        <f t="array" ref="J604">IFERROR(INDEX([1]Companies!$Y:$Y,MATCH(B604,[1]Companies!$A:$A,0)),"")</f>
        <v>Fintech, Consumer financing, Credit scoring</v>
      </c>
      <c r="K604" s="14" t="str">
        <f t="array" ref="K604">IFERROR(INDEX([1]Companies!$X:$X,MATCH(B604,[1]Companies!$A:$A,0)),"")</f>
        <v>Financial Services</v>
      </c>
      <c r="L604" s="14" t="str">
        <f>VLOOKUP(B604,[1]Companies!$A$1:$C$5243,1,FALSE)</f>
        <v>Credpal</v>
      </c>
      <c r="M604" s="15">
        <f t="shared" si="695"/>
        <v>0.9</v>
      </c>
      <c r="N604" s="10" t="str">
        <f t="shared" si="696"/>
        <v>43294CredPal17000</v>
      </c>
      <c r="O604" s="14" t="str">
        <f t="shared" si="697"/>
        <v/>
      </c>
      <c r="P604" s="14">
        <f t="shared" si="698"/>
        <v>1</v>
      </c>
      <c r="Q604" s="14">
        <f t="array" ref="Q604">IFERROR(INDEX([1]Companies!$D:$D,MATCH(B604,[1]Companies!$A:$A,0)),"")</f>
        <v>2017</v>
      </c>
      <c r="R604" s="17">
        <f t="shared" si="699"/>
        <v>192000</v>
      </c>
      <c r="S604" s="14">
        <f>VLOOKUP(I604,[1]Lookups!$V$3:$Y$197,4,FALSE)</f>
        <v>0</v>
      </c>
      <c r="T604" s="14" t="str">
        <f>VLOOKUP(E604,[1]Lookups!$H$3:$I$71,2,FALSE)</f>
        <v>2. Seed</v>
      </c>
      <c r="U604" s="14" t="str">
        <f>VLOOKUP(K604,[1]Lookups!$B$3:$C$142,2,FALSE)</f>
        <v>Financial Services</v>
      </c>
      <c r="V604" s="14">
        <f t="shared" si="735"/>
        <v>2018</v>
      </c>
      <c r="W604" s="14">
        <f t="shared" si="736"/>
        <v>7</v>
      </c>
      <c r="X604" s="14">
        <f>VLOOKUP(W604,[1]Lookups!$P$3:$S$15,2,FALSE)</f>
        <v>3</v>
      </c>
      <c r="Y604" s="16">
        <f>VLOOKUP(W604,[1]Lookups!$P$3:$U$15,3,FALSE)</f>
        <v>2</v>
      </c>
      <c r="Z604" s="16">
        <f t="shared" si="737"/>
        <v>1</v>
      </c>
      <c r="AA604" s="16" t="str">
        <f t="shared" ca="1" si="819"/>
        <v>Seedstars</v>
      </c>
      <c r="AB604" s="16">
        <f t="shared" si="819"/>
        <v>0</v>
      </c>
      <c r="AC604" s="16">
        <f t="shared" si="819"/>
        <v>0</v>
      </c>
      <c r="AD604" s="16">
        <f t="shared" si="819"/>
        <v>0</v>
      </c>
      <c r="AE604" s="16">
        <f t="shared" si="819"/>
        <v>0</v>
      </c>
      <c r="AF604" s="16">
        <f t="shared" si="819"/>
        <v>0</v>
      </c>
      <c r="AG604" s="16">
        <f t="shared" si="819"/>
        <v>0</v>
      </c>
      <c r="AH604" s="16">
        <f t="shared" si="819"/>
        <v>0</v>
      </c>
      <c r="AI604" s="16">
        <f t="shared" si="819"/>
        <v>0</v>
      </c>
      <c r="AJ604" s="16">
        <f t="shared" si="819"/>
        <v>0</v>
      </c>
      <c r="AK604" s="16">
        <f t="shared" si="819"/>
        <v>0</v>
      </c>
      <c r="AL604" s="16">
        <f t="shared" si="819"/>
        <v>0</v>
      </c>
      <c r="AM604" s="16">
        <f t="shared" si="819"/>
        <v>0</v>
      </c>
      <c r="AN604" s="16">
        <f t="shared" si="819"/>
        <v>0</v>
      </c>
      <c r="AO604" s="16">
        <f t="shared" si="819"/>
        <v>0</v>
      </c>
      <c r="AP604" s="10"/>
      <c r="AQ604" s="10"/>
      <c r="AR604" s="10"/>
      <c r="AS604" s="10" t="str">
        <f t="shared" ref="AS604" ca="1" si="835">IFERROR(__xludf.DUMMYFUNCTION("split(F479,"","",true,true)"),"Seedstars")</f>
        <v>Seedstars</v>
      </c>
      <c r="AT604" s="10"/>
      <c r="AU604" s="10"/>
      <c r="AV604" s="10"/>
      <c r="AW604" s="10"/>
      <c r="AX604" s="10"/>
      <c r="AY604" s="10"/>
      <c r="AZ604" s="10"/>
      <c r="BA604" s="10"/>
      <c r="BB604" s="10"/>
      <c r="BC604" s="10"/>
      <c r="BD604" s="10"/>
      <c r="BE604" s="10"/>
      <c r="BF604" s="10"/>
      <c r="BG604" s="10"/>
      <c r="BH604" s="10"/>
      <c r="BI604" s="10"/>
      <c r="BJ604" s="10"/>
      <c r="BK604" s="10"/>
      <c r="BM604" s="10"/>
    </row>
    <row r="605" spans="1:65" ht="12.75">
      <c r="A605" s="18">
        <v>43294</v>
      </c>
      <c r="B605" s="14" t="s">
        <v>1357</v>
      </c>
      <c r="C605" s="19">
        <v>17000</v>
      </c>
      <c r="D605" s="19"/>
      <c r="E605" s="14" t="s">
        <v>45</v>
      </c>
      <c r="F605" s="14" t="s">
        <v>825</v>
      </c>
      <c r="G605" s="27" t="s">
        <v>1356</v>
      </c>
      <c r="H605" s="14" t="str">
        <f t="array" ref="H605">IFERROR(INDEX([1]Companies!$G:$G,MATCH(B605,[1]Companies!$A:$A,0)),"")</f>
        <v>Ghana</v>
      </c>
      <c r="I605" s="14" t="str">
        <f t="shared" si="694"/>
        <v>Ghana</v>
      </c>
      <c r="J605" s="14" t="str">
        <f t="array" ref="J605">IFERROR(INDEX([1]Companies!$Y:$Y,MATCH(B605,[1]Companies!$A:$A,0)),"")</f>
        <v xml:space="preserve">Software, API </v>
      </c>
      <c r="K605" s="14" t="str">
        <f t="array" ref="K605">IFERROR(INDEX([1]Companies!$X:$X,MATCH(B605,[1]Companies!$A:$A,0)),"")</f>
        <v>Information Technology</v>
      </c>
      <c r="L605" s="14" t="str">
        <f>VLOOKUP(B605,[1]Companies!$A$1:$C$5243,1,FALSE)</f>
        <v xml:space="preserve">Inclusive Financial Technologies </v>
      </c>
      <c r="M605" s="15">
        <f t="shared" si="695"/>
        <v>0.9</v>
      </c>
      <c r="N605" s="10" t="str">
        <f t="shared" si="696"/>
        <v>43294Inclusive Financial Technologies 17000</v>
      </c>
      <c r="O605" s="14" t="str">
        <f t="shared" si="697"/>
        <v/>
      </c>
      <c r="P605" s="14">
        <f t="shared" si="698"/>
        <v>1</v>
      </c>
      <c r="Q605" s="14">
        <f t="array" ref="Q605">IFERROR(INDEX([1]Companies!$D:$D,MATCH(B605,[1]Companies!$A:$A,0)),"")</f>
        <v>2016</v>
      </c>
      <c r="R605" s="17">
        <f t="shared" si="699"/>
        <v>17000</v>
      </c>
      <c r="S605" s="14">
        <f>VLOOKUP(I605,[1]Lookups!$V$3:$Y$197,4,FALSE)</f>
        <v>0</v>
      </c>
      <c r="T605" s="14" t="str">
        <f>VLOOKUP(E605,[1]Lookups!$H$3:$I$71,2,FALSE)</f>
        <v>2. Seed</v>
      </c>
      <c r="U605" s="14" t="str">
        <f>VLOOKUP(K605,[1]Lookups!$B$3:$C$142,2,FALSE)</f>
        <v>Other Technologies &amp; Information Technology</v>
      </c>
      <c r="V605" s="14">
        <f t="shared" si="735"/>
        <v>2018</v>
      </c>
      <c r="W605" s="14">
        <f t="shared" si="736"/>
        <v>7</v>
      </c>
      <c r="X605" s="14">
        <f>VLOOKUP(W605,[1]Lookups!$P$3:$S$15,2,FALSE)</f>
        <v>3</v>
      </c>
      <c r="Y605" s="16">
        <f>VLOOKUP(W605,[1]Lookups!$P$3:$U$15,3,FALSE)</f>
        <v>2</v>
      </c>
      <c r="Z605" s="16">
        <f t="shared" si="737"/>
        <v>1</v>
      </c>
      <c r="AA605" s="16" t="str">
        <f t="shared" ref="AA605:AO620" ca="1" si="836">AS605</f>
        <v>Seedstars</v>
      </c>
      <c r="AB605" s="16">
        <f t="shared" si="836"/>
        <v>0</v>
      </c>
      <c r="AC605" s="16">
        <f t="shared" si="836"/>
        <v>0</v>
      </c>
      <c r="AD605" s="16">
        <f t="shared" si="836"/>
        <v>0</v>
      </c>
      <c r="AE605" s="16">
        <f t="shared" si="836"/>
        <v>0</v>
      </c>
      <c r="AF605" s="16">
        <f t="shared" si="836"/>
        <v>0</v>
      </c>
      <c r="AG605" s="16">
        <f t="shared" si="836"/>
        <v>0</v>
      </c>
      <c r="AH605" s="16">
        <f t="shared" si="836"/>
        <v>0</v>
      </c>
      <c r="AI605" s="16">
        <f t="shared" si="836"/>
        <v>0</v>
      </c>
      <c r="AJ605" s="16">
        <f t="shared" si="836"/>
        <v>0</v>
      </c>
      <c r="AK605" s="16">
        <f t="shared" si="836"/>
        <v>0</v>
      </c>
      <c r="AL605" s="16">
        <f t="shared" si="836"/>
        <v>0</v>
      </c>
      <c r="AM605" s="16">
        <f t="shared" si="836"/>
        <v>0</v>
      </c>
      <c r="AN605" s="16">
        <f t="shared" si="836"/>
        <v>0</v>
      </c>
      <c r="AO605" s="16">
        <f t="shared" si="836"/>
        <v>0</v>
      </c>
      <c r="AP605" s="10"/>
      <c r="AQ605" s="10"/>
      <c r="AR605" s="10"/>
      <c r="AS605" s="10" t="str">
        <f t="shared" ref="AS605" ca="1" si="837">IFERROR(__xludf.DUMMYFUNCTION("split(F479,"","",true,true)"),"Seedstars")</f>
        <v>Seedstars</v>
      </c>
      <c r="AT605" s="10"/>
      <c r="AU605" s="10"/>
      <c r="AV605" s="10"/>
      <c r="AW605" s="10"/>
      <c r="AX605" s="10"/>
      <c r="AY605" s="10"/>
      <c r="AZ605" s="10"/>
      <c r="BA605" s="10"/>
      <c r="BB605" s="10"/>
      <c r="BC605" s="10"/>
      <c r="BD605" s="10"/>
      <c r="BE605" s="10"/>
      <c r="BF605" s="10"/>
      <c r="BG605" s="10"/>
      <c r="BH605" s="10"/>
      <c r="BI605" s="10"/>
      <c r="BJ605" s="10"/>
      <c r="BK605" s="10"/>
      <c r="BM605" s="10"/>
    </row>
    <row r="606" spans="1:65" ht="12.75">
      <c r="A606" s="18">
        <v>43294</v>
      </c>
      <c r="B606" s="14" t="s">
        <v>1358</v>
      </c>
      <c r="C606" s="19">
        <v>17000</v>
      </c>
      <c r="D606" s="19"/>
      <c r="E606" s="14" t="s">
        <v>45</v>
      </c>
      <c r="F606" s="14" t="s">
        <v>825</v>
      </c>
      <c r="G606" s="27" t="s">
        <v>1356</v>
      </c>
      <c r="H606" s="14" t="str">
        <f t="array" ref="H606">IFERROR(INDEX([1]Companies!$G:$G,MATCH(B606,[1]Companies!$A:$A,0)),"")</f>
        <v>South Africa</v>
      </c>
      <c r="I606" s="14" t="str">
        <f t="shared" si="694"/>
        <v>South Africa</v>
      </c>
      <c r="J606" s="14" t="str">
        <f t="array" ref="J606">IFERROR(INDEX([1]Companies!$Y:$Y,MATCH(B606,[1]Companies!$A:$A,0)),"")</f>
        <v>Artificial Intelligence, Big Data, Data Visualization, Financial Services, FinTech, Machine Learning, Mobile, Mobile Payments</v>
      </c>
      <c r="K606" s="14" t="str">
        <f t="array" ref="K606">IFERROR(INDEX([1]Companies!$X:$X,MATCH(B606,[1]Companies!$A:$A,0)),"")</f>
        <v>Financial Services</v>
      </c>
      <c r="L606" s="14" t="str">
        <f>VLOOKUP(B606,[1]Companies!$A$1:$C$5243,1,FALSE)</f>
        <v>Akiba Digital</v>
      </c>
      <c r="M606" s="15">
        <f t="shared" si="695"/>
        <v>0.9</v>
      </c>
      <c r="N606" s="10" t="str">
        <f t="shared" si="696"/>
        <v>43294Akiba Digital17000</v>
      </c>
      <c r="O606" s="14" t="str">
        <f t="shared" si="697"/>
        <v/>
      </c>
      <c r="P606" s="14">
        <f t="shared" si="698"/>
        <v>1</v>
      </c>
      <c r="Q606" s="14">
        <f t="array" ref="Q606">IFERROR(INDEX([1]Companies!$D:$D,MATCH(B606,[1]Companies!$A:$A,0)),"")</f>
        <v>2017</v>
      </c>
      <c r="R606" s="17">
        <f t="shared" si="699"/>
        <v>17000</v>
      </c>
      <c r="S606" s="14">
        <f>VLOOKUP(I606,[1]Lookups!$V$3:$Y$197,4,FALSE)</f>
        <v>0</v>
      </c>
      <c r="T606" s="14" t="str">
        <f>VLOOKUP(E606,[1]Lookups!$H$3:$I$71,2,FALSE)</f>
        <v>2. Seed</v>
      </c>
      <c r="U606" s="14" t="str">
        <f>VLOOKUP(K606,[1]Lookups!$B$3:$C$142,2,FALSE)</f>
        <v>Financial Services</v>
      </c>
      <c r="V606" s="14">
        <f t="shared" si="735"/>
        <v>2018</v>
      </c>
      <c r="W606" s="14">
        <f t="shared" si="736"/>
        <v>7</v>
      </c>
      <c r="X606" s="14">
        <f>VLOOKUP(W606,[1]Lookups!$P$3:$S$15,2,FALSE)</f>
        <v>3</v>
      </c>
      <c r="Y606" s="16">
        <f>VLOOKUP(W606,[1]Lookups!$P$3:$U$15,3,FALSE)</f>
        <v>2</v>
      </c>
      <c r="Z606" s="16">
        <f t="shared" si="737"/>
        <v>1</v>
      </c>
      <c r="AA606" s="16" t="str">
        <f t="shared" ca="1" si="836"/>
        <v>Seedstars</v>
      </c>
      <c r="AB606" s="16">
        <f t="shared" si="836"/>
        <v>0</v>
      </c>
      <c r="AC606" s="16">
        <f t="shared" si="836"/>
        <v>0</v>
      </c>
      <c r="AD606" s="16">
        <f t="shared" si="836"/>
        <v>0</v>
      </c>
      <c r="AE606" s="16">
        <f t="shared" si="836"/>
        <v>0</v>
      </c>
      <c r="AF606" s="16">
        <f t="shared" si="836"/>
        <v>0</v>
      </c>
      <c r="AG606" s="16">
        <f t="shared" si="836"/>
        <v>0</v>
      </c>
      <c r="AH606" s="16">
        <f t="shared" si="836"/>
        <v>0</v>
      </c>
      <c r="AI606" s="16">
        <f t="shared" si="836"/>
        <v>0</v>
      </c>
      <c r="AJ606" s="16">
        <f t="shared" si="836"/>
        <v>0</v>
      </c>
      <c r="AK606" s="16">
        <f t="shared" si="836"/>
        <v>0</v>
      </c>
      <c r="AL606" s="16">
        <f t="shared" si="836"/>
        <v>0</v>
      </c>
      <c r="AM606" s="16">
        <f t="shared" si="836"/>
        <v>0</v>
      </c>
      <c r="AN606" s="16">
        <f t="shared" si="836"/>
        <v>0</v>
      </c>
      <c r="AO606" s="16">
        <f t="shared" si="836"/>
        <v>0</v>
      </c>
      <c r="AP606" s="10"/>
      <c r="AQ606" s="10"/>
      <c r="AR606" s="10"/>
      <c r="AS606" s="10" t="str">
        <f t="shared" ref="AS606" ca="1" si="838">IFERROR(__xludf.DUMMYFUNCTION("split(F479,"","",true,true)"),"Seedstars")</f>
        <v>Seedstars</v>
      </c>
      <c r="AT606" s="10"/>
      <c r="AU606" s="10"/>
      <c r="AV606" s="10"/>
      <c r="AW606" s="10"/>
      <c r="AX606" s="10"/>
      <c r="AY606" s="10"/>
      <c r="AZ606" s="10"/>
      <c r="BA606" s="10"/>
      <c r="BB606" s="10"/>
      <c r="BC606" s="10"/>
      <c r="BD606" s="10"/>
      <c r="BE606" s="10"/>
      <c r="BF606" s="10"/>
      <c r="BG606" s="10"/>
      <c r="BH606" s="10"/>
      <c r="BI606" s="10"/>
      <c r="BJ606" s="10"/>
      <c r="BK606" s="10"/>
      <c r="BM606" s="10"/>
    </row>
    <row r="607" spans="1:65" ht="12.75">
      <c r="A607" s="18">
        <v>43294</v>
      </c>
      <c r="B607" s="14" t="s">
        <v>1359</v>
      </c>
      <c r="C607" s="19">
        <v>17000</v>
      </c>
      <c r="D607" s="19"/>
      <c r="E607" s="14" t="s">
        <v>45</v>
      </c>
      <c r="F607" s="14" t="s">
        <v>825</v>
      </c>
      <c r="G607" s="27" t="s">
        <v>1356</v>
      </c>
      <c r="H607" s="14" t="str">
        <f t="array" ref="H607">IFERROR(INDEX([1]Companies!$G:$G,MATCH(B607,[1]Companies!$A:$A,0)),"")</f>
        <v>Nigeria</v>
      </c>
      <c r="I607" s="14" t="str">
        <f t="shared" si="694"/>
        <v>Nigeria</v>
      </c>
      <c r="J607" s="14" t="str">
        <f t="array" ref="J607">IFERROR(INDEX([1]Companies!$Y:$Y,MATCH(B607,[1]Companies!$A:$A,0)),"")</f>
        <v>Finance, Financial Services, Peer to Peer</v>
      </c>
      <c r="K607" s="14" t="str">
        <f t="array" ref="K607">IFERROR(INDEX([1]Companies!$X:$X,MATCH(B607,[1]Companies!$A:$A,0)),"")</f>
        <v>Financial Services</v>
      </c>
      <c r="L607" s="14" t="str">
        <f>VLOOKUP(B607,[1]Companies!$A$1:$C$5243,1,FALSE)</f>
        <v>Bankly Technologies</v>
      </c>
      <c r="M607" s="15">
        <f t="shared" si="695"/>
        <v>0.9</v>
      </c>
      <c r="N607" s="10" t="str">
        <f t="shared" si="696"/>
        <v>43294Bankly Technologies17000</v>
      </c>
      <c r="O607" s="14" t="str">
        <f t="shared" si="697"/>
        <v/>
      </c>
      <c r="P607" s="14">
        <f t="shared" si="698"/>
        <v>1</v>
      </c>
      <c r="Q607" s="14">
        <f t="array" ref="Q607">IFERROR(INDEX([1]Companies!$D:$D,MATCH(B607,[1]Companies!$A:$A,0)),"")</f>
        <v>2017</v>
      </c>
      <c r="R607" s="17">
        <f t="shared" si="699"/>
        <v>17000</v>
      </c>
      <c r="S607" s="14">
        <f>VLOOKUP(I607,[1]Lookups!$V$3:$Y$197,4,FALSE)</f>
        <v>0</v>
      </c>
      <c r="T607" s="14" t="str">
        <f>VLOOKUP(E607,[1]Lookups!$H$3:$I$71,2,FALSE)</f>
        <v>2. Seed</v>
      </c>
      <c r="U607" s="14" t="str">
        <f>VLOOKUP(K607,[1]Lookups!$B$3:$C$142,2,FALSE)</f>
        <v>Financial Services</v>
      </c>
      <c r="V607" s="14">
        <f t="shared" si="735"/>
        <v>2018</v>
      </c>
      <c r="W607" s="14">
        <f t="shared" si="736"/>
        <v>7</v>
      </c>
      <c r="X607" s="14">
        <f>VLOOKUP(W607,[1]Lookups!$P$3:$S$15,2,FALSE)</f>
        <v>3</v>
      </c>
      <c r="Y607" s="16">
        <f>VLOOKUP(W607,[1]Lookups!$P$3:$U$15,3,FALSE)</f>
        <v>2</v>
      </c>
      <c r="Z607" s="16">
        <f t="shared" si="737"/>
        <v>1</v>
      </c>
      <c r="AA607" s="16" t="str">
        <f t="shared" ca="1" si="836"/>
        <v>Seedstars</v>
      </c>
      <c r="AB607" s="16">
        <f t="shared" si="836"/>
        <v>0</v>
      </c>
      <c r="AC607" s="16">
        <f t="shared" si="836"/>
        <v>0</v>
      </c>
      <c r="AD607" s="16">
        <f t="shared" si="836"/>
        <v>0</v>
      </c>
      <c r="AE607" s="16">
        <f t="shared" si="836"/>
        <v>0</v>
      </c>
      <c r="AF607" s="16">
        <f t="shared" si="836"/>
        <v>0</v>
      </c>
      <c r="AG607" s="16">
        <f t="shared" si="836"/>
        <v>0</v>
      </c>
      <c r="AH607" s="16">
        <f t="shared" si="836"/>
        <v>0</v>
      </c>
      <c r="AI607" s="16">
        <f t="shared" si="836"/>
        <v>0</v>
      </c>
      <c r="AJ607" s="16">
        <f t="shared" si="836"/>
        <v>0</v>
      </c>
      <c r="AK607" s="16">
        <f t="shared" si="836"/>
        <v>0</v>
      </c>
      <c r="AL607" s="16">
        <f t="shared" si="836"/>
        <v>0</v>
      </c>
      <c r="AM607" s="16">
        <f t="shared" si="836"/>
        <v>0</v>
      </c>
      <c r="AN607" s="16">
        <f t="shared" si="836"/>
        <v>0</v>
      </c>
      <c r="AO607" s="16">
        <f t="shared" si="836"/>
        <v>0</v>
      </c>
      <c r="AP607" s="10"/>
      <c r="AQ607" s="10"/>
      <c r="AR607" s="10"/>
      <c r="AS607" s="10" t="str">
        <f t="shared" ref="AS607" ca="1" si="839">IFERROR(__xludf.DUMMYFUNCTION("split(F479,"","",true,true)"),"Seedstars")</f>
        <v>Seedstars</v>
      </c>
      <c r="AT607" s="10"/>
      <c r="AU607" s="10"/>
      <c r="AV607" s="10"/>
      <c r="AW607" s="10"/>
      <c r="AX607" s="10"/>
      <c r="AY607" s="10"/>
      <c r="AZ607" s="10"/>
      <c r="BA607" s="10"/>
      <c r="BB607" s="10"/>
      <c r="BC607" s="10"/>
      <c r="BD607" s="10"/>
      <c r="BE607" s="10"/>
      <c r="BF607" s="10"/>
      <c r="BG607" s="10"/>
      <c r="BH607" s="10"/>
      <c r="BI607" s="10"/>
      <c r="BJ607" s="10"/>
      <c r="BK607" s="10"/>
      <c r="BM607" s="10"/>
    </row>
    <row r="608" spans="1:65" ht="12.75">
      <c r="A608" s="18">
        <v>43294</v>
      </c>
      <c r="B608" s="14" t="s">
        <v>1360</v>
      </c>
      <c r="C608" s="19">
        <v>17000</v>
      </c>
      <c r="D608" s="19"/>
      <c r="E608" s="14" t="s">
        <v>45</v>
      </c>
      <c r="F608" s="14" t="s">
        <v>825</v>
      </c>
      <c r="G608" s="27" t="s">
        <v>1356</v>
      </c>
      <c r="H608" s="14" t="str">
        <f t="array" ref="H608">IFERROR(INDEX([1]Companies!$G:$G,MATCH(B608,[1]Companies!$A:$A,0)),"")</f>
        <v>South Africa</v>
      </c>
      <c r="I608" s="14" t="str">
        <f t="shared" si="694"/>
        <v>South Africa</v>
      </c>
      <c r="J608" s="14" t="str">
        <f t="array" ref="J608">IFERROR(INDEX([1]Companies!$Y:$Y,MATCH(B608,[1]Companies!$A:$A,0)),"")</f>
        <v>Customer Experience, Big Data, Customer Rewards</v>
      </c>
      <c r="K608" s="14" t="str">
        <f t="array" ref="K608">IFERROR(INDEX([1]Companies!$X:$X,MATCH(B608,[1]Companies!$A:$A,0)),"")</f>
        <v>Information Technology</v>
      </c>
      <c r="L608" s="14" t="str">
        <f>VLOOKUP(B608,[1]Companies!$A$1:$C$5243,1,FALSE)</f>
        <v>Brandbook Analytics</v>
      </c>
      <c r="M608" s="15">
        <f t="shared" si="695"/>
        <v>0.9</v>
      </c>
      <c r="N608" s="10" t="str">
        <f t="shared" si="696"/>
        <v>43294Brandbook Analytics17000</v>
      </c>
      <c r="O608" s="14" t="str">
        <f t="shared" si="697"/>
        <v/>
      </c>
      <c r="P608" s="14">
        <f t="shared" si="698"/>
        <v>1</v>
      </c>
      <c r="Q608" s="14">
        <f t="array" ref="Q608">IFERROR(INDEX([1]Companies!$D:$D,MATCH(B608,[1]Companies!$A:$A,0)),"")</f>
        <v>2017</v>
      </c>
      <c r="R608" s="17">
        <f t="shared" si="699"/>
        <v>17000</v>
      </c>
      <c r="S608" s="14">
        <f>VLOOKUP(I608,[1]Lookups!$V$3:$Y$197,4,FALSE)</f>
        <v>0</v>
      </c>
      <c r="T608" s="14" t="str">
        <f>VLOOKUP(E608,[1]Lookups!$H$3:$I$71,2,FALSE)</f>
        <v>2. Seed</v>
      </c>
      <c r="U608" s="14" t="str">
        <f>VLOOKUP(K608,[1]Lookups!$B$3:$C$142,2,FALSE)</f>
        <v>Other Technologies &amp; Information Technology</v>
      </c>
      <c r="V608" s="14">
        <f t="shared" si="735"/>
        <v>2018</v>
      </c>
      <c r="W608" s="14">
        <f t="shared" si="736"/>
        <v>7</v>
      </c>
      <c r="X608" s="14">
        <f>VLOOKUP(W608,[1]Lookups!$P$3:$S$15,2,FALSE)</f>
        <v>3</v>
      </c>
      <c r="Y608" s="16">
        <f>VLOOKUP(W608,[1]Lookups!$P$3:$U$15,3,FALSE)</f>
        <v>2</v>
      </c>
      <c r="Z608" s="16">
        <f t="shared" si="737"/>
        <v>1</v>
      </c>
      <c r="AA608" s="16" t="str">
        <f t="shared" ca="1" si="836"/>
        <v>Seedstars</v>
      </c>
      <c r="AB608" s="16">
        <f t="shared" si="836"/>
        <v>0</v>
      </c>
      <c r="AC608" s="16">
        <f t="shared" si="836"/>
        <v>0</v>
      </c>
      <c r="AD608" s="16">
        <f t="shared" si="836"/>
        <v>0</v>
      </c>
      <c r="AE608" s="16">
        <f t="shared" si="836"/>
        <v>0</v>
      </c>
      <c r="AF608" s="16">
        <f t="shared" si="836"/>
        <v>0</v>
      </c>
      <c r="AG608" s="16">
        <f t="shared" si="836"/>
        <v>0</v>
      </c>
      <c r="AH608" s="16">
        <f t="shared" si="836"/>
        <v>0</v>
      </c>
      <c r="AI608" s="16">
        <f t="shared" si="836"/>
        <v>0</v>
      </c>
      <c r="AJ608" s="16">
        <f t="shared" si="836"/>
        <v>0</v>
      </c>
      <c r="AK608" s="16">
        <f t="shared" si="836"/>
        <v>0</v>
      </c>
      <c r="AL608" s="16">
        <f t="shared" si="836"/>
        <v>0</v>
      </c>
      <c r="AM608" s="16">
        <f t="shared" si="836"/>
        <v>0</v>
      </c>
      <c r="AN608" s="16">
        <f t="shared" si="836"/>
        <v>0</v>
      </c>
      <c r="AO608" s="16">
        <f t="shared" si="836"/>
        <v>0</v>
      </c>
      <c r="AP608" s="10"/>
      <c r="AQ608" s="10"/>
      <c r="AR608" s="10"/>
      <c r="AS608" s="10" t="str">
        <f t="shared" ref="AS608" ca="1" si="840">IFERROR(__xludf.DUMMYFUNCTION("split(F479,"","",true,true)"),"Seedstars")</f>
        <v>Seedstars</v>
      </c>
      <c r="AT608" s="10"/>
      <c r="AU608" s="10"/>
      <c r="AV608" s="10"/>
      <c r="AW608" s="10"/>
      <c r="AX608" s="10"/>
      <c r="AY608" s="10"/>
      <c r="AZ608" s="10"/>
      <c r="BA608" s="10"/>
      <c r="BB608" s="10"/>
      <c r="BC608" s="10"/>
      <c r="BD608" s="10"/>
      <c r="BE608" s="10"/>
      <c r="BF608" s="10"/>
      <c r="BG608" s="10"/>
      <c r="BH608" s="10"/>
      <c r="BI608" s="10"/>
      <c r="BJ608" s="10"/>
      <c r="BK608" s="10"/>
      <c r="BM608" s="10"/>
    </row>
    <row r="609" spans="1:65" ht="12.75">
      <c r="A609" s="18">
        <v>43294</v>
      </c>
      <c r="B609" s="14" t="s">
        <v>1361</v>
      </c>
      <c r="C609" s="19">
        <v>17000</v>
      </c>
      <c r="D609" s="19"/>
      <c r="E609" s="14" t="s">
        <v>45</v>
      </c>
      <c r="F609" s="14" t="s">
        <v>825</v>
      </c>
      <c r="G609" s="27" t="s">
        <v>1356</v>
      </c>
      <c r="H609" s="14" t="str">
        <f t="array" ref="H609">IFERROR(INDEX([1]Companies!$G:$G,MATCH(B609,[1]Companies!$A:$A,0)),"")</f>
        <v>Ivory Coast</v>
      </c>
      <c r="I609" s="14" t="str">
        <f t="shared" si="694"/>
        <v>Ivory Coast</v>
      </c>
      <c r="J609" s="14" t="str">
        <f t="array" ref="J609">IFERROR(INDEX([1]Companies!$Y:$Y,MATCH(B609,[1]Companies!$A:$A,0)),"")</f>
        <v>Insurance, Internet of Things</v>
      </c>
      <c r="K609" s="14" t="str">
        <f t="array" ref="K609">IFERROR(INDEX([1]Companies!$X:$X,MATCH(B609,[1]Companies!$A:$A,0)),"")</f>
        <v>Financial Services</v>
      </c>
      <c r="L609" s="14" t="str">
        <f>VLOOKUP(B609,[1]Companies!$A$1:$C$5243,1,FALSE)</f>
        <v>Digitech Group</v>
      </c>
      <c r="M609" s="15">
        <f t="shared" si="695"/>
        <v>0.9</v>
      </c>
      <c r="N609" s="10" t="str">
        <f t="shared" si="696"/>
        <v>43294Digitech Group17000</v>
      </c>
      <c r="O609" s="14" t="str">
        <f t="shared" si="697"/>
        <v/>
      </c>
      <c r="P609" s="14">
        <f t="shared" si="698"/>
        <v>1</v>
      </c>
      <c r="Q609" s="14">
        <f t="array" ref="Q609">IFERROR(INDEX([1]Companies!$D:$D,MATCH(B609,[1]Companies!$A:$A,0)),"")</f>
        <v>2016</v>
      </c>
      <c r="R609" s="17">
        <f t="shared" si="699"/>
        <v>17000</v>
      </c>
      <c r="S609" s="14">
        <f>VLOOKUP(I609,[1]Lookups!$V$3:$Y$197,4,FALSE)</f>
        <v>0</v>
      </c>
      <c r="T609" s="14" t="str">
        <f>VLOOKUP(E609,[1]Lookups!$H$3:$I$71,2,FALSE)</f>
        <v>2. Seed</v>
      </c>
      <c r="U609" s="14" t="str">
        <f>VLOOKUP(K609,[1]Lookups!$B$3:$C$142,2,FALSE)</f>
        <v>Financial Services</v>
      </c>
      <c r="V609" s="14">
        <f t="shared" si="735"/>
        <v>2018</v>
      </c>
      <c r="W609" s="14">
        <f t="shared" si="736"/>
        <v>7</v>
      </c>
      <c r="X609" s="14">
        <f>VLOOKUP(W609,[1]Lookups!$P$3:$S$15,2,FALSE)</f>
        <v>3</v>
      </c>
      <c r="Y609" s="16">
        <f>VLOOKUP(W609,[1]Lookups!$P$3:$U$15,3,FALSE)</f>
        <v>2</v>
      </c>
      <c r="Z609" s="16">
        <f t="shared" si="737"/>
        <v>1</v>
      </c>
      <c r="AA609" s="16" t="str">
        <f t="shared" ca="1" si="836"/>
        <v>Seedstars</v>
      </c>
      <c r="AB609" s="16">
        <f t="shared" si="836"/>
        <v>0</v>
      </c>
      <c r="AC609" s="16">
        <f t="shared" si="836"/>
        <v>0</v>
      </c>
      <c r="AD609" s="16">
        <f t="shared" si="836"/>
        <v>0</v>
      </c>
      <c r="AE609" s="16">
        <f t="shared" si="836"/>
        <v>0</v>
      </c>
      <c r="AF609" s="16">
        <f t="shared" si="836"/>
        <v>0</v>
      </c>
      <c r="AG609" s="16">
        <f t="shared" si="836"/>
        <v>0</v>
      </c>
      <c r="AH609" s="16">
        <f t="shared" si="836"/>
        <v>0</v>
      </c>
      <c r="AI609" s="16">
        <f t="shared" si="836"/>
        <v>0</v>
      </c>
      <c r="AJ609" s="16">
        <f t="shared" si="836"/>
        <v>0</v>
      </c>
      <c r="AK609" s="16">
        <f t="shared" si="836"/>
        <v>0</v>
      </c>
      <c r="AL609" s="16">
        <f t="shared" si="836"/>
        <v>0</v>
      </c>
      <c r="AM609" s="16">
        <f t="shared" si="836"/>
        <v>0</v>
      </c>
      <c r="AN609" s="16">
        <f t="shared" si="836"/>
        <v>0</v>
      </c>
      <c r="AO609" s="16">
        <f t="shared" si="836"/>
        <v>0</v>
      </c>
      <c r="AP609" s="10"/>
      <c r="AQ609" s="10"/>
      <c r="AR609" s="10"/>
      <c r="AS609" s="10" t="str">
        <f t="shared" ref="AS609" ca="1" si="841">IFERROR(__xludf.DUMMYFUNCTION("split(F479,"","",true,true)"),"Seedstars")</f>
        <v>Seedstars</v>
      </c>
      <c r="AT609" s="10"/>
      <c r="AU609" s="10"/>
      <c r="AV609" s="10"/>
      <c r="AW609" s="10"/>
      <c r="AX609" s="10"/>
      <c r="AY609" s="10"/>
      <c r="AZ609" s="10"/>
      <c r="BA609" s="10"/>
      <c r="BB609" s="10"/>
      <c r="BC609" s="10"/>
      <c r="BD609" s="10"/>
      <c r="BE609" s="10"/>
      <c r="BF609" s="10"/>
      <c r="BG609" s="10"/>
      <c r="BH609" s="10"/>
      <c r="BI609" s="10"/>
      <c r="BJ609" s="10"/>
      <c r="BK609" s="10"/>
      <c r="BM609" s="10"/>
    </row>
    <row r="610" spans="1:65" ht="12.75">
      <c r="A610" s="18">
        <v>43294</v>
      </c>
      <c r="B610" s="14" t="s">
        <v>1362</v>
      </c>
      <c r="C610" s="19">
        <v>17000</v>
      </c>
      <c r="D610" s="19"/>
      <c r="E610" s="14" t="s">
        <v>45</v>
      </c>
      <c r="F610" s="14" t="s">
        <v>825</v>
      </c>
      <c r="G610" s="27" t="s">
        <v>1356</v>
      </c>
      <c r="H610" s="14" t="str">
        <f t="array" ref="H610">IFERROR(INDEX([1]Companies!$G:$G,MATCH(B610,[1]Companies!$A:$A,0)),"")</f>
        <v>Nigeria</v>
      </c>
      <c r="I610" s="14" t="str">
        <f t="shared" si="694"/>
        <v>Nigeria</v>
      </c>
      <c r="J610" s="14" t="str">
        <f t="array" ref="J610">IFERROR(INDEX([1]Companies!$Y:$Y,MATCH(B610,[1]Companies!$A:$A,0)),"")</f>
        <v>Financial Services</v>
      </c>
      <c r="K610" s="14" t="str">
        <f t="array" ref="K610">IFERROR(INDEX([1]Companies!$X:$X,MATCH(B610,[1]Companies!$A:$A,0)),"")</f>
        <v>Financial Services</v>
      </c>
      <c r="L610" s="14" t="str">
        <f>VLOOKUP(B610,[1]Companies!$A$1:$C$5243,1,FALSE)</f>
        <v>Kudabank</v>
      </c>
      <c r="M610" s="15">
        <f t="shared" si="695"/>
        <v>0.9</v>
      </c>
      <c r="N610" s="10" t="str">
        <f t="shared" si="696"/>
        <v>43294Kudabank17000</v>
      </c>
      <c r="O610" s="14" t="str">
        <f t="shared" si="697"/>
        <v/>
      </c>
      <c r="P610" s="14">
        <f t="shared" si="698"/>
        <v>1</v>
      </c>
      <c r="Q610" s="14">
        <f t="array" ref="Q610">IFERROR(INDEX([1]Companies!$D:$D,MATCH(B610,[1]Companies!$A:$A,0)),"")</f>
        <v>2017</v>
      </c>
      <c r="R610" s="17">
        <f t="shared" si="699"/>
        <v>1617000</v>
      </c>
      <c r="S610" s="14">
        <f>VLOOKUP(I610,[1]Lookups!$V$3:$Y$197,4,FALSE)</f>
        <v>0</v>
      </c>
      <c r="T610" s="14" t="str">
        <f>VLOOKUP(E610,[1]Lookups!$H$3:$I$71,2,FALSE)</f>
        <v>2. Seed</v>
      </c>
      <c r="U610" s="14" t="str">
        <f>VLOOKUP(K610,[1]Lookups!$B$3:$C$142,2,FALSE)</f>
        <v>Financial Services</v>
      </c>
      <c r="V610" s="14">
        <f t="shared" si="735"/>
        <v>2018</v>
      </c>
      <c r="W610" s="14">
        <f t="shared" si="736"/>
        <v>7</v>
      </c>
      <c r="X610" s="14">
        <f>VLOOKUP(W610,[1]Lookups!$P$3:$S$15,2,FALSE)</f>
        <v>3</v>
      </c>
      <c r="Y610" s="16">
        <f>VLOOKUP(W610,[1]Lookups!$P$3:$U$15,3,FALSE)</f>
        <v>2</v>
      </c>
      <c r="Z610" s="16">
        <f t="shared" si="737"/>
        <v>1</v>
      </c>
      <c r="AA610" s="16" t="str">
        <f t="shared" ca="1" si="836"/>
        <v>Seedstars</v>
      </c>
      <c r="AB610" s="16">
        <f t="shared" si="836"/>
        <v>0</v>
      </c>
      <c r="AC610" s="16">
        <f t="shared" si="836"/>
        <v>0</v>
      </c>
      <c r="AD610" s="16">
        <f t="shared" si="836"/>
        <v>0</v>
      </c>
      <c r="AE610" s="16">
        <f t="shared" si="836"/>
        <v>0</v>
      </c>
      <c r="AF610" s="16">
        <f t="shared" si="836"/>
        <v>0</v>
      </c>
      <c r="AG610" s="16">
        <f t="shared" si="836"/>
        <v>0</v>
      </c>
      <c r="AH610" s="16">
        <f t="shared" si="836"/>
        <v>0</v>
      </c>
      <c r="AI610" s="16">
        <f t="shared" si="836"/>
        <v>0</v>
      </c>
      <c r="AJ610" s="16">
        <f t="shared" si="836"/>
        <v>0</v>
      </c>
      <c r="AK610" s="16">
        <f t="shared" si="836"/>
        <v>0</v>
      </c>
      <c r="AL610" s="16">
        <f t="shared" si="836"/>
        <v>0</v>
      </c>
      <c r="AM610" s="16">
        <f t="shared" si="836"/>
        <v>0</v>
      </c>
      <c r="AN610" s="16">
        <f t="shared" si="836"/>
        <v>0</v>
      </c>
      <c r="AO610" s="16">
        <f t="shared" si="836"/>
        <v>0</v>
      </c>
      <c r="AP610" s="10"/>
      <c r="AQ610" s="10"/>
      <c r="AR610" s="10"/>
      <c r="AS610" s="10" t="str">
        <f t="shared" ref="AS610" ca="1" si="842">IFERROR(__xludf.DUMMYFUNCTION("split(F479,"","",true,true)"),"Seedstars")</f>
        <v>Seedstars</v>
      </c>
      <c r="AT610" s="10"/>
      <c r="AU610" s="10"/>
      <c r="AV610" s="10"/>
      <c r="AW610" s="10"/>
      <c r="AX610" s="10"/>
      <c r="AY610" s="10"/>
      <c r="AZ610" s="10"/>
      <c r="BA610" s="10"/>
      <c r="BB610" s="10"/>
      <c r="BC610" s="10"/>
      <c r="BD610" s="10"/>
      <c r="BE610" s="10"/>
      <c r="BF610" s="10"/>
      <c r="BG610" s="10"/>
      <c r="BH610" s="10"/>
      <c r="BI610" s="10"/>
      <c r="BJ610" s="10"/>
      <c r="BK610" s="10"/>
      <c r="BM610" s="10"/>
    </row>
    <row r="611" spans="1:65" ht="12.75">
      <c r="A611" s="18">
        <v>43294</v>
      </c>
      <c r="B611" s="14" t="s">
        <v>1363</v>
      </c>
      <c r="C611" s="19">
        <v>17000</v>
      </c>
      <c r="D611" s="19"/>
      <c r="E611" s="14" t="s">
        <v>45</v>
      </c>
      <c r="F611" s="14" t="s">
        <v>825</v>
      </c>
      <c r="G611" s="27" t="s">
        <v>1356</v>
      </c>
      <c r="H611" s="14" t="str">
        <f t="array" ref="H611">IFERROR(INDEX([1]Companies!$G:$G,MATCH(B611,[1]Companies!$A:$A,0)),"")</f>
        <v>Kenya</v>
      </c>
      <c r="I611" s="14" t="str">
        <f t="shared" si="694"/>
        <v>Kenya</v>
      </c>
      <c r="J611" s="14" t="str">
        <f t="array" ref="J611">IFERROR(INDEX([1]Companies!$Y:$Y,MATCH(B611,[1]Companies!$A:$A,0)),"")</f>
        <v>Mobile, Mobile Apps</v>
      </c>
      <c r="K611" s="14" t="str">
        <f t="array" ref="K611">IFERROR(INDEX([1]Companies!$X:$X,MATCH(B611,[1]Companies!$A:$A,0)),"")</f>
        <v>Information Technology</v>
      </c>
      <c r="L611" s="14" t="str">
        <f>VLOOKUP(B611,[1]Companies!$A$1:$C$5243,1,FALSE)</f>
        <v>MPost</v>
      </c>
      <c r="M611" s="15">
        <f t="shared" si="695"/>
        <v>0.9</v>
      </c>
      <c r="N611" s="10" t="str">
        <f t="shared" si="696"/>
        <v>43294MPost17000</v>
      </c>
      <c r="O611" s="14" t="str">
        <f t="shared" si="697"/>
        <v/>
      </c>
      <c r="P611" s="14">
        <f t="shared" si="698"/>
        <v>1</v>
      </c>
      <c r="Q611" s="14">
        <f t="array" ref="Q611">IFERROR(INDEX([1]Companies!$D:$D,MATCH(B611,[1]Companies!$A:$A,0)),"")</f>
        <v>2016</v>
      </c>
      <c r="R611" s="17">
        <f t="shared" si="699"/>
        <v>117000</v>
      </c>
      <c r="S611" s="14">
        <f>VLOOKUP(I611,[1]Lookups!$V$3:$Y$197,4,FALSE)</f>
        <v>0</v>
      </c>
      <c r="T611" s="14" t="str">
        <f>VLOOKUP(E611,[1]Lookups!$H$3:$I$71,2,FALSE)</f>
        <v>2. Seed</v>
      </c>
      <c r="U611" s="14" t="str">
        <f>VLOOKUP(K611,[1]Lookups!$B$3:$C$142,2,FALSE)</f>
        <v>Other Technologies &amp; Information Technology</v>
      </c>
      <c r="V611" s="14">
        <f t="shared" si="735"/>
        <v>2018</v>
      </c>
      <c r="W611" s="14">
        <f t="shared" si="736"/>
        <v>7</v>
      </c>
      <c r="X611" s="14">
        <f>VLOOKUP(W611,[1]Lookups!$P$3:$S$15,2,FALSE)</f>
        <v>3</v>
      </c>
      <c r="Y611" s="16">
        <f>VLOOKUP(W611,[1]Lookups!$P$3:$U$15,3,FALSE)</f>
        <v>2</v>
      </c>
      <c r="Z611" s="16">
        <f t="shared" si="737"/>
        <v>1</v>
      </c>
      <c r="AA611" s="16" t="str">
        <f t="shared" ca="1" si="836"/>
        <v>Seedstars</v>
      </c>
      <c r="AB611" s="16">
        <f t="shared" si="836"/>
        <v>0</v>
      </c>
      <c r="AC611" s="16">
        <f t="shared" si="836"/>
        <v>0</v>
      </c>
      <c r="AD611" s="16">
        <f t="shared" si="836"/>
        <v>0</v>
      </c>
      <c r="AE611" s="16">
        <f t="shared" si="836"/>
        <v>0</v>
      </c>
      <c r="AF611" s="16">
        <f t="shared" si="836"/>
        <v>0</v>
      </c>
      <c r="AG611" s="16">
        <f t="shared" si="836"/>
        <v>0</v>
      </c>
      <c r="AH611" s="16">
        <f t="shared" si="836"/>
        <v>0</v>
      </c>
      <c r="AI611" s="16">
        <f t="shared" si="836"/>
        <v>0</v>
      </c>
      <c r="AJ611" s="16">
        <f t="shared" si="836"/>
        <v>0</v>
      </c>
      <c r="AK611" s="16">
        <f t="shared" si="836"/>
        <v>0</v>
      </c>
      <c r="AL611" s="16">
        <f t="shared" si="836"/>
        <v>0</v>
      </c>
      <c r="AM611" s="16">
        <f t="shared" si="836"/>
        <v>0</v>
      </c>
      <c r="AN611" s="16">
        <f t="shared" si="836"/>
        <v>0</v>
      </c>
      <c r="AO611" s="16">
        <f t="shared" si="836"/>
        <v>0</v>
      </c>
      <c r="AP611" s="10"/>
      <c r="AQ611" s="10"/>
      <c r="AR611" s="10"/>
      <c r="AS611" s="10" t="str">
        <f t="shared" ref="AS611" ca="1" si="843">IFERROR(__xludf.DUMMYFUNCTION("split(F479,"","",true,true)"),"Seedstars")</f>
        <v>Seedstars</v>
      </c>
      <c r="AT611" s="10"/>
      <c r="AU611" s="10"/>
      <c r="AV611" s="10"/>
      <c r="AW611" s="10"/>
      <c r="AX611" s="10"/>
      <c r="AY611" s="10"/>
      <c r="AZ611" s="10"/>
      <c r="BA611" s="10"/>
      <c r="BB611" s="10"/>
      <c r="BC611" s="10"/>
      <c r="BD611" s="10"/>
      <c r="BE611" s="10"/>
      <c r="BF611" s="10"/>
      <c r="BG611" s="10"/>
      <c r="BH611" s="10"/>
      <c r="BI611" s="10"/>
      <c r="BJ611" s="10"/>
      <c r="BK611" s="10"/>
      <c r="BM611" s="10"/>
    </row>
    <row r="612" spans="1:65" ht="12.75">
      <c r="A612" s="18">
        <v>43294</v>
      </c>
      <c r="B612" s="14" t="s">
        <v>1364</v>
      </c>
      <c r="C612" s="19">
        <v>17000</v>
      </c>
      <c r="D612" s="19"/>
      <c r="E612" s="14" t="s">
        <v>45</v>
      </c>
      <c r="F612" s="14" t="s">
        <v>825</v>
      </c>
      <c r="G612" s="27" t="s">
        <v>1356</v>
      </c>
      <c r="H612" s="14" t="str">
        <f t="array" ref="H612">IFERROR(INDEX([1]Companies!$G:$G,MATCH(B612,[1]Companies!$A:$A,0)),"")</f>
        <v>South Africa</v>
      </c>
      <c r="I612" s="14" t="str">
        <f t="shared" si="694"/>
        <v>South Africa</v>
      </c>
      <c r="J612" s="14" t="str">
        <f t="array" ref="J612">IFERROR(INDEX([1]Companies!$Y:$Y,MATCH(B612,[1]Companies!$A:$A,0)),"")</f>
        <v>Financial Services, FinTech</v>
      </c>
      <c r="K612" s="14" t="str">
        <f t="array" ref="K612">IFERROR(INDEX([1]Companies!$X:$X,MATCH(B612,[1]Companies!$A:$A,0)),"")</f>
        <v>Financial Services</v>
      </c>
      <c r="L612" s="14" t="str">
        <f>VLOOKUP(B612,[1]Companies!$A$1:$C$5243,1,FALSE)</f>
        <v>Prospa</v>
      </c>
      <c r="M612" s="15">
        <f t="shared" si="695"/>
        <v>0.9</v>
      </c>
      <c r="N612" s="10" t="str">
        <f t="shared" si="696"/>
        <v>43294Prospa17000</v>
      </c>
      <c r="O612" s="14" t="str">
        <f t="shared" si="697"/>
        <v/>
      </c>
      <c r="P612" s="14">
        <f t="shared" si="698"/>
        <v>1</v>
      </c>
      <c r="Q612" s="14">
        <f t="array" ref="Q612">IFERROR(INDEX([1]Companies!$D:$D,MATCH(B612,[1]Companies!$A:$A,0)),"")</f>
        <v>2017</v>
      </c>
      <c r="R612" s="17">
        <f t="shared" si="699"/>
        <v>17000</v>
      </c>
      <c r="S612" s="14">
        <f>VLOOKUP(I612,[1]Lookups!$V$3:$Y$197,4,FALSE)</f>
        <v>0</v>
      </c>
      <c r="T612" s="14" t="str">
        <f>VLOOKUP(E612,[1]Lookups!$H$3:$I$71,2,FALSE)</f>
        <v>2. Seed</v>
      </c>
      <c r="U612" s="14" t="str">
        <f>VLOOKUP(K612,[1]Lookups!$B$3:$C$142,2,FALSE)</f>
        <v>Financial Services</v>
      </c>
      <c r="V612" s="14">
        <f t="shared" si="735"/>
        <v>2018</v>
      </c>
      <c r="W612" s="14">
        <f t="shared" si="736"/>
        <v>7</v>
      </c>
      <c r="X612" s="14">
        <f>VLOOKUP(W612,[1]Lookups!$P$3:$S$15,2,FALSE)</f>
        <v>3</v>
      </c>
      <c r="Y612" s="16">
        <f>VLOOKUP(W612,[1]Lookups!$P$3:$U$15,3,FALSE)</f>
        <v>2</v>
      </c>
      <c r="Z612" s="16">
        <f t="shared" si="737"/>
        <v>1</v>
      </c>
      <c r="AA612" s="16" t="str">
        <f t="shared" ca="1" si="836"/>
        <v>Seedstars</v>
      </c>
      <c r="AB612" s="16">
        <f t="shared" si="836"/>
        <v>0</v>
      </c>
      <c r="AC612" s="16">
        <f t="shared" si="836"/>
        <v>0</v>
      </c>
      <c r="AD612" s="16">
        <f t="shared" si="836"/>
        <v>0</v>
      </c>
      <c r="AE612" s="16">
        <f t="shared" si="836"/>
        <v>0</v>
      </c>
      <c r="AF612" s="16">
        <f t="shared" si="836"/>
        <v>0</v>
      </c>
      <c r="AG612" s="16">
        <f t="shared" si="836"/>
        <v>0</v>
      </c>
      <c r="AH612" s="16">
        <f t="shared" si="836"/>
        <v>0</v>
      </c>
      <c r="AI612" s="16">
        <f t="shared" si="836"/>
        <v>0</v>
      </c>
      <c r="AJ612" s="16">
        <f t="shared" si="836"/>
        <v>0</v>
      </c>
      <c r="AK612" s="16">
        <f t="shared" si="836"/>
        <v>0</v>
      </c>
      <c r="AL612" s="16">
        <f t="shared" si="836"/>
        <v>0</v>
      </c>
      <c r="AM612" s="16">
        <f t="shared" si="836"/>
        <v>0</v>
      </c>
      <c r="AN612" s="16">
        <f t="shared" si="836"/>
        <v>0</v>
      </c>
      <c r="AO612" s="16">
        <f t="shared" si="836"/>
        <v>0</v>
      </c>
      <c r="AP612" s="10"/>
      <c r="AQ612" s="10"/>
      <c r="AR612" s="10"/>
      <c r="AS612" s="10" t="str">
        <f t="shared" ref="AS612" ca="1" si="844">IFERROR(__xludf.DUMMYFUNCTION("split(F479,"","",true,true)"),"Seedstars")</f>
        <v>Seedstars</v>
      </c>
      <c r="AT612" s="10"/>
      <c r="AU612" s="10"/>
      <c r="AV612" s="10"/>
      <c r="AW612" s="10"/>
      <c r="AX612" s="10"/>
      <c r="AY612" s="10"/>
      <c r="AZ612" s="10"/>
      <c r="BA612" s="10"/>
      <c r="BB612" s="10"/>
      <c r="BC612" s="10"/>
      <c r="BD612" s="10"/>
      <c r="BE612" s="10"/>
      <c r="BF612" s="10"/>
      <c r="BG612" s="10"/>
      <c r="BH612" s="10"/>
      <c r="BI612" s="10"/>
      <c r="BJ612" s="10"/>
      <c r="BK612" s="10"/>
      <c r="BM612" s="10"/>
    </row>
    <row r="613" spans="1:65" ht="12.75">
      <c r="A613" s="18">
        <v>43296</v>
      </c>
      <c r="B613" s="14" t="s">
        <v>607</v>
      </c>
      <c r="C613" s="19">
        <v>340000</v>
      </c>
      <c r="D613" s="19"/>
      <c r="E613" s="14" t="s">
        <v>45</v>
      </c>
      <c r="F613" s="14" t="s">
        <v>49</v>
      </c>
      <c r="G613" s="27" t="s">
        <v>1365</v>
      </c>
      <c r="H613" s="14" t="str">
        <f t="array" ref="H613">IFERROR(INDEX([1]Companies!$G:$G,MATCH(B613,[1]Companies!$A:$A,0)),"")</f>
        <v>Angola</v>
      </c>
      <c r="I613" s="14" t="str">
        <f t="shared" si="694"/>
        <v>Angola</v>
      </c>
      <c r="J613" s="14" t="str">
        <f t="array" ref="J613">IFERROR(INDEX([1]Companies!$Y:$Y,MATCH(B613,[1]Companies!$A:$A,0)),"")</f>
        <v>Delivery Service, E-Commerce, Food Delivery, Mobile Apps, Taxi Service</v>
      </c>
      <c r="K613" s="14" t="str">
        <f t="array" ref="K613">IFERROR(INDEX([1]Companies!$X:$X,MATCH(B613,[1]Companies!$A:$A,0)),"")</f>
        <v>E-Commerce &amp; Retail</v>
      </c>
      <c r="L613" s="14" t="str">
        <f>VLOOKUP(B613,[1]Companies!$A$1:$C$5243,1,FALSE)</f>
        <v>Tupuca</v>
      </c>
      <c r="M613" s="15">
        <f t="shared" si="695"/>
        <v>0.9</v>
      </c>
      <c r="N613" s="10" t="str">
        <f t="shared" si="696"/>
        <v>43296Tupuca340000</v>
      </c>
      <c r="O613" s="14" t="str">
        <f t="shared" si="697"/>
        <v/>
      </c>
      <c r="P613" s="14">
        <f t="shared" si="698"/>
        <v>1</v>
      </c>
      <c r="Q613" s="14">
        <f t="array" ref="Q613">IFERROR(INDEX([1]Companies!$D:$D,MATCH(B613,[1]Companies!$A:$A,0)),"")</f>
        <v>2015</v>
      </c>
      <c r="R613" s="17">
        <f t="shared" si="699"/>
        <v>520000</v>
      </c>
      <c r="S613" s="14">
        <f>VLOOKUP(I613,[1]Lookups!$V$3:$Y$197,4,FALSE)</f>
        <v>0</v>
      </c>
      <c r="T613" s="14" t="str">
        <f>VLOOKUP(E613,[1]Lookups!$H$3:$I$71,2,FALSE)</f>
        <v>2. Seed</v>
      </c>
      <c r="U613" s="14" t="str">
        <f>VLOOKUP(K613,[1]Lookups!$B$3:$C$142,2,FALSE)</f>
        <v>E-commerce &amp; Retail</v>
      </c>
      <c r="V613" s="14">
        <f t="shared" si="735"/>
        <v>2018</v>
      </c>
      <c r="W613" s="14">
        <f t="shared" si="736"/>
        <v>7</v>
      </c>
      <c r="X613" s="14">
        <f>VLOOKUP(W613,[1]Lookups!$P$3:$S$15,2,FALSE)</f>
        <v>3</v>
      </c>
      <c r="Y613" s="16">
        <f>VLOOKUP(W613,[1]Lookups!$P$3:$U$15,3,FALSE)</f>
        <v>2</v>
      </c>
      <c r="Z613" s="16">
        <f t="shared" si="737"/>
        <v>1</v>
      </c>
      <c r="AA613" s="16" t="str">
        <f t="shared" ca="1" si="836"/>
        <v>Seedstars</v>
      </c>
      <c r="AB613" s="16">
        <f t="shared" si="836"/>
        <v>0</v>
      </c>
      <c r="AC613" s="16">
        <f t="shared" si="836"/>
        <v>0</v>
      </c>
      <c r="AD613" s="16">
        <f t="shared" si="836"/>
        <v>0</v>
      </c>
      <c r="AE613" s="16">
        <f t="shared" si="836"/>
        <v>0</v>
      </c>
      <c r="AF613" s="16">
        <f t="shared" si="836"/>
        <v>0</v>
      </c>
      <c r="AG613" s="16">
        <f t="shared" si="836"/>
        <v>0</v>
      </c>
      <c r="AH613" s="16">
        <f t="shared" si="836"/>
        <v>0</v>
      </c>
      <c r="AI613" s="16">
        <f t="shared" si="836"/>
        <v>0</v>
      </c>
      <c r="AJ613" s="16">
        <f t="shared" si="836"/>
        <v>0</v>
      </c>
      <c r="AK613" s="16">
        <f t="shared" si="836"/>
        <v>0</v>
      </c>
      <c r="AL613" s="16">
        <f t="shared" si="836"/>
        <v>0</v>
      </c>
      <c r="AM613" s="16">
        <f t="shared" si="836"/>
        <v>0</v>
      </c>
      <c r="AN613" s="16">
        <f t="shared" si="836"/>
        <v>0</v>
      </c>
      <c r="AO613" s="16">
        <f t="shared" si="836"/>
        <v>0</v>
      </c>
      <c r="AP613" s="10"/>
      <c r="AQ613" s="10"/>
      <c r="AR613" s="10"/>
      <c r="AS613" s="10" t="str">
        <f t="shared" ref="AS613" ca="1" si="845">IFERROR(__xludf.DUMMYFUNCTION("split(F479,"","",true,true)"),"Seedstars")</f>
        <v>Seedstars</v>
      </c>
      <c r="AT613" s="25"/>
      <c r="AU613" s="25"/>
      <c r="AV613" s="25"/>
      <c r="AW613" s="25"/>
      <c r="AX613" s="25"/>
      <c r="AY613" s="25"/>
      <c r="AZ613" s="25"/>
      <c r="BA613" s="25"/>
      <c r="BB613" s="25"/>
      <c r="BC613" s="25"/>
      <c r="BD613" s="25"/>
      <c r="BE613" s="25"/>
      <c r="BF613" s="25"/>
      <c r="BG613" s="25"/>
      <c r="BH613" s="25"/>
      <c r="BI613" s="25"/>
      <c r="BJ613" s="25"/>
      <c r="BK613" s="25"/>
      <c r="BM613" s="25"/>
    </row>
    <row r="614" spans="1:65" ht="12.75">
      <c r="A614" s="18">
        <v>43296</v>
      </c>
      <c r="B614" s="14" t="s">
        <v>1366</v>
      </c>
      <c r="C614" s="19">
        <v>53000</v>
      </c>
      <c r="D614" s="19"/>
      <c r="E614" s="10" t="s">
        <v>48</v>
      </c>
      <c r="F614" s="14" t="s">
        <v>1367</v>
      </c>
      <c r="G614" s="27" t="s">
        <v>1368</v>
      </c>
      <c r="H614" s="14" t="str">
        <f t="array" ref="H614">IFERROR(INDEX([1]Companies!$G:$G,MATCH(B614,[1]Companies!$A:$A,0)),"")</f>
        <v>South Africa</v>
      </c>
      <c r="I614" s="14" t="str">
        <f t="shared" si="694"/>
        <v>South Africa</v>
      </c>
      <c r="J614" s="14" t="str">
        <f t="array" ref="J614">IFERROR(INDEX([1]Companies!$Y:$Y,MATCH(B614,[1]Companies!$A:$A,0)),"")</f>
        <v>Big Data, Information Technology, Mobile Apps, Mobile Payments, Predictive Analytics, Public Transportation, Ride Sharing, Ticketing, Transportation</v>
      </c>
      <c r="K614" s="14" t="str">
        <f t="array" ref="K614">IFERROR(INDEX([1]Companies!$X:$X,MATCH(B614,[1]Companies!$A:$A,0)),"")</f>
        <v>Information Technology</v>
      </c>
      <c r="L614" s="14" t="str">
        <f>VLOOKUP(B614,[1]Companies!$A$1:$C$5243,1,FALSE)</f>
        <v>LÜLA</v>
      </c>
      <c r="M614" s="15">
        <f t="shared" si="695"/>
        <v>0.9</v>
      </c>
      <c r="N614" s="10" t="str">
        <f t="shared" si="696"/>
        <v>43296LÜLA53000</v>
      </c>
      <c r="O614" s="14" t="str">
        <f t="shared" si="697"/>
        <v/>
      </c>
      <c r="P614" s="14">
        <f t="shared" si="698"/>
        <v>1</v>
      </c>
      <c r="Q614" s="14">
        <f t="array" ref="Q614">IFERROR(INDEX([1]Companies!$D:$D,MATCH(B614,[1]Companies!$A:$A,0)),"")</f>
        <v>2016</v>
      </c>
      <c r="R614" s="17">
        <f t="shared" si="699"/>
        <v>91400</v>
      </c>
      <c r="S614" s="14">
        <f>VLOOKUP(I614,[1]Lookups!$V$3:$Y$197,4,FALSE)</f>
        <v>0</v>
      </c>
      <c r="T614" s="14" t="str">
        <f>VLOOKUP(E614,[1]Lookups!$H$3:$I$71,2,FALSE)</f>
        <v>2. Seed</v>
      </c>
      <c r="U614" s="14" t="str">
        <f>VLOOKUP(K614,[1]Lookups!$B$3:$C$142,2,FALSE)</f>
        <v>Other Technologies &amp; Information Technology</v>
      </c>
      <c r="V614" s="14">
        <f t="shared" si="735"/>
        <v>2018</v>
      </c>
      <c r="W614" s="14">
        <f t="shared" si="736"/>
        <v>7</v>
      </c>
      <c r="X614" s="14">
        <f>VLOOKUP(W614,[1]Lookups!$P$3:$S$15,2,FALSE)</f>
        <v>3</v>
      </c>
      <c r="Y614" s="16">
        <f>VLOOKUP(W614,[1]Lookups!$P$3:$U$15,3,FALSE)</f>
        <v>2</v>
      </c>
      <c r="Z614" s="16">
        <f t="shared" si="737"/>
        <v>1</v>
      </c>
      <c r="AA614" s="16" t="str">
        <f t="shared" ca="1" si="836"/>
        <v>Seedstars</v>
      </c>
      <c r="AB614" s="16">
        <f t="shared" si="836"/>
        <v>0</v>
      </c>
      <c r="AC614" s="16">
        <f t="shared" si="836"/>
        <v>0</v>
      </c>
      <c r="AD614" s="16">
        <f t="shared" si="836"/>
        <v>0</v>
      </c>
      <c r="AE614" s="16">
        <f t="shared" si="836"/>
        <v>0</v>
      </c>
      <c r="AF614" s="16">
        <f t="shared" si="836"/>
        <v>0</v>
      </c>
      <c r="AG614" s="16">
        <f t="shared" si="836"/>
        <v>0</v>
      </c>
      <c r="AH614" s="16">
        <f t="shared" si="836"/>
        <v>0</v>
      </c>
      <c r="AI614" s="16">
        <f t="shared" si="836"/>
        <v>0</v>
      </c>
      <c r="AJ614" s="16">
        <f t="shared" si="836"/>
        <v>0</v>
      </c>
      <c r="AK614" s="16">
        <f t="shared" si="836"/>
        <v>0</v>
      </c>
      <c r="AL614" s="16">
        <f t="shared" si="836"/>
        <v>0</v>
      </c>
      <c r="AM614" s="16">
        <f t="shared" si="836"/>
        <v>0</v>
      </c>
      <c r="AN614" s="16">
        <f t="shared" si="836"/>
        <v>0</v>
      </c>
      <c r="AO614" s="16">
        <f t="shared" si="836"/>
        <v>0</v>
      </c>
      <c r="AP614" s="10"/>
      <c r="AQ614" s="10"/>
      <c r="AR614" s="10"/>
      <c r="AS614" s="10" t="str">
        <f t="shared" ref="AS614" ca="1" si="846">IFERROR(__xludf.DUMMYFUNCTION("split(F479,"","",true,true)"),"Seedstars")</f>
        <v>Seedstars</v>
      </c>
      <c r="AT614" s="10"/>
      <c r="AU614" s="10"/>
      <c r="AV614" s="10"/>
      <c r="AW614" s="10"/>
      <c r="AX614" s="10"/>
      <c r="AY614" s="10"/>
      <c r="AZ614" s="10"/>
      <c r="BA614" s="10"/>
      <c r="BB614" s="10"/>
      <c r="BC614" s="10"/>
      <c r="BD614" s="10"/>
      <c r="BE614" s="10"/>
      <c r="BF614" s="10"/>
      <c r="BG614" s="10"/>
      <c r="BH614" s="10"/>
      <c r="BI614" s="10"/>
      <c r="BJ614" s="10"/>
      <c r="BK614" s="10"/>
      <c r="BM614" s="10"/>
    </row>
    <row r="615" spans="1:65" ht="12.75">
      <c r="A615" s="18">
        <v>43297</v>
      </c>
      <c r="B615" s="14" t="s">
        <v>1369</v>
      </c>
      <c r="C615" s="19" t="s">
        <v>49</v>
      </c>
      <c r="D615" s="19"/>
      <c r="E615" s="14" t="s">
        <v>45</v>
      </c>
      <c r="F615" s="14" t="s">
        <v>1370</v>
      </c>
      <c r="G615" s="27" t="s">
        <v>1371</v>
      </c>
      <c r="H615" s="14" t="str">
        <f t="array" ref="H615">IFERROR(INDEX([1]Companies!$G:$G,MATCH(B615,[1]Companies!$A:$A,0)),"")</f>
        <v>Nigeria</v>
      </c>
      <c r="I615" s="14" t="str">
        <f t="shared" si="694"/>
        <v>Nigeria</v>
      </c>
      <c r="J615" s="14" t="str">
        <f t="array" ref="J615">IFERROR(INDEX([1]Companies!$Y:$Y,MATCH(B615,[1]Companies!$A:$A,0)),"")</f>
        <v>Digital Entertainment, Media and Entertainment, Video</v>
      </c>
      <c r="K615" s="14" t="str">
        <f t="array" ref="K615">IFERROR(INDEX([1]Companies!$X:$X,MATCH(B615,[1]Companies!$A:$A,0)),"")</f>
        <v>Information Technology</v>
      </c>
      <c r="L615" s="14" t="str">
        <f>VLOOKUP(B615,[1]Companies!$A$1:$C$5243,1,FALSE)</f>
        <v>TaxiTV</v>
      </c>
      <c r="M615" s="15">
        <f t="shared" si="695"/>
        <v>0.9</v>
      </c>
      <c r="N615" s="10" t="str">
        <f t="shared" si="696"/>
        <v>43297TaxiTVUndisclosed</v>
      </c>
      <c r="O615" s="14" t="str">
        <f t="shared" si="697"/>
        <v/>
      </c>
      <c r="P615" s="14">
        <f t="shared" si="698"/>
        <v>0</v>
      </c>
      <c r="Q615" s="14">
        <f t="array" ref="Q615">IFERROR(INDEX([1]Companies!$D:$D,MATCH(B615,[1]Companies!$A:$A,0)),"")</f>
        <v>2017</v>
      </c>
      <c r="R615" s="17">
        <f t="shared" si="699"/>
        <v>0</v>
      </c>
      <c r="S615" s="14">
        <f>VLOOKUP(I615,[1]Lookups!$V$3:$Y$197,4,FALSE)</f>
        <v>0</v>
      </c>
      <c r="T615" s="14" t="str">
        <f>VLOOKUP(E615,[1]Lookups!$H$3:$I$71,2,FALSE)</f>
        <v>2. Seed</v>
      </c>
      <c r="U615" s="14" t="str">
        <f>VLOOKUP(K615,[1]Lookups!$B$3:$C$142,2,FALSE)</f>
        <v>Other Technologies &amp; Information Technology</v>
      </c>
      <c r="V615" s="14">
        <f t="shared" si="735"/>
        <v>2018</v>
      </c>
      <c r="W615" s="14">
        <f t="shared" si="736"/>
        <v>7</v>
      </c>
      <c r="X615" s="14">
        <f>VLOOKUP(W615,[1]Lookups!$P$3:$S$15,2,FALSE)</f>
        <v>3</v>
      </c>
      <c r="Y615" s="16">
        <f>VLOOKUP(W615,[1]Lookups!$P$3:$U$15,3,FALSE)</f>
        <v>2</v>
      </c>
      <c r="Z615" s="16">
        <f t="shared" si="737"/>
        <v>3</v>
      </c>
      <c r="AA615" s="16" t="str">
        <f t="shared" ca="1" si="836"/>
        <v>Seedstars</v>
      </c>
      <c r="AB615" s="16" t="str">
        <f t="shared" ca="1" si="836"/>
        <v xml:space="preserve"> Collins Onuegbu</v>
      </c>
      <c r="AC615" s="16" t="str">
        <f t="shared" ca="1" si="836"/>
        <v xml:space="preserve"> Sam Senbanjo</v>
      </c>
      <c r="AD615" s="16">
        <f t="shared" si="836"/>
        <v>0</v>
      </c>
      <c r="AE615" s="16">
        <f t="shared" si="836"/>
        <v>0</v>
      </c>
      <c r="AF615" s="16">
        <f t="shared" si="836"/>
        <v>0</v>
      </c>
      <c r="AG615" s="16">
        <f t="shared" si="836"/>
        <v>0</v>
      </c>
      <c r="AH615" s="16">
        <f t="shared" si="836"/>
        <v>0</v>
      </c>
      <c r="AI615" s="16">
        <f t="shared" si="836"/>
        <v>0</v>
      </c>
      <c r="AJ615" s="16">
        <f t="shared" si="836"/>
        <v>0</v>
      </c>
      <c r="AK615" s="16">
        <f t="shared" si="836"/>
        <v>0</v>
      </c>
      <c r="AL615" s="16">
        <f t="shared" si="836"/>
        <v>0</v>
      </c>
      <c r="AM615" s="16">
        <f t="shared" si="836"/>
        <v>0</v>
      </c>
      <c r="AN615" s="16">
        <f t="shared" si="836"/>
        <v>0</v>
      </c>
      <c r="AO615" s="16">
        <f t="shared" si="836"/>
        <v>0</v>
      </c>
      <c r="AP615" s="10"/>
      <c r="AQ615" s="10"/>
      <c r="AR615" s="10"/>
      <c r="AS615" s="10" t="str">
        <f t="shared" ref="AS615" ca="1" si="847">IFERROR(__xludf.DUMMYFUNCTION("split(F479,"","",true,true)"),"Seedstars")</f>
        <v>Seedstars</v>
      </c>
      <c r="AT615" s="10" t="str">
        <f ca="1">IFERROR(__xludf.DUMMYFUNCTION("""COMPUTED_VALUE""")," Collins Onuegbu")</f>
        <v xml:space="preserve"> Collins Onuegbu</v>
      </c>
      <c r="AU615" s="10" t="str">
        <f ca="1">IFERROR(__xludf.DUMMYFUNCTION("""COMPUTED_VALUE""")," Sam Senbanjo")</f>
        <v xml:space="preserve"> Sam Senbanjo</v>
      </c>
      <c r="AV615" s="10"/>
      <c r="AW615" s="10"/>
      <c r="AX615" s="10"/>
      <c r="AY615" s="10"/>
      <c r="AZ615" s="10"/>
      <c r="BA615" s="10"/>
      <c r="BB615" s="10"/>
      <c r="BC615" s="10"/>
      <c r="BD615" s="10"/>
      <c r="BE615" s="10"/>
      <c r="BF615" s="10"/>
      <c r="BG615" s="10"/>
      <c r="BH615" s="10"/>
      <c r="BI615" s="10"/>
      <c r="BJ615" s="10"/>
      <c r="BK615" s="10"/>
      <c r="BM615" s="10"/>
    </row>
    <row r="616" spans="1:65" ht="12.75">
      <c r="A616" s="18">
        <v>43297</v>
      </c>
      <c r="B616" s="14" t="s">
        <v>1372</v>
      </c>
      <c r="C616" s="19">
        <v>120000</v>
      </c>
      <c r="D616" s="19"/>
      <c r="E616" s="14" t="s">
        <v>45</v>
      </c>
      <c r="F616" s="14" t="s">
        <v>879</v>
      </c>
      <c r="G616" s="27" t="s">
        <v>1373</v>
      </c>
      <c r="H616" s="14" t="str">
        <f t="array" ref="H616">IFERROR(INDEX([1]Companies!$G:$G,MATCH(B616,[1]Companies!$A:$A,0)),"")</f>
        <v>Uganda</v>
      </c>
      <c r="I616" s="14" t="str">
        <f t="shared" si="694"/>
        <v>Uganda</v>
      </c>
      <c r="J616" s="14" t="str">
        <f t="array" ref="J616">IFERROR(INDEX([1]Companies!$Y:$Y,MATCH(B616,[1]Companies!$A:$A,0)),"")</f>
        <v>Baby, Crowdfunding, Health Care, Medical Device, Wearables</v>
      </c>
      <c r="K616" s="14" t="str">
        <f t="array" ref="K616">IFERROR(INDEX([1]Companies!$X:$X,MATCH(B616,[1]Companies!$A:$A,0)),"")</f>
        <v>Healthcare &amp; Pharma</v>
      </c>
      <c r="L616" s="14" t="str">
        <f>VLOOKUP(B616,[1]Companies!$A$1:$C$5243,1,FALSE)</f>
        <v>Neopenda</v>
      </c>
      <c r="M616" s="15">
        <f t="shared" si="695"/>
        <v>0.9</v>
      </c>
      <c r="N616" s="10" t="str">
        <f t="shared" si="696"/>
        <v>43297Neopenda120000</v>
      </c>
      <c r="O616" s="14" t="str">
        <f t="shared" si="697"/>
        <v/>
      </c>
      <c r="P616" s="14">
        <f t="shared" si="698"/>
        <v>1</v>
      </c>
      <c r="Q616" s="14">
        <f t="array" ref="Q616">IFERROR(INDEX([1]Companies!$D:$D,MATCH(B616,[1]Companies!$A:$A,0)),"")</f>
        <v>2015</v>
      </c>
      <c r="R616" s="17">
        <f t="shared" si="699"/>
        <v>1510000</v>
      </c>
      <c r="S616" s="14">
        <f>VLOOKUP(I616,[1]Lookups!$V$3:$Y$197,4,FALSE)</f>
        <v>0</v>
      </c>
      <c r="T616" s="14" t="str">
        <f>VLOOKUP(E616,[1]Lookups!$H$3:$I$71,2,FALSE)</f>
        <v>2. Seed</v>
      </c>
      <c r="U616" s="14" t="str">
        <f>VLOOKUP(K616,[1]Lookups!$B$3:$C$142,2,FALSE)</f>
        <v>Health &amp; Pharmaceuticals</v>
      </c>
      <c r="V616" s="14">
        <f t="shared" si="735"/>
        <v>2018</v>
      </c>
      <c r="W616" s="14">
        <f t="shared" si="736"/>
        <v>7</v>
      </c>
      <c r="X616" s="14">
        <f>VLOOKUP(W616,[1]Lookups!$P$3:$S$15,2,FALSE)</f>
        <v>3</v>
      </c>
      <c r="Y616" s="16">
        <f>VLOOKUP(W616,[1]Lookups!$P$3:$U$15,3,FALSE)</f>
        <v>2</v>
      </c>
      <c r="Z616" s="16">
        <f t="shared" si="737"/>
        <v>1</v>
      </c>
      <c r="AA616" s="16" t="str">
        <f t="shared" ca="1" si="836"/>
        <v>Seedstars</v>
      </c>
      <c r="AB616" s="16">
        <f t="shared" si="836"/>
        <v>0</v>
      </c>
      <c r="AC616" s="16">
        <f t="shared" si="836"/>
        <v>0</v>
      </c>
      <c r="AD616" s="16">
        <f t="shared" si="836"/>
        <v>0</v>
      </c>
      <c r="AE616" s="16">
        <f t="shared" si="836"/>
        <v>0</v>
      </c>
      <c r="AF616" s="16">
        <f t="shared" si="836"/>
        <v>0</v>
      </c>
      <c r="AG616" s="16">
        <f t="shared" si="836"/>
        <v>0</v>
      </c>
      <c r="AH616" s="16">
        <f t="shared" si="836"/>
        <v>0</v>
      </c>
      <c r="AI616" s="16">
        <f t="shared" si="836"/>
        <v>0</v>
      </c>
      <c r="AJ616" s="16">
        <f t="shared" si="836"/>
        <v>0</v>
      </c>
      <c r="AK616" s="16">
        <f t="shared" si="836"/>
        <v>0</v>
      </c>
      <c r="AL616" s="16">
        <f t="shared" si="836"/>
        <v>0</v>
      </c>
      <c r="AM616" s="16">
        <f t="shared" si="836"/>
        <v>0</v>
      </c>
      <c r="AN616" s="16">
        <f t="shared" si="836"/>
        <v>0</v>
      </c>
      <c r="AO616" s="16">
        <f t="shared" si="836"/>
        <v>0</v>
      </c>
      <c r="AP616" s="10"/>
      <c r="AQ616" s="10"/>
      <c r="AR616" s="10"/>
      <c r="AS616" s="10" t="str">
        <f t="shared" ref="AS616" ca="1" si="848">IFERROR(__xludf.DUMMYFUNCTION("split(F479,"","",true,true)"),"Seedstars")</f>
        <v>Seedstars</v>
      </c>
      <c r="AT616" s="10"/>
      <c r="AU616" s="10"/>
      <c r="AV616" s="10"/>
      <c r="AW616" s="10"/>
      <c r="AX616" s="10"/>
      <c r="AY616" s="10"/>
      <c r="AZ616" s="10"/>
      <c r="BA616" s="10"/>
      <c r="BB616" s="10"/>
      <c r="BC616" s="10"/>
      <c r="BD616" s="10"/>
      <c r="BE616" s="10"/>
      <c r="BF616" s="10"/>
      <c r="BG616" s="10"/>
      <c r="BH616" s="10"/>
      <c r="BI616" s="10"/>
      <c r="BJ616" s="10"/>
      <c r="BK616" s="10"/>
      <c r="BM616" s="10"/>
    </row>
    <row r="617" spans="1:65" ht="12.75">
      <c r="A617" s="9">
        <v>43299</v>
      </c>
      <c r="B617" s="10" t="s">
        <v>1374</v>
      </c>
      <c r="C617" s="11">
        <v>128900</v>
      </c>
      <c r="D617" s="12"/>
      <c r="E617" s="14" t="s">
        <v>234</v>
      </c>
      <c r="F617" s="10" t="s">
        <v>1375</v>
      </c>
      <c r="G617" s="13" t="s">
        <v>1376</v>
      </c>
      <c r="H617" s="14" t="str">
        <f t="array" ref="H617">IFERROR(INDEX([1]Companies!$G:$G,MATCH(B617,[1]Companies!$A:$A,0)),"")</f>
        <v>Ivory Coast</v>
      </c>
      <c r="I617" s="14" t="str">
        <f t="shared" si="694"/>
        <v>Ivory Coast</v>
      </c>
      <c r="J617" s="14" t="str">
        <f t="array" ref="J617">IFERROR(INDEX([1]Companies!$Y:$Y,MATCH(B617,[1]Companies!$A:$A,0)),"")</f>
        <v>FinTech, Mobile Apps, Mobile Payments</v>
      </c>
      <c r="K617" s="14" t="str">
        <f t="array" ref="K617">IFERROR(INDEX([1]Companies!$X:$X,MATCH(B617,[1]Companies!$A:$A,0)),"")</f>
        <v>Financial Services</v>
      </c>
      <c r="L617" s="14" t="str">
        <f>VLOOKUP(B617,[1]Companies!$A$1:$C$5243,1,FALSE)</f>
        <v>Julaya</v>
      </c>
      <c r="M617" s="15">
        <f t="shared" si="695"/>
        <v>0.9</v>
      </c>
      <c r="N617" s="10" t="str">
        <f t="shared" si="696"/>
        <v>43299Julaya128900</v>
      </c>
      <c r="O617" s="14" t="str">
        <f t="shared" si="697"/>
        <v/>
      </c>
      <c r="P617" s="14">
        <f t="shared" si="698"/>
        <v>1</v>
      </c>
      <c r="Q617" s="14">
        <f t="array" ref="Q617">IFERROR(INDEX([1]Companies!$D:$D,MATCH(B617,[1]Companies!$A:$A,0)),"")</f>
        <v>2018</v>
      </c>
      <c r="R617" s="17">
        <f t="shared" si="699"/>
        <v>128900</v>
      </c>
      <c r="S617" s="14">
        <f>VLOOKUP(I617,[1]Lookups!$V$3:$Y$197,4,FALSE)</f>
        <v>0</v>
      </c>
      <c r="T617" s="14" t="str">
        <f>VLOOKUP(E617,[1]Lookups!$H$3:$I$71,2,FALSE)</f>
        <v>2. Seed</v>
      </c>
      <c r="U617" s="14" t="str">
        <f>VLOOKUP(K617,[1]Lookups!$B$3:$C$142,2,FALSE)</f>
        <v>Financial Services</v>
      </c>
      <c r="V617" s="14">
        <f t="shared" si="735"/>
        <v>2018</v>
      </c>
      <c r="W617" s="14">
        <f t="shared" si="736"/>
        <v>7</v>
      </c>
      <c r="X617" s="14">
        <f>VLOOKUP(W617,[1]Lookups!$P$3:$S$15,2,FALSE)</f>
        <v>3</v>
      </c>
      <c r="Y617" s="16">
        <f>VLOOKUP(W617,[1]Lookups!$P$3:$U$15,3,FALSE)</f>
        <v>2</v>
      </c>
      <c r="Z617" s="16">
        <f t="shared" si="737"/>
        <v>1</v>
      </c>
      <c r="AA617" s="16" t="str">
        <f t="shared" ca="1" si="836"/>
        <v>Seedstars</v>
      </c>
      <c r="AB617" s="16">
        <f t="shared" si="836"/>
        <v>0</v>
      </c>
      <c r="AC617" s="16">
        <f t="shared" si="836"/>
        <v>0</v>
      </c>
      <c r="AD617" s="16">
        <f t="shared" si="836"/>
        <v>0</v>
      </c>
      <c r="AE617" s="16">
        <f t="shared" si="836"/>
        <v>0</v>
      </c>
      <c r="AF617" s="16">
        <f t="shared" si="836"/>
        <v>0</v>
      </c>
      <c r="AG617" s="16">
        <f t="shared" si="836"/>
        <v>0</v>
      </c>
      <c r="AH617" s="16">
        <f t="shared" si="836"/>
        <v>0</v>
      </c>
      <c r="AI617" s="16">
        <f t="shared" si="836"/>
        <v>0</v>
      </c>
      <c r="AJ617" s="16">
        <f t="shared" si="836"/>
        <v>0</v>
      </c>
      <c r="AK617" s="16">
        <f t="shared" si="836"/>
        <v>0</v>
      </c>
      <c r="AL617" s="16">
        <f t="shared" si="836"/>
        <v>0</v>
      </c>
      <c r="AM617" s="16">
        <f t="shared" si="836"/>
        <v>0</v>
      </c>
      <c r="AN617" s="16">
        <f t="shared" si="836"/>
        <v>0</v>
      </c>
      <c r="AO617" s="16">
        <f t="shared" si="836"/>
        <v>0</v>
      </c>
      <c r="AP617" s="10"/>
      <c r="AQ617" s="10"/>
      <c r="AR617" s="10"/>
      <c r="AS617" s="10" t="str">
        <f t="shared" ref="AS617" ca="1" si="849">IFERROR(__xludf.DUMMYFUNCTION("split(F479,"","",true,true)"),"Seedstars")</f>
        <v>Seedstars</v>
      </c>
      <c r="AT617" s="10"/>
      <c r="AU617" s="10"/>
      <c r="AV617" s="10"/>
      <c r="AW617" s="10"/>
      <c r="AX617" s="10"/>
      <c r="AY617" s="10"/>
      <c r="AZ617" s="10"/>
      <c r="BA617" s="10"/>
      <c r="BB617" s="10"/>
      <c r="BC617" s="10"/>
      <c r="BD617" s="10"/>
      <c r="BE617" s="10"/>
      <c r="BF617" s="10"/>
      <c r="BG617" s="10"/>
      <c r="BH617" s="10"/>
      <c r="BI617" s="10"/>
      <c r="BJ617" s="10"/>
      <c r="BK617" s="10"/>
      <c r="BM617" s="10"/>
    </row>
    <row r="618" spans="1:65" ht="12.75">
      <c r="A618" s="18">
        <v>43300</v>
      </c>
      <c r="B618" s="14" t="s">
        <v>1128</v>
      </c>
      <c r="C618" s="19">
        <v>250000</v>
      </c>
      <c r="D618" s="19"/>
      <c r="E618" s="14" t="s">
        <v>45</v>
      </c>
      <c r="F618" s="14" t="s">
        <v>1377</v>
      </c>
      <c r="G618" s="27" t="s">
        <v>1378</v>
      </c>
      <c r="H618" s="14" t="str">
        <f t="array" ref="H618">IFERROR(INDEX([1]Companies!$G:$G,MATCH(B618,[1]Companies!$A:$A,0)),"")</f>
        <v>Kenya</v>
      </c>
      <c r="I618" s="14" t="str">
        <f t="shared" si="694"/>
        <v>Kenya</v>
      </c>
      <c r="J618" s="14" t="str">
        <f t="array" ref="J618">IFERROR(INDEX([1]Companies!$Y:$Y,MATCH(B618,[1]Companies!$A:$A,0)),"")</f>
        <v>Artificial Intelligence, Blockchain, IaaS, Information Services, Information Technology, Machine Learning, Sharing Economy</v>
      </c>
      <c r="K618" s="14" t="str">
        <f t="array" ref="K618">IFERROR(INDEX([1]Companies!$X:$X,MATCH(B618,[1]Companies!$A:$A,0)),"")</f>
        <v>Emerging Technologies</v>
      </c>
      <c r="L618" s="14" t="str">
        <f>VLOOKUP(B618,[1]Companies!$A$1:$C$5243,1,FALSE)</f>
        <v>Utu Technologies</v>
      </c>
      <c r="M618" s="15">
        <f t="shared" si="695"/>
        <v>0.9</v>
      </c>
      <c r="N618" s="10" t="str">
        <f t="shared" si="696"/>
        <v>43300UTU technologies250000</v>
      </c>
      <c r="O618" s="14" t="str">
        <f t="shared" si="697"/>
        <v/>
      </c>
      <c r="P618" s="14">
        <f t="shared" si="698"/>
        <v>1</v>
      </c>
      <c r="Q618" s="14">
        <f t="array" ref="Q618">IFERROR(INDEX([1]Companies!$D:$D,MATCH(B618,[1]Companies!$A:$A,0)),"")</f>
        <v>2017</v>
      </c>
      <c r="R618" s="17">
        <f t="shared" si="699"/>
        <v>250000</v>
      </c>
      <c r="S618" s="14">
        <f>VLOOKUP(I618,[1]Lookups!$V$3:$Y$197,4,FALSE)</f>
        <v>0</v>
      </c>
      <c r="T618" s="14" t="str">
        <f>VLOOKUP(E618,[1]Lookups!$H$3:$I$71,2,FALSE)</f>
        <v>2. Seed</v>
      </c>
      <c r="U618" s="14" t="str">
        <f>VLOOKUP(K618,[1]Lookups!$B$3:$C$142,2,FALSE)</f>
        <v>Emerging Technologies</v>
      </c>
      <c r="V618" s="14">
        <f t="shared" si="735"/>
        <v>2018</v>
      </c>
      <c r="W618" s="14">
        <f t="shared" si="736"/>
        <v>7</v>
      </c>
      <c r="X618" s="14">
        <f>VLOOKUP(W618,[1]Lookups!$P$3:$S$15,2,FALSE)</f>
        <v>3</v>
      </c>
      <c r="Y618" s="16">
        <f>VLOOKUP(W618,[1]Lookups!$P$3:$U$15,3,FALSE)</f>
        <v>2</v>
      </c>
      <c r="Z618" s="16">
        <f t="shared" si="737"/>
        <v>1</v>
      </c>
      <c r="AA618" s="16" t="str">
        <f t="shared" ca="1" si="836"/>
        <v>Seedstars</v>
      </c>
      <c r="AB618" s="16">
        <f t="shared" si="836"/>
        <v>0</v>
      </c>
      <c r="AC618" s="16">
        <f t="shared" si="836"/>
        <v>0</v>
      </c>
      <c r="AD618" s="16">
        <f t="shared" si="836"/>
        <v>0</v>
      </c>
      <c r="AE618" s="16">
        <f t="shared" si="836"/>
        <v>0</v>
      </c>
      <c r="AF618" s="16">
        <f t="shared" si="836"/>
        <v>0</v>
      </c>
      <c r="AG618" s="16">
        <f t="shared" si="836"/>
        <v>0</v>
      </c>
      <c r="AH618" s="16">
        <f t="shared" si="836"/>
        <v>0</v>
      </c>
      <c r="AI618" s="16">
        <f t="shared" si="836"/>
        <v>0</v>
      </c>
      <c r="AJ618" s="16">
        <f t="shared" si="836"/>
        <v>0</v>
      </c>
      <c r="AK618" s="16">
        <f t="shared" si="836"/>
        <v>0</v>
      </c>
      <c r="AL618" s="16">
        <f t="shared" si="836"/>
        <v>0</v>
      </c>
      <c r="AM618" s="16">
        <f t="shared" si="836"/>
        <v>0</v>
      </c>
      <c r="AN618" s="16">
        <f t="shared" si="836"/>
        <v>0</v>
      </c>
      <c r="AO618" s="16">
        <f t="shared" si="836"/>
        <v>0</v>
      </c>
      <c r="AP618" s="10"/>
      <c r="AQ618" s="10"/>
      <c r="AR618" s="10"/>
      <c r="AS618" s="10" t="str">
        <f t="shared" ref="AS618" ca="1" si="850">IFERROR(__xludf.DUMMYFUNCTION("split(F479,"","",true,true)"),"Seedstars")</f>
        <v>Seedstars</v>
      </c>
      <c r="AT618" s="10"/>
      <c r="AU618" s="10"/>
      <c r="AV618" s="10"/>
      <c r="AW618" s="10"/>
      <c r="AX618" s="10"/>
      <c r="AY618" s="10"/>
      <c r="AZ618" s="10"/>
      <c r="BA618" s="10"/>
      <c r="BB618" s="10"/>
      <c r="BC618" s="10"/>
      <c r="BD618" s="10"/>
      <c r="BE618" s="10"/>
      <c r="BF618" s="10"/>
      <c r="BG618" s="10"/>
      <c r="BH618" s="10"/>
      <c r="BI618" s="10"/>
      <c r="BJ618" s="10"/>
      <c r="BK618" s="10"/>
      <c r="BM618" s="10"/>
    </row>
    <row r="619" spans="1:65" ht="12.75">
      <c r="A619" s="18">
        <v>43300</v>
      </c>
      <c r="B619" s="14" t="s">
        <v>172</v>
      </c>
      <c r="C619" s="19">
        <v>125000</v>
      </c>
      <c r="D619" s="19"/>
      <c r="E619" s="14" t="s">
        <v>55</v>
      </c>
      <c r="F619" s="14" t="s">
        <v>1379</v>
      </c>
      <c r="G619" s="27" t="s">
        <v>1380</v>
      </c>
      <c r="H619" s="14" t="str">
        <f t="array" ref="H619">IFERROR(INDEX([1]Companies!$G:$G,MATCH(B619,[1]Companies!$A:$A,0)),"")</f>
        <v>Rwanda</v>
      </c>
      <c r="I619" s="14" t="str">
        <f t="shared" si="694"/>
        <v>Rwanda</v>
      </c>
      <c r="J619" s="14" t="str">
        <f t="array" ref="J619">IFERROR(INDEX([1]Companies!$Y:$Y,MATCH(B619,[1]Companies!$A:$A,0)),"")</f>
        <v>Automotive, Electric Vehicle, Emerging Markets, Transportation</v>
      </c>
      <c r="K619" s="14" t="str">
        <f t="array" ref="K619">IFERROR(INDEX([1]Companies!$X:$X,MATCH(B619,[1]Companies!$A:$A,0)),"")</f>
        <v>Automotive</v>
      </c>
      <c r="L619" s="14" t="str">
        <f>VLOOKUP(B619,[1]Companies!$A$1:$C$5243,1,FALSE)</f>
        <v>Ampersand Electric Motorcycles</v>
      </c>
      <c r="M619" s="15">
        <f t="shared" si="695"/>
        <v>0.9</v>
      </c>
      <c r="N619" s="10" t="str">
        <f t="shared" si="696"/>
        <v>43300Ampersand Electric Motorcycles125000</v>
      </c>
      <c r="O619" s="14" t="str">
        <f t="shared" si="697"/>
        <v/>
      </c>
      <c r="P619" s="14">
        <f t="shared" si="698"/>
        <v>1</v>
      </c>
      <c r="Q619" s="14">
        <f t="array" ref="Q619">IFERROR(INDEX([1]Companies!$D:$D,MATCH(B619,[1]Companies!$A:$A,0)),"")</f>
        <v>2014</v>
      </c>
      <c r="R619" s="17">
        <f t="shared" si="699"/>
        <v>905400</v>
      </c>
      <c r="S619" s="14">
        <f>VLOOKUP(I619,[1]Lookups!$V$3:$Y$197,4,FALSE)</f>
        <v>0</v>
      </c>
      <c r="T619" s="14" t="str">
        <f>VLOOKUP(E619,[1]Lookups!$H$3:$I$71,2,FALSE)</f>
        <v>1. Grant</v>
      </c>
      <c r="U619" s="14" t="str">
        <f>VLOOKUP(K619,[1]Lookups!$B$3:$C$142,2,FALSE)</f>
        <v>Emerging Technologies</v>
      </c>
      <c r="V619" s="14">
        <f t="shared" si="735"/>
        <v>2018</v>
      </c>
      <c r="W619" s="14">
        <f t="shared" si="736"/>
        <v>7</v>
      </c>
      <c r="X619" s="14">
        <f>VLOOKUP(W619,[1]Lookups!$P$3:$S$15,2,FALSE)</f>
        <v>3</v>
      </c>
      <c r="Y619" s="16">
        <f>VLOOKUP(W619,[1]Lookups!$P$3:$U$15,3,FALSE)</f>
        <v>2</v>
      </c>
      <c r="Z619" s="16">
        <f t="shared" si="737"/>
        <v>1</v>
      </c>
      <c r="AA619" s="16" t="str">
        <f t="shared" ca="1" si="836"/>
        <v>Seedstars</v>
      </c>
      <c r="AB619" s="16">
        <f t="shared" si="836"/>
        <v>0</v>
      </c>
      <c r="AC619" s="16">
        <f t="shared" si="836"/>
        <v>0</v>
      </c>
      <c r="AD619" s="16">
        <f t="shared" si="836"/>
        <v>0</v>
      </c>
      <c r="AE619" s="16">
        <f t="shared" si="836"/>
        <v>0</v>
      </c>
      <c r="AF619" s="16">
        <f t="shared" si="836"/>
        <v>0</v>
      </c>
      <c r="AG619" s="16">
        <f t="shared" si="836"/>
        <v>0</v>
      </c>
      <c r="AH619" s="16">
        <f t="shared" si="836"/>
        <v>0</v>
      </c>
      <c r="AI619" s="16">
        <f t="shared" si="836"/>
        <v>0</v>
      </c>
      <c r="AJ619" s="16">
        <f t="shared" si="836"/>
        <v>0</v>
      </c>
      <c r="AK619" s="16">
        <f t="shared" si="836"/>
        <v>0</v>
      </c>
      <c r="AL619" s="16">
        <f t="shared" si="836"/>
        <v>0</v>
      </c>
      <c r="AM619" s="16">
        <f t="shared" si="836"/>
        <v>0</v>
      </c>
      <c r="AN619" s="16">
        <f t="shared" si="836"/>
        <v>0</v>
      </c>
      <c r="AO619" s="16">
        <f t="shared" si="836"/>
        <v>0</v>
      </c>
      <c r="AP619" s="10"/>
      <c r="AQ619" s="10"/>
      <c r="AR619" s="10"/>
      <c r="AS619" s="10" t="str">
        <f t="shared" ref="AS619" ca="1" si="851">IFERROR(__xludf.DUMMYFUNCTION("split(F479,"","",true,true)"),"Seedstars")</f>
        <v>Seedstars</v>
      </c>
      <c r="AT619" s="10"/>
      <c r="AU619" s="10"/>
      <c r="AV619" s="10"/>
      <c r="AW619" s="10"/>
      <c r="AX619" s="10"/>
      <c r="AY619" s="10"/>
      <c r="AZ619" s="10"/>
      <c r="BA619" s="10"/>
      <c r="BB619" s="10"/>
      <c r="BC619" s="10"/>
      <c r="BD619" s="10"/>
      <c r="BE619" s="10"/>
      <c r="BF619" s="10"/>
      <c r="BG619" s="10"/>
      <c r="BH619" s="10"/>
      <c r="BI619" s="10"/>
      <c r="BJ619" s="10"/>
      <c r="BK619" s="10"/>
      <c r="BM619" s="10"/>
    </row>
    <row r="620" spans="1:65" ht="12.75">
      <c r="A620" s="18">
        <v>43304</v>
      </c>
      <c r="B620" s="14" t="s">
        <v>1381</v>
      </c>
      <c r="C620" s="19" t="s">
        <v>49</v>
      </c>
      <c r="D620" s="19"/>
      <c r="E620" s="10" t="s">
        <v>653</v>
      </c>
      <c r="F620" s="14" t="s">
        <v>1382</v>
      </c>
      <c r="G620" s="27" t="s">
        <v>1383</v>
      </c>
      <c r="H620" s="14" t="str">
        <f t="array" ref="H620">IFERROR(INDEX([1]Companies!$G:$G,MATCH(B620,[1]Companies!$A:$A,0)),"")</f>
        <v>Kenya</v>
      </c>
      <c r="I620" s="14" t="str">
        <f t="shared" si="694"/>
        <v>Kenya</v>
      </c>
      <c r="J620" s="14" t="str">
        <f t="array" ref="J620">IFERROR(INDEX([1]Companies!$Y:$Y,MATCH(B620,[1]Companies!$A:$A,0)),"")</f>
        <v>Agriculture, Farming, Solar</v>
      </c>
      <c r="K620" s="14" t="str">
        <f t="array" ref="K620">IFERROR(INDEX([1]Companies!$X:$X,MATCH(B620,[1]Companies!$A:$A,0)),"")</f>
        <v>Agriculture</v>
      </c>
      <c r="L620" s="14" t="str">
        <f>VLOOKUP(B620,[1]Companies!$A$1:$C$5243,1,FALSE)</f>
        <v>SunCulture</v>
      </c>
      <c r="M620" s="15">
        <f t="shared" si="695"/>
        <v>0.9</v>
      </c>
      <c r="N620" s="10" t="str">
        <f t="shared" si="696"/>
        <v>43304SunCultureUndisclosed</v>
      </c>
      <c r="O620" s="14" t="str">
        <f t="shared" si="697"/>
        <v/>
      </c>
      <c r="P620" s="14">
        <f t="shared" si="698"/>
        <v>0</v>
      </c>
      <c r="Q620" s="14">
        <f t="array" ref="Q620">IFERROR(INDEX([1]Companies!$D:$D,MATCH(B620,[1]Companies!$A:$A,0)),"")</f>
        <v>2012</v>
      </c>
      <c r="R620" s="17">
        <f t="shared" si="699"/>
        <v>0</v>
      </c>
      <c r="S620" s="14">
        <f>VLOOKUP(I620,[1]Lookups!$V$3:$Y$197,4,FALSE)</f>
        <v>0</v>
      </c>
      <c r="T620" s="14" t="str">
        <f>VLOOKUP(E620,[1]Lookups!$H$3:$I$71,2,FALSE)</f>
        <v>4. Late Venture</v>
      </c>
      <c r="U620" s="14" t="str">
        <f>VLOOKUP(K620,[1]Lookups!$B$3:$C$142,2,FALSE)</f>
        <v>Agriculture</v>
      </c>
      <c r="V620" s="14">
        <f t="shared" si="735"/>
        <v>2018</v>
      </c>
      <c r="W620" s="14">
        <f t="shared" si="736"/>
        <v>7</v>
      </c>
      <c r="X620" s="14">
        <f>VLOOKUP(W620,[1]Lookups!$P$3:$S$15,2,FALSE)</f>
        <v>3</v>
      </c>
      <c r="Y620" s="16">
        <f>VLOOKUP(W620,[1]Lookups!$P$3:$U$15,3,FALSE)</f>
        <v>2</v>
      </c>
      <c r="Z620" s="16">
        <f t="shared" si="737"/>
        <v>3</v>
      </c>
      <c r="AA620" s="16" t="str">
        <f t="shared" ca="1" si="836"/>
        <v>Seedstars</v>
      </c>
      <c r="AB620" s="16" t="str">
        <f t="shared" ca="1" si="836"/>
        <v xml:space="preserve"> Energy Access Ventures</v>
      </c>
      <c r="AC620" s="16" t="str">
        <f t="shared" ca="1" si="836"/>
        <v xml:space="preserve"> Partners Group</v>
      </c>
      <c r="AD620" s="16">
        <f t="shared" si="836"/>
        <v>0</v>
      </c>
      <c r="AE620" s="16">
        <f t="shared" si="836"/>
        <v>0</v>
      </c>
      <c r="AF620" s="16">
        <f t="shared" si="836"/>
        <v>0</v>
      </c>
      <c r="AG620" s="16">
        <f t="shared" si="836"/>
        <v>0</v>
      </c>
      <c r="AH620" s="16">
        <f t="shared" si="836"/>
        <v>0</v>
      </c>
      <c r="AI620" s="16">
        <f t="shared" si="836"/>
        <v>0</v>
      </c>
      <c r="AJ620" s="16">
        <f t="shared" si="836"/>
        <v>0</v>
      </c>
      <c r="AK620" s="16">
        <f t="shared" si="836"/>
        <v>0</v>
      </c>
      <c r="AL620" s="16">
        <f t="shared" si="836"/>
        <v>0</v>
      </c>
      <c r="AM620" s="16">
        <f t="shared" si="836"/>
        <v>0</v>
      </c>
      <c r="AN620" s="16">
        <f t="shared" si="836"/>
        <v>0</v>
      </c>
      <c r="AO620" s="16">
        <f t="shared" si="836"/>
        <v>0</v>
      </c>
      <c r="AP620" s="10"/>
      <c r="AQ620" s="10"/>
      <c r="AR620" s="10"/>
      <c r="AS620" s="10" t="str">
        <f t="shared" ref="AS620" ca="1" si="852">IFERROR(__xludf.DUMMYFUNCTION("split(F479,"","",true,true)"),"Seedstars")</f>
        <v>Seedstars</v>
      </c>
      <c r="AT620" s="10" t="str">
        <f ca="1">IFERROR(__xludf.DUMMYFUNCTION("""COMPUTED_VALUE""")," Energy Access Ventures")</f>
        <v xml:space="preserve"> Energy Access Ventures</v>
      </c>
      <c r="AU620" s="10" t="str">
        <f ca="1">IFERROR(__xludf.DUMMYFUNCTION("""COMPUTED_VALUE""")," Partners Group")</f>
        <v xml:space="preserve"> Partners Group</v>
      </c>
      <c r="AV620" s="10"/>
      <c r="AW620" s="10"/>
      <c r="AX620" s="10"/>
      <c r="AY620" s="10"/>
      <c r="AZ620" s="10"/>
      <c r="BA620" s="10"/>
      <c r="BB620" s="10"/>
      <c r="BC620" s="10"/>
      <c r="BD620" s="10"/>
      <c r="BE620" s="10"/>
      <c r="BF620" s="10"/>
      <c r="BG620" s="10"/>
      <c r="BH620" s="10"/>
      <c r="BI620" s="10"/>
      <c r="BJ620" s="10"/>
      <c r="BK620" s="10"/>
      <c r="BM620" s="10"/>
    </row>
    <row r="621" spans="1:65" ht="12.75">
      <c r="A621" s="18">
        <v>43304</v>
      </c>
      <c r="B621" s="14" t="s">
        <v>1384</v>
      </c>
      <c r="C621" s="19">
        <v>627000</v>
      </c>
      <c r="D621" s="19"/>
      <c r="E621" s="14" t="s">
        <v>45</v>
      </c>
      <c r="F621" s="14" t="s">
        <v>1385</v>
      </c>
      <c r="G621" s="27" t="s">
        <v>1386</v>
      </c>
      <c r="H621" s="14" t="str">
        <f t="array" ref="H621">IFERROR(INDEX([1]Companies!$G:$G,MATCH(B621,[1]Companies!$A:$A,0)),"")</f>
        <v>Kenya</v>
      </c>
      <c r="I621" s="14" t="str">
        <f t="shared" si="694"/>
        <v>Kenya</v>
      </c>
      <c r="J621" s="14" t="str">
        <f t="array" ref="J621">IFERROR(INDEX([1]Companies!$Y:$Y,MATCH(B621,[1]Companies!$A:$A,0)),"")</f>
        <v>AgTech, FinTech, agribusiness</v>
      </c>
      <c r="K621" s="14" t="str">
        <f t="array" ref="K621">IFERROR(INDEX([1]Companies!$X:$X,MATCH(B621,[1]Companies!$A:$A,0)),"")</f>
        <v>Financial Services</v>
      </c>
      <c r="L621" s="14" t="str">
        <f>VLOOKUP(B621,[1]Companies!$A$1:$C$5243,1,FALSE)</f>
        <v>Tulaa</v>
      </c>
      <c r="M621" s="15">
        <f t="shared" si="695"/>
        <v>0.9</v>
      </c>
      <c r="N621" s="10" t="str">
        <f t="shared" si="696"/>
        <v>43304Tulaa627000</v>
      </c>
      <c r="O621" s="14" t="str">
        <f t="shared" si="697"/>
        <v/>
      </c>
      <c r="P621" s="14">
        <f t="shared" si="698"/>
        <v>1</v>
      </c>
      <c r="Q621" s="14">
        <f t="array" ref="Q621">IFERROR(INDEX([1]Companies!$D:$D,MATCH(B621,[1]Companies!$A:$A,0)),"")</f>
        <v>2016</v>
      </c>
      <c r="R621" s="17">
        <f t="shared" si="699"/>
        <v>657000</v>
      </c>
      <c r="S621" s="14">
        <f>VLOOKUP(I621,[1]Lookups!$V$3:$Y$197,4,FALSE)</f>
        <v>0</v>
      </c>
      <c r="T621" s="14" t="str">
        <f>VLOOKUP(E621,[1]Lookups!$H$3:$I$71,2,FALSE)</f>
        <v>2. Seed</v>
      </c>
      <c r="U621" s="14" t="str">
        <f>VLOOKUP(K621,[1]Lookups!$B$3:$C$142,2,FALSE)</f>
        <v>Financial Services</v>
      </c>
      <c r="V621" s="14">
        <f t="shared" si="735"/>
        <v>2018</v>
      </c>
      <c r="W621" s="14">
        <f t="shared" si="736"/>
        <v>7</v>
      </c>
      <c r="X621" s="14">
        <f>VLOOKUP(W621,[1]Lookups!$P$3:$S$15,2,FALSE)</f>
        <v>3</v>
      </c>
      <c r="Y621" s="16">
        <f>VLOOKUP(W621,[1]Lookups!$P$3:$U$15,3,FALSE)</f>
        <v>2</v>
      </c>
      <c r="Z621" s="16">
        <f t="shared" si="737"/>
        <v>1</v>
      </c>
      <c r="AA621" s="16" t="str">
        <f t="shared" ref="AA621:AO636" ca="1" si="853">AS621</f>
        <v>Seedstars</v>
      </c>
      <c r="AB621" s="16">
        <f t="shared" si="853"/>
        <v>0</v>
      </c>
      <c r="AC621" s="16">
        <f t="shared" si="853"/>
        <v>0</v>
      </c>
      <c r="AD621" s="16">
        <f t="shared" si="853"/>
        <v>0</v>
      </c>
      <c r="AE621" s="16">
        <f t="shared" si="853"/>
        <v>0</v>
      </c>
      <c r="AF621" s="16">
        <f t="shared" si="853"/>
        <v>0</v>
      </c>
      <c r="AG621" s="16">
        <f t="shared" si="853"/>
        <v>0</v>
      </c>
      <c r="AH621" s="16">
        <f t="shared" si="853"/>
        <v>0</v>
      </c>
      <c r="AI621" s="16">
        <f t="shared" si="853"/>
        <v>0</v>
      </c>
      <c r="AJ621" s="16">
        <f t="shared" si="853"/>
        <v>0</v>
      </c>
      <c r="AK621" s="16">
        <f t="shared" si="853"/>
        <v>0</v>
      </c>
      <c r="AL621" s="16">
        <f t="shared" si="853"/>
        <v>0</v>
      </c>
      <c r="AM621" s="16">
        <f t="shared" si="853"/>
        <v>0</v>
      </c>
      <c r="AN621" s="16">
        <f t="shared" si="853"/>
        <v>0</v>
      </c>
      <c r="AO621" s="16">
        <f t="shared" si="853"/>
        <v>0</v>
      </c>
      <c r="AP621" s="10"/>
      <c r="AQ621" s="10"/>
      <c r="AR621" s="10"/>
      <c r="AS621" s="10" t="str">
        <f t="shared" ref="AS621" ca="1" si="854">IFERROR(__xludf.DUMMYFUNCTION("split(F479,"","",true,true)"),"Seedstars")</f>
        <v>Seedstars</v>
      </c>
      <c r="AT621" s="10"/>
      <c r="AU621" s="10"/>
      <c r="AV621" s="10"/>
      <c r="AW621" s="10"/>
      <c r="AX621" s="10"/>
      <c r="AY621" s="10"/>
      <c r="AZ621" s="10"/>
      <c r="BA621" s="10"/>
      <c r="BB621" s="10"/>
      <c r="BC621" s="10"/>
      <c r="BD621" s="10"/>
      <c r="BE621" s="10"/>
      <c r="BF621" s="10"/>
      <c r="BG621" s="10"/>
      <c r="BH621" s="10"/>
      <c r="BI621" s="10"/>
      <c r="BJ621" s="10"/>
      <c r="BK621" s="10"/>
      <c r="BM621" s="10"/>
    </row>
    <row r="622" spans="1:65" ht="12.75">
      <c r="A622" s="18">
        <v>43307</v>
      </c>
      <c r="B622" s="14" t="s">
        <v>454</v>
      </c>
      <c r="C622" s="19">
        <v>2000000</v>
      </c>
      <c r="D622" s="19"/>
      <c r="E622" s="14" t="s">
        <v>45</v>
      </c>
      <c r="F622" s="14" t="s">
        <v>1387</v>
      </c>
      <c r="G622" s="27" t="s">
        <v>1388</v>
      </c>
      <c r="H622" s="14" t="str">
        <f t="array" ref="H622">IFERROR(INDEX([1]Companies!$G:$G,MATCH(B622,[1]Companies!$A:$A,0)),"")</f>
        <v>Kenya</v>
      </c>
      <c r="I622" s="14" t="str">
        <f t="shared" si="694"/>
        <v>Kenya</v>
      </c>
      <c r="J622" s="14" t="str">
        <f t="array" ref="J622">IFERROR(INDEX([1]Companies!$Y:$Y,MATCH(B622,[1]Companies!$A:$A,0)),"")</f>
        <v>Distribution, Data, Emerging Markets, Logistics, and E-Commerce</v>
      </c>
      <c r="K622" s="14" t="str">
        <f t="array" ref="K622">IFERROR(INDEX([1]Companies!$X:$X,MATCH(B622,[1]Companies!$A:$A,0)),"")</f>
        <v>Transport &amp; Logistics</v>
      </c>
      <c r="L622" s="14" t="str">
        <f>VLOOKUP(B622,[1]Companies!$A$1:$C$5243,1,FALSE)</f>
        <v>Sokowatch</v>
      </c>
      <c r="M622" s="15">
        <f t="shared" si="695"/>
        <v>0.9</v>
      </c>
      <c r="N622" s="10" t="str">
        <f t="shared" si="696"/>
        <v>43307Sokowatch2000000</v>
      </c>
      <c r="O622" s="14" t="str">
        <f t="shared" si="697"/>
        <v/>
      </c>
      <c r="P622" s="14">
        <f t="shared" si="698"/>
        <v>1</v>
      </c>
      <c r="Q622" s="14">
        <f t="array" ref="Q622">IFERROR(INDEX([1]Companies!$D:$D,MATCH(B622,[1]Companies!$A:$A,0)),"")</f>
        <v>2015</v>
      </c>
      <c r="R622" s="17">
        <f t="shared" si="699"/>
        <v>4500000</v>
      </c>
      <c r="S622" s="14">
        <f>VLOOKUP(I622,[1]Lookups!$V$3:$Y$197,4,FALSE)</f>
        <v>0</v>
      </c>
      <c r="T622" s="14" t="str">
        <f>VLOOKUP(E622,[1]Lookups!$H$3:$I$71,2,FALSE)</f>
        <v>2. Seed</v>
      </c>
      <c r="U622" s="14" t="str">
        <f>VLOOKUP(K622,[1]Lookups!$B$3:$C$142,2,FALSE)</f>
        <v>Transport &amp; Logistics</v>
      </c>
      <c r="V622" s="14">
        <f t="shared" si="735"/>
        <v>2018</v>
      </c>
      <c r="W622" s="14">
        <f t="shared" si="736"/>
        <v>7</v>
      </c>
      <c r="X622" s="14">
        <f>VLOOKUP(W622,[1]Lookups!$P$3:$S$15,2,FALSE)</f>
        <v>3</v>
      </c>
      <c r="Y622" s="16">
        <f>VLOOKUP(W622,[1]Lookups!$P$3:$U$15,3,FALSE)</f>
        <v>2</v>
      </c>
      <c r="Z622" s="16">
        <f t="shared" si="737"/>
        <v>6</v>
      </c>
      <c r="AA622" s="16" t="str">
        <f t="shared" ca="1" si="853"/>
        <v>Seedstars</v>
      </c>
      <c r="AB622" s="16" t="str">
        <f t="shared" ca="1" si="853"/>
        <v xml:space="preserve"> Village Global</v>
      </c>
      <c r="AC622" s="16" t="str">
        <f t="shared" ca="1" si="853"/>
        <v xml:space="preserve"> Lynett Capital</v>
      </c>
      <c r="AD622" s="16" t="str">
        <f t="shared" ca="1" si="853"/>
        <v xml:space="preserve"> Golden</v>
      </c>
      <c r="AE622" s="16" t="str">
        <f t="shared" ca="1" si="853"/>
        <v xml:space="preserve"> Palm Investments</v>
      </c>
      <c r="AF622" s="16" t="str">
        <f t="shared" ca="1" si="853"/>
        <v xml:space="preserve"> Outlierz Ventures</v>
      </c>
      <c r="AG622" s="16">
        <f t="shared" si="853"/>
        <v>0</v>
      </c>
      <c r="AH622" s="16">
        <f t="shared" si="853"/>
        <v>0</v>
      </c>
      <c r="AI622" s="16">
        <f t="shared" si="853"/>
        <v>0</v>
      </c>
      <c r="AJ622" s="16">
        <f t="shared" si="853"/>
        <v>0</v>
      </c>
      <c r="AK622" s="16">
        <f t="shared" si="853"/>
        <v>0</v>
      </c>
      <c r="AL622" s="16">
        <f t="shared" si="853"/>
        <v>0</v>
      </c>
      <c r="AM622" s="16">
        <f t="shared" si="853"/>
        <v>0</v>
      </c>
      <c r="AN622" s="16">
        <f t="shared" si="853"/>
        <v>0</v>
      </c>
      <c r="AO622" s="16">
        <f t="shared" si="853"/>
        <v>0</v>
      </c>
      <c r="AP622" s="10"/>
      <c r="AQ622" s="10"/>
      <c r="AR622" s="10"/>
      <c r="AS622" s="10" t="str">
        <f t="shared" ref="AS622" ca="1" si="855">IFERROR(__xludf.DUMMYFUNCTION("split(F479,"","",true,true)"),"Seedstars")</f>
        <v>Seedstars</v>
      </c>
      <c r="AT622" s="10" t="str">
        <f ca="1">IFERROR(__xludf.DUMMYFUNCTION("""COMPUTED_VALUE""")," Village Global")</f>
        <v xml:space="preserve"> Village Global</v>
      </c>
      <c r="AU622" s="10" t="str">
        <f ca="1">IFERROR(__xludf.DUMMYFUNCTION("""COMPUTED_VALUE""")," Lynett Capital")</f>
        <v xml:space="preserve"> Lynett Capital</v>
      </c>
      <c r="AV622" s="10" t="str">
        <f ca="1">IFERROR(__xludf.DUMMYFUNCTION("""COMPUTED_VALUE""")," Golden")</f>
        <v xml:space="preserve"> Golden</v>
      </c>
      <c r="AW622" s="10" t="str">
        <f ca="1">IFERROR(__xludf.DUMMYFUNCTION("""COMPUTED_VALUE""")," Palm Investments")</f>
        <v xml:space="preserve"> Palm Investments</v>
      </c>
      <c r="AX622" s="10" t="str">
        <f ca="1">IFERROR(__xludf.DUMMYFUNCTION("""COMPUTED_VALUE""")," Outlierz Ventures")</f>
        <v xml:space="preserve"> Outlierz Ventures</v>
      </c>
      <c r="AY622" s="10"/>
      <c r="AZ622" s="10"/>
      <c r="BA622" s="10"/>
      <c r="BB622" s="10"/>
      <c r="BC622" s="10"/>
      <c r="BD622" s="10"/>
      <c r="BE622" s="10"/>
      <c r="BF622" s="10"/>
      <c r="BG622" s="10"/>
      <c r="BH622" s="10"/>
      <c r="BI622" s="10"/>
      <c r="BJ622" s="10"/>
      <c r="BK622" s="10"/>
      <c r="BM622" s="10"/>
    </row>
    <row r="623" spans="1:65" ht="12.75">
      <c r="A623" s="18">
        <v>43307</v>
      </c>
      <c r="B623" s="14" t="s">
        <v>1389</v>
      </c>
      <c r="C623" s="19">
        <v>50000</v>
      </c>
      <c r="D623" s="19"/>
      <c r="E623" s="14" t="s">
        <v>55</v>
      </c>
      <c r="F623" s="14" t="s">
        <v>1390</v>
      </c>
      <c r="G623" s="27" t="s">
        <v>1391</v>
      </c>
      <c r="H623" s="14" t="str">
        <f t="array" ref="H623">IFERROR(INDEX([1]Companies!$G:$G,MATCH(B623,[1]Companies!$A:$A,0)),"")</f>
        <v>Kenya</v>
      </c>
      <c r="I623" s="14" t="str">
        <f t="shared" si="694"/>
        <v>Kenya</v>
      </c>
      <c r="J623" s="14" t="str">
        <f t="array" ref="J623">IFERROR(INDEX([1]Companies!$Y:$Y,MATCH(B623,[1]Companies!$A:$A,0)),"")</f>
        <v>Financial Technology and E-Commerce</v>
      </c>
      <c r="K623" s="14" t="str">
        <f t="array" ref="K623">IFERROR(INDEX([1]Companies!$X:$X,MATCH(B623,[1]Companies!$A:$A,0)),"")</f>
        <v>Financial Services</v>
      </c>
      <c r="L623" s="14" t="str">
        <f>VLOOKUP(B623,[1]Companies!$A$1:$C$5243,1,FALSE)</f>
        <v>Mookh Africa</v>
      </c>
      <c r="M623" s="15">
        <f t="shared" si="695"/>
        <v>0.9</v>
      </c>
      <c r="N623" s="10" t="str">
        <f t="shared" si="696"/>
        <v>43307Mookh Africa50000</v>
      </c>
      <c r="O623" s="14" t="str">
        <f t="shared" si="697"/>
        <v/>
      </c>
      <c r="P623" s="14">
        <f t="shared" si="698"/>
        <v>1</v>
      </c>
      <c r="Q623" s="14">
        <f t="array" ref="Q623">IFERROR(INDEX([1]Companies!$D:$D,MATCH(B623,[1]Companies!$A:$A,0)),"")</f>
        <v>2015</v>
      </c>
      <c r="R623" s="17">
        <f t="shared" si="699"/>
        <v>50000</v>
      </c>
      <c r="S623" s="14">
        <f>VLOOKUP(I623,[1]Lookups!$V$3:$Y$197,4,FALSE)</f>
        <v>0</v>
      </c>
      <c r="T623" s="14" t="str">
        <f>VLOOKUP(E623,[1]Lookups!$H$3:$I$71,2,FALSE)</f>
        <v>1. Grant</v>
      </c>
      <c r="U623" s="14" t="str">
        <f>VLOOKUP(K623,[1]Lookups!$B$3:$C$142,2,FALSE)</f>
        <v>Financial Services</v>
      </c>
      <c r="V623" s="14">
        <f t="shared" si="735"/>
        <v>2018</v>
      </c>
      <c r="W623" s="14">
        <f t="shared" si="736"/>
        <v>7</v>
      </c>
      <c r="X623" s="14">
        <f>VLOOKUP(W623,[1]Lookups!$P$3:$S$15,2,FALSE)</f>
        <v>3</v>
      </c>
      <c r="Y623" s="16">
        <f>VLOOKUP(W623,[1]Lookups!$P$3:$U$15,3,FALSE)</f>
        <v>2</v>
      </c>
      <c r="Z623" s="16">
        <f t="shared" si="737"/>
        <v>1</v>
      </c>
      <c r="AA623" s="16" t="str">
        <f t="shared" ca="1" si="853"/>
        <v>Seedstars</v>
      </c>
      <c r="AB623" s="16">
        <f t="shared" si="853"/>
        <v>0</v>
      </c>
      <c r="AC623" s="16">
        <f t="shared" si="853"/>
        <v>0</v>
      </c>
      <c r="AD623" s="16">
        <f t="shared" si="853"/>
        <v>0</v>
      </c>
      <c r="AE623" s="16">
        <f t="shared" si="853"/>
        <v>0</v>
      </c>
      <c r="AF623" s="16">
        <f t="shared" si="853"/>
        <v>0</v>
      </c>
      <c r="AG623" s="16">
        <f t="shared" si="853"/>
        <v>0</v>
      </c>
      <c r="AH623" s="16">
        <f t="shared" si="853"/>
        <v>0</v>
      </c>
      <c r="AI623" s="16">
        <f t="shared" si="853"/>
        <v>0</v>
      </c>
      <c r="AJ623" s="16">
        <f t="shared" si="853"/>
        <v>0</v>
      </c>
      <c r="AK623" s="16">
        <f t="shared" si="853"/>
        <v>0</v>
      </c>
      <c r="AL623" s="16">
        <f t="shared" si="853"/>
        <v>0</v>
      </c>
      <c r="AM623" s="16">
        <f t="shared" si="853"/>
        <v>0</v>
      </c>
      <c r="AN623" s="16">
        <f t="shared" si="853"/>
        <v>0</v>
      </c>
      <c r="AO623" s="16">
        <f t="shared" si="853"/>
        <v>0</v>
      </c>
      <c r="AP623" s="10"/>
      <c r="AQ623" s="10"/>
      <c r="AR623" s="10"/>
      <c r="AS623" s="10" t="str">
        <f t="shared" ref="AS623" ca="1" si="856">IFERROR(__xludf.DUMMYFUNCTION("split(F479,"","",true,true)"),"Seedstars")</f>
        <v>Seedstars</v>
      </c>
      <c r="AT623" s="10"/>
      <c r="AU623" s="10"/>
      <c r="AV623" s="10"/>
      <c r="AW623" s="10"/>
      <c r="AX623" s="10"/>
      <c r="AY623" s="10"/>
      <c r="AZ623" s="10"/>
      <c r="BA623" s="10"/>
      <c r="BB623" s="10"/>
      <c r="BC623" s="10"/>
      <c r="BD623" s="10"/>
      <c r="BE623" s="10"/>
      <c r="BF623" s="10"/>
      <c r="BG623" s="10"/>
      <c r="BH623" s="10"/>
      <c r="BI623" s="10"/>
      <c r="BJ623" s="10"/>
      <c r="BK623" s="10"/>
      <c r="BM623" s="10"/>
    </row>
    <row r="624" spans="1:65" ht="12.75">
      <c r="A624" s="18">
        <v>43307</v>
      </c>
      <c r="B624" s="14" t="s">
        <v>1355</v>
      </c>
      <c r="C624" s="19">
        <v>25000</v>
      </c>
      <c r="D624" s="19"/>
      <c r="E624" s="14" t="s">
        <v>55</v>
      </c>
      <c r="F624" s="14" t="s">
        <v>1392</v>
      </c>
      <c r="G624" s="27" t="s">
        <v>1393</v>
      </c>
      <c r="H624" s="14" t="str">
        <f t="array" ref="H624">IFERROR(INDEX([1]Companies!$G:$G,MATCH(B624,[1]Companies!$A:$A,0)),"")</f>
        <v>Nigeria</v>
      </c>
      <c r="I624" s="14" t="str">
        <f t="shared" si="694"/>
        <v>Nigeria</v>
      </c>
      <c r="J624" s="14" t="str">
        <f t="array" ref="J624">IFERROR(INDEX([1]Companies!$Y:$Y,MATCH(B624,[1]Companies!$A:$A,0)),"")</f>
        <v>Fintech, Consumer financing, Credit scoring</v>
      </c>
      <c r="K624" s="14" t="str">
        <f t="array" ref="K624">IFERROR(INDEX([1]Companies!$X:$X,MATCH(B624,[1]Companies!$A:$A,0)),"")</f>
        <v>Financial Services</v>
      </c>
      <c r="L624" s="14" t="str">
        <f>VLOOKUP(B624,[1]Companies!$A$1:$C$5243,1,FALSE)</f>
        <v>Credpal</v>
      </c>
      <c r="M624" s="15">
        <f t="shared" si="695"/>
        <v>0.9</v>
      </c>
      <c r="N624" s="10" t="str">
        <f t="shared" si="696"/>
        <v>43307CredPal25000</v>
      </c>
      <c r="O624" s="14" t="str">
        <f t="shared" si="697"/>
        <v/>
      </c>
      <c r="P624" s="14">
        <f t="shared" si="698"/>
        <v>1</v>
      </c>
      <c r="Q624" s="14">
        <f t="array" ref="Q624">IFERROR(INDEX([1]Companies!$D:$D,MATCH(B624,[1]Companies!$A:$A,0)),"")</f>
        <v>2017</v>
      </c>
      <c r="R624" s="17">
        <f t="shared" si="699"/>
        <v>192000</v>
      </c>
      <c r="S624" s="14">
        <f>VLOOKUP(I624,[1]Lookups!$V$3:$Y$197,4,FALSE)</f>
        <v>0</v>
      </c>
      <c r="T624" s="14" t="str">
        <f>VLOOKUP(E624,[1]Lookups!$H$3:$I$71,2,FALSE)</f>
        <v>1. Grant</v>
      </c>
      <c r="U624" s="14" t="str">
        <f>VLOOKUP(K624,[1]Lookups!$B$3:$C$142,2,FALSE)</f>
        <v>Financial Services</v>
      </c>
      <c r="V624" s="14">
        <f t="shared" si="735"/>
        <v>2018</v>
      </c>
      <c r="W624" s="14">
        <f t="shared" si="736"/>
        <v>7</v>
      </c>
      <c r="X624" s="14">
        <f>VLOOKUP(W624,[1]Lookups!$P$3:$S$15,2,FALSE)</f>
        <v>3</v>
      </c>
      <c r="Y624" s="16">
        <f>VLOOKUP(W624,[1]Lookups!$P$3:$U$15,3,FALSE)</f>
        <v>2</v>
      </c>
      <c r="Z624" s="16">
        <f t="shared" si="737"/>
        <v>1</v>
      </c>
      <c r="AA624" s="16" t="str">
        <f t="shared" ca="1" si="853"/>
        <v>Seedstars</v>
      </c>
      <c r="AB624" s="16">
        <f t="shared" si="853"/>
        <v>0</v>
      </c>
      <c r="AC624" s="16">
        <f t="shared" si="853"/>
        <v>0</v>
      </c>
      <c r="AD624" s="16">
        <f t="shared" si="853"/>
        <v>0</v>
      </c>
      <c r="AE624" s="16">
        <f t="shared" si="853"/>
        <v>0</v>
      </c>
      <c r="AF624" s="16">
        <f t="shared" si="853"/>
        <v>0</v>
      </c>
      <c r="AG624" s="16">
        <f t="shared" si="853"/>
        <v>0</v>
      </c>
      <c r="AH624" s="16">
        <f t="shared" si="853"/>
        <v>0</v>
      </c>
      <c r="AI624" s="16">
        <f t="shared" si="853"/>
        <v>0</v>
      </c>
      <c r="AJ624" s="16">
        <f t="shared" si="853"/>
        <v>0</v>
      </c>
      <c r="AK624" s="16">
        <f t="shared" si="853"/>
        <v>0</v>
      </c>
      <c r="AL624" s="16">
        <f t="shared" si="853"/>
        <v>0</v>
      </c>
      <c r="AM624" s="16">
        <f t="shared" si="853"/>
        <v>0</v>
      </c>
      <c r="AN624" s="16">
        <f t="shared" si="853"/>
        <v>0</v>
      </c>
      <c r="AO624" s="16">
        <f t="shared" si="853"/>
        <v>0</v>
      </c>
      <c r="AP624" s="10"/>
      <c r="AQ624" s="10"/>
      <c r="AR624" s="10"/>
      <c r="AS624" s="10" t="str">
        <f t="shared" ref="AS624" ca="1" si="857">IFERROR(__xludf.DUMMYFUNCTION("split(F479,"","",true,true)"),"Seedstars")</f>
        <v>Seedstars</v>
      </c>
      <c r="AT624" s="10"/>
      <c r="AU624" s="10"/>
      <c r="AV624" s="10"/>
      <c r="AW624" s="10"/>
      <c r="AX624" s="10"/>
      <c r="AY624" s="10"/>
      <c r="AZ624" s="10"/>
      <c r="BA624" s="10"/>
      <c r="BB624" s="10"/>
      <c r="BC624" s="10"/>
      <c r="BD624" s="10"/>
      <c r="BE624" s="10"/>
      <c r="BF624" s="10"/>
      <c r="BG624" s="10"/>
      <c r="BH624" s="10"/>
      <c r="BI624" s="10"/>
      <c r="BJ624" s="10"/>
      <c r="BK624" s="10"/>
      <c r="BM624" s="10"/>
    </row>
    <row r="625" spans="1:65" ht="12.75">
      <c r="A625" s="18">
        <v>43308</v>
      </c>
      <c r="B625" s="14" t="s">
        <v>186</v>
      </c>
      <c r="C625" s="19">
        <v>20000000</v>
      </c>
      <c r="D625" s="19"/>
      <c r="E625" s="10" t="s">
        <v>91</v>
      </c>
      <c r="F625" s="14" t="s">
        <v>437</v>
      </c>
      <c r="G625" s="27" t="s">
        <v>1394</v>
      </c>
      <c r="H625" s="14" t="str">
        <f t="array" ref="H625">IFERROR(INDEX([1]Companies!$G:$G,MATCH(B625,[1]Companies!$A:$A,0)),"")</f>
        <v>Tanzania</v>
      </c>
      <c r="I625" s="14" t="str">
        <f t="shared" si="694"/>
        <v>Tanzania</v>
      </c>
      <c r="J625" s="14" t="str">
        <f t="array" ref="J625">IFERROR(INDEX([1]Companies!$Y:$Y,MATCH(B625,[1]Companies!$A:$A,0)),"")</f>
        <v>Electrical Distribution, Energy, Renewable Energy, Solar</v>
      </c>
      <c r="K625" s="14" t="str">
        <f t="array" ref="K625">IFERROR(INDEX([1]Companies!$X:$X,MATCH(B625,[1]Companies!$A:$A,0)),"")</f>
        <v>Energy &amp; Environment Resources</v>
      </c>
      <c r="L625" s="14" t="str">
        <f>VLOOKUP(B625,[1]Companies!$A$1:$C$5243,1,FALSE)</f>
        <v xml:space="preserve">Zola Electric </v>
      </c>
      <c r="M625" s="15">
        <f t="shared" si="695"/>
        <v>0.9</v>
      </c>
      <c r="N625" s="10" t="str">
        <f t="shared" si="696"/>
        <v>43308Zola Electric 20000000</v>
      </c>
      <c r="O625" s="14" t="str">
        <f t="shared" si="697"/>
        <v/>
      </c>
      <c r="P625" s="14">
        <f t="shared" si="698"/>
        <v>1</v>
      </c>
      <c r="Q625" s="14">
        <f t="array" ref="Q625">IFERROR(INDEX([1]Companies!$D:$D,MATCH(B625,[1]Companies!$A:$A,0)),"")</f>
        <v>2011</v>
      </c>
      <c r="R625" s="17">
        <f t="shared" si="699"/>
        <v>165500000</v>
      </c>
      <c r="S625" s="14">
        <f>VLOOKUP(I625,[1]Lookups!$V$3:$Y$197,4,FALSE)</f>
        <v>0</v>
      </c>
      <c r="T625" s="14" t="str">
        <f>VLOOKUP(E625,[1]Lookups!$H$3:$I$71,2,FALSE)</f>
        <v>5. Debt Financing</v>
      </c>
      <c r="U625" s="14" t="e">
        <f>VLOOKUP(K625,[1]Lookups!$B$3:$C$142,2,FALSE)</f>
        <v>#N/A</v>
      </c>
      <c r="V625" s="14">
        <f t="shared" si="735"/>
        <v>2018</v>
      </c>
      <c r="W625" s="14">
        <f t="shared" si="736"/>
        <v>7</v>
      </c>
      <c r="X625" s="14">
        <f>VLOOKUP(W625,[1]Lookups!$P$3:$S$15,2,FALSE)</f>
        <v>3</v>
      </c>
      <c r="Y625" s="16">
        <f>VLOOKUP(W625,[1]Lookups!$P$3:$U$15,3,FALSE)</f>
        <v>2</v>
      </c>
      <c r="Z625" s="16">
        <f t="shared" si="737"/>
        <v>1</v>
      </c>
      <c r="AA625" s="16" t="str">
        <f t="shared" ca="1" si="853"/>
        <v>Seedstars</v>
      </c>
      <c r="AB625" s="16">
        <f t="shared" si="853"/>
        <v>0</v>
      </c>
      <c r="AC625" s="16">
        <f t="shared" si="853"/>
        <v>0</v>
      </c>
      <c r="AD625" s="16">
        <f t="shared" si="853"/>
        <v>0</v>
      </c>
      <c r="AE625" s="16">
        <f t="shared" si="853"/>
        <v>0</v>
      </c>
      <c r="AF625" s="16">
        <f t="shared" si="853"/>
        <v>0</v>
      </c>
      <c r="AG625" s="16">
        <f t="shared" si="853"/>
        <v>0</v>
      </c>
      <c r="AH625" s="16">
        <f t="shared" si="853"/>
        <v>0</v>
      </c>
      <c r="AI625" s="16">
        <f t="shared" si="853"/>
        <v>0</v>
      </c>
      <c r="AJ625" s="16">
        <f t="shared" si="853"/>
        <v>0</v>
      </c>
      <c r="AK625" s="16">
        <f t="shared" si="853"/>
        <v>0</v>
      </c>
      <c r="AL625" s="16">
        <f t="shared" si="853"/>
        <v>0</v>
      </c>
      <c r="AM625" s="16">
        <f t="shared" si="853"/>
        <v>0</v>
      </c>
      <c r="AN625" s="16">
        <f t="shared" si="853"/>
        <v>0</v>
      </c>
      <c r="AO625" s="16">
        <f t="shared" si="853"/>
        <v>0</v>
      </c>
      <c r="AP625" s="10"/>
      <c r="AQ625" s="10"/>
      <c r="AR625" s="10"/>
      <c r="AS625" s="10" t="str">
        <f t="shared" ref="AS625" ca="1" si="858">IFERROR(__xludf.DUMMYFUNCTION("split(F479,"","",true,true)"),"Seedstars")</f>
        <v>Seedstars</v>
      </c>
      <c r="AT625" s="10"/>
      <c r="AU625" s="10"/>
      <c r="AV625" s="10"/>
      <c r="AW625" s="10"/>
      <c r="AX625" s="10"/>
      <c r="AY625" s="10"/>
      <c r="AZ625" s="10"/>
      <c r="BA625" s="10"/>
      <c r="BB625" s="10"/>
      <c r="BC625" s="10"/>
      <c r="BD625" s="10"/>
      <c r="BE625" s="10"/>
      <c r="BF625" s="10"/>
      <c r="BG625" s="10"/>
      <c r="BH625" s="10"/>
      <c r="BI625" s="10"/>
      <c r="BJ625" s="10"/>
      <c r="BK625" s="10"/>
      <c r="BM625" s="10"/>
    </row>
    <row r="626" spans="1:65" ht="12.75">
      <c r="A626" s="18">
        <v>43308</v>
      </c>
      <c r="B626" s="14" t="s">
        <v>485</v>
      </c>
      <c r="C626" s="19">
        <v>137000</v>
      </c>
      <c r="D626" s="19"/>
      <c r="E626" s="14" t="s">
        <v>45</v>
      </c>
      <c r="F626" s="14" t="s">
        <v>49</v>
      </c>
      <c r="G626" s="27" t="s">
        <v>1395</v>
      </c>
      <c r="H626" s="14" t="str">
        <f t="array" ref="H626">IFERROR(INDEX([1]Companies!$G:$G,MATCH(B626,[1]Companies!$A:$A,0)),"")</f>
        <v>South Africa</v>
      </c>
      <c r="I626" s="14" t="str">
        <f t="shared" si="694"/>
        <v>South Africa</v>
      </c>
      <c r="J626" s="14" t="str">
        <f t="array" ref="J626">IFERROR(INDEX([1]Companies!$Y:$Y,MATCH(B626,[1]Companies!$A:$A,0)),"")</f>
        <v>Car Sharing, Peer to Peer, Ride Sharing</v>
      </c>
      <c r="K626" s="14" t="str">
        <f t="array" ref="K626">IFERROR(INDEX([1]Companies!$X:$X,MATCH(B626,[1]Companies!$A:$A,0)),"")</f>
        <v>Transport &amp; Logistics</v>
      </c>
      <c r="L626" s="14" t="str">
        <f>VLOOKUP(B626,[1]Companies!$A$1:$C$5243,1,FALSE)</f>
        <v>Jumpin Rides</v>
      </c>
      <c r="M626" s="15">
        <f t="shared" si="695"/>
        <v>0.9</v>
      </c>
      <c r="N626" s="10" t="str">
        <f t="shared" si="696"/>
        <v>43308Jumpin Rides137000</v>
      </c>
      <c r="O626" s="14" t="str">
        <f t="shared" si="697"/>
        <v/>
      </c>
      <c r="P626" s="14">
        <f t="shared" si="698"/>
        <v>1</v>
      </c>
      <c r="Q626" s="14">
        <f t="array" ref="Q626">IFERROR(INDEX([1]Companies!$D:$D,MATCH(B626,[1]Companies!$A:$A,0)),"")</f>
        <v>2016</v>
      </c>
      <c r="R626" s="17">
        <f t="shared" si="699"/>
        <v>177000</v>
      </c>
      <c r="S626" s="14">
        <f>VLOOKUP(I626,[1]Lookups!$V$3:$Y$197,4,FALSE)</f>
        <v>0</v>
      </c>
      <c r="T626" s="14" t="str">
        <f>VLOOKUP(E626,[1]Lookups!$H$3:$I$71,2,FALSE)</f>
        <v>2. Seed</v>
      </c>
      <c r="U626" s="14" t="str">
        <f>VLOOKUP(K626,[1]Lookups!$B$3:$C$142,2,FALSE)</f>
        <v>Transport &amp; Logistics</v>
      </c>
      <c r="V626" s="14">
        <f t="shared" si="735"/>
        <v>2018</v>
      </c>
      <c r="W626" s="14">
        <f t="shared" si="736"/>
        <v>7</v>
      </c>
      <c r="X626" s="14">
        <f>VLOOKUP(W626,[1]Lookups!$P$3:$S$15,2,FALSE)</f>
        <v>3</v>
      </c>
      <c r="Y626" s="16">
        <f>VLOOKUP(W626,[1]Lookups!$P$3:$U$15,3,FALSE)</f>
        <v>2</v>
      </c>
      <c r="Z626" s="16">
        <f t="shared" si="737"/>
        <v>1</v>
      </c>
      <c r="AA626" s="16" t="str">
        <f t="shared" ca="1" si="853"/>
        <v>Seedstars</v>
      </c>
      <c r="AB626" s="16">
        <f t="shared" si="853"/>
        <v>0</v>
      </c>
      <c r="AC626" s="16">
        <f t="shared" si="853"/>
        <v>0</v>
      </c>
      <c r="AD626" s="16">
        <f t="shared" si="853"/>
        <v>0</v>
      </c>
      <c r="AE626" s="16">
        <f t="shared" si="853"/>
        <v>0</v>
      </c>
      <c r="AF626" s="16">
        <f t="shared" si="853"/>
        <v>0</v>
      </c>
      <c r="AG626" s="16">
        <f t="shared" si="853"/>
        <v>0</v>
      </c>
      <c r="AH626" s="16">
        <f t="shared" si="853"/>
        <v>0</v>
      </c>
      <c r="AI626" s="16">
        <f t="shared" si="853"/>
        <v>0</v>
      </c>
      <c r="AJ626" s="16">
        <f t="shared" si="853"/>
        <v>0</v>
      </c>
      <c r="AK626" s="16">
        <f t="shared" si="853"/>
        <v>0</v>
      </c>
      <c r="AL626" s="16">
        <f t="shared" si="853"/>
        <v>0</v>
      </c>
      <c r="AM626" s="16">
        <f t="shared" si="853"/>
        <v>0</v>
      </c>
      <c r="AN626" s="16">
        <f t="shared" si="853"/>
        <v>0</v>
      </c>
      <c r="AO626" s="16">
        <f t="shared" si="853"/>
        <v>0</v>
      </c>
      <c r="AP626" s="10"/>
      <c r="AQ626" s="10"/>
      <c r="AR626" s="10"/>
      <c r="AS626" s="10" t="str">
        <f t="shared" ref="AS626" ca="1" si="859">IFERROR(__xludf.DUMMYFUNCTION("split(F479,"","",true,true)"),"Seedstars")</f>
        <v>Seedstars</v>
      </c>
      <c r="AT626" s="10"/>
      <c r="AU626" s="10"/>
      <c r="AV626" s="10"/>
      <c r="AW626" s="10"/>
      <c r="AX626" s="10"/>
      <c r="AY626" s="10"/>
      <c r="AZ626" s="10"/>
      <c r="BA626" s="10"/>
      <c r="BB626" s="10"/>
      <c r="BC626" s="10"/>
      <c r="BD626" s="10"/>
      <c r="BE626" s="10"/>
      <c r="BF626" s="10"/>
      <c r="BG626" s="10"/>
      <c r="BH626" s="10"/>
      <c r="BI626" s="10"/>
      <c r="BJ626" s="10"/>
      <c r="BK626" s="10"/>
      <c r="BM626" s="10"/>
    </row>
    <row r="627" spans="1:65" ht="12.75">
      <c r="A627" s="18">
        <v>43310</v>
      </c>
      <c r="B627" s="14" t="s">
        <v>1396</v>
      </c>
      <c r="C627" s="19">
        <v>1700000</v>
      </c>
      <c r="D627" s="19"/>
      <c r="E627" s="14" t="s">
        <v>45</v>
      </c>
      <c r="F627" s="14" t="s">
        <v>49</v>
      </c>
      <c r="G627" s="27" t="s">
        <v>1397</v>
      </c>
      <c r="H627" s="14" t="str">
        <f t="array" ref="H627">IFERROR(INDEX([1]Companies!$G:$G,MATCH(B627,[1]Companies!$A:$A,0)),"")</f>
        <v>Algeria</v>
      </c>
      <c r="I627" s="14" t="str">
        <f t="shared" si="694"/>
        <v>Algeria</v>
      </c>
      <c r="J627" s="14" t="str">
        <f t="array" ref="J627">IFERROR(INDEX([1]Companies!$Y:$Y,MATCH(B627,[1]Companies!$A:$A,0)),"")</f>
        <v>Information Services</v>
      </c>
      <c r="K627" s="14" t="str">
        <f t="array" ref="K627">IFERROR(INDEX([1]Companies!$X:$X,MATCH(B627,[1]Companies!$A:$A,0)),"")</f>
        <v>Transport &amp; Logistics</v>
      </c>
      <c r="L627" s="14" t="str">
        <f>VLOOKUP(B627,[1]Companies!$A$1:$C$5243,1,FALSE)</f>
        <v>TemTem</v>
      </c>
      <c r="M627" s="15">
        <f t="shared" si="695"/>
        <v>0.9</v>
      </c>
      <c r="N627" s="10" t="str">
        <f t="shared" si="696"/>
        <v>43310TemTem1700000</v>
      </c>
      <c r="O627" s="14" t="str">
        <f t="shared" si="697"/>
        <v/>
      </c>
      <c r="P627" s="14">
        <f t="shared" si="698"/>
        <v>1</v>
      </c>
      <c r="Q627" s="14">
        <f t="array" ref="Q627">IFERROR(INDEX([1]Companies!$D:$D,MATCH(B627,[1]Companies!$A:$A,0)),"")</f>
        <v>2017</v>
      </c>
      <c r="R627" s="17">
        <f t="shared" si="699"/>
        <v>1700000</v>
      </c>
      <c r="S627" s="14">
        <f>VLOOKUP(I627,[1]Lookups!$V$3:$Y$197,4,FALSE)</f>
        <v>0</v>
      </c>
      <c r="T627" s="14" t="str">
        <f>VLOOKUP(E627,[1]Lookups!$H$3:$I$71,2,FALSE)</f>
        <v>2. Seed</v>
      </c>
      <c r="U627" s="14" t="str">
        <f>VLOOKUP(K627,[1]Lookups!$B$3:$C$142,2,FALSE)</f>
        <v>Transport &amp; Logistics</v>
      </c>
      <c r="V627" s="14">
        <f t="shared" si="735"/>
        <v>2018</v>
      </c>
      <c r="W627" s="14">
        <f t="shared" si="736"/>
        <v>7</v>
      </c>
      <c r="X627" s="14">
        <f>VLOOKUP(W627,[1]Lookups!$P$3:$S$15,2,FALSE)</f>
        <v>3</v>
      </c>
      <c r="Y627" s="16">
        <f>VLOOKUP(W627,[1]Lookups!$P$3:$U$15,3,FALSE)</f>
        <v>2</v>
      </c>
      <c r="Z627" s="16">
        <f t="shared" si="737"/>
        <v>1</v>
      </c>
      <c r="AA627" s="16" t="str">
        <f t="shared" ca="1" si="853"/>
        <v>Seedstars</v>
      </c>
      <c r="AB627" s="16">
        <f t="shared" si="853"/>
        <v>0</v>
      </c>
      <c r="AC627" s="16">
        <f t="shared" si="853"/>
        <v>0</v>
      </c>
      <c r="AD627" s="16">
        <f t="shared" si="853"/>
        <v>0</v>
      </c>
      <c r="AE627" s="16">
        <f t="shared" si="853"/>
        <v>0</v>
      </c>
      <c r="AF627" s="16">
        <f t="shared" si="853"/>
        <v>0</v>
      </c>
      <c r="AG627" s="16">
        <f t="shared" si="853"/>
        <v>0</v>
      </c>
      <c r="AH627" s="16">
        <f t="shared" si="853"/>
        <v>0</v>
      </c>
      <c r="AI627" s="16">
        <f t="shared" si="853"/>
        <v>0</v>
      </c>
      <c r="AJ627" s="16">
        <f t="shared" si="853"/>
        <v>0</v>
      </c>
      <c r="AK627" s="16">
        <f t="shared" si="853"/>
        <v>0</v>
      </c>
      <c r="AL627" s="16">
        <f t="shared" si="853"/>
        <v>0</v>
      </c>
      <c r="AM627" s="16">
        <f t="shared" si="853"/>
        <v>0</v>
      </c>
      <c r="AN627" s="16">
        <f t="shared" si="853"/>
        <v>0</v>
      </c>
      <c r="AO627" s="16">
        <f t="shared" si="853"/>
        <v>0</v>
      </c>
      <c r="AP627" s="10"/>
      <c r="AQ627" s="10"/>
      <c r="AR627" s="10"/>
      <c r="AS627" s="10" t="str">
        <f t="shared" ref="AS627" ca="1" si="860">IFERROR(__xludf.DUMMYFUNCTION("split(F479,"","",true,true)"),"Seedstars")</f>
        <v>Seedstars</v>
      </c>
      <c r="AT627" s="10"/>
      <c r="AU627" s="10"/>
      <c r="AV627" s="10"/>
      <c r="AW627" s="10"/>
      <c r="AX627" s="10"/>
      <c r="AY627" s="10"/>
      <c r="AZ627" s="10"/>
      <c r="BA627" s="10"/>
      <c r="BB627" s="10"/>
      <c r="BC627" s="10"/>
      <c r="BD627" s="10"/>
      <c r="BE627" s="10"/>
      <c r="BF627" s="10"/>
      <c r="BG627" s="10"/>
      <c r="BH627" s="10"/>
      <c r="BI627" s="10"/>
      <c r="BJ627" s="10"/>
      <c r="BK627" s="10"/>
      <c r="BM627" s="10"/>
    </row>
    <row r="628" spans="1:65" ht="12.75">
      <c r="A628" s="18">
        <v>43312</v>
      </c>
      <c r="B628" s="14" t="s">
        <v>157</v>
      </c>
      <c r="C628" s="19">
        <v>5000000</v>
      </c>
      <c r="D628" s="19"/>
      <c r="E628" s="10" t="s">
        <v>91</v>
      </c>
      <c r="F628" s="14" t="s">
        <v>1398</v>
      </c>
      <c r="G628" s="27" t="s">
        <v>1399</v>
      </c>
      <c r="H628" s="14" t="str">
        <f t="array" ref="H628">IFERROR(INDEX([1]Companies!$G:$G,MATCH(B628,[1]Companies!$A:$A,0)),"")</f>
        <v>Uganda</v>
      </c>
      <c r="I628" s="14" t="str">
        <f t="shared" si="694"/>
        <v>Uganda</v>
      </c>
      <c r="J628" s="14" t="str">
        <f t="array" ref="J628">IFERROR(INDEX([1]Companies!$Y:$Y,MATCH(B628,[1]Companies!$A:$A,0)),"")</f>
        <v>Car Sharing, Financial Services, Web Development, Asset Financing, Boda Boda</v>
      </c>
      <c r="K628" s="14" t="str">
        <f t="array" ref="K628">IFERROR(INDEX([1]Companies!$X:$X,MATCH(B628,[1]Companies!$A:$A,0)),"")</f>
        <v>Financial Services</v>
      </c>
      <c r="L628" s="14" t="str">
        <f>VLOOKUP(B628,[1]Companies!$A$1:$C$5243,1,FALSE)</f>
        <v>Tugende</v>
      </c>
      <c r="M628" s="15">
        <f t="shared" si="695"/>
        <v>0.9</v>
      </c>
      <c r="N628" s="10" t="str">
        <f t="shared" si="696"/>
        <v>43312Tugende5000000</v>
      </c>
      <c r="O628" s="14" t="str">
        <f t="shared" si="697"/>
        <v/>
      </c>
      <c r="P628" s="14">
        <f t="shared" si="698"/>
        <v>1</v>
      </c>
      <c r="Q628" s="14">
        <f t="array" ref="Q628">IFERROR(INDEX([1]Companies!$D:$D,MATCH(B628,[1]Companies!$A:$A,0)),"")</f>
        <v>2012</v>
      </c>
      <c r="R628" s="17">
        <f t="shared" si="699"/>
        <v>11080000</v>
      </c>
      <c r="S628" s="14">
        <f>VLOOKUP(I628,[1]Lookups!$V$3:$Y$197,4,FALSE)</f>
        <v>0</v>
      </c>
      <c r="T628" s="14" t="str">
        <f>VLOOKUP(E628,[1]Lookups!$H$3:$I$71,2,FALSE)</f>
        <v>5. Debt Financing</v>
      </c>
      <c r="U628" s="14" t="str">
        <f>VLOOKUP(K628,[1]Lookups!$B$3:$C$142,2,FALSE)</f>
        <v>Financial Services</v>
      </c>
      <c r="V628" s="14">
        <f t="shared" si="735"/>
        <v>2018</v>
      </c>
      <c r="W628" s="14">
        <f t="shared" si="736"/>
        <v>7</v>
      </c>
      <c r="X628" s="14">
        <f>VLOOKUP(W628,[1]Lookups!$P$3:$S$15,2,FALSE)</f>
        <v>3</v>
      </c>
      <c r="Y628" s="16">
        <f>VLOOKUP(W628,[1]Lookups!$P$3:$U$15,3,FALSE)</f>
        <v>2</v>
      </c>
      <c r="Z628" s="16">
        <f t="shared" si="737"/>
        <v>1</v>
      </c>
      <c r="AA628" s="16" t="str">
        <f t="shared" ca="1" si="853"/>
        <v>Seedstars</v>
      </c>
      <c r="AB628" s="16">
        <f t="shared" si="853"/>
        <v>0</v>
      </c>
      <c r="AC628" s="16">
        <f t="shared" si="853"/>
        <v>0</v>
      </c>
      <c r="AD628" s="16">
        <f t="shared" si="853"/>
        <v>0</v>
      </c>
      <c r="AE628" s="16">
        <f t="shared" si="853"/>
        <v>0</v>
      </c>
      <c r="AF628" s="16">
        <f t="shared" si="853"/>
        <v>0</v>
      </c>
      <c r="AG628" s="16">
        <f t="shared" si="853"/>
        <v>0</v>
      </c>
      <c r="AH628" s="16">
        <f t="shared" si="853"/>
        <v>0</v>
      </c>
      <c r="AI628" s="16">
        <f t="shared" si="853"/>
        <v>0</v>
      </c>
      <c r="AJ628" s="16">
        <f t="shared" si="853"/>
        <v>0</v>
      </c>
      <c r="AK628" s="16">
        <f t="shared" si="853"/>
        <v>0</v>
      </c>
      <c r="AL628" s="16">
        <f t="shared" si="853"/>
        <v>0</v>
      </c>
      <c r="AM628" s="16">
        <f t="shared" si="853"/>
        <v>0</v>
      </c>
      <c r="AN628" s="16">
        <f t="shared" si="853"/>
        <v>0</v>
      </c>
      <c r="AO628" s="16">
        <f t="shared" si="853"/>
        <v>0</v>
      </c>
      <c r="AP628" s="10"/>
      <c r="AQ628" s="10"/>
      <c r="AR628" s="10"/>
      <c r="AS628" s="10" t="str">
        <f t="shared" ref="AS628" ca="1" si="861">IFERROR(__xludf.DUMMYFUNCTION("split(F479,"","",true,true)"),"Seedstars")</f>
        <v>Seedstars</v>
      </c>
      <c r="AT628" s="10"/>
      <c r="AU628" s="10"/>
      <c r="AV628" s="10"/>
      <c r="AW628" s="10"/>
      <c r="AX628" s="10"/>
      <c r="AY628" s="10"/>
      <c r="AZ628" s="10"/>
      <c r="BA628" s="10"/>
      <c r="BB628" s="10"/>
      <c r="BC628" s="10"/>
      <c r="BD628" s="10"/>
      <c r="BE628" s="10"/>
      <c r="BF628" s="10"/>
      <c r="BG628" s="10"/>
      <c r="BH628" s="10"/>
      <c r="BI628" s="10"/>
      <c r="BJ628" s="10"/>
      <c r="BK628" s="10"/>
      <c r="BM628" s="10"/>
    </row>
    <row r="629" spans="1:65" ht="12.75">
      <c r="A629" s="18">
        <v>43312</v>
      </c>
      <c r="B629" s="14" t="s">
        <v>935</v>
      </c>
      <c r="C629" s="19">
        <v>580000</v>
      </c>
      <c r="D629" s="19"/>
      <c r="E629" s="14" t="s">
        <v>564</v>
      </c>
      <c r="F629" s="14" t="s">
        <v>1222</v>
      </c>
      <c r="G629" s="27" t="s">
        <v>1400</v>
      </c>
      <c r="H629" s="14" t="str">
        <f t="array" ref="H629">IFERROR(INDEX([1]Companies!$G:$G,MATCH(B629,[1]Companies!$A:$A,0)),"")</f>
        <v>Nigeria</v>
      </c>
      <c r="I629" s="14" t="str">
        <f t="shared" si="694"/>
        <v>Nigeria</v>
      </c>
      <c r="J629" s="14" t="str">
        <f t="array" ref="J629">IFERROR(INDEX([1]Companies!$Y:$Y,MATCH(B629,[1]Companies!$A:$A,0)),"")</f>
        <v>Energy, PaaS, Renewable Energy</v>
      </c>
      <c r="K629" s="14" t="str">
        <f t="array" ref="K629">IFERROR(INDEX([1]Companies!$X:$X,MATCH(B629,[1]Companies!$A:$A,0)),"")</f>
        <v>Energy &amp; Environment Resources</v>
      </c>
      <c r="L629" s="14" t="str">
        <f>VLOOKUP(B629,[1]Companies!$A$1:$C$5243,1,FALSE)</f>
        <v>Rensource</v>
      </c>
      <c r="M629" s="15">
        <f t="shared" si="695"/>
        <v>0.9</v>
      </c>
      <c r="N629" s="10" t="str">
        <f t="shared" si="696"/>
        <v>43312Rensource580000</v>
      </c>
      <c r="O629" s="14" t="str">
        <f t="shared" si="697"/>
        <v/>
      </c>
      <c r="P629" s="14">
        <f t="shared" si="698"/>
        <v>1</v>
      </c>
      <c r="Q629" s="14">
        <f t="array" ref="Q629">IFERROR(INDEX([1]Companies!$D:$D,MATCH(B629,[1]Companies!$A:$A,0)),"")</f>
        <v>2015</v>
      </c>
      <c r="R629" s="17">
        <f t="shared" si="699"/>
        <v>1580000</v>
      </c>
      <c r="S629" s="14">
        <f>VLOOKUP(I629,[1]Lookups!$V$3:$Y$197,4,FALSE)</f>
        <v>0</v>
      </c>
      <c r="T629" s="14" t="str">
        <f>VLOOKUP(E629,[1]Lookups!$H$3:$I$71,2,FALSE)</f>
        <v>7. Offerings</v>
      </c>
      <c r="U629" s="14" t="e">
        <f>VLOOKUP(K629,[1]Lookups!$B$3:$C$142,2,FALSE)</f>
        <v>#N/A</v>
      </c>
      <c r="V629" s="14">
        <f t="shared" si="735"/>
        <v>2018</v>
      </c>
      <c r="W629" s="14">
        <f t="shared" si="736"/>
        <v>7</v>
      </c>
      <c r="X629" s="14">
        <f>VLOOKUP(W629,[1]Lookups!$P$3:$S$15,2,FALSE)</f>
        <v>3</v>
      </c>
      <c r="Y629" s="16">
        <f>VLOOKUP(W629,[1]Lookups!$P$3:$U$15,3,FALSE)</f>
        <v>2</v>
      </c>
      <c r="Z629" s="16">
        <f t="shared" si="737"/>
        <v>1</v>
      </c>
      <c r="AA629" s="16" t="str">
        <f t="shared" ca="1" si="853"/>
        <v>Seedstars</v>
      </c>
      <c r="AB629" s="16">
        <f t="shared" si="853"/>
        <v>0</v>
      </c>
      <c r="AC629" s="16">
        <f t="shared" si="853"/>
        <v>0</v>
      </c>
      <c r="AD629" s="16">
        <f t="shared" si="853"/>
        <v>0</v>
      </c>
      <c r="AE629" s="16">
        <f t="shared" si="853"/>
        <v>0</v>
      </c>
      <c r="AF629" s="16">
        <f t="shared" si="853"/>
        <v>0</v>
      </c>
      <c r="AG629" s="16">
        <f t="shared" si="853"/>
        <v>0</v>
      </c>
      <c r="AH629" s="16">
        <f t="shared" si="853"/>
        <v>0</v>
      </c>
      <c r="AI629" s="16">
        <f t="shared" si="853"/>
        <v>0</v>
      </c>
      <c r="AJ629" s="16">
        <f t="shared" si="853"/>
        <v>0</v>
      </c>
      <c r="AK629" s="16">
        <f t="shared" si="853"/>
        <v>0</v>
      </c>
      <c r="AL629" s="16">
        <f t="shared" si="853"/>
        <v>0</v>
      </c>
      <c r="AM629" s="16">
        <f t="shared" si="853"/>
        <v>0</v>
      </c>
      <c r="AN629" s="16">
        <f t="shared" si="853"/>
        <v>0</v>
      </c>
      <c r="AO629" s="16">
        <f t="shared" si="853"/>
        <v>0</v>
      </c>
      <c r="AP629" s="10"/>
      <c r="AQ629" s="10"/>
      <c r="AR629" s="10"/>
      <c r="AS629" s="10" t="str">
        <f t="shared" ref="AS629" ca="1" si="862">IFERROR(__xludf.DUMMYFUNCTION("split(F479,"","",true,true)"),"Seedstars")</f>
        <v>Seedstars</v>
      </c>
      <c r="AT629" s="10"/>
      <c r="AU629" s="10"/>
      <c r="AV629" s="10"/>
      <c r="AW629" s="10"/>
      <c r="AX629" s="10"/>
      <c r="AY629" s="10"/>
      <c r="AZ629" s="10"/>
      <c r="BA629" s="10"/>
      <c r="BB629" s="10"/>
      <c r="BC629" s="10"/>
      <c r="BD629" s="10"/>
      <c r="BE629" s="10"/>
      <c r="BF629" s="10"/>
      <c r="BG629" s="10"/>
      <c r="BH629" s="10"/>
      <c r="BI629" s="10"/>
      <c r="BJ629" s="10"/>
      <c r="BK629" s="10"/>
      <c r="BM629" s="10"/>
    </row>
    <row r="630" spans="1:65" ht="12.75">
      <c r="A630" s="18">
        <v>43312</v>
      </c>
      <c r="B630" s="14" t="s">
        <v>1401</v>
      </c>
      <c r="C630" s="19">
        <v>40000</v>
      </c>
      <c r="D630" s="19"/>
      <c r="E630" s="14" t="s">
        <v>45</v>
      </c>
      <c r="F630" s="14" t="s">
        <v>1166</v>
      </c>
      <c r="G630" s="27" t="s">
        <v>1402</v>
      </c>
      <c r="H630" s="14" t="str">
        <f t="array" ref="H630">IFERROR(INDEX([1]Companies!$G:$G,MATCH(B630,[1]Companies!$A:$A,0)),"")</f>
        <v>Nigeria</v>
      </c>
      <c r="I630" s="14" t="str">
        <f t="shared" si="694"/>
        <v>Nigeria</v>
      </c>
      <c r="J630" s="14" t="str">
        <f t="array" ref="J630">IFERROR(INDEX([1]Companies!$Y:$Y,MATCH(B630,[1]Companies!$A:$A,0)),"")</f>
        <v>Education, Mobile Apps, Universities</v>
      </c>
      <c r="K630" s="14" t="str">
        <f t="array" ref="K630">IFERROR(INDEX([1]Companies!$X:$X,MATCH(B630,[1]Companies!$A:$A,0)),"")</f>
        <v>Education</v>
      </c>
      <c r="L630" s="14" t="str">
        <f>VLOOKUP(B630,[1]Companies!$A$1:$C$5243,1,FALSE)</f>
        <v>ScholarX</v>
      </c>
      <c r="M630" s="15">
        <f t="shared" si="695"/>
        <v>0.9</v>
      </c>
      <c r="N630" s="10" t="str">
        <f t="shared" si="696"/>
        <v>43312ScholarX40000</v>
      </c>
      <c r="O630" s="14" t="str">
        <f t="shared" si="697"/>
        <v/>
      </c>
      <c r="P630" s="14">
        <f t="shared" si="698"/>
        <v>1</v>
      </c>
      <c r="Q630" s="14">
        <f t="array" ref="Q630">IFERROR(INDEX([1]Companies!$D:$D,MATCH(B630,[1]Companies!$A:$A,0)),"")</f>
        <v>2016</v>
      </c>
      <c r="R630" s="17">
        <f t="shared" si="699"/>
        <v>140000</v>
      </c>
      <c r="S630" s="14">
        <f>VLOOKUP(I630,[1]Lookups!$V$3:$Y$197,4,FALSE)</f>
        <v>0</v>
      </c>
      <c r="T630" s="14" t="str">
        <f>VLOOKUP(E630,[1]Lookups!$H$3:$I$71,2,FALSE)</f>
        <v>2. Seed</v>
      </c>
      <c r="U630" s="14" t="str">
        <f>VLOOKUP(K630,[1]Lookups!$B$3:$C$142,2,FALSE)</f>
        <v>Education</v>
      </c>
      <c r="V630" s="14">
        <f t="shared" si="735"/>
        <v>2018</v>
      </c>
      <c r="W630" s="14">
        <f t="shared" si="736"/>
        <v>7</v>
      </c>
      <c r="X630" s="14">
        <f>VLOOKUP(W630,[1]Lookups!$P$3:$S$15,2,FALSE)</f>
        <v>3</v>
      </c>
      <c r="Y630" s="16">
        <f>VLOOKUP(W630,[1]Lookups!$P$3:$U$15,3,FALSE)</f>
        <v>2</v>
      </c>
      <c r="Z630" s="16">
        <f t="shared" si="737"/>
        <v>1</v>
      </c>
      <c r="AA630" s="16" t="str">
        <f t="shared" ca="1" si="853"/>
        <v>Seedstars</v>
      </c>
      <c r="AB630" s="16">
        <f t="shared" si="853"/>
        <v>0</v>
      </c>
      <c r="AC630" s="16">
        <f t="shared" si="853"/>
        <v>0</v>
      </c>
      <c r="AD630" s="16">
        <f t="shared" si="853"/>
        <v>0</v>
      </c>
      <c r="AE630" s="16">
        <f t="shared" si="853"/>
        <v>0</v>
      </c>
      <c r="AF630" s="16">
        <f t="shared" si="853"/>
        <v>0</v>
      </c>
      <c r="AG630" s="16">
        <f t="shared" si="853"/>
        <v>0</v>
      </c>
      <c r="AH630" s="16">
        <f t="shared" si="853"/>
        <v>0</v>
      </c>
      <c r="AI630" s="16">
        <f t="shared" si="853"/>
        <v>0</v>
      </c>
      <c r="AJ630" s="16">
        <f t="shared" si="853"/>
        <v>0</v>
      </c>
      <c r="AK630" s="16">
        <f t="shared" si="853"/>
        <v>0</v>
      </c>
      <c r="AL630" s="16">
        <f t="shared" si="853"/>
        <v>0</v>
      </c>
      <c r="AM630" s="16">
        <f t="shared" si="853"/>
        <v>0</v>
      </c>
      <c r="AN630" s="16">
        <f t="shared" si="853"/>
        <v>0</v>
      </c>
      <c r="AO630" s="16">
        <f t="shared" si="853"/>
        <v>0</v>
      </c>
      <c r="AP630" s="10"/>
      <c r="AQ630" s="10"/>
      <c r="AR630" s="10"/>
      <c r="AS630" s="10" t="str">
        <f t="shared" ref="AS630" ca="1" si="863">IFERROR(__xludf.DUMMYFUNCTION("split(F479,"","",true,true)"),"Seedstars")</f>
        <v>Seedstars</v>
      </c>
      <c r="AT630" s="10"/>
      <c r="AU630" s="10"/>
      <c r="AV630" s="10"/>
      <c r="AW630" s="10"/>
      <c r="AX630" s="10"/>
      <c r="AY630" s="10"/>
      <c r="AZ630" s="10"/>
      <c r="BA630" s="10"/>
      <c r="BB630" s="10"/>
      <c r="BC630" s="10"/>
      <c r="BD630" s="10"/>
      <c r="BE630" s="10"/>
      <c r="BF630" s="10"/>
      <c r="BG630" s="10"/>
      <c r="BH630" s="10"/>
      <c r="BI630" s="10"/>
      <c r="BJ630" s="10"/>
      <c r="BK630" s="10"/>
      <c r="BM630" s="10"/>
    </row>
    <row r="631" spans="1:65" ht="12.75">
      <c r="A631" s="18">
        <v>43312</v>
      </c>
      <c r="B631" s="14" t="s">
        <v>1403</v>
      </c>
      <c r="C631" s="19">
        <v>40000</v>
      </c>
      <c r="D631" s="19"/>
      <c r="E631" s="14" t="s">
        <v>45</v>
      </c>
      <c r="F631" s="14" t="s">
        <v>1166</v>
      </c>
      <c r="G631" s="27" t="s">
        <v>1402</v>
      </c>
      <c r="H631" s="14" t="str">
        <f t="array" ref="H631">IFERROR(INDEX([1]Companies!$G:$G,MATCH(B631,[1]Companies!$A:$A,0)),"")</f>
        <v>Nigeria</v>
      </c>
      <c r="I631" s="14" t="str">
        <f t="shared" si="694"/>
        <v>Nigeria</v>
      </c>
      <c r="J631" s="14" t="str">
        <f t="array" ref="J631">IFERROR(INDEX([1]Companies!$Y:$Y,MATCH(B631,[1]Companies!$A:$A,0)),"")</f>
        <v>Education, Information Technology</v>
      </c>
      <c r="K631" s="14" t="str">
        <f t="array" ref="K631">IFERROR(INDEX([1]Companies!$X:$X,MATCH(B631,[1]Companies!$A:$A,0)),"")</f>
        <v>Education</v>
      </c>
      <c r="L631" s="14" t="str">
        <f>VLOOKUP(B631,[1]Companies!$A$1:$C$5243,1,FALSE)</f>
        <v>Bluebic</v>
      </c>
      <c r="M631" s="15">
        <f t="shared" si="695"/>
        <v>0.9</v>
      </c>
      <c r="N631" s="10" t="str">
        <f t="shared" si="696"/>
        <v>43312Bluebic40000</v>
      </c>
      <c r="O631" s="14" t="str">
        <f t="shared" si="697"/>
        <v/>
      </c>
      <c r="P631" s="14">
        <f t="shared" si="698"/>
        <v>1</v>
      </c>
      <c r="Q631" s="14">
        <f t="array" ref="Q631">IFERROR(INDEX([1]Companies!$D:$D,MATCH(B631,[1]Companies!$A:$A,0)),"")</f>
        <v>2016</v>
      </c>
      <c r="R631" s="17">
        <f t="shared" si="699"/>
        <v>40000</v>
      </c>
      <c r="S631" s="14">
        <f>VLOOKUP(I631,[1]Lookups!$V$3:$Y$197,4,FALSE)</f>
        <v>0</v>
      </c>
      <c r="T631" s="14" t="str">
        <f>VLOOKUP(E631,[1]Lookups!$H$3:$I$71,2,FALSE)</f>
        <v>2. Seed</v>
      </c>
      <c r="U631" s="14" t="str">
        <f>VLOOKUP(K631,[1]Lookups!$B$3:$C$142,2,FALSE)</f>
        <v>Education</v>
      </c>
      <c r="V631" s="14">
        <f t="shared" si="735"/>
        <v>2018</v>
      </c>
      <c r="W631" s="14">
        <f t="shared" si="736"/>
        <v>7</v>
      </c>
      <c r="X631" s="14">
        <f>VLOOKUP(W631,[1]Lookups!$P$3:$S$15,2,FALSE)</f>
        <v>3</v>
      </c>
      <c r="Y631" s="16">
        <f>VLOOKUP(W631,[1]Lookups!$P$3:$U$15,3,FALSE)</f>
        <v>2</v>
      </c>
      <c r="Z631" s="16">
        <f t="shared" si="737"/>
        <v>1</v>
      </c>
      <c r="AA631" s="16" t="str">
        <f t="shared" ca="1" si="853"/>
        <v>Seedstars</v>
      </c>
      <c r="AB631" s="16">
        <f t="shared" si="853"/>
        <v>0</v>
      </c>
      <c r="AC631" s="16">
        <f t="shared" si="853"/>
        <v>0</v>
      </c>
      <c r="AD631" s="16">
        <f t="shared" si="853"/>
        <v>0</v>
      </c>
      <c r="AE631" s="16">
        <f t="shared" si="853"/>
        <v>0</v>
      </c>
      <c r="AF631" s="16">
        <f t="shared" si="853"/>
        <v>0</v>
      </c>
      <c r="AG631" s="16">
        <f t="shared" si="853"/>
        <v>0</v>
      </c>
      <c r="AH631" s="16">
        <f t="shared" si="853"/>
        <v>0</v>
      </c>
      <c r="AI631" s="16">
        <f t="shared" si="853"/>
        <v>0</v>
      </c>
      <c r="AJ631" s="16">
        <f t="shared" si="853"/>
        <v>0</v>
      </c>
      <c r="AK631" s="16">
        <f t="shared" si="853"/>
        <v>0</v>
      </c>
      <c r="AL631" s="16">
        <f t="shared" si="853"/>
        <v>0</v>
      </c>
      <c r="AM631" s="16">
        <f t="shared" si="853"/>
        <v>0</v>
      </c>
      <c r="AN631" s="16">
        <f t="shared" si="853"/>
        <v>0</v>
      </c>
      <c r="AO631" s="16">
        <f t="shared" si="853"/>
        <v>0</v>
      </c>
      <c r="AP631" s="10"/>
      <c r="AQ631" s="10"/>
      <c r="AR631" s="10"/>
      <c r="AS631" s="10" t="str">
        <f t="shared" ref="AS631" ca="1" si="864">IFERROR(__xludf.DUMMYFUNCTION("split(F479,"","",true,true)"),"Seedstars")</f>
        <v>Seedstars</v>
      </c>
      <c r="AT631" s="10"/>
      <c r="AU631" s="10"/>
      <c r="AV631" s="10"/>
      <c r="AW631" s="10"/>
      <c r="AX631" s="10"/>
      <c r="AY631" s="10"/>
      <c r="AZ631" s="10"/>
      <c r="BA631" s="10"/>
      <c r="BB631" s="10"/>
      <c r="BC631" s="10"/>
      <c r="BD631" s="10"/>
      <c r="BE631" s="10"/>
      <c r="BF631" s="10"/>
      <c r="BG631" s="10"/>
      <c r="BH631" s="10"/>
      <c r="BI631" s="10"/>
      <c r="BJ631" s="10"/>
      <c r="BK631" s="10"/>
      <c r="BM631" s="10"/>
    </row>
    <row r="632" spans="1:65" ht="12.75">
      <c r="A632" s="18">
        <v>43312</v>
      </c>
      <c r="B632" s="14" t="s">
        <v>1404</v>
      </c>
      <c r="C632" s="19">
        <v>40000</v>
      </c>
      <c r="D632" s="19"/>
      <c r="E632" s="14" t="s">
        <v>45</v>
      </c>
      <c r="F632" s="14" t="s">
        <v>1166</v>
      </c>
      <c r="G632" s="27" t="s">
        <v>1402</v>
      </c>
      <c r="H632" s="14" t="str">
        <f t="array" ref="H632">IFERROR(INDEX([1]Companies!$G:$G,MATCH(B632,[1]Companies!$A:$A,0)),"")</f>
        <v>Nigeria</v>
      </c>
      <c r="I632" s="14" t="str">
        <f t="shared" si="694"/>
        <v>Nigeria</v>
      </c>
      <c r="J632" s="14" t="str">
        <f t="array" ref="J632">IFERROR(INDEX([1]Companies!$Y:$Y,MATCH(B632,[1]Companies!$A:$A,0)),"")</f>
        <v>eLearning, Technology Training Programs, Virtual Internships, Performance Based Recruiting</v>
      </c>
      <c r="K632" s="14" t="str">
        <f t="array" ref="K632">IFERROR(INDEX([1]Companies!$X:$X,MATCH(B632,[1]Companies!$A:$A,0)),"")</f>
        <v>Information Technology</v>
      </c>
      <c r="L632" s="14" t="str">
        <f>VLOOKUP(B632,[1]Companies!$A$1:$C$5243,1,FALSE)</f>
        <v>Slatecube</v>
      </c>
      <c r="M632" s="15">
        <f t="shared" si="695"/>
        <v>0.9</v>
      </c>
      <c r="N632" s="10" t="str">
        <f t="shared" si="696"/>
        <v>43312SlateCube40000</v>
      </c>
      <c r="O632" s="14" t="str">
        <f t="shared" si="697"/>
        <v/>
      </c>
      <c r="P632" s="14">
        <f t="shared" si="698"/>
        <v>1</v>
      </c>
      <c r="Q632" s="14">
        <f t="array" ref="Q632">IFERROR(INDEX([1]Companies!$D:$D,MATCH(B632,[1]Companies!$A:$A,0)),"")</f>
        <v>2018</v>
      </c>
      <c r="R632" s="17">
        <f t="shared" si="699"/>
        <v>40000</v>
      </c>
      <c r="S632" s="14">
        <f>VLOOKUP(I632,[1]Lookups!$V$3:$Y$197,4,FALSE)</f>
        <v>0</v>
      </c>
      <c r="T632" s="14" t="str">
        <f>VLOOKUP(E632,[1]Lookups!$H$3:$I$71,2,FALSE)</f>
        <v>2. Seed</v>
      </c>
      <c r="U632" s="14" t="str">
        <f>VLOOKUP(K632,[1]Lookups!$B$3:$C$142,2,FALSE)</f>
        <v>Other Technologies &amp; Information Technology</v>
      </c>
      <c r="V632" s="14">
        <f t="shared" si="735"/>
        <v>2018</v>
      </c>
      <c r="W632" s="14">
        <f t="shared" si="736"/>
        <v>7</v>
      </c>
      <c r="X632" s="14">
        <f>VLOOKUP(W632,[1]Lookups!$P$3:$S$15,2,FALSE)</f>
        <v>3</v>
      </c>
      <c r="Y632" s="16">
        <f>VLOOKUP(W632,[1]Lookups!$P$3:$U$15,3,FALSE)</f>
        <v>2</v>
      </c>
      <c r="Z632" s="16">
        <f t="shared" si="737"/>
        <v>1</v>
      </c>
      <c r="AA632" s="16" t="str">
        <f t="shared" ca="1" si="853"/>
        <v>Seedstars</v>
      </c>
      <c r="AB632" s="16">
        <f t="shared" si="853"/>
        <v>0</v>
      </c>
      <c r="AC632" s="16">
        <f t="shared" si="853"/>
        <v>0</v>
      </c>
      <c r="AD632" s="16">
        <f t="shared" si="853"/>
        <v>0</v>
      </c>
      <c r="AE632" s="16">
        <f t="shared" si="853"/>
        <v>0</v>
      </c>
      <c r="AF632" s="16">
        <f t="shared" si="853"/>
        <v>0</v>
      </c>
      <c r="AG632" s="16">
        <f t="shared" si="853"/>
        <v>0</v>
      </c>
      <c r="AH632" s="16">
        <f t="shared" si="853"/>
        <v>0</v>
      </c>
      <c r="AI632" s="16">
        <f t="shared" si="853"/>
        <v>0</v>
      </c>
      <c r="AJ632" s="16">
        <f t="shared" si="853"/>
        <v>0</v>
      </c>
      <c r="AK632" s="16">
        <f t="shared" si="853"/>
        <v>0</v>
      </c>
      <c r="AL632" s="16">
        <f t="shared" si="853"/>
        <v>0</v>
      </c>
      <c r="AM632" s="16">
        <f t="shared" si="853"/>
        <v>0</v>
      </c>
      <c r="AN632" s="16">
        <f t="shared" si="853"/>
        <v>0</v>
      </c>
      <c r="AO632" s="16">
        <f t="shared" si="853"/>
        <v>0</v>
      </c>
      <c r="AP632" s="10"/>
      <c r="AQ632" s="10"/>
      <c r="AR632" s="10"/>
      <c r="AS632" s="10" t="str">
        <f t="shared" ref="AS632" ca="1" si="865">IFERROR(__xludf.DUMMYFUNCTION("split(F479,"","",true,true)"),"Seedstars")</f>
        <v>Seedstars</v>
      </c>
      <c r="AT632" s="10"/>
      <c r="AU632" s="10"/>
      <c r="AV632" s="10"/>
      <c r="AW632" s="10"/>
      <c r="AX632" s="10"/>
      <c r="AY632" s="10"/>
      <c r="AZ632" s="10"/>
      <c r="BA632" s="10"/>
      <c r="BB632" s="10"/>
      <c r="BC632" s="10"/>
      <c r="BD632" s="10"/>
      <c r="BE632" s="10"/>
      <c r="BF632" s="10"/>
      <c r="BG632" s="10"/>
      <c r="BH632" s="10"/>
      <c r="BI632" s="10"/>
      <c r="BJ632" s="10"/>
      <c r="BK632" s="10"/>
      <c r="BM632" s="10"/>
    </row>
    <row r="633" spans="1:65" ht="12.75">
      <c r="A633" s="18">
        <v>43312</v>
      </c>
      <c r="B633" s="14" t="s">
        <v>1405</v>
      </c>
      <c r="C633" s="19">
        <v>25000</v>
      </c>
      <c r="D633" s="19"/>
      <c r="E633" s="14" t="s">
        <v>55</v>
      </c>
      <c r="F633" s="14" t="s">
        <v>1392</v>
      </c>
      <c r="G633" s="27" t="s">
        <v>1406</v>
      </c>
      <c r="H633" s="14" t="str">
        <f t="array" ref="H633">IFERROR(INDEX([1]Companies!$G:$G,MATCH(B633,[1]Companies!$A:$A,0)),"")</f>
        <v>Nigeria</v>
      </c>
      <c r="I633" s="14" t="str">
        <f t="shared" si="694"/>
        <v>Nigeria</v>
      </c>
      <c r="J633" s="14" t="str">
        <f t="array" ref="J633">IFERROR(INDEX([1]Companies!$Y:$Y,MATCH(B633,[1]Companies!$A:$A,0)),"")</f>
        <v>Agriculture, Association, Communities, Crowdfunding</v>
      </c>
      <c r="K633" s="14" t="str">
        <f t="array" ref="K633">IFERROR(INDEX([1]Companies!$X:$X,MATCH(B633,[1]Companies!$A:$A,0)),"")</f>
        <v>Financial Services</v>
      </c>
      <c r="L633" s="14" t="str">
        <f>VLOOKUP(B633,[1]Companies!$A$1:$C$5243,1,FALSE)</f>
        <v>Growsel</v>
      </c>
      <c r="M633" s="15">
        <f t="shared" si="695"/>
        <v>0.9</v>
      </c>
      <c r="N633" s="10" t="str">
        <f t="shared" si="696"/>
        <v>43312Growsel25000</v>
      </c>
      <c r="O633" s="14" t="str">
        <f t="shared" si="697"/>
        <v/>
      </c>
      <c r="P633" s="14">
        <f t="shared" si="698"/>
        <v>1</v>
      </c>
      <c r="Q633" s="14">
        <f t="array" ref="Q633">IFERROR(INDEX([1]Companies!$D:$D,MATCH(B633,[1]Companies!$A:$A,0)),"")</f>
        <v>2017</v>
      </c>
      <c r="R633" s="17">
        <f t="shared" si="699"/>
        <v>25000</v>
      </c>
      <c r="S633" s="14">
        <f>VLOOKUP(I633,[1]Lookups!$V$3:$Y$197,4,FALSE)</f>
        <v>0</v>
      </c>
      <c r="T633" s="14" t="str">
        <f>VLOOKUP(E633,[1]Lookups!$H$3:$I$71,2,FALSE)</f>
        <v>1. Grant</v>
      </c>
      <c r="U633" s="14" t="str">
        <f>VLOOKUP(K633,[1]Lookups!$B$3:$C$142,2,FALSE)</f>
        <v>Financial Services</v>
      </c>
      <c r="V633" s="14">
        <f t="shared" si="735"/>
        <v>2018</v>
      </c>
      <c r="W633" s="14">
        <f t="shared" si="736"/>
        <v>7</v>
      </c>
      <c r="X633" s="14">
        <f>VLOOKUP(W633,[1]Lookups!$P$3:$S$15,2,FALSE)</f>
        <v>3</v>
      </c>
      <c r="Y633" s="16">
        <f>VLOOKUP(W633,[1]Lookups!$P$3:$U$15,3,FALSE)</f>
        <v>2</v>
      </c>
      <c r="Z633" s="16">
        <f t="shared" si="737"/>
        <v>1</v>
      </c>
      <c r="AA633" s="16" t="str">
        <f t="shared" ca="1" si="853"/>
        <v>Seedstars</v>
      </c>
      <c r="AB633" s="16">
        <f t="shared" si="853"/>
        <v>0</v>
      </c>
      <c r="AC633" s="16">
        <f t="shared" si="853"/>
        <v>0</v>
      </c>
      <c r="AD633" s="16">
        <f t="shared" si="853"/>
        <v>0</v>
      </c>
      <c r="AE633" s="16">
        <f t="shared" si="853"/>
        <v>0</v>
      </c>
      <c r="AF633" s="16">
        <f t="shared" si="853"/>
        <v>0</v>
      </c>
      <c r="AG633" s="16">
        <f t="shared" si="853"/>
        <v>0</v>
      </c>
      <c r="AH633" s="16">
        <f t="shared" si="853"/>
        <v>0</v>
      </c>
      <c r="AI633" s="16">
        <f t="shared" si="853"/>
        <v>0</v>
      </c>
      <c r="AJ633" s="16">
        <f t="shared" si="853"/>
        <v>0</v>
      </c>
      <c r="AK633" s="16">
        <f t="shared" si="853"/>
        <v>0</v>
      </c>
      <c r="AL633" s="16">
        <f t="shared" si="853"/>
        <v>0</v>
      </c>
      <c r="AM633" s="16">
        <f t="shared" si="853"/>
        <v>0</v>
      </c>
      <c r="AN633" s="16">
        <f t="shared" si="853"/>
        <v>0</v>
      </c>
      <c r="AO633" s="16">
        <f t="shared" si="853"/>
        <v>0</v>
      </c>
      <c r="AP633" s="10"/>
      <c r="AQ633" s="10"/>
      <c r="AR633" s="10"/>
      <c r="AS633" s="10" t="str">
        <f t="shared" ref="AS633" ca="1" si="866">IFERROR(__xludf.DUMMYFUNCTION("split(F479,"","",true,true)"),"Seedstars")</f>
        <v>Seedstars</v>
      </c>
      <c r="AT633" s="10"/>
      <c r="AU633" s="10"/>
      <c r="AV633" s="10"/>
      <c r="AW633" s="10"/>
      <c r="AX633" s="10"/>
      <c r="AY633" s="10"/>
      <c r="AZ633" s="10"/>
      <c r="BA633" s="10"/>
      <c r="BB633" s="10"/>
      <c r="BC633" s="10"/>
      <c r="BD633" s="10"/>
      <c r="BE633" s="10"/>
      <c r="BF633" s="10"/>
      <c r="BG633" s="10"/>
      <c r="BH633" s="10"/>
      <c r="BI633" s="10"/>
      <c r="BJ633" s="10"/>
      <c r="BK633" s="10"/>
      <c r="BM633" s="10"/>
    </row>
    <row r="634" spans="1:65" ht="12.75">
      <c r="A634" s="18">
        <v>43312</v>
      </c>
      <c r="B634" s="14" t="s">
        <v>1407</v>
      </c>
      <c r="C634" s="19">
        <v>10000</v>
      </c>
      <c r="D634" s="19"/>
      <c r="E634" s="14" t="s">
        <v>234</v>
      </c>
      <c r="F634" s="14" t="s">
        <v>1408</v>
      </c>
      <c r="G634" s="27" t="s">
        <v>1409</v>
      </c>
      <c r="H634" s="14" t="str">
        <f t="array" ref="H634">IFERROR(INDEX([1]Companies!$G:$G,MATCH(B634,[1]Companies!$A:$A,0)),"")</f>
        <v>Nigeria</v>
      </c>
      <c r="I634" s="14" t="str">
        <f t="shared" si="694"/>
        <v>Nigeria</v>
      </c>
      <c r="J634" s="14" t="str">
        <f t="array" ref="J634">IFERROR(INDEX([1]Companies!$Y:$Y,MATCH(B634,[1]Companies!$A:$A,0)),"")</f>
        <v>Clean Energy</v>
      </c>
      <c r="K634" s="14" t="str">
        <f t="array" ref="K634">IFERROR(INDEX([1]Companies!$X:$X,MATCH(B634,[1]Companies!$A:$A,0)),"")</f>
        <v>Energy &amp; Environment Resources</v>
      </c>
      <c r="L634" s="14" t="str">
        <f>VLOOKUP(B634,[1]Companies!$A$1:$C$5243,1,FALSE)</f>
        <v>Hydrolite</v>
      </c>
      <c r="M634" s="15">
        <f t="shared" si="695"/>
        <v>0.9</v>
      </c>
      <c r="N634" s="10" t="str">
        <f t="shared" si="696"/>
        <v>43312Hydrolite10000</v>
      </c>
      <c r="O634" s="14" t="str">
        <f t="shared" si="697"/>
        <v/>
      </c>
      <c r="P634" s="14">
        <f t="shared" si="698"/>
        <v>1</v>
      </c>
      <c r="Q634" s="14">
        <f t="array" ref="Q634">IFERROR(INDEX([1]Companies!$D:$D,MATCH(B634,[1]Companies!$A:$A,0)),"")</f>
        <v>2018</v>
      </c>
      <c r="R634" s="17">
        <f t="shared" si="699"/>
        <v>10000</v>
      </c>
      <c r="S634" s="14">
        <f>VLOOKUP(I634,[1]Lookups!$V$3:$Y$197,4,FALSE)</f>
        <v>0</v>
      </c>
      <c r="T634" s="14" t="str">
        <f>VLOOKUP(E634,[1]Lookups!$H$3:$I$71,2,FALSE)</f>
        <v>2. Seed</v>
      </c>
      <c r="U634" s="14" t="e">
        <f>VLOOKUP(K634,[1]Lookups!$B$3:$C$142,2,FALSE)</f>
        <v>#N/A</v>
      </c>
      <c r="V634" s="14">
        <f t="shared" si="735"/>
        <v>2018</v>
      </c>
      <c r="W634" s="14">
        <f t="shared" si="736"/>
        <v>7</v>
      </c>
      <c r="X634" s="14">
        <f>VLOOKUP(W634,[1]Lookups!$P$3:$S$15,2,FALSE)</f>
        <v>3</v>
      </c>
      <c r="Y634" s="16">
        <f>VLOOKUP(W634,[1]Lookups!$P$3:$U$15,3,FALSE)</f>
        <v>2</v>
      </c>
      <c r="Z634" s="16">
        <f t="shared" si="737"/>
        <v>2</v>
      </c>
      <c r="AA634" s="16" t="str">
        <f t="shared" ca="1" si="853"/>
        <v>Seedstars</v>
      </c>
      <c r="AB634" s="16" t="str">
        <f t="shared" ca="1" si="853"/>
        <v xml:space="preserve"> Co-Creation Hub Nigeria</v>
      </c>
      <c r="AC634" s="16">
        <f t="shared" si="853"/>
        <v>0</v>
      </c>
      <c r="AD634" s="16">
        <f t="shared" si="853"/>
        <v>0</v>
      </c>
      <c r="AE634" s="16">
        <f t="shared" si="853"/>
        <v>0</v>
      </c>
      <c r="AF634" s="16">
        <f t="shared" si="853"/>
        <v>0</v>
      </c>
      <c r="AG634" s="16">
        <f t="shared" si="853"/>
        <v>0</v>
      </c>
      <c r="AH634" s="16">
        <f t="shared" si="853"/>
        <v>0</v>
      </c>
      <c r="AI634" s="16">
        <f t="shared" si="853"/>
        <v>0</v>
      </c>
      <c r="AJ634" s="16">
        <f t="shared" si="853"/>
        <v>0</v>
      </c>
      <c r="AK634" s="16">
        <f t="shared" si="853"/>
        <v>0</v>
      </c>
      <c r="AL634" s="16">
        <f t="shared" si="853"/>
        <v>0</v>
      </c>
      <c r="AM634" s="16">
        <f t="shared" si="853"/>
        <v>0</v>
      </c>
      <c r="AN634" s="16">
        <f t="shared" si="853"/>
        <v>0</v>
      </c>
      <c r="AO634" s="16">
        <f t="shared" si="853"/>
        <v>0</v>
      </c>
      <c r="AP634" s="10"/>
      <c r="AQ634" s="10"/>
      <c r="AR634" s="10"/>
      <c r="AS634" s="10" t="str">
        <f t="shared" ref="AS634" ca="1" si="867">IFERROR(__xludf.DUMMYFUNCTION("split(F479,"","",true,true)"),"Seedstars")</f>
        <v>Seedstars</v>
      </c>
      <c r="AT634" s="10" t="str">
        <f ca="1">IFERROR(__xludf.DUMMYFUNCTION("""COMPUTED_VALUE""")," Co-Creation Hub Nigeria")</f>
        <v xml:space="preserve"> Co-Creation Hub Nigeria</v>
      </c>
      <c r="AU634" s="10"/>
      <c r="AV634" s="10"/>
      <c r="AW634" s="10"/>
      <c r="AX634" s="10"/>
      <c r="AY634" s="10"/>
      <c r="AZ634" s="10"/>
      <c r="BA634" s="10"/>
      <c r="BB634" s="10"/>
      <c r="BC634" s="10"/>
      <c r="BD634" s="10"/>
      <c r="BE634" s="10"/>
      <c r="BF634" s="10"/>
      <c r="BG634" s="10"/>
      <c r="BH634" s="10"/>
      <c r="BI634" s="10"/>
      <c r="BJ634" s="10"/>
      <c r="BK634" s="10"/>
      <c r="BM634" s="10"/>
    </row>
    <row r="635" spans="1:65" ht="12.75">
      <c r="A635" s="18">
        <v>43312</v>
      </c>
      <c r="B635" s="14" t="s">
        <v>1410</v>
      </c>
      <c r="C635" s="19">
        <v>10000</v>
      </c>
      <c r="D635" s="19"/>
      <c r="E635" s="14" t="s">
        <v>234</v>
      </c>
      <c r="F635" s="14" t="s">
        <v>1408</v>
      </c>
      <c r="G635" s="27" t="s">
        <v>1409</v>
      </c>
      <c r="H635" s="14" t="str">
        <f t="array" ref="H635">IFERROR(INDEX([1]Companies!$G:$G,MATCH(B635,[1]Companies!$A:$A,0)),"")</f>
        <v>Nigeria</v>
      </c>
      <c r="I635" s="14" t="str">
        <f t="shared" si="694"/>
        <v>Nigeria</v>
      </c>
      <c r="J635" s="14" t="str">
        <f t="array" ref="J635">IFERROR(INDEX([1]Companies!$Y:$Y,MATCH(B635,[1]Companies!$A:$A,0)),"")</f>
        <v>Clean Energy</v>
      </c>
      <c r="K635" s="14" t="str">
        <f t="array" ref="K635">IFERROR(INDEX([1]Companies!$X:$X,MATCH(B635,[1]Companies!$A:$A,0)),"")</f>
        <v>Renewable Energy</v>
      </c>
      <c r="L635" s="14" t="str">
        <f>VLOOKUP(B635,[1]Companies!$A$1:$C$5243,1,FALSE)</f>
        <v>Hydrotriciton</v>
      </c>
      <c r="M635" s="15">
        <f t="shared" si="695"/>
        <v>0.9</v>
      </c>
      <c r="N635" s="10" t="str">
        <f t="shared" si="696"/>
        <v>43312Hydrotriciton10000</v>
      </c>
      <c r="O635" s="14" t="str">
        <f t="shared" si="697"/>
        <v/>
      </c>
      <c r="P635" s="14">
        <f t="shared" si="698"/>
        <v>1</v>
      </c>
      <c r="Q635" s="14">
        <f t="array" ref="Q635">IFERROR(INDEX([1]Companies!$D:$D,MATCH(B635,[1]Companies!$A:$A,0)),"")</f>
        <v>2018</v>
      </c>
      <c r="R635" s="17">
        <f t="shared" si="699"/>
        <v>10000</v>
      </c>
      <c r="S635" s="14">
        <f>VLOOKUP(I635,[1]Lookups!$V$3:$Y$197,4,FALSE)</f>
        <v>0</v>
      </c>
      <c r="T635" s="14" t="str">
        <f>VLOOKUP(E635,[1]Lookups!$H$3:$I$71,2,FALSE)</f>
        <v>2. Seed</v>
      </c>
      <c r="U635" s="14" t="str">
        <f>VLOOKUP(K635,[1]Lookups!$B$3:$C$142,2,FALSE)</f>
        <v>Energy &amp; Resources</v>
      </c>
      <c r="V635" s="14">
        <f t="shared" si="735"/>
        <v>2018</v>
      </c>
      <c r="W635" s="14">
        <f t="shared" si="736"/>
        <v>7</v>
      </c>
      <c r="X635" s="14">
        <f>VLOOKUP(W635,[1]Lookups!$P$3:$S$15,2,FALSE)</f>
        <v>3</v>
      </c>
      <c r="Y635" s="16">
        <f>VLOOKUP(W635,[1]Lookups!$P$3:$U$15,3,FALSE)</f>
        <v>2</v>
      </c>
      <c r="Z635" s="16">
        <f t="shared" si="737"/>
        <v>2</v>
      </c>
      <c r="AA635" s="16" t="str">
        <f t="shared" ca="1" si="853"/>
        <v>Seedstars</v>
      </c>
      <c r="AB635" s="16" t="str">
        <f t="shared" ca="1" si="853"/>
        <v xml:space="preserve"> Co-Creation Hub Nigeria</v>
      </c>
      <c r="AC635" s="16">
        <f t="shared" si="853"/>
        <v>0</v>
      </c>
      <c r="AD635" s="16">
        <f t="shared" si="853"/>
        <v>0</v>
      </c>
      <c r="AE635" s="16">
        <f t="shared" si="853"/>
        <v>0</v>
      </c>
      <c r="AF635" s="16">
        <f t="shared" si="853"/>
        <v>0</v>
      </c>
      <c r="AG635" s="16">
        <f t="shared" si="853"/>
        <v>0</v>
      </c>
      <c r="AH635" s="16">
        <f t="shared" si="853"/>
        <v>0</v>
      </c>
      <c r="AI635" s="16">
        <f t="shared" si="853"/>
        <v>0</v>
      </c>
      <c r="AJ635" s="16">
        <f t="shared" si="853"/>
        <v>0</v>
      </c>
      <c r="AK635" s="16">
        <f t="shared" si="853"/>
        <v>0</v>
      </c>
      <c r="AL635" s="16">
        <f t="shared" si="853"/>
        <v>0</v>
      </c>
      <c r="AM635" s="16">
        <f t="shared" si="853"/>
        <v>0</v>
      </c>
      <c r="AN635" s="16">
        <f t="shared" si="853"/>
        <v>0</v>
      </c>
      <c r="AO635" s="16">
        <f t="shared" si="853"/>
        <v>0</v>
      </c>
      <c r="AP635" s="10"/>
      <c r="AQ635" s="10"/>
      <c r="AR635" s="10"/>
      <c r="AS635" s="10" t="str">
        <f t="shared" ref="AS635" ca="1" si="868">IFERROR(__xludf.DUMMYFUNCTION("split(F479,"","",true,true)"),"Seedstars")</f>
        <v>Seedstars</v>
      </c>
      <c r="AT635" s="10" t="str">
        <f ca="1">IFERROR(__xludf.DUMMYFUNCTION("""COMPUTED_VALUE""")," Co-Creation Hub Nigeria")</f>
        <v xml:space="preserve"> Co-Creation Hub Nigeria</v>
      </c>
      <c r="AU635" s="10"/>
      <c r="AV635" s="10"/>
      <c r="AW635" s="10"/>
      <c r="AX635" s="10"/>
      <c r="AY635" s="10"/>
      <c r="AZ635" s="10"/>
      <c r="BA635" s="10"/>
      <c r="BB635" s="10"/>
      <c r="BC635" s="10"/>
      <c r="BD635" s="10"/>
      <c r="BE635" s="10"/>
      <c r="BF635" s="10"/>
      <c r="BG635" s="10"/>
      <c r="BH635" s="10"/>
      <c r="BI635" s="10"/>
      <c r="BJ635" s="10"/>
      <c r="BK635" s="10"/>
      <c r="BM635" s="10"/>
    </row>
    <row r="636" spans="1:65" ht="12.75">
      <c r="A636" s="18">
        <v>43312</v>
      </c>
      <c r="B636" s="14" t="s">
        <v>1411</v>
      </c>
      <c r="C636" s="19">
        <v>10000</v>
      </c>
      <c r="D636" s="19"/>
      <c r="E636" s="14" t="s">
        <v>45</v>
      </c>
      <c r="F636" s="14" t="s">
        <v>276</v>
      </c>
      <c r="G636" s="27" t="s">
        <v>1402</v>
      </c>
      <c r="H636" s="14" t="str">
        <f t="array" ref="H636">IFERROR(INDEX([1]Companies!$G:$G,MATCH(B636,[1]Companies!$A:$A,0)),"")</f>
        <v>Nigeria</v>
      </c>
      <c r="I636" s="14" t="str">
        <f t="shared" si="694"/>
        <v>Nigeria</v>
      </c>
      <c r="J636" s="14" t="str">
        <f t="array" ref="J636">IFERROR(INDEX([1]Companies!$Y:$Y,MATCH(B636,[1]Companies!$A:$A,0)),"")</f>
        <v>Renewable Energy, Solar Technology, Sales/Installation of Panels, Batteries, Inverters, Charge Controller, Power Consumption/Load Generation Management, Energy Analyst/Consultant, and Remote Monitoring System</v>
      </c>
      <c r="K636" s="14" t="str">
        <f t="array" ref="K636">IFERROR(INDEX([1]Companies!$X:$X,MATCH(B636,[1]Companies!$A:$A,0)),"")</f>
        <v>Energy &amp; Environment Resources</v>
      </c>
      <c r="L636" s="14" t="str">
        <f>VLOOKUP(B636,[1]Companies!$A$1:$C$5243,1,FALSE)</f>
        <v>Aspire Power Solutions</v>
      </c>
      <c r="M636" s="15">
        <f t="shared" si="695"/>
        <v>0.9</v>
      </c>
      <c r="N636" s="10" t="str">
        <f t="shared" si="696"/>
        <v>43312Aspire Power Solutions10000</v>
      </c>
      <c r="O636" s="14" t="str">
        <f t="shared" si="697"/>
        <v/>
      </c>
      <c r="P636" s="14">
        <f t="shared" si="698"/>
        <v>1</v>
      </c>
      <c r="Q636" s="14">
        <f t="array" ref="Q636">IFERROR(INDEX([1]Companies!$D:$D,MATCH(B636,[1]Companies!$A:$A,0)),"")</f>
        <v>2016</v>
      </c>
      <c r="R636" s="17">
        <f t="shared" si="699"/>
        <v>10000</v>
      </c>
      <c r="S636" s="14">
        <f>VLOOKUP(I636,[1]Lookups!$V$3:$Y$197,4,FALSE)</f>
        <v>0</v>
      </c>
      <c r="T636" s="14" t="str">
        <f>VLOOKUP(E636,[1]Lookups!$H$3:$I$71,2,FALSE)</f>
        <v>2. Seed</v>
      </c>
      <c r="U636" s="14" t="e">
        <f>VLOOKUP(K636,[1]Lookups!$B$3:$C$142,2,FALSE)</f>
        <v>#N/A</v>
      </c>
      <c r="V636" s="14">
        <f t="shared" si="735"/>
        <v>2018</v>
      </c>
      <c r="W636" s="14">
        <f t="shared" si="736"/>
        <v>7</v>
      </c>
      <c r="X636" s="14">
        <f>VLOOKUP(W636,[1]Lookups!$P$3:$S$15,2,FALSE)</f>
        <v>3</v>
      </c>
      <c r="Y636" s="16">
        <f>VLOOKUP(W636,[1]Lookups!$P$3:$U$15,3,FALSE)</f>
        <v>2</v>
      </c>
      <c r="Z636" s="16">
        <f t="shared" si="737"/>
        <v>1</v>
      </c>
      <c r="AA636" s="16" t="str">
        <f t="shared" ca="1" si="853"/>
        <v>Seedstars</v>
      </c>
      <c r="AB636" s="16">
        <f t="shared" si="853"/>
        <v>0</v>
      </c>
      <c r="AC636" s="16">
        <f t="shared" si="853"/>
        <v>0</v>
      </c>
      <c r="AD636" s="16">
        <f t="shared" si="853"/>
        <v>0</v>
      </c>
      <c r="AE636" s="16">
        <f t="shared" si="853"/>
        <v>0</v>
      </c>
      <c r="AF636" s="16">
        <f t="shared" si="853"/>
        <v>0</v>
      </c>
      <c r="AG636" s="16">
        <f t="shared" si="853"/>
        <v>0</v>
      </c>
      <c r="AH636" s="16">
        <f t="shared" si="853"/>
        <v>0</v>
      </c>
      <c r="AI636" s="16">
        <f t="shared" si="853"/>
        <v>0</v>
      </c>
      <c r="AJ636" s="16">
        <f t="shared" si="853"/>
        <v>0</v>
      </c>
      <c r="AK636" s="16">
        <f t="shared" si="853"/>
        <v>0</v>
      </c>
      <c r="AL636" s="16">
        <f t="shared" si="853"/>
        <v>0</v>
      </c>
      <c r="AM636" s="16">
        <f t="shared" si="853"/>
        <v>0</v>
      </c>
      <c r="AN636" s="16">
        <f t="shared" si="853"/>
        <v>0</v>
      </c>
      <c r="AO636" s="16">
        <f t="shared" si="853"/>
        <v>0</v>
      </c>
      <c r="AP636" s="10"/>
      <c r="AQ636" s="10"/>
      <c r="AR636" s="10"/>
      <c r="AS636" s="10" t="str">
        <f t="shared" ref="AS636" ca="1" si="869">IFERROR(__xludf.DUMMYFUNCTION("split(F479,"","",true,true)"),"Seedstars")</f>
        <v>Seedstars</v>
      </c>
      <c r="AT636" s="10"/>
      <c r="AU636" s="10"/>
      <c r="AV636" s="10"/>
      <c r="AW636" s="10"/>
      <c r="AX636" s="10"/>
      <c r="AY636" s="10"/>
      <c r="AZ636" s="10"/>
      <c r="BA636" s="10"/>
      <c r="BB636" s="10"/>
      <c r="BC636" s="10"/>
      <c r="BD636" s="10"/>
      <c r="BE636" s="10"/>
      <c r="BF636" s="10"/>
      <c r="BG636" s="10"/>
      <c r="BH636" s="10"/>
      <c r="BI636" s="10"/>
      <c r="BJ636" s="10"/>
      <c r="BK636" s="10"/>
      <c r="BM636" s="10"/>
    </row>
    <row r="637" spans="1:65" ht="12.75">
      <c r="A637" s="18">
        <v>43312</v>
      </c>
      <c r="B637" s="14" t="s">
        <v>1412</v>
      </c>
      <c r="C637" s="19">
        <v>10000</v>
      </c>
      <c r="D637" s="19"/>
      <c r="E637" s="14" t="s">
        <v>45</v>
      </c>
      <c r="F637" s="14" t="s">
        <v>1408</v>
      </c>
      <c r="G637" s="27" t="s">
        <v>1402</v>
      </c>
      <c r="H637" s="14" t="str">
        <f t="array" ref="H637">IFERROR(INDEX([1]Companies!$G:$G,MATCH(B637,[1]Companies!$A:$A,0)),"")</f>
        <v>Nigeria</v>
      </c>
      <c r="I637" s="14" t="str">
        <f t="shared" si="694"/>
        <v>Nigeria</v>
      </c>
      <c r="J637" s="14" t="str">
        <f t="array" ref="J637">IFERROR(INDEX([1]Companies!$Y:$Y,MATCH(B637,[1]Companies!$A:$A,0)),"")</f>
        <v>Clean Energy</v>
      </c>
      <c r="K637" s="14" t="str">
        <f t="array" ref="K637">IFERROR(INDEX([1]Companies!$X:$X,MATCH(B637,[1]Companies!$A:$A,0)),"")</f>
        <v>Energy &amp; Environment Resources</v>
      </c>
      <c r="L637" s="14" t="str">
        <f>VLOOKUP(B637,[1]Companies!$A$1:$C$5243,1,FALSE)</f>
        <v>ZeroElectric</v>
      </c>
      <c r="M637" s="15">
        <f t="shared" si="695"/>
        <v>0.9</v>
      </c>
      <c r="N637" s="10" t="str">
        <f t="shared" si="696"/>
        <v>43312ZeroElectric10000</v>
      </c>
      <c r="O637" s="14" t="str">
        <f t="shared" si="697"/>
        <v/>
      </c>
      <c r="P637" s="14">
        <f t="shared" si="698"/>
        <v>1</v>
      </c>
      <c r="Q637" s="14">
        <f t="array" ref="Q637">IFERROR(INDEX([1]Companies!$D:$D,MATCH(B637,[1]Companies!$A:$A,0)),"")</f>
        <v>2017</v>
      </c>
      <c r="R637" s="17">
        <f t="shared" si="699"/>
        <v>10000</v>
      </c>
      <c r="S637" s="14">
        <f>VLOOKUP(I637,[1]Lookups!$V$3:$Y$197,4,FALSE)</f>
        <v>0</v>
      </c>
      <c r="T637" s="14" t="str">
        <f>VLOOKUP(E637,[1]Lookups!$H$3:$I$71,2,FALSE)</f>
        <v>2. Seed</v>
      </c>
      <c r="U637" s="14" t="e">
        <f>VLOOKUP(K637,[1]Lookups!$B$3:$C$142,2,FALSE)</f>
        <v>#N/A</v>
      </c>
      <c r="V637" s="14">
        <f t="shared" si="735"/>
        <v>2018</v>
      </c>
      <c r="W637" s="14">
        <f t="shared" si="736"/>
        <v>7</v>
      </c>
      <c r="X637" s="14">
        <f>VLOOKUP(W637,[1]Lookups!$P$3:$S$15,2,FALSE)</f>
        <v>3</v>
      </c>
      <c r="Y637" s="16">
        <f>VLOOKUP(W637,[1]Lookups!$P$3:$U$15,3,FALSE)</f>
        <v>2</v>
      </c>
      <c r="Z637" s="16">
        <f t="shared" si="737"/>
        <v>2</v>
      </c>
      <c r="AA637" s="16" t="str">
        <f t="shared" ref="AA637:AO652" ca="1" si="870">AS637</f>
        <v>Seedstars</v>
      </c>
      <c r="AB637" s="16" t="str">
        <f t="shared" ca="1" si="870"/>
        <v xml:space="preserve"> Co-Creation Hub Nigeria</v>
      </c>
      <c r="AC637" s="16">
        <f t="shared" si="870"/>
        <v>0</v>
      </c>
      <c r="AD637" s="16">
        <f t="shared" si="870"/>
        <v>0</v>
      </c>
      <c r="AE637" s="16">
        <f t="shared" si="870"/>
        <v>0</v>
      </c>
      <c r="AF637" s="16">
        <f t="shared" si="870"/>
        <v>0</v>
      </c>
      <c r="AG637" s="16">
        <f t="shared" si="870"/>
        <v>0</v>
      </c>
      <c r="AH637" s="16">
        <f t="shared" si="870"/>
        <v>0</v>
      </c>
      <c r="AI637" s="16">
        <f t="shared" si="870"/>
        <v>0</v>
      </c>
      <c r="AJ637" s="16">
        <f t="shared" si="870"/>
        <v>0</v>
      </c>
      <c r="AK637" s="16">
        <f t="shared" si="870"/>
        <v>0</v>
      </c>
      <c r="AL637" s="16">
        <f t="shared" si="870"/>
        <v>0</v>
      </c>
      <c r="AM637" s="16">
        <f t="shared" si="870"/>
        <v>0</v>
      </c>
      <c r="AN637" s="16">
        <f t="shared" si="870"/>
        <v>0</v>
      </c>
      <c r="AO637" s="16">
        <f t="shared" si="870"/>
        <v>0</v>
      </c>
      <c r="AP637" s="10"/>
      <c r="AQ637" s="10"/>
      <c r="AR637" s="10"/>
      <c r="AS637" s="10" t="str">
        <f t="shared" ref="AS637" ca="1" si="871">IFERROR(__xludf.DUMMYFUNCTION("split(F479,"","",true,true)"),"Seedstars")</f>
        <v>Seedstars</v>
      </c>
      <c r="AT637" s="10" t="str">
        <f ca="1">IFERROR(__xludf.DUMMYFUNCTION("""COMPUTED_VALUE""")," Co-Creation Hub Nigeria")</f>
        <v xml:space="preserve"> Co-Creation Hub Nigeria</v>
      </c>
      <c r="AU637" s="10"/>
      <c r="AV637" s="10"/>
      <c r="AW637" s="10"/>
      <c r="AX637" s="10"/>
      <c r="AY637" s="10"/>
      <c r="AZ637" s="10"/>
      <c r="BA637" s="10"/>
      <c r="BB637" s="10"/>
      <c r="BC637" s="10"/>
      <c r="BD637" s="10"/>
      <c r="BE637" s="10"/>
      <c r="BF637" s="10"/>
      <c r="BG637" s="10"/>
      <c r="BH637" s="10"/>
      <c r="BI637" s="10"/>
      <c r="BJ637" s="10"/>
      <c r="BK637" s="10"/>
      <c r="BM637" s="10"/>
    </row>
    <row r="638" spans="1:65" ht="12.75">
      <c r="A638" s="18">
        <v>43313</v>
      </c>
      <c r="B638" s="14" t="s">
        <v>607</v>
      </c>
      <c r="C638" s="19" t="s">
        <v>49</v>
      </c>
      <c r="D638" s="19"/>
      <c r="E638" s="14" t="s">
        <v>69</v>
      </c>
      <c r="F638" s="14" t="s">
        <v>49</v>
      </c>
      <c r="G638" s="27" t="s">
        <v>1413</v>
      </c>
      <c r="H638" s="14" t="str">
        <f t="array" ref="H638">IFERROR(INDEX([1]Companies!$G:$G,MATCH(B638,[1]Companies!$A:$A,0)),"")</f>
        <v>Angola</v>
      </c>
      <c r="I638" s="14" t="str">
        <f t="shared" si="694"/>
        <v>Angola</v>
      </c>
      <c r="J638" s="14" t="str">
        <f t="array" ref="J638">IFERROR(INDEX([1]Companies!$Y:$Y,MATCH(B638,[1]Companies!$A:$A,0)),"")</f>
        <v>Delivery Service, E-Commerce, Food Delivery, Mobile Apps, Taxi Service</v>
      </c>
      <c r="K638" s="14" t="str">
        <f t="array" ref="K638">IFERROR(INDEX([1]Companies!$X:$X,MATCH(B638,[1]Companies!$A:$A,0)),"")</f>
        <v>E-Commerce &amp; Retail</v>
      </c>
      <c r="L638" s="14" t="str">
        <f>VLOOKUP(B638,[1]Companies!$A$1:$C$5243,1,FALSE)</f>
        <v>Tupuca</v>
      </c>
      <c r="M638" s="15">
        <f t="shared" si="695"/>
        <v>0.9</v>
      </c>
      <c r="N638" s="10" t="str">
        <f t="shared" si="696"/>
        <v>43313TupucaUndisclosed</v>
      </c>
      <c r="O638" s="14" t="str">
        <f t="shared" si="697"/>
        <v/>
      </c>
      <c r="P638" s="14">
        <f t="shared" si="698"/>
        <v>0</v>
      </c>
      <c r="Q638" s="14">
        <f t="array" ref="Q638">IFERROR(INDEX([1]Companies!$D:$D,MATCH(B638,[1]Companies!$A:$A,0)),"")</f>
        <v>2015</v>
      </c>
      <c r="R638" s="17">
        <f t="shared" si="699"/>
        <v>520000</v>
      </c>
      <c r="S638" s="14">
        <f>VLOOKUP(I638,[1]Lookups!$V$3:$Y$197,4,FALSE)</f>
        <v>0</v>
      </c>
      <c r="T638" s="14" t="str">
        <f>VLOOKUP(E638,[1]Lookups!$H$3:$I$71,2,FALSE)</f>
        <v>3. Early Venture</v>
      </c>
      <c r="U638" s="14" t="str">
        <f>VLOOKUP(K638,[1]Lookups!$B$3:$C$142,2,FALSE)</f>
        <v>E-commerce &amp; Retail</v>
      </c>
      <c r="V638" s="14">
        <f t="shared" si="735"/>
        <v>2018</v>
      </c>
      <c r="W638" s="14">
        <f t="shared" si="736"/>
        <v>8</v>
      </c>
      <c r="X638" s="14">
        <f>VLOOKUP(W638,[1]Lookups!$P$3:$S$15,2,FALSE)</f>
        <v>3</v>
      </c>
      <c r="Y638" s="16">
        <f>VLOOKUP(W638,[1]Lookups!$P$3:$U$15,3,FALSE)</f>
        <v>2</v>
      </c>
      <c r="Z638" s="16">
        <f t="shared" si="737"/>
        <v>1</v>
      </c>
      <c r="AA638" s="16" t="str">
        <f t="shared" ca="1" si="870"/>
        <v>Seedstars</v>
      </c>
      <c r="AB638" s="16">
        <f t="shared" si="870"/>
        <v>0</v>
      </c>
      <c r="AC638" s="16">
        <f t="shared" si="870"/>
        <v>0</v>
      </c>
      <c r="AD638" s="16">
        <f t="shared" si="870"/>
        <v>0</v>
      </c>
      <c r="AE638" s="16">
        <f t="shared" si="870"/>
        <v>0</v>
      </c>
      <c r="AF638" s="16">
        <f t="shared" si="870"/>
        <v>0</v>
      </c>
      <c r="AG638" s="16">
        <f t="shared" si="870"/>
        <v>0</v>
      </c>
      <c r="AH638" s="16">
        <f t="shared" si="870"/>
        <v>0</v>
      </c>
      <c r="AI638" s="16">
        <f t="shared" si="870"/>
        <v>0</v>
      </c>
      <c r="AJ638" s="16">
        <f t="shared" si="870"/>
        <v>0</v>
      </c>
      <c r="AK638" s="16">
        <f t="shared" si="870"/>
        <v>0</v>
      </c>
      <c r="AL638" s="16">
        <f t="shared" si="870"/>
        <v>0</v>
      </c>
      <c r="AM638" s="16">
        <f t="shared" si="870"/>
        <v>0</v>
      </c>
      <c r="AN638" s="16">
        <f t="shared" si="870"/>
        <v>0</v>
      </c>
      <c r="AO638" s="16">
        <f t="shared" si="870"/>
        <v>0</v>
      </c>
      <c r="AP638" s="10"/>
      <c r="AQ638" s="10"/>
      <c r="AR638" s="10"/>
      <c r="AS638" s="10" t="str">
        <f t="shared" ref="AS638" ca="1" si="872">IFERROR(__xludf.DUMMYFUNCTION("split(F479,"","",true,true)"),"Seedstars")</f>
        <v>Seedstars</v>
      </c>
      <c r="AT638" s="10"/>
      <c r="AU638" s="10"/>
      <c r="AV638" s="10"/>
      <c r="AW638" s="10"/>
      <c r="AX638" s="10"/>
      <c r="AY638" s="10"/>
      <c r="AZ638" s="10"/>
      <c r="BA638" s="10"/>
      <c r="BB638" s="10"/>
      <c r="BC638" s="10"/>
      <c r="BD638" s="10"/>
      <c r="BE638" s="10"/>
      <c r="BF638" s="10"/>
      <c r="BG638" s="10"/>
      <c r="BH638" s="10"/>
      <c r="BI638" s="10"/>
      <c r="BJ638" s="10"/>
      <c r="BK638" s="10"/>
      <c r="BM638" s="10"/>
    </row>
    <row r="639" spans="1:65" ht="12.75">
      <c r="A639" s="18">
        <v>43313</v>
      </c>
      <c r="B639" s="14" t="s">
        <v>1381</v>
      </c>
      <c r="C639" s="19" t="s">
        <v>49</v>
      </c>
      <c r="D639" s="22"/>
      <c r="E639" s="10" t="s">
        <v>653</v>
      </c>
      <c r="F639" s="14" t="s">
        <v>1382</v>
      </c>
      <c r="G639" s="21" t="s">
        <v>1383</v>
      </c>
      <c r="H639" s="14" t="str">
        <f t="array" ref="H639">IFERROR(INDEX([1]Companies!$G:$G,MATCH(B639,[1]Companies!$A:$A,0)),"")</f>
        <v>Kenya</v>
      </c>
      <c r="I639" s="14" t="str">
        <f t="shared" si="694"/>
        <v>Kenya</v>
      </c>
      <c r="J639" s="14" t="str">
        <f t="array" ref="J639">IFERROR(INDEX([1]Companies!$Y:$Y,MATCH(B639,[1]Companies!$A:$A,0)),"")</f>
        <v>Agriculture, Farming, Solar</v>
      </c>
      <c r="K639" s="14" t="str">
        <f t="array" ref="K639">IFERROR(INDEX([1]Companies!$X:$X,MATCH(B639,[1]Companies!$A:$A,0)),"")</f>
        <v>Agriculture</v>
      </c>
      <c r="L639" s="14" t="str">
        <f>VLOOKUP(B639,[1]Companies!$A$1:$C$5243,1,FALSE)</f>
        <v>SunCulture</v>
      </c>
      <c r="M639" s="15">
        <f t="shared" si="695"/>
        <v>0.9</v>
      </c>
      <c r="N639" s="10" t="str">
        <f t="shared" si="696"/>
        <v>43313SunCultureUndisclosed</v>
      </c>
      <c r="O639" s="14" t="str">
        <f t="shared" si="697"/>
        <v/>
      </c>
      <c r="P639" s="14">
        <f t="shared" si="698"/>
        <v>0</v>
      </c>
      <c r="Q639" s="14">
        <f t="array" ref="Q639">IFERROR(INDEX([1]Companies!$D:$D,MATCH(B639,[1]Companies!$A:$A,0)),"")</f>
        <v>2012</v>
      </c>
      <c r="R639" s="17">
        <f t="shared" si="699"/>
        <v>0</v>
      </c>
      <c r="S639" s="14">
        <f>VLOOKUP(I639,[1]Lookups!$V$3:$Y$197,4,FALSE)</f>
        <v>0</v>
      </c>
      <c r="T639" s="14" t="str">
        <f>VLOOKUP(E639,[1]Lookups!$H$3:$I$71,2,FALSE)</f>
        <v>4. Late Venture</v>
      </c>
      <c r="U639" s="14" t="str">
        <f>VLOOKUP(K639,[1]Lookups!$B$3:$C$142,2,FALSE)</f>
        <v>Agriculture</v>
      </c>
      <c r="V639" s="14">
        <f t="shared" si="735"/>
        <v>2018</v>
      </c>
      <c r="W639" s="14">
        <f t="shared" si="736"/>
        <v>8</v>
      </c>
      <c r="X639" s="14">
        <f>VLOOKUP(W639,[1]Lookups!$P$3:$S$15,2,FALSE)</f>
        <v>3</v>
      </c>
      <c r="Y639" s="16">
        <f>VLOOKUP(W639,[1]Lookups!$P$3:$U$15,3,FALSE)</f>
        <v>2</v>
      </c>
      <c r="Z639" s="16">
        <f t="shared" si="737"/>
        <v>3</v>
      </c>
      <c r="AA639" s="16" t="str">
        <f t="shared" ca="1" si="870"/>
        <v>Seedstars</v>
      </c>
      <c r="AB639" s="16" t="str">
        <f t="shared" ca="1" si="870"/>
        <v xml:space="preserve"> Energy Access Ventures</v>
      </c>
      <c r="AC639" s="16" t="str">
        <f t="shared" ca="1" si="870"/>
        <v xml:space="preserve"> Partners Group</v>
      </c>
      <c r="AD639" s="16">
        <f t="shared" si="870"/>
        <v>0</v>
      </c>
      <c r="AE639" s="16">
        <f t="shared" si="870"/>
        <v>0</v>
      </c>
      <c r="AF639" s="16">
        <f t="shared" si="870"/>
        <v>0</v>
      </c>
      <c r="AG639" s="16">
        <f t="shared" si="870"/>
        <v>0</v>
      </c>
      <c r="AH639" s="16">
        <f t="shared" si="870"/>
        <v>0</v>
      </c>
      <c r="AI639" s="16">
        <f t="shared" si="870"/>
        <v>0</v>
      </c>
      <c r="AJ639" s="16">
        <f t="shared" si="870"/>
        <v>0</v>
      </c>
      <c r="AK639" s="16">
        <f t="shared" si="870"/>
        <v>0</v>
      </c>
      <c r="AL639" s="16">
        <f t="shared" si="870"/>
        <v>0</v>
      </c>
      <c r="AM639" s="16">
        <f t="shared" si="870"/>
        <v>0</v>
      </c>
      <c r="AN639" s="16">
        <f t="shared" si="870"/>
        <v>0</v>
      </c>
      <c r="AO639" s="16">
        <f t="shared" si="870"/>
        <v>0</v>
      </c>
      <c r="AP639" s="10"/>
      <c r="AQ639" s="10"/>
      <c r="AR639" s="10"/>
      <c r="AS639" s="10" t="str">
        <f t="shared" ref="AS639" ca="1" si="873">IFERROR(__xludf.DUMMYFUNCTION("split(F479,"","",true,true)"),"Seedstars")</f>
        <v>Seedstars</v>
      </c>
      <c r="AT639" s="10" t="str">
        <f ca="1">IFERROR(__xludf.DUMMYFUNCTION("""COMPUTED_VALUE""")," Energy Access Ventures")</f>
        <v xml:space="preserve"> Energy Access Ventures</v>
      </c>
      <c r="AU639" s="10" t="str">
        <f ca="1">IFERROR(__xludf.DUMMYFUNCTION("""COMPUTED_VALUE""")," Partners Group")</f>
        <v xml:space="preserve"> Partners Group</v>
      </c>
      <c r="AV639" s="10"/>
      <c r="AW639" s="10"/>
      <c r="AX639" s="10"/>
      <c r="AY639" s="10"/>
      <c r="AZ639" s="10"/>
      <c r="BA639" s="10"/>
      <c r="BB639" s="10"/>
      <c r="BC639" s="10"/>
      <c r="BD639" s="10"/>
      <c r="BE639" s="10"/>
      <c r="BF639" s="10"/>
      <c r="BG639" s="10"/>
      <c r="BH639" s="10"/>
      <c r="BI639" s="10"/>
      <c r="BJ639" s="10"/>
      <c r="BK639" s="10"/>
      <c r="BM639" s="10"/>
    </row>
    <row r="640" spans="1:65" ht="12.75">
      <c r="A640" s="9">
        <v>43313</v>
      </c>
      <c r="B640" s="10" t="s">
        <v>109</v>
      </c>
      <c r="C640" s="11">
        <v>200000</v>
      </c>
      <c r="D640" s="12"/>
      <c r="E640" s="10" t="s">
        <v>45</v>
      </c>
      <c r="F640" s="10" t="s">
        <v>232</v>
      </c>
      <c r="G640" s="13" t="s">
        <v>111</v>
      </c>
      <c r="H640" s="14" t="str">
        <f t="array" ref="H640">IFERROR(INDEX([1]Companies!$G:$G,MATCH(B640,[1]Companies!$A:$A,0)),"")</f>
        <v>Egypt</v>
      </c>
      <c r="I640" s="14" t="str">
        <f t="shared" si="694"/>
        <v>Egypt</v>
      </c>
      <c r="J640" s="14" t="str">
        <f t="array" ref="J640">IFERROR(INDEX([1]Companies!$Y:$Y,MATCH(B640,[1]Companies!$A:$A,0)),"")</f>
        <v>Services, Gigs</v>
      </c>
      <c r="K640" s="14" t="str">
        <f t="array" ref="K640">IFERROR(INDEX([1]Companies!$X:$X,MATCH(B640,[1]Companies!$A:$A,0)),"")</f>
        <v>E-Commerce &amp; Retail</v>
      </c>
      <c r="L640" s="14" t="str">
        <f>VLOOKUP(B640,[1]Companies!$A$1:$C$5243,1,FALSE)</f>
        <v>Taskty</v>
      </c>
      <c r="M640" s="15">
        <f t="shared" si="695"/>
        <v>0.9</v>
      </c>
      <c r="N640" s="10" t="str">
        <f t="shared" si="696"/>
        <v>43313Taskty200000</v>
      </c>
      <c r="O640" s="14" t="str">
        <f t="shared" si="697"/>
        <v/>
      </c>
      <c r="P640" s="14">
        <f t="shared" si="698"/>
        <v>1</v>
      </c>
      <c r="Q640" s="14">
        <f t="array" ref="Q640">IFERROR(INDEX([1]Companies!$D:$D,MATCH(B640,[1]Companies!$A:$A,0)),"")</f>
        <v>2012</v>
      </c>
      <c r="R640" s="17">
        <f t="shared" si="699"/>
        <v>510000</v>
      </c>
      <c r="S640" s="14">
        <f>VLOOKUP(I640,[1]Lookups!$V$3:$Y$197,4,FALSE)</f>
        <v>0</v>
      </c>
      <c r="T640" s="14" t="str">
        <f>VLOOKUP(E640,[1]Lookups!$H$3:$I$71,2,FALSE)</f>
        <v>2. Seed</v>
      </c>
      <c r="U640" s="14" t="str">
        <f>VLOOKUP(K640,[1]Lookups!$B$3:$C$142,2,FALSE)</f>
        <v>E-commerce &amp; Retail</v>
      </c>
      <c r="V640" s="14">
        <f t="shared" si="735"/>
        <v>2018</v>
      </c>
      <c r="W640" s="14">
        <f t="shared" si="736"/>
        <v>8</v>
      </c>
      <c r="X640" s="14">
        <f>VLOOKUP(W640,[1]Lookups!$P$3:$S$15,2,FALSE)</f>
        <v>3</v>
      </c>
      <c r="Y640" s="16">
        <f>VLOOKUP(W640,[1]Lookups!$P$3:$U$15,3,FALSE)</f>
        <v>2</v>
      </c>
      <c r="Z640" s="16">
        <f t="shared" si="737"/>
        <v>1</v>
      </c>
      <c r="AA640" s="16" t="str">
        <f t="shared" ca="1" si="870"/>
        <v>Seedstars</v>
      </c>
      <c r="AB640" s="16">
        <f t="shared" si="870"/>
        <v>0</v>
      </c>
      <c r="AC640" s="16">
        <f t="shared" si="870"/>
        <v>0</v>
      </c>
      <c r="AD640" s="16">
        <f t="shared" si="870"/>
        <v>0</v>
      </c>
      <c r="AE640" s="16">
        <f t="shared" si="870"/>
        <v>0</v>
      </c>
      <c r="AF640" s="16">
        <f t="shared" si="870"/>
        <v>0</v>
      </c>
      <c r="AG640" s="16">
        <f t="shared" si="870"/>
        <v>0</v>
      </c>
      <c r="AH640" s="16">
        <f t="shared" si="870"/>
        <v>0</v>
      </c>
      <c r="AI640" s="16">
        <f t="shared" si="870"/>
        <v>0</v>
      </c>
      <c r="AJ640" s="16">
        <f t="shared" si="870"/>
        <v>0</v>
      </c>
      <c r="AK640" s="16">
        <f t="shared" si="870"/>
        <v>0</v>
      </c>
      <c r="AL640" s="16">
        <f t="shared" si="870"/>
        <v>0</v>
      </c>
      <c r="AM640" s="16">
        <f t="shared" si="870"/>
        <v>0</v>
      </c>
      <c r="AN640" s="16">
        <f t="shared" si="870"/>
        <v>0</v>
      </c>
      <c r="AO640" s="16">
        <f t="shared" si="870"/>
        <v>0</v>
      </c>
      <c r="AP640" s="10"/>
      <c r="AQ640" s="10"/>
      <c r="AR640" s="10"/>
      <c r="AS640" s="10" t="str">
        <f t="shared" ref="AS640" ca="1" si="874">IFERROR(__xludf.DUMMYFUNCTION("split(F479,"","",true,true)"),"Seedstars")</f>
        <v>Seedstars</v>
      </c>
      <c r="AT640" s="10"/>
      <c r="AU640" s="10"/>
      <c r="AV640" s="10"/>
      <c r="AW640" s="10"/>
      <c r="AX640" s="10"/>
      <c r="AY640" s="10"/>
      <c r="AZ640" s="10"/>
      <c r="BA640" s="10"/>
      <c r="BB640" s="10"/>
      <c r="BC640" s="10"/>
      <c r="BD640" s="10"/>
      <c r="BE640" s="10"/>
      <c r="BF640" s="10"/>
      <c r="BG640" s="10"/>
      <c r="BH640" s="10"/>
      <c r="BI640" s="10"/>
      <c r="BJ640" s="10"/>
      <c r="BK640" s="10"/>
      <c r="BM640" s="10"/>
    </row>
    <row r="641" spans="1:65" ht="12.75">
      <c r="A641" s="18">
        <v>43313</v>
      </c>
      <c r="B641" s="21" t="s">
        <v>1414</v>
      </c>
      <c r="C641" s="19">
        <v>200000</v>
      </c>
      <c r="D641" s="19"/>
      <c r="E641" s="14" t="s">
        <v>45</v>
      </c>
      <c r="F641" s="14" t="s">
        <v>49</v>
      </c>
      <c r="G641" s="21" t="s">
        <v>1415</v>
      </c>
      <c r="H641" s="14" t="str">
        <f t="array" ref="H641">IFERROR(INDEX([1]Companies!$G:$G,MATCH(B641,[1]Companies!$A:$A,0)),"")</f>
        <v>Kenya</v>
      </c>
      <c r="I641" s="14" t="str">
        <f t="shared" si="694"/>
        <v>Kenya</v>
      </c>
      <c r="J641" s="14" t="str">
        <f t="array" ref="J641">IFERROR(INDEX([1]Companies!$Y:$Y,MATCH(B641,[1]Companies!$A:$A,0)),"")</f>
        <v>Advertising, Consulting, E-Commerce, Internet</v>
      </c>
      <c r="K641" s="14" t="str">
        <f t="array" ref="K641">IFERROR(INDEX([1]Companies!$X:$X,MATCH(B641,[1]Companies!$A:$A,0)),"")</f>
        <v>E-Commerce &amp; Retail</v>
      </c>
      <c r="L641" s="21" t="str">
        <f>VLOOKUP(B641,[1]Companies!$A$1:$C$5243,1,FALSE)</f>
        <v>Findit.Ke</v>
      </c>
      <c r="M641" s="15">
        <f t="shared" si="695"/>
        <v>0.9</v>
      </c>
      <c r="N641" s="10" t="str">
        <f t="shared" si="696"/>
        <v>43313Findit.ke200000</v>
      </c>
      <c r="O641" s="14" t="str">
        <f t="shared" si="697"/>
        <v/>
      </c>
      <c r="P641" s="14">
        <f t="shared" si="698"/>
        <v>1</v>
      </c>
      <c r="Q641" s="14">
        <f t="array" ref="Q641">IFERROR(INDEX([1]Companies!$D:$D,MATCH(B641,[1]Companies!$A:$A,0)),"")</f>
        <v>2018</v>
      </c>
      <c r="R641" s="17">
        <f t="shared" si="699"/>
        <v>200000</v>
      </c>
      <c r="S641" s="14">
        <f>VLOOKUP(I641,[1]Lookups!$V$3:$Y$197,4,FALSE)</f>
        <v>0</v>
      </c>
      <c r="T641" s="14" t="str">
        <f>VLOOKUP(E641,[1]Lookups!$H$3:$I$71,2,FALSE)</f>
        <v>2. Seed</v>
      </c>
      <c r="U641" s="14" t="str">
        <f>VLOOKUP(K641,[1]Lookups!$B$3:$C$142,2,FALSE)</f>
        <v>E-commerce &amp; Retail</v>
      </c>
      <c r="V641" s="14">
        <f t="shared" si="735"/>
        <v>2018</v>
      </c>
      <c r="W641" s="14">
        <f t="shared" si="736"/>
        <v>8</v>
      </c>
      <c r="X641" s="14">
        <f>VLOOKUP(W641,[1]Lookups!$P$3:$S$15,2,FALSE)</f>
        <v>3</v>
      </c>
      <c r="Y641" s="16">
        <f>VLOOKUP(W641,[1]Lookups!$P$3:$U$15,3,FALSE)</f>
        <v>2</v>
      </c>
      <c r="Z641" s="16">
        <f t="shared" si="737"/>
        <v>1</v>
      </c>
      <c r="AA641" s="16" t="str">
        <f t="shared" ca="1" si="870"/>
        <v>Seedstars</v>
      </c>
      <c r="AB641" s="16">
        <f t="shared" si="870"/>
        <v>0</v>
      </c>
      <c r="AC641" s="16">
        <f t="shared" si="870"/>
        <v>0</v>
      </c>
      <c r="AD641" s="16">
        <f t="shared" si="870"/>
        <v>0</v>
      </c>
      <c r="AE641" s="16">
        <f t="shared" si="870"/>
        <v>0</v>
      </c>
      <c r="AF641" s="16">
        <f t="shared" si="870"/>
        <v>0</v>
      </c>
      <c r="AG641" s="16">
        <f t="shared" si="870"/>
        <v>0</v>
      </c>
      <c r="AH641" s="16">
        <f t="shared" si="870"/>
        <v>0</v>
      </c>
      <c r="AI641" s="16">
        <f t="shared" si="870"/>
        <v>0</v>
      </c>
      <c r="AJ641" s="16">
        <f t="shared" si="870"/>
        <v>0</v>
      </c>
      <c r="AK641" s="16">
        <f t="shared" si="870"/>
        <v>0</v>
      </c>
      <c r="AL641" s="16">
        <f t="shared" si="870"/>
        <v>0</v>
      </c>
      <c r="AM641" s="16">
        <f t="shared" si="870"/>
        <v>0</v>
      </c>
      <c r="AN641" s="16">
        <f t="shared" si="870"/>
        <v>0</v>
      </c>
      <c r="AO641" s="16">
        <f t="shared" si="870"/>
        <v>0</v>
      </c>
      <c r="AP641" s="10"/>
      <c r="AQ641" s="10"/>
      <c r="AR641" s="10"/>
      <c r="AS641" s="10" t="str">
        <f t="shared" ref="AS641" ca="1" si="875">IFERROR(__xludf.DUMMYFUNCTION("split(F479,"","",true,true)"),"Seedstars")</f>
        <v>Seedstars</v>
      </c>
      <c r="AT641" s="10"/>
      <c r="AU641" s="10"/>
      <c r="AV641" s="10"/>
      <c r="AW641" s="10"/>
      <c r="AX641" s="10"/>
      <c r="AY641" s="10"/>
      <c r="AZ641" s="10"/>
      <c r="BA641" s="10"/>
      <c r="BB641" s="10"/>
      <c r="BC641" s="10"/>
      <c r="BD641" s="10"/>
      <c r="BE641" s="10"/>
      <c r="BF641" s="10"/>
      <c r="BG641" s="10"/>
      <c r="BH641" s="10"/>
      <c r="BI641" s="10"/>
      <c r="BJ641" s="10"/>
      <c r="BK641" s="10"/>
      <c r="BM641" s="10"/>
    </row>
    <row r="642" spans="1:65" ht="12.75">
      <c r="A642" s="9">
        <v>43313</v>
      </c>
      <c r="B642" s="10" t="s">
        <v>693</v>
      </c>
      <c r="C642" s="11">
        <v>55000</v>
      </c>
      <c r="D642" s="12"/>
      <c r="E642" s="10" t="s">
        <v>234</v>
      </c>
      <c r="F642" s="10" t="s">
        <v>49</v>
      </c>
      <c r="G642" s="13" t="s">
        <v>694</v>
      </c>
      <c r="H642" s="14" t="str">
        <f t="array" ref="H642">IFERROR(INDEX([1]Companies!$G:$G,MATCH(B642,[1]Companies!$A:$A,0)),"")</f>
        <v>Egypt</v>
      </c>
      <c r="I642" s="14" t="str">
        <f t="shared" si="694"/>
        <v>Egypt</v>
      </c>
      <c r="J642" s="14" t="str">
        <f t="array" ref="J642">IFERROR(INDEX([1]Companies!$Y:$Y,MATCH(B642,[1]Companies!$A:$A,0)),"")</f>
        <v>Tourism, Travel</v>
      </c>
      <c r="K642" s="14" t="str">
        <f t="array" ref="K642">IFERROR(INDEX([1]Companies!$X:$X,MATCH(B642,[1]Companies!$A:$A,0)),"")</f>
        <v>Travel &amp; Leisure</v>
      </c>
      <c r="L642" s="14" t="str">
        <f>VLOOKUP(B642,[1]Companies!$A$1:$C$5243,1,FALSE)</f>
        <v>Tripdizer</v>
      </c>
      <c r="M642" s="15">
        <f t="shared" si="695"/>
        <v>0.9</v>
      </c>
      <c r="N642" s="10" t="str">
        <f t="shared" si="696"/>
        <v>43313Tripdizer55000</v>
      </c>
      <c r="O642" s="14" t="str">
        <f t="shared" si="697"/>
        <v/>
      </c>
      <c r="P642" s="14">
        <f t="shared" si="698"/>
        <v>1</v>
      </c>
      <c r="Q642" s="14">
        <f t="array" ref="Q642">IFERROR(INDEX([1]Companies!$D:$D,MATCH(B642,[1]Companies!$A:$A,0)),"")</f>
        <v>2016</v>
      </c>
      <c r="R642" s="17">
        <f t="shared" si="699"/>
        <v>255000</v>
      </c>
      <c r="S642" s="14">
        <f>VLOOKUP(I642,[1]Lookups!$V$3:$Y$197,4,FALSE)</f>
        <v>0</v>
      </c>
      <c r="T642" s="14" t="str">
        <f>VLOOKUP(E642,[1]Lookups!$H$3:$I$71,2,FALSE)</f>
        <v>2. Seed</v>
      </c>
      <c r="U642" s="14" t="str">
        <f>VLOOKUP(K642,[1]Lookups!$B$3:$C$142,2,FALSE)</f>
        <v>Travel &amp; Leisure</v>
      </c>
      <c r="V642" s="14">
        <f t="shared" si="735"/>
        <v>2018</v>
      </c>
      <c r="W642" s="14">
        <f t="shared" si="736"/>
        <v>8</v>
      </c>
      <c r="X642" s="14">
        <f>VLOOKUP(W642,[1]Lookups!$P$3:$S$15,2,FALSE)</f>
        <v>3</v>
      </c>
      <c r="Y642" s="16">
        <f>VLOOKUP(W642,[1]Lookups!$P$3:$U$15,3,FALSE)</f>
        <v>2</v>
      </c>
      <c r="Z642" s="16">
        <f t="shared" si="737"/>
        <v>1</v>
      </c>
      <c r="AA642" s="16" t="str">
        <f t="shared" ca="1" si="870"/>
        <v>Seedstars</v>
      </c>
      <c r="AB642" s="16">
        <f t="shared" si="870"/>
        <v>0</v>
      </c>
      <c r="AC642" s="16">
        <f t="shared" si="870"/>
        <v>0</v>
      </c>
      <c r="AD642" s="16">
        <f t="shared" si="870"/>
        <v>0</v>
      </c>
      <c r="AE642" s="16">
        <f t="shared" si="870"/>
        <v>0</v>
      </c>
      <c r="AF642" s="16">
        <f t="shared" si="870"/>
        <v>0</v>
      </c>
      <c r="AG642" s="16">
        <f t="shared" si="870"/>
        <v>0</v>
      </c>
      <c r="AH642" s="16">
        <f t="shared" si="870"/>
        <v>0</v>
      </c>
      <c r="AI642" s="16">
        <f t="shared" si="870"/>
        <v>0</v>
      </c>
      <c r="AJ642" s="16">
        <f t="shared" si="870"/>
        <v>0</v>
      </c>
      <c r="AK642" s="16">
        <f t="shared" si="870"/>
        <v>0</v>
      </c>
      <c r="AL642" s="16">
        <f t="shared" si="870"/>
        <v>0</v>
      </c>
      <c r="AM642" s="16">
        <f t="shared" si="870"/>
        <v>0</v>
      </c>
      <c r="AN642" s="16">
        <f t="shared" si="870"/>
        <v>0</v>
      </c>
      <c r="AO642" s="16">
        <f t="shared" si="870"/>
        <v>0</v>
      </c>
      <c r="AP642" s="10"/>
      <c r="AQ642" s="10"/>
      <c r="AR642" s="10"/>
      <c r="AS642" s="10" t="str">
        <f t="shared" ref="AS642" ca="1" si="876">IFERROR(__xludf.DUMMYFUNCTION("split(F479,"","",true,true)"),"Seedstars")</f>
        <v>Seedstars</v>
      </c>
      <c r="AT642" s="23"/>
      <c r="AU642" s="23"/>
      <c r="AV642" s="23"/>
      <c r="AW642" s="23"/>
      <c r="AX642" s="23"/>
      <c r="AY642" s="23"/>
      <c r="AZ642" s="23"/>
      <c r="BA642" s="23"/>
      <c r="BB642" s="23"/>
      <c r="BC642" s="23"/>
      <c r="BD642" s="23"/>
      <c r="BE642" s="23"/>
      <c r="BF642" s="23"/>
      <c r="BG642" s="23"/>
      <c r="BH642" s="23"/>
      <c r="BI642" s="23"/>
      <c r="BJ642" s="23"/>
      <c r="BK642" s="23"/>
      <c r="BM642" s="23"/>
    </row>
    <row r="643" spans="1:65" ht="12.75">
      <c r="A643" s="18">
        <v>43313</v>
      </c>
      <c r="B643" s="14" t="s">
        <v>1416</v>
      </c>
      <c r="C643" s="19">
        <v>10000</v>
      </c>
      <c r="D643" s="19"/>
      <c r="E643" s="14" t="s">
        <v>45</v>
      </c>
      <c r="F643" s="14" t="s">
        <v>49</v>
      </c>
      <c r="G643" s="27" t="s">
        <v>1417</v>
      </c>
      <c r="H643" s="14" t="str">
        <f t="array" ref="H643">IFERROR(INDEX([1]Companies!$G:$G,MATCH(B643,[1]Companies!$A:$A,0)),"")</f>
        <v>Uganda</v>
      </c>
      <c r="I643" s="14" t="str">
        <f t="shared" si="694"/>
        <v>Uganda</v>
      </c>
      <c r="J643" s="14" t="str">
        <f t="array" ref="J643">IFERROR(INDEX([1]Companies!$Y:$Y,MATCH(B643,[1]Companies!$A:$A,0)),"")</f>
        <v>Courier Service, Delivery Service, FinTech</v>
      </c>
      <c r="K643" s="14" t="str">
        <f t="array" ref="K643">IFERROR(INDEX([1]Companies!$X:$X,MATCH(B643,[1]Companies!$A:$A,0)),"")</f>
        <v>E-Commerce &amp; Retail</v>
      </c>
      <c r="L643" s="14" t="str">
        <f>VLOOKUP(B643,[1]Companies!$A$1:$C$5243,1,FALSE)</f>
        <v>Courier Lite</v>
      </c>
      <c r="M643" s="15">
        <f t="shared" si="695"/>
        <v>0.9</v>
      </c>
      <c r="N643" s="10" t="str">
        <f t="shared" si="696"/>
        <v>43313Courier Lite10000</v>
      </c>
      <c r="O643" s="14" t="str">
        <f t="shared" si="697"/>
        <v/>
      </c>
      <c r="P643" s="14">
        <f t="shared" si="698"/>
        <v>1</v>
      </c>
      <c r="Q643" s="14">
        <f t="array" ref="Q643">IFERROR(INDEX([1]Companies!$D:$D,MATCH(B643,[1]Companies!$A:$A,0)),"")</f>
        <v>2017</v>
      </c>
      <c r="R643" s="17">
        <f t="shared" si="699"/>
        <v>10000</v>
      </c>
      <c r="S643" s="14">
        <f>VLOOKUP(I643,[1]Lookups!$V$3:$Y$197,4,FALSE)</f>
        <v>0</v>
      </c>
      <c r="T643" s="14" t="str">
        <f>VLOOKUP(E643,[1]Lookups!$H$3:$I$71,2,FALSE)</f>
        <v>2. Seed</v>
      </c>
      <c r="U643" s="14" t="str">
        <f>VLOOKUP(K643,[1]Lookups!$B$3:$C$142,2,FALSE)</f>
        <v>E-commerce &amp; Retail</v>
      </c>
      <c r="V643" s="14">
        <f t="shared" si="735"/>
        <v>2018</v>
      </c>
      <c r="W643" s="14">
        <f t="shared" si="736"/>
        <v>8</v>
      </c>
      <c r="X643" s="14">
        <f>VLOOKUP(W643,[1]Lookups!$P$3:$S$15,2,FALSE)</f>
        <v>3</v>
      </c>
      <c r="Y643" s="16">
        <f>VLOOKUP(W643,[1]Lookups!$P$3:$U$15,3,FALSE)</f>
        <v>2</v>
      </c>
      <c r="Z643" s="16">
        <f t="shared" si="737"/>
        <v>1</v>
      </c>
      <c r="AA643" s="16" t="str">
        <f t="shared" ca="1" si="870"/>
        <v>Seedstars</v>
      </c>
      <c r="AB643" s="16">
        <f t="shared" si="870"/>
        <v>0</v>
      </c>
      <c r="AC643" s="16">
        <f t="shared" si="870"/>
        <v>0</v>
      </c>
      <c r="AD643" s="16">
        <f t="shared" si="870"/>
        <v>0</v>
      </c>
      <c r="AE643" s="16">
        <f t="shared" si="870"/>
        <v>0</v>
      </c>
      <c r="AF643" s="16">
        <f t="shared" si="870"/>
        <v>0</v>
      </c>
      <c r="AG643" s="16">
        <f t="shared" si="870"/>
        <v>0</v>
      </c>
      <c r="AH643" s="16">
        <f t="shared" si="870"/>
        <v>0</v>
      </c>
      <c r="AI643" s="16">
        <f t="shared" si="870"/>
        <v>0</v>
      </c>
      <c r="AJ643" s="16">
        <f t="shared" si="870"/>
        <v>0</v>
      </c>
      <c r="AK643" s="16">
        <f t="shared" si="870"/>
        <v>0</v>
      </c>
      <c r="AL643" s="16">
        <f t="shared" si="870"/>
        <v>0</v>
      </c>
      <c r="AM643" s="16">
        <f t="shared" si="870"/>
        <v>0</v>
      </c>
      <c r="AN643" s="16">
        <f t="shared" si="870"/>
        <v>0</v>
      </c>
      <c r="AO643" s="16">
        <f t="shared" si="870"/>
        <v>0</v>
      </c>
      <c r="AP643" s="10"/>
      <c r="AQ643" s="10"/>
      <c r="AR643" s="10"/>
      <c r="AS643" s="10" t="str">
        <f t="shared" ref="AS643" ca="1" si="877">IFERROR(__xludf.DUMMYFUNCTION("split(F479,"","",true,true)"),"Seedstars")</f>
        <v>Seedstars</v>
      </c>
      <c r="AT643" s="10"/>
      <c r="AU643" s="10"/>
      <c r="AV643" s="10"/>
      <c r="AW643" s="10"/>
      <c r="AX643" s="10"/>
      <c r="AY643" s="10"/>
      <c r="AZ643" s="10"/>
      <c r="BA643" s="10"/>
      <c r="BB643" s="10"/>
      <c r="BC643" s="10"/>
      <c r="BD643" s="10"/>
      <c r="BE643" s="10"/>
      <c r="BF643" s="10"/>
      <c r="BG643" s="10"/>
      <c r="BH643" s="10"/>
      <c r="BI643" s="10"/>
      <c r="BJ643" s="10"/>
      <c r="BK643" s="10"/>
      <c r="BM643" s="10"/>
    </row>
    <row r="644" spans="1:65" ht="12.75">
      <c r="A644" s="9">
        <v>43313</v>
      </c>
      <c r="B644" s="10" t="s">
        <v>1418</v>
      </c>
      <c r="C644" s="11">
        <v>5000</v>
      </c>
      <c r="D644" s="12"/>
      <c r="E644" s="10" t="s">
        <v>45</v>
      </c>
      <c r="F644" s="10" t="s">
        <v>276</v>
      </c>
      <c r="G644" s="13" t="s">
        <v>1419</v>
      </c>
      <c r="H644" s="14" t="str">
        <f t="array" ref="H644">IFERROR(INDEX([1]Companies!$G:$G,MATCH(B644,[1]Companies!$A:$A,0)),"")</f>
        <v>Nigeria</v>
      </c>
      <c r="I644" s="14" t="str">
        <f t="shared" si="694"/>
        <v>Nigeria</v>
      </c>
      <c r="J644" s="14" t="str">
        <f t="array" ref="J644">IFERROR(INDEX([1]Companies!$Y:$Y,MATCH(B644,[1]Companies!$A:$A,0)),"")</f>
        <v>Information Technology</v>
      </c>
      <c r="K644" s="14" t="str">
        <f t="array" ref="K644">IFERROR(INDEX([1]Companies!$X:$X,MATCH(B644,[1]Companies!$A:$A,0)),"")</f>
        <v>Real Estate</v>
      </c>
      <c r="L644" s="14" t="str">
        <f>VLOOKUP(B644,[1]Companies!$A$1:$C$5243,1,FALSE)</f>
        <v>OffCampus</v>
      </c>
      <c r="M644" s="15">
        <f t="shared" si="695"/>
        <v>0.9</v>
      </c>
      <c r="N644" s="10" t="str">
        <f t="shared" si="696"/>
        <v>43313OffCampus5000</v>
      </c>
      <c r="O644" s="14" t="str">
        <f t="shared" si="697"/>
        <v/>
      </c>
      <c r="P644" s="14">
        <f t="shared" si="698"/>
        <v>1</v>
      </c>
      <c r="Q644" s="14">
        <f t="array" ref="Q644">IFERROR(INDEX([1]Companies!$D:$D,MATCH(B644,[1]Companies!$A:$A,0)),"")</f>
        <v>2017</v>
      </c>
      <c r="R644" s="17">
        <f t="shared" si="699"/>
        <v>5000</v>
      </c>
      <c r="S644" s="14">
        <f>VLOOKUP(I644,[1]Lookups!$V$3:$Y$197,4,FALSE)</f>
        <v>0</v>
      </c>
      <c r="T644" s="14" t="str">
        <f>VLOOKUP(E644,[1]Lookups!$H$3:$I$71,2,FALSE)</f>
        <v>2. Seed</v>
      </c>
      <c r="U644" s="14" t="str">
        <f>VLOOKUP(K644,[1]Lookups!$B$3:$C$142,2,FALSE)</f>
        <v>Construction &amp; Real Estate</v>
      </c>
      <c r="V644" s="14">
        <f t="shared" si="735"/>
        <v>2018</v>
      </c>
      <c r="W644" s="14">
        <f t="shared" si="736"/>
        <v>8</v>
      </c>
      <c r="X644" s="14">
        <f>VLOOKUP(W644,[1]Lookups!$P$3:$S$15,2,FALSE)</f>
        <v>3</v>
      </c>
      <c r="Y644" s="16">
        <f>VLOOKUP(W644,[1]Lookups!$P$3:$U$15,3,FALSE)</f>
        <v>2</v>
      </c>
      <c r="Z644" s="16">
        <f t="shared" si="737"/>
        <v>1</v>
      </c>
      <c r="AA644" s="16" t="str">
        <f t="shared" ca="1" si="870"/>
        <v>Seedstars</v>
      </c>
      <c r="AB644" s="16">
        <f t="shared" si="870"/>
        <v>0</v>
      </c>
      <c r="AC644" s="16">
        <f t="shared" si="870"/>
        <v>0</v>
      </c>
      <c r="AD644" s="16">
        <f t="shared" si="870"/>
        <v>0</v>
      </c>
      <c r="AE644" s="16">
        <f t="shared" si="870"/>
        <v>0</v>
      </c>
      <c r="AF644" s="16">
        <f t="shared" si="870"/>
        <v>0</v>
      </c>
      <c r="AG644" s="16">
        <f t="shared" si="870"/>
        <v>0</v>
      </c>
      <c r="AH644" s="16">
        <f t="shared" si="870"/>
        <v>0</v>
      </c>
      <c r="AI644" s="16">
        <f t="shared" si="870"/>
        <v>0</v>
      </c>
      <c r="AJ644" s="16">
        <f t="shared" si="870"/>
        <v>0</v>
      </c>
      <c r="AK644" s="16">
        <f t="shared" si="870"/>
        <v>0</v>
      </c>
      <c r="AL644" s="16">
        <f t="shared" si="870"/>
        <v>0</v>
      </c>
      <c r="AM644" s="16">
        <f t="shared" si="870"/>
        <v>0</v>
      </c>
      <c r="AN644" s="16">
        <f t="shared" si="870"/>
        <v>0</v>
      </c>
      <c r="AO644" s="16">
        <f t="shared" si="870"/>
        <v>0</v>
      </c>
      <c r="AP644" s="10"/>
      <c r="AQ644" s="10"/>
      <c r="AR644" s="10"/>
      <c r="AS644" s="10" t="str">
        <f t="shared" ref="AS644" ca="1" si="878">IFERROR(__xludf.DUMMYFUNCTION("split(F479,"","",true,true)"),"Seedstars")</f>
        <v>Seedstars</v>
      </c>
      <c r="AT644" s="10"/>
      <c r="AU644" s="10"/>
      <c r="AV644" s="10"/>
      <c r="AW644" s="10"/>
      <c r="AX644" s="10"/>
      <c r="AY644" s="10"/>
      <c r="AZ644" s="10"/>
      <c r="BA644" s="10"/>
      <c r="BB644" s="10"/>
      <c r="BC644" s="10"/>
      <c r="BD644" s="10"/>
      <c r="BE644" s="10"/>
      <c r="BF644" s="10"/>
      <c r="BG644" s="10"/>
      <c r="BH644" s="10"/>
      <c r="BI644" s="10"/>
      <c r="BJ644" s="10"/>
      <c r="BK644" s="10"/>
      <c r="BM644" s="10"/>
    </row>
    <row r="645" spans="1:65" ht="12.75">
      <c r="A645" s="9">
        <v>43313</v>
      </c>
      <c r="B645" s="10" t="s">
        <v>1420</v>
      </c>
      <c r="C645" s="11">
        <v>5000</v>
      </c>
      <c r="D645" s="12"/>
      <c r="E645" s="10" t="s">
        <v>45</v>
      </c>
      <c r="F645" s="10" t="s">
        <v>276</v>
      </c>
      <c r="G645" s="13" t="s">
        <v>1421</v>
      </c>
      <c r="H645" s="14" t="str">
        <f t="array" ref="H645">IFERROR(INDEX([1]Companies!$G:$G,MATCH(B645,[1]Companies!$A:$A,0)),"")</f>
        <v>Nigeria</v>
      </c>
      <c r="I645" s="14" t="str">
        <f t="shared" si="694"/>
        <v>Nigeria</v>
      </c>
      <c r="J645" s="14" t="str">
        <f t="array" ref="J645">IFERROR(INDEX([1]Companies!$Y:$Y,MATCH(B645,[1]Companies!$A:$A,0)),"")</f>
        <v>Consulting, Information Technology</v>
      </c>
      <c r="K645" s="14" t="str">
        <f t="array" ref="K645">IFERROR(INDEX([1]Companies!$X:$X,MATCH(B645,[1]Companies!$A:$A,0)),"")</f>
        <v>Information Technology</v>
      </c>
      <c r="L645" s="14" t="str">
        <f>VLOOKUP(B645,[1]Companies!$A$1:$C$5243,1,FALSE)</f>
        <v>Tender NG</v>
      </c>
      <c r="M645" s="15">
        <f t="shared" si="695"/>
        <v>0.9</v>
      </c>
      <c r="N645" s="10" t="str">
        <f t="shared" si="696"/>
        <v>43313Tender NG5000</v>
      </c>
      <c r="O645" s="14" t="str">
        <f t="shared" si="697"/>
        <v/>
      </c>
      <c r="P645" s="14">
        <f t="shared" si="698"/>
        <v>1</v>
      </c>
      <c r="Q645" s="14">
        <f t="array" ref="Q645">IFERROR(INDEX([1]Companies!$D:$D,MATCH(B645,[1]Companies!$A:$A,0)),"")</f>
        <v>2016</v>
      </c>
      <c r="R645" s="17">
        <f t="shared" si="699"/>
        <v>5000</v>
      </c>
      <c r="S645" s="14">
        <f>VLOOKUP(I645,[1]Lookups!$V$3:$Y$197,4,FALSE)</f>
        <v>0</v>
      </c>
      <c r="T645" s="14" t="str">
        <f>VLOOKUP(E645,[1]Lookups!$H$3:$I$71,2,FALSE)</f>
        <v>2. Seed</v>
      </c>
      <c r="U645" s="14" t="str">
        <f>VLOOKUP(K645,[1]Lookups!$B$3:$C$142,2,FALSE)</f>
        <v>Other Technologies &amp; Information Technology</v>
      </c>
      <c r="V645" s="14">
        <f t="shared" si="735"/>
        <v>2018</v>
      </c>
      <c r="W645" s="14">
        <f t="shared" si="736"/>
        <v>8</v>
      </c>
      <c r="X645" s="14">
        <f>VLOOKUP(W645,[1]Lookups!$P$3:$S$15,2,FALSE)</f>
        <v>3</v>
      </c>
      <c r="Y645" s="16">
        <f>VLOOKUP(W645,[1]Lookups!$P$3:$U$15,3,FALSE)</f>
        <v>2</v>
      </c>
      <c r="Z645" s="16">
        <f t="shared" si="737"/>
        <v>1</v>
      </c>
      <c r="AA645" s="16" t="str">
        <f t="shared" ca="1" si="870"/>
        <v>Seedstars</v>
      </c>
      <c r="AB645" s="16">
        <f t="shared" si="870"/>
        <v>0</v>
      </c>
      <c r="AC645" s="16">
        <f t="shared" si="870"/>
        <v>0</v>
      </c>
      <c r="AD645" s="16">
        <f t="shared" si="870"/>
        <v>0</v>
      </c>
      <c r="AE645" s="16">
        <f t="shared" si="870"/>
        <v>0</v>
      </c>
      <c r="AF645" s="16">
        <f t="shared" si="870"/>
        <v>0</v>
      </c>
      <c r="AG645" s="16">
        <f t="shared" si="870"/>
        <v>0</v>
      </c>
      <c r="AH645" s="16">
        <f t="shared" si="870"/>
        <v>0</v>
      </c>
      <c r="AI645" s="16">
        <f t="shared" si="870"/>
        <v>0</v>
      </c>
      <c r="AJ645" s="16">
        <f t="shared" si="870"/>
        <v>0</v>
      </c>
      <c r="AK645" s="16">
        <f t="shared" si="870"/>
        <v>0</v>
      </c>
      <c r="AL645" s="16">
        <f t="shared" si="870"/>
        <v>0</v>
      </c>
      <c r="AM645" s="16">
        <f t="shared" si="870"/>
        <v>0</v>
      </c>
      <c r="AN645" s="16">
        <f t="shared" si="870"/>
        <v>0</v>
      </c>
      <c r="AO645" s="16">
        <f t="shared" si="870"/>
        <v>0</v>
      </c>
      <c r="AP645" s="10"/>
      <c r="AQ645" s="10"/>
      <c r="AR645" s="10"/>
      <c r="AS645" s="10" t="str">
        <f t="shared" ref="AS645" ca="1" si="879">IFERROR(__xludf.DUMMYFUNCTION("split(F479,"","",true,true)"),"Seedstars")</f>
        <v>Seedstars</v>
      </c>
      <c r="AT645" s="10"/>
      <c r="AU645" s="10"/>
      <c r="AV645" s="10"/>
      <c r="AW645" s="10"/>
      <c r="AX645" s="10"/>
      <c r="AY645" s="10"/>
      <c r="AZ645" s="10"/>
      <c r="BA645" s="10"/>
      <c r="BB645" s="10"/>
      <c r="BC645" s="10"/>
      <c r="BD645" s="10"/>
      <c r="BE645" s="10"/>
      <c r="BF645" s="10"/>
      <c r="BG645" s="10"/>
      <c r="BH645" s="10"/>
      <c r="BI645" s="10"/>
      <c r="BJ645" s="10"/>
      <c r="BK645" s="10"/>
      <c r="BM645" s="10"/>
    </row>
    <row r="646" spans="1:65" ht="12.75">
      <c r="A646" s="9">
        <v>43313</v>
      </c>
      <c r="B646" s="13" t="s">
        <v>1422</v>
      </c>
      <c r="C646" s="11">
        <v>556</v>
      </c>
      <c r="D646" s="12"/>
      <c r="E646" s="10" t="s">
        <v>45</v>
      </c>
      <c r="F646" s="10" t="s">
        <v>49</v>
      </c>
      <c r="G646" s="13" t="s">
        <v>1423</v>
      </c>
      <c r="H646" s="14" t="str">
        <f t="array" ref="H646">IFERROR(INDEX([1]Companies!$G:$G,MATCH(B646,[1]Companies!$A:$A,0)),"")</f>
        <v>Nigeria</v>
      </c>
      <c r="I646" s="14" t="str">
        <f t="shared" si="694"/>
        <v>Nigeria</v>
      </c>
      <c r="J646" s="14" t="str">
        <f t="array" ref="J646">IFERROR(INDEX([1]Companies!$Y:$Y,MATCH(B646,[1]Companies!$A:$A,0)),"")</f>
        <v>Construction, Information Technology, Real Estate</v>
      </c>
      <c r="K646" s="14" t="str">
        <f t="array" ref="K646">IFERROR(INDEX([1]Companies!$X:$X,MATCH(B646,[1]Companies!$A:$A,0)),"")</f>
        <v>Real Estate</v>
      </c>
      <c r="L646" s="21" t="str">
        <f>VLOOKUP(B646,[1]Companies!$A$1:$C$5243,1,FALSE)</f>
        <v>Luxchizie.net</v>
      </c>
      <c r="M646" s="15">
        <f t="shared" si="695"/>
        <v>0.9</v>
      </c>
      <c r="N646" s="10" t="str">
        <f t="shared" si="696"/>
        <v>43313Luxchizie.net556</v>
      </c>
      <c r="O646" s="14" t="str">
        <f t="shared" si="697"/>
        <v/>
      </c>
      <c r="P646" s="14">
        <f t="shared" si="698"/>
        <v>1</v>
      </c>
      <c r="Q646" s="14">
        <f t="array" ref="Q646">IFERROR(INDEX([1]Companies!$D:$D,MATCH(B646,[1]Companies!$A:$A,0)),"")</f>
        <v>2010</v>
      </c>
      <c r="R646" s="17">
        <f t="shared" si="699"/>
        <v>556</v>
      </c>
      <c r="S646" s="14">
        <f>VLOOKUP(I646,[1]Lookups!$V$3:$Y$197,4,FALSE)</f>
        <v>0</v>
      </c>
      <c r="T646" s="14" t="str">
        <f>VLOOKUP(E646,[1]Lookups!$H$3:$I$71,2,FALSE)</f>
        <v>2. Seed</v>
      </c>
      <c r="U646" s="14" t="str">
        <f>VLOOKUP(K646,[1]Lookups!$B$3:$C$142,2,FALSE)</f>
        <v>Construction &amp; Real Estate</v>
      </c>
      <c r="V646" s="14">
        <f t="shared" si="735"/>
        <v>2018</v>
      </c>
      <c r="W646" s="14">
        <f t="shared" si="736"/>
        <v>8</v>
      </c>
      <c r="X646" s="14">
        <f>VLOOKUP(W646,[1]Lookups!$P$3:$S$15,2,FALSE)</f>
        <v>3</v>
      </c>
      <c r="Y646" s="16">
        <f>VLOOKUP(W646,[1]Lookups!$P$3:$U$15,3,FALSE)</f>
        <v>2</v>
      </c>
      <c r="Z646" s="16">
        <f t="shared" si="737"/>
        <v>1</v>
      </c>
      <c r="AA646" s="16" t="str">
        <f t="shared" ca="1" si="870"/>
        <v>Seedstars</v>
      </c>
      <c r="AB646" s="16">
        <f t="shared" si="870"/>
        <v>0</v>
      </c>
      <c r="AC646" s="16">
        <f t="shared" si="870"/>
        <v>0</v>
      </c>
      <c r="AD646" s="16">
        <f t="shared" si="870"/>
        <v>0</v>
      </c>
      <c r="AE646" s="16">
        <f t="shared" si="870"/>
        <v>0</v>
      </c>
      <c r="AF646" s="16">
        <f t="shared" si="870"/>
        <v>0</v>
      </c>
      <c r="AG646" s="16">
        <f t="shared" si="870"/>
        <v>0</v>
      </c>
      <c r="AH646" s="16">
        <f t="shared" si="870"/>
        <v>0</v>
      </c>
      <c r="AI646" s="16">
        <f t="shared" si="870"/>
        <v>0</v>
      </c>
      <c r="AJ646" s="16">
        <f t="shared" si="870"/>
        <v>0</v>
      </c>
      <c r="AK646" s="16">
        <f t="shared" si="870"/>
        <v>0</v>
      </c>
      <c r="AL646" s="16">
        <f t="shared" si="870"/>
        <v>0</v>
      </c>
      <c r="AM646" s="16">
        <f t="shared" si="870"/>
        <v>0</v>
      </c>
      <c r="AN646" s="16">
        <f t="shared" si="870"/>
        <v>0</v>
      </c>
      <c r="AO646" s="16">
        <f t="shared" si="870"/>
        <v>0</v>
      </c>
      <c r="AP646" s="10"/>
      <c r="AQ646" s="10"/>
      <c r="AR646" s="10"/>
      <c r="AS646" s="10" t="str">
        <f t="shared" ref="AS646" ca="1" si="880">IFERROR(__xludf.DUMMYFUNCTION("split(F479,"","",true,true)"),"Seedstars")</f>
        <v>Seedstars</v>
      </c>
      <c r="AT646" s="10"/>
      <c r="AU646" s="10"/>
      <c r="AV646" s="10"/>
      <c r="AW646" s="10"/>
      <c r="AX646" s="10"/>
      <c r="AY646" s="10"/>
      <c r="AZ646" s="10"/>
      <c r="BA646" s="10"/>
      <c r="BB646" s="10"/>
      <c r="BC646" s="10"/>
      <c r="BD646" s="10"/>
      <c r="BE646" s="10"/>
      <c r="BF646" s="10"/>
      <c r="BG646" s="10"/>
      <c r="BH646" s="10"/>
      <c r="BI646" s="10"/>
      <c r="BJ646" s="10"/>
      <c r="BK646" s="10"/>
      <c r="BM646" s="10"/>
    </row>
    <row r="647" spans="1:65" ht="12.75">
      <c r="A647" s="9">
        <v>43314</v>
      </c>
      <c r="B647" s="10" t="s">
        <v>867</v>
      </c>
      <c r="C647" s="11">
        <v>2200000</v>
      </c>
      <c r="D647" s="12"/>
      <c r="E647" s="10" t="s">
        <v>69</v>
      </c>
      <c r="F647" s="10" t="s">
        <v>1424</v>
      </c>
      <c r="G647" s="13" t="s">
        <v>1425</v>
      </c>
      <c r="H647" s="14" t="str">
        <f t="array" ref="H647">IFERROR(INDEX([1]Companies!$G:$G,MATCH(B647,[1]Companies!$A:$A,0)),"")</f>
        <v>South Africa</v>
      </c>
      <c r="I647" s="14" t="str">
        <f t="shared" si="694"/>
        <v>South Africa</v>
      </c>
      <c r="J647" s="14">
        <f t="array" ref="J647">IFERROR(INDEX([1]Companies!$Y:$Y,MATCH(B647,[1]Companies!$A:$A,0)),"")</f>
        <v>0</v>
      </c>
      <c r="K647" s="14" t="str">
        <f t="array" ref="K647">IFERROR(INDEX([1]Companies!$X:$X,MATCH(B647,[1]Companies!$A:$A,0)),"")</f>
        <v>Education</v>
      </c>
      <c r="L647" s="14" t="str">
        <f>VLOOKUP(B647,[1]Companies!$A$1:$C$5243,1,FALSE)</f>
        <v>Enko Education</v>
      </c>
      <c r="M647" s="15">
        <f t="shared" si="695"/>
        <v>0.9</v>
      </c>
      <c r="N647" s="10" t="str">
        <f t="shared" si="696"/>
        <v>43314Enko Education2200000</v>
      </c>
      <c r="O647" s="14" t="str">
        <f t="shared" si="697"/>
        <v/>
      </c>
      <c r="P647" s="14">
        <f t="shared" si="698"/>
        <v>1</v>
      </c>
      <c r="Q647" s="14">
        <f t="array" ref="Q647">IFERROR(INDEX([1]Companies!$D:$D,MATCH(B647,[1]Companies!$A:$A,0)),"")</f>
        <v>2013</v>
      </c>
      <c r="R647" s="17">
        <f t="shared" si="699"/>
        <v>4700000</v>
      </c>
      <c r="S647" s="14">
        <f>VLOOKUP(I647,[1]Lookups!$V$3:$Y$197,4,FALSE)</f>
        <v>0</v>
      </c>
      <c r="T647" s="14" t="str">
        <f>VLOOKUP(E647,[1]Lookups!$H$3:$I$71,2,FALSE)</f>
        <v>3. Early Venture</v>
      </c>
      <c r="U647" s="14" t="str">
        <f>VLOOKUP(K647,[1]Lookups!$B$3:$C$142,2,FALSE)</f>
        <v>Education</v>
      </c>
      <c r="V647" s="14">
        <f t="shared" si="735"/>
        <v>2018</v>
      </c>
      <c r="W647" s="14">
        <f t="shared" si="736"/>
        <v>8</v>
      </c>
      <c r="X647" s="14">
        <f>VLOOKUP(W647,[1]Lookups!$P$3:$S$15,2,FALSE)</f>
        <v>3</v>
      </c>
      <c r="Y647" s="16">
        <f>VLOOKUP(W647,[1]Lookups!$P$3:$U$15,3,FALSE)</f>
        <v>2</v>
      </c>
      <c r="Z647" s="16">
        <f t="shared" si="737"/>
        <v>2</v>
      </c>
      <c r="AA647" s="16" t="str">
        <f t="shared" ca="1" si="870"/>
        <v>Seedstars</v>
      </c>
      <c r="AB647" s="16" t="str">
        <f t="shared" ca="1" si="870"/>
        <v xml:space="preserve"> Investisseurs &amp; Partenaires (I&amp;P)</v>
      </c>
      <c r="AC647" s="16">
        <f t="shared" si="870"/>
        <v>0</v>
      </c>
      <c r="AD647" s="16">
        <f t="shared" si="870"/>
        <v>0</v>
      </c>
      <c r="AE647" s="16">
        <f t="shared" si="870"/>
        <v>0</v>
      </c>
      <c r="AF647" s="16">
        <f t="shared" si="870"/>
        <v>0</v>
      </c>
      <c r="AG647" s="16">
        <f t="shared" si="870"/>
        <v>0</v>
      </c>
      <c r="AH647" s="16">
        <f t="shared" si="870"/>
        <v>0</v>
      </c>
      <c r="AI647" s="16">
        <f t="shared" si="870"/>
        <v>0</v>
      </c>
      <c r="AJ647" s="16">
        <f t="shared" si="870"/>
        <v>0</v>
      </c>
      <c r="AK647" s="16">
        <f t="shared" si="870"/>
        <v>0</v>
      </c>
      <c r="AL647" s="16">
        <f t="shared" si="870"/>
        <v>0</v>
      </c>
      <c r="AM647" s="16">
        <f t="shared" si="870"/>
        <v>0</v>
      </c>
      <c r="AN647" s="16">
        <f t="shared" si="870"/>
        <v>0</v>
      </c>
      <c r="AO647" s="16">
        <f t="shared" si="870"/>
        <v>0</v>
      </c>
      <c r="AP647" s="10"/>
      <c r="AQ647" s="10"/>
      <c r="AR647" s="10"/>
      <c r="AS647" s="10" t="str">
        <f t="shared" ref="AS647" ca="1" si="881">IFERROR(__xludf.DUMMYFUNCTION("split(F479,"","",true,true)"),"Seedstars")</f>
        <v>Seedstars</v>
      </c>
      <c r="AT647" s="10" t="str">
        <f ca="1">IFERROR(__xludf.DUMMYFUNCTION("""COMPUTED_VALUE""")," Investisseurs &amp; Partenaires (I&amp;P)")</f>
        <v xml:space="preserve"> Investisseurs &amp; Partenaires (I&amp;P)</v>
      </c>
      <c r="AU647" s="10"/>
      <c r="AV647" s="10"/>
      <c r="AW647" s="10"/>
      <c r="AX647" s="10"/>
      <c r="AY647" s="10"/>
      <c r="AZ647" s="10"/>
      <c r="BA647" s="10"/>
      <c r="BB647" s="10"/>
      <c r="BC647" s="10"/>
      <c r="BD647" s="10"/>
      <c r="BE647" s="10"/>
      <c r="BF647" s="10"/>
      <c r="BG647" s="10"/>
      <c r="BH647" s="10"/>
      <c r="BI647" s="10"/>
      <c r="BJ647" s="10"/>
      <c r="BK647" s="10"/>
      <c r="BM647" s="10"/>
    </row>
    <row r="648" spans="1:65" ht="12.75">
      <c r="A648" s="18">
        <v>43315</v>
      </c>
      <c r="B648" s="14" t="s">
        <v>1426</v>
      </c>
      <c r="C648" s="19">
        <v>17500</v>
      </c>
      <c r="D648" s="19"/>
      <c r="E648" s="14" t="s">
        <v>234</v>
      </c>
      <c r="F648" s="14" t="s">
        <v>825</v>
      </c>
      <c r="G648" s="27" t="s">
        <v>1427</v>
      </c>
      <c r="H648" s="14" t="str">
        <f t="array" ref="H648">IFERROR(INDEX([1]Companies!$G:$G,MATCH(B648,[1]Companies!$A:$A,0)),"")</f>
        <v>Kenya</v>
      </c>
      <c r="I648" s="14" t="str">
        <f t="shared" si="694"/>
        <v>Kenya</v>
      </c>
      <c r="J648" s="14" t="str">
        <f t="array" ref="J648">IFERROR(INDEX([1]Companies!$Y:$Y,MATCH(B648,[1]Companies!$A:$A,0)),"")</f>
        <v>Technology</v>
      </c>
      <c r="K648" s="14" t="str">
        <f t="array" ref="K648">IFERROR(INDEX([1]Companies!$X:$X,MATCH(B648,[1]Companies!$A:$A,0)),"")</f>
        <v>Information Technology</v>
      </c>
      <c r="L648" s="14" t="str">
        <f>VLOOKUP(B648,[1]Companies!$A$1:$C$5243,1,FALSE)</f>
        <v>Taz Technologies</v>
      </c>
      <c r="M648" s="15">
        <f t="shared" si="695"/>
        <v>0.9</v>
      </c>
      <c r="N648" s="10" t="str">
        <f t="shared" si="696"/>
        <v>43315Taz Technologies17500</v>
      </c>
      <c r="O648" s="14" t="str">
        <f t="shared" si="697"/>
        <v/>
      </c>
      <c r="P648" s="14">
        <f t="shared" si="698"/>
        <v>1</v>
      </c>
      <c r="Q648" s="14">
        <f t="array" ref="Q648">IFERROR(INDEX([1]Companies!$D:$D,MATCH(B648,[1]Companies!$A:$A,0)),"")</f>
        <v>2016</v>
      </c>
      <c r="R648" s="17">
        <f t="shared" si="699"/>
        <v>17500</v>
      </c>
      <c r="S648" s="14">
        <f>VLOOKUP(I648,[1]Lookups!$V$3:$Y$197,4,FALSE)</f>
        <v>0</v>
      </c>
      <c r="T648" s="14" t="str">
        <f>VLOOKUP(E648,[1]Lookups!$H$3:$I$71,2,FALSE)</f>
        <v>2. Seed</v>
      </c>
      <c r="U648" s="14" t="str">
        <f>VLOOKUP(K648,[1]Lookups!$B$3:$C$142,2,FALSE)</f>
        <v>Other Technologies &amp; Information Technology</v>
      </c>
      <c r="V648" s="14">
        <f t="shared" si="735"/>
        <v>2018</v>
      </c>
      <c r="W648" s="14">
        <f t="shared" si="736"/>
        <v>8</v>
      </c>
      <c r="X648" s="14">
        <f>VLOOKUP(W648,[1]Lookups!$P$3:$S$15,2,FALSE)</f>
        <v>3</v>
      </c>
      <c r="Y648" s="16">
        <f>VLOOKUP(W648,[1]Lookups!$P$3:$U$15,3,FALSE)</f>
        <v>2</v>
      </c>
      <c r="Z648" s="16">
        <f t="shared" si="737"/>
        <v>1</v>
      </c>
      <c r="AA648" s="16" t="str">
        <f t="shared" ca="1" si="870"/>
        <v>Seedstars</v>
      </c>
      <c r="AB648" s="16">
        <f t="shared" si="870"/>
        <v>0</v>
      </c>
      <c r="AC648" s="16">
        <f t="shared" si="870"/>
        <v>0</v>
      </c>
      <c r="AD648" s="16">
        <f t="shared" si="870"/>
        <v>0</v>
      </c>
      <c r="AE648" s="16">
        <f t="shared" si="870"/>
        <v>0</v>
      </c>
      <c r="AF648" s="16">
        <f t="shared" si="870"/>
        <v>0</v>
      </c>
      <c r="AG648" s="16">
        <f t="shared" si="870"/>
        <v>0</v>
      </c>
      <c r="AH648" s="16">
        <f t="shared" si="870"/>
        <v>0</v>
      </c>
      <c r="AI648" s="16">
        <f t="shared" si="870"/>
        <v>0</v>
      </c>
      <c r="AJ648" s="16">
        <f t="shared" si="870"/>
        <v>0</v>
      </c>
      <c r="AK648" s="16">
        <f t="shared" si="870"/>
        <v>0</v>
      </c>
      <c r="AL648" s="16">
        <f t="shared" si="870"/>
        <v>0</v>
      </c>
      <c r="AM648" s="16">
        <f t="shared" si="870"/>
        <v>0</v>
      </c>
      <c r="AN648" s="16">
        <f t="shared" si="870"/>
        <v>0</v>
      </c>
      <c r="AO648" s="16">
        <f t="shared" si="870"/>
        <v>0</v>
      </c>
      <c r="AP648" s="10"/>
      <c r="AQ648" s="10"/>
      <c r="AR648" s="10"/>
      <c r="AS648" s="10" t="str">
        <f t="shared" ref="AS648" ca="1" si="882">IFERROR(__xludf.DUMMYFUNCTION("split(F479,"","",true,true)"),"Seedstars")</f>
        <v>Seedstars</v>
      </c>
      <c r="AT648" s="10"/>
      <c r="AU648" s="10"/>
      <c r="AV648" s="10"/>
      <c r="AW648" s="10"/>
      <c r="AX648" s="10"/>
      <c r="AY648" s="10"/>
      <c r="AZ648" s="10"/>
      <c r="BA648" s="10"/>
      <c r="BB648" s="10"/>
      <c r="BC648" s="10"/>
      <c r="BD648" s="10"/>
      <c r="BE648" s="10"/>
      <c r="BF648" s="10"/>
      <c r="BG648" s="10"/>
      <c r="BH648" s="10"/>
      <c r="BI648" s="10"/>
      <c r="BJ648" s="10"/>
      <c r="BK648" s="10"/>
      <c r="BM648" s="10"/>
    </row>
    <row r="649" spans="1:65" ht="12.75">
      <c r="A649" s="9">
        <v>43317</v>
      </c>
      <c r="B649" s="10" t="s">
        <v>1428</v>
      </c>
      <c r="C649" s="11" t="s">
        <v>49</v>
      </c>
      <c r="D649" s="12"/>
      <c r="E649" s="10" t="s">
        <v>69</v>
      </c>
      <c r="F649" s="10" t="s">
        <v>49</v>
      </c>
      <c r="G649" s="13" t="s">
        <v>1429</v>
      </c>
      <c r="H649" s="14" t="str">
        <f t="array" ref="H649">IFERROR(INDEX([1]Companies!$G:$G,MATCH(B649,[1]Companies!$A:$A,0)),"")</f>
        <v>Cameroon</v>
      </c>
      <c r="I649" s="14" t="str">
        <f t="shared" si="694"/>
        <v>Cameroon</v>
      </c>
      <c r="J649" s="14" t="str">
        <f t="array" ref="J649">IFERROR(INDEX([1]Companies!$Y:$Y,MATCH(B649,[1]Companies!$A:$A,0)),"")</f>
        <v>HealthTech</v>
      </c>
      <c r="K649" s="14" t="str">
        <f t="array" ref="K649">IFERROR(INDEX([1]Companies!$X:$X,MATCH(B649,[1]Companies!$A:$A,0)),"")</f>
        <v>Healthcare &amp; Pharma</v>
      </c>
      <c r="L649" s="14" t="str">
        <f>VLOOKUP(B649,[1]Companies!$A$1:$C$5243,1,FALSE)</f>
        <v>VEhSEh</v>
      </c>
      <c r="M649" s="15">
        <f t="shared" si="695"/>
        <v>0.9</v>
      </c>
      <c r="N649" s="10" t="str">
        <f t="shared" si="696"/>
        <v>43317VEhSEhUndisclosed</v>
      </c>
      <c r="O649" s="14" t="str">
        <f t="shared" si="697"/>
        <v/>
      </c>
      <c r="P649" s="14">
        <f t="shared" si="698"/>
        <v>0</v>
      </c>
      <c r="Q649" s="14">
        <f t="array" ref="Q649">IFERROR(INDEX([1]Companies!$D:$D,MATCH(B649,[1]Companies!$A:$A,0)),"")</f>
        <v>2016</v>
      </c>
      <c r="R649" s="17">
        <f t="shared" si="699"/>
        <v>0</v>
      </c>
      <c r="S649" s="14">
        <f>VLOOKUP(I649,[1]Lookups!$V$3:$Y$197,4,FALSE)</f>
        <v>0</v>
      </c>
      <c r="T649" s="14" t="str">
        <f>VLOOKUP(E649,[1]Lookups!$H$3:$I$71,2,FALSE)</f>
        <v>3. Early Venture</v>
      </c>
      <c r="U649" s="14" t="str">
        <f>VLOOKUP(K649,[1]Lookups!$B$3:$C$142,2,FALSE)</f>
        <v>Health &amp; Pharmaceuticals</v>
      </c>
      <c r="V649" s="14">
        <f t="shared" si="735"/>
        <v>2018</v>
      </c>
      <c r="W649" s="14">
        <f t="shared" si="736"/>
        <v>8</v>
      </c>
      <c r="X649" s="14">
        <f>VLOOKUP(W649,[1]Lookups!$P$3:$S$15,2,FALSE)</f>
        <v>3</v>
      </c>
      <c r="Y649" s="16">
        <f>VLOOKUP(W649,[1]Lookups!$P$3:$U$15,3,FALSE)</f>
        <v>2</v>
      </c>
      <c r="Z649" s="16">
        <f t="shared" si="737"/>
        <v>1</v>
      </c>
      <c r="AA649" s="16" t="str">
        <f t="shared" ca="1" si="870"/>
        <v>Seedstars</v>
      </c>
      <c r="AB649" s="16">
        <f t="shared" si="870"/>
        <v>0</v>
      </c>
      <c r="AC649" s="16">
        <f t="shared" si="870"/>
        <v>0</v>
      </c>
      <c r="AD649" s="16">
        <f t="shared" si="870"/>
        <v>0</v>
      </c>
      <c r="AE649" s="16">
        <f t="shared" si="870"/>
        <v>0</v>
      </c>
      <c r="AF649" s="16">
        <f t="shared" si="870"/>
        <v>0</v>
      </c>
      <c r="AG649" s="16">
        <f t="shared" si="870"/>
        <v>0</v>
      </c>
      <c r="AH649" s="16">
        <f t="shared" si="870"/>
        <v>0</v>
      </c>
      <c r="AI649" s="16">
        <f t="shared" si="870"/>
        <v>0</v>
      </c>
      <c r="AJ649" s="16">
        <f t="shared" si="870"/>
        <v>0</v>
      </c>
      <c r="AK649" s="16">
        <f t="shared" si="870"/>
        <v>0</v>
      </c>
      <c r="AL649" s="16">
        <f t="shared" si="870"/>
        <v>0</v>
      </c>
      <c r="AM649" s="16">
        <f t="shared" si="870"/>
        <v>0</v>
      </c>
      <c r="AN649" s="16">
        <f t="shared" si="870"/>
        <v>0</v>
      </c>
      <c r="AO649" s="16">
        <f t="shared" si="870"/>
        <v>0</v>
      </c>
      <c r="AP649" s="10"/>
      <c r="AQ649" s="10"/>
      <c r="AR649" s="10"/>
      <c r="AS649" s="10" t="str">
        <f t="shared" ref="AS649" ca="1" si="883">IFERROR(__xludf.DUMMYFUNCTION("split(F479,"","",true,true)"),"Seedstars")</f>
        <v>Seedstars</v>
      </c>
      <c r="AT649" s="10"/>
      <c r="AU649" s="10"/>
      <c r="AV649" s="10"/>
      <c r="AW649" s="10"/>
      <c r="AX649" s="10"/>
      <c r="AY649" s="10"/>
      <c r="AZ649" s="10"/>
      <c r="BA649" s="10"/>
      <c r="BB649" s="10"/>
      <c r="BC649" s="10"/>
      <c r="BD649" s="10"/>
      <c r="BE649" s="10"/>
      <c r="BF649" s="10"/>
      <c r="BG649" s="10"/>
      <c r="BH649" s="10"/>
      <c r="BI649" s="10"/>
      <c r="BJ649" s="10"/>
      <c r="BK649" s="10"/>
      <c r="BM649" s="10"/>
    </row>
    <row r="650" spans="1:65" ht="12.75">
      <c r="A650" s="18">
        <v>43318</v>
      </c>
      <c r="B650" s="14" t="s">
        <v>1430</v>
      </c>
      <c r="C650" s="19" t="s">
        <v>49</v>
      </c>
      <c r="D650" s="19"/>
      <c r="E650" s="14" t="s">
        <v>55</v>
      </c>
      <c r="F650" s="14" t="s">
        <v>1431</v>
      </c>
      <c r="G650" s="27" t="s">
        <v>1432</v>
      </c>
      <c r="H650" s="14" t="str">
        <f t="array" ref="H650">IFERROR(INDEX([1]Companies!$G:$G,MATCH(B650,[1]Companies!$A:$A,0)),"")</f>
        <v>Nigeria</v>
      </c>
      <c r="I650" s="14" t="str">
        <f t="shared" si="694"/>
        <v>Nigeria</v>
      </c>
      <c r="J650" s="14" t="str">
        <f t="array" ref="J650">IFERROR(INDEX([1]Companies!$Y:$Y,MATCH(B650,[1]Companies!$A:$A,0)),"")</f>
        <v>Power Grid, Solar</v>
      </c>
      <c r="K650" s="14" t="str">
        <f t="array" ref="K650">IFERROR(INDEX([1]Companies!$X:$X,MATCH(B650,[1]Companies!$A:$A,0)),"")</f>
        <v>Energy &amp; Environment Resources</v>
      </c>
      <c r="L650" s="14" t="str">
        <f>VLOOKUP(B650,[1]Companies!$A$1:$C$5243,1,FALSE)</f>
        <v>Cold Hubs</v>
      </c>
      <c r="M650" s="15">
        <f t="shared" si="695"/>
        <v>0.9</v>
      </c>
      <c r="N650" s="10" t="str">
        <f t="shared" si="696"/>
        <v>43318Cold HubsUndisclosed</v>
      </c>
      <c r="O650" s="14" t="str">
        <f t="shared" si="697"/>
        <v/>
      </c>
      <c r="P650" s="14">
        <f t="shared" si="698"/>
        <v>0</v>
      </c>
      <c r="Q650" s="14">
        <f t="array" ref="Q650">IFERROR(INDEX([1]Companies!$D:$D,MATCH(B650,[1]Companies!$A:$A,0)),"")</f>
        <v>2015</v>
      </c>
      <c r="R650" s="17">
        <f t="shared" si="699"/>
        <v>0</v>
      </c>
      <c r="S650" s="14">
        <f>VLOOKUP(I650,[1]Lookups!$V$3:$Y$197,4,FALSE)</f>
        <v>0</v>
      </c>
      <c r="T650" s="14" t="str">
        <f>VLOOKUP(E650,[1]Lookups!$H$3:$I$71,2,FALSE)</f>
        <v>1. Grant</v>
      </c>
      <c r="U650" s="14" t="e">
        <f>VLOOKUP(K650,[1]Lookups!$B$3:$C$142,2,FALSE)</f>
        <v>#N/A</v>
      </c>
      <c r="V650" s="14">
        <f t="shared" si="735"/>
        <v>2018</v>
      </c>
      <c r="W650" s="14">
        <f t="shared" si="736"/>
        <v>8</v>
      </c>
      <c r="X650" s="14">
        <f>VLOOKUP(W650,[1]Lookups!$P$3:$S$15,2,FALSE)</f>
        <v>3</v>
      </c>
      <c r="Y650" s="16">
        <f>VLOOKUP(W650,[1]Lookups!$P$3:$U$15,3,FALSE)</f>
        <v>2</v>
      </c>
      <c r="Z650" s="16">
        <f t="shared" si="737"/>
        <v>1</v>
      </c>
      <c r="AA650" s="16" t="str">
        <f t="shared" ca="1" si="870"/>
        <v>Seedstars</v>
      </c>
      <c r="AB650" s="16">
        <f t="shared" si="870"/>
        <v>0</v>
      </c>
      <c r="AC650" s="16">
        <f t="shared" si="870"/>
        <v>0</v>
      </c>
      <c r="AD650" s="16">
        <f t="shared" si="870"/>
        <v>0</v>
      </c>
      <c r="AE650" s="16">
        <f t="shared" si="870"/>
        <v>0</v>
      </c>
      <c r="AF650" s="16">
        <f t="shared" si="870"/>
        <v>0</v>
      </c>
      <c r="AG650" s="16">
        <f t="shared" si="870"/>
        <v>0</v>
      </c>
      <c r="AH650" s="16">
        <f t="shared" si="870"/>
        <v>0</v>
      </c>
      <c r="AI650" s="16">
        <f t="shared" si="870"/>
        <v>0</v>
      </c>
      <c r="AJ650" s="16">
        <f t="shared" si="870"/>
        <v>0</v>
      </c>
      <c r="AK650" s="16">
        <f t="shared" si="870"/>
        <v>0</v>
      </c>
      <c r="AL650" s="16">
        <f t="shared" si="870"/>
        <v>0</v>
      </c>
      <c r="AM650" s="16">
        <f t="shared" si="870"/>
        <v>0</v>
      </c>
      <c r="AN650" s="16">
        <f t="shared" si="870"/>
        <v>0</v>
      </c>
      <c r="AO650" s="16">
        <f t="shared" si="870"/>
        <v>0</v>
      </c>
      <c r="AP650" s="10"/>
      <c r="AQ650" s="10"/>
      <c r="AR650" s="10"/>
      <c r="AS650" s="10" t="str">
        <f t="shared" ref="AS650" ca="1" si="884">IFERROR(__xludf.DUMMYFUNCTION("split(F479,"","",true,true)"),"Seedstars")</f>
        <v>Seedstars</v>
      </c>
      <c r="AT650" s="10"/>
      <c r="AU650" s="10"/>
      <c r="AV650" s="10"/>
      <c r="AW650" s="10"/>
      <c r="AX650" s="10"/>
      <c r="AY650" s="10"/>
      <c r="AZ650" s="10"/>
      <c r="BA650" s="10"/>
      <c r="BB650" s="10"/>
      <c r="BC650" s="10"/>
      <c r="BD650" s="10"/>
      <c r="BE650" s="10"/>
      <c r="BF650" s="10"/>
      <c r="BG650" s="10"/>
      <c r="BH650" s="10"/>
      <c r="BI650" s="10"/>
      <c r="BJ650" s="10"/>
      <c r="BK650" s="10"/>
      <c r="BM650" s="10"/>
    </row>
    <row r="651" spans="1:65" ht="12.75">
      <c r="A651" s="18">
        <v>43318</v>
      </c>
      <c r="B651" s="14" t="s">
        <v>1433</v>
      </c>
      <c r="C651" s="19">
        <v>300000</v>
      </c>
      <c r="D651" s="19"/>
      <c r="E651" s="10" t="s">
        <v>653</v>
      </c>
      <c r="F651" s="14" t="s">
        <v>1434</v>
      </c>
      <c r="G651" s="21" t="s">
        <v>1435</v>
      </c>
      <c r="H651" s="14" t="str">
        <f t="array" ref="H651">IFERROR(INDEX([1]Companies!$G:$G,MATCH(B651,[1]Companies!$A:$A,0)),"")</f>
        <v>Zimbabwe</v>
      </c>
      <c r="I651" s="14" t="str">
        <f t="shared" si="694"/>
        <v>Zimbabwe</v>
      </c>
      <c r="J651" s="14" t="str">
        <f t="array" ref="J651">IFERROR(INDEX([1]Companies!$Y:$Y,MATCH(B651,[1]Companies!$A:$A,0)),"")</f>
        <v>Clean Energy, Energy, Solar</v>
      </c>
      <c r="K651" s="14" t="str">
        <f t="array" ref="K651">IFERROR(INDEX([1]Companies!$X:$X,MATCH(B651,[1]Companies!$A:$A,0)),"")</f>
        <v>Energy &amp; Environment Resources</v>
      </c>
      <c r="L651" s="14" t="str">
        <f>VLOOKUP(B651,[1]Companies!$A$1:$C$5243,1,FALSE)</f>
        <v>Zonful Energy</v>
      </c>
      <c r="M651" s="15">
        <f t="shared" si="695"/>
        <v>0.9</v>
      </c>
      <c r="N651" s="10" t="str">
        <f t="shared" si="696"/>
        <v>43318Zonful Energy300000</v>
      </c>
      <c r="O651" s="14" t="str">
        <f t="shared" si="697"/>
        <v/>
      </c>
      <c r="P651" s="14">
        <f t="shared" si="698"/>
        <v>1</v>
      </c>
      <c r="Q651" s="14">
        <f t="array" ref="Q651">IFERROR(INDEX([1]Companies!$D:$D,MATCH(B651,[1]Companies!$A:$A,0)),"")</f>
        <v>2013</v>
      </c>
      <c r="R651" s="17">
        <f t="shared" si="699"/>
        <v>600000</v>
      </c>
      <c r="S651" s="14">
        <f>VLOOKUP(I651,[1]Lookups!$V$3:$Y$197,4,FALSE)</f>
        <v>0</v>
      </c>
      <c r="T651" s="14" t="str">
        <f>VLOOKUP(E651,[1]Lookups!$H$3:$I$71,2,FALSE)</f>
        <v>4. Late Venture</v>
      </c>
      <c r="U651" s="14" t="e">
        <f>VLOOKUP(K651,[1]Lookups!$B$3:$C$142,2,FALSE)</f>
        <v>#N/A</v>
      </c>
      <c r="V651" s="14">
        <f t="shared" si="735"/>
        <v>2018</v>
      </c>
      <c r="W651" s="14">
        <f t="shared" si="736"/>
        <v>8</v>
      </c>
      <c r="X651" s="14">
        <f>VLOOKUP(W651,[1]Lookups!$P$3:$S$15,2,FALSE)</f>
        <v>3</v>
      </c>
      <c r="Y651" s="16">
        <f>VLOOKUP(W651,[1]Lookups!$P$3:$U$15,3,FALSE)</f>
        <v>2</v>
      </c>
      <c r="Z651" s="16">
        <f t="shared" si="737"/>
        <v>1</v>
      </c>
      <c r="AA651" s="16" t="str">
        <f t="shared" ca="1" si="870"/>
        <v>Seedstars</v>
      </c>
      <c r="AB651" s="16">
        <f t="shared" si="870"/>
        <v>0</v>
      </c>
      <c r="AC651" s="16">
        <f t="shared" si="870"/>
        <v>0</v>
      </c>
      <c r="AD651" s="16">
        <f t="shared" si="870"/>
        <v>0</v>
      </c>
      <c r="AE651" s="16">
        <f t="shared" si="870"/>
        <v>0</v>
      </c>
      <c r="AF651" s="16">
        <f t="shared" si="870"/>
        <v>0</v>
      </c>
      <c r="AG651" s="16">
        <f t="shared" si="870"/>
        <v>0</v>
      </c>
      <c r="AH651" s="16">
        <f t="shared" si="870"/>
        <v>0</v>
      </c>
      <c r="AI651" s="16">
        <f t="shared" si="870"/>
        <v>0</v>
      </c>
      <c r="AJ651" s="16">
        <f t="shared" si="870"/>
        <v>0</v>
      </c>
      <c r="AK651" s="16">
        <f t="shared" si="870"/>
        <v>0</v>
      </c>
      <c r="AL651" s="16">
        <f t="shared" si="870"/>
        <v>0</v>
      </c>
      <c r="AM651" s="16">
        <f t="shared" si="870"/>
        <v>0</v>
      </c>
      <c r="AN651" s="16">
        <f t="shared" si="870"/>
        <v>0</v>
      </c>
      <c r="AO651" s="16">
        <f t="shared" si="870"/>
        <v>0</v>
      </c>
      <c r="AP651" s="10"/>
      <c r="AQ651" s="10"/>
      <c r="AR651" s="10"/>
      <c r="AS651" s="10" t="str">
        <f t="shared" ref="AS651" ca="1" si="885">IFERROR(__xludf.DUMMYFUNCTION("split(F479,"","",true,true)"),"Seedstars")</f>
        <v>Seedstars</v>
      </c>
      <c r="AT651" s="10"/>
      <c r="AU651" s="10"/>
      <c r="AV651" s="10"/>
      <c r="AW651" s="10"/>
      <c r="AX651" s="10"/>
      <c r="AY651" s="10"/>
      <c r="AZ651" s="10"/>
      <c r="BA651" s="10"/>
      <c r="BB651" s="10"/>
      <c r="BC651" s="10"/>
      <c r="BD651" s="10"/>
      <c r="BE651" s="10"/>
      <c r="BF651" s="10"/>
      <c r="BG651" s="10"/>
      <c r="BH651" s="10"/>
      <c r="BI651" s="10"/>
      <c r="BJ651" s="10"/>
      <c r="BK651" s="10"/>
      <c r="BM651" s="10"/>
    </row>
    <row r="652" spans="1:65" ht="12.75">
      <c r="A652" s="18">
        <v>43318</v>
      </c>
      <c r="B652" s="14" t="s">
        <v>1436</v>
      </c>
      <c r="C652" s="19">
        <v>200000</v>
      </c>
      <c r="D652" s="19"/>
      <c r="E652" s="14" t="s">
        <v>45</v>
      </c>
      <c r="F652" s="14" t="s">
        <v>248</v>
      </c>
      <c r="G652" s="27" t="s">
        <v>1437</v>
      </c>
      <c r="H652" s="14" t="str">
        <f t="array" ref="H652">IFERROR(INDEX([1]Companies!$G:$G,MATCH(B652,[1]Companies!$A:$A,0)),"")</f>
        <v>Uganda</v>
      </c>
      <c r="I652" s="14" t="str">
        <f t="shared" si="694"/>
        <v>Uganda</v>
      </c>
      <c r="J652" s="14" t="str">
        <f t="array" ref="J652">IFERROR(INDEX([1]Companies!$Y:$Y,MATCH(B652,[1]Companies!$A:$A,0)),"")</f>
        <v>Health Care, Health Insurance, Home Health Care, Medical, Personal Health, Pharmaceutical</v>
      </c>
      <c r="K652" s="14" t="str">
        <f t="array" ref="K652">IFERROR(INDEX([1]Companies!$X:$X,MATCH(B652,[1]Companies!$A:$A,0)),"")</f>
        <v>Healthcare &amp; Pharma</v>
      </c>
      <c r="L652" s="14" t="str">
        <f>VLOOKUP(B652,[1]Companies!$A$1:$C$5243,1,FALSE)</f>
        <v xml:space="preserve">The Medical Concierge Group </v>
      </c>
      <c r="M652" s="15">
        <f t="shared" si="695"/>
        <v>0.9</v>
      </c>
      <c r="N652" s="10" t="str">
        <f t="shared" si="696"/>
        <v>43318The Medical Concierge Group 200000</v>
      </c>
      <c r="O652" s="14" t="str">
        <f t="shared" si="697"/>
        <v/>
      </c>
      <c r="P652" s="14">
        <f t="shared" si="698"/>
        <v>1</v>
      </c>
      <c r="Q652" s="14">
        <f t="array" ref="Q652">IFERROR(INDEX([1]Companies!$D:$D,MATCH(B652,[1]Companies!$A:$A,0)),"")</f>
        <v>2012</v>
      </c>
      <c r="R652" s="17">
        <f t="shared" si="699"/>
        <v>200000</v>
      </c>
      <c r="S652" s="14">
        <f>VLOOKUP(I652,[1]Lookups!$V$3:$Y$197,4,FALSE)</f>
        <v>0</v>
      </c>
      <c r="T652" s="14" t="str">
        <f>VLOOKUP(E652,[1]Lookups!$H$3:$I$71,2,FALSE)</f>
        <v>2. Seed</v>
      </c>
      <c r="U652" s="14" t="str">
        <f>VLOOKUP(K652,[1]Lookups!$B$3:$C$142,2,FALSE)</f>
        <v>Health &amp; Pharmaceuticals</v>
      </c>
      <c r="V652" s="14">
        <f t="shared" si="735"/>
        <v>2018</v>
      </c>
      <c r="W652" s="14">
        <f t="shared" si="736"/>
        <v>8</v>
      </c>
      <c r="X652" s="14">
        <f>VLOOKUP(W652,[1]Lookups!$P$3:$S$15,2,FALSE)</f>
        <v>3</v>
      </c>
      <c r="Y652" s="16">
        <f>VLOOKUP(W652,[1]Lookups!$P$3:$U$15,3,FALSE)</f>
        <v>2</v>
      </c>
      <c r="Z652" s="16">
        <f t="shared" si="737"/>
        <v>1</v>
      </c>
      <c r="AA652" s="16" t="str">
        <f t="shared" ca="1" si="870"/>
        <v>Seedstars</v>
      </c>
      <c r="AB652" s="16">
        <f t="shared" si="870"/>
        <v>0</v>
      </c>
      <c r="AC652" s="16">
        <f t="shared" si="870"/>
        <v>0</v>
      </c>
      <c r="AD652" s="16">
        <f t="shared" si="870"/>
        <v>0</v>
      </c>
      <c r="AE652" s="16">
        <f t="shared" si="870"/>
        <v>0</v>
      </c>
      <c r="AF652" s="16">
        <f t="shared" si="870"/>
        <v>0</v>
      </c>
      <c r="AG652" s="16">
        <f t="shared" si="870"/>
        <v>0</v>
      </c>
      <c r="AH652" s="16">
        <f t="shared" si="870"/>
        <v>0</v>
      </c>
      <c r="AI652" s="16">
        <f t="shared" si="870"/>
        <v>0</v>
      </c>
      <c r="AJ652" s="16">
        <f t="shared" si="870"/>
        <v>0</v>
      </c>
      <c r="AK652" s="16">
        <f t="shared" si="870"/>
        <v>0</v>
      </c>
      <c r="AL652" s="16">
        <f t="shared" si="870"/>
        <v>0</v>
      </c>
      <c r="AM652" s="16">
        <f t="shared" si="870"/>
        <v>0</v>
      </c>
      <c r="AN652" s="16">
        <f t="shared" si="870"/>
        <v>0</v>
      </c>
      <c r="AO652" s="16">
        <f t="shared" si="870"/>
        <v>0</v>
      </c>
      <c r="AP652" s="10"/>
      <c r="AQ652" s="10"/>
      <c r="AR652" s="10"/>
      <c r="AS652" s="10" t="str">
        <f t="shared" ref="AS652" ca="1" si="886">IFERROR(__xludf.DUMMYFUNCTION("split(F479,"","",true,true)"),"Seedstars")</f>
        <v>Seedstars</v>
      </c>
      <c r="AT652" s="10"/>
      <c r="AU652" s="10"/>
      <c r="AV652" s="10"/>
      <c r="AW652" s="10"/>
      <c r="AX652" s="10"/>
      <c r="AY652" s="10"/>
      <c r="AZ652" s="10"/>
      <c r="BA652" s="10"/>
      <c r="BB652" s="10"/>
      <c r="BC652" s="10"/>
      <c r="BD652" s="10"/>
      <c r="BE652" s="10"/>
      <c r="BF652" s="10"/>
      <c r="BG652" s="10"/>
      <c r="BH652" s="10"/>
      <c r="BI652" s="10"/>
      <c r="BJ652" s="10"/>
      <c r="BK652" s="10"/>
      <c r="BM652" s="10"/>
    </row>
    <row r="653" spans="1:65" ht="12.75">
      <c r="A653" s="18">
        <v>43319</v>
      </c>
      <c r="B653" s="14" t="s">
        <v>1438</v>
      </c>
      <c r="C653" s="19" t="s">
        <v>49</v>
      </c>
      <c r="D653" s="19"/>
      <c r="E653" s="14" t="s">
        <v>55</v>
      </c>
      <c r="F653" s="14" t="s">
        <v>1431</v>
      </c>
      <c r="G653" s="27" t="s">
        <v>1439</v>
      </c>
      <c r="H653" s="14" t="str">
        <f t="array" ref="H653">IFERROR(INDEX([1]Companies!$G:$G,MATCH(B653,[1]Companies!$A:$A,0)),"")</f>
        <v>Kenya</v>
      </c>
      <c r="I653" s="14" t="str">
        <f t="shared" si="694"/>
        <v>Kenya</v>
      </c>
      <c r="J653" s="14" t="str">
        <f t="array" ref="J653">IFERROR(INDEX([1]Companies!$Y:$Y,MATCH(B653,[1]Companies!$A:$A,0)),"")</f>
        <v>Agriculture, Farming, Machine Learning, Renewable Energy</v>
      </c>
      <c r="K653" s="14" t="str">
        <f t="array" ref="K653">IFERROR(INDEX([1]Companies!$X:$X,MATCH(B653,[1]Companies!$A:$A,0)),"")</f>
        <v>Agriculture</v>
      </c>
      <c r="L653" s="14" t="str">
        <f>VLOOKUP(B653,[1]Companies!$A$1:$C$5243,1,FALSE)</f>
        <v>Agsol</v>
      </c>
      <c r="M653" s="15">
        <f t="shared" si="695"/>
        <v>0.9</v>
      </c>
      <c r="N653" s="10" t="str">
        <f t="shared" si="696"/>
        <v>43319AgsolUndisclosed</v>
      </c>
      <c r="O653" s="14" t="str">
        <f t="shared" si="697"/>
        <v/>
      </c>
      <c r="P653" s="14">
        <f t="shared" si="698"/>
        <v>0</v>
      </c>
      <c r="Q653" s="14">
        <f t="array" ref="Q653">IFERROR(INDEX([1]Companies!$D:$D,MATCH(B653,[1]Companies!$A:$A,0)),"")</f>
        <v>2016</v>
      </c>
      <c r="R653" s="17">
        <f t="shared" si="699"/>
        <v>0</v>
      </c>
      <c r="S653" s="14">
        <f>VLOOKUP(I653,[1]Lookups!$V$3:$Y$197,4,FALSE)</f>
        <v>0</v>
      </c>
      <c r="T653" s="14" t="str">
        <f>VLOOKUP(E653,[1]Lookups!$H$3:$I$71,2,FALSE)</f>
        <v>1. Grant</v>
      </c>
      <c r="U653" s="14" t="str">
        <f>VLOOKUP(K653,[1]Lookups!$B$3:$C$142,2,FALSE)</f>
        <v>Agriculture</v>
      </c>
      <c r="V653" s="14">
        <f t="shared" si="735"/>
        <v>2018</v>
      </c>
      <c r="W653" s="14">
        <f t="shared" si="736"/>
        <v>8</v>
      </c>
      <c r="X653" s="14">
        <f>VLOOKUP(W653,[1]Lookups!$P$3:$S$15,2,FALSE)</f>
        <v>3</v>
      </c>
      <c r="Y653" s="16">
        <f>VLOOKUP(W653,[1]Lookups!$P$3:$U$15,3,FALSE)</f>
        <v>2</v>
      </c>
      <c r="Z653" s="16">
        <f t="shared" si="737"/>
        <v>1</v>
      </c>
      <c r="AA653" s="16" t="str">
        <f t="shared" ref="AA653:AO668" ca="1" si="887">AS653</f>
        <v>Seedstars</v>
      </c>
      <c r="AB653" s="16">
        <f t="shared" si="887"/>
        <v>0</v>
      </c>
      <c r="AC653" s="16">
        <f t="shared" si="887"/>
        <v>0</v>
      </c>
      <c r="AD653" s="16">
        <f t="shared" si="887"/>
        <v>0</v>
      </c>
      <c r="AE653" s="16">
        <f t="shared" si="887"/>
        <v>0</v>
      </c>
      <c r="AF653" s="16">
        <f t="shared" si="887"/>
        <v>0</v>
      </c>
      <c r="AG653" s="16">
        <f t="shared" si="887"/>
        <v>0</v>
      </c>
      <c r="AH653" s="16">
        <f t="shared" si="887"/>
        <v>0</v>
      </c>
      <c r="AI653" s="16">
        <f t="shared" si="887"/>
        <v>0</v>
      </c>
      <c r="AJ653" s="16">
        <f t="shared" si="887"/>
        <v>0</v>
      </c>
      <c r="AK653" s="16">
        <f t="shared" si="887"/>
        <v>0</v>
      </c>
      <c r="AL653" s="16">
        <f t="shared" si="887"/>
        <v>0</v>
      </c>
      <c r="AM653" s="16">
        <f t="shared" si="887"/>
        <v>0</v>
      </c>
      <c r="AN653" s="16">
        <f t="shared" si="887"/>
        <v>0</v>
      </c>
      <c r="AO653" s="16">
        <f t="shared" si="887"/>
        <v>0</v>
      </c>
      <c r="AP653" s="10"/>
      <c r="AQ653" s="10"/>
      <c r="AR653" s="10"/>
      <c r="AS653" s="10" t="str">
        <f t="shared" ref="AS653" ca="1" si="888">IFERROR(__xludf.DUMMYFUNCTION("split(F479,"","",true,true)"),"Seedstars")</f>
        <v>Seedstars</v>
      </c>
      <c r="AT653" s="10"/>
      <c r="AU653" s="10"/>
      <c r="AV653" s="10"/>
      <c r="AW653" s="10"/>
      <c r="AX653" s="10"/>
      <c r="AY653" s="10"/>
      <c r="AZ653" s="10"/>
      <c r="BA653" s="10"/>
      <c r="BB653" s="10"/>
      <c r="BC653" s="10"/>
      <c r="BD653" s="10"/>
      <c r="BE653" s="10"/>
      <c r="BF653" s="10"/>
      <c r="BG653" s="10"/>
      <c r="BH653" s="10"/>
      <c r="BI653" s="10"/>
      <c r="BJ653" s="10"/>
      <c r="BK653" s="10"/>
      <c r="BM653" s="10"/>
    </row>
    <row r="654" spans="1:65" ht="12.75">
      <c r="A654" s="18">
        <v>43319</v>
      </c>
      <c r="B654" s="14" t="s">
        <v>1440</v>
      </c>
      <c r="C654" s="19" t="s">
        <v>49</v>
      </c>
      <c r="D654" s="19"/>
      <c r="E654" s="14" t="s">
        <v>55</v>
      </c>
      <c r="F654" s="14" t="s">
        <v>1431</v>
      </c>
      <c r="G654" s="27" t="s">
        <v>1439</v>
      </c>
      <c r="H654" s="14" t="str">
        <f t="array" ref="H654">IFERROR(INDEX([1]Companies!$G:$G,MATCH(B654,[1]Companies!$A:$A,0)),"")</f>
        <v>Rwanda</v>
      </c>
      <c r="I654" s="14" t="str">
        <f t="shared" si="694"/>
        <v>Rwanda</v>
      </c>
      <c r="J654" s="14" t="str">
        <f t="array" ref="J654">IFERROR(INDEX([1]Companies!$Y:$Y,MATCH(B654,[1]Companies!$A:$A,0)),"")</f>
        <v>Electrical Distribution, Power Grid, Solar</v>
      </c>
      <c r="K654" s="14" t="str">
        <f t="array" ref="K654">IFERROR(INDEX([1]Companies!$X:$X,MATCH(B654,[1]Companies!$A:$A,0)),"")</f>
        <v>Energy &amp; Environment Resources</v>
      </c>
      <c r="L654" s="14" t="str">
        <f>VLOOKUP(B654,[1]Companies!$A$1:$C$5243,1,FALSE)</f>
        <v>MeshPower</v>
      </c>
      <c r="M654" s="15">
        <f t="shared" si="695"/>
        <v>0.9</v>
      </c>
      <c r="N654" s="10" t="str">
        <f t="shared" si="696"/>
        <v>43319MeshPowerUndisclosed</v>
      </c>
      <c r="O654" s="14" t="str">
        <f t="shared" si="697"/>
        <v/>
      </c>
      <c r="P654" s="14">
        <f t="shared" si="698"/>
        <v>0</v>
      </c>
      <c r="Q654" s="14">
        <f t="array" ref="Q654">IFERROR(INDEX([1]Companies!$D:$D,MATCH(B654,[1]Companies!$A:$A,0)),"")</f>
        <v>2012</v>
      </c>
      <c r="R654" s="17">
        <f t="shared" si="699"/>
        <v>0</v>
      </c>
      <c r="S654" s="14">
        <f>VLOOKUP(I654,[1]Lookups!$V$3:$Y$197,4,FALSE)</f>
        <v>0</v>
      </c>
      <c r="T654" s="14" t="str">
        <f>VLOOKUP(E654,[1]Lookups!$H$3:$I$71,2,FALSE)</f>
        <v>1. Grant</v>
      </c>
      <c r="U654" s="14" t="e">
        <f>VLOOKUP(K654,[1]Lookups!$B$3:$C$142,2,FALSE)</f>
        <v>#N/A</v>
      </c>
      <c r="V654" s="14">
        <f t="shared" si="735"/>
        <v>2018</v>
      </c>
      <c r="W654" s="14">
        <f t="shared" si="736"/>
        <v>8</v>
      </c>
      <c r="X654" s="14">
        <f>VLOOKUP(W654,[1]Lookups!$P$3:$S$15,2,FALSE)</f>
        <v>3</v>
      </c>
      <c r="Y654" s="16">
        <f>VLOOKUP(W654,[1]Lookups!$P$3:$U$15,3,FALSE)</f>
        <v>2</v>
      </c>
      <c r="Z654" s="16">
        <f t="shared" si="737"/>
        <v>1</v>
      </c>
      <c r="AA654" s="16" t="str">
        <f t="shared" ca="1" si="887"/>
        <v>Seedstars</v>
      </c>
      <c r="AB654" s="16">
        <f t="shared" si="887"/>
        <v>0</v>
      </c>
      <c r="AC654" s="16">
        <f t="shared" si="887"/>
        <v>0</v>
      </c>
      <c r="AD654" s="16">
        <f t="shared" si="887"/>
        <v>0</v>
      </c>
      <c r="AE654" s="16">
        <f t="shared" si="887"/>
        <v>0</v>
      </c>
      <c r="AF654" s="16">
        <f t="shared" si="887"/>
        <v>0</v>
      </c>
      <c r="AG654" s="16">
        <f t="shared" si="887"/>
        <v>0</v>
      </c>
      <c r="AH654" s="16">
        <f t="shared" si="887"/>
        <v>0</v>
      </c>
      <c r="AI654" s="16">
        <f t="shared" si="887"/>
        <v>0</v>
      </c>
      <c r="AJ654" s="16">
        <f t="shared" si="887"/>
        <v>0</v>
      </c>
      <c r="AK654" s="16">
        <f t="shared" si="887"/>
        <v>0</v>
      </c>
      <c r="AL654" s="16">
        <f t="shared" si="887"/>
        <v>0</v>
      </c>
      <c r="AM654" s="16">
        <f t="shared" si="887"/>
        <v>0</v>
      </c>
      <c r="AN654" s="16">
        <f t="shared" si="887"/>
        <v>0</v>
      </c>
      <c r="AO654" s="16">
        <f t="shared" si="887"/>
        <v>0</v>
      </c>
      <c r="AP654" s="10"/>
      <c r="AQ654" s="10"/>
      <c r="AR654" s="10"/>
      <c r="AS654" s="10" t="str">
        <f t="shared" ref="AS654" ca="1" si="889">IFERROR(__xludf.DUMMYFUNCTION("split(F479,"","",true,true)"),"Seedstars")</f>
        <v>Seedstars</v>
      </c>
      <c r="AT654" s="10"/>
      <c r="AU654" s="10"/>
      <c r="AV654" s="10"/>
      <c r="AW654" s="10"/>
      <c r="AX654" s="10"/>
      <c r="AY654" s="10"/>
      <c r="AZ654" s="10"/>
      <c r="BA654" s="10"/>
      <c r="BB654" s="10"/>
      <c r="BC654" s="10"/>
      <c r="BD654" s="10"/>
      <c r="BE654" s="10"/>
      <c r="BF654" s="10"/>
      <c r="BG654" s="10"/>
      <c r="BH654" s="10"/>
      <c r="BI654" s="10"/>
      <c r="BJ654" s="10"/>
      <c r="BK654" s="10"/>
      <c r="BM654" s="10"/>
    </row>
    <row r="655" spans="1:65" ht="12.75">
      <c r="A655" s="18">
        <v>43319</v>
      </c>
      <c r="B655" s="14" t="s">
        <v>1441</v>
      </c>
      <c r="C655" s="19">
        <v>550000</v>
      </c>
      <c r="D655" s="19"/>
      <c r="E655" s="14" t="s">
        <v>45</v>
      </c>
      <c r="F655" s="14" t="s">
        <v>942</v>
      </c>
      <c r="G655" s="27" t="s">
        <v>1442</v>
      </c>
      <c r="H655" s="14" t="str">
        <f t="array" ref="H655">IFERROR(INDEX([1]Companies!$G:$G,MATCH(B655,[1]Companies!$A:$A,0)),"")</f>
        <v>Kenya</v>
      </c>
      <c r="I655" s="14" t="str">
        <f t="shared" si="694"/>
        <v>Kenya</v>
      </c>
      <c r="J655" s="14" t="str">
        <f t="array" ref="J655">IFERROR(INDEX([1]Companies!$Y:$Y,MATCH(B655,[1]Companies!$A:$A,0)),"")</f>
        <v>Finance, Financial Services, Fintech, p2P lending</v>
      </c>
      <c r="K655" s="14" t="str">
        <f t="array" ref="K655">IFERROR(INDEX([1]Companies!$X:$X,MATCH(B655,[1]Companies!$A:$A,0)),"")</f>
        <v>Financial Services</v>
      </c>
      <c r="L655" s="14" t="str">
        <f>VLOOKUP(B655,[1]Companies!$A$1:$C$5243,1,FALSE)</f>
        <v>Pezesha</v>
      </c>
      <c r="M655" s="15">
        <f t="shared" si="695"/>
        <v>0.9</v>
      </c>
      <c r="N655" s="10" t="str">
        <f t="shared" si="696"/>
        <v>43319Pezesha550000</v>
      </c>
      <c r="O655" s="14" t="str">
        <f t="shared" si="697"/>
        <v/>
      </c>
      <c r="P655" s="14">
        <f t="shared" si="698"/>
        <v>1</v>
      </c>
      <c r="Q655" s="14">
        <f t="array" ref="Q655">IFERROR(INDEX([1]Companies!$D:$D,MATCH(B655,[1]Companies!$A:$A,0)),"")</f>
        <v>2016</v>
      </c>
      <c r="R655" s="17">
        <f t="shared" si="699"/>
        <v>550000</v>
      </c>
      <c r="S655" s="14">
        <f>VLOOKUP(I655,[1]Lookups!$V$3:$Y$197,4,FALSE)</f>
        <v>0</v>
      </c>
      <c r="T655" s="14" t="str">
        <f>VLOOKUP(E655,[1]Lookups!$H$3:$I$71,2,FALSE)</f>
        <v>2. Seed</v>
      </c>
      <c r="U655" s="14" t="str">
        <f>VLOOKUP(K655,[1]Lookups!$B$3:$C$142,2,FALSE)</f>
        <v>Financial Services</v>
      </c>
      <c r="V655" s="14">
        <f t="shared" si="735"/>
        <v>2018</v>
      </c>
      <c r="W655" s="14">
        <f t="shared" si="736"/>
        <v>8</v>
      </c>
      <c r="X655" s="14">
        <f>VLOOKUP(W655,[1]Lookups!$P$3:$S$15,2,FALSE)</f>
        <v>3</v>
      </c>
      <c r="Y655" s="16">
        <f>VLOOKUP(W655,[1]Lookups!$P$3:$U$15,3,FALSE)</f>
        <v>2</v>
      </c>
      <c r="Z655" s="16">
        <f t="shared" si="737"/>
        <v>1</v>
      </c>
      <c r="AA655" s="16" t="str">
        <f t="shared" ca="1" si="887"/>
        <v>Seedstars</v>
      </c>
      <c r="AB655" s="16">
        <f t="shared" si="887"/>
        <v>0</v>
      </c>
      <c r="AC655" s="16">
        <f t="shared" si="887"/>
        <v>0</v>
      </c>
      <c r="AD655" s="16">
        <f t="shared" si="887"/>
        <v>0</v>
      </c>
      <c r="AE655" s="16">
        <f t="shared" si="887"/>
        <v>0</v>
      </c>
      <c r="AF655" s="16">
        <f t="shared" si="887"/>
        <v>0</v>
      </c>
      <c r="AG655" s="16">
        <f t="shared" si="887"/>
        <v>0</v>
      </c>
      <c r="AH655" s="16">
        <f t="shared" si="887"/>
        <v>0</v>
      </c>
      <c r="AI655" s="16">
        <f t="shared" si="887"/>
        <v>0</v>
      </c>
      <c r="AJ655" s="16">
        <f t="shared" si="887"/>
        <v>0</v>
      </c>
      <c r="AK655" s="16">
        <f t="shared" si="887"/>
        <v>0</v>
      </c>
      <c r="AL655" s="16">
        <f t="shared" si="887"/>
        <v>0</v>
      </c>
      <c r="AM655" s="16">
        <f t="shared" si="887"/>
        <v>0</v>
      </c>
      <c r="AN655" s="16">
        <f t="shared" si="887"/>
        <v>0</v>
      </c>
      <c r="AO655" s="16">
        <f t="shared" si="887"/>
        <v>0</v>
      </c>
      <c r="AP655" s="10"/>
      <c r="AQ655" s="10"/>
      <c r="AR655" s="10"/>
      <c r="AS655" s="10" t="str">
        <f t="shared" ref="AS655" ca="1" si="890">IFERROR(__xludf.DUMMYFUNCTION("split(F479,"","",true,true)"),"Seedstars")</f>
        <v>Seedstars</v>
      </c>
      <c r="AT655" s="10"/>
      <c r="AU655" s="10"/>
      <c r="AV655" s="10"/>
      <c r="AW655" s="10"/>
      <c r="AX655" s="10"/>
      <c r="AY655" s="10"/>
      <c r="AZ655" s="10"/>
      <c r="BA655" s="10"/>
      <c r="BB655" s="10"/>
      <c r="BC655" s="10"/>
      <c r="BD655" s="10"/>
      <c r="BE655" s="10"/>
      <c r="BF655" s="10"/>
      <c r="BG655" s="10"/>
      <c r="BH655" s="10"/>
      <c r="BI655" s="10"/>
      <c r="BJ655" s="10"/>
      <c r="BK655" s="10"/>
      <c r="BM655" s="10"/>
    </row>
    <row r="656" spans="1:65" ht="12.75">
      <c r="A656" s="18">
        <v>43319</v>
      </c>
      <c r="B656" s="14" t="s">
        <v>540</v>
      </c>
      <c r="C656" s="19">
        <v>500000</v>
      </c>
      <c r="D656" s="19"/>
      <c r="E656" s="14" t="s">
        <v>69</v>
      </c>
      <c r="F656" s="14" t="s">
        <v>1443</v>
      </c>
      <c r="G656" s="27" t="s">
        <v>1444</v>
      </c>
      <c r="H656" s="14" t="str">
        <f t="array" ref="H656">IFERROR(INDEX([1]Companies!$G:$G,MATCH(B656,[1]Companies!$A:$A,0)),"")</f>
        <v>Tanzania</v>
      </c>
      <c r="I656" s="14" t="str">
        <f t="shared" si="694"/>
        <v>Tanzania</v>
      </c>
      <c r="J656" s="14" t="str">
        <f t="array" ref="J656">IFERROR(INDEX([1]Companies!$Y:$Y,MATCH(B656,[1]Companies!$A:$A,0)),"")</f>
        <v>Health Insurance</v>
      </c>
      <c r="K656" s="14" t="str">
        <f t="array" ref="K656">IFERROR(INDEX([1]Companies!$X:$X,MATCH(B656,[1]Companies!$A:$A,0)),"")</f>
        <v>Financial Services</v>
      </c>
      <c r="L656" s="14" t="str">
        <f>VLOOKUP(B656,[1]Companies!$A$1:$C$5243,1,FALSE)</f>
        <v>Jamii Africa</v>
      </c>
      <c r="M656" s="15">
        <f t="shared" si="695"/>
        <v>0.9</v>
      </c>
      <c r="N656" s="10" t="str">
        <f t="shared" si="696"/>
        <v>43319Jamii Africa500000</v>
      </c>
      <c r="O656" s="14" t="str">
        <f t="shared" si="697"/>
        <v/>
      </c>
      <c r="P656" s="14">
        <f t="shared" si="698"/>
        <v>1</v>
      </c>
      <c r="Q656" s="14">
        <f t="array" ref="Q656">IFERROR(INDEX([1]Companies!$D:$D,MATCH(B656,[1]Companies!$A:$A,0)),"")</f>
        <v>2016</v>
      </c>
      <c r="R656" s="17">
        <f t="shared" si="699"/>
        <v>1250000</v>
      </c>
      <c r="S656" s="14">
        <f>VLOOKUP(I656,[1]Lookups!$V$3:$Y$197,4,FALSE)</f>
        <v>0</v>
      </c>
      <c r="T656" s="14" t="str">
        <f>VLOOKUP(E656,[1]Lookups!$H$3:$I$71,2,FALSE)</f>
        <v>3. Early Venture</v>
      </c>
      <c r="U656" s="14" t="str">
        <f>VLOOKUP(K656,[1]Lookups!$B$3:$C$142,2,FALSE)</f>
        <v>Financial Services</v>
      </c>
      <c r="V656" s="14">
        <f t="shared" si="735"/>
        <v>2018</v>
      </c>
      <c r="W656" s="14">
        <f t="shared" si="736"/>
        <v>8</v>
      </c>
      <c r="X656" s="14">
        <f>VLOOKUP(W656,[1]Lookups!$P$3:$S$15,2,FALSE)</f>
        <v>3</v>
      </c>
      <c r="Y656" s="16">
        <f>VLOOKUP(W656,[1]Lookups!$P$3:$U$15,3,FALSE)</f>
        <v>2</v>
      </c>
      <c r="Z656" s="16">
        <f t="shared" si="737"/>
        <v>4</v>
      </c>
      <c r="AA656" s="16" t="str">
        <f t="shared" ca="1" si="887"/>
        <v>Seedstars</v>
      </c>
      <c r="AB656" s="16" t="str">
        <f t="shared" ca="1" si="887"/>
        <v xml:space="preserve"> Zahra Nasser</v>
      </c>
      <c r="AC656" s="16" t="str">
        <f t="shared" ca="1" si="887"/>
        <v xml:space="preserve"> GSMA</v>
      </c>
      <c r="AD656" s="16" t="str">
        <f t="shared" ca="1" si="887"/>
        <v xml:space="preserve"> Patrick Munis</v>
      </c>
      <c r="AE656" s="16">
        <f t="shared" si="887"/>
        <v>0</v>
      </c>
      <c r="AF656" s="16">
        <f t="shared" si="887"/>
        <v>0</v>
      </c>
      <c r="AG656" s="16">
        <f t="shared" si="887"/>
        <v>0</v>
      </c>
      <c r="AH656" s="16">
        <f t="shared" si="887"/>
        <v>0</v>
      </c>
      <c r="AI656" s="16">
        <f t="shared" si="887"/>
        <v>0</v>
      </c>
      <c r="AJ656" s="16">
        <f t="shared" si="887"/>
        <v>0</v>
      </c>
      <c r="AK656" s="16">
        <f t="shared" si="887"/>
        <v>0</v>
      </c>
      <c r="AL656" s="16">
        <f t="shared" si="887"/>
        <v>0</v>
      </c>
      <c r="AM656" s="16">
        <f t="shared" si="887"/>
        <v>0</v>
      </c>
      <c r="AN656" s="16">
        <f t="shared" si="887"/>
        <v>0</v>
      </c>
      <c r="AO656" s="16">
        <f t="shared" si="887"/>
        <v>0</v>
      </c>
      <c r="AP656" s="10"/>
      <c r="AQ656" s="10"/>
      <c r="AR656" s="10"/>
      <c r="AS656" s="10" t="str">
        <f t="shared" ref="AS656" ca="1" si="891">IFERROR(__xludf.DUMMYFUNCTION("split(F479,"","",true,true)"),"Seedstars")</f>
        <v>Seedstars</v>
      </c>
      <c r="AT656" s="10" t="str">
        <f ca="1">IFERROR(__xludf.DUMMYFUNCTION("""COMPUTED_VALUE""")," Zahra Nasser")</f>
        <v xml:space="preserve"> Zahra Nasser</v>
      </c>
      <c r="AU656" s="10" t="str">
        <f ca="1">IFERROR(__xludf.DUMMYFUNCTION("""COMPUTED_VALUE""")," GSMA")</f>
        <v xml:space="preserve"> GSMA</v>
      </c>
      <c r="AV656" s="10" t="str">
        <f ca="1">IFERROR(__xludf.DUMMYFUNCTION("""COMPUTED_VALUE""")," Patrick Munis")</f>
        <v xml:space="preserve"> Patrick Munis</v>
      </c>
      <c r="AW656" s="10"/>
      <c r="AX656" s="10"/>
      <c r="AY656" s="10"/>
      <c r="AZ656" s="10"/>
      <c r="BA656" s="10"/>
      <c r="BB656" s="10"/>
      <c r="BC656" s="10"/>
      <c r="BD656" s="10"/>
      <c r="BE656" s="10"/>
      <c r="BF656" s="10"/>
      <c r="BG656" s="10"/>
      <c r="BH656" s="10"/>
      <c r="BI656" s="10"/>
      <c r="BJ656" s="10"/>
      <c r="BK656" s="10"/>
      <c r="BM656" s="10"/>
    </row>
    <row r="657" spans="1:65" ht="12.75">
      <c r="A657" s="9">
        <v>43320</v>
      </c>
      <c r="B657" s="10" t="s">
        <v>1445</v>
      </c>
      <c r="C657" s="11" t="s">
        <v>49</v>
      </c>
      <c r="D657" s="12"/>
      <c r="E657" s="10" t="s">
        <v>91</v>
      </c>
      <c r="F657" s="10" t="s">
        <v>226</v>
      </c>
      <c r="G657" s="13" t="s">
        <v>1446</v>
      </c>
      <c r="H657" s="14" t="str">
        <f t="array" ref="H657">IFERROR(INDEX([1]Companies!$G:$G,MATCH(B657,[1]Companies!$A:$A,0)),"")</f>
        <v>Egypt</v>
      </c>
      <c r="I657" s="14" t="str">
        <f t="shared" si="694"/>
        <v>Egypt</v>
      </c>
      <c r="J657" s="14" t="str">
        <f t="array" ref="J657">IFERROR(INDEX([1]Companies!$Y:$Y,MATCH(B657,[1]Companies!$A:$A,0)),"")</f>
        <v>Retail, Fintech</v>
      </c>
      <c r="K657" s="14" t="str">
        <f t="array" ref="K657">IFERROR(INDEX([1]Companies!$X:$X,MATCH(B657,[1]Companies!$A:$A,0)),"")</f>
        <v>Financial Services</v>
      </c>
      <c r="L657" s="14" t="str">
        <f>VLOOKUP(B657,[1]Companies!$A$1:$C$5243,1,FALSE)</f>
        <v>Spare Payments</v>
      </c>
      <c r="M657" s="15">
        <f t="shared" si="695"/>
        <v>0.9</v>
      </c>
      <c r="N657" s="10" t="str">
        <f t="shared" si="696"/>
        <v>43320Spare PaymentsUndisclosed</v>
      </c>
      <c r="O657" s="14" t="str">
        <f t="shared" si="697"/>
        <v/>
      </c>
      <c r="P657" s="14">
        <f t="shared" si="698"/>
        <v>0</v>
      </c>
      <c r="Q657" s="14">
        <f t="array" ref="Q657">IFERROR(INDEX([1]Companies!$D:$D,MATCH(B657,[1]Companies!$A:$A,0)),"")</f>
        <v>2018</v>
      </c>
      <c r="R657" s="17">
        <f t="shared" si="699"/>
        <v>0</v>
      </c>
      <c r="S657" s="14">
        <f>VLOOKUP(I657,[1]Lookups!$V$3:$Y$197,4,FALSE)</f>
        <v>0</v>
      </c>
      <c r="T657" s="14" t="str">
        <f>VLOOKUP(E657,[1]Lookups!$H$3:$I$71,2,FALSE)</f>
        <v>5. Debt Financing</v>
      </c>
      <c r="U657" s="14" t="str">
        <f>VLOOKUP(K657,[1]Lookups!$B$3:$C$142,2,FALSE)</f>
        <v>Financial Services</v>
      </c>
      <c r="V657" s="14">
        <f t="shared" si="735"/>
        <v>2018</v>
      </c>
      <c r="W657" s="14">
        <f t="shared" si="736"/>
        <v>8</v>
      </c>
      <c r="X657" s="14">
        <f>VLOOKUP(W657,[1]Lookups!$P$3:$S$15,2,FALSE)</f>
        <v>3</v>
      </c>
      <c r="Y657" s="16">
        <f>VLOOKUP(W657,[1]Lookups!$P$3:$U$15,3,FALSE)</f>
        <v>2</v>
      </c>
      <c r="Z657" s="16">
        <f t="shared" si="737"/>
        <v>1</v>
      </c>
      <c r="AA657" s="16" t="str">
        <f t="shared" ca="1" si="887"/>
        <v>Seedstars</v>
      </c>
      <c r="AB657" s="16">
        <f t="shared" si="887"/>
        <v>0</v>
      </c>
      <c r="AC657" s="16">
        <f t="shared" si="887"/>
        <v>0</v>
      </c>
      <c r="AD657" s="16">
        <f t="shared" si="887"/>
        <v>0</v>
      </c>
      <c r="AE657" s="16">
        <f t="shared" si="887"/>
        <v>0</v>
      </c>
      <c r="AF657" s="16">
        <f t="shared" si="887"/>
        <v>0</v>
      </c>
      <c r="AG657" s="16">
        <f t="shared" si="887"/>
        <v>0</v>
      </c>
      <c r="AH657" s="16">
        <f t="shared" si="887"/>
        <v>0</v>
      </c>
      <c r="AI657" s="16">
        <f t="shared" si="887"/>
        <v>0</v>
      </c>
      <c r="AJ657" s="16">
        <f t="shared" si="887"/>
        <v>0</v>
      </c>
      <c r="AK657" s="16">
        <f t="shared" si="887"/>
        <v>0</v>
      </c>
      <c r="AL657" s="16">
        <f t="shared" si="887"/>
        <v>0</v>
      </c>
      <c r="AM657" s="16">
        <f t="shared" si="887"/>
        <v>0</v>
      </c>
      <c r="AN657" s="16">
        <f t="shared" si="887"/>
        <v>0</v>
      </c>
      <c r="AO657" s="16">
        <f t="shared" si="887"/>
        <v>0</v>
      </c>
      <c r="AP657" s="10"/>
      <c r="AQ657" s="10"/>
      <c r="AR657" s="10"/>
      <c r="AS657" s="10" t="str">
        <f t="shared" ref="AS657" ca="1" si="892">IFERROR(__xludf.DUMMYFUNCTION("split(F479,"","",true,true)"),"Seedstars")</f>
        <v>Seedstars</v>
      </c>
      <c r="AT657" s="10"/>
      <c r="AU657" s="10"/>
      <c r="AV657" s="10"/>
      <c r="AW657" s="10"/>
      <c r="AX657" s="10"/>
      <c r="AY657" s="10"/>
      <c r="AZ657" s="10"/>
      <c r="BA657" s="10"/>
      <c r="BB657" s="10"/>
      <c r="BC657" s="10"/>
      <c r="BD657" s="10"/>
      <c r="BE657" s="10"/>
      <c r="BF657" s="10"/>
      <c r="BG657" s="10"/>
      <c r="BH657" s="10"/>
      <c r="BI657" s="10"/>
      <c r="BJ657" s="10"/>
      <c r="BK657" s="10"/>
      <c r="BM657" s="10"/>
    </row>
    <row r="658" spans="1:65" ht="12.75">
      <c r="A658" s="18">
        <v>43321</v>
      </c>
      <c r="B658" s="14" t="s">
        <v>1447</v>
      </c>
      <c r="C658" s="19">
        <v>1600000</v>
      </c>
      <c r="D658" s="19"/>
      <c r="E658" s="14" t="s">
        <v>55</v>
      </c>
      <c r="F658" s="14" t="s">
        <v>1448</v>
      </c>
      <c r="G658" s="27" t="s">
        <v>1449</v>
      </c>
      <c r="H658" s="14" t="str">
        <f t="array" ref="H658">IFERROR(INDEX([1]Companies!$G:$G,MATCH(B658,[1]Companies!$A:$A,0)),"")</f>
        <v>Zambia</v>
      </c>
      <c r="I658" s="14" t="str">
        <f t="shared" si="694"/>
        <v>Zambia</v>
      </c>
      <c r="J658" s="14" t="str">
        <f t="array" ref="J658">IFERROR(INDEX([1]Companies!$Y:$Y,MATCH(B658,[1]Companies!$A:$A,0)),"")</f>
        <v>Power Grid, Solar</v>
      </c>
      <c r="K658" s="14" t="str">
        <f t="array" ref="K658">IFERROR(INDEX([1]Companies!$X:$X,MATCH(B658,[1]Companies!$A:$A,0)),"")</f>
        <v>Energy &amp; Environment Resources</v>
      </c>
      <c r="L658" s="14" t="str">
        <f>VLOOKUP(B658,[1]Companies!$A$1:$C$5243,1,FALSE)</f>
        <v>Kazang Solar</v>
      </c>
      <c r="M658" s="15">
        <f t="shared" si="695"/>
        <v>0.9</v>
      </c>
      <c r="N658" s="10" t="str">
        <f t="shared" si="696"/>
        <v>43321Kazang Solar1600000</v>
      </c>
      <c r="O658" s="14" t="str">
        <f t="shared" si="697"/>
        <v/>
      </c>
      <c r="P658" s="14">
        <f t="shared" si="698"/>
        <v>1</v>
      </c>
      <c r="Q658" s="14">
        <f t="array" ref="Q658">IFERROR(INDEX([1]Companies!$D:$D,MATCH(B658,[1]Companies!$A:$A,0)),"")</f>
        <v>2016</v>
      </c>
      <c r="R658" s="17">
        <f t="shared" si="699"/>
        <v>1600000</v>
      </c>
      <c r="S658" s="14">
        <f>VLOOKUP(I658,[1]Lookups!$V$3:$Y$197,4,FALSE)</f>
        <v>0</v>
      </c>
      <c r="T658" s="14" t="str">
        <f>VLOOKUP(E658,[1]Lookups!$H$3:$I$71,2,FALSE)</f>
        <v>1. Grant</v>
      </c>
      <c r="U658" s="14" t="e">
        <f>VLOOKUP(K658,[1]Lookups!$B$3:$C$142,2,FALSE)</f>
        <v>#N/A</v>
      </c>
      <c r="V658" s="14">
        <f t="shared" si="735"/>
        <v>2018</v>
      </c>
      <c r="W658" s="14">
        <f t="shared" si="736"/>
        <v>8</v>
      </c>
      <c r="X658" s="14">
        <f>VLOOKUP(W658,[1]Lookups!$P$3:$S$15,2,FALSE)</f>
        <v>3</v>
      </c>
      <c r="Y658" s="16">
        <f>VLOOKUP(W658,[1]Lookups!$P$3:$U$15,3,FALSE)</f>
        <v>2</v>
      </c>
      <c r="Z658" s="16">
        <f t="shared" si="737"/>
        <v>1</v>
      </c>
      <c r="AA658" s="16" t="str">
        <f t="shared" ca="1" si="887"/>
        <v>Seedstars</v>
      </c>
      <c r="AB658" s="16">
        <f t="shared" si="887"/>
        <v>0</v>
      </c>
      <c r="AC658" s="16">
        <f t="shared" si="887"/>
        <v>0</v>
      </c>
      <c r="AD658" s="16">
        <f t="shared" si="887"/>
        <v>0</v>
      </c>
      <c r="AE658" s="16">
        <f t="shared" si="887"/>
        <v>0</v>
      </c>
      <c r="AF658" s="16">
        <f t="shared" si="887"/>
        <v>0</v>
      </c>
      <c r="AG658" s="16">
        <f t="shared" si="887"/>
        <v>0</v>
      </c>
      <c r="AH658" s="16">
        <f t="shared" si="887"/>
        <v>0</v>
      </c>
      <c r="AI658" s="16">
        <f t="shared" si="887"/>
        <v>0</v>
      </c>
      <c r="AJ658" s="16">
        <f t="shared" si="887"/>
        <v>0</v>
      </c>
      <c r="AK658" s="16">
        <f t="shared" si="887"/>
        <v>0</v>
      </c>
      <c r="AL658" s="16">
        <f t="shared" si="887"/>
        <v>0</v>
      </c>
      <c r="AM658" s="16">
        <f t="shared" si="887"/>
        <v>0</v>
      </c>
      <c r="AN658" s="16">
        <f t="shared" si="887"/>
        <v>0</v>
      </c>
      <c r="AO658" s="16">
        <f t="shared" si="887"/>
        <v>0</v>
      </c>
      <c r="AP658" s="10"/>
      <c r="AQ658" s="10"/>
      <c r="AR658" s="10"/>
      <c r="AS658" s="10" t="str">
        <f t="shared" ref="AS658" ca="1" si="893">IFERROR(__xludf.DUMMYFUNCTION("split(F479,"","",true,true)"),"Seedstars")</f>
        <v>Seedstars</v>
      </c>
      <c r="AT658" s="10"/>
      <c r="AU658" s="10"/>
      <c r="AV658" s="10"/>
      <c r="AW658" s="10"/>
      <c r="AX658" s="10"/>
      <c r="AY658" s="10"/>
      <c r="AZ658" s="10"/>
      <c r="BA658" s="10"/>
      <c r="BB658" s="10"/>
      <c r="BC658" s="10"/>
      <c r="BD658" s="10"/>
      <c r="BE658" s="10"/>
      <c r="BF658" s="10"/>
      <c r="BG658" s="10"/>
      <c r="BH658" s="10"/>
      <c r="BI658" s="10"/>
      <c r="BJ658" s="10"/>
      <c r="BK658" s="10"/>
      <c r="BM658" s="10"/>
    </row>
    <row r="659" spans="1:65" ht="12.75">
      <c r="A659" s="18">
        <v>43322</v>
      </c>
      <c r="B659" s="14" t="s">
        <v>193</v>
      </c>
      <c r="C659" s="19">
        <v>13000000</v>
      </c>
      <c r="D659" s="19"/>
      <c r="E659" s="14" t="s">
        <v>69</v>
      </c>
      <c r="F659" s="14" t="s">
        <v>1450</v>
      </c>
      <c r="G659" s="27" t="s">
        <v>1451</v>
      </c>
      <c r="H659" s="14" t="str">
        <f t="array" ref="H659">IFERROR(INDEX([1]Companies!$G:$G,MATCH(B659,[1]Companies!$A:$A,0)),"")</f>
        <v>Nigeria</v>
      </c>
      <c r="I659" s="14" t="str">
        <f t="shared" si="694"/>
        <v>Nigeria</v>
      </c>
      <c r="J659" s="14" t="str">
        <f t="array" ref="J659">IFERROR(INDEX([1]Companies!$Y:$Y,MATCH(B659,[1]Companies!$A:$A,0)),"")</f>
        <v>Microfinance, Distributed Systems, Machine Learning, Functional Programming, Parallel Programming, Microservices, and Metaprogramming.</v>
      </c>
      <c r="K659" s="14" t="str">
        <f t="array" ref="K659">IFERROR(INDEX([1]Companies!$X:$X,MATCH(B659,[1]Companies!$A:$A,0)),"")</f>
        <v>Financial Services</v>
      </c>
      <c r="L659" s="14" t="str">
        <f>VLOOKUP(B659,[1]Companies!$A$1:$C$5243,1,FALSE)</f>
        <v>Mines</v>
      </c>
      <c r="M659" s="15">
        <f t="shared" si="695"/>
        <v>0.9</v>
      </c>
      <c r="N659" s="10" t="str">
        <f t="shared" si="696"/>
        <v>43322Mines13000000</v>
      </c>
      <c r="O659" s="14" t="str">
        <f t="shared" si="697"/>
        <v/>
      </c>
      <c r="P659" s="14">
        <f t="shared" si="698"/>
        <v>1</v>
      </c>
      <c r="Q659" s="14">
        <f t="array" ref="Q659">IFERROR(INDEX([1]Companies!$D:$D,MATCH(B659,[1]Companies!$A:$A,0)),"")</f>
        <v>2014</v>
      </c>
      <c r="R659" s="17">
        <f t="shared" si="699"/>
        <v>17138000</v>
      </c>
      <c r="S659" s="14">
        <f>VLOOKUP(I659,[1]Lookups!$V$3:$Y$197,4,FALSE)</f>
        <v>0</v>
      </c>
      <c r="T659" s="14" t="str">
        <f>VLOOKUP(E659,[1]Lookups!$H$3:$I$71,2,FALSE)</f>
        <v>3. Early Venture</v>
      </c>
      <c r="U659" s="14" t="str">
        <f>VLOOKUP(K659,[1]Lookups!$B$3:$C$142,2,FALSE)</f>
        <v>Financial Services</v>
      </c>
      <c r="V659" s="14">
        <f t="shared" si="735"/>
        <v>2018</v>
      </c>
      <c r="W659" s="14">
        <f t="shared" si="736"/>
        <v>8</v>
      </c>
      <c r="X659" s="14">
        <f>VLOOKUP(W659,[1]Lookups!$P$3:$S$15,2,FALSE)</f>
        <v>3</v>
      </c>
      <c r="Y659" s="16">
        <f>VLOOKUP(W659,[1]Lookups!$P$3:$U$15,3,FALSE)</f>
        <v>2</v>
      </c>
      <c r="Z659" s="16">
        <f t="shared" si="737"/>
        <v>8</v>
      </c>
      <c r="AA659" s="16" t="str">
        <f t="shared" ca="1" si="887"/>
        <v>Seedstars</v>
      </c>
      <c r="AB659" s="16" t="str">
        <f t="shared" ca="1" si="887"/>
        <v xml:space="preserve"> Velocity Capital Private Equity</v>
      </c>
      <c r="AC659" s="16" t="str">
        <f t="shared" ca="1" si="887"/>
        <v xml:space="preserve"> First Ally Capital</v>
      </c>
      <c r="AD659" s="16" t="str">
        <f t="shared" ca="1" si="887"/>
        <v xml:space="preserve"> Nyca Partners</v>
      </c>
      <c r="AE659" s="16" t="str">
        <f t="shared" ca="1" si="887"/>
        <v xml:space="preserve"> Singularity Investments</v>
      </c>
      <c r="AF659" s="16" t="str">
        <f t="shared" ca="1" si="887"/>
        <v xml:space="preserve"> Trans Sahara Investment Corporation</v>
      </c>
      <c r="AG659" s="16" t="str">
        <f t="shared" ca="1" si="887"/>
        <v xml:space="preserve"> Western Technology Investment</v>
      </c>
      <c r="AH659" s="16" t="str">
        <f t="shared" ca="1" si="887"/>
        <v xml:space="preserve"> X/Seed Capital Partners</v>
      </c>
      <c r="AI659" s="16">
        <f t="shared" si="887"/>
        <v>0</v>
      </c>
      <c r="AJ659" s="16">
        <f t="shared" si="887"/>
        <v>0</v>
      </c>
      <c r="AK659" s="16">
        <f t="shared" si="887"/>
        <v>0</v>
      </c>
      <c r="AL659" s="16">
        <f t="shared" si="887"/>
        <v>0</v>
      </c>
      <c r="AM659" s="16">
        <f t="shared" si="887"/>
        <v>0</v>
      </c>
      <c r="AN659" s="16">
        <f t="shared" si="887"/>
        <v>0</v>
      </c>
      <c r="AO659" s="16">
        <f t="shared" si="887"/>
        <v>0</v>
      </c>
      <c r="AP659" s="10"/>
      <c r="AQ659" s="10"/>
      <c r="AR659" s="10"/>
      <c r="AS659" s="10" t="str">
        <f t="shared" ref="AS659" ca="1" si="894">IFERROR(__xludf.DUMMYFUNCTION("split(F479,"","",true,true)"),"Seedstars")</f>
        <v>Seedstars</v>
      </c>
      <c r="AT659" s="10" t="str">
        <f ca="1">IFERROR(__xludf.DUMMYFUNCTION("""COMPUTED_VALUE""")," Velocity Capital Private Equity")</f>
        <v xml:space="preserve"> Velocity Capital Private Equity</v>
      </c>
      <c r="AU659" s="10" t="str">
        <f ca="1">IFERROR(__xludf.DUMMYFUNCTION("""COMPUTED_VALUE""")," First Ally Capital")</f>
        <v xml:space="preserve"> First Ally Capital</v>
      </c>
      <c r="AV659" s="10" t="str">
        <f ca="1">IFERROR(__xludf.DUMMYFUNCTION("""COMPUTED_VALUE""")," Nyca Partners")</f>
        <v xml:space="preserve"> Nyca Partners</v>
      </c>
      <c r="AW659" s="10" t="str">
        <f ca="1">IFERROR(__xludf.DUMMYFUNCTION("""COMPUTED_VALUE""")," Singularity Investments")</f>
        <v xml:space="preserve"> Singularity Investments</v>
      </c>
      <c r="AX659" s="10" t="str">
        <f ca="1">IFERROR(__xludf.DUMMYFUNCTION("""COMPUTED_VALUE""")," Trans Sahara Investment Corporation")</f>
        <v xml:space="preserve"> Trans Sahara Investment Corporation</v>
      </c>
      <c r="AY659" s="10" t="str">
        <f ca="1">IFERROR(__xludf.DUMMYFUNCTION("""COMPUTED_VALUE""")," Western Technology Investment")</f>
        <v xml:space="preserve"> Western Technology Investment</v>
      </c>
      <c r="AZ659" s="10" t="str">
        <f ca="1">IFERROR(__xludf.DUMMYFUNCTION("""COMPUTED_VALUE""")," X/Seed Capital Partners")</f>
        <v xml:space="preserve"> X/Seed Capital Partners</v>
      </c>
      <c r="BA659" s="10"/>
      <c r="BB659" s="10"/>
      <c r="BC659" s="10"/>
      <c r="BD659" s="10"/>
      <c r="BE659" s="10"/>
      <c r="BF659" s="10"/>
      <c r="BG659" s="10"/>
      <c r="BH659" s="10"/>
      <c r="BI659" s="10"/>
      <c r="BJ659" s="10"/>
      <c r="BK659" s="10"/>
      <c r="BM659" s="10"/>
    </row>
    <row r="660" spans="1:65" ht="12.75">
      <c r="A660" s="9">
        <v>43324</v>
      </c>
      <c r="B660" s="10" t="s">
        <v>1452</v>
      </c>
      <c r="C660" s="11">
        <v>1000</v>
      </c>
      <c r="D660" s="12"/>
      <c r="E660" s="10" t="s">
        <v>45</v>
      </c>
      <c r="F660" s="10" t="s">
        <v>49</v>
      </c>
      <c r="G660" s="13" t="s">
        <v>1453</v>
      </c>
      <c r="H660" s="14" t="str">
        <f t="array" ref="H660">IFERROR(INDEX([1]Companies!$G:$G,MATCH(B660,[1]Companies!$A:$A,0)),"")</f>
        <v>Nigeria</v>
      </c>
      <c r="I660" s="14" t="str">
        <f t="shared" si="694"/>
        <v>Nigeria</v>
      </c>
      <c r="J660" s="14" t="str">
        <f t="array" ref="J660">IFERROR(INDEX([1]Companies!$Y:$Y,MATCH(B660,[1]Companies!$A:$A,0)),"")</f>
        <v>Loans, Savings</v>
      </c>
      <c r="K660" s="14" t="str">
        <f t="array" ref="K660">IFERROR(INDEX([1]Companies!$X:$X,MATCH(B660,[1]Companies!$A:$A,0)),"")</f>
        <v>Financial Services</v>
      </c>
      <c r="L660" s="14" t="str">
        <f>VLOOKUP(B660,[1]Companies!$A$1:$C$5243,1,FALSE)</f>
        <v>Shield Finders</v>
      </c>
      <c r="M660" s="15">
        <f t="shared" si="695"/>
        <v>0.9</v>
      </c>
      <c r="N660" s="10" t="str">
        <f t="shared" si="696"/>
        <v>43324Shield Finders1000</v>
      </c>
      <c r="O660" s="14" t="str">
        <f t="shared" si="697"/>
        <v/>
      </c>
      <c r="P660" s="14">
        <f t="shared" si="698"/>
        <v>1</v>
      </c>
      <c r="Q660" s="14">
        <f t="array" ref="Q660">IFERROR(INDEX([1]Companies!$D:$D,MATCH(B660,[1]Companies!$A:$A,0)),"")</f>
        <v>2018</v>
      </c>
      <c r="R660" s="17">
        <f t="shared" si="699"/>
        <v>1000</v>
      </c>
      <c r="S660" s="14">
        <f>VLOOKUP(I660,[1]Lookups!$V$3:$Y$197,4,FALSE)</f>
        <v>0</v>
      </c>
      <c r="T660" s="14" t="str">
        <f>VLOOKUP(E660,[1]Lookups!$H$3:$I$71,2,FALSE)</f>
        <v>2. Seed</v>
      </c>
      <c r="U660" s="14" t="str">
        <f>VLOOKUP(K660,[1]Lookups!$B$3:$C$142,2,FALSE)</f>
        <v>Financial Services</v>
      </c>
      <c r="V660" s="14">
        <f t="shared" si="735"/>
        <v>2018</v>
      </c>
      <c r="W660" s="14">
        <f t="shared" si="736"/>
        <v>8</v>
      </c>
      <c r="X660" s="14">
        <f>VLOOKUP(W660,[1]Lookups!$P$3:$S$15,2,FALSE)</f>
        <v>3</v>
      </c>
      <c r="Y660" s="16">
        <f>VLOOKUP(W660,[1]Lookups!$P$3:$U$15,3,FALSE)</f>
        <v>2</v>
      </c>
      <c r="Z660" s="16">
        <f t="shared" si="737"/>
        <v>1</v>
      </c>
      <c r="AA660" s="16" t="str">
        <f t="shared" ca="1" si="887"/>
        <v>Seedstars</v>
      </c>
      <c r="AB660" s="16">
        <f t="shared" si="887"/>
        <v>0</v>
      </c>
      <c r="AC660" s="16">
        <f t="shared" si="887"/>
        <v>0</v>
      </c>
      <c r="AD660" s="16">
        <f t="shared" si="887"/>
        <v>0</v>
      </c>
      <c r="AE660" s="16">
        <f t="shared" si="887"/>
        <v>0</v>
      </c>
      <c r="AF660" s="16">
        <f t="shared" si="887"/>
        <v>0</v>
      </c>
      <c r="AG660" s="16">
        <f t="shared" si="887"/>
        <v>0</v>
      </c>
      <c r="AH660" s="16">
        <f t="shared" si="887"/>
        <v>0</v>
      </c>
      <c r="AI660" s="16">
        <f t="shared" si="887"/>
        <v>0</v>
      </c>
      <c r="AJ660" s="16">
        <f t="shared" si="887"/>
        <v>0</v>
      </c>
      <c r="AK660" s="16">
        <f t="shared" si="887"/>
        <v>0</v>
      </c>
      <c r="AL660" s="16">
        <f t="shared" si="887"/>
        <v>0</v>
      </c>
      <c r="AM660" s="16">
        <f t="shared" si="887"/>
        <v>0</v>
      </c>
      <c r="AN660" s="16">
        <f t="shared" si="887"/>
        <v>0</v>
      </c>
      <c r="AO660" s="16">
        <f t="shared" si="887"/>
        <v>0</v>
      </c>
      <c r="AP660" s="10"/>
      <c r="AQ660" s="10"/>
      <c r="AR660" s="10"/>
      <c r="AS660" s="10" t="str">
        <f t="shared" ref="AS660" ca="1" si="895">IFERROR(__xludf.DUMMYFUNCTION("split(F479,"","",true,true)"),"Seedstars")</f>
        <v>Seedstars</v>
      </c>
      <c r="AT660" s="10"/>
      <c r="AU660" s="10"/>
      <c r="AV660" s="10"/>
      <c r="AW660" s="10"/>
      <c r="AX660" s="10"/>
      <c r="AY660" s="10"/>
      <c r="AZ660" s="10"/>
      <c r="BA660" s="10"/>
      <c r="BB660" s="10"/>
      <c r="BC660" s="10"/>
      <c r="BD660" s="10"/>
      <c r="BE660" s="10"/>
      <c r="BF660" s="10"/>
      <c r="BG660" s="10"/>
      <c r="BH660" s="10"/>
      <c r="BI660" s="10"/>
      <c r="BJ660" s="10"/>
      <c r="BK660" s="10"/>
      <c r="BM660" s="10"/>
    </row>
    <row r="661" spans="1:65" ht="12.75">
      <c r="A661" s="18">
        <v>43325</v>
      </c>
      <c r="B661" s="14" t="s">
        <v>1454</v>
      </c>
      <c r="C661" s="19">
        <v>50000</v>
      </c>
      <c r="D661" s="19"/>
      <c r="E661" s="14" t="s">
        <v>45</v>
      </c>
      <c r="F661" s="14" t="s">
        <v>1455</v>
      </c>
      <c r="G661" s="27" t="s">
        <v>1456</v>
      </c>
      <c r="H661" s="14" t="str">
        <f t="array" ref="H661">IFERROR(INDEX([1]Companies!$G:$G,MATCH(B661,[1]Companies!$A:$A,0)),"")</f>
        <v>Rwanda</v>
      </c>
      <c r="I661" s="14" t="str">
        <f t="shared" si="694"/>
        <v>Rwanda</v>
      </c>
      <c r="J661" s="14" t="str">
        <f t="array" ref="J661">IFERROR(INDEX([1]Companies!$Y:$Y,MATCH(B661,[1]Companies!$A:$A,0)),"")</f>
        <v>Big Data, Data Mining, Data Visualization</v>
      </c>
      <c r="K661" s="14" t="str">
        <f t="array" ref="K661">IFERROR(INDEX([1]Companies!$X:$X,MATCH(B661,[1]Companies!$A:$A,0)),"")</f>
        <v>Financial Services</v>
      </c>
      <c r="L661" s="14" t="str">
        <f>VLOOKUP(B661,[1]Companies!$A$1:$C$5243,1,FALSE)</f>
        <v>Exuus</v>
      </c>
      <c r="M661" s="15">
        <f t="shared" si="695"/>
        <v>0.9</v>
      </c>
      <c r="N661" s="10" t="str">
        <f t="shared" si="696"/>
        <v>43325Exuus50000</v>
      </c>
      <c r="O661" s="14" t="str">
        <f t="shared" si="697"/>
        <v/>
      </c>
      <c r="P661" s="14">
        <f t="shared" si="698"/>
        <v>1</v>
      </c>
      <c r="Q661" s="14">
        <f t="array" ref="Q661">IFERROR(INDEX([1]Companies!$D:$D,MATCH(B661,[1]Companies!$A:$A,0)),"")</f>
        <v>2014</v>
      </c>
      <c r="R661" s="17">
        <f t="shared" si="699"/>
        <v>50000</v>
      </c>
      <c r="S661" s="14">
        <f>VLOOKUP(I661,[1]Lookups!$V$3:$Y$197,4,FALSE)</f>
        <v>0</v>
      </c>
      <c r="T661" s="14" t="str">
        <f>VLOOKUP(E661,[1]Lookups!$H$3:$I$71,2,FALSE)</f>
        <v>2. Seed</v>
      </c>
      <c r="U661" s="14" t="str">
        <f>VLOOKUP(K661,[1]Lookups!$B$3:$C$142,2,FALSE)</f>
        <v>Financial Services</v>
      </c>
      <c r="V661" s="14">
        <f t="shared" si="735"/>
        <v>2018</v>
      </c>
      <c r="W661" s="14">
        <f t="shared" si="736"/>
        <v>8</v>
      </c>
      <c r="X661" s="14">
        <f>VLOOKUP(W661,[1]Lookups!$P$3:$S$15,2,FALSE)</f>
        <v>3</v>
      </c>
      <c r="Y661" s="16">
        <f>VLOOKUP(W661,[1]Lookups!$P$3:$U$15,3,FALSE)</f>
        <v>2</v>
      </c>
      <c r="Z661" s="16">
        <f t="shared" si="737"/>
        <v>1</v>
      </c>
      <c r="AA661" s="16" t="str">
        <f t="shared" ca="1" si="887"/>
        <v>Seedstars</v>
      </c>
      <c r="AB661" s="16">
        <f t="shared" si="887"/>
        <v>0</v>
      </c>
      <c r="AC661" s="16">
        <f t="shared" si="887"/>
        <v>0</v>
      </c>
      <c r="AD661" s="16">
        <f t="shared" si="887"/>
        <v>0</v>
      </c>
      <c r="AE661" s="16">
        <f t="shared" si="887"/>
        <v>0</v>
      </c>
      <c r="AF661" s="16">
        <f t="shared" si="887"/>
        <v>0</v>
      </c>
      <c r="AG661" s="16">
        <f t="shared" si="887"/>
        <v>0</v>
      </c>
      <c r="AH661" s="16">
        <f t="shared" si="887"/>
        <v>0</v>
      </c>
      <c r="AI661" s="16">
        <f t="shared" si="887"/>
        <v>0</v>
      </c>
      <c r="AJ661" s="16">
        <f t="shared" si="887"/>
        <v>0</v>
      </c>
      <c r="AK661" s="16">
        <f t="shared" si="887"/>
        <v>0</v>
      </c>
      <c r="AL661" s="16">
        <f t="shared" si="887"/>
        <v>0</v>
      </c>
      <c r="AM661" s="16">
        <f t="shared" si="887"/>
        <v>0</v>
      </c>
      <c r="AN661" s="16">
        <f t="shared" si="887"/>
        <v>0</v>
      </c>
      <c r="AO661" s="16">
        <f t="shared" si="887"/>
        <v>0</v>
      </c>
      <c r="AP661" s="10"/>
      <c r="AQ661" s="10"/>
      <c r="AR661" s="10"/>
      <c r="AS661" s="10" t="str">
        <f t="shared" ref="AS661" ca="1" si="896">IFERROR(__xludf.DUMMYFUNCTION("split(F479,"","",true,true)"),"Seedstars")</f>
        <v>Seedstars</v>
      </c>
      <c r="AT661" s="10"/>
      <c r="AU661" s="10"/>
      <c r="AV661" s="10"/>
      <c r="AW661" s="10"/>
      <c r="AX661" s="10"/>
      <c r="AY661" s="10"/>
      <c r="AZ661" s="10"/>
      <c r="BA661" s="10"/>
      <c r="BB661" s="10"/>
      <c r="BC661" s="10"/>
      <c r="BD661" s="10"/>
      <c r="BE661" s="10"/>
      <c r="BF661" s="10"/>
      <c r="BG661" s="10"/>
      <c r="BH661" s="10"/>
      <c r="BI661" s="10"/>
      <c r="BJ661" s="10"/>
      <c r="BK661" s="10"/>
      <c r="BM661" s="10"/>
    </row>
    <row r="662" spans="1:65" ht="12.75">
      <c r="A662" s="18">
        <v>43325</v>
      </c>
      <c r="B662" s="14" t="s">
        <v>1366</v>
      </c>
      <c r="C662" s="19">
        <v>17000</v>
      </c>
      <c r="D662" s="19"/>
      <c r="E662" s="14" t="s">
        <v>45</v>
      </c>
      <c r="F662" s="14" t="s">
        <v>825</v>
      </c>
      <c r="G662" s="27" t="s">
        <v>1457</v>
      </c>
      <c r="H662" s="14" t="str">
        <f t="array" ref="H662">IFERROR(INDEX([1]Companies!$G:$G,MATCH(B662,[1]Companies!$A:$A,0)),"")</f>
        <v>South Africa</v>
      </c>
      <c r="I662" s="14" t="str">
        <f t="shared" si="694"/>
        <v>South Africa</v>
      </c>
      <c r="J662" s="14" t="str">
        <f t="array" ref="J662">IFERROR(INDEX([1]Companies!$Y:$Y,MATCH(B662,[1]Companies!$A:$A,0)),"")</f>
        <v>Big Data, Information Technology, Mobile Apps, Mobile Payments, Predictive Analytics, Public Transportation, Ride Sharing, Ticketing, Transportation</v>
      </c>
      <c r="K662" s="14" t="str">
        <f t="array" ref="K662">IFERROR(INDEX([1]Companies!$X:$X,MATCH(B662,[1]Companies!$A:$A,0)),"")</f>
        <v>Information Technology</v>
      </c>
      <c r="L662" s="14" t="str">
        <f>VLOOKUP(B662,[1]Companies!$A$1:$C$5243,1,FALSE)</f>
        <v>LÜLA</v>
      </c>
      <c r="M662" s="15">
        <f t="shared" si="695"/>
        <v>0.9</v>
      </c>
      <c r="N662" s="10" t="str">
        <f t="shared" si="696"/>
        <v>43325LÜLA17000</v>
      </c>
      <c r="O662" s="14" t="str">
        <f t="shared" si="697"/>
        <v/>
      </c>
      <c r="P662" s="14">
        <f t="shared" si="698"/>
        <v>1</v>
      </c>
      <c r="Q662" s="14">
        <f t="array" ref="Q662">IFERROR(INDEX([1]Companies!$D:$D,MATCH(B662,[1]Companies!$A:$A,0)),"")</f>
        <v>2016</v>
      </c>
      <c r="R662" s="17">
        <f t="shared" si="699"/>
        <v>91400</v>
      </c>
      <c r="S662" s="14">
        <f>VLOOKUP(I662,[1]Lookups!$V$3:$Y$197,4,FALSE)</f>
        <v>0</v>
      </c>
      <c r="T662" s="14" t="str">
        <f>VLOOKUP(E662,[1]Lookups!$H$3:$I$71,2,FALSE)</f>
        <v>2. Seed</v>
      </c>
      <c r="U662" s="14" t="str">
        <f>VLOOKUP(K662,[1]Lookups!$B$3:$C$142,2,FALSE)</f>
        <v>Other Technologies &amp; Information Technology</v>
      </c>
      <c r="V662" s="14">
        <f t="shared" si="735"/>
        <v>2018</v>
      </c>
      <c r="W662" s="14">
        <f t="shared" si="736"/>
        <v>8</v>
      </c>
      <c r="X662" s="14">
        <f>VLOOKUP(W662,[1]Lookups!$P$3:$S$15,2,FALSE)</f>
        <v>3</v>
      </c>
      <c r="Y662" s="16">
        <f>VLOOKUP(W662,[1]Lookups!$P$3:$U$15,3,FALSE)</f>
        <v>2</v>
      </c>
      <c r="Z662" s="16">
        <f t="shared" si="737"/>
        <v>1</v>
      </c>
      <c r="AA662" s="16" t="str">
        <f t="shared" ca="1" si="887"/>
        <v>Seedstars</v>
      </c>
      <c r="AB662" s="16">
        <f t="shared" si="887"/>
        <v>0</v>
      </c>
      <c r="AC662" s="16">
        <f t="shared" si="887"/>
        <v>0</v>
      </c>
      <c r="AD662" s="16">
        <f t="shared" si="887"/>
        <v>0</v>
      </c>
      <c r="AE662" s="16">
        <f t="shared" si="887"/>
        <v>0</v>
      </c>
      <c r="AF662" s="16">
        <f t="shared" si="887"/>
        <v>0</v>
      </c>
      <c r="AG662" s="16">
        <f t="shared" si="887"/>
        <v>0</v>
      </c>
      <c r="AH662" s="16">
        <f t="shared" si="887"/>
        <v>0</v>
      </c>
      <c r="AI662" s="16">
        <f t="shared" si="887"/>
        <v>0</v>
      </c>
      <c r="AJ662" s="16">
        <f t="shared" si="887"/>
        <v>0</v>
      </c>
      <c r="AK662" s="16">
        <f t="shared" si="887"/>
        <v>0</v>
      </c>
      <c r="AL662" s="16">
        <f t="shared" si="887"/>
        <v>0</v>
      </c>
      <c r="AM662" s="16">
        <f t="shared" si="887"/>
        <v>0</v>
      </c>
      <c r="AN662" s="16">
        <f t="shared" si="887"/>
        <v>0</v>
      </c>
      <c r="AO662" s="16">
        <f t="shared" si="887"/>
        <v>0</v>
      </c>
      <c r="AP662" s="10"/>
      <c r="AQ662" s="10"/>
      <c r="AR662" s="10"/>
      <c r="AS662" s="10" t="str">
        <f t="shared" ref="AS662" ca="1" si="897">IFERROR(__xludf.DUMMYFUNCTION("split(F479,"","",true,true)"),"Seedstars")</f>
        <v>Seedstars</v>
      </c>
      <c r="AT662" s="10"/>
      <c r="AU662" s="10"/>
      <c r="AV662" s="10"/>
      <c r="AW662" s="10"/>
      <c r="AX662" s="10"/>
      <c r="AY662" s="10"/>
      <c r="AZ662" s="10"/>
      <c r="BA662" s="10"/>
      <c r="BB662" s="10"/>
      <c r="BC662" s="10"/>
      <c r="BD662" s="10"/>
      <c r="BE662" s="10"/>
      <c r="BF662" s="10"/>
      <c r="BG662" s="10"/>
      <c r="BH662" s="10"/>
      <c r="BI662" s="10"/>
      <c r="BJ662" s="10"/>
      <c r="BK662" s="10"/>
      <c r="BM662" s="10"/>
    </row>
    <row r="663" spans="1:65" ht="12.75">
      <c r="A663" s="9">
        <v>43326</v>
      </c>
      <c r="B663" s="10" t="s">
        <v>549</v>
      </c>
      <c r="C663" s="11" t="s">
        <v>49</v>
      </c>
      <c r="D663" s="12"/>
      <c r="E663" s="10" t="s">
        <v>45</v>
      </c>
      <c r="F663" s="10" t="s">
        <v>825</v>
      </c>
      <c r="G663" s="13" t="s">
        <v>1458</v>
      </c>
      <c r="H663" s="14" t="str">
        <f t="array" ref="H663">IFERROR(INDEX([1]Companies!$G:$G,MATCH(B663,[1]Companies!$A:$A,0)),"")</f>
        <v>Egypt</v>
      </c>
      <c r="I663" s="14" t="str">
        <f t="shared" si="694"/>
        <v>Egypt</v>
      </c>
      <c r="J663" s="14" t="str">
        <f t="array" ref="J663">IFERROR(INDEX([1]Companies!$Y:$Y,MATCH(B663,[1]Companies!$A:$A,0)),"")</f>
        <v>Recruiting, Staffing Agency</v>
      </c>
      <c r="K663" s="14" t="str">
        <f t="array" ref="K663">IFERROR(INDEX([1]Companies!$X:$X,MATCH(B663,[1]Companies!$A:$A,0)),"")</f>
        <v>Staffing and Recruiting</v>
      </c>
      <c r="L663" s="14" t="str">
        <f>VLOOKUP(B663,[1]Companies!$A$1:$C$5243,1,FALSE)</f>
        <v>Hirehunt</v>
      </c>
      <c r="M663" s="15">
        <f t="shared" si="695"/>
        <v>0.9</v>
      </c>
      <c r="N663" s="10" t="str">
        <f t="shared" si="696"/>
        <v>43326HireHuntUndisclosed</v>
      </c>
      <c r="O663" s="14" t="str">
        <f t="shared" si="697"/>
        <v/>
      </c>
      <c r="P663" s="14">
        <f t="shared" si="698"/>
        <v>0</v>
      </c>
      <c r="Q663" s="14">
        <f t="array" ref="Q663">IFERROR(INDEX([1]Companies!$D:$D,MATCH(B663,[1]Companies!$A:$A,0)),"")</f>
        <v>2015</v>
      </c>
      <c r="R663" s="17">
        <f t="shared" si="699"/>
        <v>0</v>
      </c>
      <c r="S663" s="14">
        <f>VLOOKUP(I663,[1]Lookups!$V$3:$Y$197,4,FALSE)</f>
        <v>0</v>
      </c>
      <c r="T663" s="14" t="str">
        <f>VLOOKUP(E663,[1]Lookups!$H$3:$I$71,2,FALSE)</f>
        <v>2. Seed</v>
      </c>
      <c r="U663" s="14" t="e">
        <f>VLOOKUP(K663,[1]Lookups!$B$3:$C$142,2,FALSE)</f>
        <v>#N/A</v>
      </c>
      <c r="V663" s="14">
        <f t="shared" si="735"/>
        <v>2018</v>
      </c>
      <c r="W663" s="14">
        <f t="shared" si="736"/>
        <v>8</v>
      </c>
      <c r="X663" s="14">
        <f>VLOOKUP(W663,[1]Lookups!$P$3:$S$15,2,FALSE)</f>
        <v>3</v>
      </c>
      <c r="Y663" s="16">
        <f>VLOOKUP(W663,[1]Lookups!$P$3:$U$15,3,FALSE)</f>
        <v>2</v>
      </c>
      <c r="Z663" s="16">
        <f t="shared" si="737"/>
        <v>1</v>
      </c>
      <c r="AA663" s="16" t="str">
        <f t="shared" ca="1" si="887"/>
        <v>Seedstars</v>
      </c>
      <c r="AB663" s="16">
        <f t="shared" si="887"/>
        <v>0</v>
      </c>
      <c r="AC663" s="16">
        <f t="shared" si="887"/>
        <v>0</v>
      </c>
      <c r="AD663" s="16">
        <f t="shared" si="887"/>
        <v>0</v>
      </c>
      <c r="AE663" s="16">
        <f t="shared" si="887"/>
        <v>0</v>
      </c>
      <c r="AF663" s="16">
        <f t="shared" si="887"/>
        <v>0</v>
      </c>
      <c r="AG663" s="16">
        <f t="shared" si="887"/>
        <v>0</v>
      </c>
      <c r="AH663" s="16">
        <f t="shared" si="887"/>
        <v>0</v>
      </c>
      <c r="AI663" s="16">
        <f t="shared" si="887"/>
        <v>0</v>
      </c>
      <c r="AJ663" s="16">
        <f t="shared" si="887"/>
        <v>0</v>
      </c>
      <c r="AK663" s="16">
        <f t="shared" si="887"/>
        <v>0</v>
      </c>
      <c r="AL663" s="16">
        <f t="shared" si="887"/>
        <v>0</v>
      </c>
      <c r="AM663" s="16">
        <f t="shared" si="887"/>
        <v>0</v>
      </c>
      <c r="AN663" s="16">
        <f t="shared" si="887"/>
        <v>0</v>
      </c>
      <c r="AO663" s="16">
        <f t="shared" si="887"/>
        <v>0</v>
      </c>
      <c r="AP663" s="10"/>
      <c r="AQ663" s="10"/>
      <c r="AR663" s="10"/>
      <c r="AS663" s="10" t="str">
        <f t="shared" ref="AS663" ca="1" si="898">IFERROR(__xludf.DUMMYFUNCTION("split(F479,"","",true,true)"),"Seedstars")</f>
        <v>Seedstars</v>
      </c>
      <c r="AT663" s="10"/>
      <c r="AU663" s="10"/>
      <c r="AV663" s="10"/>
      <c r="AW663" s="10"/>
      <c r="AX663" s="10"/>
      <c r="AY663" s="10"/>
      <c r="AZ663" s="10"/>
      <c r="BA663" s="10"/>
      <c r="BB663" s="10"/>
      <c r="BC663" s="10"/>
      <c r="BD663" s="10"/>
      <c r="BE663" s="10"/>
      <c r="BF663" s="10"/>
      <c r="BG663" s="10"/>
      <c r="BH663" s="10"/>
      <c r="BI663" s="10"/>
      <c r="BJ663" s="10"/>
      <c r="BK663" s="10"/>
      <c r="BM663" s="10"/>
    </row>
    <row r="664" spans="1:65" ht="12.75">
      <c r="A664" s="18">
        <v>43327</v>
      </c>
      <c r="B664" s="14" t="s">
        <v>1459</v>
      </c>
      <c r="C664" s="19">
        <v>1000000</v>
      </c>
      <c r="D664" s="19"/>
      <c r="E664" s="14" t="s">
        <v>69</v>
      </c>
      <c r="F664" s="14" t="s">
        <v>49</v>
      </c>
      <c r="G664" s="14" t="s">
        <v>1460</v>
      </c>
      <c r="H664" s="14" t="str">
        <f t="array" ref="H664">IFERROR(INDEX([1]Companies!$G:$G,MATCH(B664,[1]Companies!$A:$A,0)),"")</f>
        <v>Ethiopia</v>
      </c>
      <c r="I664" s="14" t="str">
        <f t="shared" si="694"/>
        <v>Ethiopia</v>
      </c>
      <c r="J664" s="14" t="str">
        <f t="array" ref="J664">IFERROR(INDEX([1]Companies!$Y:$Y,MATCH(B664,[1]Companies!$A:$A,0)),"")</f>
        <v>Renewables &amp; Environment</v>
      </c>
      <c r="K664" s="14" t="str">
        <f t="array" ref="K664">IFERROR(INDEX([1]Companies!$X:$X,MATCH(B664,[1]Companies!$A:$A,0)),"")</f>
        <v>Energy &amp; Environment Resources</v>
      </c>
      <c r="L664" s="14" t="str">
        <f>VLOOKUP(B664,[1]Companies!$A$1:$C$5243,1,FALSE)</f>
        <v>HelloSolar</v>
      </c>
      <c r="M664" s="15">
        <f t="shared" si="695"/>
        <v>0.9</v>
      </c>
      <c r="N664" s="10" t="str">
        <f t="shared" si="696"/>
        <v>43327HelloSolar1000000</v>
      </c>
      <c r="O664" s="14" t="str">
        <f t="shared" si="697"/>
        <v/>
      </c>
      <c r="P664" s="14">
        <f t="shared" si="698"/>
        <v>1</v>
      </c>
      <c r="Q664" s="14">
        <f t="array" ref="Q664">IFERROR(INDEX([1]Companies!$D:$D,MATCH(B664,[1]Companies!$A:$A,0)),"")</f>
        <v>2018</v>
      </c>
      <c r="R664" s="17">
        <f t="shared" si="699"/>
        <v>1000000</v>
      </c>
      <c r="S664" s="14">
        <f>VLOOKUP(I664,[1]Lookups!$V$3:$Y$197,4,FALSE)</f>
        <v>0</v>
      </c>
      <c r="T664" s="14" t="str">
        <f>VLOOKUP(E664,[1]Lookups!$H$3:$I$71,2,FALSE)</f>
        <v>3. Early Venture</v>
      </c>
      <c r="U664" s="14" t="e">
        <f>VLOOKUP(K664,[1]Lookups!$B$3:$C$142,2,FALSE)</f>
        <v>#N/A</v>
      </c>
      <c r="V664" s="14">
        <f t="shared" si="735"/>
        <v>2018</v>
      </c>
      <c r="W664" s="14">
        <f t="shared" si="736"/>
        <v>8</v>
      </c>
      <c r="X664" s="14">
        <f>VLOOKUP(W664,[1]Lookups!$P$3:$S$15,2,FALSE)</f>
        <v>3</v>
      </c>
      <c r="Y664" s="16">
        <f>VLOOKUP(W664,[1]Lookups!$P$3:$U$15,3,FALSE)</f>
        <v>2</v>
      </c>
      <c r="Z664" s="16">
        <f t="shared" si="737"/>
        <v>1</v>
      </c>
      <c r="AA664" s="16" t="str">
        <f t="shared" ca="1" si="887"/>
        <v>Seedstars</v>
      </c>
      <c r="AB664" s="16">
        <f t="shared" si="887"/>
        <v>0</v>
      </c>
      <c r="AC664" s="16">
        <f t="shared" si="887"/>
        <v>0</v>
      </c>
      <c r="AD664" s="16">
        <f t="shared" si="887"/>
        <v>0</v>
      </c>
      <c r="AE664" s="16">
        <f t="shared" si="887"/>
        <v>0</v>
      </c>
      <c r="AF664" s="16">
        <f t="shared" si="887"/>
        <v>0</v>
      </c>
      <c r="AG664" s="16">
        <f t="shared" si="887"/>
        <v>0</v>
      </c>
      <c r="AH664" s="16">
        <f t="shared" si="887"/>
        <v>0</v>
      </c>
      <c r="AI664" s="16">
        <f t="shared" si="887"/>
        <v>0</v>
      </c>
      <c r="AJ664" s="16">
        <f t="shared" si="887"/>
        <v>0</v>
      </c>
      <c r="AK664" s="16">
        <f t="shared" si="887"/>
        <v>0</v>
      </c>
      <c r="AL664" s="16">
        <f t="shared" si="887"/>
        <v>0</v>
      </c>
      <c r="AM664" s="16">
        <f t="shared" si="887"/>
        <v>0</v>
      </c>
      <c r="AN664" s="16">
        <f t="shared" si="887"/>
        <v>0</v>
      </c>
      <c r="AO664" s="16">
        <f t="shared" si="887"/>
        <v>0</v>
      </c>
      <c r="AP664" s="10"/>
      <c r="AQ664" s="10"/>
      <c r="AR664" s="10"/>
      <c r="AS664" s="10" t="str">
        <f t="shared" ref="AS664" ca="1" si="899">IFERROR(__xludf.DUMMYFUNCTION("split(F479,"","",true,true)"),"Seedstars")</f>
        <v>Seedstars</v>
      </c>
      <c r="AT664" s="10"/>
      <c r="AU664" s="10"/>
      <c r="AV664" s="10"/>
      <c r="AW664" s="10"/>
      <c r="AX664" s="10"/>
      <c r="AY664" s="10"/>
      <c r="AZ664" s="10"/>
      <c r="BA664" s="10"/>
      <c r="BB664" s="10"/>
      <c r="BC664" s="10"/>
      <c r="BD664" s="10"/>
      <c r="BE664" s="10"/>
      <c r="BF664" s="10"/>
      <c r="BG664" s="10"/>
      <c r="BH664" s="10"/>
      <c r="BI664" s="10"/>
      <c r="BJ664" s="10"/>
      <c r="BK664" s="10"/>
      <c r="BM664" s="10"/>
    </row>
    <row r="665" spans="1:65" ht="12.75">
      <c r="A665" s="18">
        <v>43327</v>
      </c>
      <c r="B665" s="14" t="s">
        <v>1461</v>
      </c>
      <c r="C665" s="19">
        <v>65000</v>
      </c>
      <c r="D665" s="19"/>
      <c r="E665" s="14" t="s">
        <v>55</v>
      </c>
      <c r="F665" s="14" t="s">
        <v>1462</v>
      </c>
      <c r="G665" s="27" t="s">
        <v>1463</v>
      </c>
      <c r="H665" s="14" t="str">
        <f t="array" ref="H665">IFERROR(INDEX([1]Companies!$G:$G,MATCH(B665,[1]Companies!$A:$A,0)),"")</f>
        <v>South Africa</v>
      </c>
      <c r="I665" s="14" t="str">
        <f t="shared" si="694"/>
        <v>South Africa</v>
      </c>
      <c r="J665" s="14" t="str">
        <f t="array" ref="J665">IFERROR(INDEX([1]Companies!$Y:$Y,MATCH(B665,[1]Companies!$A:$A,0)),"")</f>
        <v>AgriTech, Smart farming</v>
      </c>
      <c r="K665" s="14" t="str">
        <f t="array" ref="K665">IFERROR(INDEX([1]Companies!$X:$X,MATCH(B665,[1]Companies!$A:$A,0)),"")</f>
        <v>Agriculture</v>
      </c>
      <c r="L665" s="14" t="str">
        <f>VLOOKUP(B665,[1]Companies!$A$1:$C$5243,1,FALSE)</f>
        <v>Farmru</v>
      </c>
      <c r="M665" s="15">
        <f t="shared" si="695"/>
        <v>0.9</v>
      </c>
      <c r="N665" s="10" t="str">
        <f t="shared" si="696"/>
        <v>43327Farmru65000</v>
      </c>
      <c r="O665" s="14" t="str">
        <f t="shared" si="697"/>
        <v/>
      </c>
      <c r="P665" s="14">
        <f t="shared" si="698"/>
        <v>1</v>
      </c>
      <c r="Q665" s="14">
        <f t="array" ref="Q665">IFERROR(INDEX([1]Companies!$D:$D,MATCH(B665,[1]Companies!$A:$A,0)),"")</f>
        <v>2017</v>
      </c>
      <c r="R665" s="17">
        <f t="shared" si="699"/>
        <v>65000</v>
      </c>
      <c r="S665" s="14">
        <f>VLOOKUP(I665,[1]Lookups!$V$3:$Y$197,4,FALSE)</f>
        <v>0</v>
      </c>
      <c r="T665" s="14" t="str">
        <f>VLOOKUP(E665,[1]Lookups!$H$3:$I$71,2,FALSE)</f>
        <v>1. Grant</v>
      </c>
      <c r="U665" s="14" t="str">
        <f>VLOOKUP(K665,[1]Lookups!$B$3:$C$142,2,FALSE)</f>
        <v>Agriculture</v>
      </c>
      <c r="V665" s="14">
        <f t="shared" si="735"/>
        <v>2018</v>
      </c>
      <c r="W665" s="14">
        <f t="shared" si="736"/>
        <v>8</v>
      </c>
      <c r="X665" s="14">
        <f>VLOOKUP(W665,[1]Lookups!$P$3:$S$15,2,FALSE)</f>
        <v>3</v>
      </c>
      <c r="Y665" s="16">
        <f>VLOOKUP(W665,[1]Lookups!$P$3:$U$15,3,FALSE)</f>
        <v>2</v>
      </c>
      <c r="Z665" s="16">
        <f t="shared" si="737"/>
        <v>1</v>
      </c>
      <c r="AA665" s="16" t="str">
        <f t="shared" ca="1" si="887"/>
        <v>Seedstars</v>
      </c>
      <c r="AB665" s="16">
        <f t="shared" si="887"/>
        <v>0</v>
      </c>
      <c r="AC665" s="16">
        <f t="shared" si="887"/>
        <v>0</v>
      </c>
      <c r="AD665" s="16">
        <f t="shared" si="887"/>
        <v>0</v>
      </c>
      <c r="AE665" s="16">
        <f t="shared" si="887"/>
        <v>0</v>
      </c>
      <c r="AF665" s="16">
        <f t="shared" si="887"/>
        <v>0</v>
      </c>
      <c r="AG665" s="16">
        <f t="shared" si="887"/>
        <v>0</v>
      </c>
      <c r="AH665" s="16">
        <f t="shared" si="887"/>
        <v>0</v>
      </c>
      <c r="AI665" s="16">
        <f t="shared" si="887"/>
        <v>0</v>
      </c>
      <c r="AJ665" s="16">
        <f t="shared" si="887"/>
        <v>0</v>
      </c>
      <c r="AK665" s="16">
        <f t="shared" si="887"/>
        <v>0</v>
      </c>
      <c r="AL665" s="16">
        <f t="shared" si="887"/>
        <v>0</v>
      </c>
      <c r="AM665" s="16">
        <f t="shared" si="887"/>
        <v>0</v>
      </c>
      <c r="AN665" s="16">
        <f t="shared" si="887"/>
        <v>0</v>
      </c>
      <c r="AO665" s="16">
        <f t="shared" si="887"/>
        <v>0</v>
      </c>
      <c r="AP665" s="10"/>
      <c r="AQ665" s="10"/>
      <c r="AR665" s="10"/>
      <c r="AS665" s="10" t="str">
        <f t="shared" ref="AS665" ca="1" si="900">IFERROR(__xludf.DUMMYFUNCTION("split(F479,"","",true,true)"),"Seedstars")</f>
        <v>Seedstars</v>
      </c>
      <c r="AT665" s="10"/>
      <c r="AU665" s="10"/>
      <c r="AV665" s="10"/>
      <c r="AW665" s="10"/>
      <c r="AX665" s="10"/>
      <c r="AY665" s="10"/>
      <c r="AZ665" s="10"/>
      <c r="BA665" s="10"/>
      <c r="BB665" s="10"/>
      <c r="BC665" s="10"/>
      <c r="BD665" s="10"/>
      <c r="BE665" s="10"/>
      <c r="BF665" s="10"/>
      <c r="BG665" s="10"/>
      <c r="BH665" s="10"/>
      <c r="BI665" s="10"/>
      <c r="BJ665" s="10"/>
      <c r="BK665" s="10"/>
      <c r="BM665" s="10"/>
    </row>
    <row r="666" spans="1:65" ht="12.75">
      <c r="A666" s="18">
        <v>43327</v>
      </c>
      <c r="B666" s="14" t="s">
        <v>1464</v>
      </c>
      <c r="C666" s="19">
        <v>20000</v>
      </c>
      <c r="D666" s="19"/>
      <c r="E666" s="14" t="s">
        <v>45</v>
      </c>
      <c r="F666" s="14" t="s">
        <v>1465</v>
      </c>
      <c r="G666" s="21" t="s">
        <v>1466</v>
      </c>
      <c r="H666" s="14" t="str">
        <f t="array" ref="H666">IFERROR(INDEX([1]Companies!$G:$G,MATCH(B666,[1]Companies!$A:$A,0)),"")</f>
        <v>Egypt</v>
      </c>
      <c r="I666" s="14" t="str">
        <f t="shared" si="694"/>
        <v>Egypt</v>
      </c>
      <c r="J666" s="14">
        <f t="array" ref="J666">IFERROR(INDEX([1]Companies!$Y:$Y,MATCH(B666,[1]Companies!$A:$A,0)),"")</f>
        <v>0</v>
      </c>
      <c r="K666" s="14" t="str">
        <f t="array" ref="K666">IFERROR(INDEX([1]Companies!$X:$X,MATCH(B666,[1]Companies!$A:$A,0)),"")</f>
        <v>Information Technology</v>
      </c>
      <c r="L666" s="14" t="str">
        <f>VLOOKUP(B666,[1]Companies!$A$1:$C$5243,1,FALSE)</f>
        <v>Scienup</v>
      </c>
      <c r="M666" s="15">
        <f t="shared" si="695"/>
        <v>0.9</v>
      </c>
      <c r="N666" s="10" t="str">
        <f t="shared" si="696"/>
        <v>43327Scienup20000</v>
      </c>
      <c r="O666" s="14" t="str">
        <f t="shared" si="697"/>
        <v/>
      </c>
      <c r="P666" s="14">
        <f t="shared" si="698"/>
        <v>1</v>
      </c>
      <c r="Q666" s="14">
        <f t="array" ref="Q666">IFERROR(INDEX([1]Companies!$D:$D,MATCH(B666,[1]Companies!$A:$A,0)),"")</f>
        <v>2017</v>
      </c>
      <c r="R666" s="17">
        <f t="shared" si="699"/>
        <v>20000</v>
      </c>
      <c r="S666" s="14">
        <f>VLOOKUP(I666,[1]Lookups!$V$3:$Y$197,4,FALSE)</f>
        <v>0</v>
      </c>
      <c r="T666" s="14" t="str">
        <f>VLOOKUP(E666,[1]Lookups!$H$3:$I$71,2,FALSE)</f>
        <v>2. Seed</v>
      </c>
      <c r="U666" s="14" t="str">
        <f>VLOOKUP(K666,[1]Lookups!$B$3:$C$142,2,FALSE)</f>
        <v>Other Technologies &amp; Information Technology</v>
      </c>
      <c r="V666" s="14">
        <f t="shared" si="735"/>
        <v>2018</v>
      </c>
      <c r="W666" s="14">
        <f t="shared" si="736"/>
        <v>8</v>
      </c>
      <c r="X666" s="14">
        <f>VLOOKUP(W666,[1]Lookups!$P$3:$S$15,2,FALSE)</f>
        <v>3</v>
      </c>
      <c r="Y666" s="16">
        <f>VLOOKUP(W666,[1]Lookups!$P$3:$U$15,3,FALSE)</f>
        <v>2</v>
      </c>
      <c r="Z666" s="16">
        <f t="shared" si="737"/>
        <v>1</v>
      </c>
      <c r="AA666" s="16" t="str">
        <f t="shared" ca="1" si="887"/>
        <v>Seedstars</v>
      </c>
      <c r="AB666" s="16">
        <f t="shared" si="887"/>
        <v>0</v>
      </c>
      <c r="AC666" s="16">
        <f t="shared" si="887"/>
        <v>0</v>
      </c>
      <c r="AD666" s="16">
        <f t="shared" si="887"/>
        <v>0</v>
      </c>
      <c r="AE666" s="16">
        <f t="shared" si="887"/>
        <v>0</v>
      </c>
      <c r="AF666" s="16">
        <f t="shared" si="887"/>
        <v>0</v>
      </c>
      <c r="AG666" s="16">
        <f t="shared" si="887"/>
        <v>0</v>
      </c>
      <c r="AH666" s="16">
        <f t="shared" si="887"/>
        <v>0</v>
      </c>
      <c r="AI666" s="16">
        <f t="shared" si="887"/>
        <v>0</v>
      </c>
      <c r="AJ666" s="16">
        <f t="shared" si="887"/>
        <v>0</v>
      </c>
      <c r="AK666" s="16">
        <f t="shared" si="887"/>
        <v>0</v>
      </c>
      <c r="AL666" s="16">
        <f t="shared" si="887"/>
        <v>0</v>
      </c>
      <c r="AM666" s="16">
        <f t="shared" si="887"/>
        <v>0</v>
      </c>
      <c r="AN666" s="16">
        <f t="shared" si="887"/>
        <v>0</v>
      </c>
      <c r="AO666" s="16">
        <f t="shared" si="887"/>
        <v>0</v>
      </c>
      <c r="AP666" s="10"/>
      <c r="AQ666" s="10"/>
      <c r="AR666" s="10"/>
      <c r="AS666" s="10" t="str">
        <f t="shared" ref="AS666" ca="1" si="901">IFERROR(__xludf.DUMMYFUNCTION("split(F479,"","",true,true)"),"Seedstars")</f>
        <v>Seedstars</v>
      </c>
      <c r="AT666" s="10"/>
      <c r="AU666" s="10"/>
      <c r="AV666" s="10"/>
      <c r="AW666" s="10"/>
      <c r="AX666" s="10"/>
      <c r="AY666" s="10"/>
      <c r="AZ666" s="10"/>
      <c r="BA666" s="10"/>
      <c r="BB666" s="10"/>
      <c r="BC666" s="10"/>
      <c r="BD666" s="10"/>
      <c r="BE666" s="10"/>
      <c r="BF666" s="10"/>
      <c r="BG666" s="10"/>
      <c r="BH666" s="10"/>
      <c r="BI666" s="10"/>
      <c r="BJ666" s="10"/>
      <c r="BK666" s="10"/>
      <c r="BM666" s="10"/>
    </row>
    <row r="667" spans="1:65" ht="12.75">
      <c r="A667" s="9">
        <v>43327</v>
      </c>
      <c r="B667" s="10" t="s">
        <v>1467</v>
      </c>
      <c r="C667" s="11">
        <v>5500</v>
      </c>
      <c r="D667" s="12"/>
      <c r="E667" s="10" t="s">
        <v>45</v>
      </c>
      <c r="F667" s="10" t="s">
        <v>49</v>
      </c>
      <c r="G667" s="13" t="s">
        <v>1468</v>
      </c>
      <c r="H667" s="14" t="str">
        <f t="array" ref="H667">IFERROR(INDEX([1]Companies!$G:$G,MATCH(B667,[1]Companies!$A:$A,0)),"")</f>
        <v>Egypt</v>
      </c>
      <c r="I667" s="14" t="str">
        <f t="shared" si="694"/>
        <v>Egypt</v>
      </c>
      <c r="J667" s="14" t="str">
        <f t="array" ref="J667">IFERROR(INDEX([1]Companies!$Y:$Y,MATCH(B667,[1]Companies!$A:$A,0)),"")</f>
        <v>Software, Transportstion</v>
      </c>
      <c r="K667" s="14" t="str">
        <f t="array" ref="K667">IFERROR(INDEX([1]Companies!$X:$X,MATCH(B667,[1]Companies!$A:$A,0)),"")</f>
        <v>Information Technology</v>
      </c>
      <c r="L667" s="14" t="str">
        <f>VLOOKUP(B667,[1]Companies!$A$1:$C$5243,1,FALSE)</f>
        <v>Enqaz Dot Net</v>
      </c>
      <c r="M667" s="15">
        <f t="shared" si="695"/>
        <v>0.9</v>
      </c>
      <c r="N667" s="10" t="str">
        <f t="shared" si="696"/>
        <v>43327Enqaz Dot Net5500</v>
      </c>
      <c r="O667" s="14" t="str">
        <f t="shared" si="697"/>
        <v/>
      </c>
      <c r="P667" s="14">
        <f t="shared" si="698"/>
        <v>1</v>
      </c>
      <c r="Q667" s="14">
        <f t="array" ref="Q667">IFERROR(INDEX([1]Companies!$D:$D,MATCH(B667,[1]Companies!$A:$A,0)),"")</f>
        <v>2017</v>
      </c>
      <c r="R667" s="17">
        <f t="shared" si="699"/>
        <v>5500</v>
      </c>
      <c r="S667" s="14">
        <f>VLOOKUP(I667,[1]Lookups!$V$3:$Y$197,4,FALSE)</f>
        <v>0</v>
      </c>
      <c r="T667" s="14" t="str">
        <f>VLOOKUP(E667,[1]Lookups!$H$3:$I$71,2,FALSE)</f>
        <v>2. Seed</v>
      </c>
      <c r="U667" s="14" t="str">
        <f>VLOOKUP(K667,[1]Lookups!$B$3:$C$142,2,FALSE)</f>
        <v>Other Technologies &amp; Information Technology</v>
      </c>
      <c r="V667" s="14">
        <f t="shared" si="735"/>
        <v>2018</v>
      </c>
      <c r="W667" s="14">
        <f t="shared" si="736"/>
        <v>8</v>
      </c>
      <c r="X667" s="14">
        <f>VLOOKUP(W667,[1]Lookups!$P$3:$S$15,2,FALSE)</f>
        <v>3</v>
      </c>
      <c r="Y667" s="16">
        <f>VLOOKUP(W667,[1]Lookups!$P$3:$U$15,3,FALSE)</f>
        <v>2</v>
      </c>
      <c r="Z667" s="16">
        <f t="shared" si="737"/>
        <v>1</v>
      </c>
      <c r="AA667" s="16" t="str">
        <f t="shared" ca="1" si="887"/>
        <v>Seedstars</v>
      </c>
      <c r="AB667" s="16">
        <f t="shared" si="887"/>
        <v>0</v>
      </c>
      <c r="AC667" s="16">
        <f t="shared" si="887"/>
        <v>0</v>
      </c>
      <c r="AD667" s="16">
        <f t="shared" si="887"/>
        <v>0</v>
      </c>
      <c r="AE667" s="16">
        <f t="shared" si="887"/>
        <v>0</v>
      </c>
      <c r="AF667" s="16">
        <f t="shared" si="887"/>
        <v>0</v>
      </c>
      <c r="AG667" s="16">
        <f t="shared" si="887"/>
        <v>0</v>
      </c>
      <c r="AH667" s="16">
        <f t="shared" si="887"/>
        <v>0</v>
      </c>
      <c r="AI667" s="16">
        <f t="shared" si="887"/>
        <v>0</v>
      </c>
      <c r="AJ667" s="16">
        <f t="shared" si="887"/>
        <v>0</v>
      </c>
      <c r="AK667" s="16">
        <f t="shared" si="887"/>
        <v>0</v>
      </c>
      <c r="AL667" s="16">
        <f t="shared" si="887"/>
        <v>0</v>
      </c>
      <c r="AM667" s="16">
        <f t="shared" si="887"/>
        <v>0</v>
      </c>
      <c r="AN667" s="16">
        <f t="shared" si="887"/>
        <v>0</v>
      </c>
      <c r="AO667" s="16">
        <f t="shared" si="887"/>
        <v>0</v>
      </c>
      <c r="AP667" s="10"/>
      <c r="AQ667" s="10"/>
      <c r="AR667" s="10"/>
      <c r="AS667" s="10" t="str">
        <f t="shared" ref="AS667" ca="1" si="902">IFERROR(__xludf.DUMMYFUNCTION("split(F479,"","",true,true)"),"Seedstars")</f>
        <v>Seedstars</v>
      </c>
      <c r="AT667" s="10"/>
      <c r="AU667" s="10"/>
      <c r="AV667" s="10"/>
      <c r="AW667" s="10"/>
      <c r="AX667" s="10"/>
      <c r="AY667" s="10"/>
      <c r="AZ667" s="10"/>
      <c r="BA667" s="10"/>
      <c r="BB667" s="10"/>
      <c r="BC667" s="10"/>
      <c r="BD667" s="10"/>
      <c r="BE667" s="10"/>
      <c r="BF667" s="10"/>
      <c r="BG667" s="10"/>
      <c r="BH667" s="10"/>
      <c r="BI667" s="10"/>
      <c r="BJ667" s="10"/>
      <c r="BK667" s="10"/>
      <c r="BM667" s="10"/>
    </row>
    <row r="668" spans="1:65" ht="12.75">
      <c r="A668" s="18">
        <v>43328</v>
      </c>
      <c r="B668" s="37" t="s">
        <v>1469</v>
      </c>
      <c r="C668" s="19">
        <v>15000</v>
      </c>
      <c r="D668" s="19"/>
      <c r="E668" s="14" t="s">
        <v>45</v>
      </c>
      <c r="F668" s="14" t="s">
        <v>1281</v>
      </c>
      <c r="G668" s="27" t="s">
        <v>1402</v>
      </c>
      <c r="H668" s="14" t="str">
        <f t="array" ref="H668">IFERROR(INDEX([1]Companies!$G:$G,MATCH(B668,[1]Companies!$A:$A,0)),"")</f>
        <v>Nigeria</v>
      </c>
      <c r="I668" s="14" t="str">
        <f t="shared" si="694"/>
        <v>Nigeria</v>
      </c>
      <c r="J668" s="14" t="str">
        <f t="array" ref="J668">IFERROR(INDEX([1]Companies!$Y:$Y,MATCH(B668,[1]Companies!$A:$A,0)),"")</f>
        <v>Financial Services, FinTech, Infrastructure, Mobile, Mobile Payments, Payments</v>
      </c>
      <c r="K668" s="14" t="str">
        <f t="array" ref="K668">IFERROR(INDEX([1]Companies!$X:$X,MATCH(B668,[1]Companies!$A:$A,0)),"")</f>
        <v>Financial Services</v>
      </c>
      <c r="L668" s="14" t="str">
        <f>VLOOKUP(B668,[1]Companies!$A$1:$C$5243,1,FALSE)</f>
        <v>Wallets Africa</v>
      </c>
      <c r="M668" s="15">
        <f t="shared" si="695"/>
        <v>0.9</v>
      </c>
      <c r="N668" s="10" t="str">
        <f t="shared" si="696"/>
        <v>43328Wallets Africa15000</v>
      </c>
      <c r="O668" s="14" t="str">
        <f t="shared" si="697"/>
        <v/>
      </c>
      <c r="P668" s="14">
        <f t="shared" si="698"/>
        <v>1</v>
      </c>
      <c r="Q668" s="14">
        <f t="array" ref="Q668">IFERROR(INDEX([1]Companies!$D:$D,MATCH(B668,[1]Companies!$A:$A,0)),"")</f>
        <v>2016</v>
      </c>
      <c r="R668" s="17">
        <f t="shared" si="699"/>
        <v>165000</v>
      </c>
      <c r="S668" s="14">
        <f>VLOOKUP(I668,[1]Lookups!$V$3:$Y$197,4,FALSE)</f>
        <v>0</v>
      </c>
      <c r="T668" s="14" t="str">
        <f>VLOOKUP(E668,[1]Lookups!$H$3:$I$71,2,FALSE)</f>
        <v>2. Seed</v>
      </c>
      <c r="U668" s="14" t="str">
        <f>VLOOKUP(K668,[1]Lookups!$B$3:$C$142,2,FALSE)</f>
        <v>Financial Services</v>
      </c>
      <c r="V668" s="14">
        <f t="shared" si="735"/>
        <v>2018</v>
      </c>
      <c r="W668" s="14">
        <f t="shared" si="736"/>
        <v>8</v>
      </c>
      <c r="X668" s="14">
        <f>VLOOKUP(W668,[1]Lookups!$P$3:$S$15,2,FALSE)</f>
        <v>3</v>
      </c>
      <c r="Y668" s="16">
        <f>VLOOKUP(W668,[1]Lookups!$P$3:$U$15,3,FALSE)</f>
        <v>2</v>
      </c>
      <c r="Z668" s="16">
        <f t="shared" si="737"/>
        <v>1</v>
      </c>
      <c r="AA668" s="16" t="str">
        <f t="shared" ca="1" si="887"/>
        <v>Seedstars</v>
      </c>
      <c r="AB668" s="16">
        <f t="shared" si="887"/>
        <v>0</v>
      </c>
      <c r="AC668" s="16">
        <f t="shared" si="887"/>
        <v>0</v>
      </c>
      <c r="AD668" s="16">
        <f t="shared" si="887"/>
        <v>0</v>
      </c>
      <c r="AE668" s="16">
        <f t="shared" si="887"/>
        <v>0</v>
      </c>
      <c r="AF668" s="16">
        <f t="shared" si="887"/>
        <v>0</v>
      </c>
      <c r="AG668" s="16">
        <f t="shared" si="887"/>
        <v>0</v>
      </c>
      <c r="AH668" s="16">
        <f t="shared" si="887"/>
        <v>0</v>
      </c>
      <c r="AI668" s="16">
        <f t="shared" si="887"/>
        <v>0</v>
      </c>
      <c r="AJ668" s="16">
        <f t="shared" si="887"/>
        <v>0</v>
      </c>
      <c r="AK668" s="16">
        <f t="shared" si="887"/>
        <v>0</v>
      </c>
      <c r="AL668" s="16">
        <f t="shared" si="887"/>
        <v>0</v>
      </c>
      <c r="AM668" s="16">
        <f t="shared" si="887"/>
        <v>0</v>
      </c>
      <c r="AN668" s="16">
        <f t="shared" si="887"/>
        <v>0</v>
      </c>
      <c r="AO668" s="16">
        <f t="shared" si="887"/>
        <v>0</v>
      </c>
      <c r="AP668" s="10"/>
      <c r="AQ668" s="10"/>
      <c r="AR668" s="10"/>
      <c r="AS668" s="10" t="str">
        <f t="shared" ref="AS668" ca="1" si="903">IFERROR(__xludf.DUMMYFUNCTION("split(F479,"","",true,true)"),"Seedstars")</f>
        <v>Seedstars</v>
      </c>
      <c r="AT668" s="10"/>
      <c r="AU668" s="10"/>
      <c r="AV668" s="10"/>
      <c r="AW668" s="10"/>
      <c r="AX668" s="10"/>
      <c r="AY668" s="10"/>
      <c r="AZ668" s="10"/>
      <c r="BA668" s="10"/>
      <c r="BB668" s="10"/>
      <c r="BC668" s="10"/>
      <c r="BD668" s="10"/>
      <c r="BE668" s="10"/>
      <c r="BF668" s="10"/>
      <c r="BG668" s="10"/>
      <c r="BH668" s="10"/>
      <c r="BI668" s="10"/>
      <c r="BJ668" s="10"/>
      <c r="BK668" s="10"/>
      <c r="BM668" s="10"/>
    </row>
    <row r="669" spans="1:65" ht="12.75">
      <c r="A669" s="18">
        <v>43328</v>
      </c>
      <c r="B669" s="14" t="s">
        <v>1470</v>
      </c>
      <c r="C669" s="19">
        <v>15000</v>
      </c>
      <c r="D669" s="19"/>
      <c r="E669" s="14" t="s">
        <v>45</v>
      </c>
      <c r="F669" s="14" t="s">
        <v>1281</v>
      </c>
      <c r="G669" s="27" t="s">
        <v>1402</v>
      </c>
      <c r="H669" s="14" t="str">
        <f t="array" ref="H669">IFERROR(INDEX([1]Companies!$G:$G,MATCH(B669,[1]Companies!$A:$A,0)),"")</f>
        <v>Nigeria</v>
      </c>
      <c r="I669" s="14" t="str">
        <f t="shared" si="694"/>
        <v>Nigeria</v>
      </c>
      <c r="J669" s="14" t="str">
        <f t="array" ref="J669">IFERROR(INDEX([1]Companies!$Y:$Y,MATCH(B669,[1]Companies!$A:$A,0)),"")</f>
        <v>Data, Payments, Software</v>
      </c>
      <c r="K669" s="14" t="str">
        <f t="array" ref="K669">IFERROR(INDEX([1]Companies!$X:$X,MATCH(B669,[1]Companies!$A:$A,0)),"")</f>
        <v>Education</v>
      </c>
      <c r="L669" s="14" t="str">
        <f>VLOOKUP(B669,[1]Companies!$A$1:$C$5243,1,FALSE)</f>
        <v>Allpro Technologies</v>
      </c>
      <c r="M669" s="15">
        <f t="shared" si="695"/>
        <v>0.9</v>
      </c>
      <c r="N669" s="10" t="str">
        <f t="shared" si="696"/>
        <v>43328Allpro Technologies15000</v>
      </c>
      <c r="O669" s="14" t="str">
        <f t="shared" si="697"/>
        <v/>
      </c>
      <c r="P669" s="14">
        <f t="shared" si="698"/>
        <v>1</v>
      </c>
      <c r="Q669" s="14">
        <f t="array" ref="Q669">IFERROR(INDEX([1]Companies!$D:$D,MATCH(B669,[1]Companies!$A:$A,0)),"")</f>
        <v>2017</v>
      </c>
      <c r="R669" s="17">
        <f t="shared" si="699"/>
        <v>15000</v>
      </c>
      <c r="S669" s="14">
        <f>VLOOKUP(I669,[1]Lookups!$V$3:$Y$197,4,FALSE)</f>
        <v>0</v>
      </c>
      <c r="T669" s="14" t="str">
        <f>VLOOKUP(E669,[1]Lookups!$H$3:$I$71,2,FALSE)</f>
        <v>2. Seed</v>
      </c>
      <c r="U669" s="14" t="str">
        <f>VLOOKUP(K669,[1]Lookups!$B$3:$C$142,2,FALSE)</f>
        <v>Education</v>
      </c>
      <c r="V669" s="14">
        <f t="shared" si="735"/>
        <v>2018</v>
      </c>
      <c r="W669" s="14">
        <f t="shared" si="736"/>
        <v>8</v>
      </c>
      <c r="X669" s="14">
        <f>VLOOKUP(W669,[1]Lookups!$P$3:$S$15,2,FALSE)</f>
        <v>3</v>
      </c>
      <c r="Y669" s="16">
        <f>VLOOKUP(W669,[1]Lookups!$P$3:$U$15,3,FALSE)</f>
        <v>2</v>
      </c>
      <c r="Z669" s="16">
        <f t="shared" si="737"/>
        <v>1</v>
      </c>
      <c r="AA669" s="16" t="str">
        <f t="shared" ref="AA669:AO681" ca="1" si="904">AS669</f>
        <v>Seedstars</v>
      </c>
      <c r="AB669" s="16">
        <f t="shared" si="904"/>
        <v>0</v>
      </c>
      <c r="AC669" s="16">
        <f t="shared" si="904"/>
        <v>0</v>
      </c>
      <c r="AD669" s="16">
        <f t="shared" si="904"/>
        <v>0</v>
      </c>
      <c r="AE669" s="16">
        <f t="shared" si="904"/>
        <v>0</v>
      </c>
      <c r="AF669" s="16">
        <f t="shared" si="904"/>
        <v>0</v>
      </c>
      <c r="AG669" s="16">
        <f t="shared" si="904"/>
        <v>0</v>
      </c>
      <c r="AH669" s="16">
        <f t="shared" si="904"/>
        <v>0</v>
      </c>
      <c r="AI669" s="16">
        <f t="shared" si="904"/>
        <v>0</v>
      </c>
      <c r="AJ669" s="16">
        <f t="shared" si="904"/>
        <v>0</v>
      </c>
      <c r="AK669" s="16">
        <f t="shared" si="904"/>
        <v>0</v>
      </c>
      <c r="AL669" s="16">
        <f t="shared" si="904"/>
        <v>0</v>
      </c>
      <c r="AM669" s="16">
        <f t="shared" si="904"/>
        <v>0</v>
      </c>
      <c r="AN669" s="16">
        <f t="shared" si="904"/>
        <v>0</v>
      </c>
      <c r="AO669" s="16">
        <f t="shared" si="904"/>
        <v>0</v>
      </c>
      <c r="AP669" s="10"/>
      <c r="AQ669" s="10"/>
      <c r="AR669" s="10"/>
      <c r="AS669" s="10" t="str">
        <f t="shared" ref="AS669" ca="1" si="905">IFERROR(__xludf.DUMMYFUNCTION("split(F479,"","",true,true)"),"Seedstars")</f>
        <v>Seedstars</v>
      </c>
      <c r="AT669" s="10"/>
      <c r="AU669" s="10"/>
      <c r="AV669" s="10"/>
      <c r="AW669" s="10"/>
      <c r="AX669" s="10"/>
      <c r="AY669" s="10"/>
      <c r="AZ669" s="10"/>
      <c r="BA669" s="10"/>
      <c r="BB669" s="10"/>
      <c r="BC669" s="10"/>
      <c r="BD669" s="10"/>
      <c r="BE669" s="10"/>
      <c r="BF669" s="10"/>
      <c r="BG669" s="10"/>
      <c r="BH669" s="10"/>
      <c r="BI669" s="10"/>
      <c r="BJ669" s="10"/>
      <c r="BK669" s="10"/>
      <c r="BM669" s="10"/>
    </row>
    <row r="670" spans="1:65" ht="12.75">
      <c r="A670" s="18">
        <v>43332</v>
      </c>
      <c r="B670" s="14" t="s">
        <v>1301</v>
      </c>
      <c r="C670" s="19">
        <v>120000</v>
      </c>
      <c r="D670" s="19"/>
      <c r="E670" s="14" t="s">
        <v>45</v>
      </c>
      <c r="F670" s="14" t="s">
        <v>305</v>
      </c>
      <c r="G670" s="27" t="s">
        <v>1471</v>
      </c>
      <c r="H670" s="14" t="str">
        <f t="array" ref="H670">IFERROR(INDEX([1]Companies!$G:$G,MATCH(B670,[1]Companies!$A:$A,0)),"")</f>
        <v>Nigeria</v>
      </c>
      <c r="I670" s="14" t="str">
        <f t="shared" si="694"/>
        <v>Nigeria</v>
      </c>
      <c r="J670" s="14" t="str">
        <f t="array" ref="J670">IFERROR(INDEX([1]Companies!$Y:$Y,MATCH(B670,[1]Companies!$A:$A,0)),"")</f>
        <v>Bitcoin, Cryptocurrency, Mobile Apps</v>
      </c>
      <c r="K670" s="14" t="str">
        <f t="array" ref="K670">IFERROR(INDEX([1]Companies!$X:$X,MATCH(B670,[1]Companies!$A:$A,0)),"")</f>
        <v>Financial Services</v>
      </c>
      <c r="L670" s="14" t="str">
        <f>VLOOKUP(B670,[1]Companies!$A$1:$C$5243,1,FALSE)</f>
        <v>Buycoins</v>
      </c>
      <c r="M670" s="15">
        <f t="shared" si="695"/>
        <v>0.9</v>
      </c>
      <c r="N670" s="10" t="str">
        <f t="shared" si="696"/>
        <v>43332BuyCoins120000</v>
      </c>
      <c r="O670" s="14" t="str">
        <f t="shared" si="697"/>
        <v/>
      </c>
      <c r="P670" s="14">
        <f t="shared" si="698"/>
        <v>1</v>
      </c>
      <c r="Q670" s="14">
        <f t="array" ref="Q670">IFERROR(INDEX([1]Companies!$D:$D,MATCH(B670,[1]Companies!$A:$A,0)),"")</f>
        <v>2017</v>
      </c>
      <c r="R670" s="17">
        <f t="shared" si="699"/>
        <v>1235000</v>
      </c>
      <c r="S670" s="14">
        <f>VLOOKUP(I670,[1]Lookups!$V$3:$Y$197,4,FALSE)</f>
        <v>0</v>
      </c>
      <c r="T670" s="14" t="str">
        <f>VLOOKUP(E670,[1]Lookups!$H$3:$I$71,2,FALSE)</f>
        <v>2. Seed</v>
      </c>
      <c r="U670" s="14" t="str">
        <f>VLOOKUP(K670,[1]Lookups!$B$3:$C$142,2,FALSE)</f>
        <v>Financial Services</v>
      </c>
      <c r="V670" s="14">
        <f t="shared" si="735"/>
        <v>2018</v>
      </c>
      <c r="W670" s="14">
        <f t="shared" si="736"/>
        <v>8</v>
      </c>
      <c r="X670" s="14">
        <f>VLOOKUP(W670,[1]Lookups!$P$3:$S$15,2,FALSE)</f>
        <v>3</v>
      </c>
      <c r="Y670" s="16">
        <f>VLOOKUP(W670,[1]Lookups!$P$3:$U$15,3,FALSE)</f>
        <v>2</v>
      </c>
      <c r="Z670" s="16">
        <f t="shared" si="737"/>
        <v>1</v>
      </c>
      <c r="AA670" s="16" t="str">
        <f t="shared" ca="1" si="904"/>
        <v>Seedstars</v>
      </c>
      <c r="AB670" s="16">
        <f t="shared" si="904"/>
        <v>0</v>
      </c>
      <c r="AC670" s="16">
        <f t="shared" si="904"/>
        <v>0</v>
      </c>
      <c r="AD670" s="16">
        <f t="shared" si="904"/>
        <v>0</v>
      </c>
      <c r="AE670" s="16">
        <f t="shared" si="904"/>
        <v>0</v>
      </c>
      <c r="AF670" s="16">
        <f t="shared" si="904"/>
        <v>0</v>
      </c>
      <c r="AG670" s="16">
        <f t="shared" si="904"/>
        <v>0</v>
      </c>
      <c r="AH670" s="16">
        <f t="shared" si="904"/>
        <v>0</v>
      </c>
      <c r="AI670" s="16">
        <f t="shared" si="904"/>
        <v>0</v>
      </c>
      <c r="AJ670" s="16">
        <f t="shared" si="904"/>
        <v>0</v>
      </c>
      <c r="AK670" s="16">
        <f t="shared" si="904"/>
        <v>0</v>
      </c>
      <c r="AL670" s="16">
        <f t="shared" si="904"/>
        <v>0</v>
      </c>
      <c r="AM670" s="16">
        <f t="shared" si="904"/>
        <v>0</v>
      </c>
      <c r="AN670" s="16">
        <f t="shared" si="904"/>
        <v>0</v>
      </c>
      <c r="AO670" s="16">
        <f t="shared" si="904"/>
        <v>0</v>
      </c>
      <c r="AP670" s="10"/>
      <c r="AQ670" s="10"/>
      <c r="AR670" s="10"/>
      <c r="AS670" s="10" t="str">
        <f t="shared" ref="AS670" ca="1" si="906">IFERROR(__xludf.DUMMYFUNCTION("split(F479,"","",true,true)"),"Seedstars")</f>
        <v>Seedstars</v>
      </c>
      <c r="AT670" s="10"/>
      <c r="AU670" s="10"/>
      <c r="AV670" s="10"/>
      <c r="AW670" s="10"/>
      <c r="AX670" s="10"/>
      <c r="AY670" s="10"/>
      <c r="AZ670" s="10"/>
      <c r="BA670" s="10"/>
      <c r="BB670" s="10"/>
      <c r="BC670" s="10"/>
      <c r="BD670" s="10"/>
      <c r="BE670" s="10"/>
      <c r="BF670" s="10"/>
      <c r="BG670" s="10"/>
      <c r="BH670" s="10"/>
      <c r="BI670" s="10"/>
      <c r="BJ670" s="10"/>
      <c r="BK670" s="10"/>
      <c r="BM670" s="10"/>
    </row>
    <row r="671" spans="1:65" ht="12.75">
      <c r="A671" s="18">
        <v>43332</v>
      </c>
      <c r="B671" s="14" t="s">
        <v>1280</v>
      </c>
      <c r="C671" s="19">
        <v>120000</v>
      </c>
      <c r="D671" s="19"/>
      <c r="E671" s="14" t="s">
        <v>45</v>
      </c>
      <c r="F671" s="14" t="s">
        <v>305</v>
      </c>
      <c r="G671" s="27" t="s">
        <v>1472</v>
      </c>
      <c r="H671" s="14" t="str">
        <f t="array" ref="H671">IFERROR(INDEX([1]Companies!$G:$G,MATCH(B671,[1]Companies!$A:$A,0)),"")</f>
        <v>Nigeria</v>
      </c>
      <c r="I671" s="14" t="str">
        <f t="shared" si="694"/>
        <v>Nigeria</v>
      </c>
      <c r="J671" s="14" t="str">
        <f t="array" ref="J671">IFERROR(INDEX([1]Companies!$Y:$Y,MATCH(B671,[1]Companies!$A:$A,0)),"")</f>
        <v>Personal Finance, Wealth Management, Savings</v>
      </c>
      <c r="K671" s="14" t="str">
        <f t="array" ref="K671">IFERROR(INDEX([1]Companies!$X:$X,MATCH(B671,[1]Companies!$A:$A,0)),"")</f>
        <v>Financial Services</v>
      </c>
      <c r="L671" s="14" t="str">
        <f>VLOOKUP(B671,[1]Companies!$A$1:$C$5243,1,FALSE)</f>
        <v>Cowrywise</v>
      </c>
      <c r="M671" s="15">
        <f t="shared" si="695"/>
        <v>0.9</v>
      </c>
      <c r="N671" s="10" t="str">
        <f t="shared" si="696"/>
        <v>43332CowryWise120000</v>
      </c>
      <c r="O671" s="14" t="str">
        <f t="shared" si="697"/>
        <v/>
      </c>
      <c r="P671" s="14">
        <f t="shared" si="698"/>
        <v>1</v>
      </c>
      <c r="Q671" s="14">
        <f t="array" ref="Q671">IFERROR(INDEX([1]Companies!$D:$D,MATCH(B671,[1]Companies!$A:$A,0)),"")</f>
        <v>2017</v>
      </c>
      <c r="R671" s="17">
        <f t="shared" si="699"/>
        <v>185000</v>
      </c>
      <c r="S671" s="14">
        <f>VLOOKUP(I671,[1]Lookups!$V$3:$Y$197,4,FALSE)</f>
        <v>0</v>
      </c>
      <c r="T671" s="14" t="str">
        <f>VLOOKUP(E671,[1]Lookups!$H$3:$I$71,2,FALSE)</f>
        <v>2. Seed</v>
      </c>
      <c r="U671" s="14" t="str">
        <f>VLOOKUP(K671,[1]Lookups!$B$3:$C$142,2,FALSE)</f>
        <v>Financial Services</v>
      </c>
      <c r="V671" s="14">
        <f t="shared" si="735"/>
        <v>2018</v>
      </c>
      <c r="W671" s="14">
        <f t="shared" si="736"/>
        <v>8</v>
      </c>
      <c r="X671" s="14">
        <f>VLOOKUP(W671,[1]Lookups!$P$3:$S$15,2,FALSE)</f>
        <v>3</v>
      </c>
      <c r="Y671" s="16">
        <f>VLOOKUP(W671,[1]Lookups!$P$3:$U$15,3,FALSE)</f>
        <v>2</v>
      </c>
      <c r="Z671" s="16">
        <f t="shared" si="737"/>
        <v>1</v>
      </c>
      <c r="AA671" s="16" t="str">
        <f t="shared" ca="1" si="904"/>
        <v>Seedstars</v>
      </c>
      <c r="AB671" s="16">
        <f t="shared" si="904"/>
        <v>0</v>
      </c>
      <c r="AC671" s="16">
        <f t="shared" si="904"/>
        <v>0</v>
      </c>
      <c r="AD671" s="16">
        <f t="shared" si="904"/>
        <v>0</v>
      </c>
      <c r="AE671" s="16">
        <f t="shared" si="904"/>
        <v>0</v>
      </c>
      <c r="AF671" s="16">
        <f t="shared" si="904"/>
        <v>0</v>
      </c>
      <c r="AG671" s="16">
        <f t="shared" si="904"/>
        <v>0</v>
      </c>
      <c r="AH671" s="16">
        <f t="shared" si="904"/>
        <v>0</v>
      </c>
      <c r="AI671" s="16">
        <f t="shared" si="904"/>
        <v>0</v>
      </c>
      <c r="AJ671" s="16">
        <f t="shared" si="904"/>
        <v>0</v>
      </c>
      <c r="AK671" s="16">
        <f t="shared" si="904"/>
        <v>0</v>
      </c>
      <c r="AL671" s="16">
        <f t="shared" si="904"/>
        <v>0</v>
      </c>
      <c r="AM671" s="16">
        <f t="shared" si="904"/>
        <v>0</v>
      </c>
      <c r="AN671" s="16">
        <f t="shared" si="904"/>
        <v>0</v>
      </c>
      <c r="AO671" s="16">
        <f t="shared" si="904"/>
        <v>0</v>
      </c>
      <c r="AP671" s="10"/>
      <c r="AQ671" s="10"/>
      <c r="AR671" s="10"/>
      <c r="AS671" s="10" t="str">
        <f t="shared" ref="AS671" ca="1" si="907">IFERROR(__xludf.DUMMYFUNCTION("split(F479,"","",true,true)"),"Seedstars")</f>
        <v>Seedstars</v>
      </c>
      <c r="AT671" s="10"/>
      <c r="AU671" s="10"/>
      <c r="AV671" s="10"/>
      <c r="AW671" s="10"/>
      <c r="AX671" s="10"/>
      <c r="AY671" s="10"/>
      <c r="AZ671" s="10"/>
      <c r="BA671" s="10"/>
      <c r="BB671" s="10"/>
      <c r="BC671" s="10"/>
      <c r="BD671" s="10"/>
      <c r="BE671" s="10"/>
      <c r="BF671" s="10"/>
      <c r="BG671" s="10"/>
      <c r="BH671" s="10"/>
      <c r="BI671" s="10"/>
      <c r="BJ671" s="10"/>
      <c r="BK671" s="10"/>
      <c r="BM671" s="10"/>
    </row>
    <row r="672" spans="1:65" ht="12.75">
      <c r="A672" s="18">
        <v>43333</v>
      </c>
      <c r="B672" s="14" t="s">
        <v>1473</v>
      </c>
      <c r="C672" s="19">
        <v>120000</v>
      </c>
      <c r="D672" s="19"/>
      <c r="E672" s="14" t="s">
        <v>45</v>
      </c>
      <c r="F672" s="14" t="s">
        <v>305</v>
      </c>
      <c r="G672" s="27" t="s">
        <v>1474</v>
      </c>
      <c r="H672" s="14" t="str">
        <f t="array" ref="H672">IFERROR(INDEX([1]Companies!$G:$G,MATCH(B672,[1]Companies!$A:$A,0)),"")</f>
        <v>South Africa</v>
      </c>
      <c r="I672" s="14" t="str">
        <f t="shared" si="694"/>
        <v>South Africa</v>
      </c>
      <c r="J672" s="14" t="str">
        <f t="array" ref="J672">IFERROR(INDEX([1]Companies!$Y:$Y,MATCH(B672,[1]Companies!$A:$A,0)),"")</f>
        <v>Information Services, Information Technology, Software</v>
      </c>
      <c r="K672" s="14" t="str">
        <f t="array" ref="K672">IFERROR(INDEX([1]Companies!$X:$X,MATCH(B672,[1]Companies!$A:$A,0)),"")</f>
        <v>Information Technology</v>
      </c>
      <c r="L672" s="14" t="str">
        <f>VLOOKUP(B672,[1]Companies!$A$1:$C$5243,1,FALSE)</f>
        <v>Names &amp; Faces</v>
      </c>
      <c r="M672" s="15">
        <f t="shared" si="695"/>
        <v>0.9</v>
      </c>
      <c r="N672" s="10" t="str">
        <f t="shared" si="696"/>
        <v>43333Names &amp; Faces120000</v>
      </c>
      <c r="O672" s="14" t="str">
        <f t="shared" si="697"/>
        <v/>
      </c>
      <c r="P672" s="14">
        <f t="shared" si="698"/>
        <v>1</v>
      </c>
      <c r="Q672" s="14">
        <f t="array" ref="Q672">IFERROR(INDEX([1]Companies!$D:$D,MATCH(B672,[1]Companies!$A:$A,0)),"")</f>
        <v>2016</v>
      </c>
      <c r="R672" s="17">
        <f t="shared" si="699"/>
        <v>3220000</v>
      </c>
      <c r="S672" s="14">
        <f>VLOOKUP(I672,[1]Lookups!$V$3:$Y$197,4,FALSE)</f>
        <v>0</v>
      </c>
      <c r="T672" s="14" t="str">
        <f>VLOOKUP(E672,[1]Lookups!$H$3:$I$71,2,FALSE)</f>
        <v>2. Seed</v>
      </c>
      <c r="U672" s="14" t="str">
        <f>VLOOKUP(K672,[1]Lookups!$B$3:$C$142,2,FALSE)</f>
        <v>Other Technologies &amp; Information Technology</v>
      </c>
      <c r="V672" s="14">
        <f t="shared" si="735"/>
        <v>2018</v>
      </c>
      <c r="W672" s="14">
        <f t="shared" si="736"/>
        <v>8</v>
      </c>
      <c r="X672" s="14">
        <f>VLOOKUP(W672,[1]Lookups!$P$3:$S$15,2,FALSE)</f>
        <v>3</v>
      </c>
      <c r="Y672" s="16">
        <f>VLOOKUP(W672,[1]Lookups!$P$3:$U$15,3,FALSE)</f>
        <v>2</v>
      </c>
      <c r="Z672" s="16">
        <f t="shared" si="737"/>
        <v>1</v>
      </c>
      <c r="AA672" s="16" t="str">
        <f t="shared" ca="1" si="904"/>
        <v>Seedstars</v>
      </c>
      <c r="AB672" s="16">
        <f t="shared" si="904"/>
        <v>0</v>
      </c>
      <c r="AC672" s="16">
        <f t="shared" si="904"/>
        <v>0</v>
      </c>
      <c r="AD672" s="16">
        <f t="shared" si="904"/>
        <v>0</v>
      </c>
      <c r="AE672" s="16">
        <f t="shared" si="904"/>
        <v>0</v>
      </c>
      <c r="AF672" s="16">
        <f t="shared" si="904"/>
        <v>0</v>
      </c>
      <c r="AG672" s="16">
        <f t="shared" si="904"/>
        <v>0</v>
      </c>
      <c r="AH672" s="16">
        <f t="shared" si="904"/>
        <v>0</v>
      </c>
      <c r="AI672" s="16">
        <f t="shared" si="904"/>
        <v>0</v>
      </c>
      <c r="AJ672" s="16">
        <f t="shared" si="904"/>
        <v>0</v>
      </c>
      <c r="AK672" s="16">
        <f t="shared" si="904"/>
        <v>0</v>
      </c>
      <c r="AL672" s="16">
        <f t="shared" si="904"/>
        <v>0</v>
      </c>
      <c r="AM672" s="16">
        <f t="shared" si="904"/>
        <v>0</v>
      </c>
      <c r="AN672" s="16">
        <f t="shared" si="904"/>
        <v>0</v>
      </c>
      <c r="AO672" s="16">
        <f t="shared" si="904"/>
        <v>0</v>
      </c>
      <c r="AP672" s="10"/>
      <c r="AQ672" s="10"/>
      <c r="AR672" s="10"/>
      <c r="AS672" s="10" t="str">
        <f t="shared" ref="AS672" ca="1" si="908">IFERROR(__xludf.DUMMYFUNCTION("split(F479,"","",true,true)"),"Seedstars")</f>
        <v>Seedstars</v>
      </c>
      <c r="AT672" s="10"/>
      <c r="AU672" s="10"/>
      <c r="AV672" s="10"/>
      <c r="AW672" s="10"/>
      <c r="AX672" s="10"/>
      <c r="AY672" s="10"/>
      <c r="AZ672" s="10"/>
      <c r="BA672" s="10"/>
      <c r="BB672" s="10"/>
      <c r="BC672" s="10"/>
      <c r="BD672" s="10"/>
      <c r="BE672" s="10"/>
      <c r="BF672" s="10"/>
      <c r="BG672" s="10"/>
      <c r="BH672" s="10"/>
      <c r="BI672" s="10"/>
      <c r="BJ672" s="10"/>
      <c r="BK672" s="10"/>
      <c r="BM672" s="10"/>
    </row>
    <row r="673" spans="1:65" ht="12.75">
      <c r="A673" s="18">
        <v>43334</v>
      </c>
      <c r="B673" s="14" t="s">
        <v>1475</v>
      </c>
      <c r="C673" s="19" t="s">
        <v>49</v>
      </c>
      <c r="D673" s="19"/>
      <c r="E673" s="14" t="s">
        <v>45</v>
      </c>
      <c r="F673" s="14" t="s">
        <v>1476</v>
      </c>
      <c r="G673" s="27" t="s">
        <v>1477</v>
      </c>
      <c r="H673" s="14" t="str">
        <f t="array" ref="H673">IFERROR(INDEX([1]Companies!$G:$G,MATCH(B673,[1]Companies!$A:$A,0)),"")</f>
        <v>Uganda</v>
      </c>
      <c r="I673" s="14" t="str">
        <f t="shared" si="694"/>
        <v>Uganda</v>
      </c>
      <c r="J673" s="14" t="str">
        <f t="array" ref="J673">IFERROR(INDEX([1]Companies!$Y:$Y,MATCH(B673,[1]Companies!$A:$A,0)),"")</f>
        <v>Biometrics, Financial Services, FinTech, Lending, Micro Lending</v>
      </c>
      <c r="K673" s="14" t="str">
        <f t="array" ref="K673">IFERROR(INDEX([1]Companies!$X:$X,MATCH(B673,[1]Companies!$A:$A,0)),"")</f>
        <v>Financial Services</v>
      </c>
      <c r="L673" s="14" t="str">
        <f>VLOOKUP(B673,[1]Companies!$A$1:$C$5243,1,FALSE)</f>
        <v>Awamo</v>
      </c>
      <c r="M673" s="15">
        <f t="shared" si="695"/>
        <v>0.9</v>
      </c>
      <c r="N673" s="10" t="str">
        <f t="shared" si="696"/>
        <v>43334AwamoUndisclosed</v>
      </c>
      <c r="O673" s="14" t="str">
        <f t="shared" si="697"/>
        <v/>
      </c>
      <c r="P673" s="14">
        <f t="shared" si="698"/>
        <v>0</v>
      </c>
      <c r="Q673" s="14">
        <f t="array" ref="Q673">IFERROR(INDEX([1]Companies!$D:$D,MATCH(B673,[1]Companies!$A:$A,0)),"")</f>
        <v>2015</v>
      </c>
      <c r="R673" s="17">
        <f t="shared" si="699"/>
        <v>0</v>
      </c>
      <c r="S673" s="14">
        <f>VLOOKUP(I673,[1]Lookups!$V$3:$Y$197,4,FALSE)</f>
        <v>0</v>
      </c>
      <c r="T673" s="14" t="str">
        <f>VLOOKUP(E673,[1]Lookups!$H$3:$I$71,2,FALSE)</f>
        <v>2. Seed</v>
      </c>
      <c r="U673" s="14" t="str">
        <f>VLOOKUP(K673,[1]Lookups!$B$3:$C$142,2,FALSE)</f>
        <v>Financial Services</v>
      </c>
      <c r="V673" s="14">
        <f t="shared" si="735"/>
        <v>2018</v>
      </c>
      <c r="W673" s="14">
        <f t="shared" si="736"/>
        <v>8</v>
      </c>
      <c r="X673" s="14">
        <f>VLOOKUP(W673,[1]Lookups!$P$3:$S$15,2,FALSE)</f>
        <v>3</v>
      </c>
      <c r="Y673" s="16">
        <f>VLOOKUP(W673,[1]Lookups!$P$3:$U$15,3,FALSE)</f>
        <v>2</v>
      </c>
      <c r="Z673" s="16">
        <f t="shared" si="737"/>
        <v>1</v>
      </c>
      <c r="AA673" s="16" t="str">
        <f t="shared" ca="1" si="904"/>
        <v>Seedstars</v>
      </c>
      <c r="AB673" s="16">
        <f t="shared" si="904"/>
        <v>0</v>
      </c>
      <c r="AC673" s="16">
        <f t="shared" si="904"/>
        <v>0</v>
      </c>
      <c r="AD673" s="16">
        <f t="shared" si="904"/>
        <v>0</v>
      </c>
      <c r="AE673" s="16">
        <f t="shared" si="904"/>
        <v>0</v>
      </c>
      <c r="AF673" s="16">
        <f t="shared" si="904"/>
        <v>0</v>
      </c>
      <c r="AG673" s="16">
        <f t="shared" si="904"/>
        <v>0</v>
      </c>
      <c r="AH673" s="16">
        <f t="shared" si="904"/>
        <v>0</v>
      </c>
      <c r="AI673" s="16">
        <f t="shared" si="904"/>
        <v>0</v>
      </c>
      <c r="AJ673" s="16">
        <f t="shared" si="904"/>
        <v>0</v>
      </c>
      <c r="AK673" s="16">
        <f t="shared" si="904"/>
        <v>0</v>
      </c>
      <c r="AL673" s="16">
        <f t="shared" si="904"/>
        <v>0</v>
      </c>
      <c r="AM673" s="16">
        <f t="shared" si="904"/>
        <v>0</v>
      </c>
      <c r="AN673" s="16">
        <f t="shared" si="904"/>
        <v>0</v>
      </c>
      <c r="AO673" s="16">
        <f t="shared" si="904"/>
        <v>0</v>
      </c>
      <c r="AP673" s="10"/>
      <c r="AQ673" s="10"/>
      <c r="AR673" s="10"/>
      <c r="AS673" s="10" t="str">
        <f t="shared" ref="AS673" ca="1" si="909">IFERROR(__xludf.DUMMYFUNCTION("split(F479,"","",true,true)"),"Seedstars")</f>
        <v>Seedstars</v>
      </c>
      <c r="AT673" s="10"/>
      <c r="AU673" s="10"/>
      <c r="AV673" s="10"/>
      <c r="AW673" s="10"/>
      <c r="AX673" s="10"/>
      <c r="AY673" s="10"/>
      <c r="AZ673" s="10"/>
      <c r="BA673" s="10"/>
      <c r="BB673" s="10"/>
      <c r="BC673" s="10"/>
      <c r="BD673" s="10"/>
      <c r="BE673" s="10"/>
      <c r="BF673" s="10"/>
      <c r="BG673" s="10"/>
      <c r="BH673" s="10"/>
      <c r="BI673" s="10"/>
      <c r="BJ673" s="10"/>
      <c r="BK673" s="10"/>
      <c r="BM673" s="10"/>
    </row>
    <row r="674" spans="1:65" ht="12.75">
      <c r="A674" s="9">
        <v>43334</v>
      </c>
      <c r="B674" s="10" t="s">
        <v>1478</v>
      </c>
      <c r="C674" s="11">
        <v>20000</v>
      </c>
      <c r="D674" s="12"/>
      <c r="E674" s="10" t="s">
        <v>45</v>
      </c>
      <c r="F674" s="10" t="s">
        <v>1479</v>
      </c>
      <c r="G674" s="13" t="s">
        <v>1480</v>
      </c>
      <c r="H674" s="14" t="str">
        <f t="array" ref="H674">IFERROR(INDEX([1]Companies!$G:$G,MATCH(B674,[1]Companies!$A:$A,0)),"")</f>
        <v>Nigeria</v>
      </c>
      <c r="I674" s="14" t="str">
        <f t="shared" si="694"/>
        <v>Nigeria</v>
      </c>
      <c r="J674" s="14" t="str">
        <f t="array" ref="J674">IFERROR(INDEX([1]Companies!$Y:$Y,MATCH(B674,[1]Companies!$A:$A,0)),"")</f>
        <v>Yoghurt</v>
      </c>
      <c r="K674" s="14" t="str">
        <f t="array" ref="K674">IFERROR(INDEX([1]Companies!$X:$X,MATCH(B674,[1]Companies!$A:$A,0)),"")</f>
        <v>Foods &amp; Beverages</v>
      </c>
      <c r="L674" s="14" t="str">
        <f>VLOOKUP(B674,[1]Companies!$A$1:$C$5243,1,FALSE)</f>
        <v>Sweetkiwi</v>
      </c>
      <c r="M674" s="15">
        <f t="shared" si="695"/>
        <v>0.9</v>
      </c>
      <c r="N674" s="10" t="str">
        <f t="shared" si="696"/>
        <v>43334Sweetkiwi20000</v>
      </c>
      <c r="O674" s="14" t="str">
        <f t="shared" si="697"/>
        <v/>
      </c>
      <c r="P674" s="14">
        <f t="shared" si="698"/>
        <v>1</v>
      </c>
      <c r="Q674" s="14">
        <f t="array" ref="Q674">IFERROR(INDEX([1]Companies!$D:$D,MATCH(B674,[1]Companies!$A:$A,0)),"")</f>
        <v>2011</v>
      </c>
      <c r="R674" s="17">
        <f t="shared" si="699"/>
        <v>20000</v>
      </c>
      <c r="S674" s="14">
        <f>VLOOKUP(I674,[1]Lookups!$V$3:$Y$197,4,FALSE)</f>
        <v>0</v>
      </c>
      <c r="T674" s="14" t="str">
        <f>VLOOKUP(E674,[1]Lookups!$H$3:$I$71,2,FALSE)</f>
        <v>2. Seed</v>
      </c>
      <c r="U674" s="14" t="e">
        <f>VLOOKUP(K674,[1]Lookups!$B$3:$C$142,2,FALSE)</f>
        <v>#N/A</v>
      </c>
      <c r="V674" s="14">
        <f t="shared" si="735"/>
        <v>2018</v>
      </c>
      <c r="W674" s="14">
        <f t="shared" si="736"/>
        <v>8</v>
      </c>
      <c r="X674" s="14">
        <f>VLOOKUP(W674,[1]Lookups!$P$3:$S$15,2,FALSE)</f>
        <v>3</v>
      </c>
      <c r="Y674" s="16">
        <f>VLOOKUP(W674,[1]Lookups!$P$3:$U$15,3,FALSE)</f>
        <v>2</v>
      </c>
      <c r="Z674" s="16">
        <f t="shared" si="737"/>
        <v>1</v>
      </c>
      <c r="AA674" s="16" t="str">
        <f t="shared" ca="1" si="904"/>
        <v>Seedstars</v>
      </c>
      <c r="AB674" s="16">
        <f t="shared" si="904"/>
        <v>0</v>
      </c>
      <c r="AC674" s="16">
        <f t="shared" si="904"/>
        <v>0</v>
      </c>
      <c r="AD674" s="16">
        <f t="shared" si="904"/>
        <v>0</v>
      </c>
      <c r="AE674" s="16">
        <f t="shared" si="904"/>
        <v>0</v>
      </c>
      <c r="AF674" s="16">
        <f t="shared" si="904"/>
        <v>0</v>
      </c>
      <c r="AG674" s="16">
        <f t="shared" si="904"/>
        <v>0</v>
      </c>
      <c r="AH674" s="16">
        <f t="shared" si="904"/>
        <v>0</v>
      </c>
      <c r="AI674" s="16">
        <f t="shared" si="904"/>
        <v>0</v>
      </c>
      <c r="AJ674" s="16">
        <f t="shared" si="904"/>
        <v>0</v>
      </c>
      <c r="AK674" s="16">
        <f t="shared" si="904"/>
        <v>0</v>
      </c>
      <c r="AL674" s="16">
        <f t="shared" si="904"/>
        <v>0</v>
      </c>
      <c r="AM674" s="16">
        <f t="shared" si="904"/>
        <v>0</v>
      </c>
      <c r="AN674" s="16">
        <f t="shared" si="904"/>
        <v>0</v>
      </c>
      <c r="AO674" s="16">
        <f t="shared" si="904"/>
        <v>0</v>
      </c>
      <c r="AP674" s="10"/>
      <c r="AQ674" s="10"/>
      <c r="AR674" s="10"/>
      <c r="AS674" s="10" t="str">
        <f t="shared" ref="AS674" ca="1" si="910">IFERROR(__xludf.DUMMYFUNCTION("split(F479,"","",true,true)"),"Seedstars")</f>
        <v>Seedstars</v>
      </c>
      <c r="AT674" s="10"/>
      <c r="AU674" s="10"/>
      <c r="AV674" s="10"/>
      <c r="AW674" s="10"/>
      <c r="AX674" s="10"/>
      <c r="AY674" s="10"/>
      <c r="AZ674" s="10"/>
      <c r="BA674" s="10"/>
      <c r="BB674" s="10"/>
      <c r="BC674" s="10"/>
      <c r="BD674" s="10"/>
      <c r="BE674" s="10"/>
      <c r="BF674" s="10"/>
      <c r="BG674" s="10"/>
      <c r="BH674" s="10"/>
      <c r="BI674" s="10"/>
      <c r="BJ674" s="10"/>
      <c r="BK674" s="10"/>
      <c r="BM674" s="10"/>
    </row>
    <row r="675" spans="1:65" ht="12.75">
      <c r="A675" s="18">
        <v>43335</v>
      </c>
      <c r="B675" s="14" t="s">
        <v>1481</v>
      </c>
      <c r="C675" s="19">
        <v>450000</v>
      </c>
      <c r="D675" s="19"/>
      <c r="E675" s="14" t="s">
        <v>55</v>
      </c>
      <c r="F675" s="14" t="s">
        <v>1482</v>
      </c>
      <c r="G675" s="27" t="s">
        <v>1483</v>
      </c>
      <c r="H675" s="14" t="str">
        <f t="array" ref="H675">IFERROR(INDEX([1]Companies!$G:$G,MATCH(B675,[1]Companies!$A:$A,0)),"")</f>
        <v>Kenya</v>
      </c>
      <c r="I675" s="14" t="str">
        <f t="shared" si="694"/>
        <v>Kenya</v>
      </c>
      <c r="J675" s="14" t="str">
        <f t="array" ref="J675">IFERROR(INDEX([1]Companies!$Y:$Y,MATCH(B675,[1]Companies!$A:$A,0)),"")</f>
        <v>Angel Investment, Finance, Impact Investing</v>
      </c>
      <c r="K675" s="14" t="str">
        <f t="array" ref="K675">IFERROR(INDEX([1]Companies!$X:$X,MATCH(B675,[1]Companies!$A:$A,0)),"")</f>
        <v>Financial Services</v>
      </c>
      <c r="L675" s="14" t="str">
        <f>VLOOKUP(B675,[1]Companies!$A$1:$C$5243,1,FALSE)</f>
        <v>Lendable</v>
      </c>
      <c r="M675" s="15">
        <f t="shared" si="695"/>
        <v>0.9</v>
      </c>
      <c r="N675" s="10" t="str">
        <f t="shared" si="696"/>
        <v>43335Lendable450000</v>
      </c>
      <c r="O675" s="14" t="str">
        <f t="shared" si="697"/>
        <v/>
      </c>
      <c r="P675" s="14">
        <f t="shared" si="698"/>
        <v>1</v>
      </c>
      <c r="Q675" s="14">
        <f t="array" ref="Q675">IFERROR(INDEX([1]Companies!$D:$D,MATCH(B675,[1]Companies!$A:$A,0)),"")</f>
        <v>2014</v>
      </c>
      <c r="R675" s="17">
        <f t="shared" si="699"/>
        <v>450000</v>
      </c>
      <c r="S675" s="14">
        <f>VLOOKUP(I675,[1]Lookups!$V$3:$Y$197,4,FALSE)</f>
        <v>0</v>
      </c>
      <c r="T675" s="14" t="str">
        <f>VLOOKUP(E675,[1]Lookups!$H$3:$I$71,2,FALSE)</f>
        <v>1. Grant</v>
      </c>
      <c r="U675" s="14" t="str">
        <f>VLOOKUP(K675,[1]Lookups!$B$3:$C$142,2,FALSE)</f>
        <v>Financial Services</v>
      </c>
      <c r="V675" s="14">
        <f t="shared" si="735"/>
        <v>2018</v>
      </c>
      <c r="W675" s="14">
        <f t="shared" si="736"/>
        <v>8</v>
      </c>
      <c r="X675" s="14">
        <f>VLOOKUP(W675,[1]Lookups!$P$3:$S$15,2,FALSE)</f>
        <v>3</v>
      </c>
      <c r="Y675" s="16">
        <f>VLOOKUP(W675,[1]Lookups!$P$3:$U$15,3,FALSE)</f>
        <v>2</v>
      </c>
      <c r="Z675" s="16">
        <f t="shared" si="737"/>
        <v>1</v>
      </c>
      <c r="AA675" s="16" t="str">
        <f t="shared" ca="1" si="904"/>
        <v>Seedstars</v>
      </c>
      <c r="AB675" s="16">
        <f t="shared" si="904"/>
        <v>0</v>
      </c>
      <c r="AC675" s="16">
        <f t="shared" si="904"/>
        <v>0</v>
      </c>
      <c r="AD675" s="16">
        <f t="shared" si="904"/>
        <v>0</v>
      </c>
      <c r="AE675" s="16">
        <f t="shared" si="904"/>
        <v>0</v>
      </c>
      <c r="AF675" s="16">
        <f t="shared" si="904"/>
        <v>0</v>
      </c>
      <c r="AG675" s="16">
        <f t="shared" si="904"/>
        <v>0</v>
      </c>
      <c r="AH675" s="16">
        <f t="shared" si="904"/>
        <v>0</v>
      </c>
      <c r="AI675" s="16">
        <f t="shared" si="904"/>
        <v>0</v>
      </c>
      <c r="AJ675" s="16">
        <f t="shared" si="904"/>
        <v>0</v>
      </c>
      <c r="AK675" s="16">
        <f t="shared" si="904"/>
        <v>0</v>
      </c>
      <c r="AL675" s="16">
        <f t="shared" si="904"/>
        <v>0</v>
      </c>
      <c r="AM675" s="16">
        <f t="shared" si="904"/>
        <v>0</v>
      </c>
      <c r="AN675" s="16">
        <f t="shared" si="904"/>
        <v>0</v>
      </c>
      <c r="AO675" s="16">
        <f t="shared" si="904"/>
        <v>0</v>
      </c>
      <c r="AP675" s="10"/>
      <c r="AQ675" s="10"/>
      <c r="AR675" s="10"/>
      <c r="AS675" s="10" t="str">
        <f t="shared" ref="AS675" ca="1" si="911">IFERROR(__xludf.DUMMYFUNCTION("split(F479,"","",true,true)"),"Seedstars")</f>
        <v>Seedstars</v>
      </c>
      <c r="AT675" s="10"/>
      <c r="AU675" s="10"/>
      <c r="AV675" s="10"/>
      <c r="AW675" s="10"/>
      <c r="AX675" s="10"/>
      <c r="AY675" s="10"/>
      <c r="AZ675" s="10"/>
      <c r="BA675" s="10"/>
      <c r="BB675" s="10"/>
      <c r="BC675" s="10"/>
      <c r="BD675" s="10"/>
      <c r="BE675" s="10"/>
      <c r="BF675" s="10"/>
      <c r="BG675" s="10"/>
      <c r="BH675" s="10"/>
      <c r="BI675" s="10"/>
      <c r="BJ675" s="10"/>
      <c r="BK675" s="10"/>
      <c r="BM675" s="10"/>
    </row>
    <row r="676" spans="1:65" ht="12.75">
      <c r="A676" s="18">
        <v>43335</v>
      </c>
      <c r="B676" s="14" t="s">
        <v>1484</v>
      </c>
      <c r="C676" s="19">
        <v>200000</v>
      </c>
      <c r="D676" s="19"/>
      <c r="E676" s="14" t="s">
        <v>45</v>
      </c>
      <c r="F676" s="14" t="s">
        <v>1485</v>
      </c>
      <c r="G676" s="27" t="s">
        <v>1486</v>
      </c>
      <c r="H676" s="14" t="str">
        <f t="array" ref="H676">IFERROR(INDEX([1]Companies!$G:$G,MATCH(B676,[1]Companies!$A:$A,0)),"")</f>
        <v>Nigeria</v>
      </c>
      <c r="I676" s="14" t="str">
        <f t="shared" si="694"/>
        <v>Nigeria</v>
      </c>
      <c r="J676" s="14" t="str">
        <f t="array" ref="J676">IFERROR(INDEX([1]Companies!$Y:$Y,MATCH(B676,[1]Companies!$A:$A,0)),"")</f>
        <v>SaaS</v>
      </c>
      <c r="K676" s="14" t="str">
        <f t="array" ref="K676">IFERROR(INDEX([1]Companies!$X:$X,MATCH(B676,[1]Companies!$A:$A,0)),"")</f>
        <v>Financial Services</v>
      </c>
      <c r="L676" s="14" t="str">
        <f>VLOOKUP(B676,[1]Companies!$A$1:$C$5243,1,FALSE)</f>
        <v>ThankUCash</v>
      </c>
      <c r="M676" s="15">
        <f t="shared" si="695"/>
        <v>0.9</v>
      </c>
      <c r="N676" s="10" t="str">
        <f t="shared" si="696"/>
        <v>43335ThankUCash200000</v>
      </c>
      <c r="O676" s="14" t="str">
        <f t="shared" si="697"/>
        <v/>
      </c>
      <c r="P676" s="14">
        <f t="shared" si="698"/>
        <v>1</v>
      </c>
      <c r="Q676" s="14">
        <f t="array" ref="Q676">IFERROR(INDEX([1]Companies!$D:$D,MATCH(B676,[1]Companies!$A:$A,0)),"")</f>
        <v>2018</v>
      </c>
      <c r="R676" s="17">
        <f t="shared" si="699"/>
        <v>210000</v>
      </c>
      <c r="S676" s="14">
        <f>VLOOKUP(I676,[1]Lookups!$V$3:$Y$197,4,FALSE)</f>
        <v>0</v>
      </c>
      <c r="T676" s="14" t="str">
        <f>VLOOKUP(E676,[1]Lookups!$H$3:$I$71,2,FALSE)</f>
        <v>2. Seed</v>
      </c>
      <c r="U676" s="14" t="str">
        <f>VLOOKUP(K676,[1]Lookups!$B$3:$C$142,2,FALSE)</f>
        <v>Financial Services</v>
      </c>
      <c r="V676" s="14">
        <f t="shared" si="735"/>
        <v>2018</v>
      </c>
      <c r="W676" s="14">
        <f t="shared" si="736"/>
        <v>8</v>
      </c>
      <c r="X676" s="14">
        <f>VLOOKUP(W676,[1]Lookups!$P$3:$S$15,2,FALSE)</f>
        <v>3</v>
      </c>
      <c r="Y676" s="16">
        <f>VLOOKUP(W676,[1]Lookups!$P$3:$U$15,3,FALSE)</f>
        <v>2</v>
      </c>
      <c r="Z676" s="16">
        <f t="shared" si="737"/>
        <v>2</v>
      </c>
      <c r="AA676" s="16" t="str">
        <f t="shared" ca="1" si="904"/>
        <v>Seedstars</v>
      </c>
      <c r="AB676" s="16" t="str">
        <f t="shared" ca="1" si="904"/>
        <v xml:space="preserve"> Ventures Platform</v>
      </c>
      <c r="AC676" s="16">
        <f t="shared" si="904"/>
        <v>0</v>
      </c>
      <c r="AD676" s="16">
        <f t="shared" si="904"/>
        <v>0</v>
      </c>
      <c r="AE676" s="16">
        <f t="shared" si="904"/>
        <v>0</v>
      </c>
      <c r="AF676" s="16">
        <f t="shared" si="904"/>
        <v>0</v>
      </c>
      <c r="AG676" s="16">
        <f t="shared" si="904"/>
        <v>0</v>
      </c>
      <c r="AH676" s="16">
        <f t="shared" si="904"/>
        <v>0</v>
      </c>
      <c r="AI676" s="16">
        <f t="shared" si="904"/>
        <v>0</v>
      </c>
      <c r="AJ676" s="16">
        <f t="shared" si="904"/>
        <v>0</v>
      </c>
      <c r="AK676" s="16">
        <f t="shared" si="904"/>
        <v>0</v>
      </c>
      <c r="AL676" s="16">
        <f t="shared" si="904"/>
        <v>0</v>
      </c>
      <c r="AM676" s="16">
        <f t="shared" si="904"/>
        <v>0</v>
      </c>
      <c r="AN676" s="16">
        <f t="shared" si="904"/>
        <v>0</v>
      </c>
      <c r="AO676" s="16">
        <f t="shared" si="904"/>
        <v>0</v>
      </c>
      <c r="AP676" s="10"/>
      <c r="AQ676" s="10"/>
      <c r="AR676" s="10"/>
      <c r="AS676" s="10" t="str">
        <f t="shared" ref="AS676" ca="1" si="912">IFERROR(__xludf.DUMMYFUNCTION("split(F479,"","",true,true)"),"Seedstars")</f>
        <v>Seedstars</v>
      </c>
      <c r="AT676" s="10" t="str">
        <f ca="1">IFERROR(__xludf.DUMMYFUNCTION("""COMPUTED_VALUE""")," Ventures Platform")</f>
        <v xml:space="preserve"> Ventures Platform</v>
      </c>
      <c r="AU676" s="10"/>
      <c r="AV676" s="10"/>
      <c r="AW676" s="10"/>
      <c r="AX676" s="10"/>
      <c r="AY676" s="10"/>
      <c r="AZ676" s="10"/>
      <c r="BA676" s="10"/>
      <c r="BB676" s="10"/>
      <c r="BC676" s="10"/>
      <c r="BD676" s="10"/>
      <c r="BE676" s="10"/>
      <c r="BF676" s="10"/>
      <c r="BG676" s="10"/>
      <c r="BH676" s="10"/>
      <c r="BI676" s="10"/>
      <c r="BJ676" s="10"/>
      <c r="BK676" s="10"/>
      <c r="BM676" s="10"/>
    </row>
    <row r="677" spans="1:65" ht="12.75">
      <c r="A677" s="9">
        <v>43337</v>
      </c>
      <c r="B677" s="10" t="s">
        <v>1487</v>
      </c>
      <c r="C677" s="11" t="s">
        <v>49</v>
      </c>
      <c r="D677" s="12"/>
      <c r="E677" s="10" t="s">
        <v>112</v>
      </c>
      <c r="F677" s="10" t="s">
        <v>49</v>
      </c>
      <c r="G677" s="13" t="s">
        <v>1488</v>
      </c>
      <c r="H677" s="14" t="str">
        <f t="array" ref="H677">IFERROR(INDEX([1]Companies!$G:$G,MATCH(B677,[1]Companies!$A:$A,0)),"")</f>
        <v>Nigeria</v>
      </c>
      <c r="I677" s="14" t="str">
        <f t="shared" si="694"/>
        <v>Nigeria</v>
      </c>
      <c r="J677" s="14" t="str">
        <f t="array" ref="J677">IFERROR(INDEX([1]Companies!$Y:$Y,MATCH(B677,[1]Companies!$A:$A,0)),"")</f>
        <v>Manufacturing</v>
      </c>
      <c r="K677" s="14" t="str">
        <f t="array" ref="K677">IFERROR(INDEX([1]Companies!$X:$X,MATCH(B677,[1]Companies!$A:$A,0)),"")</f>
        <v>Automotive</v>
      </c>
      <c r="L677" s="14" t="str">
        <f>VLOOKUP(B677,[1]Companies!$A$1:$C$5243,1,FALSE)</f>
        <v>The Farmer's Son Cycles</v>
      </c>
      <c r="M677" s="15">
        <f t="shared" si="695"/>
        <v>0.9</v>
      </c>
      <c r="N677" s="10" t="str">
        <f t="shared" si="696"/>
        <v>43337The Farmer's Son CyclesUndisclosed</v>
      </c>
      <c r="O677" s="14" t="str">
        <f t="shared" si="697"/>
        <v/>
      </c>
      <c r="P677" s="14">
        <f t="shared" si="698"/>
        <v>0</v>
      </c>
      <c r="Q677" s="14">
        <f t="array" ref="Q677">IFERROR(INDEX([1]Companies!$D:$D,MATCH(B677,[1]Companies!$A:$A,0)),"")</f>
        <v>2017</v>
      </c>
      <c r="R677" s="17">
        <f t="shared" si="699"/>
        <v>0</v>
      </c>
      <c r="S677" s="14">
        <f>VLOOKUP(I677,[1]Lookups!$V$3:$Y$197,4,FALSE)</f>
        <v>0</v>
      </c>
      <c r="T677" s="14" t="str">
        <f>VLOOKUP(E677,[1]Lookups!$H$3:$I$71,2,FALSE)</f>
        <v>3. Early Venture</v>
      </c>
      <c r="U677" s="14" t="str">
        <f>VLOOKUP(K677,[1]Lookups!$B$3:$C$142,2,FALSE)</f>
        <v>Emerging Technologies</v>
      </c>
      <c r="V677" s="14">
        <f t="shared" si="735"/>
        <v>2018</v>
      </c>
      <c r="W677" s="14">
        <f t="shared" si="736"/>
        <v>8</v>
      </c>
      <c r="X677" s="14">
        <f>VLOOKUP(W677,[1]Lookups!$P$3:$S$15,2,FALSE)</f>
        <v>3</v>
      </c>
      <c r="Y677" s="16">
        <f>VLOOKUP(W677,[1]Lookups!$P$3:$U$15,3,FALSE)</f>
        <v>2</v>
      </c>
      <c r="Z677" s="16">
        <f t="shared" si="737"/>
        <v>1</v>
      </c>
      <c r="AA677" s="16" t="str">
        <f t="shared" ca="1" si="904"/>
        <v>Seedstars</v>
      </c>
      <c r="AB677" s="16">
        <f t="shared" si="904"/>
        <v>0</v>
      </c>
      <c r="AC677" s="16">
        <f t="shared" si="904"/>
        <v>0</v>
      </c>
      <c r="AD677" s="16">
        <f t="shared" si="904"/>
        <v>0</v>
      </c>
      <c r="AE677" s="16">
        <f t="shared" si="904"/>
        <v>0</v>
      </c>
      <c r="AF677" s="16">
        <f t="shared" si="904"/>
        <v>0</v>
      </c>
      <c r="AG677" s="16">
        <f t="shared" si="904"/>
        <v>0</v>
      </c>
      <c r="AH677" s="16">
        <f t="shared" si="904"/>
        <v>0</v>
      </c>
      <c r="AI677" s="16">
        <f t="shared" si="904"/>
        <v>0</v>
      </c>
      <c r="AJ677" s="16">
        <f t="shared" si="904"/>
        <v>0</v>
      </c>
      <c r="AK677" s="16">
        <f t="shared" si="904"/>
        <v>0</v>
      </c>
      <c r="AL677" s="16">
        <f t="shared" si="904"/>
        <v>0</v>
      </c>
      <c r="AM677" s="16">
        <f t="shared" si="904"/>
        <v>0</v>
      </c>
      <c r="AN677" s="16">
        <f t="shared" si="904"/>
        <v>0</v>
      </c>
      <c r="AO677" s="16">
        <f t="shared" si="904"/>
        <v>0</v>
      </c>
      <c r="AP677" s="10"/>
      <c r="AQ677" s="10"/>
      <c r="AR677" s="10"/>
      <c r="AS677" s="10" t="str">
        <f t="shared" ref="AS677" ca="1" si="913">IFERROR(__xludf.DUMMYFUNCTION("split(F479,"","",true,true)"),"Seedstars")</f>
        <v>Seedstars</v>
      </c>
      <c r="AT677" s="10"/>
      <c r="AU677" s="10"/>
      <c r="AV677" s="10"/>
      <c r="AW677" s="10"/>
      <c r="AX677" s="10"/>
      <c r="AY677" s="10"/>
      <c r="AZ677" s="10"/>
      <c r="BA677" s="10"/>
      <c r="BB677" s="10"/>
      <c r="BC677" s="10"/>
      <c r="BD677" s="10"/>
      <c r="BE677" s="10"/>
      <c r="BF677" s="10"/>
      <c r="BG677" s="10"/>
      <c r="BH677" s="10"/>
      <c r="BI677" s="10"/>
      <c r="BJ677" s="10"/>
      <c r="BK677" s="10"/>
      <c r="BM677" s="10"/>
    </row>
    <row r="678" spans="1:65" ht="12.75">
      <c r="A678" s="18">
        <v>43339</v>
      </c>
      <c r="B678" s="14" t="s">
        <v>1028</v>
      </c>
      <c r="C678" s="19">
        <v>300000</v>
      </c>
      <c r="D678" s="19"/>
      <c r="E678" s="14" t="s">
        <v>69</v>
      </c>
      <c r="F678" s="14" t="s">
        <v>1489</v>
      </c>
      <c r="G678" s="27" t="s">
        <v>1490</v>
      </c>
      <c r="H678" s="14" t="str">
        <f t="array" ref="H678">IFERROR(INDEX([1]Companies!$G:$G,MATCH(B678,[1]Companies!$A:$A,0)),"")</f>
        <v>Nigeria</v>
      </c>
      <c r="I678" s="14" t="str">
        <f t="shared" si="694"/>
        <v>Nigeria</v>
      </c>
      <c r="J678" s="14" t="str">
        <f t="array" ref="J678">IFERROR(INDEX([1]Companies!$Y:$Y,MATCH(B678,[1]Companies!$A:$A,0)),"")</f>
        <v>E-Learning, EdTech, Education</v>
      </c>
      <c r="K678" s="14" t="str">
        <f t="array" ref="K678">IFERROR(INDEX([1]Companies!$X:$X,MATCH(B678,[1]Companies!$A:$A,0)),"")</f>
        <v>Education</v>
      </c>
      <c r="L678" s="14" t="str">
        <f>VLOOKUP(B678,[1]Companies!$A$1:$C$5243,1,FALSE)</f>
        <v>Prepclass</v>
      </c>
      <c r="M678" s="15">
        <f t="shared" si="695"/>
        <v>0.9</v>
      </c>
      <c r="N678" s="10" t="str">
        <f t="shared" si="696"/>
        <v>43339PrepClass300000</v>
      </c>
      <c r="O678" s="14" t="str">
        <f t="shared" si="697"/>
        <v/>
      </c>
      <c r="P678" s="14">
        <f t="shared" si="698"/>
        <v>1</v>
      </c>
      <c r="Q678" s="14">
        <f t="array" ref="Q678">IFERROR(INDEX([1]Companies!$D:$D,MATCH(B678,[1]Companies!$A:$A,0)),"")</f>
        <v>2014</v>
      </c>
      <c r="R678" s="17">
        <f t="shared" si="699"/>
        <v>620000</v>
      </c>
      <c r="S678" s="14">
        <f>VLOOKUP(I678,[1]Lookups!$V$3:$Y$197,4,FALSE)</f>
        <v>0</v>
      </c>
      <c r="T678" s="14" t="str">
        <f>VLOOKUP(E678,[1]Lookups!$H$3:$I$71,2,FALSE)</f>
        <v>3. Early Venture</v>
      </c>
      <c r="U678" s="14" t="str">
        <f>VLOOKUP(K678,[1]Lookups!$B$3:$C$142,2,FALSE)</f>
        <v>Education</v>
      </c>
      <c r="V678" s="14">
        <f t="shared" si="735"/>
        <v>2018</v>
      </c>
      <c r="W678" s="14">
        <f t="shared" si="736"/>
        <v>8</v>
      </c>
      <c r="X678" s="14">
        <f>VLOOKUP(W678,[1]Lookups!$P$3:$S$15,2,FALSE)</f>
        <v>3</v>
      </c>
      <c r="Y678" s="16">
        <f>VLOOKUP(W678,[1]Lookups!$P$3:$U$15,3,FALSE)</f>
        <v>2</v>
      </c>
      <c r="Z678" s="16">
        <f t="shared" si="737"/>
        <v>1</v>
      </c>
      <c r="AA678" s="16" t="str">
        <f t="shared" ca="1" si="904"/>
        <v>Seedstars</v>
      </c>
      <c r="AB678" s="16">
        <f t="shared" si="904"/>
        <v>0</v>
      </c>
      <c r="AC678" s="16">
        <f t="shared" si="904"/>
        <v>0</v>
      </c>
      <c r="AD678" s="16">
        <f t="shared" si="904"/>
        <v>0</v>
      </c>
      <c r="AE678" s="16">
        <f t="shared" si="904"/>
        <v>0</v>
      </c>
      <c r="AF678" s="16">
        <f t="shared" si="904"/>
        <v>0</v>
      </c>
      <c r="AG678" s="16">
        <f t="shared" si="904"/>
        <v>0</v>
      </c>
      <c r="AH678" s="16">
        <f t="shared" si="904"/>
        <v>0</v>
      </c>
      <c r="AI678" s="16">
        <f t="shared" si="904"/>
        <v>0</v>
      </c>
      <c r="AJ678" s="16">
        <f t="shared" si="904"/>
        <v>0</v>
      </c>
      <c r="AK678" s="16">
        <f t="shared" si="904"/>
        <v>0</v>
      </c>
      <c r="AL678" s="16">
        <f t="shared" si="904"/>
        <v>0</v>
      </c>
      <c r="AM678" s="16">
        <f t="shared" si="904"/>
        <v>0</v>
      </c>
      <c r="AN678" s="16">
        <f t="shared" si="904"/>
        <v>0</v>
      </c>
      <c r="AO678" s="16">
        <f t="shared" si="904"/>
        <v>0</v>
      </c>
      <c r="AP678" s="10"/>
      <c r="AQ678" s="10"/>
      <c r="AR678" s="10"/>
      <c r="AS678" s="10" t="str">
        <f t="shared" ref="AS678" ca="1" si="914">IFERROR(__xludf.DUMMYFUNCTION("split(F479,"","",true,true)"),"Seedstars")</f>
        <v>Seedstars</v>
      </c>
      <c r="AT678" s="10"/>
      <c r="AU678" s="10"/>
      <c r="AV678" s="10"/>
      <c r="AW678" s="10"/>
      <c r="AX678" s="10"/>
      <c r="AY678" s="10"/>
      <c r="AZ678" s="10"/>
      <c r="BA678" s="10"/>
      <c r="BB678" s="10"/>
      <c r="BC678" s="10"/>
      <c r="BD678" s="10"/>
      <c r="BE678" s="10"/>
      <c r="BF678" s="10"/>
      <c r="BG678" s="10"/>
      <c r="BH678" s="10"/>
      <c r="BI678" s="10"/>
      <c r="BJ678" s="10"/>
      <c r="BK678" s="10"/>
      <c r="BM678" s="10"/>
    </row>
    <row r="679" spans="1:65" ht="12.75">
      <c r="A679" s="18">
        <v>43339</v>
      </c>
      <c r="B679" s="14" t="s">
        <v>1264</v>
      </c>
      <c r="C679" s="19">
        <v>50000</v>
      </c>
      <c r="D679" s="19"/>
      <c r="E679" s="14" t="s">
        <v>45</v>
      </c>
      <c r="F679" s="14" t="s">
        <v>1491</v>
      </c>
      <c r="G679" s="27" t="s">
        <v>1492</v>
      </c>
      <c r="H679" s="14" t="str">
        <f t="array" ref="H679">IFERROR(INDEX([1]Companies!$G:$G,MATCH(B679,[1]Companies!$A:$A,0)),"")</f>
        <v>Kenya</v>
      </c>
      <c r="I679" s="14" t="str">
        <f t="shared" si="694"/>
        <v>Kenya</v>
      </c>
      <c r="J679" s="14" t="str">
        <f t="array" ref="J679">IFERROR(INDEX([1]Companies!$Y:$Y,MATCH(B679,[1]Companies!$A:$A,0)),"")</f>
        <v>CRM, Customer Support, Customer Experience, SaaS</v>
      </c>
      <c r="K679" s="14" t="str">
        <f t="array" ref="K679">IFERROR(INDEX([1]Companies!$X:$X,MATCH(B679,[1]Companies!$A:$A,0)),"")</f>
        <v>SaaS</v>
      </c>
      <c r="L679" s="14" t="str">
        <f>VLOOKUP(B679,[1]Companies!$A$1:$C$5243,1,FALSE)</f>
        <v>Talklift</v>
      </c>
      <c r="M679" s="15">
        <f t="shared" si="695"/>
        <v>0.9</v>
      </c>
      <c r="N679" s="10" t="str">
        <f t="shared" si="696"/>
        <v>43339TalkLift50000</v>
      </c>
      <c r="O679" s="14" t="str">
        <f t="shared" si="697"/>
        <v/>
      </c>
      <c r="P679" s="14">
        <f t="shared" si="698"/>
        <v>1</v>
      </c>
      <c r="Q679" s="14">
        <f t="array" ref="Q679">IFERROR(INDEX([1]Companies!$D:$D,MATCH(B679,[1]Companies!$A:$A,0)),"")</f>
        <v>2017</v>
      </c>
      <c r="R679" s="17">
        <f t="shared" si="699"/>
        <v>100000</v>
      </c>
      <c r="S679" s="14">
        <f>VLOOKUP(I679,[1]Lookups!$V$3:$Y$197,4,FALSE)</f>
        <v>0</v>
      </c>
      <c r="T679" s="14" t="str">
        <f>VLOOKUP(E679,[1]Lookups!$H$3:$I$71,2,FALSE)</f>
        <v>2. Seed</v>
      </c>
      <c r="U679" s="14" t="str">
        <f>VLOOKUP(K679,[1]Lookups!$B$3:$C$142,2,FALSE)</f>
        <v>Other Technologies &amp; Information Technology</v>
      </c>
      <c r="V679" s="14">
        <f t="shared" si="735"/>
        <v>2018</v>
      </c>
      <c r="W679" s="14">
        <f t="shared" si="736"/>
        <v>8</v>
      </c>
      <c r="X679" s="14">
        <f>VLOOKUP(W679,[1]Lookups!$P$3:$S$15,2,FALSE)</f>
        <v>3</v>
      </c>
      <c r="Y679" s="16">
        <f>VLOOKUP(W679,[1]Lookups!$P$3:$U$15,3,FALSE)</f>
        <v>2</v>
      </c>
      <c r="Z679" s="16">
        <f t="shared" si="737"/>
        <v>1</v>
      </c>
      <c r="AA679" s="16" t="str">
        <f t="shared" ca="1" si="904"/>
        <v>Seedstars</v>
      </c>
      <c r="AB679" s="16">
        <f t="shared" si="904"/>
        <v>0</v>
      </c>
      <c r="AC679" s="16">
        <f t="shared" si="904"/>
        <v>0</v>
      </c>
      <c r="AD679" s="16">
        <f t="shared" si="904"/>
        <v>0</v>
      </c>
      <c r="AE679" s="16">
        <f t="shared" si="904"/>
        <v>0</v>
      </c>
      <c r="AF679" s="16">
        <f t="shared" si="904"/>
        <v>0</v>
      </c>
      <c r="AG679" s="16">
        <f t="shared" si="904"/>
        <v>0</v>
      </c>
      <c r="AH679" s="16">
        <f t="shared" si="904"/>
        <v>0</v>
      </c>
      <c r="AI679" s="16">
        <f t="shared" si="904"/>
        <v>0</v>
      </c>
      <c r="AJ679" s="16">
        <f t="shared" si="904"/>
        <v>0</v>
      </c>
      <c r="AK679" s="16">
        <f t="shared" si="904"/>
        <v>0</v>
      </c>
      <c r="AL679" s="16">
        <f t="shared" si="904"/>
        <v>0</v>
      </c>
      <c r="AM679" s="16">
        <f t="shared" si="904"/>
        <v>0</v>
      </c>
      <c r="AN679" s="16">
        <f t="shared" si="904"/>
        <v>0</v>
      </c>
      <c r="AO679" s="16">
        <f t="shared" si="904"/>
        <v>0</v>
      </c>
      <c r="AP679" s="10"/>
      <c r="AQ679" s="10"/>
      <c r="AR679" s="10"/>
      <c r="AS679" s="10" t="str">
        <f t="shared" ref="AS679" ca="1" si="915">IFERROR(__xludf.DUMMYFUNCTION("split(F479,"","",true,true)"),"Seedstars")</f>
        <v>Seedstars</v>
      </c>
      <c r="AT679" s="10"/>
      <c r="AU679" s="10"/>
      <c r="AV679" s="10"/>
      <c r="AW679" s="10"/>
      <c r="AX679" s="10"/>
      <c r="AY679" s="10"/>
      <c r="AZ679" s="10"/>
      <c r="BA679" s="10"/>
      <c r="BB679" s="10"/>
      <c r="BC679" s="10"/>
      <c r="BD679" s="10"/>
      <c r="BE679" s="10"/>
      <c r="BF679" s="10"/>
      <c r="BG679" s="10"/>
      <c r="BH679" s="10"/>
      <c r="BI679" s="10"/>
      <c r="BJ679" s="10"/>
      <c r="BK679" s="10"/>
      <c r="BM679" s="10"/>
    </row>
    <row r="680" spans="1:65" ht="12.75">
      <c r="A680" s="18">
        <v>43339</v>
      </c>
      <c r="B680" s="14" t="s">
        <v>1484</v>
      </c>
      <c r="C680" s="19">
        <v>10000</v>
      </c>
      <c r="D680" s="19"/>
      <c r="E680" s="14" t="s">
        <v>234</v>
      </c>
      <c r="F680" s="14" t="s">
        <v>689</v>
      </c>
      <c r="G680" s="27" t="s">
        <v>1493</v>
      </c>
      <c r="H680" s="14" t="str">
        <f t="array" ref="H680">IFERROR(INDEX([1]Companies!$G:$G,MATCH(B680,[1]Companies!$A:$A,0)),"")</f>
        <v>Nigeria</v>
      </c>
      <c r="I680" s="14" t="str">
        <f t="shared" si="694"/>
        <v>Nigeria</v>
      </c>
      <c r="J680" s="14" t="str">
        <f t="array" ref="J680">IFERROR(INDEX([1]Companies!$Y:$Y,MATCH(B680,[1]Companies!$A:$A,0)),"")</f>
        <v>SaaS</v>
      </c>
      <c r="K680" s="14" t="str">
        <f t="array" ref="K680">IFERROR(INDEX([1]Companies!$X:$X,MATCH(B680,[1]Companies!$A:$A,0)),"")</f>
        <v>Financial Services</v>
      </c>
      <c r="L680" s="14" t="str">
        <f>VLOOKUP(B680,[1]Companies!$A$1:$C$5243,1,FALSE)</f>
        <v>ThankUCash</v>
      </c>
      <c r="M680" s="15">
        <f t="shared" si="695"/>
        <v>0.9</v>
      </c>
      <c r="N680" s="10" t="str">
        <f t="shared" si="696"/>
        <v>43339ThankUCash10000</v>
      </c>
      <c r="O680" s="14" t="str">
        <f t="shared" si="697"/>
        <v/>
      </c>
      <c r="P680" s="14">
        <f t="shared" si="698"/>
        <v>1</v>
      </c>
      <c r="Q680" s="14">
        <f t="array" ref="Q680">IFERROR(INDEX([1]Companies!$D:$D,MATCH(B680,[1]Companies!$A:$A,0)),"")</f>
        <v>2018</v>
      </c>
      <c r="R680" s="17">
        <f t="shared" si="699"/>
        <v>210000</v>
      </c>
      <c r="S680" s="14">
        <f>VLOOKUP(I680,[1]Lookups!$V$3:$Y$197,4,FALSE)</f>
        <v>0</v>
      </c>
      <c r="T680" s="14" t="str">
        <f>VLOOKUP(E680,[1]Lookups!$H$3:$I$71,2,FALSE)</f>
        <v>2. Seed</v>
      </c>
      <c r="U680" s="14" t="str">
        <f>VLOOKUP(K680,[1]Lookups!$B$3:$C$142,2,FALSE)</f>
        <v>Financial Services</v>
      </c>
      <c r="V680" s="14">
        <f t="shared" si="735"/>
        <v>2018</v>
      </c>
      <c r="W680" s="14">
        <f t="shared" si="736"/>
        <v>8</v>
      </c>
      <c r="X680" s="14">
        <f>VLOOKUP(W680,[1]Lookups!$P$3:$S$15,2,FALSE)</f>
        <v>3</v>
      </c>
      <c r="Y680" s="16">
        <f>VLOOKUP(W680,[1]Lookups!$P$3:$U$15,3,FALSE)</f>
        <v>2</v>
      </c>
      <c r="Z680" s="16">
        <f t="shared" si="737"/>
        <v>1</v>
      </c>
      <c r="AA680" s="16" t="str">
        <f t="shared" ca="1" si="904"/>
        <v>Seedstars</v>
      </c>
      <c r="AB680" s="16">
        <f t="shared" si="904"/>
        <v>0</v>
      </c>
      <c r="AC680" s="16">
        <f t="shared" si="904"/>
        <v>0</v>
      </c>
      <c r="AD680" s="16">
        <f t="shared" si="904"/>
        <v>0</v>
      </c>
      <c r="AE680" s="16">
        <f t="shared" si="904"/>
        <v>0</v>
      </c>
      <c r="AF680" s="16">
        <f t="shared" si="904"/>
        <v>0</v>
      </c>
      <c r="AG680" s="16">
        <f t="shared" si="904"/>
        <v>0</v>
      </c>
      <c r="AH680" s="16">
        <f t="shared" si="904"/>
        <v>0</v>
      </c>
      <c r="AI680" s="16">
        <f t="shared" si="904"/>
        <v>0</v>
      </c>
      <c r="AJ680" s="16">
        <f t="shared" si="904"/>
        <v>0</v>
      </c>
      <c r="AK680" s="16">
        <f t="shared" si="904"/>
        <v>0</v>
      </c>
      <c r="AL680" s="16">
        <f t="shared" si="904"/>
        <v>0</v>
      </c>
      <c r="AM680" s="16">
        <f t="shared" si="904"/>
        <v>0</v>
      </c>
      <c r="AN680" s="16">
        <f t="shared" si="904"/>
        <v>0</v>
      </c>
      <c r="AO680" s="16">
        <f t="shared" si="904"/>
        <v>0</v>
      </c>
      <c r="AP680" s="10"/>
      <c r="AQ680" s="10"/>
      <c r="AR680" s="10"/>
      <c r="AS680" s="10" t="str">
        <f t="shared" ref="AS680" ca="1" si="916">IFERROR(__xludf.DUMMYFUNCTION("split(F479,"","",true,true)"),"Seedstars")</f>
        <v>Seedstars</v>
      </c>
      <c r="AT680" s="10"/>
      <c r="AU680" s="10"/>
      <c r="AV680" s="10"/>
      <c r="AW680" s="10"/>
      <c r="AX680" s="10"/>
      <c r="AY680" s="10"/>
      <c r="AZ680" s="10"/>
      <c r="BA680" s="10"/>
      <c r="BB680" s="10"/>
      <c r="BC680" s="10"/>
      <c r="BD680" s="10"/>
      <c r="BE680" s="10"/>
      <c r="BF680" s="10"/>
      <c r="BG680" s="10"/>
      <c r="BH680" s="10"/>
      <c r="BI680" s="10"/>
      <c r="BJ680" s="10"/>
      <c r="BK680" s="10"/>
      <c r="BM680" s="10"/>
    </row>
    <row r="681" spans="1:65" ht="12.75">
      <c r="A681" s="18">
        <v>43340</v>
      </c>
      <c r="B681" s="14" t="s">
        <v>1494</v>
      </c>
      <c r="C681" s="19">
        <v>10205000</v>
      </c>
      <c r="D681" s="19"/>
      <c r="E681" s="14" t="s">
        <v>69</v>
      </c>
      <c r="F681" s="14" t="s">
        <v>1495</v>
      </c>
      <c r="G681" s="13" t="s">
        <v>1496</v>
      </c>
      <c r="H681" s="14" t="str">
        <f t="array" ref="H681">IFERROR(INDEX([1]Companies!$G:$G,MATCH(B681,[1]Companies!$A:$A,0)),"")</f>
        <v>Nigeria</v>
      </c>
      <c r="I681" s="14" t="str">
        <f t="shared" si="694"/>
        <v>Nigeria</v>
      </c>
      <c r="J681" s="14" t="str">
        <f t="array" ref="J681">IFERROR(INDEX([1]Companies!$Y:$Y,MATCH(B681,[1]Companies!$A:$A,0)),"")</f>
        <v>Financial Services, Internet, Payments, Fintech</v>
      </c>
      <c r="K681" s="14" t="str">
        <f t="array" ref="K681">IFERROR(INDEX([1]Companies!$X:$X,MATCH(B681,[1]Companies!$A:$A,0)),"")</f>
        <v>Financial Services</v>
      </c>
      <c r="L681" s="14" t="str">
        <f>VLOOKUP(B681,[1]Companies!$A$1:$C$5243,1,FALSE)</f>
        <v>Paystack</v>
      </c>
      <c r="M681" s="15">
        <f t="shared" si="695"/>
        <v>0.9</v>
      </c>
      <c r="N681" s="10" t="str">
        <f t="shared" si="696"/>
        <v>43340Paystack10205000</v>
      </c>
      <c r="O681" s="14" t="str">
        <f t="shared" si="697"/>
        <v/>
      </c>
      <c r="P681" s="14">
        <f t="shared" si="698"/>
        <v>1</v>
      </c>
      <c r="Q681" s="14">
        <f t="array" ref="Q681">IFERROR(INDEX([1]Companies!$D:$D,MATCH(B681,[1]Companies!$A:$A,0)),"")</f>
        <v>2015</v>
      </c>
      <c r="R681" s="17">
        <f t="shared" si="699"/>
        <v>11625000</v>
      </c>
      <c r="S681" s="14">
        <f>VLOOKUP(I681,[1]Lookups!$V$3:$Y$197,4,FALSE)</f>
        <v>0</v>
      </c>
      <c r="T681" s="14" t="str">
        <f>VLOOKUP(E681,[1]Lookups!$H$3:$I$71,2,FALSE)</f>
        <v>3. Early Venture</v>
      </c>
      <c r="U681" s="14" t="str">
        <f>VLOOKUP(K681,[1]Lookups!$B$3:$C$142,2,FALSE)</f>
        <v>Financial Services</v>
      </c>
      <c r="V681" s="14">
        <f t="shared" si="735"/>
        <v>2018</v>
      </c>
      <c r="W681" s="14">
        <f t="shared" si="736"/>
        <v>8</v>
      </c>
      <c r="X681" s="14">
        <f>VLOOKUP(W681,[1]Lookups!$P$3:$S$15,2,FALSE)</f>
        <v>3</v>
      </c>
      <c r="Y681" s="16">
        <f>VLOOKUP(W681,[1]Lookups!$P$3:$U$15,3,FALSE)</f>
        <v>2</v>
      </c>
      <c r="Z681" s="16">
        <f t="shared" si="737"/>
        <v>4</v>
      </c>
      <c r="AA681" s="16" t="str">
        <f t="shared" ca="1" si="904"/>
        <v>Seedstars</v>
      </c>
      <c r="AB681" s="16" t="str">
        <f t="shared" ca="1" si="904"/>
        <v xml:space="preserve"> Y Combinator</v>
      </c>
      <c r="AC681" s="16" t="str">
        <f t="shared" ca="1" si="904"/>
        <v xml:space="preserve"> Tencent Holdings</v>
      </c>
      <c r="AD681" s="16" t="str">
        <f t="shared" ca="1" si="904"/>
        <v xml:space="preserve"> Visa</v>
      </c>
      <c r="AE681" s="16">
        <f t="shared" si="904"/>
        <v>0</v>
      </c>
      <c r="AF681" s="16">
        <f t="shared" si="904"/>
        <v>0</v>
      </c>
      <c r="AG681" s="16">
        <f t="shared" si="904"/>
        <v>0</v>
      </c>
      <c r="AH681" s="16">
        <f t="shared" si="904"/>
        <v>0</v>
      </c>
      <c r="AI681" s="16">
        <f t="shared" si="904"/>
        <v>0</v>
      </c>
      <c r="AJ681" s="16">
        <f t="shared" si="904"/>
        <v>0</v>
      </c>
      <c r="AK681" s="16">
        <f t="shared" si="904"/>
        <v>0</v>
      </c>
      <c r="AL681" s="16">
        <f t="shared" si="904"/>
        <v>0</v>
      </c>
      <c r="AM681" s="16">
        <f t="shared" si="904"/>
        <v>0</v>
      </c>
      <c r="AN681" s="16">
        <f t="shared" si="904"/>
        <v>0</v>
      </c>
      <c r="AO681" s="16">
        <f t="shared" si="904"/>
        <v>0</v>
      </c>
      <c r="AP681" s="10"/>
      <c r="AQ681" s="10"/>
      <c r="AR681" s="10"/>
      <c r="AS681" s="10" t="str">
        <f t="shared" ref="AS681" ca="1" si="917">IFERROR(__xludf.DUMMYFUNCTION("split(F479,"","",true,true)"),"Seedstars")</f>
        <v>Seedstars</v>
      </c>
      <c r="AT681" s="10" t="str">
        <f ca="1">IFERROR(__xludf.DUMMYFUNCTION("""COMPUTED_VALUE""")," Y Combinator")</f>
        <v xml:space="preserve"> Y Combinator</v>
      </c>
      <c r="AU681" s="10" t="str">
        <f ca="1">IFERROR(__xludf.DUMMYFUNCTION("""COMPUTED_VALUE""")," Tencent Holdings")</f>
        <v xml:space="preserve"> Tencent Holdings</v>
      </c>
      <c r="AV681" s="10" t="str">
        <f ca="1">IFERROR(__xludf.DUMMYFUNCTION("""COMPUTED_VALUE""")," Visa")</f>
        <v xml:space="preserve"> Visa</v>
      </c>
      <c r="AW681" s="10"/>
      <c r="AX681" s="10"/>
      <c r="AY681" s="10"/>
      <c r="AZ681" s="10"/>
      <c r="BA681" s="10"/>
      <c r="BB681" s="10"/>
      <c r="BC681" s="10"/>
      <c r="BD681" s="10"/>
      <c r="BE681" s="10"/>
      <c r="BF681" s="10"/>
      <c r="BG681" s="10"/>
      <c r="BH681" s="10"/>
      <c r="BI681" s="10"/>
      <c r="BJ681" s="10"/>
      <c r="BK681" s="10"/>
      <c r="BM681" s="10"/>
    </row>
    <row r="682" spans="1:65" ht="12.75">
      <c r="A682" s="18">
        <v>42723</v>
      </c>
      <c r="B682" s="14" t="s">
        <v>1494</v>
      </c>
      <c r="C682" s="19">
        <v>1300000</v>
      </c>
      <c r="D682" s="19"/>
      <c r="E682" s="10" t="s">
        <v>45</v>
      </c>
      <c r="F682" s="14" t="s">
        <v>1497</v>
      </c>
      <c r="G682" s="13" t="s">
        <v>1498</v>
      </c>
      <c r="H682" s="14" t="str">
        <f t="array" ref="H682">IFERROR(INDEX([1]Companies!$G:$G,MATCH(B682,[1]Companies!$A:$A,0)),"")</f>
        <v>Nigeria</v>
      </c>
      <c r="I682" s="14" t="str">
        <f t="shared" si="694"/>
        <v>Nigeria</v>
      </c>
      <c r="J682" s="14" t="str">
        <f t="array" ref="J682">IFERROR(INDEX([1]Companies!$Y:$Y,MATCH(B682,[1]Companies!$A:$A,0)),"")</f>
        <v>Financial Services, Internet, Payments, Fintech</v>
      </c>
      <c r="K682" s="14" t="str">
        <f t="array" ref="K682">IFERROR(INDEX([1]Companies!$X:$X,MATCH(B682,[1]Companies!$A:$A,0)),"")</f>
        <v>Financial Services</v>
      </c>
      <c r="L682" s="14" t="str">
        <f>VLOOKUP(B682,[1]Companies!$A$1:$C$5243,1,FALSE)</f>
        <v>Paystack</v>
      </c>
      <c r="M682" s="15">
        <f t="shared" si="695"/>
        <v>0.9</v>
      </c>
      <c r="N682" s="10" t="str">
        <f t="shared" si="696"/>
        <v>42723Paystack1300000</v>
      </c>
      <c r="O682" s="14"/>
      <c r="P682" s="14"/>
      <c r="Q682" s="14"/>
      <c r="R682" s="17"/>
      <c r="S682" s="14"/>
      <c r="T682" s="14"/>
      <c r="U682" s="14"/>
      <c r="V682" s="14"/>
      <c r="W682" s="14"/>
      <c r="X682" s="14"/>
      <c r="Y682" s="16"/>
      <c r="Z682" s="16"/>
      <c r="AA682" s="16"/>
      <c r="AB682" s="16"/>
      <c r="AC682" s="16"/>
      <c r="AD682" s="16"/>
      <c r="AE682" s="16"/>
      <c r="AF682" s="16"/>
      <c r="AG682" s="16"/>
      <c r="AH682" s="16"/>
      <c r="AI682" s="16"/>
      <c r="AJ682" s="16"/>
      <c r="AK682" s="16"/>
      <c r="AL682" s="16"/>
      <c r="AM682" s="16"/>
      <c r="AN682" s="16"/>
      <c r="AO682" s="16"/>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M682" s="10"/>
    </row>
    <row r="683" spans="1:65" ht="12.75">
      <c r="A683" s="18">
        <v>42453</v>
      </c>
      <c r="B683" s="14" t="s">
        <v>1494</v>
      </c>
      <c r="C683" s="19">
        <v>120000</v>
      </c>
      <c r="D683" s="19"/>
      <c r="E683" s="10" t="s">
        <v>45</v>
      </c>
      <c r="F683" s="14" t="s">
        <v>305</v>
      </c>
      <c r="G683" s="13" t="s">
        <v>1499</v>
      </c>
      <c r="H683" s="14" t="str">
        <f t="array" ref="H683">IFERROR(INDEX([1]Companies!$G:$G,MATCH(B683,[1]Companies!$A:$A,0)),"")</f>
        <v>Nigeria</v>
      </c>
      <c r="I683" s="14" t="str">
        <f t="shared" si="694"/>
        <v>Nigeria</v>
      </c>
      <c r="J683" s="14" t="str">
        <f t="array" ref="J683">IFERROR(INDEX([1]Companies!$Y:$Y,MATCH(B683,[1]Companies!$A:$A,0)),"")</f>
        <v>Financial Services, Internet, Payments, Fintech</v>
      </c>
      <c r="K683" s="14" t="str">
        <f t="array" ref="K683">IFERROR(INDEX([1]Companies!$X:$X,MATCH(B683,[1]Companies!$A:$A,0)),"")</f>
        <v>Financial Services</v>
      </c>
      <c r="L683" s="14" t="str">
        <f>VLOOKUP(B683,[1]Companies!$A$1:$C$5243,1,FALSE)</f>
        <v>Paystack</v>
      </c>
      <c r="M683" s="15">
        <f t="shared" si="695"/>
        <v>0.9</v>
      </c>
      <c r="N683" s="10" t="str">
        <f t="shared" si="696"/>
        <v>42453Paystack120000</v>
      </c>
      <c r="O683" s="14"/>
      <c r="P683" s="14"/>
      <c r="Q683" s="14"/>
      <c r="R683" s="17"/>
      <c r="S683" s="14"/>
      <c r="T683" s="14"/>
      <c r="U683" s="14"/>
      <c r="V683" s="14"/>
      <c r="W683" s="14"/>
      <c r="X683" s="14"/>
      <c r="Y683" s="16"/>
      <c r="Z683" s="16"/>
      <c r="AA683" s="16"/>
      <c r="AB683" s="16"/>
      <c r="AC683" s="16"/>
      <c r="AD683" s="16"/>
      <c r="AE683" s="16"/>
      <c r="AF683" s="16"/>
      <c r="AG683" s="16"/>
      <c r="AH683" s="16"/>
      <c r="AI683" s="16"/>
      <c r="AJ683" s="16"/>
      <c r="AK683" s="16"/>
      <c r="AL683" s="16"/>
      <c r="AM683" s="16"/>
      <c r="AN683" s="16"/>
      <c r="AO683" s="16"/>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M683" s="10"/>
    </row>
    <row r="684" spans="1:65" ht="12.75">
      <c r="A684" s="18">
        <v>43340</v>
      </c>
      <c r="B684" s="14" t="s">
        <v>399</v>
      </c>
      <c r="C684" s="19">
        <v>5000000</v>
      </c>
      <c r="D684" s="19"/>
      <c r="E684" s="10" t="s">
        <v>91</v>
      </c>
      <c r="F684" s="14" t="s">
        <v>1143</v>
      </c>
      <c r="G684" s="27" t="s">
        <v>1500</v>
      </c>
      <c r="H684" s="14" t="str">
        <f t="array" ref="H684">IFERROR(INDEX([1]Companies!$G:$G,MATCH(B684,[1]Companies!$A:$A,0)),"")</f>
        <v>Kenya</v>
      </c>
      <c r="I684" s="14" t="str">
        <f t="shared" si="694"/>
        <v>Kenya</v>
      </c>
      <c r="J684" s="14" t="str">
        <f t="array" ref="J684">IFERROR(INDEX([1]Companies!$Y:$Y,MATCH(B684,[1]Companies!$A:$A,0)),"")</f>
        <v>mCommerce, Distribution, and Agriculture</v>
      </c>
      <c r="K684" s="14" t="str">
        <f t="array" ref="K684">IFERROR(INDEX([1]Companies!$X:$X,MATCH(B684,[1]Companies!$A:$A,0)),"")</f>
        <v>E-Commerce &amp; Retail</v>
      </c>
      <c r="L684" s="14" t="str">
        <f>VLOOKUP(B684,[1]Companies!$A$1:$C$5243,1,FALSE)</f>
        <v>Twiga Foods</v>
      </c>
      <c r="M684" s="15">
        <f t="shared" si="695"/>
        <v>0.9</v>
      </c>
      <c r="N684" s="10" t="str">
        <f t="shared" si="696"/>
        <v>43340Twiga Foods5000000</v>
      </c>
      <c r="O684" s="14" t="str">
        <f t="shared" ref="O684:O699" si="918">IF(A684 = "","",IF(COUNTIF(N:N,CONCATENATE(A684,B684,C684))&gt;1,"Duplicated",""))</f>
        <v/>
      </c>
      <c r="P684" s="14">
        <f t="shared" ref="P684:P699" si="919">IF(C684="Undisclosed",0,1)</f>
        <v>1</v>
      </c>
      <c r="Q684" s="14">
        <f t="array" ref="Q684">IFERROR(INDEX([1]Companies!$D:$D,MATCH(B684,[1]Companies!$A:$A,0)),"")</f>
        <v>2013</v>
      </c>
      <c r="R684" s="17">
        <f t="shared" ref="R684:R699" si="920">SUMIF(B:B,B684,C:C)</f>
        <v>40350000</v>
      </c>
      <c r="S684" s="14">
        <f>VLOOKUP(I684,[1]Lookups!$V$3:$Y$197,4,FALSE)</f>
        <v>0</v>
      </c>
      <c r="T684" s="14" t="str">
        <f>VLOOKUP(E684,[1]Lookups!$H$3:$I$71,2,FALSE)</f>
        <v>5. Debt Financing</v>
      </c>
      <c r="U684" s="14" t="str">
        <f>VLOOKUP(K684,[1]Lookups!$B$3:$C$142,2,FALSE)</f>
        <v>E-commerce &amp; Retail</v>
      </c>
      <c r="V684" s="14">
        <f t="shared" ref="V684:V938" si="921">YEAR(A684)</f>
        <v>2018</v>
      </c>
      <c r="W684" s="14">
        <f t="shared" ref="W684:W938" si="922">MONTH(A684)</f>
        <v>8</v>
      </c>
      <c r="X684" s="14">
        <f>VLOOKUP(W684,[1]Lookups!$P$3:$S$15,2,FALSE)</f>
        <v>3</v>
      </c>
      <c r="Y684" s="16">
        <f>VLOOKUP(W684,[1]Lookups!$P$3:$U$15,3,FALSE)</f>
        <v>2</v>
      </c>
      <c r="Z684" s="16">
        <f t="shared" ref="Z684:Z938" si="923">LEN(F684)-LEN(SUBSTITUTE(F684,",",""))+1</f>
        <v>1</v>
      </c>
      <c r="AA684" s="16" t="str">
        <f t="shared" ref="AA684:AO699" ca="1" si="924">AS684</f>
        <v>Overseas Private Investment Corporation</v>
      </c>
      <c r="AB684" s="16">
        <f t="shared" si="924"/>
        <v>0</v>
      </c>
      <c r="AC684" s="16">
        <f t="shared" si="924"/>
        <v>0</v>
      </c>
      <c r="AD684" s="16">
        <f t="shared" si="924"/>
        <v>0</v>
      </c>
      <c r="AE684" s="16">
        <f t="shared" si="924"/>
        <v>0</v>
      </c>
      <c r="AF684" s="16">
        <f t="shared" si="924"/>
        <v>0</v>
      </c>
      <c r="AG684" s="16">
        <f t="shared" si="924"/>
        <v>0</v>
      </c>
      <c r="AH684" s="16">
        <f t="shared" si="924"/>
        <v>0</v>
      </c>
      <c r="AI684" s="16">
        <f t="shared" si="924"/>
        <v>0</v>
      </c>
      <c r="AJ684" s="16">
        <f t="shared" si="924"/>
        <v>0</v>
      </c>
      <c r="AK684" s="16">
        <f t="shared" si="924"/>
        <v>0</v>
      </c>
      <c r="AL684" s="16">
        <f t="shared" si="924"/>
        <v>0</v>
      </c>
      <c r="AM684" s="16">
        <f t="shared" si="924"/>
        <v>0</v>
      </c>
      <c r="AN684" s="16">
        <f t="shared" si="924"/>
        <v>0</v>
      </c>
      <c r="AO684" s="16">
        <f t="shared" si="924"/>
        <v>0</v>
      </c>
      <c r="AP684" s="10"/>
      <c r="AQ684" s="10"/>
      <c r="AR684" s="10"/>
      <c r="AS684" s="10" t="str">
        <f t="shared" ref="AS684" ca="1" si="925">IFERROR(__xludf.DUMMYFUNCTION("split(F684,"","",true,true)"),"Overseas Private Investment Corporation")</f>
        <v>Overseas Private Investment Corporation</v>
      </c>
      <c r="AT684" s="10"/>
      <c r="AU684" s="10"/>
      <c r="AV684" s="10"/>
      <c r="AW684" s="10"/>
      <c r="AX684" s="10"/>
      <c r="AY684" s="10"/>
      <c r="AZ684" s="10"/>
      <c r="BA684" s="10"/>
      <c r="BB684" s="10"/>
      <c r="BC684" s="10"/>
      <c r="BD684" s="10"/>
      <c r="BE684" s="10"/>
      <c r="BF684" s="10"/>
      <c r="BG684" s="10"/>
      <c r="BH684" s="10"/>
      <c r="BI684" s="10"/>
      <c r="BJ684" s="10"/>
      <c r="BK684" s="10"/>
      <c r="BM684" s="10"/>
    </row>
    <row r="685" spans="1:65" ht="12.75">
      <c r="A685" s="18">
        <v>43341</v>
      </c>
      <c r="B685" s="14" t="s">
        <v>372</v>
      </c>
      <c r="C685" s="19">
        <v>3500000</v>
      </c>
      <c r="D685" s="19"/>
      <c r="E685" s="14" t="s">
        <v>69</v>
      </c>
      <c r="F685" s="14" t="s">
        <v>49</v>
      </c>
      <c r="G685" s="27" t="s">
        <v>1501</v>
      </c>
      <c r="H685" s="14" t="str">
        <f t="array" ref="H685">IFERROR(INDEX([1]Companies!$G:$G,MATCH(B685,[1]Companies!$A:$A,0)),"")</f>
        <v>Kenya</v>
      </c>
      <c r="I685" s="14" t="str">
        <f t="shared" si="694"/>
        <v>Kenya</v>
      </c>
      <c r="J685" s="14" t="str">
        <f t="array" ref="J685">IFERROR(INDEX([1]Companies!$Y:$Y,MATCH(B685,[1]Companies!$A:$A,0)),"")</f>
        <v>Clean Energy, Oil and Gas</v>
      </c>
      <c r="K685" s="14" t="str">
        <f t="array" ref="K685">IFERROR(INDEX([1]Companies!$X:$X,MATCH(B685,[1]Companies!$A:$A,0)),"")</f>
        <v>Energy &amp; Environment Resources</v>
      </c>
      <c r="L685" s="14" t="str">
        <f>VLOOKUP(B685,[1]Companies!$A$1:$C$5243,1,FALSE)</f>
        <v>PayGo Energy</v>
      </c>
      <c r="M685" s="15">
        <f t="shared" si="695"/>
        <v>0.9</v>
      </c>
      <c r="N685" s="10" t="str">
        <f t="shared" si="696"/>
        <v>43341PayGo Energy3500000</v>
      </c>
      <c r="O685" s="14" t="str">
        <f t="shared" si="918"/>
        <v/>
      </c>
      <c r="P685" s="14">
        <f t="shared" si="919"/>
        <v>1</v>
      </c>
      <c r="Q685" s="14">
        <f t="array" ref="Q685">IFERROR(INDEX([1]Companies!$D:$D,MATCH(B685,[1]Companies!$A:$A,0)),"")</f>
        <v>2014</v>
      </c>
      <c r="R685" s="17">
        <f t="shared" si="920"/>
        <v>4900000</v>
      </c>
      <c r="S685" s="14">
        <f>VLOOKUP(I685,[1]Lookups!$V$3:$Y$197,4,FALSE)</f>
        <v>0</v>
      </c>
      <c r="T685" s="14" t="str">
        <f>VLOOKUP(E685,[1]Lookups!$H$3:$I$71,2,FALSE)</f>
        <v>3. Early Venture</v>
      </c>
      <c r="U685" s="14" t="e">
        <f>VLOOKUP(K685,[1]Lookups!$B$3:$C$142,2,FALSE)</f>
        <v>#N/A</v>
      </c>
      <c r="V685" s="14">
        <f t="shared" si="921"/>
        <v>2018</v>
      </c>
      <c r="W685" s="14">
        <f t="shared" si="922"/>
        <v>8</v>
      </c>
      <c r="X685" s="14">
        <f>VLOOKUP(W685,[1]Lookups!$P$3:$S$15,2,FALSE)</f>
        <v>3</v>
      </c>
      <c r="Y685" s="16">
        <f>VLOOKUP(W685,[1]Lookups!$P$3:$U$15,3,FALSE)</f>
        <v>2</v>
      </c>
      <c r="Z685" s="16">
        <f t="shared" si="923"/>
        <v>1</v>
      </c>
      <c r="AA685" s="16" t="str">
        <f t="shared" ca="1" si="924"/>
        <v>Overseas Private Investment Corporation</v>
      </c>
      <c r="AB685" s="16">
        <f t="shared" si="924"/>
        <v>0</v>
      </c>
      <c r="AC685" s="16">
        <f t="shared" si="924"/>
        <v>0</v>
      </c>
      <c r="AD685" s="16">
        <f t="shared" si="924"/>
        <v>0</v>
      </c>
      <c r="AE685" s="16">
        <f t="shared" si="924"/>
        <v>0</v>
      </c>
      <c r="AF685" s="16">
        <f t="shared" si="924"/>
        <v>0</v>
      </c>
      <c r="AG685" s="16">
        <f t="shared" si="924"/>
        <v>0</v>
      </c>
      <c r="AH685" s="16">
        <f t="shared" si="924"/>
        <v>0</v>
      </c>
      <c r="AI685" s="16">
        <f t="shared" si="924"/>
        <v>0</v>
      </c>
      <c r="AJ685" s="16">
        <f t="shared" si="924"/>
        <v>0</v>
      </c>
      <c r="AK685" s="16">
        <f t="shared" si="924"/>
        <v>0</v>
      </c>
      <c r="AL685" s="16">
        <f t="shared" si="924"/>
        <v>0</v>
      </c>
      <c r="AM685" s="16">
        <f t="shared" si="924"/>
        <v>0</v>
      </c>
      <c r="AN685" s="16">
        <f t="shared" si="924"/>
        <v>0</v>
      </c>
      <c r="AO685" s="16">
        <f t="shared" si="924"/>
        <v>0</v>
      </c>
      <c r="AP685" s="10"/>
      <c r="AQ685" s="10"/>
      <c r="AR685" s="10"/>
      <c r="AS685" s="10" t="str">
        <f t="shared" ref="AS685" ca="1" si="926">IFERROR(__xludf.DUMMYFUNCTION("split(F684,"","",true,true)"),"Overseas Private Investment Corporation")</f>
        <v>Overseas Private Investment Corporation</v>
      </c>
      <c r="AT685" s="10"/>
      <c r="AU685" s="10"/>
      <c r="AV685" s="10"/>
      <c r="AW685" s="10"/>
      <c r="AX685" s="10"/>
      <c r="AY685" s="10"/>
      <c r="AZ685" s="10"/>
      <c r="BA685" s="10"/>
      <c r="BB685" s="10"/>
      <c r="BC685" s="10"/>
      <c r="BD685" s="10"/>
      <c r="BE685" s="10"/>
      <c r="BF685" s="10"/>
      <c r="BG685" s="10"/>
      <c r="BH685" s="10"/>
      <c r="BI685" s="10"/>
      <c r="BJ685" s="10"/>
      <c r="BK685" s="10"/>
      <c r="BM685" s="10"/>
    </row>
    <row r="686" spans="1:65" ht="12.75">
      <c r="A686" s="18">
        <v>43341</v>
      </c>
      <c r="B686" s="14" t="s">
        <v>1502</v>
      </c>
      <c r="C686" s="19">
        <v>1200000</v>
      </c>
      <c r="D686" s="19"/>
      <c r="E686" s="14" t="s">
        <v>69</v>
      </c>
      <c r="F686" s="14" t="s">
        <v>942</v>
      </c>
      <c r="G686" s="14"/>
      <c r="H686" s="14" t="str">
        <f t="array" ref="H686">IFERROR(INDEX([1]Companies!$G:$G,MATCH(B686,[1]Companies!$A:$A,0)),"")</f>
        <v>United Kingdom</v>
      </c>
      <c r="I686" s="14" t="str">
        <f t="shared" si="694"/>
        <v>United Kingdom</v>
      </c>
      <c r="J686" s="14" t="str">
        <f t="array" ref="J686">IFERROR(INDEX([1]Companies!$Y:$Y,MATCH(B686,[1]Companies!$A:$A,0)),"")</f>
        <v>Agribusiness, Technical Support</v>
      </c>
      <c r="K686" s="14" t="str">
        <f t="array" ref="K686">IFERROR(INDEX([1]Companies!$X:$X,MATCH(B686,[1]Companies!$A:$A,0)),"")</f>
        <v>Agriculture</v>
      </c>
      <c r="L686" s="14" t="str">
        <f>VLOOKUP(B686,[1]Companies!$A$1:$C$5243,1,FALSE)</f>
        <v>Livestock Trade Services</v>
      </c>
      <c r="M686" s="15">
        <f t="shared" si="695"/>
        <v>0.8</v>
      </c>
      <c r="N686" s="10" t="str">
        <f t="shared" si="696"/>
        <v>43341Livestock Trade Services1200000</v>
      </c>
      <c r="O686" s="14" t="str">
        <f t="shared" si="918"/>
        <v/>
      </c>
      <c r="P686" s="14">
        <f t="shared" si="919"/>
        <v>1</v>
      </c>
      <c r="Q686" s="14">
        <f t="array" ref="Q686">IFERROR(INDEX([1]Companies!$D:$D,MATCH(B686,[1]Companies!$A:$A,0)),"")</f>
        <v>2005</v>
      </c>
      <c r="R686" s="17">
        <f t="shared" si="920"/>
        <v>1200000</v>
      </c>
      <c r="S686" s="14">
        <f>VLOOKUP(I686,[1]Lookups!$V$3:$Y$197,4,FALSE)</f>
        <v>1</v>
      </c>
      <c r="T686" s="14" t="str">
        <f>VLOOKUP(E686,[1]Lookups!$H$3:$I$71,2,FALSE)</f>
        <v>3. Early Venture</v>
      </c>
      <c r="U686" s="14" t="str">
        <f>VLOOKUP(K686,[1]Lookups!$B$3:$C$142,2,FALSE)</f>
        <v>Agriculture</v>
      </c>
      <c r="V686" s="14">
        <f t="shared" si="921"/>
        <v>2018</v>
      </c>
      <c r="W686" s="14">
        <f t="shared" si="922"/>
        <v>8</v>
      </c>
      <c r="X686" s="14">
        <f>VLOOKUP(W686,[1]Lookups!$P$3:$S$15,2,FALSE)</f>
        <v>3</v>
      </c>
      <c r="Y686" s="16">
        <f>VLOOKUP(W686,[1]Lookups!$P$3:$U$15,3,FALSE)</f>
        <v>2</v>
      </c>
      <c r="Z686" s="16">
        <f t="shared" si="923"/>
        <v>1</v>
      </c>
      <c r="AA686" s="16" t="str">
        <f t="shared" ca="1" si="924"/>
        <v>Overseas Private Investment Corporation</v>
      </c>
      <c r="AB686" s="16">
        <f t="shared" si="924"/>
        <v>0</v>
      </c>
      <c r="AC686" s="16">
        <f t="shared" si="924"/>
        <v>0</v>
      </c>
      <c r="AD686" s="16">
        <f t="shared" si="924"/>
        <v>0</v>
      </c>
      <c r="AE686" s="16">
        <f t="shared" si="924"/>
        <v>0</v>
      </c>
      <c r="AF686" s="16">
        <f t="shared" si="924"/>
        <v>0</v>
      </c>
      <c r="AG686" s="16">
        <f t="shared" si="924"/>
        <v>0</v>
      </c>
      <c r="AH686" s="16">
        <f t="shared" si="924"/>
        <v>0</v>
      </c>
      <c r="AI686" s="16">
        <f t="shared" si="924"/>
        <v>0</v>
      </c>
      <c r="AJ686" s="16">
        <f t="shared" si="924"/>
        <v>0</v>
      </c>
      <c r="AK686" s="16">
        <f t="shared" si="924"/>
        <v>0</v>
      </c>
      <c r="AL686" s="16">
        <f t="shared" si="924"/>
        <v>0</v>
      </c>
      <c r="AM686" s="16">
        <f t="shared" si="924"/>
        <v>0</v>
      </c>
      <c r="AN686" s="16">
        <f t="shared" si="924"/>
        <v>0</v>
      </c>
      <c r="AO686" s="16">
        <f t="shared" si="924"/>
        <v>0</v>
      </c>
      <c r="AP686" s="10"/>
      <c r="AQ686" s="10"/>
      <c r="AR686" s="10"/>
      <c r="AS686" s="10" t="str">
        <f t="shared" ref="AS686" ca="1" si="927">IFERROR(__xludf.DUMMYFUNCTION("split(F684,"","",true,true)"),"Overseas Private Investment Corporation")</f>
        <v>Overseas Private Investment Corporation</v>
      </c>
      <c r="AT686" s="10"/>
      <c r="AU686" s="10"/>
      <c r="AV686" s="10"/>
      <c r="AW686" s="10"/>
      <c r="AX686" s="10"/>
      <c r="AY686" s="10"/>
      <c r="AZ686" s="10"/>
      <c r="BA686" s="10"/>
      <c r="BB686" s="10"/>
      <c r="BC686" s="10"/>
      <c r="BD686" s="10"/>
      <c r="BE686" s="10"/>
      <c r="BF686" s="10"/>
      <c r="BG686" s="10"/>
      <c r="BH686" s="10"/>
      <c r="BI686" s="10"/>
      <c r="BJ686" s="10"/>
      <c r="BK686" s="10"/>
      <c r="BM686" s="10"/>
    </row>
    <row r="687" spans="1:65" ht="12.75">
      <c r="A687" s="18">
        <v>43341</v>
      </c>
      <c r="B687" s="14" t="s">
        <v>1503</v>
      </c>
      <c r="C687" s="19">
        <v>100000</v>
      </c>
      <c r="D687" s="19"/>
      <c r="E687" s="14" t="s">
        <v>234</v>
      </c>
      <c r="F687" s="14" t="s">
        <v>1491</v>
      </c>
      <c r="G687" s="27" t="s">
        <v>1504</v>
      </c>
      <c r="H687" s="14" t="str">
        <f t="array" ref="H687">IFERROR(INDEX([1]Companies!$G:$G,MATCH(B687,[1]Companies!$A:$A,0)),"")</f>
        <v>Uganda</v>
      </c>
      <c r="I687" s="14" t="str">
        <f t="shared" si="694"/>
        <v>Uganda</v>
      </c>
      <c r="J687" s="14" t="str">
        <f t="array" ref="J687">IFERROR(INDEX([1]Companies!$Y:$Y,MATCH(B687,[1]Companies!$A:$A,0)),"")</f>
        <v>Finance, Digital Payments, Commerce Platform, Bill Payments, Recharge airtime , Tickets</v>
      </c>
      <c r="K687" s="14" t="str">
        <f t="array" ref="K687">IFERROR(INDEX([1]Companies!$X:$X,MATCH(B687,[1]Companies!$A:$A,0)),"")</f>
        <v>Financial Services</v>
      </c>
      <c r="L687" s="14" t="str">
        <f>VLOOKUP(B687,[1]Companies!$A$1:$C$5243,1,FALSE)</f>
        <v>Xente</v>
      </c>
      <c r="M687" s="15">
        <f t="shared" si="695"/>
        <v>0.9</v>
      </c>
      <c r="N687" s="10" t="str">
        <f t="shared" si="696"/>
        <v>43341Xente100000</v>
      </c>
      <c r="O687" s="14" t="str">
        <f t="shared" si="918"/>
        <v/>
      </c>
      <c r="P687" s="14">
        <f t="shared" si="919"/>
        <v>1</v>
      </c>
      <c r="Q687" s="14">
        <f t="array" ref="Q687">IFERROR(INDEX([1]Companies!$D:$D,MATCH(B687,[1]Companies!$A:$A,0)),"")</f>
        <v>2014</v>
      </c>
      <c r="R687" s="17">
        <f t="shared" si="920"/>
        <v>100000</v>
      </c>
      <c r="S687" s="14">
        <f>VLOOKUP(I687,[1]Lookups!$V$3:$Y$197,4,FALSE)</f>
        <v>0</v>
      </c>
      <c r="T687" s="14" t="str">
        <f>VLOOKUP(E687,[1]Lookups!$H$3:$I$71,2,FALSE)</f>
        <v>2. Seed</v>
      </c>
      <c r="U687" s="14" t="str">
        <f>VLOOKUP(K687,[1]Lookups!$B$3:$C$142,2,FALSE)</f>
        <v>Financial Services</v>
      </c>
      <c r="V687" s="14">
        <f t="shared" si="921"/>
        <v>2018</v>
      </c>
      <c r="W687" s="14">
        <f t="shared" si="922"/>
        <v>8</v>
      </c>
      <c r="X687" s="14">
        <f>VLOOKUP(W687,[1]Lookups!$P$3:$S$15,2,FALSE)</f>
        <v>3</v>
      </c>
      <c r="Y687" s="16">
        <f>VLOOKUP(W687,[1]Lookups!$P$3:$U$15,3,FALSE)</f>
        <v>2</v>
      </c>
      <c r="Z687" s="16">
        <f t="shared" si="923"/>
        <v>1</v>
      </c>
      <c r="AA687" s="16" t="str">
        <f t="shared" ca="1" si="924"/>
        <v>Overseas Private Investment Corporation</v>
      </c>
      <c r="AB687" s="16">
        <f t="shared" si="924"/>
        <v>0</v>
      </c>
      <c r="AC687" s="16">
        <f t="shared" si="924"/>
        <v>0</v>
      </c>
      <c r="AD687" s="16">
        <f t="shared" si="924"/>
        <v>0</v>
      </c>
      <c r="AE687" s="16">
        <f t="shared" si="924"/>
        <v>0</v>
      </c>
      <c r="AF687" s="16">
        <f t="shared" si="924"/>
        <v>0</v>
      </c>
      <c r="AG687" s="16">
        <f t="shared" si="924"/>
        <v>0</v>
      </c>
      <c r="AH687" s="16">
        <f t="shared" si="924"/>
        <v>0</v>
      </c>
      <c r="AI687" s="16">
        <f t="shared" si="924"/>
        <v>0</v>
      </c>
      <c r="AJ687" s="16">
        <f t="shared" si="924"/>
        <v>0</v>
      </c>
      <c r="AK687" s="16">
        <f t="shared" si="924"/>
        <v>0</v>
      </c>
      <c r="AL687" s="16">
        <f t="shared" si="924"/>
        <v>0</v>
      </c>
      <c r="AM687" s="16">
        <f t="shared" si="924"/>
        <v>0</v>
      </c>
      <c r="AN687" s="16">
        <f t="shared" si="924"/>
        <v>0</v>
      </c>
      <c r="AO687" s="16">
        <f t="shared" si="924"/>
        <v>0</v>
      </c>
      <c r="AP687" s="10"/>
      <c r="AQ687" s="10"/>
      <c r="AR687" s="10"/>
      <c r="AS687" s="10" t="str">
        <f t="shared" ref="AS687" ca="1" si="928">IFERROR(__xludf.DUMMYFUNCTION("split(F684,"","",true,true)"),"Overseas Private Investment Corporation")</f>
        <v>Overseas Private Investment Corporation</v>
      </c>
      <c r="AT687" s="10"/>
      <c r="AU687" s="10"/>
      <c r="AV687" s="10"/>
      <c r="AW687" s="10"/>
      <c r="AX687" s="10"/>
      <c r="AY687" s="10"/>
      <c r="AZ687" s="10"/>
      <c r="BA687" s="10"/>
      <c r="BB687" s="10"/>
      <c r="BC687" s="10"/>
      <c r="BD687" s="10"/>
      <c r="BE687" s="10"/>
      <c r="BF687" s="10"/>
      <c r="BG687" s="10"/>
      <c r="BH687" s="10"/>
      <c r="BI687" s="10"/>
      <c r="BJ687" s="10"/>
      <c r="BK687" s="10"/>
      <c r="BM687" s="10"/>
    </row>
    <row r="688" spans="1:65" ht="12.75">
      <c r="A688" s="18">
        <v>43341</v>
      </c>
      <c r="B688" s="14" t="s">
        <v>1505</v>
      </c>
      <c r="C688" s="19">
        <v>50000</v>
      </c>
      <c r="D688" s="19"/>
      <c r="E688" s="14" t="s">
        <v>45</v>
      </c>
      <c r="F688" s="14" t="s">
        <v>1491</v>
      </c>
      <c r="G688" s="27" t="s">
        <v>1506</v>
      </c>
      <c r="H688" s="14" t="str">
        <f t="array" ref="H688">IFERROR(INDEX([1]Companies!$G:$G,MATCH(B688,[1]Companies!$A:$A,0)),"")</f>
        <v/>
      </c>
      <c r="I688" s="14" t="str">
        <f t="shared" si="694"/>
        <v/>
      </c>
      <c r="J688" s="14" t="str">
        <f t="array" ref="J688">IFERROR(INDEX([1]Companies!$Y:$Y,MATCH(B688,[1]Companies!$A:$A,0)),"")</f>
        <v/>
      </c>
      <c r="K688" s="14" t="str">
        <f t="array" ref="K688">IFERROR(INDEX([1]Companies!$X:$X,MATCH(B688,[1]Companies!$A:$A,0)),"")</f>
        <v/>
      </c>
      <c r="L688" s="14" t="e">
        <f>VLOOKUP(B688,[1]Companies!$A$1:$C$5243,1,FALSE)</f>
        <v>#N/A</v>
      </c>
      <c r="M688" s="15">
        <f t="shared" si="695"/>
        <v>0.6428571428571429</v>
      </c>
      <c r="N688" s="10" t="str">
        <f t="shared" si="696"/>
        <v>43341Francom50000</v>
      </c>
      <c r="O688" s="14" t="str">
        <f t="shared" si="918"/>
        <v/>
      </c>
      <c r="P688" s="14">
        <f t="shared" si="919"/>
        <v>1</v>
      </c>
      <c r="Q688" s="14" t="str">
        <f t="array" ref="Q688">IFERROR(INDEX([1]Companies!$D:$D,MATCH(B688,[1]Companies!$A:$A,0)),"")</f>
        <v/>
      </c>
      <c r="R688" s="17">
        <f t="shared" si="920"/>
        <v>50000</v>
      </c>
      <c r="S688" s="14" t="e">
        <f>VLOOKUP(I688,[1]Lookups!$V$3:$Y$197,4,FALSE)</f>
        <v>#N/A</v>
      </c>
      <c r="T688" s="14" t="str">
        <f>VLOOKUP(E688,[1]Lookups!$H$3:$I$71,2,FALSE)</f>
        <v>2. Seed</v>
      </c>
      <c r="U688" s="14" t="e">
        <f>VLOOKUP(K688,[1]Lookups!$B$3:$C$142,2,FALSE)</f>
        <v>#N/A</v>
      </c>
      <c r="V688" s="14">
        <f t="shared" si="921"/>
        <v>2018</v>
      </c>
      <c r="W688" s="14">
        <f t="shared" si="922"/>
        <v>8</v>
      </c>
      <c r="X688" s="14">
        <f>VLOOKUP(W688,[1]Lookups!$P$3:$S$15,2,FALSE)</f>
        <v>3</v>
      </c>
      <c r="Y688" s="16">
        <f>VLOOKUP(W688,[1]Lookups!$P$3:$U$15,3,FALSE)</f>
        <v>2</v>
      </c>
      <c r="Z688" s="16">
        <f t="shared" si="923"/>
        <v>1</v>
      </c>
      <c r="AA688" s="16" t="str">
        <f t="shared" ca="1" si="924"/>
        <v>Overseas Private Investment Corporation</v>
      </c>
      <c r="AB688" s="16">
        <f t="shared" si="924"/>
        <v>0</v>
      </c>
      <c r="AC688" s="16">
        <f t="shared" si="924"/>
        <v>0</v>
      </c>
      <c r="AD688" s="16">
        <f t="shared" si="924"/>
        <v>0</v>
      </c>
      <c r="AE688" s="16">
        <f t="shared" si="924"/>
        <v>0</v>
      </c>
      <c r="AF688" s="16">
        <f t="shared" si="924"/>
        <v>0</v>
      </c>
      <c r="AG688" s="16">
        <f t="shared" si="924"/>
        <v>0</v>
      </c>
      <c r="AH688" s="16">
        <f t="shared" si="924"/>
        <v>0</v>
      </c>
      <c r="AI688" s="16">
        <f t="shared" si="924"/>
        <v>0</v>
      </c>
      <c r="AJ688" s="16">
        <f t="shared" si="924"/>
        <v>0</v>
      </c>
      <c r="AK688" s="16">
        <f t="shared" si="924"/>
        <v>0</v>
      </c>
      <c r="AL688" s="16">
        <f t="shared" si="924"/>
        <v>0</v>
      </c>
      <c r="AM688" s="16">
        <f t="shared" si="924"/>
        <v>0</v>
      </c>
      <c r="AN688" s="16">
        <f t="shared" si="924"/>
        <v>0</v>
      </c>
      <c r="AO688" s="16">
        <f t="shared" si="924"/>
        <v>0</v>
      </c>
      <c r="AP688" s="10"/>
      <c r="AQ688" s="10"/>
      <c r="AR688" s="10"/>
      <c r="AS688" s="10" t="str">
        <f t="shared" ref="AS688" ca="1" si="929">IFERROR(__xludf.DUMMYFUNCTION("split(F684,"","",true,true)"),"Overseas Private Investment Corporation")</f>
        <v>Overseas Private Investment Corporation</v>
      </c>
      <c r="AT688" s="10"/>
      <c r="AU688" s="10"/>
      <c r="AV688" s="10"/>
      <c r="AW688" s="10"/>
      <c r="AX688" s="10"/>
      <c r="AY688" s="10"/>
      <c r="AZ688" s="10"/>
      <c r="BA688" s="10"/>
      <c r="BB688" s="10"/>
      <c r="BC688" s="10"/>
      <c r="BD688" s="10"/>
      <c r="BE688" s="10"/>
      <c r="BF688" s="10"/>
      <c r="BG688" s="10"/>
      <c r="BH688" s="10"/>
      <c r="BI688" s="10"/>
      <c r="BJ688" s="10"/>
      <c r="BK688" s="10"/>
      <c r="BM688" s="10"/>
    </row>
    <row r="689" spans="1:65" ht="12.75">
      <c r="A689" s="18">
        <v>43341</v>
      </c>
      <c r="B689" s="14" t="s">
        <v>1507</v>
      </c>
      <c r="C689" s="19">
        <v>40000</v>
      </c>
      <c r="D689" s="19"/>
      <c r="E689" s="14" t="s">
        <v>45</v>
      </c>
      <c r="F689" s="14" t="s">
        <v>1491</v>
      </c>
      <c r="G689" s="27" t="s">
        <v>1508</v>
      </c>
      <c r="H689" s="14" t="str">
        <f t="array" ref="H689">IFERROR(INDEX([1]Companies!$G:$G,MATCH(B689,[1]Companies!$A:$A,0)),"")</f>
        <v>Uganda</v>
      </c>
      <c r="I689" s="14" t="str">
        <f t="shared" si="694"/>
        <v>Uganda</v>
      </c>
      <c r="J689" s="14" t="str">
        <f t="array" ref="J689">IFERROR(INDEX([1]Companies!$Y:$Y,MATCH(B689,[1]Companies!$A:$A,0)),"")</f>
        <v>Fintect, Payments, Merchants, POS</v>
      </c>
      <c r="K689" s="14" t="str">
        <f t="array" ref="K689">IFERROR(INDEX([1]Companies!$X:$X,MATCH(B689,[1]Companies!$A:$A,0)),"")</f>
        <v>Financial Services</v>
      </c>
      <c r="L689" s="14" t="str">
        <f>VLOOKUP(B689,[1]Companies!$A$1:$C$5243,1,FALSE)</f>
        <v>Swipe2Pay</v>
      </c>
      <c r="M689" s="15">
        <f t="shared" si="695"/>
        <v>0.9</v>
      </c>
      <c r="N689" s="10" t="str">
        <f t="shared" si="696"/>
        <v>43341Swipe2Pay40000</v>
      </c>
      <c r="O689" s="14" t="str">
        <f t="shared" si="918"/>
        <v/>
      </c>
      <c r="P689" s="14">
        <f t="shared" si="919"/>
        <v>1</v>
      </c>
      <c r="Q689" s="14">
        <f t="array" ref="Q689">IFERROR(INDEX([1]Companies!$D:$D,MATCH(B689,[1]Companies!$A:$A,0)),"")</f>
        <v>2017</v>
      </c>
      <c r="R689" s="17">
        <f t="shared" si="920"/>
        <v>40000</v>
      </c>
      <c r="S689" s="14">
        <f>VLOOKUP(I689,[1]Lookups!$V$3:$Y$197,4,FALSE)</f>
        <v>0</v>
      </c>
      <c r="T689" s="14" t="str">
        <f>VLOOKUP(E689,[1]Lookups!$H$3:$I$71,2,FALSE)</f>
        <v>2. Seed</v>
      </c>
      <c r="U689" s="14" t="str">
        <f>VLOOKUP(K689,[1]Lookups!$B$3:$C$142,2,FALSE)</f>
        <v>Financial Services</v>
      </c>
      <c r="V689" s="14">
        <f t="shared" si="921"/>
        <v>2018</v>
      </c>
      <c r="W689" s="14">
        <f t="shared" si="922"/>
        <v>8</v>
      </c>
      <c r="X689" s="14">
        <f>VLOOKUP(W689,[1]Lookups!$P$3:$S$15,2,FALSE)</f>
        <v>3</v>
      </c>
      <c r="Y689" s="16">
        <f>VLOOKUP(W689,[1]Lookups!$P$3:$U$15,3,FALSE)</f>
        <v>2</v>
      </c>
      <c r="Z689" s="16">
        <f t="shared" si="923"/>
        <v>1</v>
      </c>
      <c r="AA689" s="16" t="str">
        <f t="shared" ca="1" si="924"/>
        <v>Overseas Private Investment Corporation</v>
      </c>
      <c r="AB689" s="16">
        <f t="shared" si="924"/>
        <v>0</v>
      </c>
      <c r="AC689" s="16">
        <f t="shared" si="924"/>
        <v>0</v>
      </c>
      <c r="AD689" s="16">
        <f t="shared" si="924"/>
        <v>0</v>
      </c>
      <c r="AE689" s="16">
        <f t="shared" si="924"/>
        <v>0</v>
      </c>
      <c r="AF689" s="16">
        <f t="shared" si="924"/>
        <v>0</v>
      </c>
      <c r="AG689" s="16">
        <f t="shared" si="924"/>
        <v>0</v>
      </c>
      <c r="AH689" s="16">
        <f t="shared" si="924"/>
        <v>0</v>
      </c>
      <c r="AI689" s="16">
        <f t="shared" si="924"/>
        <v>0</v>
      </c>
      <c r="AJ689" s="16">
        <f t="shared" si="924"/>
        <v>0</v>
      </c>
      <c r="AK689" s="16">
        <f t="shared" si="924"/>
        <v>0</v>
      </c>
      <c r="AL689" s="16">
        <f t="shared" si="924"/>
        <v>0</v>
      </c>
      <c r="AM689" s="16">
        <f t="shared" si="924"/>
        <v>0</v>
      </c>
      <c r="AN689" s="16">
        <f t="shared" si="924"/>
        <v>0</v>
      </c>
      <c r="AO689" s="16">
        <f t="shared" si="924"/>
        <v>0</v>
      </c>
      <c r="AP689" s="10"/>
      <c r="AQ689" s="10"/>
      <c r="AR689" s="10"/>
      <c r="AS689" s="10" t="str">
        <f t="shared" ref="AS689" ca="1" si="930">IFERROR(__xludf.DUMMYFUNCTION("split(F684,"","",true,true)"),"Overseas Private Investment Corporation")</f>
        <v>Overseas Private Investment Corporation</v>
      </c>
      <c r="AT689" s="10"/>
      <c r="AU689" s="10"/>
      <c r="AV689" s="10"/>
      <c r="AW689" s="10"/>
      <c r="AX689" s="10"/>
      <c r="AY689" s="10"/>
      <c r="AZ689" s="10"/>
      <c r="BA689" s="10"/>
      <c r="BB689" s="10"/>
      <c r="BC689" s="10"/>
      <c r="BD689" s="10"/>
      <c r="BE689" s="10"/>
      <c r="BF689" s="10"/>
      <c r="BG689" s="10"/>
      <c r="BH689" s="10"/>
      <c r="BI689" s="10"/>
      <c r="BJ689" s="10"/>
      <c r="BK689" s="10"/>
      <c r="BM689" s="10"/>
    </row>
    <row r="690" spans="1:65" ht="12.75">
      <c r="A690" s="18">
        <v>43342</v>
      </c>
      <c r="B690" s="14" t="s">
        <v>1384</v>
      </c>
      <c r="C690" s="19">
        <v>30000</v>
      </c>
      <c r="D690" s="19"/>
      <c r="E690" s="14" t="s">
        <v>55</v>
      </c>
      <c r="F690" s="14" t="s">
        <v>1509</v>
      </c>
      <c r="G690" s="27" t="s">
        <v>1510</v>
      </c>
      <c r="H690" s="14" t="str">
        <f t="array" ref="H690">IFERROR(INDEX([1]Companies!$G:$G,MATCH(B690,[1]Companies!$A:$A,0)),"")</f>
        <v>Kenya</v>
      </c>
      <c r="I690" s="14" t="str">
        <f t="shared" si="694"/>
        <v>Kenya</v>
      </c>
      <c r="J690" s="14" t="str">
        <f t="array" ref="J690">IFERROR(INDEX([1]Companies!$Y:$Y,MATCH(B690,[1]Companies!$A:$A,0)),"")</f>
        <v>AgTech, FinTech, agribusiness</v>
      </c>
      <c r="K690" s="14" t="str">
        <f t="array" ref="K690">IFERROR(INDEX([1]Companies!$X:$X,MATCH(B690,[1]Companies!$A:$A,0)),"")</f>
        <v>Financial Services</v>
      </c>
      <c r="L690" s="14" t="str">
        <f>VLOOKUP(B690,[1]Companies!$A$1:$C$5243,1,FALSE)</f>
        <v>Tulaa</v>
      </c>
      <c r="M690" s="15">
        <f t="shared" si="695"/>
        <v>0.9</v>
      </c>
      <c r="N690" s="10" t="str">
        <f t="shared" si="696"/>
        <v>43342Tulaa30000</v>
      </c>
      <c r="O690" s="14" t="str">
        <f t="shared" si="918"/>
        <v/>
      </c>
      <c r="P690" s="14">
        <f t="shared" si="919"/>
        <v>1</v>
      </c>
      <c r="Q690" s="14">
        <f t="array" ref="Q690">IFERROR(INDEX([1]Companies!$D:$D,MATCH(B690,[1]Companies!$A:$A,0)),"")</f>
        <v>2016</v>
      </c>
      <c r="R690" s="17">
        <f t="shared" si="920"/>
        <v>657000</v>
      </c>
      <c r="S690" s="14">
        <f>VLOOKUP(I690,[1]Lookups!$V$3:$Y$197,4,FALSE)</f>
        <v>0</v>
      </c>
      <c r="T690" s="14" t="str">
        <f>VLOOKUP(E690,[1]Lookups!$H$3:$I$71,2,FALSE)</f>
        <v>1. Grant</v>
      </c>
      <c r="U690" s="14" t="str">
        <f>VLOOKUP(K690,[1]Lookups!$B$3:$C$142,2,FALSE)</f>
        <v>Financial Services</v>
      </c>
      <c r="V690" s="14">
        <f t="shared" si="921"/>
        <v>2018</v>
      </c>
      <c r="W690" s="14">
        <f t="shared" si="922"/>
        <v>8</v>
      </c>
      <c r="X690" s="14">
        <f>VLOOKUP(W690,[1]Lookups!$P$3:$S$15,2,FALSE)</f>
        <v>3</v>
      </c>
      <c r="Y690" s="16">
        <f>VLOOKUP(W690,[1]Lookups!$P$3:$U$15,3,FALSE)</f>
        <v>2</v>
      </c>
      <c r="Z690" s="16">
        <f t="shared" si="923"/>
        <v>2</v>
      </c>
      <c r="AA690" s="16" t="str">
        <f t="shared" ca="1" si="924"/>
        <v>Overseas Private Investment Corporation</v>
      </c>
      <c r="AB690" s="16" t="str">
        <f t="shared" ca="1" si="924"/>
        <v xml:space="preserve">  Mastercard Foundation</v>
      </c>
      <c r="AC690" s="16">
        <f t="shared" si="924"/>
        <v>0</v>
      </c>
      <c r="AD690" s="16">
        <f t="shared" si="924"/>
        <v>0</v>
      </c>
      <c r="AE690" s="16">
        <f t="shared" si="924"/>
        <v>0</v>
      </c>
      <c r="AF690" s="16">
        <f t="shared" si="924"/>
        <v>0</v>
      </c>
      <c r="AG690" s="16">
        <f t="shared" si="924"/>
        <v>0</v>
      </c>
      <c r="AH690" s="16">
        <f t="shared" si="924"/>
        <v>0</v>
      </c>
      <c r="AI690" s="16">
        <f t="shared" si="924"/>
        <v>0</v>
      </c>
      <c r="AJ690" s="16">
        <f t="shared" si="924"/>
        <v>0</v>
      </c>
      <c r="AK690" s="16">
        <f t="shared" si="924"/>
        <v>0</v>
      </c>
      <c r="AL690" s="16">
        <f t="shared" si="924"/>
        <v>0</v>
      </c>
      <c r="AM690" s="16">
        <f t="shared" si="924"/>
        <v>0</v>
      </c>
      <c r="AN690" s="16">
        <f t="shared" si="924"/>
        <v>0</v>
      </c>
      <c r="AO690" s="16">
        <f t="shared" si="924"/>
        <v>0</v>
      </c>
      <c r="AP690" s="10"/>
      <c r="AQ690" s="10"/>
      <c r="AR690" s="10"/>
      <c r="AS690" s="10" t="str">
        <f t="shared" ref="AS690" ca="1" si="931">IFERROR(__xludf.DUMMYFUNCTION("split(F684,"","",true,true)"),"Overseas Private Investment Corporation")</f>
        <v>Overseas Private Investment Corporation</v>
      </c>
      <c r="AT690" s="10" t="str">
        <f ca="1">IFERROR(__xludf.DUMMYFUNCTION("""COMPUTED_VALUE"""),"  Mastercard Foundation")</f>
        <v xml:space="preserve">  Mastercard Foundation</v>
      </c>
      <c r="AU690" s="10"/>
      <c r="AV690" s="10"/>
      <c r="AW690" s="10"/>
      <c r="AX690" s="10"/>
      <c r="AY690" s="10"/>
      <c r="AZ690" s="10"/>
      <c r="BA690" s="10"/>
      <c r="BB690" s="10"/>
      <c r="BC690" s="10"/>
      <c r="BD690" s="10"/>
      <c r="BE690" s="10"/>
      <c r="BF690" s="10"/>
      <c r="BG690" s="10"/>
      <c r="BH690" s="10"/>
      <c r="BI690" s="10"/>
      <c r="BJ690" s="10"/>
      <c r="BK690" s="10"/>
      <c r="BM690" s="10"/>
    </row>
    <row r="691" spans="1:65" ht="12.75">
      <c r="A691" s="18">
        <v>43342</v>
      </c>
      <c r="B691" s="14" t="s">
        <v>1511</v>
      </c>
      <c r="C691" s="19">
        <v>30000</v>
      </c>
      <c r="D691" s="19"/>
      <c r="E691" s="14" t="s">
        <v>55</v>
      </c>
      <c r="F691" s="14" t="s">
        <v>1512</v>
      </c>
      <c r="G691" s="27" t="s">
        <v>1510</v>
      </c>
      <c r="H691" s="14" t="str">
        <f t="array" ref="H691">IFERROR(INDEX([1]Companies!$G:$G,MATCH(B691,[1]Companies!$A:$A,0)),"")</f>
        <v>Nigeria</v>
      </c>
      <c r="I691" s="14" t="str">
        <f t="shared" si="694"/>
        <v>Nigeria</v>
      </c>
      <c r="J691" s="14" t="str">
        <f t="array" ref="J691">IFERROR(INDEX([1]Companies!$Y:$Y,MATCH(B691,[1]Companies!$A:$A,0)),"")</f>
        <v>Renewable Energy, Waste Management</v>
      </c>
      <c r="K691" s="14" t="str">
        <f t="array" ref="K691">IFERROR(INDEX([1]Companies!$X:$X,MATCH(B691,[1]Companies!$A:$A,0)),"")</f>
        <v>Renewables &amp; Environment</v>
      </c>
      <c r="L691" s="14" t="str">
        <f>VLOOKUP(B691,[1]Companies!$A$1:$C$5243,1,FALSE)</f>
        <v>RecyclePoints</v>
      </c>
      <c r="M691" s="15">
        <f t="shared" si="695"/>
        <v>0.9</v>
      </c>
      <c r="N691" s="10" t="str">
        <f t="shared" si="696"/>
        <v>43342RecyclePoints30000</v>
      </c>
      <c r="O691" s="14" t="str">
        <f t="shared" si="918"/>
        <v/>
      </c>
      <c r="P691" s="14">
        <f t="shared" si="919"/>
        <v>1</v>
      </c>
      <c r="Q691" s="14">
        <f t="array" ref="Q691">IFERROR(INDEX([1]Companies!$D:$D,MATCH(B691,[1]Companies!$A:$A,0)),"")</f>
        <v>2015</v>
      </c>
      <c r="R691" s="17">
        <f t="shared" si="920"/>
        <v>30000</v>
      </c>
      <c r="S691" s="14">
        <f>VLOOKUP(I691,[1]Lookups!$V$3:$Y$197,4,FALSE)</f>
        <v>0</v>
      </c>
      <c r="T691" s="14" t="str">
        <f>VLOOKUP(E691,[1]Lookups!$H$3:$I$71,2,FALSE)</f>
        <v>1. Grant</v>
      </c>
      <c r="U691" s="14" t="str">
        <f>VLOOKUP(K691,[1]Lookups!$B$3:$C$142,2,FALSE)</f>
        <v>Energy &amp; Resources</v>
      </c>
      <c r="V691" s="14">
        <f t="shared" si="921"/>
        <v>2018</v>
      </c>
      <c r="W691" s="14">
        <f t="shared" si="922"/>
        <v>8</v>
      </c>
      <c r="X691" s="14">
        <f>VLOOKUP(W691,[1]Lookups!$P$3:$S$15,2,FALSE)</f>
        <v>3</v>
      </c>
      <c r="Y691" s="16">
        <f>VLOOKUP(W691,[1]Lookups!$P$3:$U$15,3,FALSE)</f>
        <v>2</v>
      </c>
      <c r="Z691" s="16">
        <f t="shared" si="923"/>
        <v>2</v>
      </c>
      <c r="AA691" s="16" t="str">
        <f t="shared" ca="1" si="924"/>
        <v>Overseas Private Investment Corporation</v>
      </c>
      <c r="AB691" s="16" t="str">
        <f t="shared" ca="1" si="924"/>
        <v xml:space="preserve"> Mastercard Foundation</v>
      </c>
      <c r="AC691" s="16">
        <f t="shared" si="924"/>
        <v>0</v>
      </c>
      <c r="AD691" s="16">
        <f t="shared" si="924"/>
        <v>0</v>
      </c>
      <c r="AE691" s="16">
        <f t="shared" si="924"/>
        <v>0</v>
      </c>
      <c r="AF691" s="16">
        <f t="shared" si="924"/>
        <v>0</v>
      </c>
      <c r="AG691" s="16">
        <f t="shared" si="924"/>
        <v>0</v>
      </c>
      <c r="AH691" s="16">
        <f t="shared" si="924"/>
        <v>0</v>
      </c>
      <c r="AI691" s="16">
        <f t="shared" si="924"/>
        <v>0</v>
      </c>
      <c r="AJ691" s="16">
        <f t="shared" si="924"/>
        <v>0</v>
      </c>
      <c r="AK691" s="16">
        <f t="shared" si="924"/>
        <v>0</v>
      </c>
      <c r="AL691" s="16">
        <f t="shared" si="924"/>
        <v>0</v>
      </c>
      <c r="AM691" s="16">
        <f t="shared" si="924"/>
        <v>0</v>
      </c>
      <c r="AN691" s="16">
        <f t="shared" si="924"/>
        <v>0</v>
      </c>
      <c r="AO691" s="16">
        <f t="shared" si="924"/>
        <v>0</v>
      </c>
      <c r="AP691" s="10"/>
      <c r="AQ691" s="10"/>
      <c r="AR691" s="10"/>
      <c r="AS691" s="10" t="str">
        <f t="shared" ref="AS691" ca="1" si="932">IFERROR(__xludf.DUMMYFUNCTION("split(F684,"","",true,true)"),"Overseas Private Investment Corporation")</f>
        <v>Overseas Private Investment Corporation</v>
      </c>
      <c r="AT691" s="10" t="str">
        <f ca="1">IFERROR(__xludf.DUMMYFUNCTION("""COMPUTED_VALUE""")," Mastercard Foundation")</f>
        <v xml:space="preserve"> Mastercard Foundation</v>
      </c>
      <c r="AU691" s="10"/>
      <c r="AV691" s="10"/>
      <c r="AW691" s="10"/>
      <c r="AX691" s="10"/>
      <c r="AY691" s="10"/>
      <c r="AZ691" s="10"/>
      <c r="BA691" s="10"/>
      <c r="BB691" s="10"/>
      <c r="BC691" s="10"/>
      <c r="BD691" s="10"/>
      <c r="BE691" s="10"/>
      <c r="BF691" s="10"/>
      <c r="BG691" s="10"/>
      <c r="BH691" s="10"/>
      <c r="BI691" s="10"/>
      <c r="BJ691" s="10"/>
      <c r="BK691" s="10"/>
      <c r="BM691" s="10"/>
    </row>
    <row r="692" spans="1:65" ht="12.75">
      <c r="A692" s="18">
        <v>43342</v>
      </c>
      <c r="B692" s="14" t="s">
        <v>1372</v>
      </c>
      <c r="C692" s="19">
        <v>20000</v>
      </c>
      <c r="D692" s="19"/>
      <c r="E692" s="14" t="s">
        <v>45</v>
      </c>
      <c r="F692" s="14" t="s">
        <v>49</v>
      </c>
      <c r="G692" s="27" t="s">
        <v>1513</v>
      </c>
      <c r="H692" s="14" t="str">
        <f t="array" ref="H692">IFERROR(INDEX([1]Companies!$G:$G,MATCH(B692,[1]Companies!$A:$A,0)),"")</f>
        <v>Uganda</v>
      </c>
      <c r="I692" s="14" t="str">
        <f t="shared" si="694"/>
        <v>Uganda</v>
      </c>
      <c r="J692" s="14" t="str">
        <f t="array" ref="J692">IFERROR(INDEX([1]Companies!$Y:$Y,MATCH(B692,[1]Companies!$A:$A,0)),"")</f>
        <v>Baby, Crowdfunding, Health Care, Medical Device, Wearables</v>
      </c>
      <c r="K692" s="14" t="str">
        <f t="array" ref="K692">IFERROR(INDEX([1]Companies!$X:$X,MATCH(B692,[1]Companies!$A:$A,0)),"")</f>
        <v>Healthcare &amp; Pharma</v>
      </c>
      <c r="L692" s="14" t="str">
        <f>VLOOKUP(B692,[1]Companies!$A$1:$C$5243,1,FALSE)</f>
        <v>Neopenda</v>
      </c>
      <c r="M692" s="15">
        <f t="shared" si="695"/>
        <v>0.9</v>
      </c>
      <c r="N692" s="10" t="str">
        <f t="shared" si="696"/>
        <v>43342Neopenda20000</v>
      </c>
      <c r="O692" s="14" t="str">
        <f t="shared" si="918"/>
        <v/>
      </c>
      <c r="P692" s="14">
        <f t="shared" si="919"/>
        <v>1</v>
      </c>
      <c r="Q692" s="14">
        <f t="array" ref="Q692">IFERROR(INDEX([1]Companies!$D:$D,MATCH(B692,[1]Companies!$A:$A,0)),"")</f>
        <v>2015</v>
      </c>
      <c r="R692" s="17">
        <f t="shared" si="920"/>
        <v>1510000</v>
      </c>
      <c r="S692" s="14">
        <f>VLOOKUP(I692,[1]Lookups!$V$3:$Y$197,4,FALSE)</f>
        <v>0</v>
      </c>
      <c r="T692" s="14" t="str">
        <f>VLOOKUP(E692,[1]Lookups!$H$3:$I$71,2,FALSE)</f>
        <v>2. Seed</v>
      </c>
      <c r="U692" s="14" t="str">
        <f>VLOOKUP(K692,[1]Lookups!$B$3:$C$142,2,FALSE)</f>
        <v>Health &amp; Pharmaceuticals</v>
      </c>
      <c r="V692" s="14">
        <f t="shared" si="921"/>
        <v>2018</v>
      </c>
      <c r="W692" s="14">
        <f t="shared" si="922"/>
        <v>8</v>
      </c>
      <c r="X692" s="14">
        <f>VLOOKUP(W692,[1]Lookups!$P$3:$S$15,2,FALSE)</f>
        <v>3</v>
      </c>
      <c r="Y692" s="16">
        <f>VLOOKUP(W692,[1]Lookups!$P$3:$U$15,3,FALSE)</f>
        <v>2</v>
      </c>
      <c r="Z692" s="16">
        <f t="shared" si="923"/>
        <v>1</v>
      </c>
      <c r="AA692" s="16" t="str">
        <f t="shared" ca="1" si="924"/>
        <v>Overseas Private Investment Corporation</v>
      </c>
      <c r="AB692" s="16">
        <f t="shared" si="924"/>
        <v>0</v>
      </c>
      <c r="AC692" s="16">
        <f t="shared" si="924"/>
        <v>0</v>
      </c>
      <c r="AD692" s="16">
        <f t="shared" si="924"/>
        <v>0</v>
      </c>
      <c r="AE692" s="16">
        <f t="shared" si="924"/>
        <v>0</v>
      </c>
      <c r="AF692" s="16">
        <f t="shared" si="924"/>
        <v>0</v>
      </c>
      <c r="AG692" s="16">
        <f t="shared" si="924"/>
        <v>0</v>
      </c>
      <c r="AH692" s="16">
        <f t="shared" si="924"/>
        <v>0</v>
      </c>
      <c r="AI692" s="16">
        <f t="shared" si="924"/>
        <v>0</v>
      </c>
      <c r="AJ692" s="16">
        <f t="shared" si="924"/>
        <v>0</v>
      </c>
      <c r="AK692" s="16">
        <f t="shared" si="924"/>
        <v>0</v>
      </c>
      <c r="AL692" s="16">
        <f t="shared" si="924"/>
        <v>0</v>
      </c>
      <c r="AM692" s="16">
        <f t="shared" si="924"/>
        <v>0</v>
      </c>
      <c r="AN692" s="16">
        <f t="shared" si="924"/>
        <v>0</v>
      </c>
      <c r="AO692" s="16">
        <f t="shared" si="924"/>
        <v>0</v>
      </c>
      <c r="AP692" s="10"/>
      <c r="AQ692" s="10"/>
      <c r="AR692" s="10"/>
      <c r="AS692" s="10" t="str">
        <f t="shared" ref="AS692" ca="1" si="933">IFERROR(__xludf.DUMMYFUNCTION("split(F684,"","",true,true)"),"Overseas Private Investment Corporation")</f>
        <v>Overseas Private Investment Corporation</v>
      </c>
      <c r="AT692" s="10"/>
      <c r="AU692" s="10"/>
      <c r="AV692" s="10"/>
      <c r="AW692" s="10"/>
      <c r="AX692" s="10"/>
      <c r="AY692" s="10"/>
      <c r="AZ692" s="10"/>
      <c r="BA692" s="10"/>
      <c r="BB692" s="10"/>
      <c r="BC692" s="10"/>
      <c r="BD692" s="10"/>
      <c r="BE692" s="10"/>
      <c r="BF692" s="10"/>
      <c r="BG692" s="10"/>
      <c r="BH692" s="10"/>
      <c r="BI692" s="10"/>
      <c r="BJ692" s="10"/>
      <c r="BK692" s="10"/>
      <c r="BM692" s="10"/>
    </row>
    <row r="693" spans="1:65" ht="12.75">
      <c r="A693" s="18">
        <v>43343</v>
      </c>
      <c r="B693" s="14" t="s">
        <v>1514</v>
      </c>
      <c r="C693" s="19">
        <v>100000</v>
      </c>
      <c r="D693" s="19"/>
      <c r="E693" s="14" t="s">
        <v>45</v>
      </c>
      <c r="F693" s="14" t="s">
        <v>1294</v>
      </c>
      <c r="G693" s="27" t="s">
        <v>1515</v>
      </c>
      <c r="H693" s="14" t="str">
        <f t="array" ref="H693">IFERROR(INDEX([1]Companies!$G:$G,MATCH(B693,[1]Companies!$A:$A,0)),"")</f>
        <v>Ghana</v>
      </c>
      <c r="I693" s="14" t="str">
        <f t="shared" si="694"/>
        <v>Ghana</v>
      </c>
      <c r="J693" s="14" t="str">
        <f t="array" ref="J693">IFERROR(INDEX([1]Companies!$Y:$Y,MATCH(B693,[1]Companies!$A:$A,0)),"")</f>
        <v>Working Capital, Fintech, SME, and Loans</v>
      </c>
      <c r="K693" s="14" t="str">
        <f t="array" ref="K693">IFERROR(INDEX([1]Companies!$X:$X,MATCH(B693,[1]Companies!$A:$A,0)),"")</f>
        <v>Financial Services</v>
      </c>
      <c r="L693" s="14" t="str">
        <f>VLOOKUP(B693,[1]Companies!$A$1:$C$5243,1,FALSE)</f>
        <v>Nvoicia</v>
      </c>
      <c r="M693" s="15">
        <f t="shared" si="695"/>
        <v>0.9</v>
      </c>
      <c r="N693" s="10" t="str">
        <f t="shared" si="696"/>
        <v>43343Nvoicia100000</v>
      </c>
      <c r="O693" s="14" t="str">
        <f t="shared" si="918"/>
        <v/>
      </c>
      <c r="P693" s="14">
        <f t="shared" si="919"/>
        <v>1</v>
      </c>
      <c r="Q693" s="14">
        <f t="array" ref="Q693">IFERROR(INDEX([1]Companies!$D:$D,MATCH(B693,[1]Companies!$A:$A,0)),"")</f>
        <v>2018</v>
      </c>
      <c r="R693" s="17">
        <f t="shared" si="920"/>
        <v>100000</v>
      </c>
      <c r="S693" s="14">
        <f>VLOOKUP(I693,[1]Lookups!$V$3:$Y$197,4,FALSE)</f>
        <v>0</v>
      </c>
      <c r="T693" s="14" t="str">
        <f>VLOOKUP(E693,[1]Lookups!$H$3:$I$71,2,FALSE)</f>
        <v>2. Seed</v>
      </c>
      <c r="U693" s="14" t="str">
        <f>VLOOKUP(K693,[1]Lookups!$B$3:$C$142,2,FALSE)</f>
        <v>Financial Services</v>
      </c>
      <c r="V693" s="14">
        <f t="shared" si="921"/>
        <v>2018</v>
      </c>
      <c r="W693" s="14">
        <f t="shared" si="922"/>
        <v>8</v>
      </c>
      <c r="X693" s="14">
        <f>VLOOKUP(W693,[1]Lookups!$P$3:$S$15,2,FALSE)</f>
        <v>3</v>
      </c>
      <c r="Y693" s="16">
        <f>VLOOKUP(W693,[1]Lookups!$P$3:$U$15,3,FALSE)</f>
        <v>2</v>
      </c>
      <c r="Z693" s="16">
        <f t="shared" si="923"/>
        <v>1</v>
      </c>
      <c r="AA693" s="16" t="str">
        <f t="shared" ca="1" si="924"/>
        <v>Overseas Private Investment Corporation</v>
      </c>
      <c r="AB693" s="16">
        <f t="shared" si="924"/>
        <v>0</v>
      </c>
      <c r="AC693" s="16">
        <f t="shared" si="924"/>
        <v>0</v>
      </c>
      <c r="AD693" s="16">
        <f t="shared" si="924"/>
        <v>0</v>
      </c>
      <c r="AE693" s="16">
        <f t="shared" si="924"/>
        <v>0</v>
      </c>
      <c r="AF693" s="16">
        <f t="shared" si="924"/>
        <v>0</v>
      </c>
      <c r="AG693" s="16">
        <f t="shared" si="924"/>
        <v>0</v>
      </c>
      <c r="AH693" s="16">
        <f t="shared" si="924"/>
        <v>0</v>
      </c>
      <c r="AI693" s="16">
        <f t="shared" si="924"/>
        <v>0</v>
      </c>
      <c r="AJ693" s="16">
        <f t="shared" si="924"/>
        <v>0</v>
      </c>
      <c r="AK693" s="16">
        <f t="shared" si="924"/>
        <v>0</v>
      </c>
      <c r="AL693" s="16">
        <f t="shared" si="924"/>
        <v>0</v>
      </c>
      <c r="AM693" s="16">
        <f t="shared" si="924"/>
        <v>0</v>
      </c>
      <c r="AN693" s="16">
        <f t="shared" si="924"/>
        <v>0</v>
      </c>
      <c r="AO693" s="16">
        <f t="shared" si="924"/>
        <v>0</v>
      </c>
      <c r="AP693" s="10"/>
      <c r="AQ693" s="10"/>
      <c r="AR693" s="10"/>
      <c r="AS693" s="10" t="str">
        <f t="shared" ref="AS693" ca="1" si="934">IFERROR(__xludf.DUMMYFUNCTION("split(F684,"","",true,true)"),"Overseas Private Investment Corporation")</f>
        <v>Overseas Private Investment Corporation</v>
      </c>
      <c r="AT693" s="10"/>
      <c r="AU693" s="10"/>
      <c r="AV693" s="10"/>
      <c r="AW693" s="10"/>
      <c r="AX693" s="10"/>
      <c r="AY693" s="10"/>
      <c r="AZ693" s="10"/>
      <c r="BA693" s="10"/>
      <c r="BB693" s="10"/>
      <c r="BC693" s="10"/>
      <c r="BD693" s="10"/>
      <c r="BE693" s="10"/>
      <c r="BF693" s="10"/>
      <c r="BG693" s="10"/>
      <c r="BH693" s="10"/>
      <c r="BI693" s="10"/>
      <c r="BJ693" s="10"/>
      <c r="BK693" s="10"/>
      <c r="BM693" s="10"/>
    </row>
    <row r="694" spans="1:65" ht="12.75">
      <c r="A694" s="18">
        <v>43343</v>
      </c>
      <c r="B694" s="14" t="s">
        <v>1516</v>
      </c>
      <c r="C694" s="19">
        <v>15000</v>
      </c>
      <c r="D694" s="19"/>
      <c r="E694" s="14" t="s">
        <v>45</v>
      </c>
      <c r="F694" s="14" t="s">
        <v>49</v>
      </c>
      <c r="G694" s="27" t="s">
        <v>1517</v>
      </c>
      <c r="H694" s="14" t="str">
        <f t="array" ref="H694">IFERROR(INDEX([1]Companies!$G:$G,MATCH(B694,[1]Companies!$A:$A,0)),"")</f>
        <v>Nigeria</v>
      </c>
      <c r="I694" s="14" t="str">
        <f t="shared" si="694"/>
        <v>Nigeria</v>
      </c>
      <c r="J694" s="14" t="str">
        <f t="array" ref="J694">IFERROR(INDEX([1]Companies!$Y:$Y,MATCH(B694,[1]Companies!$A:$A,0)),"")</f>
        <v>Payments</v>
      </c>
      <c r="K694" s="14" t="str">
        <f t="array" ref="K694">IFERROR(INDEX([1]Companies!$X:$X,MATCH(B694,[1]Companies!$A:$A,0)),"")</f>
        <v>Financial Services</v>
      </c>
      <c r="L694" s="14" t="str">
        <f>VLOOKUP(B694,[1]Companies!$A$1:$C$5243,1,FALSE)</f>
        <v>Redraven</v>
      </c>
      <c r="M694" s="15">
        <f t="shared" si="695"/>
        <v>0.9</v>
      </c>
      <c r="N694" s="10" t="str">
        <f t="shared" si="696"/>
        <v>43343RedRaven15000</v>
      </c>
      <c r="O694" s="14" t="str">
        <f t="shared" si="918"/>
        <v/>
      </c>
      <c r="P694" s="14">
        <f t="shared" si="919"/>
        <v>1</v>
      </c>
      <c r="Q694" s="14">
        <f t="array" ref="Q694">IFERROR(INDEX([1]Companies!$D:$D,MATCH(B694,[1]Companies!$A:$A,0)),"")</f>
        <v>2018</v>
      </c>
      <c r="R694" s="17">
        <f t="shared" si="920"/>
        <v>15000</v>
      </c>
      <c r="S694" s="14">
        <f>VLOOKUP(I694,[1]Lookups!$V$3:$Y$197,4,FALSE)</f>
        <v>0</v>
      </c>
      <c r="T694" s="14" t="str">
        <f>VLOOKUP(E694,[1]Lookups!$H$3:$I$71,2,FALSE)</f>
        <v>2. Seed</v>
      </c>
      <c r="U694" s="14" t="str">
        <f>VLOOKUP(K694,[1]Lookups!$B$3:$C$142,2,FALSE)</f>
        <v>Financial Services</v>
      </c>
      <c r="V694" s="14">
        <f t="shared" si="921"/>
        <v>2018</v>
      </c>
      <c r="W694" s="14">
        <f t="shared" si="922"/>
        <v>8</v>
      </c>
      <c r="X694" s="14">
        <f>VLOOKUP(W694,[1]Lookups!$P$3:$S$15,2,FALSE)</f>
        <v>3</v>
      </c>
      <c r="Y694" s="16">
        <f>VLOOKUP(W694,[1]Lookups!$P$3:$U$15,3,FALSE)</f>
        <v>2</v>
      </c>
      <c r="Z694" s="16">
        <f t="shared" si="923"/>
        <v>1</v>
      </c>
      <c r="AA694" s="16" t="str">
        <f t="shared" ca="1" si="924"/>
        <v>Overseas Private Investment Corporation</v>
      </c>
      <c r="AB694" s="16">
        <f t="shared" si="924"/>
        <v>0</v>
      </c>
      <c r="AC694" s="16">
        <f t="shared" si="924"/>
        <v>0</v>
      </c>
      <c r="AD694" s="16">
        <f t="shared" si="924"/>
        <v>0</v>
      </c>
      <c r="AE694" s="16">
        <f t="shared" si="924"/>
        <v>0</v>
      </c>
      <c r="AF694" s="16">
        <f t="shared" si="924"/>
        <v>0</v>
      </c>
      <c r="AG694" s="16">
        <f t="shared" si="924"/>
        <v>0</v>
      </c>
      <c r="AH694" s="16">
        <f t="shared" si="924"/>
        <v>0</v>
      </c>
      <c r="AI694" s="16">
        <f t="shared" si="924"/>
        <v>0</v>
      </c>
      <c r="AJ694" s="16">
        <f t="shared" si="924"/>
        <v>0</v>
      </c>
      <c r="AK694" s="16">
        <f t="shared" si="924"/>
        <v>0</v>
      </c>
      <c r="AL694" s="16">
        <f t="shared" si="924"/>
        <v>0</v>
      </c>
      <c r="AM694" s="16">
        <f t="shared" si="924"/>
        <v>0</v>
      </c>
      <c r="AN694" s="16">
        <f t="shared" si="924"/>
        <v>0</v>
      </c>
      <c r="AO694" s="16">
        <f t="shared" si="924"/>
        <v>0</v>
      </c>
      <c r="AP694" s="10"/>
      <c r="AQ694" s="10"/>
      <c r="AR694" s="10"/>
      <c r="AS694" s="10" t="str">
        <f t="shared" ref="AS694" ca="1" si="935">IFERROR(__xludf.DUMMYFUNCTION("split(F684,"","",true,true)"),"Overseas Private Investment Corporation")</f>
        <v>Overseas Private Investment Corporation</v>
      </c>
      <c r="AT694" s="10"/>
      <c r="AU694" s="10"/>
      <c r="AV694" s="10"/>
      <c r="AW694" s="10"/>
      <c r="AX694" s="10"/>
      <c r="AY694" s="10"/>
      <c r="AZ694" s="10"/>
      <c r="BA694" s="10"/>
      <c r="BB694" s="10"/>
      <c r="BC694" s="10"/>
      <c r="BD694" s="10"/>
      <c r="BE694" s="10"/>
      <c r="BF694" s="10"/>
      <c r="BG694" s="10"/>
      <c r="BH694" s="10"/>
      <c r="BI694" s="10"/>
      <c r="BJ694" s="10"/>
      <c r="BK694" s="10"/>
      <c r="BM694" s="10"/>
    </row>
    <row r="695" spans="1:65" ht="12.75">
      <c r="A695" s="9">
        <v>43344</v>
      </c>
      <c r="B695" s="10" t="s">
        <v>928</v>
      </c>
      <c r="C695" s="11" t="s">
        <v>49</v>
      </c>
      <c r="D695" s="12"/>
      <c r="E695" s="10" t="s">
        <v>45</v>
      </c>
      <c r="F695" s="10" t="s">
        <v>49</v>
      </c>
      <c r="G695" s="13" t="s">
        <v>1518</v>
      </c>
      <c r="H695" s="14" t="str">
        <f t="array" ref="H695">IFERROR(INDEX([1]Companies!$G:$G,MATCH(B695,[1]Companies!$A:$A,0)),"")</f>
        <v>Egypt</v>
      </c>
      <c r="I695" s="14" t="str">
        <f t="shared" si="694"/>
        <v>Egypt</v>
      </c>
      <c r="J695" s="14" t="str">
        <f t="array" ref="J695">IFERROR(INDEX([1]Companies!$Y:$Y,MATCH(B695,[1]Companies!$A:$A,0)),"")</f>
        <v>Delivery, E-Commerce, Internet, Logistics</v>
      </c>
      <c r="K695" s="14" t="str">
        <f t="array" ref="K695">IFERROR(INDEX([1]Companies!$X:$X,MATCH(B695,[1]Companies!$A:$A,0)),"")</f>
        <v>Transport &amp; Logistics</v>
      </c>
      <c r="L695" s="14" t="str">
        <f>VLOOKUP(B695,[1]Companies!$A$1:$C$5243,1,FALSE)</f>
        <v>Zaagel Xpress</v>
      </c>
      <c r="M695" s="15">
        <f t="shared" si="695"/>
        <v>0.9</v>
      </c>
      <c r="N695" s="10" t="str">
        <f t="shared" si="696"/>
        <v>43344Zaagel XpressUndisclosed</v>
      </c>
      <c r="O695" s="14" t="str">
        <f t="shared" si="918"/>
        <v/>
      </c>
      <c r="P695" s="14">
        <f t="shared" si="919"/>
        <v>0</v>
      </c>
      <c r="Q695" s="14">
        <f t="array" ref="Q695">IFERROR(INDEX([1]Companies!$D:$D,MATCH(B695,[1]Companies!$A:$A,0)),"")</f>
        <v>2013</v>
      </c>
      <c r="R695" s="17">
        <f t="shared" si="920"/>
        <v>18000</v>
      </c>
      <c r="S695" s="14">
        <f>VLOOKUP(I695,[1]Lookups!$V$3:$Y$197,4,FALSE)</f>
        <v>0</v>
      </c>
      <c r="T695" s="14" t="str">
        <f>VLOOKUP(E695,[1]Lookups!$H$3:$I$71,2,FALSE)</f>
        <v>2. Seed</v>
      </c>
      <c r="U695" s="14" t="str">
        <f>VLOOKUP(K695,[1]Lookups!$B$3:$C$142,2,FALSE)</f>
        <v>Transport &amp; Logistics</v>
      </c>
      <c r="V695" s="14">
        <f t="shared" si="921"/>
        <v>2018</v>
      </c>
      <c r="W695" s="14">
        <f t="shared" si="922"/>
        <v>9</v>
      </c>
      <c r="X695" s="14">
        <f>VLOOKUP(W695,[1]Lookups!$P$3:$S$15,2,FALSE)</f>
        <v>3</v>
      </c>
      <c r="Y695" s="16">
        <f>VLOOKUP(W695,[1]Lookups!$P$3:$U$15,3,FALSE)</f>
        <v>2</v>
      </c>
      <c r="Z695" s="16">
        <f t="shared" si="923"/>
        <v>1</v>
      </c>
      <c r="AA695" s="16" t="str">
        <f t="shared" ca="1" si="924"/>
        <v>Overseas Private Investment Corporation</v>
      </c>
      <c r="AB695" s="16">
        <f t="shared" si="924"/>
        <v>0</v>
      </c>
      <c r="AC695" s="16">
        <f t="shared" si="924"/>
        <v>0</v>
      </c>
      <c r="AD695" s="16">
        <f t="shared" si="924"/>
        <v>0</v>
      </c>
      <c r="AE695" s="16">
        <f t="shared" si="924"/>
        <v>0</v>
      </c>
      <c r="AF695" s="16">
        <f t="shared" si="924"/>
        <v>0</v>
      </c>
      <c r="AG695" s="16">
        <f t="shared" si="924"/>
        <v>0</v>
      </c>
      <c r="AH695" s="16">
        <f t="shared" si="924"/>
        <v>0</v>
      </c>
      <c r="AI695" s="16">
        <f t="shared" si="924"/>
        <v>0</v>
      </c>
      <c r="AJ695" s="16">
        <f t="shared" si="924"/>
        <v>0</v>
      </c>
      <c r="AK695" s="16">
        <f t="shared" si="924"/>
        <v>0</v>
      </c>
      <c r="AL695" s="16">
        <f t="shared" si="924"/>
        <v>0</v>
      </c>
      <c r="AM695" s="16">
        <f t="shared" si="924"/>
        <v>0</v>
      </c>
      <c r="AN695" s="16">
        <f t="shared" si="924"/>
        <v>0</v>
      </c>
      <c r="AO695" s="16">
        <f t="shared" si="924"/>
        <v>0</v>
      </c>
      <c r="AP695" s="10"/>
      <c r="AQ695" s="10"/>
      <c r="AR695" s="10"/>
      <c r="AS695" s="10" t="str">
        <f t="shared" ref="AS695" ca="1" si="936">IFERROR(__xludf.DUMMYFUNCTION("split(F684,"","",true,true)"),"Overseas Private Investment Corporation")</f>
        <v>Overseas Private Investment Corporation</v>
      </c>
      <c r="AT695" s="10"/>
      <c r="AU695" s="10"/>
      <c r="AV695" s="10"/>
      <c r="AW695" s="10"/>
      <c r="AX695" s="10"/>
      <c r="AY695" s="10"/>
      <c r="AZ695" s="10"/>
      <c r="BA695" s="10"/>
      <c r="BB695" s="10"/>
      <c r="BC695" s="10"/>
      <c r="BD695" s="10"/>
      <c r="BE695" s="10"/>
      <c r="BF695" s="10"/>
      <c r="BG695" s="10"/>
      <c r="BH695" s="10"/>
      <c r="BI695" s="10"/>
      <c r="BJ695" s="10"/>
      <c r="BK695" s="10"/>
      <c r="BM695" s="10"/>
    </row>
    <row r="696" spans="1:65" ht="12.75">
      <c r="A696" s="18">
        <v>43344</v>
      </c>
      <c r="B696" s="14" t="s">
        <v>1519</v>
      </c>
      <c r="C696" s="19">
        <v>120000</v>
      </c>
      <c r="D696" s="19"/>
      <c r="E696" s="14" t="s">
        <v>234</v>
      </c>
      <c r="F696" s="14" t="s">
        <v>1520</v>
      </c>
      <c r="G696" s="27" t="s">
        <v>1521</v>
      </c>
      <c r="H696" s="14" t="str">
        <f t="array" ref="H696">IFERROR(INDEX([1]Companies!$G:$G,MATCH(B696,[1]Companies!$A:$A,0)),"")</f>
        <v>Uganda</v>
      </c>
      <c r="I696" s="14" t="str">
        <f t="shared" si="694"/>
        <v>Uganda</v>
      </c>
      <c r="J696" s="14" t="str">
        <f t="array" ref="J696">IFERROR(INDEX([1]Companies!$Y:$Y,MATCH(B696,[1]Companies!$A:$A,0)),"")</f>
        <v>Agriculture, Biomass Energy, Clean Energy, Electrical Distribution, Emerging Markets, Sustainability</v>
      </c>
      <c r="K696" s="14" t="str">
        <f t="array" ref="K696">IFERROR(INDEX([1]Companies!$X:$X,MATCH(B696,[1]Companies!$A:$A,0)),"")</f>
        <v>Energy &amp; Environment Resources</v>
      </c>
      <c r="L696" s="14" t="str">
        <f>VLOOKUP(B696,[1]Companies!$A$1:$C$5243,1,FALSE)</f>
        <v>Mandulis Energy</v>
      </c>
      <c r="M696" s="15">
        <f t="shared" si="695"/>
        <v>0.9</v>
      </c>
      <c r="N696" s="10" t="str">
        <f t="shared" si="696"/>
        <v>43344Mandulis Energy120000</v>
      </c>
      <c r="O696" s="14" t="str">
        <f t="shared" si="918"/>
        <v/>
      </c>
      <c r="P696" s="14">
        <f t="shared" si="919"/>
        <v>1</v>
      </c>
      <c r="Q696" s="14">
        <f t="array" ref="Q696">IFERROR(INDEX([1]Companies!$D:$D,MATCH(B696,[1]Companies!$A:$A,0)),"")</f>
        <v>2014</v>
      </c>
      <c r="R696" s="17">
        <f t="shared" si="920"/>
        <v>120000</v>
      </c>
      <c r="S696" s="14">
        <f>VLOOKUP(I696,[1]Lookups!$V$3:$Y$197,4,FALSE)</f>
        <v>0</v>
      </c>
      <c r="T696" s="14" t="str">
        <f>VLOOKUP(E696,[1]Lookups!$H$3:$I$71,2,FALSE)</f>
        <v>2. Seed</v>
      </c>
      <c r="U696" s="14" t="e">
        <f>VLOOKUP(K696,[1]Lookups!$B$3:$C$142,2,FALSE)</f>
        <v>#N/A</v>
      </c>
      <c r="V696" s="14">
        <f t="shared" si="921"/>
        <v>2018</v>
      </c>
      <c r="W696" s="14">
        <f t="shared" si="922"/>
        <v>9</v>
      </c>
      <c r="X696" s="14">
        <f>VLOOKUP(W696,[1]Lookups!$P$3:$S$15,2,FALSE)</f>
        <v>3</v>
      </c>
      <c r="Y696" s="16">
        <f>VLOOKUP(W696,[1]Lookups!$P$3:$U$15,3,FALSE)</f>
        <v>2</v>
      </c>
      <c r="Z696" s="16">
        <f t="shared" si="923"/>
        <v>1</v>
      </c>
      <c r="AA696" s="16" t="str">
        <f t="shared" ca="1" si="924"/>
        <v>Overseas Private Investment Corporation</v>
      </c>
      <c r="AB696" s="16">
        <f t="shared" si="924"/>
        <v>0</v>
      </c>
      <c r="AC696" s="16">
        <f t="shared" si="924"/>
        <v>0</v>
      </c>
      <c r="AD696" s="16">
        <f t="shared" si="924"/>
        <v>0</v>
      </c>
      <c r="AE696" s="16">
        <f t="shared" si="924"/>
        <v>0</v>
      </c>
      <c r="AF696" s="16">
        <f t="shared" si="924"/>
        <v>0</v>
      </c>
      <c r="AG696" s="16">
        <f t="shared" si="924"/>
        <v>0</v>
      </c>
      <c r="AH696" s="16">
        <f t="shared" si="924"/>
        <v>0</v>
      </c>
      <c r="AI696" s="16">
        <f t="shared" si="924"/>
        <v>0</v>
      </c>
      <c r="AJ696" s="16">
        <f t="shared" si="924"/>
        <v>0</v>
      </c>
      <c r="AK696" s="16">
        <f t="shared" si="924"/>
        <v>0</v>
      </c>
      <c r="AL696" s="16">
        <f t="shared" si="924"/>
        <v>0</v>
      </c>
      <c r="AM696" s="16">
        <f t="shared" si="924"/>
        <v>0</v>
      </c>
      <c r="AN696" s="16">
        <f t="shared" si="924"/>
        <v>0</v>
      </c>
      <c r="AO696" s="16">
        <f t="shared" si="924"/>
        <v>0</v>
      </c>
      <c r="AP696" s="10"/>
      <c r="AQ696" s="10"/>
      <c r="AR696" s="10"/>
      <c r="AS696" s="10" t="str">
        <f t="shared" ref="AS696" ca="1" si="937">IFERROR(__xludf.DUMMYFUNCTION("split(F684,"","",true,true)"),"Overseas Private Investment Corporation")</f>
        <v>Overseas Private Investment Corporation</v>
      </c>
      <c r="AT696" s="10"/>
      <c r="AU696" s="10"/>
      <c r="AV696" s="10"/>
      <c r="AW696" s="10"/>
      <c r="AX696" s="10"/>
      <c r="AY696" s="10"/>
      <c r="AZ696" s="10"/>
      <c r="BA696" s="10"/>
      <c r="BB696" s="10"/>
      <c r="BC696" s="10"/>
      <c r="BD696" s="10"/>
      <c r="BE696" s="10"/>
      <c r="BF696" s="10"/>
      <c r="BG696" s="10"/>
      <c r="BH696" s="10"/>
      <c r="BI696" s="10"/>
      <c r="BJ696" s="10"/>
      <c r="BK696" s="10"/>
      <c r="BM696" s="10"/>
    </row>
    <row r="697" spans="1:65" ht="12.75">
      <c r="A697" s="9">
        <v>43344</v>
      </c>
      <c r="B697" s="10" t="s">
        <v>1522</v>
      </c>
      <c r="C697" s="11">
        <v>50000</v>
      </c>
      <c r="D697" s="12"/>
      <c r="E697" s="14" t="s">
        <v>234</v>
      </c>
      <c r="F697" s="10" t="s">
        <v>49</v>
      </c>
      <c r="G697" s="13" t="s">
        <v>1523</v>
      </c>
      <c r="H697" s="14" t="str">
        <f t="array" ref="H697">IFERROR(INDEX([1]Companies!$G:$G,MATCH(B697,[1]Companies!$A:$A,0)),"")</f>
        <v>Nigeria</v>
      </c>
      <c r="I697" s="14" t="str">
        <f t="shared" si="694"/>
        <v>Nigeria</v>
      </c>
      <c r="J697" s="14" t="str">
        <f t="array" ref="J697">IFERROR(INDEX([1]Companies!$Y:$Y,MATCH(B697,[1]Companies!$A:$A,0)),"")</f>
        <v>Financial Services, FinTech, Software</v>
      </c>
      <c r="K697" s="14" t="str">
        <f t="array" ref="K697">IFERROR(INDEX([1]Companies!$X:$X,MATCH(B697,[1]Companies!$A:$A,0)),"")</f>
        <v>Financial Services</v>
      </c>
      <c r="L697" s="14" t="str">
        <f>VLOOKUP(B697,[1]Companies!$A$1:$C$5243,1,FALSE)</f>
        <v>DARA</v>
      </c>
      <c r="M697" s="15">
        <f t="shared" si="695"/>
        <v>0.9</v>
      </c>
      <c r="N697" s="10" t="str">
        <f t="shared" si="696"/>
        <v>43344DARA50000</v>
      </c>
      <c r="O697" s="14" t="str">
        <f t="shared" si="918"/>
        <v/>
      </c>
      <c r="P697" s="14">
        <f t="shared" si="919"/>
        <v>1</v>
      </c>
      <c r="Q697" s="14">
        <f t="array" ref="Q697">IFERROR(INDEX([1]Companies!$D:$D,MATCH(B697,[1]Companies!$A:$A,0)),"")</f>
        <v>2018</v>
      </c>
      <c r="R697" s="17">
        <f t="shared" si="920"/>
        <v>50000</v>
      </c>
      <c r="S697" s="14">
        <f>VLOOKUP(I697,[1]Lookups!$V$3:$Y$197,4,FALSE)</f>
        <v>0</v>
      </c>
      <c r="T697" s="14" t="str">
        <f>VLOOKUP(E697,[1]Lookups!$H$3:$I$71,2,FALSE)</f>
        <v>2. Seed</v>
      </c>
      <c r="U697" s="14" t="str">
        <f>VLOOKUP(K697,[1]Lookups!$B$3:$C$142,2,FALSE)</f>
        <v>Financial Services</v>
      </c>
      <c r="V697" s="14">
        <f t="shared" si="921"/>
        <v>2018</v>
      </c>
      <c r="W697" s="14">
        <f t="shared" si="922"/>
        <v>9</v>
      </c>
      <c r="X697" s="14">
        <f>VLOOKUP(W697,[1]Lookups!$P$3:$S$15,2,FALSE)</f>
        <v>3</v>
      </c>
      <c r="Y697" s="16">
        <f>VLOOKUP(W697,[1]Lookups!$P$3:$U$15,3,FALSE)</f>
        <v>2</v>
      </c>
      <c r="Z697" s="16">
        <f t="shared" si="923"/>
        <v>1</v>
      </c>
      <c r="AA697" s="16" t="str">
        <f t="shared" ca="1" si="924"/>
        <v>Overseas Private Investment Corporation</v>
      </c>
      <c r="AB697" s="16">
        <f t="shared" si="924"/>
        <v>0</v>
      </c>
      <c r="AC697" s="16">
        <f t="shared" si="924"/>
        <v>0</v>
      </c>
      <c r="AD697" s="16">
        <f t="shared" si="924"/>
        <v>0</v>
      </c>
      <c r="AE697" s="16">
        <f t="shared" si="924"/>
        <v>0</v>
      </c>
      <c r="AF697" s="16">
        <f t="shared" si="924"/>
        <v>0</v>
      </c>
      <c r="AG697" s="16">
        <f t="shared" si="924"/>
        <v>0</v>
      </c>
      <c r="AH697" s="16">
        <f t="shared" si="924"/>
        <v>0</v>
      </c>
      <c r="AI697" s="16">
        <f t="shared" si="924"/>
        <v>0</v>
      </c>
      <c r="AJ697" s="16">
        <f t="shared" si="924"/>
        <v>0</v>
      </c>
      <c r="AK697" s="16">
        <f t="shared" si="924"/>
        <v>0</v>
      </c>
      <c r="AL697" s="16">
        <f t="shared" si="924"/>
        <v>0</v>
      </c>
      <c r="AM697" s="16">
        <f t="shared" si="924"/>
        <v>0</v>
      </c>
      <c r="AN697" s="16">
        <f t="shared" si="924"/>
        <v>0</v>
      </c>
      <c r="AO697" s="16">
        <f t="shared" si="924"/>
        <v>0</v>
      </c>
      <c r="AP697" s="10"/>
      <c r="AQ697" s="10"/>
      <c r="AR697" s="10"/>
      <c r="AS697" s="10" t="str">
        <f t="shared" ref="AS697" ca="1" si="938">IFERROR(__xludf.DUMMYFUNCTION("split(F684,"","",true,true)"),"Overseas Private Investment Corporation")</f>
        <v>Overseas Private Investment Corporation</v>
      </c>
      <c r="AT697" s="10"/>
      <c r="AU697" s="10"/>
      <c r="AV697" s="10"/>
      <c r="AW697" s="10"/>
      <c r="AX697" s="10"/>
      <c r="AY697" s="10"/>
      <c r="AZ697" s="10"/>
      <c r="BA697" s="10"/>
      <c r="BB697" s="10"/>
      <c r="BC697" s="10"/>
      <c r="BD697" s="10"/>
      <c r="BE697" s="10"/>
      <c r="BF697" s="10"/>
      <c r="BG697" s="10"/>
      <c r="BH697" s="10"/>
      <c r="BI697" s="10"/>
      <c r="BJ697" s="10"/>
      <c r="BK697" s="10"/>
      <c r="BM697" s="10"/>
    </row>
    <row r="698" spans="1:65" ht="12.75">
      <c r="A698" s="18">
        <v>43344</v>
      </c>
      <c r="B698" s="14" t="s">
        <v>1524</v>
      </c>
      <c r="C698" s="19">
        <v>28000</v>
      </c>
      <c r="D698" s="19"/>
      <c r="E698" s="14" t="s">
        <v>45</v>
      </c>
      <c r="F698" s="14" t="s">
        <v>1525</v>
      </c>
      <c r="G698" s="27" t="s">
        <v>1526</v>
      </c>
      <c r="H698" s="14" t="str">
        <f t="array" ref="H698">IFERROR(INDEX([1]Companies!$G:$G,MATCH(B698,[1]Companies!$A:$A,0)),"")</f>
        <v>Egypt</v>
      </c>
      <c r="I698" s="14" t="str">
        <f t="shared" si="694"/>
        <v>Egypt</v>
      </c>
      <c r="J698" s="14" t="str">
        <f t="array" ref="J698">IFERROR(INDEX([1]Companies!$Y:$Y,MATCH(B698,[1]Companies!$A:$A,0)),"")</f>
        <v>healthcare, wellness, fitness, data science, and delivery</v>
      </c>
      <c r="K698" s="14" t="str">
        <f t="array" ref="K698">IFERROR(INDEX([1]Companies!$X:$X,MATCH(B698,[1]Companies!$A:$A,0)),"")</f>
        <v>Healthcare &amp; Pharma</v>
      </c>
      <c r="L698" s="14" t="str">
        <f>VLOOKUP(B698,[1]Companies!$A$1:$C$5243,1,FALSE)</f>
        <v>ElRoshetta</v>
      </c>
      <c r="M698" s="15">
        <f t="shared" si="695"/>
        <v>0.9</v>
      </c>
      <c r="N698" s="10" t="str">
        <f t="shared" si="696"/>
        <v>43344ElRoshetta28000</v>
      </c>
      <c r="O698" s="14" t="str">
        <f t="shared" si="918"/>
        <v/>
      </c>
      <c r="P698" s="14">
        <f t="shared" si="919"/>
        <v>1</v>
      </c>
      <c r="Q698" s="14">
        <f t="array" ref="Q698">IFERROR(INDEX([1]Companies!$D:$D,MATCH(B698,[1]Companies!$A:$A,0)),"")</f>
        <v>2018</v>
      </c>
      <c r="R698" s="17">
        <f t="shared" si="920"/>
        <v>28000</v>
      </c>
      <c r="S698" s="14">
        <f>VLOOKUP(I698,[1]Lookups!$V$3:$Y$197,4,FALSE)</f>
        <v>0</v>
      </c>
      <c r="T698" s="14" t="str">
        <f>VLOOKUP(E698,[1]Lookups!$H$3:$I$71,2,FALSE)</f>
        <v>2. Seed</v>
      </c>
      <c r="U698" s="14" t="str">
        <f>VLOOKUP(K698,[1]Lookups!$B$3:$C$142,2,FALSE)</f>
        <v>Health &amp; Pharmaceuticals</v>
      </c>
      <c r="V698" s="14">
        <f t="shared" si="921"/>
        <v>2018</v>
      </c>
      <c r="W698" s="14">
        <f t="shared" si="922"/>
        <v>9</v>
      </c>
      <c r="X698" s="14">
        <f>VLOOKUP(W698,[1]Lookups!$P$3:$S$15,2,FALSE)</f>
        <v>3</v>
      </c>
      <c r="Y698" s="16">
        <f>VLOOKUP(W698,[1]Lookups!$P$3:$U$15,3,FALSE)</f>
        <v>2</v>
      </c>
      <c r="Z698" s="16">
        <f t="shared" si="923"/>
        <v>1</v>
      </c>
      <c r="AA698" s="16" t="str">
        <f t="shared" ca="1" si="924"/>
        <v>Overseas Private Investment Corporation</v>
      </c>
      <c r="AB698" s="16">
        <f t="shared" si="924"/>
        <v>0</v>
      </c>
      <c r="AC698" s="16">
        <f t="shared" si="924"/>
        <v>0</v>
      </c>
      <c r="AD698" s="16">
        <f t="shared" si="924"/>
        <v>0</v>
      </c>
      <c r="AE698" s="16">
        <f t="shared" si="924"/>
        <v>0</v>
      </c>
      <c r="AF698" s="16">
        <f t="shared" si="924"/>
        <v>0</v>
      </c>
      <c r="AG698" s="16">
        <f t="shared" si="924"/>
        <v>0</v>
      </c>
      <c r="AH698" s="16">
        <f t="shared" si="924"/>
        <v>0</v>
      </c>
      <c r="AI698" s="16">
        <f t="shared" si="924"/>
        <v>0</v>
      </c>
      <c r="AJ698" s="16">
        <f t="shared" si="924"/>
        <v>0</v>
      </c>
      <c r="AK698" s="16">
        <f t="shared" si="924"/>
        <v>0</v>
      </c>
      <c r="AL698" s="16">
        <f t="shared" si="924"/>
        <v>0</v>
      </c>
      <c r="AM698" s="16">
        <f t="shared" si="924"/>
        <v>0</v>
      </c>
      <c r="AN698" s="16">
        <f t="shared" si="924"/>
        <v>0</v>
      </c>
      <c r="AO698" s="16">
        <f t="shared" si="924"/>
        <v>0</v>
      </c>
      <c r="AP698" s="10"/>
      <c r="AQ698" s="10"/>
      <c r="AR698" s="10"/>
      <c r="AS698" s="10" t="str">
        <f t="shared" ref="AS698" ca="1" si="939">IFERROR(__xludf.DUMMYFUNCTION("split(F684,"","",true,true)"),"Overseas Private Investment Corporation")</f>
        <v>Overseas Private Investment Corporation</v>
      </c>
      <c r="AT698" s="10"/>
      <c r="AU698" s="10"/>
      <c r="AV698" s="10"/>
      <c r="AW698" s="10"/>
      <c r="AX698" s="10"/>
      <c r="AY698" s="10"/>
      <c r="AZ698" s="10"/>
      <c r="BA698" s="10"/>
      <c r="BB698" s="10"/>
      <c r="BC698" s="10"/>
      <c r="BD698" s="10"/>
      <c r="BE698" s="10"/>
      <c r="BF698" s="10"/>
      <c r="BG698" s="10"/>
      <c r="BH698" s="10"/>
      <c r="BI698" s="10"/>
      <c r="BJ698" s="10"/>
      <c r="BK698" s="10"/>
      <c r="BM698" s="10"/>
    </row>
    <row r="699" spans="1:65" ht="12.75">
      <c r="A699" s="9">
        <v>43344</v>
      </c>
      <c r="B699" s="10" t="s">
        <v>1527</v>
      </c>
      <c r="C699" s="11">
        <v>5000</v>
      </c>
      <c r="D699" s="12"/>
      <c r="E699" s="14" t="s">
        <v>234</v>
      </c>
      <c r="F699" s="10" t="s">
        <v>1528</v>
      </c>
      <c r="G699" s="13" t="s">
        <v>1529</v>
      </c>
      <c r="H699" s="14" t="str">
        <f t="array" ref="H699">IFERROR(INDEX([1]Companies!$G:$G,MATCH(B699,[1]Companies!$A:$A,0)),"")</f>
        <v>Nigeria</v>
      </c>
      <c r="I699" s="14" t="str">
        <f t="shared" si="694"/>
        <v>Nigeria</v>
      </c>
      <c r="J699" s="14" t="str">
        <f t="array" ref="J699">IFERROR(INDEX([1]Companies!$Y:$Y,MATCH(B699,[1]Companies!$A:$A,0)),"")</f>
        <v>Bike sharing, Mobility, Green Transport, IOT, Information Technology, Cycling, Digital Transport, Fitness, and Sports</v>
      </c>
      <c r="K699" s="14" t="str">
        <f t="array" ref="K699">IFERROR(INDEX([1]Companies!$X:$X,MATCH(B699,[1]Companies!$A:$A,0)),"")</f>
        <v>Information Technology</v>
      </c>
      <c r="L699" s="14" t="str">
        <f>VLOOKUP(B699,[1]Companies!$A$1:$C$5243,1,FALSE)</f>
        <v>Cycles</v>
      </c>
      <c r="M699" s="15">
        <f t="shared" si="695"/>
        <v>0.9</v>
      </c>
      <c r="N699" s="10" t="str">
        <f t="shared" si="696"/>
        <v>43344Cycles5000</v>
      </c>
      <c r="O699" s="14" t="str">
        <f t="shared" si="918"/>
        <v/>
      </c>
      <c r="P699" s="14">
        <f t="shared" si="919"/>
        <v>1</v>
      </c>
      <c r="Q699" s="14">
        <f t="array" ref="Q699">IFERROR(INDEX([1]Companies!$D:$D,MATCH(B699,[1]Companies!$A:$A,0)),"")</f>
        <v>2018</v>
      </c>
      <c r="R699" s="17">
        <f t="shared" si="920"/>
        <v>5000</v>
      </c>
      <c r="S699" s="14">
        <f>VLOOKUP(I699,[1]Lookups!$V$3:$Y$197,4,FALSE)</f>
        <v>0</v>
      </c>
      <c r="T699" s="14" t="str">
        <f>VLOOKUP(E699,[1]Lookups!$H$3:$I$71,2,FALSE)</f>
        <v>2. Seed</v>
      </c>
      <c r="U699" s="14" t="str">
        <f>VLOOKUP(K699,[1]Lookups!$B$3:$C$142,2,FALSE)</f>
        <v>Other Technologies &amp; Information Technology</v>
      </c>
      <c r="V699" s="14">
        <f t="shared" si="921"/>
        <v>2018</v>
      </c>
      <c r="W699" s="14">
        <f t="shared" si="922"/>
        <v>9</v>
      </c>
      <c r="X699" s="14">
        <f>VLOOKUP(W699,[1]Lookups!$P$3:$S$15,2,FALSE)</f>
        <v>3</v>
      </c>
      <c r="Y699" s="16">
        <f>VLOOKUP(W699,[1]Lookups!$P$3:$U$15,3,FALSE)</f>
        <v>2</v>
      </c>
      <c r="Z699" s="16">
        <f t="shared" si="923"/>
        <v>1</v>
      </c>
      <c r="AA699" s="16" t="str">
        <f t="shared" ca="1" si="924"/>
        <v>Overseas Private Investment Corporation</v>
      </c>
      <c r="AB699" s="16">
        <f t="shared" si="924"/>
        <v>0</v>
      </c>
      <c r="AC699" s="16">
        <f t="shared" si="924"/>
        <v>0</v>
      </c>
      <c r="AD699" s="16">
        <f t="shared" si="924"/>
        <v>0</v>
      </c>
      <c r="AE699" s="16">
        <f t="shared" si="924"/>
        <v>0</v>
      </c>
      <c r="AF699" s="16">
        <f t="shared" si="924"/>
        <v>0</v>
      </c>
      <c r="AG699" s="16">
        <f t="shared" si="924"/>
        <v>0</v>
      </c>
      <c r="AH699" s="16">
        <f t="shared" si="924"/>
        <v>0</v>
      </c>
      <c r="AI699" s="16">
        <f t="shared" si="924"/>
        <v>0</v>
      </c>
      <c r="AJ699" s="16">
        <f t="shared" si="924"/>
        <v>0</v>
      </c>
      <c r="AK699" s="16">
        <f t="shared" si="924"/>
        <v>0</v>
      </c>
      <c r="AL699" s="16">
        <f t="shared" si="924"/>
        <v>0</v>
      </c>
      <c r="AM699" s="16">
        <f t="shared" si="924"/>
        <v>0</v>
      </c>
      <c r="AN699" s="16">
        <f t="shared" si="924"/>
        <v>0</v>
      </c>
      <c r="AO699" s="16">
        <f t="shared" si="924"/>
        <v>0</v>
      </c>
      <c r="AP699" s="10"/>
      <c r="AQ699" s="10"/>
      <c r="AR699" s="10"/>
      <c r="AS699" s="10" t="str">
        <f t="shared" ref="AS699" ca="1" si="940">IFERROR(__xludf.DUMMYFUNCTION("split(F684,"","",true,true)"),"Overseas Private Investment Corporation")</f>
        <v>Overseas Private Investment Corporation</v>
      </c>
      <c r="AT699" s="10"/>
      <c r="AU699" s="10"/>
      <c r="AV699" s="10"/>
      <c r="AW699" s="10"/>
      <c r="AX699" s="10"/>
      <c r="AY699" s="10"/>
      <c r="AZ699" s="10"/>
      <c r="BA699" s="10"/>
      <c r="BB699" s="10"/>
      <c r="BC699" s="10"/>
      <c r="BD699" s="10"/>
      <c r="BE699" s="10"/>
      <c r="BF699" s="10"/>
      <c r="BG699" s="10"/>
      <c r="BH699" s="10"/>
      <c r="BI699" s="10"/>
      <c r="BJ699" s="10"/>
      <c r="BK699" s="10"/>
      <c r="BM699" s="10"/>
    </row>
    <row r="700" spans="1:65" ht="12.75">
      <c r="A700" s="9">
        <v>43344</v>
      </c>
      <c r="B700" s="10" t="s">
        <v>1530</v>
      </c>
      <c r="C700" s="11">
        <v>250000</v>
      </c>
      <c r="D700" s="12"/>
      <c r="E700" s="10" t="s">
        <v>45</v>
      </c>
      <c r="F700" s="10" t="s">
        <v>49</v>
      </c>
      <c r="G700" s="13" t="s">
        <v>1531</v>
      </c>
      <c r="H700" s="14" t="str">
        <f t="array" ref="H700">IFERROR(INDEX([1]Companies!$G:$G,MATCH(B700,[1]Companies!$A:$A,0)),"")</f>
        <v>Egypt</v>
      </c>
      <c r="I700" s="14" t="str">
        <f t="shared" si="694"/>
        <v>Egypt</v>
      </c>
      <c r="J700" s="14" t="str">
        <f t="array" ref="J700">IFERROR(INDEX([1]Companies!$Y:$Y,MATCH(B700,[1]Companies!$A:$A,0)),"")</f>
        <v>Health, Wellness and Fitness</v>
      </c>
      <c r="K700" s="14" t="str">
        <f t="array" ref="K700">IFERROR(INDEX([1]Companies!$X:$X,MATCH(B700,[1]Companies!$A:$A,0)),"")</f>
        <v>Healthcare &amp; Pharma</v>
      </c>
      <c r="L700" s="14" t="str">
        <f>VLOOKUP(B700,[1]Companies!$A$1:$C$5243,1,FALSE)</f>
        <v>HealthApp Group</v>
      </c>
      <c r="M700" s="15">
        <f t="shared" si="695"/>
        <v>0.9</v>
      </c>
      <c r="N700" s="10"/>
      <c r="O700" s="14"/>
      <c r="P700" s="14"/>
      <c r="Q700" s="14"/>
      <c r="R700" s="14"/>
      <c r="S700" s="14"/>
      <c r="T700" s="14"/>
      <c r="U700" s="14"/>
      <c r="V700" s="14">
        <f t="shared" si="921"/>
        <v>2018</v>
      </c>
      <c r="W700" s="14">
        <f t="shared" si="922"/>
        <v>9</v>
      </c>
      <c r="X700" s="14">
        <f>VLOOKUP(W700,[1]Lookups!$P$3:$S$15,2,FALSE)</f>
        <v>3</v>
      </c>
      <c r="Y700" s="16">
        <f>VLOOKUP(W700,[1]Lookups!$P$3:$U$15,3,FALSE)</f>
        <v>2</v>
      </c>
      <c r="Z700" s="16">
        <f t="shared" si="923"/>
        <v>1</v>
      </c>
      <c r="AA700" s="16" t="str">
        <f t="shared" ref="AA700:AO715" ca="1" si="941">AS700</f>
        <v>Overseas Private Investment Corporation</v>
      </c>
      <c r="AB700" s="16">
        <f t="shared" si="941"/>
        <v>0</v>
      </c>
      <c r="AC700" s="16">
        <f t="shared" si="941"/>
        <v>0</v>
      </c>
      <c r="AD700" s="16">
        <f t="shared" si="941"/>
        <v>0</v>
      </c>
      <c r="AE700" s="16">
        <f t="shared" si="941"/>
        <v>0</v>
      </c>
      <c r="AF700" s="16">
        <f t="shared" si="941"/>
        <v>0</v>
      </c>
      <c r="AG700" s="16">
        <f t="shared" si="941"/>
        <v>0</v>
      </c>
      <c r="AH700" s="16">
        <f t="shared" si="941"/>
        <v>0</v>
      </c>
      <c r="AI700" s="16">
        <f t="shared" si="941"/>
        <v>0</v>
      </c>
      <c r="AJ700" s="16">
        <f t="shared" si="941"/>
        <v>0</v>
      </c>
      <c r="AK700" s="16">
        <f t="shared" si="941"/>
        <v>0</v>
      </c>
      <c r="AL700" s="16">
        <f t="shared" si="941"/>
        <v>0</v>
      </c>
      <c r="AM700" s="16">
        <f t="shared" si="941"/>
        <v>0</v>
      </c>
      <c r="AN700" s="16">
        <f t="shared" si="941"/>
        <v>0</v>
      </c>
      <c r="AO700" s="16">
        <f t="shared" si="941"/>
        <v>0</v>
      </c>
      <c r="AP700" s="10"/>
      <c r="AQ700" s="10"/>
      <c r="AR700" s="10"/>
      <c r="AS700" s="10" t="str">
        <f t="shared" ref="AS700" ca="1" si="942">IFERROR(__xludf.DUMMYFUNCTION("split(F684,"","",true,true)"),"Overseas Private Investment Corporation")</f>
        <v>Overseas Private Investment Corporation</v>
      </c>
      <c r="AT700" s="10"/>
      <c r="AU700" s="10"/>
      <c r="AV700" s="10"/>
      <c r="AW700" s="10"/>
      <c r="AX700" s="10"/>
      <c r="AY700" s="10"/>
      <c r="AZ700" s="10"/>
      <c r="BA700" s="10"/>
      <c r="BB700" s="10"/>
      <c r="BC700" s="10"/>
      <c r="BD700" s="10"/>
      <c r="BE700" s="10"/>
      <c r="BF700" s="10"/>
      <c r="BG700" s="10"/>
      <c r="BH700" s="10"/>
      <c r="BI700" s="10"/>
      <c r="BJ700" s="10"/>
      <c r="BK700" s="10"/>
      <c r="BM700" s="10"/>
    </row>
    <row r="701" spans="1:65" ht="12.75">
      <c r="A701" s="9">
        <v>43346</v>
      </c>
      <c r="B701" s="10" t="s">
        <v>1532</v>
      </c>
      <c r="C701" s="11" t="s">
        <v>49</v>
      </c>
      <c r="D701" s="12"/>
      <c r="E701" s="10" t="s">
        <v>45</v>
      </c>
      <c r="F701" s="10" t="s">
        <v>1273</v>
      </c>
      <c r="G701" s="13" t="s">
        <v>1533</v>
      </c>
      <c r="H701" s="14" t="str">
        <f t="array" ref="H701">IFERROR(INDEX([1]Companies!$G:$G,MATCH(B701,[1]Companies!$A:$A,0)),"")</f>
        <v>Zambia</v>
      </c>
      <c r="I701" s="14" t="str">
        <f t="shared" si="694"/>
        <v>Zambia</v>
      </c>
      <c r="J701" s="14" t="str">
        <f t="array" ref="J701">IFERROR(INDEX([1]Companies!$Y:$Y,MATCH(B701,[1]Companies!$A:$A,0)),"")</f>
        <v>Finance, FinTech</v>
      </c>
      <c r="K701" s="14" t="str">
        <f t="array" ref="K701">IFERROR(INDEX([1]Companies!$X:$X,MATCH(B701,[1]Companies!$A:$A,0)),"")</f>
        <v>Financial Services</v>
      </c>
      <c r="L701" s="14" t="str">
        <f>VLOOKUP(B701,[1]Companies!$A$1:$C$5243,1,FALSE)</f>
        <v>Versara Finance</v>
      </c>
      <c r="M701" s="15">
        <f t="shared" si="695"/>
        <v>0.9</v>
      </c>
      <c r="N701" s="10" t="str">
        <f t="shared" ref="N701:N708" si="943">CONCATENATE(A701,B701,C701)</f>
        <v>43346Versara FinanceUndisclosed</v>
      </c>
      <c r="O701" s="14" t="str">
        <f t="shared" ref="O701:O708" si="944">IF(A701 = "","",IF(COUNTIF(N:N,CONCATENATE(A701,B701,C701))&gt;1,"Duplicated",""))</f>
        <v/>
      </c>
      <c r="P701" s="14">
        <f t="shared" ref="P701:P708" si="945">IF(C701="Undisclosed",0,1)</f>
        <v>0</v>
      </c>
      <c r="Q701" s="14">
        <f t="array" ref="Q701">IFERROR(INDEX([1]Companies!$D:$D,MATCH(B701,[1]Companies!$A:$A,0)),"")</f>
        <v>2015</v>
      </c>
      <c r="R701" s="17">
        <f t="shared" ref="R701:R708" si="946">SUMIF(B:B,B701,C:C)</f>
        <v>0</v>
      </c>
      <c r="S701" s="14">
        <f>VLOOKUP(I701,[1]Lookups!$V$3:$Y$197,4,FALSE)</f>
        <v>0</v>
      </c>
      <c r="T701" s="14" t="str">
        <f>VLOOKUP(E701,[1]Lookups!$H$3:$I$71,2,FALSE)</f>
        <v>2. Seed</v>
      </c>
      <c r="U701" s="14" t="str">
        <f>VLOOKUP(K701,[1]Lookups!$B$3:$C$142,2,FALSE)</f>
        <v>Financial Services</v>
      </c>
      <c r="V701" s="14">
        <f t="shared" si="921"/>
        <v>2018</v>
      </c>
      <c r="W701" s="14">
        <f t="shared" si="922"/>
        <v>9</v>
      </c>
      <c r="X701" s="14">
        <f>VLOOKUP(W701,[1]Lookups!$P$3:$S$15,2,FALSE)</f>
        <v>3</v>
      </c>
      <c r="Y701" s="16">
        <f>VLOOKUP(W701,[1]Lookups!$P$3:$U$15,3,FALSE)</f>
        <v>2</v>
      </c>
      <c r="Z701" s="16">
        <f t="shared" si="923"/>
        <v>1</v>
      </c>
      <c r="AA701" s="16" t="str">
        <f t="shared" ca="1" si="941"/>
        <v>Overseas Private Investment Corporation</v>
      </c>
      <c r="AB701" s="16">
        <f t="shared" si="941"/>
        <v>0</v>
      </c>
      <c r="AC701" s="16">
        <f t="shared" si="941"/>
        <v>0</v>
      </c>
      <c r="AD701" s="16">
        <f t="shared" si="941"/>
        <v>0</v>
      </c>
      <c r="AE701" s="16">
        <f t="shared" si="941"/>
        <v>0</v>
      </c>
      <c r="AF701" s="16">
        <f t="shared" si="941"/>
        <v>0</v>
      </c>
      <c r="AG701" s="16">
        <f t="shared" si="941"/>
        <v>0</v>
      </c>
      <c r="AH701" s="16">
        <f t="shared" si="941"/>
        <v>0</v>
      </c>
      <c r="AI701" s="16">
        <f t="shared" si="941"/>
        <v>0</v>
      </c>
      <c r="AJ701" s="16">
        <f t="shared" si="941"/>
        <v>0</v>
      </c>
      <c r="AK701" s="16">
        <f t="shared" si="941"/>
        <v>0</v>
      </c>
      <c r="AL701" s="16">
        <f t="shared" si="941"/>
        <v>0</v>
      </c>
      <c r="AM701" s="16">
        <f t="shared" si="941"/>
        <v>0</v>
      </c>
      <c r="AN701" s="16">
        <f t="shared" si="941"/>
        <v>0</v>
      </c>
      <c r="AO701" s="16">
        <f t="shared" si="941"/>
        <v>0</v>
      </c>
      <c r="AP701" s="10"/>
      <c r="AQ701" s="10"/>
      <c r="AR701" s="10"/>
      <c r="AS701" s="10" t="str">
        <f t="shared" ref="AS701" ca="1" si="947">IFERROR(__xludf.DUMMYFUNCTION("split(F684,"","",true,true)"),"Overseas Private Investment Corporation")</f>
        <v>Overseas Private Investment Corporation</v>
      </c>
      <c r="AT701" s="10"/>
      <c r="AU701" s="10"/>
      <c r="AV701" s="10"/>
      <c r="AW701" s="10"/>
      <c r="AX701" s="10"/>
      <c r="AY701" s="10"/>
      <c r="AZ701" s="10"/>
      <c r="BA701" s="10"/>
      <c r="BB701" s="10"/>
      <c r="BC701" s="10"/>
      <c r="BD701" s="10"/>
      <c r="BE701" s="10"/>
      <c r="BF701" s="10"/>
      <c r="BG701" s="10"/>
      <c r="BH701" s="10"/>
      <c r="BI701" s="10"/>
      <c r="BJ701" s="10"/>
      <c r="BK701" s="10"/>
      <c r="BM701" s="10"/>
    </row>
    <row r="702" spans="1:65" ht="12.75">
      <c r="A702" s="18">
        <v>43346</v>
      </c>
      <c r="B702" s="14" t="s">
        <v>1534</v>
      </c>
      <c r="C702" s="19">
        <v>720000</v>
      </c>
      <c r="D702" s="19"/>
      <c r="E702" s="14" t="s">
        <v>45</v>
      </c>
      <c r="F702" s="14" t="s">
        <v>1535</v>
      </c>
      <c r="G702" s="27" t="s">
        <v>1536</v>
      </c>
      <c r="H702" s="14" t="str">
        <f t="array" ref="H702">IFERROR(INDEX([1]Companies!$G:$G,MATCH(B702,[1]Companies!$A:$A,0)),"")</f>
        <v>Kenya</v>
      </c>
      <c r="I702" s="14" t="str">
        <f t="shared" si="694"/>
        <v>Kenya</v>
      </c>
      <c r="J702" s="14" t="str">
        <f t="array" ref="J702">IFERROR(INDEX([1]Companies!$Y:$Y,MATCH(B702,[1]Companies!$A:$A,0)),"")</f>
        <v>Information Technology</v>
      </c>
      <c r="K702" s="14" t="str">
        <f t="array" ref="K702">IFERROR(INDEX([1]Companies!$X:$X,MATCH(B702,[1]Companies!$A:$A,0)),"")</f>
        <v>Information Technology</v>
      </c>
      <c r="L702" s="14" t="str">
        <f>VLOOKUP(B702,[1]Companies!$A$1:$C$5243,1,FALSE)</f>
        <v>Africa Incubator</v>
      </c>
      <c r="M702" s="15">
        <f t="shared" si="695"/>
        <v>0.9</v>
      </c>
      <c r="N702" s="10" t="str">
        <f t="shared" si="943"/>
        <v>43346Africa Incubator720000</v>
      </c>
      <c r="O702" s="14" t="str">
        <f t="shared" si="944"/>
        <v/>
      </c>
      <c r="P702" s="14">
        <f t="shared" si="945"/>
        <v>1</v>
      </c>
      <c r="Q702" s="14">
        <f t="array" ref="Q702">IFERROR(INDEX([1]Companies!$D:$D,MATCH(B702,[1]Companies!$A:$A,0)),"")</f>
        <v>2015</v>
      </c>
      <c r="R702" s="17">
        <f t="shared" si="946"/>
        <v>720000</v>
      </c>
      <c r="S702" s="14">
        <f>VLOOKUP(I702,[1]Lookups!$V$3:$Y$197,4,FALSE)</f>
        <v>0</v>
      </c>
      <c r="T702" s="14" t="str">
        <f>VLOOKUP(E702,[1]Lookups!$H$3:$I$71,2,FALSE)</f>
        <v>2. Seed</v>
      </c>
      <c r="U702" s="14" t="str">
        <f>VLOOKUP(K702,[1]Lookups!$B$3:$C$142,2,FALSE)</f>
        <v>Other Technologies &amp; Information Technology</v>
      </c>
      <c r="V702" s="14">
        <f t="shared" si="921"/>
        <v>2018</v>
      </c>
      <c r="W702" s="14">
        <f t="shared" si="922"/>
        <v>9</v>
      </c>
      <c r="X702" s="14">
        <f>VLOOKUP(W702,[1]Lookups!$P$3:$S$15,2,FALSE)</f>
        <v>3</v>
      </c>
      <c r="Y702" s="16">
        <f>VLOOKUP(W702,[1]Lookups!$P$3:$U$15,3,FALSE)</f>
        <v>2</v>
      </c>
      <c r="Z702" s="16">
        <f t="shared" si="923"/>
        <v>3</v>
      </c>
      <c r="AA702" s="16" t="str">
        <f t="shared" ca="1" si="941"/>
        <v>Overseas Private Investment Corporation</v>
      </c>
      <c r="AB702" s="16" t="str">
        <f t="shared" ca="1" si="941"/>
        <v xml:space="preserve"> Monex Ventures</v>
      </c>
      <c r="AC702" s="16" t="str">
        <f t="shared" ca="1" si="941"/>
        <v xml:space="preserve"> ANRI</v>
      </c>
      <c r="AD702" s="16">
        <f t="shared" si="941"/>
        <v>0</v>
      </c>
      <c r="AE702" s="16">
        <f t="shared" si="941"/>
        <v>0</v>
      </c>
      <c r="AF702" s="16">
        <f t="shared" si="941"/>
        <v>0</v>
      </c>
      <c r="AG702" s="16">
        <f t="shared" si="941"/>
        <v>0</v>
      </c>
      <c r="AH702" s="16">
        <f t="shared" si="941"/>
        <v>0</v>
      </c>
      <c r="AI702" s="16">
        <f t="shared" si="941"/>
        <v>0</v>
      </c>
      <c r="AJ702" s="16">
        <f t="shared" si="941"/>
        <v>0</v>
      </c>
      <c r="AK702" s="16">
        <f t="shared" si="941"/>
        <v>0</v>
      </c>
      <c r="AL702" s="16">
        <f t="shared" si="941"/>
        <v>0</v>
      </c>
      <c r="AM702" s="16">
        <f t="shared" si="941"/>
        <v>0</v>
      </c>
      <c r="AN702" s="16">
        <f t="shared" si="941"/>
        <v>0</v>
      </c>
      <c r="AO702" s="16">
        <f t="shared" si="941"/>
        <v>0</v>
      </c>
      <c r="AP702" s="10"/>
      <c r="AQ702" s="10"/>
      <c r="AR702" s="10"/>
      <c r="AS702" s="10" t="str">
        <f t="shared" ref="AS702" ca="1" si="948">IFERROR(__xludf.DUMMYFUNCTION("split(F684,"","",true,true)"),"Overseas Private Investment Corporation")</f>
        <v>Overseas Private Investment Corporation</v>
      </c>
      <c r="AT702" s="10" t="str">
        <f ca="1">IFERROR(__xludf.DUMMYFUNCTION("""COMPUTED_VALUE""")," Monex Ventures")</f>
        <v xml:space="preserve"> Monex Ventures</v>
      </c>
      <c r="AU702" s="10" t="str">
        <f ca="1">IFERROR(__xludf.DUMMYFUNCTION("""COMPUTED_VALUE""")," ANRI")</f>
        <v xml:space="preserve"> ANRI</v>
      </c>
      <c r="AV702" s="10"/>
      <c r="AW702" s="10"/>
      <c r="AX702" s="10"/>
      <c r="AY702" s="10"/>
      <c r="AZ702" s="10"/>
      <c r="BA702" s="10"/>
      <c r="BB702" s="10"/>
      <c r="BC702" s="10"/>
      <c r="BD702" s="10"/>
      <c r="BE702" s="10"/>
      <c r="BF702" s="10"/>
      <c r="BG702" s="10"/>
      <c r="BH702" s="10"/>
      <c r="BI702" s="10"/>
      <c r="BJ702" s="10"/>
      <c r="BK702" s="10"/>
      <c r="BM702" s="10"/>
    </row>
    <row r="703" spans="1:65" ht="12.75">
      <c r="A703" s="18">
        <v>43347</v>
      </c>
      <c r="B703" s="14" t="s">
        <v>1537</v>
      </c>
      <c r="C703" s="19" t="s">
        <v>49</v>
      </c>
      <c r="D703" s="19"/>
      <c r="E703" s="14" t="s">
        <v>69</v>
      </c>
      <c r="F703" s="14" t="s">
        <v>1538</v>
      </c>
      <c r="G703" s="27" t="s">
        <v>1539</v>
      </c>
      <c r="H703" s="14" t="str">
        <f t="array" ref="H703">IFERROR(INDEX([1]Companies!$G:$G,MATCH(B703,[1]Companies!$A:$A,0)),"")</f>
        <v>Egypt</v>
      </c>
      <c r="I703" s="14" t="str">
        <f t="shared" si="694"/>
        <v>Egypt</v>
      </c>
      <c r="J703" s="14" t="str">
        <f t="array" ref="J703">IFERROR(INDEX([1]Companies!$Y:$Y,MATCH(B703,[1]Companies!$A:$A,0)),"")</f>
        <v>Online Real Estate Portal, Real Estate Marketing, Real Estate Marketplace, and Real Estate Digital Marketing</v>
      </c>
      <c r="K703" s="14" t="str">
        <f t="array" ref="K703">IFERROR(INDEX([1]Companies!$X:$X,MATCH(B703,[1]Companies!$A:$A,0)),"")</f>
        <v>E-Commerce &amp; Retail</v>
      </c>
      <c r="L703" s="14" t="str">
        <f>VLOOKUP(B703,[1]Companies!$A$1:$C$5243,1,FALSE)</f>
        <v>Aqarmap</v>
      </c>
      <c r="M703" s="15">
        <f t="shared" si="695"/>
        <v>0.9</v>
      </c>
      <c r="N703" s="10" t="str">
        <f t="shared" si="943"/>
        <v>43347AqarmapUndisclosed</v>
      </c>
      <c r="O703" s="14" t="str">
        <f t="shared" si="944"/>
        <v/>
      </c>
      <c r="P703" s="14">
        <f t="shared" si="945"/>
        <v>0</v>
      </c>
      <c r="Q703" s="14">
        <f t="array" ref="Q703">IFERROR(INDEX([1]Companies!$D:$D,MATCH(B703,[1]Companies!$A:$A,0)),"")</f>
        <v>2011</v>
      </c>
      <c r="R703" s="17">
        <f t="shared" si="946"/>
        <v>0</v>
      </c>
      <c r="S703" s="14">
        <f>VLOOKUP(I703,[1]Lookups!$V$3:$Y$197,4,FALSE)</f>
        <v>0</v>
      </c>
      <c r="T703" s="14" t="str">
        <f>VLOOKUP(E703,[1]Lookups!$H$3:$I$71,2,FALSE)</f>
        <v>3. Early Venture</v>
      </c>
      <c r="U703" s="14" t="str">
        <f>VLOOKUP(K703,[1]Lookups!$B$3:$C$142,2,FALSE)</f>
        <v>E-commerce &amp; Retail</v>
      </c>
      <c r="V703" s="14">
        <f t="shared" si="921"/>
        <v>2018</v>
      </c>
      <c r="W703" s="14">
        <f t="shared" si="922"/>
        <v>9</v>
      </c>
      <c r="X703" s="14">
        <f>VLOOKUP(W703,[1]Lookups!$P$3:$S$15,2,FALSE)</f>
        <v>3</v>
      </c>
      <c r="Y703" s="16">
        <f>VLOOKUP(W703,[1]Lookups!$P$3:$U$15,3,FALSE)</f>
        <v>2</v>
      </c>
      <c r="Z703" s="16">
        <f t="shared" si="923"/>
        <v>3</v>
      </c>
      <c r="AA703" s="16" t="str">
        <f t="shared" ca="1" si="941"/>
        <v>Overseas Private Investment Corporation</v>
      </c>
      <c r="AB703" s="16" t="str">
        <f t="shared" ca="1" si="941"/>
        <v xml:space="preserve"> KISP Ventures</v>
      </c>
      <c r="AC703" s="16" t="str">
        <f t="shared" ca="1" si="941"/>
        <v xml:space="preserve"> Raed Ventures</v>
      </c>
      <c r="AD703" s="16">
        <f t="shared" si="941"/>
        <v>0</v>
      </c>
      <c r="AE703" s="16">
        <f t="shared" si="941"/>
        <v>0</v>
      </c>
      <c r="AF703" s="16">
        <f t="shared" si="941"/>
        <v>0</v>
      </c>
      <c r="AG703" s="16">
        <f t="shared" si="941"/>
        <v>0</v>
      </c>
      <c r="AH703" s="16">
        <f t="shared" si="941"/>
        <v>0</v>
      </c>
      <c r="AI703" s="16">
        <f t="shared" si="941"/>
        <v>0</v>
      </c>
      <c r="AJ703" s="16">
        <f t="shared" si="941"/>
        <v>0</v>
      </c>
      <c r="AK703" s="16">
        <f t="shared" si="941"/>
        <v>0</v>
      </c>
      <c r="AL703" s="16">
        <f t="shared" si="941"/>
        <v>0</v>
      </c>
      <c r="AM703" s="16">
        <f t="shared" si="941"/>
        <v>0</v>
      </c>
      <c r="AN703" s="16">
        <f t="shared" si="941"/>
        <v>0</v>
      </c>
      <c r="AO703" s="16">
        <f t="shared" si="941"/>
        <v>0</v>
      </c>
      <c r="AP703" s="10"/>
      <c r="AQ703" s="10"/>
      <c r="AR703" s="10"/>
      <c r="AS703" s="10" t="str">
        <f t="shared" ref="AS703" ca="1" si="949">IFERROR(__xludf.DUMMYFUNCTION("split(F684,"","",true,true)"),"Overseas Private Investment Corporation")</f>
        <v>Overseas Private Investment Corporation</v>
      </c>
      <c r="AT703" s="10" t="str">
        <f ca="1">IFERROR(__xludf.DUMMYFUNCTION("""COMPUTED_VALUE""")," KISP Ventures")</f>
        <v xml:space="preserve"> KISP Ventures</v>
      </c>
      <c r="AU703" s="10" t="str">
        <f ca="1">IFERROR(__xludf.DUMMYFUNCTION("""COMPUTED_VALUE""")," Raed Ventures")</f>
        <v xml:space="preserve"> Raed Ventures</v>
      </c>
      <c r="AV703" s="10"/>
      <c r="AW703" s="10"/>
      <c r="AX703" s="10"/>
      <c r="AY703" s="10"/>
      <c r="AZ703" s="10"/>
      <c r="BA703" s="10"/>
      <c r="BB703" s="10"/>
      <c r="BC703" s="10"/>
      <c r="BD703" s="10"/>
      <c r="BE703" s="10"/>
      <c r="BF703" s="10"/>
      <c r="BG703" s="10"/>
      <c r="BH703" s="10"/>
      <c r="BI703" s="10"/>
      <c r="BJ703" s="10"/>
      <c r="BK703" s="10"/>
      <c r="BM703" s="10"/>
    </row>
    <row r="704" spans="1:65" ht="12.75">
      <c r="A704" s="18">
        <v>43347</v>
      </c>
      <c r="B704" s="14" t="s">
        <v>1540</v>
      </c>
      <c r="C704" s="19">
        <v>238000</v>
      </c>
      <c r="D704" s="19"/>
      <c r="E704" s="10" t="s">
        <v>91</v>
      </c>
      <c r="F704" s="14" t="s">
        <v>1541</v>
      </c>
      <c r="G704" s="27" t="s">
        <v>1542</v>
      </c>
      <c r="H704" s="14" t="str">
        <f t="array" ref="H704">IFERROR(INDEX([1]Companies!$G:$G,MATCH(B704,[1]Companies!$A:$A,0)),"")</f>
        <v>Kenya</v>
      </c>
      <c r="I704" s="14" t="str">
        <f t="shared" si="694"/>
        <v>Kenya</v>
      </c>
      <c r="J704" s="14" t="str">
        <f t="array" ref="J704">IFERROR(INDEX([1]Companies!$Y:$Y,MATCH(B704,[1]Companies!$A:$A,0)),"")</f>
        <v>Logistics, Marketplace, Transportation</v>
      </c>
      <c r="K704" s="14" t="str">
        <f t="array" ref="K704">IFERROR(INDEX([1]Companies!$X:$X,MATCH(B704,[1]Companies!$A:$A,0)),"")</f>
        <v>Transport &amp; Logistics</v>
      </c>
      <c r="L704" s="14" t="str">
        <f>VLOOKUP(B704,[1]Companies!$A$1:$C$5243,1,FALSE)</f>
        <v>Bwala Africa</v>
      </c>
      <c r="M704" s="15">
        <f t="shared" si="695"/>
        <v>0.9</v>
      </c>
      <c r="N704" s="10" t="str">
        <f t="shared" si="943"/>
        <v>43347Bwala Africa238000</v>
      </c>
      <c r="O704" s="14" t="str">
        <f t="shared" si="944"/>
        <v/>
      </c>
      <c r="P704" s="14">
        <f t="shared" si="945"/>
        <v>1</v>
      </c>
      <c r="Q704" s="14">
        <f t="array" ref="Q704">IFERROR(INDEX([1]Companies!$D:$D,MATCH(B704,[1]Companies!$A:$A,0)),"")</f>
        <v>2017</v>
      </c>
      <c r="R704" s="17">
        <f t="shared" si="946"/>
        <v>238000</v>
      </c>
      <c r="S704" s="14">
        <f>VLOOKUP(I704,[1]Lookups!$V$3:$Y$197,4,FALSE)</f>
        <v>0</v>
      </c>
      <c r="T704" s="14" t="str">
        <f>VLOOKUP(E704,[1]Lookups!$H$3:$I$71,2,FALSE)</f>
        <v>5. Debt Financing</v>
      </c>
      <c r="U704" s="14" t="str">
        <f>VLOOKUP(K704,[1]Lookups!$B$3:$C$142,2,FALSE)</f>
        <v>Transport &amp; Logistics</v>
      </c>
      <c r="V704" s="14">
        <f t="shared" si="921"/>
        <v>2018</v>
      </c>
      <c r="W704" s="14">
        <f t="shared" si="922"/>
        <v>9</v>
      </c>
      <c r="X704" s="14">
        <f>VLOOKUP(W704,[1]Lookups!$P$3:$S$15,2,FALSE)</f>
        <v>3</v>
      </c>
      <c r="Y704" s="16">
        <f>VLOOKUP(W704,[1]Lookups!$P$3:$U$15,3,FALSE)</f>
        <v>2</v>
      </c>
      <c r="Z704" s="16">
        <f t="shared" si="923"/>
        <v>1</v>
      </c>
      <c r="AA704" s="16" t="str">
        <f t="shared" ca="1" si="941"/>
        <v>Overseas Private Investment Corporation</v>
      </c>
      <c r="AB704" s="16">
        <f t="shared" si="941"/>
        <v>0</v>
      </c>
      <c r="AC704" s="16">
        <f t="shared" si="941"/>
        <v>0</v>
      </c>
      <c r="AD704" s="16">
        <f t="shared" si="941"/>
        <v>0</v>
      </c>
      <c r="AE704" s="16">
        <f t="shared" si="941"/>
        <v>0</v>
      </c>
      <c r="AF704" s="16">
        <f t="shared" si="941"/>
        <v>0</v>
      </c>
      <c r="AG704" s="16">
        <f t="shared" si="941"/>
        <v>0</v>
      </c>
      <c r="AH704" s="16">
        <f t="shared" si="941"/>
        <v>0</v>
      </c>
      <c r="AI704" s="16">
        <f t="shared" si="941"/>
        <v>0</v>
      </c>
      <c r="AJ704" s="16">
        <f t="shared" si="941"/>
        <v>0</v>
      </c>
      <c r="AK704" s="16">
        <f t="shared" si="941"/>
        <v>0</v>
      </c>
      <c r="AL704" s="16">
        <f t="shared" si="941"/>
        <v>0</v>
      </c>
      <c r="AM704" s="16">
        <f t="shared" si="941"/>
        <v>0</v>
      </c>
      <c r="AN704" s="16">
        <f t="shared" si="941"/>
        <v>0</v>
      </c>
      <c r="AO704" s="16">
        <f t="shared" si="941"/>
        <v>0</v>
      </c>
      <c r="AP704" s="10"/>
      <c r="AQ704" s="10"/>
      <c r="AR704" s="10"/>
      <c r="AS704" s="10" t="str">
        <f t="shared" ref="AS704" ca="1" si="950">IFERROR(__xludf.DUMMYFUNCTION("split(F684,"","",true,true)"),"Overseas Private Investment Corporation")</f>
        <v>Overseas Private Investment Corporation</v>
      </c>
      <c r="AT704" s="10"/>
      <c r="AU704" s="10"/>
      <c r="AV704" s="10"/>
      <c r="AW704" s="10"/>
      <c r="AX704" s="10"/>
      <c r="AY704" s="10"/>
      <c r="AZ704" s="10"/>
      <c r="BA704" s="10"/>
      <c r="BB704" s="10"/>
      <c r="BC704" s="10"/>
      <c r="BD704" s="10"/>
      <c r="BE704" s="10"/>
      <c r="BF704" s="10"/>
      <c r="BG704" s="10"/>
      <c r="BH704" s="10"/>
      <c r="BI704" s="10"/>
      <c r="BJ704" s="10"/>
      <c r="BK704" s="10"/>
      <c r="BM704" s="10"/>
    </row>
    <row r="705" spans="1:65" ht="12.75">
      <c r="A705" s="18">
        <v>43347</v>
      </c>
      <c r="B705" s="14" t="s">
        <v>1543</v>
      </c>
      <c r="C705" s="19">
        <v>100000</v>
      </c>
      <c r="D705" s="19"/>
      <c r="E705" s="14" t="s">
        <v>45</v>
      </c>
      <c r="F705" s="14" t="s">
        <v>516</v>
      </c>
      <c r="G705" s="27" t="s">
        <v>1544</v>
      </c>
      <c r="H705" s="14" t="str">
        <f t="array" ref="H705">IFERROR(INDEX([1]Companies!$G:$G,MATCH(B705,[1]Companies!$A:$A,0)),"")</f>
        <v>Nigeria</v>
      </c>
      <c r="I705" s="14" t="str">
        <f t="shared" si="694"/>
        <v>Nigeria</v>
      </c>
      <c r="J705" s="14" t="str">
        <f t="array" ref="J705">IFERROR(INDEX([1]Companies!$Y:$Y,MATCH(B705,[1]Companies!$A:$A,0)),"")</f>
        <v>Medical Equipment, Medical Equipment Maintenance &amp; Repair, Training, Medical Equipment Financing, Economic Development, Shipping and Logistics, Biomedical Training, Medical Diagnostics, and Primary Care</v>
      </c>
      <c r="K705" s="14" t="str">
        <f t="array" ref="K705">IFERROR(INDEX([1]Companies!$X:$X,MATCH(B705,[1]Companies!$A:$A,0)),"")</f>
        <v>Healthcare &amp; Pharma</v>
      </c>
      <c r="L705" s="14" t="str">
        <f>VLOOKUP(B705,[1]Companies!$A$1:$C$5243,1,FALSE)</f>
        <v>Mdaas Global</v>
      </c>
      <c r="M705" s="15">
        <f t="shared" si="695"/>
        <v>0.9</v>
      </c>
      <c r="N705" s="10" t="str">
        <f t="shared" si="943"/>
        <v>43347MDaaS Global100000</v>
      </c>
      <c r="O705" s="14" t="str">
        <f t="shared" si="944"/>
        <v/>
      </c>
      <c r="P705" s="14">
        <f t="shared" si="945"/>
        <v>1</v>
      </c>
      <c r="Q705" s="14">
        <f t="array" ref="Q705">IFERROR(INDEX([1]Companies!$D:$D,MATCH(B705,[1]Companies!$A:$A,0)),"")</f>
        <v>2016</v>
      </c>
      <c r="R705" s="17">
        <f t="shared" si="946"/>
        <v>1280000</v>
      </c>
      <c r="S705" s="14">
        <f>VLOOKUP(I705,[1]Lookups!$V$3:$Y$197,4,FALSE)</f>
        <v>0</v>
      </c>
      <c r="T705" s="14" t="str">
        <f>VLOOKUP(E705,[1]Lookups!$H$3:$I$71,2,FALSE)</f>
        <v>2. Seed</v>
      </c>
      <c r="U705" s="14" t="str">
        <f>VLOOKUP(K705,[1]Lookups!$B$3:$C$142,2,FALSE)</f>
        <v>Health &amp; Pharmaceuticals</v>
      </c>
      <c r="V705" s="14">
        <f t="shared" si="921"/>
        <v>2018</v>
      </c>
      <c r="W705" s="14">
        <f t="shared" si="922"/>
        <v>9</v>
      </c>
      <c r="X705" s="14">
        <f>VLOOKUP(W705,[1]Lookups!$P$3:$S$15,2,FALSE)</f>
        <v>3</v>
      </c>
      <c r="Y705" s="16">
        <f>VLOOKUP(W705,[1]Lookups!$P$3:$U$15,3,FALSE)</f>
        <v>2</v>
      </c>
      <c r="Z705" s="16">
        <f t="shared" si="923"/>
        <v>1</v>
      </c>
      <c r="AA705" s="16" t="str">
        <f t="shared" ca="1" si="941"/>
        <v>Overseas Private Investment Corporation</v>
      </c>
      <c r="AB705" s="16">
        <f t="shared" si="941"/>
        <v>0</v>
      </c>
      <c r="AC705" s="16">
        <f t="shared" si="941"/>
        <v>0</v>
      </c>
      <c r="AD705" s="16">
        <f t="shared" si="941"/>
        <v>0</v>
      </c>
      <c r="AE705" s="16">
        <f t="shared" si="941"/>
        <v>0</v>
      </c>
      <c r="AF705" s="16">
        <f t="shared" si="941"/>
        <v>0</v>
      </c>
      <c r="AG705" s="16">
        <f t="shared" si="941"/>
        <v>0</v>
      </c>
      <c r="AH705" s="16">
        <f t="shared" si="941"/>
        <v>0</v>
      </c>
      <c r="AI705" s="16">
        <f t="shared" si="941"/>
        <v>0</v>
      </c>
      <c r="AJ705" s="16">
        <f t="shared" si="941"/>
        <v>0</v>
      </c>
      <c r="AK705" s="16">
        <f t="shared" si="941"/>
        <v>0</v>
      </c>
      <c r="AL705" s="16">
        <f t="shared" si="941"/>
        <v>0</v>
      </c>
      <c r="AM705" s="16">
        <f t="shared" si="941"/>
        <v>0</v>
      </c>
      <c r="AN705" s="16">
        <f t="shared" si="941"/>
        <v>0</v>
      </c>
      <c r="AO705" s="16">
        <f t="shared" si="941"/>
        <v>0</v>
      </c>
      <c r="AP705" s="10"/>
      <c r="AQ705" s="10"/>
      <c r="AR705" s="10"/>
      <c r="AS705" s="10" t="str">
        <f t="shared" ref="AS705" ca="1" si="951">IFERROR(__xludf.DUMMYFUNCTION("split(F684,"","",true,true)"),"Overseas Private Investment Corporation")</f>
        <v>Overseas Private Investment Corporation</v>
      </c>
      <c r="AT705" s="10"/>
      <c r="AU705" s="10"/>
      <c r="AV705" s="10"/>
      <c r="AW705" s="10"/>
      <c r="AX705" s="10"/>
      <c r="AY705" s="10"/>
      <c r="AZ705" s="10"/>
      <c r="BA705" s="10"/>
      <c r="BB705" s="10"/>
      <c r="BC705" s="10"/>
      <c r="BD705" s="10"/>
      <c r="BE705" s="10"/>
      <c r="BF705" s="10"/>
      <c r="BG705" s="10"/>
      <c r="BH705" s="10"/>
      <c r="BI705" s="10"/>
      <c r="BJ705" s="10"/>
      <c r="BK705" s="10"/>
      <c r="BM705" s="10"/>
    </row>
    <row r="706" spans="1:65" ht="12.75">
      <c r="A706" s="18">
        <v>43348</v>
      </c>
      <c r="B706" s="14" t="s">
        <v>1545</v>
      </c>
      <c r="C706" s="19" t="s">
        <v>49</v>
      </c>
      <c r="D706" s="19"/>
      <c r="E706" s="14" t="s">
        <v>45</v>
      </c>
      <c r="F706" s="14" t="s">
        <v>1546</v>
      </c>
      <c r="G706" s="27" t="s">
        <v>1547</v>
      </c>
      <c r="H706" s="14" t="str">
        <f t="array" ref="H706">IFERROR(INDEX([1]Companies!$G:$G,MATCH(B706,[1]Companies!$A:$A,0)),"")</f>
        <v>Egypt</v>
      </c>
      <c r="I706" s="14" t="str">
        <f t="shared" si="694"/>
        <v>Egypt</v>
      </c>
      <c r="J706" s="14" t="str">
        <f t="array" ref="J706">IFERROR(INDEX([1]Companies!$Y:$Y,MATCH(B706,[1]Companies!$A:$A,0)),"")</f>
        <v>Coworking Space, Office Space, Meeting Space,  Conference Halls</v>
      </c>
      <c r="K706" s="14" t="str">
        <f t="array" ref="K706">IFERROR(INDEX([1]Companies!$X:$X,MATCH(B706,[1]Companies!$A:$A,0)),"")</f>
        <v>Real Estate and Construction</v>
      </c>
      <c r="L706" s="14" t="str">
        <f>VLOOKUP(B706,[1]Companies!$A$1:$C$5243,1,FALSE)</f>
        <v>Almaqarr Coworking Space</v>
      </c>
      <c r="M706" s="15">
        <f t="shared" si="695"/>
        <v>0.9</v>
      </c>
      <c r="N706" s="10" t="str">
        <f t="shared" si="943"/>
        <v>43348AlMaqarr Coworking SpaceUndisclosed</v>
      </c>
      <c r="O706" s="14" t="str">
        <f t="shared" si="944"/>
        <v/>
      </c>
      <c r="P706" s="14">
        <f t="shared" si="945"/>
        <v>0</v>
      </c>
      <c r="Q706" s="14">
        <f t="array" ref="Q706">IFERROR(INDEX([1]Companies!$D:$D,MATCH(B706,[1]Companies!$A:$A,0)),"")</f>
        <v>2012</v>
      </c>
      <c r="R706" s="17">
        <f t="shared" si="946"/>
        <v>0</v>
      </c>
      <c r="S706" s="14">
        <f>VLOOKUP(I706,[1]Lookups!$V$3:$Y$197,4,FALSE)</f>
        <v>0</v>
      </c>
      <c r="T706" s="14" t="str">
        <f>VLOOKUP(E706,[1]Lookups!$H$3:$I$71,2,FALSE)</f>
        <v>2. Seed</v>
      </c>
      <c r="U706" s="14" t="str">
        <f>VLOOKUP(K706,[1]Lookups!$B$3:$C$142,2,FALSE)</f>
        <v>Construction &amp; Real Estate</v>
      </c>
      <c r="V706" s="14">
        <f t="shared" si="921"/>
        <v>2018</v>
      </c>
      <c r="W706" s="14">
        <f t="shared" si="922"/>
        <v>9</v>
      </c>
      <c r="X706" s="14">
        <f>VLOOKUP(W706,[1]Lookups!$P$3:$S$15,2,FALSE)</f>
        <v>3</v>
      </c>
      <c r="Y706" s="16">
        <f>VLOOKUP(W706,[1]Lookups!$P$3:$U$15,3,FALSE)</f>
        <v>2</v>
      </c>
      <c r="Z706" s="16">
        <f t="shared" si="923"/>
        <v>2</v>
      </c>
      <c r="AA706" s="16" t="str">
        <f t="shared" ca="1" si="941"/>
        <v>Overseas Private Investment Corporation</v>
      </c>
      <c r="AB706" s="16" t="str">
        <f t="shared" ca="1" si="941"/>
        <v xml:space="preserve"> Alex Angels</v>
      </c>
      <c r="AC706" s="16">
        <f t="shared" si="941"/>
        <v>0</v>
      </c>
      <c r="AD706" s="16">
        <f t="shared" si="941"/>
        <v>0</v>
      </c>
      <c r="AE706" s="16">
        <f t="shared" si="941"/>
        <v>0</v>
      </c>
      <c r="AF706" s="16">
        <f t="shared" si="941"/>
        <v>0</v>
      </c>
      <c r="AG706" s="16">
        <f t="shared" si="941"/>
        <v>0</v>
      </c>
      <c r="AH706" s="16">
        <f t="shared" si="941"/>
        <v>0</v>
      </c>
      <c r="AI706" s="16">
        <f t="shared" si="941"/>
        <v>0</v>
      </c>
      <c r="AJ706" s="16">
        <f t="shared" si="941"/>
        <v>0</v>
      </c>
      <c r="AK706" s="16">
        <f t="shared" si="941"/>
        <v>0</v>
      </c>
      <c r="AL706" s="16">
        <f t="shared" si="941"/>
        <v>0</v>
      </c>
      <c r="AM706" s="16">
        <f t="shared" si="941"/>
        <v>0</v>
      </c>
      <c r="AN706" s="16">
        <f t="shared" si="941"/>
        <v>0</v>
      </c>
      <c r="AO706" s="16">
        <f t="shared" si="941"/>
        <v>0</v>
      </c>
      <c r="AP706" s="10"/>
      <c r="AQ706" s="10"/>
      <c r="AR706" s="10"/>
      <c r="AS706" s="10" t="str">
        <f t="shared" ref="AS706" ca="1" si="952">IFERROR(__xludf.DUMMYFUNCTION("split(F684,"","",true,true)"),"Overseas Private Investment Corporation")</f>
        <v>Overseas Private Investment Corporation</v>
      </c>
      <c r="AT706" s="10" t="str">
        <f ca="1">IFERROR(__xludf.DUMMYFUNCTION("""COMPUTED_VALUE""")," Alex Angels")</f>
        <v xml:space="preserve"> Alex Angels</v>
      </c>
      <c r="AU706" s="10"/>
      <c r="AV706" s="10"/>
      <c r="AW706" s="10"/>
      <c r="AX706" s="10"/>
      <c r="AY706" s="10"/>
      <c r="AZ706" s="10"/>
      <c r="BA706" s="10"/>
      <c r="BB706" s="10"/>
      <c r="BC706" s="10"/>
      <c r="BD706" s="10"/>
      <c r="BE706" s="10"/>
      <c r="BF706" s="10"/>
      <c r="BG706" s="10"/>
      <c r="BH706" s="10"/>
      <c r="BI706" s="10"/>
      <c r="BJ706" s="10"/>
      <c r="BK706" s="10"/>
      <c r="BL706" s="10"/>
      <c r="BM706" s="10"/>
    </row>
    <row r="707" spans="1:65" ht="12.75">
      <c r="A707" s="18">
        <v>43348</v>
      </c>
      <c r="B707" s="14" t="s">
        <v>686</v>
      </c>
      <c r="C707" s="19">
        <v>3000000</v>
      </c>
      <c r="D707" s="19"/>
      <c r="E707" s="14" t="s">
        <v>69</v>
      </c>
      <c r="F707" s="14" t="s">
        <v>1548</v>
      </c>
      <c r="G707" s="27" t="s">
        <v>1549</v>
      </c>
      <c r="H707" s="14" t="str">
        <f t="array" ref="H707">IFERROR(INDEX([1]Companies!$G:$G,MATCH(B707,[1]Companies!$A:$A,0)),"")</f>
        <v>Nigeria</v>
      </c>
      <c r="I707" s="14" t="str">
        <f t="shared" si="694"/>
        <v>Nigeria</v>
      </c>
      <c r="J707" s="14" t="str">
        <f t="array" ref="J707">IFERROR(INDEX([1]Companies!$Y:$Y,MATCH(B707,[1]Companies!$A:$A,0)),"")</f>
        <v>Internet, WIFI, VOIP, and IPTV</v>
      </c>
      <c r="K707" s="14" t="str">
        <f t="array" ref="K707">IFERROR(INDEX([1]Companies!$X:$X,MATCH(B707,[1]Companies!$A:$A,0)),"")</f>
        <v>Information Technology</v>
      </c>
      <c r="L707" s="14" t="str">
        <f>VLOOKUP(B707,[1]Companies!$A$1:$C$5243,1,FALSE)</f>
        <v>Tizeti</v>
      </c>
      <c r="M707" s="15">
        <f t="shared" si="695"/>
        <v>0.9</v>
      </c>
      <c r="N707" s="10" t="str">
        <f t="shared" si="943"/>
        <v>43348Tizeti3000000</v>
      </c>
      <c r="O707" s="14" t="str">
        <f t="shared" si="944"/>
        <v/>
      </c>
      <c r="P707" s="14">
        <f t="shared" si="945"/>
        <v>1</v>
      </c>
      <c r="Q707" s="14">
        <f t="array" ref="Q707">IFERROR(INDEX([1]Companies!$D:$D,MATCH(B707,[1]Companies!$A:$A,0)),"")</f>
        <v>2014</v>
      </c>
      <c r="R707" s="17">
        <f t="shared" si="946"/>
        <v>5100000</v>
      </c>
      <c r="S707" s="14">
        <f>VLOOKUP(I707,[1]Lookups!$V$3:$Y$197,4,FALSE)</f>
        <v>0</v>
      </c>
      <c r="T707" s="14" t="str">
        <f>VLOOKUP(E707,[1]Lookups!$H$3:$I$71,2,FALSE)</f>
        <v>3. Early Venture</v>
      </c>
      <c r="U707" s="14" t="str">
        <f>VLOOKUP(K707,[1]Lookups!$B$3:$C$142,2,FALSE)</f>
        <v>Other Technologies &amp; Information Technology</v>
      </c>
      <c r="V707" s="14">
        <f t="shared" si="921"/>
        <v>2018</v>
      </c>
      <c r="W707" s="14">
        <f t="shared" si="922"/>
        <v>9</v>
      </c>
      <c r="X707" s="14">
        <f>VLOOKUP(W707,[1]Lookups!$P$3:$S$15,2,FALSE)</f>
        <v>3</v>
      </c>
      <c r="Y707" s="16">
        <f>VLOOKUP(W707,[1]Lookups!$P$3:$U$15,3,FALSE)</f>
        <v>2</v>
      </c>
      <c r="Z707" s="16">
        <f t="shared" si="923"/>
        <v>6</v>
      </c>
      <c r="AA707" s="16" t="str">
        <f t="shared" ca="1" si="941"/>
        <v>Overseas Private Investment Corporation</v>
      </c>
      <c r="AB707" s="16" t="str">
        <f t="shared" ca="1" si="941"/>
        <v xml:space="preserve"> Y Combinator</v>
      </c>
      <c r="AC707" s="16" t="str">
        <f t="shared" ca="1" si="941"/>
        <v xml:space="preserve"> Western Technology Investment</v>
      </c>
      <c r="AD707" s="16" t="str">
        <f t="shared" ca="1" si="941"/>
        <v xml:space="preserve"> Social Capital</v>
      </c>
      <c r="AE707" s="16" t="str">
        <f t="shared" ca="1" si="941"/>
        <v xml:space="preserve"> Lynett Capital</v>
      </c>
      <c r="AF707" s="16" t="str">
        <f t="shared" ca="1" si="941"/>
        <v xml:space="preserve"> Golden Palm Investments</v>
      </c>
      <c r="AG707" s="16">
        <f t="shared" si="941"/>
        <v>0</v>
      </c>
      <c r="AH707" s="16">
        <f t="shared" si="941"/>
        <v>0</v>
      </c>
      <c r="AI707" s="16">
        <f t="shared" si="941"/>
        <v>0</v>
      </c>
      <c r="AJ707" s="16">
        <f t="shared" si="941"/>
        <v>0</v>
      </c>
      <c r="AK707" s="16">
        <f t="shared" si="941"/>
        <v>0</v>
      </c>
      <c r="AL707" s="16">
        <f t="shared" si="941"/>
        <v>0</v>
      </c>
      <c r="AM707" s="16">
        <f t="shared" si="941"/>
        <v>0</v>
      </c>
      <c r="AN707" s="16">
        <f t="shared" si="941"/>
        <v>0</v>
      </c>
      <c r="AO707" s="16">
        <f t="shared" si="941"/>
        <v>0</v>
      </c>
      <c r="AP707" s="10"/>
      <c r="AQ707" s="10"/>
      <c r="AR707" s="10"/>
      <c r="AS707" s="10" t="str">
        <f t="shared" ref="AS707" ca="1" si="953">IFERROR(__xludf.DUMMYFUNCTION("split(F684,"","",true,true)"),"Overseas Private Investment Corporation")</f>
        <v>Overseas Private Investment Corporation</v>
      </c>
      <c r="AT707" s="10" t="str">
        <f ca="1">IFERROR(__xludf.DUMMYFUNCTION("""COMPUTED_VALUE""")," Y Combinator")</f>
        <v xml:space="preserve"> Y Combinator</v>
      </c>
      <c r="AU707" s="10" t="str">
        <f ca="1">IFERROR(__xludf.DUMMYFUNCTION("""COMPUTED_VALUE""")," Western Technology Investment")</f>
        <v xml:space="preserve"> Western Technology Investment</v>
      </c>
      <c r="AV707" s="10" t="str">
        <f ca="1">IFERROR(__xludf.DUMMYFUNCTION("""COMPUTED_VALUE""")," Social Capital")</f>
        <v xml:space="preserve"> Social Capital</v>
      </c>
      <c r="AW707" s="10" t="str">
        <f ca="1">IFERROR(__xludf.DUMMYFUNCTION("""COMPUTED_VALUE""")," Lynett Capital")</f>
        <v xml:space="preserve"> Lynett Capital</v>
      </c>
      <c r="AX707" s="10" t="str">
        <f ca="1">IFERROR(__xludf.DUMMYFUNCTION("""COMPUTED_VALUE""")," Golden Palm Investments")</f>
        <v xml:space="preserve"> Golden Palm Investments</v>
      </c>
      <c r="AY707" s="10"/>
      <c r="AZ707" s="10"/>
      <c r="BA707" s="10"/>
      <c r="BB707" s="10"/>
      <c r="BC707" s="10"/>
      <c r="BD707" s="10"/>
      <c r="BE707" s="10"/>
      <c r="BF707" s="10"/>
      <c r="BG707" s="10"/>
      <c r="BH707" s="10"/>
      <c r="BI707" s="10"/>
      <c r="BJ707" s="10"/>
      <c r="BK707" s="10"/>
      <c r="BM707" s="10"/>
    </row>
    <row r="708" spans="1:65" ht="12.75">
      <c r="A708" s="18">
        <v>43348</v>
      </c>
      <c r="B708" s="14" t="s">
        <v>1097</v>
      </c>
      <c r="C708" s="19">
        <v>10000</v>
      </c>
      <c r="D708" s="19"/>
      <c r="E708" s="14" t="s">
        <v>45</v>
      </c>
      <c r="F708" s="14" t="s">
        <v>1550</v>
      </c>
      <c r="G708" s="27" t="s">
        <v>1551</v>
      </c>
      <c r="H708" s="14" t="str">
        <f t="array" ref="H708">IFERROR(INDEX([1]Companies!$G:$G,MATCH(B708,[1]Companies!$A:$A,0)),"")</f>
        <v>Tanzania</v>
      </c>
      <c r="I708" s="14" t="str">
        <f t="shared" si="694"/>
        <v>Tanzania</v>
      </c>
      <c r="J708" s="14" t="str">
        <f t="array" ref="J708">IFERROR(INDEX([1]Companies!$Y:$Y,MATCH(B708,[1]Companies!$A:$A,0)),"")</f>
        <v>Financial Inclusion, Digital Financial Services, Mobile Money, and Fintech</v>
      </c>
      <c r="K708" s="14" t="str">
        <f t="array" ref="K708">IFERROR(INDEX([1]Companies!$X:$X,MATCH(B708,[1]Companies!$A:$A,0)),"")</f>
        <v>Financial Services</v>
      </c>
      <c r="L708" s="14" t="str">
        <f>VLOOKUP(B708,[1]Companies!$A$1:$C$5243,1,FALSE)</f>
        <v>Nala</v>
      </c>
      <c r="M708" s="15">
        <f t="shared" si="695"/>
        <v>0.9</v>
      </c>
      <c r="N708" s="10" t="str">
        <f t="shared" si="943"/>
        <v>43348Nala10000</v>
      </c>
      <c r="O708" s="14" t="str">
        <f t="shared" si="944"/>
        <v/>
      </c>
      <c r="P708" s="14">
        <f t="shared" si="945"/>
        <v>1</v>
      </c>
      <c r="Q708" s="14">
        <f t="array" ref="Q708">IFERROR(INDEX([1]Companies!$D:$D,MATCH(B708,[1]Companies!$A:$A,0)),"")</f>
        <v>2017</v>
      </c>
      <c r="R708" s="17">
        <f t="shared" si="946"/>
        <v>420000</v>
      </c>
      <c r="S708" s="14">
        <f>VLOOKUP(I708,[1]Lookups!$V$3:$Y$197,4,FALSE)</f>
        <v>0</v>
      </c>
      <c r="T708" s="14" t="str">
        <f>VLOOKUP(E708,[1]Lookups!$H$3:$I$71,2,FALSE)</f>
        <v>2. Seed</v>
      </c>
      <c r="U708" s="14" t="str">
        <f>VLOOKUP(K708,[1]Lookups!$B$3:$C$142,2,FALSE)</f>
        <v>Financial Services</v>
      </c>
      <c r="V708" s="14">
        <f t="shared" si="921"/>
        <v>2018</v>
      </c>
      <c r="W708" s="14">
        <f t="shared" si="922"/>
        <v>9</v>
      </c>
      <c r="X708" s="14">
        <f>VLOOKUP(W708,[1]Lookups!$P$3:$S$15,2,FALSE)</f>
        <v>3</v>
      </c>
      <c r="Y708" s="16">
        <f>VLOOKUP(W708,[1]Lookups!$P$3:$U$15,3,FALSE)</f>
        <v>2</v>
      </c>
      <c r="Z708" s="16">
        <f t="shared" si="923"/>
        <v>1</v>
      </c>
      <c r="AA708" s="16" t="str">
        <f t="shared" ca="1" si="941"/>
        <v>Overseas Private Investment Corporation</v>
      </c>
      <c r="AB708" s="16">
        <f t="shared" si="941"/>
        <v>0</v>
      </c>
      <c r="AC708" s="16">
        <f t="shared" si="941"/>
        <v>0</v>
      </c>
      <c r="AD708" s="16">
        <f t="shared" si="941"/>
        <v>0</v>
      </c>
      <c r="AE708" s="16">
        <f t="shared" si="941"/>
        <v>0</v>
      </c>
      <c r="AF708" s="16">
        <f t="shared" si="941"/>
        <v>0</v>
      </c>
      <c r="AG708" s="16">
        <f t="shared" si="941"/>
        <v>0</v>
      </c>
      <c r="AH708" s="16">
        <f t="shared" si="941"/>
        <v>0</v>
      </c>
      <c r="AI708" s="16">
        <f t="shared" si="941"/>
        <v>0</v>
      </c>
      <c r="AJ708" s="16">
        <f t="shared" si="941"/>
        <v>0</v>
      </c>
      <c r="AK708" s="16">
        <f t="shared" si="941"/>
        <v>0</v>
      </c>
      <c r="AL708" s="16">
        <f t="shared" si="941"/>
        <v>0</v>
      </c>
      <c r="AM708" s="16">
        <f t="shared" si="941"/>
        <v>0</v>
      </c>
      <c r="AN708" s="16">
        <f t="shared" si="941"/>
        <v>0</v>
      </c>
      <c r="AO708" s="16">
        <f t="shared" si="941"/>
        <v>0</v>
      </c>
      <c r="AP708" s="10"/>
      <c r="AQ708" s="10"/>
      <c r="AR708" s="10"/>
      <c r="AS708" s="10" t="str">
        <f t="shared" ref="AS708" ca="1" si="954">IFERROR(__xludf.DUMMYFUNCTION("split(F684,"","",true,true)"),"Overseas Private Investment Corporation")</f>
        <v>Overseas Private Investment Corporation</v>
      </c>
      <c r="AT708" s="10"/>
      <c r="AU708" s="10"/>
      <c r="AV708" s="10"/>
      <c r="AW708" s="10"/>
      <c r="AX708" s="10"/>
      <c r="AY708" s="10"/>
      <c r="AZ708" s="10"/>
      <c r="BA708" s="10"/>
      <c r="BB708" s="10"/>
      <c r="BC708" s="10"/>
      <c r="BD708" s="10"/>
      <c r="BE708" s="10"/>
      <c r="BF708" s="10"/>
      <c r="BG708" s="10"/>
      <c r="BH708" s="10"/>
      <c r="BI708" s="10"/>
      <c r="BJ708" s="10"/>
      <c r="BK708" s="10"/>
      <c r="BM708" s="10"/>
    </row>
    <row r="709" spans="1:65" ht="12.75">
      <c r="A709" s="9">
        <v>43348</v>
      </c>
      <c r="B709" s="10" t="s">
        <v>1097</v>
      </c>
      <c r="C709" s="11">
        <v>10000</v>
      </c>
      <c r="D709" s="12"/>
      <c r="E709" s="10" t="s">
        <v>55</v>
      </c>
      <c r="F709" s="10" t="s">
        <v>1550</v>
      </c>
      <c r="G709" s="13" t="s">
        <v>1552</v>
      </c>
      <c r="H709" s="14"/>
      <c r="I709" s="14"/>
      <c r="J709" s="14"/>
      <c r="K709" s="14"/>
      <c r="L709" s="14"/>
      <c r="M709" s="15"/>
      <c r="N709" s="10"/>
      <c r="O709" s="14"/>
      <c r="P709" s="14"/>
      <c r="Q709" s="14"/>
      <c r="R709" s="14"/>
      <c r="S709" s="14"/>
      <c r="T709" s="14"/>
      <c r="U709" s="14"/>
      <c r="V709" s="14">
        <f t="shared" si="921"/>
        <v>2018</v>
      </c>
      <c r="W709" s="14">
        <f t="shared" si="922"/>
        <v>9</v>
      </c>
      <c r="X709" s="14">
        <f>VLOOKUP(W709,[1]Lookups!$P$3:$S$15,2,FALSE)</f>
        <v>3</v>
      </c>
      <c r="Y709" s="16">
        <f>VLOOKUP(W709,[1]Lookups!$P$3:$U$15,3,FALSE)</f>
        <v>2</v>
      </c>
      <c r="Z709" s="16">
        <f t="shared" si="923"/>
        <v>1</v>
      </c>
      <c r="AA709" s="16" t="str">
        <f t="shared" ca="1" si="941"/>
        <v>#REF!</v>
      </c>
      <c r="AB709" s="16">
        <f t="shared" si="941"/>
        <v>0</v>
      </c>
      <c r="AC709" s="16">
        <f t="shared" si="941"/>
        <v>0</v>
      </c>
      <c r="AD709" s="16">
        <f t="shared" si="941"/>
        <v>0</v>
      </c>
      <c r="AE709" s="16">
        <f t="shared" si="941"/>
        <v>0</v>
      </c>
      <c r="AF709" s="16">
        <f t="shared" si="941"/>
        <v>0</v>
      </c>
      <c r="AG709" s="16">
        <f t="shared" si="941"/>
        <v>0</v>
      </c>
      <c r="AH709" s="16">
        <f t="shared" si="941"/>
        <v>0</v>
      </c>
      <c r="AI709" s="16">
        <f t="shared" si="941"/>
        <v>0</v>
      </c>
      <c r="AJ709" s="16">
        <f t="shared" si="941"/>
        <v>0</v>
      </c>
      <c r="AK709" s="16">
        <f t="shared" si="941"/>
        <v>0</v>
      </c>
      <c r="AL709" s="16">
        <f t="shared" si="941"/>
        <v>0</v>
      </c>
      <c r="AM709" s="16">
        <f t="shared" si="941"/>
        <v>0</v>
      </c>
      <c r="AN709" s="16">
        <f t="shared" si="941"/>
        <v>0</v>
      </c>
      <c r="AO709" s="16">
        <f t="shared" si="941"/>
        <v>0</v>
      </c>
      <c r="AP709" s="10"/>
      <c r="AQ709" s="10"/>
      <c r="AR709" s="10"/>
      <c r="AS709" s="10" t="str">
        <f ca="1">IFERROR(__xludf.DUMMYFUNCTION("split(#REF!,"","",true,true)"),"#REF!")</f>
        <v>#REF!</v>
      </c>
      <c r="AT709" s="10"/>
      <c r="AU709" s="10"/>
      <c r="AV709" s="10"/>
      <c r="AW709" s="10"/>
      <c r="AX709" s="10"/>
      <c r="AY709" s="10"/>
      <c r="AZ709" s="10"/>
      <c r="BA709" s="10"/>
      <c r="BB709" s="10"/>
      <c r="BC709" s="10"/>
      <c r="BD709" s="10"/>
      <c r="BE709" s="10"/>
      <c r="BF709" s="10"/>
      <c r="BG709" s="10"/>
      <c r="BH709" s="10"/>
      <c r="BI709" s="10"/>
      <c r="BJ709" s="10"/>
      <c r="BK709" s="10"/>
      <c r="BM709" s="10"/>
    </row>
    <row r="710" spans="1:65" ht="12.75">
      <c r="A710" s="18">
        <v>43349</v>
      </c>
      <c r="B710" s="14" t="s">
        <v>1553</v>
      </c>
      <c r="C710" s="19" t="s">
        <v>49</v>
      </c>
      <c r="D710" s="19"/>
      <c r="E710" s="10" t="s">
        <v>48</v>
      </c>
      <c r="F710" s="14" t="s">
        <v>893</v>
      </c>
      <c r="G710" s="27" t="s">
        <v>1554</v>
      </c>
      <c r="H710" s="14" t="str">
        <f t="array" ref="H710">IFERROR(INDEX([1]Companies!$G:$G,MATCH(B710,[1]Companies!$A:$A,0)),"")</f>
        <v>Egypt</v>
      </c>
      <c r="I710" s="14" t="str">
        <f t="shared" ref="I710:I721" si="955">IF(LEN(TRIM(H710))-LEN(SUBSTITUTE(TRIM(H710),",","")) &gt; 0,TRIM(RIGHT(H710,LEN(H710)-FIND(",",H710))),H710)</f>
        <v>Egypt</v>
      </c>
      <c r="J710" s="14" t="str">
        <f t="array" ref="J710">IFERROR(INDEX([1]Companies!$Y:$Y,MATCH(B710,[1]Companies!$A:$A,0)),"")</f>
        <v>Agriculture, Food and Beverage, Grocery, Information Technology, Logistics, Small and Medium Businesses, Supply Chain Management</v>
      </c>
      <c r="K710" s="14" t="str">
        <f t="array" ref="K710">IFERROR(INDEX([1]Companies!$X:$X,MATCH(B710,[1]Companies!$A:$A,0)),"")</f>
        <v>Agriculture</v>
      </c>
      <c r="L710" s="14" t="str">
        <f>VLOOKUP(B710,[1]Companies!$A$1:$C$5243,1,FALSE)</f>
        <v>FreshSource</v>
      </c>
      <c r="M710" s="15">
        <f t="shared" ref="M710:M721" si="956">COUNTA(B710:K710)/(COUNTBLANK(B710:K710) + COUNTA(B710:K710))</f>
        <v>0.9</v>
      </c>
      <c r="N710" s="10" t="str">
        <f t="shared" ref="N710:N721" si="957">CONCATENATE(A710,B710,C710)</f>
        <v>43349FreshSourceUndisclosed</v>
      </c>
      <c r="O710" s="14" t="str">
        <f t="shared" ref="O710:O721" si="958">IF(A710 = "","",IF(COUNTIF(N:N,CONCATENATE(A710,B710,C710))&gt;1,"Duplicated",""))</f>
        <v/>
      </c>
      <c r="P710" s="14">
        <f t="shared" ref="P710:P721" si="959">IF(C710="Undisclosed",0,1)</f>
        <v>0</v>
      </c>
      <c r="Q710" s="14">
        <f t="array" ref="Q710">IFERROR(INDEX([1]Companies!$D:$D,MATCH(B710,[1]Companies!$A:$A,0)),"")</f>
        <v>2018</v>
      </c>
      <c r="R710" s="17">
        <f t="shared" ref="R710:R721" si="960">SUMIF(B:B,B710,C:C)</f>
        <v>0</v>
      </c>
      <c r="S710" s="14">
        <f>VLOOKUP(I710,[1]Lookups!$V$3:$Y$197,4,FALSE)</f>
        <v>0</v>
      </c>
      <c r="T710" s="14" t="str">
        <f>VLOOKUP(E710,[1]Lookups!$H$3:$I$71,2,FALSE)</f>
        <v>2. Seed</v>
      </c>
      <c r="U710" s="14" t="str">
        <f>VLOOKUP(K710,[1]Lookups!$B$3:$C$142,2,FALSE)</f>
        <v>Agriculture</v>
      </c>
      <c r="V710" s="14">
        <f t="shared" si="921"/>
        <v>2018</v>
      </c>
      <c r="W710" s="14">
        <f t="shared" si="922"/>
        <v>9</v>
      </c>
      <c r="X710" s="14">
        <f>VLOOKUP(W710,[1]Lookups!$P$3:$S$15,2,FALSE)</f>
        <v>3</v>
      </c>
      <c r="Y710" s="16">
        <f>VLOOKUP(W710,[1]Lookups!$P$3:$U$15,3,FALSE)</f>
        <v>2</v>
      </c>
      <c r="Z710" s="16">
        <f t="shared" si="923"/>
        <v>1</v>
      </c>
      <c r="AA710" s="16" t="str">
        <f t="shared" ca="1" si="941"/>
        <v>HIMangel</v>
      </c>
      <c r="AB710" s="16">
        <f t="shared" si="941"/>
        <v>0</v>
      </c>
      <c r="AC710" s="16">
        <f t="shared" si="941"/>
        <v>0</v>
      </c>
      <c r="AD710" s="16">
        <f t="shared" si="941"/>
        <v>0</v>
      </c>
      <c r="AE710" s="16">
        <f t="shared" si="941"/>
        <v>0</v>
      </c>
      <c r="AF710" s="16">
        <f t="shared" si="941"/>
        <v>0</v>
      </c>
      <c r="AG710" s="16">
        <f t="shared" si="941"/>
        <v>0</v>
      </c>
      <c r="AH710" s="16">
        <f t="shared" si="941"/>
        <v>0</v>
      </c>
      <c r="AI710" s="16">
        <f t="shared" si="941"/>
        <v>0</v>
      </c>
      <c r="AJ710" s="16">
        <f t="shared" si="941"/>
        <v>0</v>
      </c>
      <c r="AK710" s="16">
        <f t="shared" si="941"/>
        <v>0</v>
      </c>
      <c r="AL710" s="16">
        <f t="shared" si="941"/>
        <v>0</v>
      </c>
      <c r="AM710" s="16">
        <f t="shared" si="941"/>
        <v>0</v>
      </c>
      <c r="AN710" s="16">
        <f t="shared" si="941"/>
        <v>0</v>
      </c>
      <c r="AO710" s="16">
        <f t="shared" si="941"/>
        <v>0</v>
      </c>
      <c r="AP710" s="10"/>
      <c r="AQ710" s="10"/>
      <c r="AR710" s="10"/>
      <c r="AS710" s="10" t="str">
        <f t="shared" ref="AS710" ca="1" si="961">IFERROR(__xludf.DUMMYFUNCTION("split(F710,"","",true,true)"),"HIMangel")</f>
        <v>HIMangel</v>
      </c>
      <c r="AT710" s="25"/>
      <c r="AU710" s="25"/>
      <c r="AV710" s="25"/>
      <c r="AW710" s="25"/>
      <c r="AX710" s="25"/>
      <c r="AY710" s="25"/>
      <c r="AZ710" s="25"/>
      <c r="BA710" s="25"/>
      <c r="BB710" s="25"/>
      <c r="BC710" s="25"/>
      <c r="BD710" s="25"/>
      <c r="BE710" s="25"/>
      <c r="BF710" s="25"/>
      <c r="BG710" s="25"/>
      <c r="BH710" s="25"/>
      <c r="BI710" s="25"/>
      <c r="BJ710" s="25"/>
      <c r="BK710" s="25"/>
      <c r="BM710" s="25"/>
    </row>
    <row r="711" spans="1:65" ht="12.75">
      <c r="A711" s="18">
        <v>43349</v>
      </c>
      <c r="B711" s="14" t="s">
        <v>212</v>
      </c>
      <c r="C711" s="19">
        <v>16000000</v>
      </c>
      <c r="D711" s="19"/>
      <c r="E711" s="14" t="s">
        <v>112</v>
      </c>
      <c r="F711" s="14" t="s">
        <v>1555</v>
      </c>
      <c r="G711" s="27" t="s">
        <v>1556</v>
      </c>
      <c r="H711" s="14" t="str">
        <f t="array" ref="H711">IFERROR(INDEX([1]Companies!$G:$G,MATCH(B711,[1]Companies!$A:$A,0)),"")</f>
        <v>South Africa</v>
      </c>
      <c r="I711" s="14" t="str">
        <f t="shared" si="955"/>
        <v>South Africa</v>
      </c>
      <c r="J711" s="14" t="str">
        <f t="array" ref="J711">IFERROR(INDEX([1]Companies!$Y:$Y,MATCH(B711,[1]Companies!$A:$A,0)),"")</f>
        <v>FinTech, Mobile Payments, Payments, Point of Sale, SaaS, Small and Medium Businesses</v>
      </c>
      <c r="K711" s="14" t="str">
        <f t="array" ref="K711">IFERROR(INDEX([1]Companies!$X:$X,MATCH(B711,[1]Companies!$A:$A,0)),"")</f>
        <v>Financial Services</v>
      </c>
      <c r="L711" s="14" t="str">
        <f>VLOOKUP(B711,[1]Companies!$A$1:$C$5243,1,FALSE)</f>
        <v>Yoco</v>
      </c>
      <c r="M711" s="15">
        <f t="shared" si="956"/>
        <v>0.9</v>
      </c>
      <c r="N711" s="10" t="str">
        <f t="shared" si="957"/>
        <v>43349Yoco16000000</v>
      </c>
      <c r="O711" s="14" t="str">
        <f t="shared" si="958"/>
        <v/>
      </c>
      <c r="P711" s="14">
        <f t="shared" si="959"/>
        <v>1</v>
      </c>
      <c r="Q711" s="14">
        <f t="array" ref="Q711">IFERROR(INDEX([1]Companies!$D:$D,MATCH(B711,[1]Companies!$A:$A,0)),"")</f>
        <v>2013</v>
      </c>
      <c r="R711" s="17">
        <f t="shared" si="960"/>
        <v>20100000</v>
      </c>
      <c r="S711" s="14">
        <f>VLOOKUP(I711,[1]Lookups!$V$3:$Y$197,4,FALSE)</f>
        <v>0</v>
      </c>
      <c r="T711" s="14" t="str">
        <f>VLOOKUP(E711,[1]Lookups!$H$3:$I$71,2,FALSE)</f>
        <v>3. Early Venture</v>
      </c>
      <c r="U711" s="14" t="str">
        <f>VLOOKUP(K711,[1]Lookups!$B$3:$C$142,2,FALSE)</f>
        <v>Financial Services</v>
      </c>
      <c r="V711" s="14">
        <f t="shared" si="921"/>
        <v>2018</v>
      </c>
      <c r="W711" s="14">
        <f t="shared" si="922"/>
        <v>9</v>
      </c>
      <c r="X711" s="14">
        <f>VLOOKUP(W711,[1]Lookups!$P$3:$S$15,2,FALSE)</f>
        <v>3</v>
      </c>
      <c r="Y711" s="16">
        <f>VLOOKUP(W711,[1]Lookups!$P$3:$U$15,3,FALSE)</f>
        <v>2</v>
      </c>
      <c r="Z711" s="16">
        <f t="shared" si="923"/>
        <v>6</v>
      </c>
      <c r="AA711" s="16" t="str">
        <f t="shared" ca="1" si="941"/>
        <v>HIMangel</v>
      </c>
      <c r="AB711" s="16" t="str">
        <f t="shared" ca="1" si="941"/>
        <v xml:space="preserve"> Orange Digital Ventures</v>
      </c>
      <c r="AC711" s="16" t="str">
        <f t="shared" ca="1" si="941"/>
        <v xml:space="preserve"> Dutch Development Bank</v>
      </c>
      <c r="AD711" s="16" t="str">
        <f t="shared" ca="1" si="941"/>
        <v xml:space="preserve"> Futuregrowth Asset Management</v>
      </c>
      <c r="AE711" s="16" t="str">
        <f t="shared" ca="1" si="941"/>
        <v xml:space="preserve"> Quona Capital</v>
      </c>
      <c r="AF711" s="16" t="str">
        <f t="shared" ca="1" si="941"/>
        <v xml:space="preserve"> Velocity Capital Private Equity</v>
      </c>
      <c r="AG711" s="16">
        <f t="shared" si="941"/>
        <v>0</v>
      </c>
      <c r="AH711" s="16">
        <f t="shared" si="941"/>
        <v>0</v>
      </c>
      <c r="AI711" s="16">
        <f t="shared" si="941"/>
        <v>0</v>
      </c>
      <c r="AJ711" s="16">
        <f t="shared" si="941"/>
        <v>0</v>
      </c>
      <c r="AK711" s="16">
        <f t="shared" si="941"/>
        <v>0</v>
      </c>
      <c r="AL711" s="16">
        <f t="shared" si="941"/>
        <v>0</v>
      </c>
      <c r="AM711" s="16">
        <f t="shared" si="941"/>
        <v>0</v>
      </c>
      <c r="AN711" s="16">
        <f t="shared" si="941"/>
        <v>0</v>
      </c>
      <c r="AO711" s="16">
        <f t="shared" si="941"/>
        <v>0</v>
      </c>
      <c r="AP711" s="10"/>
      <c r="AQ711" s="10"/>
      <c r="AR711" s="10"/>
      <c r="AS711" s="10" t="str">
        <f t="shared" ref="AS711" ca="1" si="962">IFERROR(__xludf.DUMMYFUNCTION("split(F710,"","",true,true)"),"HIMangel")</f>
        <v>HIMangel</v>
      </c>
      <c r="AT711" s="10" t="str">
        <f ca="1">IFERROR(__xludf.DUMMYFUNCTION("""COMPUTED_VALUE""")," Orange Digital Ventures")</f>
        <v xml:space="preserve"> Orange Digital Ventures</v>
      </c>
      <c r="AU711" s="10" t="str">
        <f ca="1">IFERROR(__xludf.DUMMYFUNCTION("""COMPUTED_VALUE""")," Dutch Development Bank")</f>
        <v xml:space="preserve"> Dutch Development Bank</v>
      </c>
      <c r="AV711" s="10" t="str">
        <f ca="1">IFERROR(__xludf.DUMMYFUNCTION("""COMPUTED_VALUE""")," Futuregrowth Asset Management")</f>
        <v xml:space="preserve"> Futuregrowth Asset Management</v>
      </c>
      <c r="AW711" s="10" t="str">
        <f ca="1">IFERROR(__xludf.DUMMYFUNCTION("""COMPUTED_VALUE""")," Quona Capital")</f>
        <v xml:space="preserve"> Quona Capital</v>
      </c>
      <c r="AX711" s="10" t="str">
        <f ca="1">IFERROR(__xludf.DUMMYFUNCTION("""COMPUTED_VALUE""")," Velocity Capital Private Equity")</f>
        <v xml:space="preserve"> Velocity Capital Private Equity</v>
      </c>
      <c r="AY711" s="10"/>
      <c r="AZ711" s="10"/>
      <c r="BA711" s="10"/>
      <c r="BB711" s="10"/>
      <c r="BC711" s="10"/>
      <c r="BD711" s="10"/>
      <c r="BE711" s="10"/>
      <c r="BF711" s="10"/>
      <c r="BG711" s="10"/>
      <c r="BH711" s="10"/>
      <c r="BI711" s="10"/>
      <c r="BJ711" s="10"/>
      <c r="BK711" s="10"/>
      <c r="BM711" s="10"/>
    </row>
    <row r="712" spans="1:65" ht="12.75">
      <c r="A712" s="18">
        <v>43349</v>
      </c>
      <c r="B712" s="14" t="s">
        <v>61</v>
      </c>
      <c r="C712" s="19">
        <v>10000000</v>
      </c>
      <c r="D712" s="19"/>
      <c r="E712" s="14" t="s">
        <v>112</v>
      </c>
      <c r="F712" s="14" t="s">
        <v>1557</v>
      </c>
      <c r="G712" s="27" t="s">
        <v>1558</v>
      </c>
      <c r="H712" s="14" t="str">
        <f t="array" ref="H712">IFERROR(INDEX([1]Companies!$G:$G,MATCH(B712,[1]Companies!$A:$A,0)),"")</f>
        <v>Nigeria</v>
      </c>
      <c r="I712" s="14" t="str">
        <f t="shared" si="955"/>
        <v>Nigeria</v>
      </c>
      <c r="J712" s="14" t="str">
        <f t="array" ref="J712">IFERROR(INDEX([1]Companies!$Y:$Y,MATCH(B712,[1]Companies!$A:$A,0)),"")</f>
        <v>Money Transfer, Airtime, Bill Payments, and SME Business</v>
      </c>
      <c r="K712" s="14" t="str">
        <f t="array" ref="K712">IFERROR(INDEX([1]Companies!$X:$X,MATCH(B712,[1]Companies!$A:$A,0)),"")</f>
        <v>Financial Services</v>
      </c>
      <c r="L712" s="14" t="str">
        <f>VLOOKUP(B712,[1]Companies!$A$1:$C$5243,1,FALSE)</f>
        <v>Paga</v>
      </c>
      <c r="M712" s="15">
        <f t="shared" si="956"/>
        <v>0.9</v>
      </c>
      <c r="N712" s="10" t="str">
        <f t="shared" si="957"/>
        <v>43349Paga10000000</v>
      </c>
      <c r="O712" s="14" t="str">
        <f t="shared" si="958"/>
        <v/>
      </c>
      <c r="P712" s="14">
        <f t="shared" si="959"/>
        <v>1</v>
      </c>
      <c r="Q712" s="14">
        <f t="array" ref="Q712">IFERROR(INDEX([1]Companies!$D:$D,MATCH(B712,[1]Companies!$A:$A,0)),"")</f>
        <v>2009</v>
      </c>
      <c r="R712" s="17">
        <f t="shared" si="960"/>
        <v>32700000</v>
      </c>
      <c r="S712" s="14">
        <f>VLOOKUP(I712,[1]Lookups!$V$3:$Y$197,4,FALSE)</f>
        <v>0</v>
      </c>
      <c r="T712" s="14" t="str">
        <f>VLOOKUP(E712,[1]Lookups!$H$3:$I$71,2,FALSE)</f>
        <v>3. Early Venture</v>
      </c>
      <c r="U712" s="14" t="str">
        <f>VLOOKUP(K712,[1]Lookups!$B$3:$C$142,2,FALSE)</f>
        <v>Financial Services</v>
      </c>
      <c r="V712" s="14">
        <f t="shared" si="921"/>
        <v>2018</v>
      </c>
      <c r="W712" s="14">
        <f t="shared" si="922"/>
        <v>9</v>
      </c>
      <c r="X712" s="14">
        <f>VLOOKUP(W712,[1]Lookups!$P$3:$S$15,2,FALSE)</f>
        <v>3</v>
      </c>
      <c r="Y712" s="16">
        <f>VLOOKUP(W712,[1]Lookups!$P$3:$U$15,3,FALSE)</f>
        <v>2</v>
      </c>
      <c r="Z712" s="16">
        <f t="shared" si="923"/>
        <v>5</v>
      </c>
      <c r="AA712" s="16" t="str">
        <f t="shared" ca="1" si="941"/>
        <v>HIMangel</v>
      </c>
      <c r="AB712" s="16" t="str">
        <f t="shared" ca="1" si="941"/>
        <v xml:space="preserve"> Unreasonable Capital</v>
      </c>
      <c r="AC712" s="16" t="str">
        <f t="shared" ca="1" si="941"/>
        <v xml:space="preserve"> Goodwell Investments</v>
      </c>
      <c r="AD712" s="16" t="str">
        <f t="shared" ca="1" si="941"/>
        <v xml:space="preserve"> Adlevo Capital</v>
      </c>
      <c r="AE712" s="16" t="str">
        <f t="shared" ca="1" si="941"/>
        <v xml:space="preserve"> Omidyar Network</v>
      </c>
      <c r="AF712" s="16">
        <f t="shared" si="941"/>
        <v>0</v>
      </c>
      <c r="AG712" s="16">
        <f t="shared" si="941"/>
        <v>0</v>
      </c>
      <c r="AH712" s="16">
        <f t="shared" si="941"/>
        <v>0</v>
      </c>
      <c r="AI712" s="16">
        <f t="shared" si="941"/>
        <v>0</v>
      </c>
      <c r="AJ712" s="16">
        <f t="shared" si="941"/>
        <v>0</v>
      </c>
      <c r="AK712" s="16">
        <f t="shared" si="941"/>
        <v>0</v>
      </c>
      <c r="AL712" s="16">
        <f t="shared" si="941"/>
        <v>0</v>
      </c>
      <c r="AM712" s="16">
        <f t="shared" si="941"/>
        <v>0</v>
      </c>
      <c r="AN712" s="16">
        <f t="shared" si="941"/>
        <v>0</v>
      </c>
      <c r="AO712" s="16">
        <f t="shared" si="941"/>
        <v>0</v>
      </c>
      <c r="AP712" s="10"/>
      <c r="AQ712" s="10"/>
      <c r="AR712" s="10"/>
      <c r="AS712" s="10" t="str">
        <f t="shared" ref="AS712" ca="1" si="963">IFERROR(__xludf.DUMMYFUNCTION("split(F710,"","",true,true)"),"HIMangel")</f>
        <v>HIMangel</v>
      </c>
      <c r="AT712" s="10" t="str">
        <f ca="1">IFERROR(__xludf.DUMMYFUNCTION("""COMPUTED_VALUE""")," Unreasonable Capital")</f>
        <v xml:space="preserve"> Unreasonable Capital</v>
      </c>
      <c r="AU712" s="10" t="str">
        <f ca="1">IFERROR(__xludf.DUMMYFUNCTION("""COMPUTED_VALUE""")," Goodwell Investments")</f>
        <v xml:space="preserve"> Goodwell Investments</v>
      </c>
      <c r="AV712" s="10" t="str">
        <f ca="1">IFERROR(__xludf.DUMMYFUNCTION("""COMPUTED_VALUE""")," Adlevo Capital")</f>
        <v xml:space="preserve"> Adlevo Capital</v>
      </c>
      <c r="AW712" s="10" t="str">
        <f ca="1">IFERROR(__xludf.DUMMYFUNCTION("""COMPUTED_VALUE""")," Omidyar Network")</f>
        <v xml:space="preserve"> Omidyar Network</v>
      </c>
      <c r="AX712" s="10"/>
      <c r="AY712" s="10"/>
      <c r="AZ712" s="10"/>
      <c r="BA712" s="10"/>
      <c r="BB712" s="10"/>
      <c r="BC712" s="10"/>
      <c r="BD712" s="10"/>
      <c r="BE712" s="10"/>
      <c r="BF712" s="10"/>
      <c r="BG712" s="10"/>
      <c r="BH712" s="10"/>
      <c r="BI712" s="10"/>
      <c r="BJ712" s="10"/>
      <c r="BK712" s="10"/>
      <c r="BM712" s="10"/>
    </row>
    <row r="713" spans="1:65" ht="12.75">
      <c r="A713" s="9">
        <v>43349</v>
      </c>
      <c r="B713" s="10" t="s">
        <v>1559</v>
      </c>
      <c r="C713" s="11">
        <v>2000</v>
      </c>
      <c r="D713" s="12"/>
      <c r="E713" s="14" t="s">
        <v>234</v>
      </c>
      <c r="F713" s="10" t="s">
        <v>49</v>
      </c>
      <c r="G713" s="13" t="s">
        <v>1560</v>
      </c>
      <c r="H713" s="14" t="str">
        <f t="array" ref="H713">IFERROR(INDEX([1]Companies!$G:$G,MATCH(B713,[1]Companies!$A:$A,0)),"")</f>
        <v>Nigeria</v>
      </c>
      <c r="I713" s="14" t="str">
        <f t="shared" si="955"/>
        <v>Nigeria</v>
      </c>
      <c r="J713" s="14" t="str">
        <f t="array" ref="J713">IFERROR(INDEX([1]Companies!$Y:$Y,MATCH(B713,[1]Companies!$A:$A,0)),"")</f>
        <v>Advertising, Artificial Intelligence, Digital Marketing, E-Commerce</v>
      </c>
      <c r="K713" s="14" t="str">
        <f t="array" ref="K713">IFERROR(INDEX([1]Companies!$X:$X,MATCH(B713,[1]Companies!$A:$A,0)),"")</f>
        <v>Media &amp; Entertainment</v>
      </c>
      <c r="L713" s="14" t="str">
        <f>VLOOKUP(B713,[1]Companies!$A$1:$C$5243,1,FALSE)</f>
        <v>Sendroid AI</v>
      </c>
      <c r="M713" s="15">
        <f t="shared" si="956"/>
        <v>0.9</v>
      </c>
      <c r="N713" s="10" t="str">
        <f t="shared" si="957"/>
        <v>43349Sendroid AI2000</v>
      </c>
      <c r="O713" s="14" t="str">
        <f t="shared" si="958"/>
        <v/>
      </c>
      <c r="P713" s="14">
        <f t="shared" si="959"/>
        <v>1</v>
      </c>
      <c r="Q713" s="14">
        <f t="array" ref="Q713">IFERROR(INDEX([1]Companies!$D:$D,MATCH(B713,[1]Companies!$A:$A,0)),"")</f>
        <v>2018</v>
      </c>
      <c r="R713" s="17">
        <f t="shared" si="960"/>
        <v>2000</v>
      </c>
      <c r="S713" s="14">
        <f>VLOOKUP(I713,[1]Lookups!$V$3:$Y$197,4,FALSE)</f>
        <v>0</v>
      </c>
      <c r="T713" s="14" t="str">
        <f>VLOOKUP(E713,[1]Lookups!$H$3:$I$71,2,FALSE)</f>
        <v>2. Seed</v>
      </c>
      <c r="U713" s="14" t="str">
        <f>VLOOKUP(K713,[1]Lookups!$B$3:$C$142,2,FALSE)</f>
        <v>Media &amp; Entertainment</v>
      </c>
      <c r="V713" s="14">
        <f t="shared" si="921"/>
        <v>2018</v>
      </c>
      <c r="W713" s="14">
        <f t="shared" si="922"/>
        <v>9</v>
      </c>
      <c r="X713" s="14">
        <f>VLOOKUP(W713,[1]Lookups!$P$3:$S$15,2,FALSE)</f>
        <v>3</v>
      </c>
      <c r="Y713" s="16">
        <f>VLOOKUP(W713,[1]Lookups!$P$3:$U$15,3,FALSE)</f>
        <v>2</v>
      </c>
      <c r="Z713" s="16">
        <f t="shared" si="923"/>
        <v>1</v>
      </c>
      <c r="AA713" s="16" t="str">
        <f t="shared" ca="1" si="941"/>
        <v>HIMangel</v>
      </c>
      <c r="AB713" s="16">
        <f t="shared" si="941"/>
        <v>0</v>
      </c>
      <c r="AC713" s="16">
        <f t="shared" si="941"/>
        <v>0</v>
      </c>
      <c r="AD713" s="16">
        <f t="shared" si="941"/>
        <v>0</v>
      </c>
      <c r="AE713" s="16">
        <f t="shared" si="941"/>
        <v>0</v>
      </c>
      <c r="AF713" s="16">
        <f t="shared" si="941"/>
        <v>0</v>
      </c>
      <c r="AG713" s="16">
        <f t="shared" si="941"/>
        <v>0</v>
      </c>
      <c r="AH713" s="16">
        <f t="shared" si="941"/>
        <v>0</v>
      </c>
      <c r="AI713" s="16">
        <f t="shared" si="941"/>
        <v>0</v>
      </c>
      <c r="AJ713" s="16">
        <f t="shared" si="941"/>
        <v>0</v>
      </c>
      <c r="AK713" s="16">
        <f t="shared" si="941"/>
        <v>0</v>
      </c>
      <c r="AL713" s="16">
        <f t="shared" si="941"/>
        <v>0</v>
      </c>
      <c r="AM713" s="16">
        <f t="shared" si="941"/>
        <v>0</v>
      </c>
      <c r="AN713" s="16">
        <f t="shared" si="941"/>
        <v>0</v>
      </c>
      <c r="AO713" s="16">
        <f t="shared" si="941"/>
        <v>0</v>
      </c>
      <c r="AP713" s="10"/>
      <c r="AQ713" s="10"/>
      <c r="AR713" s="10"/>
      <c r="AS713" s="10" t="str">
        <f t="shared" ref="AS713" ca="1" si="964">IFERROR(__xludf.DUMMYFUNCTION("split(F710,"","",true,true)"),"HIMangel")</f>
        <v>HIMangel</v>
      </c>
      <c r="AT713" s="10"/>
      <c r="AU713" s="10"/>
      <c r="AV713" s="10"/>
      <c r="AW713" s="10"/>
      <c r="AX713" s="10"/>
      <c r="AY713" s="10"/>
      <c r="AZ713" s="10"/>
      <c r="BA713" s="10"/>
      <c r="BB713" s="10"/>
      <c r="BC713" s="10"/>
      <c r="BD713" s="10"/>
      <c r="BE713" s="10"/>
      <c r="BF713" s="10"/>
      <c r="BG713" s="10"/>
      <c r="BH713" s="10"/>
      <c r="BI713" s="10"/>
      <c r="BJ713" s="10"/>
      <c r="BK713" s="10"/>
      <c r="BM713" s="10"/>
    </row>
    <row r="714" spans="1:65" ht="12.75">
      <c r="A714" s="18">
        <v>43351</v>
      </c>
      <c r="B714" s="14" t="s">
        <v>915</v>
      </c>
      <c r="C714" s="19">
        <v>75000</v>
      </c>
      <c r="D714" s="19"/>
      <c r="E714" s="14" t="s">
        <v>45</v>
      </c>
      <c r="F714" s="14" t="s">
        <v>1561</v>
      </c>
      <c r="G714" s="27" t="s">
        <v>1562</v>
      </c>
      <c r="H714" s="14" t="str">
        <f t="array" ref="H714">IFERROR(INDEX([1]Companies!$G:$G,MATCH(B714,[1]Companies!$A:$A,0)),"")</f>
        <v>Egypt</v>
      </c>
      <c r="I714" s="14" t="str">
        <f t="shared" si="955"/>
        <v>Egypt</v>
      </c>
      <c r="J714" s="14" t="str">
        <f t="array" ref="J714">IFERROR(INDEX([1]Companies!$Y:$Y,MATCH(B714,[1]Companies!$A:$A,0)),"")</f>
        <v>Blockchain, Hardware, Internet of Things, Software</v>
      </c>
      <c r="K714" s="14" t="str">
        <f t="array" ref="K714">IFERROR(INDEX([1]Companies!$X:$X,MATCH(B714,[1]Companies!$A:$A,0)),"")</f>
        <v>Emerging Technologies</v>
      </c>
      <c r="L714" s="14" t="str">
        <f>VLOOKUP(B714,[1]Companies!$A$1:$C$5243,1,FALSE)</f>
        <v>Elk</v>
      </c>
      <c r="M714" s="15">
        <f t="shared" si="956"/>
        <v>0.9</v>
      </c>
      <c r="N714" s="10" t="str">
        <f t="shared" si="957"/>
        <v>43351Elk75000</v>
      </c>
      <c r="O714" s="14" t="str">
        <f t="shared" si="958"/>
        <v/>
      </c>
      <c r="P714" s="14">
        <f t="shared" si="959"/>
        <v>1</v>
      </c>
      <c r="Q714" s="14">
        <f t="array" ref="Q714">IFERROR(INDEX([1]Companies!$D:$D,MATCH(B714,[1]Companies!$A:$A,0)),"")</f>
        <v>2017</v>
      </c>
      <c r="R714" s="17">
        <f t="shared" si="960"/>
        <v>325000</v>
      </c>
      <c r="S714" s="14">
        <f>VLOOKUP(I714,[1]Lookups!$V$3:$Y$197,4,FALSE)</f>
        <v>0</v>
      </c>
      <c r="T714" s="14" t="str">
        <f>VLOOKUP(E714,[1]Lookups!$H$3:$I$71,2,FALSE)</f>
        <v>2. Seed</v>
      </c>
      <c r="U714" s="14" t="str">
        <f>VLOOKUP(K714,[1]Lookups!$B$3:$C$142,2,FALSE)</f>
        <v>Emerging Technologies</v>
      </c>
      <c r="V714" s="14">
        <f t="shared" si="921"/>
        <v>2018</v>
      </c>
      <c r="W714" s="14">
        <f t="shared" si="922"/>
        <v>9</v>
      </c>
      <c r="X714" s="14">
        <f>VLOOKUP(W714,[1]Lookups!$P$3:$S$15,2,FALSE)</f>
        <v>3</v>
      </c>
      <c r="Y714" s="16">
        <f>VLOOKUP(W714,[1]Lookups!$P$3:$U$15,3,FALSE)</f>
        <v>2</v>
      </c>
      <c r="Z714" s="16">
        <f t="shared" si="923"/>
        <v>1</v>
      </c>
      <c r="AA714" s="16" t="str">
        <f t="shared" ca="1" si="941"/>
        <v>HIMangel</v>
      </c>
      <c r="AB714" s="16">
        <f t="shared" si="941"/>
        <v>0</v>
      </c>
      <c r="AC714" s="16">
        <f t="shared" si="941"/>
        <v>0</v>
      </c>
      <c r="AD714" s="16">
        <f t="shared" si="941"/>
        <v>0</v>
      </c>
      <c r="AE714" s="16">
        <f t="shared" si="941"/>
        <v>0</v>
      </c>
      <c r="AF714" s="16">
        <f t="shared" si="941"/>
        <v>0</v>
      </c>
      <c r="AG714" s="16">
        <f t="shared" si="941"/>
        <v>0</v>
      </c>
      <c r="AH714" s="16">
        <f t="shared" si="941"/>
        <v>0</v>
      </c>
      <c r="AI714" s="16">
        <f t="shared" si="941"/>
        <v>0</v>
      </c>
      <c r="AJ714" s="16">
        <f t="shared" si="941"/>
        <v>0</v>
      </c>
      <c r="AK714" s="16">
        <f t="shared" si="941"/>
        <v>0</v>
      </c>
      <c r="AL714" s="16">
        <f t="shared" si="941"/>
        <v>0</v>
      </c>
      <c r="AM714" s="16">
        <f t="shared" si="941"/>
        <v>0</v>
      </c>
      <c r="AN714" s="16">
        <f t="shared" si="941"/>
        <v>0</v>
      </c>
      <c r="AO714" s="16">
        <f t="shared" si="941"/>
        <v>0</v>
      </c>
      <c r="AP714" s="10"/>
      <c r="AQ714" s="10"/>
      <c r="AR714" s="10"/>
      <c r="AS714" s="10" t="str">
        <f t="shared" ref="AS714" ca="1" si="965">IFERROR(__xludf.DUMMYFUNCTION("split(F710,"","",true,true)"),"HIMangel")</f>
        <v>HIMangel</v>
      </c>
      <c r="AT714" s="10"/>
      <c r="AU714" s="10"/>
      <c r="AV714" s="10"/>
      <c r="AW714" s="10"/>
      <c r="AX714" s="10"/>
      <c r="AY714" s="10"/>
      <c r="AZ714" s="10"/>
      <c r="BA714" s="10"/>
      <c r="BB714" s="10"/>
      <c r="BC714" s="10"/>
      <c r="BD714" s="10"/>
      <c r="BE714" s="10"/>
      <c r="BF714" s="10"/>
      <c r="BG714" s="10"/>
      <c r="BH714" s="10"/>
      <c r="BI714" s="10"/>
      <c r="BJ714" s="10"/>
      <c r="BK714" s="10"/>
      <c r="BM714" s="10"/>
    </row>
    <row r="715" spans="1:65" ht="12.75">
      <c r="A715" s="9">
        <v>43352</v>
      </c>
      <c r="B715" s="10" t="s">
        <v>119</v>
      </c>
      <c r="C715" s="11">
        <v>16000000</v>
      </c>
      <c r="D715" s="12"/>
      <c r="E715" s="10" t="s">
        <v>51</v>
      </c>
      <c r="F715" s="10" t="s">
        <v>1563</v>
      </c>
      <c r="G715" s="13" t="s">
        <v>1564</v>
      </c>
      <c r="H715" s="14" t="str">
        <f t="array" ref="H715">IFERROR(INDEX([1]Companies!$G:$G,MATCH(B715,[1]Companies!$A:$A,0)),"")</f>
        <v>Kenya</v>
      </c>
      <c r="I715" s="14" t="str">
        <f t="shared" si="955"/>
        <v>Kenya</v>
      </c>
      <c r="J715" s="14" t="str">
        <f t="array" ref="J715">IFERROR(INDEX([1]Companies!$Y:$Y,MATCH(B715,[1]Companies!$A:$A,0)),"")</f>
        <v>Consumer Goods, Delivery, E-Commerce</v>
      </c>
      <c r="K715" s="14" t="str">
        <f t="array" ref="K715">IFERROR(INDEX([1]Companies!$X:$X,MATCH(B715,[1]Companies!$A:$A,0)),"")</f>
        <v>E-Commerce &amp; Retail</v>
      </c>
      <c r="L715" s="14" t="str">
        <f>VLOOKUP(B715,[1]Companies!$A$1:$C$5243,1,FALSE)</f>
        <v>Copia Global</v>
      </c>
      <c r="M715" s="15">
        <f t="shared" si="956"/>
        <v>0.9</v>
      </c>
      <c r="N715" s="10" t="str">
        <f t="shared" si="957"/>
        <v>43352Copia Global16000000</v>
      </c>
      <c r="O715" s="14" t="str">
        <f t="shared" si="958"/>
        <v/>
      </c>
      <c r="P715" s="14">
        <f t="shared" si="959"/>
        <v>1</v>
      </c>
      <c r="Q715" s="14">
        <f t="array" ref="Q715">IFERROR(INDEX([1]Companies!$D:$D,MATCH(B715,[1]Companies!$A:$A,0)),"")</f>
        <v>2012</v>
      </c>
      <c r="R715" s="17">
        <f t="shared" si="960"/>
        <v>22000000</v>
      </c>
      <c r="S715" s="14">
        <f>VLOOKUP(I715,[1]Lookups!$V$3:$Y$197,4,FALSE)</f>
        <v>0</v>
      </c>
      <c r="T715" s="14" t="str">
        <f>VLOOKUP(E715,[1]Lookups!$H$3:$I$71,2,FALSE)</f>
        <v>6. Private Equity</v>
      </c>
      <c r="U715" s="14" t="str">
        <f>VLOOKUP(K715,[1]Lookups!$B$3:$C$142,2,FALSE)</f>
        <v>E-commerce &amp; Retail</v>
      </c>
      <c r="V715" s="14">
        <f t="shared" si="921"/>
        <v>2018</v>
      </c>
      <c r="W715" s="14">
        <f t="shared" si="922"/>
        <v>9</v>
      </c>
      <c r="X715" s="14">
        <f>VLOOKUP(W715,[1]Lookups!$P$3:$S$15,2,FALSE)</f>
        <v>3</v>
      </c>
      <c r="Y715" s="16">
        <f>VLOOKUP(W715,[1]Lookups!$P$3:$U$15,3,FALSE)</f>
        <v>2</v>
      </c>
      <c r="Z715" s="16">
        <f t="shared" si="923"/>
        <v>1</v>
      </c>
      <c r="AA715" s="16" t="str">
        <f t="shared" ca="1" si="941"/>
        <v>HIMangel</v>
      </c>
      <c r="AB715" s="16">
        <f t="shared" si="941"/>
        <v>0</v>
      </c>
      <c r="AC715" s="16">
        <f t="shared" si="941"/>
        <v>0</v>
      </c>
      <c r="AD715" s="16">
        <f t="shared" si="941"/>
        <v>0</v>
      </c>
      <c r="AE715" s="16">
        <f t="shared" si="941"/>
        <v>0</v>
      </c>
      <c r="AF715" s="16">
        <f t="shared" si="941"/>
        <v>0</v>
      </c>
      <c r="AG715" s="16">
        <f t="shared" si="941"/>
        <v>0</v>
      </c>
      <c r="AH715" s="16">
        <f t="shared" si="941"/>
        <v>0</v>
      </c>
      <c r="AI715" s="16">
        <f t="shared" si="941"/>
        <v>0</v>
      </c>
      <c r="AJ715" s="16">
        <f t="shared" si="941"/>
        <v>0</v>
      </c>
      <c r="AK715" s="16">
        <f t="shared" si="941"/>
        <v>0</v>
      </c>
      <c r="AL715" s="16">
        <f t="shared" si="941"/>
        <v>0</v>
      </c>
      <c r="AM715" s="16">
        <f t="shared" si="941"/>
        <v>0</v>
      </c>
      <c r="AN715" s="16">
        <f t="shared" si="941"/>
        <v>0</v>
      </c>
      <c r="AO715" s="16">
        <f t="shared" si="941"/>
        <v>0</v>
      </c>
      <c r="AP715" s="10"/>
      <c r="AQ715" s="10"/>
      <c r="AR715" s="10"/>
      <c r="AS715" s="10" t="str">
        <f t="shared" ref="AS715" ca="1" si="966">IFERROR(__xludf.DUMMYFUNCTION("split(F710,"","",true,true)"),"HIMangel")</f>
        <v>HIMangel</v>
      </c>
      <c r="AT715" s="10"/>
      <c r="AU715" s="10"/>
      <c r="AV715" s="10"/>
      <c r="AW715" s="10"/>
      <c r="AX715" s="10"/>
      <c r="AY715" s="10"/>
      <c r="AZ715" s="10"/>
      <c r="BA715" s="10"/>
      <c r="BB715" s="10"/>
      <c r="BC715" s="10"/>
      <c r="BD715" s="10"/>
      <c r="BE715" s="10"/>
      <c r="BF715" s="10"/>
      <c r="BG715" s="10"/>
      <c r="BH715" s="10"/>
      <c r="BI715" s="10"/>
      <c r="BJ715" s="10"/>
      <c r="BK715" s="10"/>
      <c r="BM715" s="10"/>
    </row>
    <row r="716" spans="1:65" ht="12.75">
      <c r="A716" s="9">
        <v>43352</v>
      </c>
      <c r="B716" s="10" t="s">
        <v>1565</v>
      </c>
      <c r="C716" s="11">
        <v>100000</v>
      </c>
      <c r="D716" s="12"/>
      <c r="E716" s="10" t="s">
        <v>45</v>
      </c>
      <c r="F716" s="10" t="s">
        <v>49</v>
      </c>
      <c r="G716" s="13" t="s">
        <v>1566</v>
      </c>
      <c r="H716" s="14" t="str">
        <f t="array" ref="H716">IFERROR(INDEX([1]Companies!$G:$G,MATCH(B716,[1]Companies!$A:$A,0)),"")</f>
        <v>Egypt</v>
      </c>
      <c r="I716" s="14" t="str">
        <f t="shared" si="955"/>
        <v>Egypt</v>
      </c>
      <c r="J716" s="14" t="str">
        <f t="array" ref="J716">IFERROR(INDEX([1]Companies!$Y:$Y,MATCH(B716,[1]Companies!$A:$A,0)),"")</f>
        <v>Logistics, Mobile Apps, Transportation</v>
      </c>
      <c r="K716" s="14" t="str">
        <f t="array" ref="K716">IFERROR(INDEX([1]Companies!$X:$X,MATCH(B716,[1]Companies!$A:$A,0)),"")</f>
        <v>Transport &amp; Logistics</v>
      </c>
      <c r="L716" s="14" t="str">
        <f>VLOOKUP(B716,[1]Companies!$A$1:$C$5243,1,FALSE)</f>
        <v>Hovo</v>
      </c>
      <c r="M716" s="15">
        <f t="shared" si="956"/>
        <v>0.9</v>
      </c>
      <c r="N716" s="10" t="str">
        <f t="shared" si="957"/>
        <v>43352Hovo100000</v>
      </c>
      <c r="O716" s="14" t="str">
        <f t="shared" si="958"/>
        <v/>
      </c>
      <c r="P716" s="14">
        <f t="shared" si="959"/>
        <v>1</v>
      </c>
      <c r="Q716" s="14">
        <f t="array" ref="Q716">IFERROR(INDEX([1]Companies!$D:$D,MATCH(B716,[1]Companies!$A:$A,0)),"")</f>
        <v>2018</v>
      </c>
      <c r="R716" s="17">
        <f t="shared" si="960"/>
        <v>100000</v>
      </c>
      <c r="S716" s="14">
        <f>VLOOKUP(I716,[1]Lookups!$V$3:$Y$197,4,FALSE)</f>
        <v>0</v>
      </c>
      <c r="T716" s="14" t="str">
        <f>VLOOKUP(E716,[1]Lookups!$H$3:$I$71,2,FALSE)</f>
        <v>2. Seed</v>
      </c>
      <c r="U716" s="14" t="str">
        <f>VLOOKUP(K716,[1]Lookups!$B$3:$C$142,2,FALSE)</f>
        <v>Transport &amp; Logistics</v>
      </c>
      <c r="V716" s="14">
        <f t="shared" si="921"/>
        <v>2018</v>
      </c>
      <c r="W716" s="14">
        <f t="shared" si="922"/>
        <v>9</v>
      </c>
      <c r="X716" s="14">
        <f>VLOOKUP(W716,[1]Lookups!$P$3:$S$15,2,FALSE)</f>
        <v>3</v>
      </c>
      <c r="Y716" s="16">
        <f>VLOOKUP(W716,[1]Lookups!$P$3:$U$15,3,FALSE)</f>
        <v>2</v>
      </c>
      <c r="Z716" s="16">
        <f t="shared" si="923"/>
        <v>1</v>
      </c>
      <c r="AA716" s="16" t="str">
        <f t="shared" ref="AA716:AO731" ca="1" si="967">AS716</f>
        <v>HIMangel</v>
      </c>
      <c r="AB716" s="16">
        <f t="shared" si="967"/>
        <v>0</v>
      </c>
      <c r="AC716" s="16">
        <f t="shared" si="967"/>
        <v>0</v>
      </c>
      <c r="AD716" s="16">
        <f t="shared" si="967"/>
        <v>0</v>
      </c>
      <c r="AE716" s="16">
        <f t="shared" si="967"/>
        <v>0</v>
      </c>
      <c r="AF716" s="16">
        <f t="shared" si="967"/>
        <v>0</v>
      </c>
      <c r="AG716" s="16">
        <f t="shared" si="967"/>
        <v>0</v>
      </c>
      <c r="AH716" s="16">
        <f t="shared" si="967"/>
        <v>0</v>
      </c>
      <c r="AI716" s="16">
        <f t="shared" si="967"/>
        <v>0</v>
      </c>
      <c r="AJ716" s="16">
        <f t="shared" si="967"/>
        <v>0</v>
      </c>
      <c r="AK716" s="16">
        <f t="shared" si="967"/>
        <v>0</v>
      </c>
      <c r="AL716" s="16">
        <f t="shared" si="967"/>
        <v>0</v>
      </c>
      <c r="AM716" s="16">
        <f t="shared" si="967"/>
        <v>0</v>
      </c>
      <c r="AN716" s="16">
        <f t="shared" si="967"/>
        <v>0</v>
      </c>
      <c r="AO716" s="16">
        <f t="shared" si="967"/>
        <v>0</v>
      </c>
      <c r="AP716" s="10"/>
      <c r="AQ716" s="10"/>
      <c r="AR716" s="10"/>
      <c r="AS716" s="10" t="str">
        <f t="shared" ref="AS716" ca="1" si="968">IFERROR(__xludf.DUMMYFUNCTION("split(F710,"","",true,true)"),"HIMangel")</f>
        <v>HIMangel</v>
      </c>
      <c r="AT716" s="10"/>
      <c r="AU716" s="10"/>
      <c r="AV716" s="10"/>
      <c r="AW716" s="10"/>
      <c r="AX716" s="10"/>
      <c r="AY716" s="10"/>
      <c r="AZ716" s="10"/>
      <c r="BA716" s="10"/>
      <c r="BB716" s="10"/>
      <c r="BC716" s="10"/>
      <c r="BD716" s="10"/>
      <c r="BE716" s="10"/>
      <c r="BF716" s="10"/>
      <c r="BG716" s="10"/>
      <c r="BH716" s="10"/>
      <c r="BI716" s="10"/>
      <c r="BJ716" s="10"/>
      <c r="BK716" s="10"/>
      <c r="BM716" s="10"/>
    </row>
    <row r="717" spans="1:65" ht="12.75">
      <c r="A717" s="18">
        <v>43353</v>
      </c>
      <c r="B717" s="14" t="s">
        <v>1567</v>
      </c>
      <c r="C717" s="19">
        <v>167000</v>
      </c>
      <c r="D717" s="19"/>
      <c r="E717" s="14" t="s">
        <v>45</v>
      </c>
      <c r="F717" s="14" t="s">
        <v>1568</v>
      </c>
      <c r="G717" s="27" t="s">
        <v>1569</v>
      </c>
      <c r="H717" s="14" t="str">
        <f t="array" ref="H717">IFERROR(INDEX([1]Companies!$G:$G,MATCH(B717,[1]Companies!$A:$A,0)),"")</f>
        <v>Tunisia</v>
      </c>
      <c r="I717" s="14" t="str">
        <f t="shared" si="955"/>
        <v>Tunisia</v>
      </c>
      <c r="J717" s="14" t="str">
        <f t="array" ref="J717">IFERROR(INDEX([1]Companies!$Y:$Y,MATCH(B717,[1]Companies!$A:$A,0)),"")</f>
        <v>Invoicing, Cloud App, Accounting, Entrepreneurship, Billing, Payroll Management, Inventory Management, Digitalization of Paperwork, and Financial Technology</v>
      </c>
      <c r="K717" s="14" t="str">
        <f t="array" ref="K717">IFERROR(INDEX([1]Companies!$X:$X,MATCH(B717,[1]Companies!$A:$A,0)),"")</f>
        <v>Financial Services</v>
      </c>
      <c r="L717" s="14" t="str">
        <f>VLOOKUP(B717,[1]Companies!$A$1:$C$5243,1,FALSE)</f>
        <v>Swiver</v>
      </c>
      <c r="M717" s="15">
        <f t="shared" si="956"/>
        <v>0.9</v>
      </c>
      <c r="N717" s="10" t="str">
        <f t="shared" si="957"/>
        <v>43353Swiver167000</v>
      </c>
      <c r="O717" s="14" t="str">
        <f t="shared" si="958"/>
        <v/>
      </c>
      <c r="P717" s="14">
        <f t="shared" si="959"/>
        <v>1</v>
      </c>
      <c r="Q717" s="14">
        <f t="array" ref="Q717">IFERROR(INDEX([1]Companies!$D:$D,MATCH(B717,[1]Companies!$A:$A,0)),"")</f>
        <v>2016</v>
      </c>
      <c r="R717" s="17">
        <f t="shared" si="960"/>
        <v>167000</v>
      </c>
      <c r="S717" s="14">
        <f>VLOOKUP(I717,[1]Lookups!$V$3:$Y$197,4,FALSE)</f>
        <v>0</v>
      </c>
      <c r="T717" s="14" t="str">
        <f>VLOOKUP(E717,[1]Lookups!$H$3:$I$71,2,FALSE)</f>
        <v>2. Seed</v>
      </c>
      <c r="U717" s="14" t="str">
        <f>VLOOKUP(K717,[1]Lookups!$B$3:$C$142,2,FALSE)</f>
        <v>Financial Services</v>
      </c>
      <c r="V717" s="14">
        <f t="shared" si="921"/>
        <v>2018</v>
      </c>
      <c r="W717" s="14">
        <f t="shared" si="922"/>
        <v>9</v>
      </c>
      <c r="X717" s="14">
        <f>VLOOKUP(W717,[1]Lookups!$P$3:$S$15,2,FALSE)</f>
        <v>3</v>
      </c>
      <c r="Y717" s="16">
        <f>VLOOKUP(W717,[1]Lookups!$P$3:$U$15,3,FALSE)</f>
        <v>2</v>
      </c>
      <c r="Z717" s="16">
        <f t="shared" si="923"/>
        <v>1</v>
      </c>
      <c r="AA717" s="16" t="str">
        <f t="shared" ca="1" si="967"/>
        <v>HIMangel</v>
      </c>
      <c r="AB717" s="16">
        <f t="shared" si="967"/>
        <v>0</v>
      </c>
      <c r="AC717" s="16">
        <f t="shared" si="967"/>
        <v>0</v>
      </c>
      <c r="AD717" s="16">
        <f t="shared" si="967"/>
        <v>0</v>
      </c>
      <c r="AE717" s="16">
        <f t="shared" si="967"/>
        <v>0</v>
      </c>
      <c r="AF717" s="16">
        <f t="shared" si="967"/>
        <v>0</v>
      </c>
      <c r="AG717" s="16">
        <f t="shared" si="967"/>
        <v>0</v>
      </c>
      <c r="AH717" s="16">
        <f t="shared" si="967"/>
        <v>0</v>
      </c>
      <c r="AI717" s="16">
        <f t="shared" si="967"/>
        <v>0</v>
      </c>
      <c r="AJ717" s="16">
        <f t="shared" si="967"/>
        <v>0</v>
      </c>
      <c r="AK717" s="16">
        <f t="shared" si="967"/>
        <v>0</v>
      </c>
      <c r="AL717" s="16">
        <f t="shared" si="967"/>
        <v>0</v>
      </c>
      <c r="AM717" s="16">
        <f t="shared" si="967"/>
        <v>0</v>
      </c>
      <c r="AN717" s="16">
        <f t="shared" si="967"/>
        <v>0</v>
      </c>
      <c r="AO717" s="16">
        <f t="shared" si="967"/>
        <v>0</v>
      </c>
      <c r="AP717" s="10"/>
      <c r="AQ717" s="10"/>
      <c r="AR717" s="10"/>
      <c r="AS717" s="10" t="str">
        <f t="shared" ref="AS717" ca="1" si="969">IFERROR(__xludf.DUMMYFUNCTION("split(F710,"","",true,true)"),"HIMangel")</f>
        <v>HIMangel</v>
      </c>
      <c r="AT717" s="10"/>
      <c r="AU717" s="10"/>
      <c r="AV717" s="10"/>
      <c r="AW717" s="10"/>
      <c r="AX717" s="10"/>
      <c r="AY717" s="10"/>
      <c r="AZ717" s="10"/>
      <c r="BA717" s="10"/>
      <c r="BB717" s="10"/>
      <c r="BC717" s="10"/>
      <c r="BD717" s="10"/>
      <c r="BE717" s="10"/>
      <c r="BF717" s="10"/>
      <c r="BG717" s="10"/>
      <c r="BH717" s="10"/>
      <c r="BI717" s="10"/>
      <c r="BJ717" s="10"/>
      <c r="BK717" s="10"/>
      <c r="BM717" s="10"/>
    </row>
    <row r="718" spans="1:65" ht="12.75">
      <c r="A718" s="18">
        <v>43353</v>
      </c>
      <c r="B718" s="14" t="s">
        <v>1570</v>
      </c>
      <c r="C718" s="19">
        <v>150000</v>
      </c>
      <c r="D718" s="19"/>
      <c r="E718" s="14" t="s">
        <v>45</v>
      </c>
      <c r="F718" s="14" t="s">
        <v>741</v>
      </c>
      <c r="G718" s="27" t="s">
        <v>1571</v>
      </c>
      <c r="H718" s="14" t="str">
        <f t="array" ref="H718">IFERROR(INDEX([1]Companies!$G:$G,MATCH(B718,[1]Companies!$A:$A,0)),"")</f>
        <v>Kenya</v>
      </c>
      <c r="I718" s="14" t="str">
        <f t="shared" si="955"/>
        <v>Kenya</v>
      </c>
      <c r="J718" s="14">
        <f t="array" ref="J718">IFERROR(INDEX([1]Companies!$Y:$Y,MATCH(B718,[1]Companies!$A:$A,0)),"")</f>
        <v>0</v>
      </c>
      <c r="K718" s="14" t="str">
        <f t="array" ref="K718">IFERROR(INDEX([1]Companies!$X:$X,MATCH(B718,[1]Companies!$A:$A,0)),"")</f>
        <v>Financial Services</v>
      </c>
      <c r="L718" s="14" t="str">
        <f>VLOOKUP(B718,[1]Companies!$A$1:$C$5243,1,FALSE)</f>
        <v>FinAccess</v>
      </c>
      <c r="M718" s="15">
        <f t="shared" si="956"/>
        <v>0.9</v>
      </c>
      <c r="N718" s="10" t="str">
        <f t="shared" si="957"/>
        <v>43353FinAccess150000</v>
      </c>
      <c r="O718" s="14" t="str">
        <f t="shared" si="958"/>
        <v/>
      </c>
      <c r="P718" s="14">
        <f t="shared" si="959"/>
        <v>1</v>
      </c>
      <c r="Q718" s="14">
        <f t="array" ref="Q718">IFERROR(INDEX([1]Companies!$D:$D,MATCH(B718,[1]Companies!$A:$A,0)),"")</f>
        <v>2009</v>
      </c>
      <c r="R718" s="17">
        <f t="shared" si="960"/>
        <v>150000</v>
      </c>
      <c r="S718" s="14">
        <f>VLOOKUP(I718,[1]Lookups!$V$3:$Y$197,4,FALSE)</f>
        <v>0</v>
      </c>
      <c r="T718" s="14" t="str">
        <f>VLOOKUP(E718,[1]Lookups!$H$3:$I$71,2,FALSE)</f>
        <v>2. Seed</v>
      </c>
      <c r="U718" s="14" t="str">
        <f>VLOOKUP(K718,[1]Lookups!$B$3:$C$142,2,FALSE)</f>
        <v>Financial Services</v>
      </c>
      <c r="V718" s="14">
        <f t="shared" si="921"/>
        <v>2018</v>
      </c>
      <c r="W718" s="14">
        <f t="shared" si="922"/>
        <v>9</v>
      </c>
      <c r="X718" s="14">
        <f>VLOOKUP(W718,[1]Lookups!$P$3:$S$15,2,FALSE)</f>
        <v>3</v>
      </c>
      <c r="Y718" s="16">
        <f>VLOOKUP(W718,[1]Lookups!$P$3:$U$15,3,FALSE)</f>
        <v>2</v>
      </c>
      <c r="Z718" s="16">
        <f t="shared" si="923"/>
        <v>1</v>
      </c>
      <c r="AA718" s="16" t="str">
        <f t="shared" ca="1" si="967"/>
        <v>HIMangel</v>
      </c>
      <c r="AB718" s="16">
        <f t="shared" si="967"/>
        <v>0</v>
      </c>
      <c r="AC718" s="16">
        <f t="shared" si="967"/>
        <v>0</v>
      </c>
      <c r="AD718" s="16">
        <f t="shared" si="967"/>
        <v>0</v>
      </c>
      <c r="AE718" s="16">
        <f t="shared" si="967"/>
        <v>0</v>
      </c>
      <c r="AF718" s="16">
        <f t="shared" si="967"/>
        <v>0</v>
      </c>
      <c r="AG718" s="16">
        <f t="shared" si="967"/>
        <v>0</v>
      </c>
      <c r="AH718" s="16">
        <f t="shared" si="967"/>
        <v>0</v>
      </c>
      <c r="AI718" s="16">
        <f t="shared" si="967"/>
        <v>0</v>
      </c>
      <c r="AJ718" s="16">
        <f t="shared" si="967"/>
        <v>0</v>
      </c>
      <c r="AK718" s="16">
        <f t="shared" si="967"/>
        <v>0</v>
      </c>
      <c r="AL718" s="16">
        <f t="shared" si="967"/>
        <v>0</v>
      </c>
      <c r="AM718" s="16">
        <f t="shared" si="967"/>
        <v>0</v>
      </c>
      <c r="AN718" s="16">
        <f t="shared" si="967"/>
        <v>0</v>
      </c>
      <c r="AO718" s="16">
        <f t="shared" si="967"/>
        <v>0</v>
      </c>
      <c r="AP718" s="10"/>
      <c r="AQ718" s="10"/>
      <c r="AR718" s="10"/>
      <c r="AS718" s="10" t="str">
        <f t="shared" ref="AS718" ca="1" si="970">IFERROR(__xludf.DUMMYFUNCTION("split(F710,"","",true,true)"),"HIMangel")</f>
        <v>HIMangel</v>
      </c>
      <c r="AT718" s="10"/>
      <c r="AU718" s="10"/>
      <c r="AV718" s="10"/>
      <c r="AW718" s="10"/>
      <c r="AX718" s="10"/>
      <c r="AY718" s="10"/>
      <c r="AZ718" s="10"/>
      <c r="BA718" s="10"/>
      <c r="BB718" s="10"/>
      <c r="BC718" s="10"/>
      <c r="BD718" s="10"/>
      <c r="BE718" s="10"/>
      <c r="BF718" s="10"/>
      <c r="BG718" s="10"/>
      <c r="BH718" s="10"/>
      <c r="BI718" s="10"/>
      <c r="BJ718" s="10"/>
      <c r="BK718" s="10"/>
      <c r="BM718" s="10"/>
    </row>
    <row r="719" spans="1:65" ht="12.75">
      <c r="A719" s="18">
        <v>43353</v>
      </c>
      <c r="B719" s="21" t="s">
        <v>1572</v>
      </c>
      <c r="C719" s="19">
        <v>150000</v>
      </c>
      <c r="D719" s="19"/>
      <c r="E719" s="14" t="s">
        <v>45</v>
      </c>
      <c r="F719" s="14" t="s">
        <v>741</v>
      </c>
      <c r="G719" s="27" t="s">
        <v>1571</v>
      </c>
      <c r="H719" s="14" t="str">
        <f t="array" ref="H719">IFERROR(INDEX([1]Companies!$G:$G,MATCH(B719,[1]Companies!$A:$A,0)),"")</f>
        <v>Tunisia</v>
      </c>
      <c r="I719" s="14" t="str">
        <f t="shared" si="955"/>
        <v>Tunisia</v>
      </c>
      <c r="J719" s="14" t="str">
        <f t="array" ref="J719">IFERROR(INDEX([1]Companies!$Y:$Y,MATCH(B719,[1]Companies!$A:$A,0)),"")</f>
        <v>Technology and Software Development, Web Development, Data Security, Microservices, Technology Staffing, Blockchain, Data Science, Machine Learning, Cloud Services, Social Impact, and Talent Development</v>
      </c>
      <c r="K719" s="14" t="str">
        <f t="array" ref="K719">IFERROR(INDEX([1]Companies!$X:$X,MATCH(B719,[1]Companies!$A:$A,0)),"")</f>
        <v>Information Technology</v>
      </c>
      <c r="L719" s="21" t="str">
        <f>VLOOKUP(B719,[1]Companies!$A$1:$C$5243,1,FALSE)</f>
        <v>Think.IT</v>
      </c>
      <c r="M719" s="15">
        <f t="shared" si="956"/>
        <v>0.9</v>
      </c>
      <c r="N719" s="10" t="str">
        <f t="shared" si="957"/>
        <v>43353Think.IT150000</v>
      </c>
      <c r="O719" s="14" t="str">
        <f t="shared" si="958"/>
        <v/>
      </c>
      <c r="P719" s="14">
        <f t="shared" si="959"/>
        <v>1</v>
      </c>
      <c r="Q719" s="14">
        <f t="array" ref="Q719">IFERROR(INDEX([1]Companies!$D:$D,MATCH(B719,[1]Companies!$A:$A,0)),"")</f>
        <v>2017</v>
      </c>
      <c r="R719" s="17">
        <f t="shared" si="960"/>
        <v>150000</v>
      </c>
      <c r="S719" s="14">
        <f>VLOOKUP(I719,[1]Lookups!$V$3:$Y$197,4,FALSE)</f>
        <v>0</v>
      </c>
      <c r="T719" s="14" t="str">
        <f>VLOOKUP(E719,[1]Lookups!$H$3:$I$71,2,FALSE)</f>
        <v>2. Seed</v>
      </c>
      <c r="U719" s="14" t="str">
        <f>VLOOKUP(K719,[1]Lookups!$B$3:$C$142,2,FALSE)</f>
        <v>Other Technologies &amp; Information Technology</v>
      </c>
      <c r="V719" s="14">
        <f t="shared" si="921"/>
        <v>2018</v>
      </c>
      <c r="W719" s="14">
        <f t="shared" si="922"/>
        <v>9</v>
      </c>
      <c r="X719" s="14">
        <f>VLOOKUP(W719,[1]Lookups!$P$3:$S$15,2,FALSE)</f>
        <v>3</v>
      </c>
      <c r="Y719" s="16">
        <f>VLOOKUP(W719,[1]Lookups!$P$3:$U$15,3,FALSE)</f>
        <v>2</v>
      </c>
      <c r="Z719" s="16">
        <f t="shared" si="923"/>
        <v>1</v>
      </c>
      <c r="AA719" s="16" t="str">
        <f t="shared" ca="1" si="967"/>
        <v>HIMangel</v>
      </c>
      <c r="AB719" s="16">
        <f t="shared" si="967"/>
        <v>0</v>
      </c>
      <c r="AC719" s="16">
        <f t="shared" si="967"/>
        <v>0</v>
      </c>
      <c r="AD719" s="16">
        <f t="shared" si="967"/>
        <v>0</v>
      </c>
      <c r="AE719" s="16">
        <f t="shared" si="967"/>
        <v>0</v>
      </c>
      <c r="AF719" s="16">
        <f t="shared" si="967"/>
        <v>0</v>
      </c>
      <c r="AG719" s="16">
        <f t="shared" si="967"/>
        <v>0</v>
      </c>
      <c r="AH719" s="16">
        <f t="shared" si="967"/>
        <v>0</v>
      </c>
      <c r="AI719" s="16">
        <f t="shared" si="967"/>
        <v>0</v>
      </c>
      <c r="AJ719" s="16">
        <f t="shared" si="967"/>
        <v>0</v>
      </c>
      <c r="AK719" s="16">
        <f t="shared" si="967"/>
        <v>0</v>
      </c>
      <c r="AL719" s="16">
        <f t="shared" si="967"/>
        <v>0</v>
      </c>
      <c r="AM719" s="16">
        <f t="shared" si="967"/>
        <v>0</v>
      </c>
      <c r="AN719" s="16">
        <f t="shared" si="967"/>
        <v>0</v>
      </c>
      <c r="AO719" s="16">
        <f t="shared" si="967"/>
        <v>0</v>
      </c>
      <c r="AP719" s="10"/>
      <c r="AQ719" s="10"/>
      <c r="AR719" s="10"/>
      <c r="AS719" s="10" t="str">
        <f t="shared" ref="AS719" ca="1" si="971">IFERROR(__xludf.DUMMYFUNCTION("split(F710,"","",true,true)"),"HIMangel")</f>
        <v>HIMangel</v>
      </c>
      <c r="AT719" s="10"/>
      <c r="AU719" s="10"/>
      <c r="AV719" s="10"/>
      <c r="AW719" s="10"/>
      <c r="AX719" s="10"/>
      <c r="AY719" s="10"/>
      <c r="AZ719" s="10"/>
      <c r="BA719" s="10"/>
      <c r="BB719" s="10"/>
      <c r="BC719" s="10"/>
      <c r="BD719" s="10"/>
      <c r="BE719" s="10"/>
      <c r="BF719" s="10"/>
      <c r="BG719" s="10"/>
      <c r="BH719" s="10"/>
      <c r="BI719" s="10"/>
      <c r="BJ719" s="10"/>
      <c r="BK719" s="10"/>
      <c r="BM719" s="10"/>
    </row>
    <row r="720" spans="1:65" ht="12.75">
      <c r="A720" s="18">
        <v>43353</v>
      </c>
      <c r="B720" s="14" t="s">
        <v>1573</v>
      </c>
      <c r="C720" s="19">
        <v>150000</v>
      </c>
      <c r="D720" s="19"/>
      <c r="E720" s="14" t="s">
        <v>45</v>
      </c>
      <c r="F720" s="14" t="s">
        <v>741</v>
      </c>
      <c r="G720" s="27" t="s">
        <v>1571</v>
      </c>
      <c r="H720" s="14" t="str">
        <f t="array" ref="H720">IFERROR(INDEX([1]Companies!$G:$G,MATCH(B720,[1]Companies!$A:$A,0)),"")</f>
        <v>Egypt</v>
      </c>
      <c r="I720" s="14" t="str">
        <f t="shared" si="955"/>
        <v>Egypt</v>
      </c>
      <c r="J720" s="14" t="str">
        <f t="array" ref="J720">IFERROR(INDEX([1]Companies!$Y:$Y,MATCH(B720,[1]Companies!$A:$A,0)),"")</f>
        <v>3D Technology, Content Creators, EdTech, Education, Simulation, Virtual Reality</v>
      </c>
      <c r="K720" s="14" t="str">
        <f t="array" ref="K720">IFERROR(INDEX([1]Companies!$X:$X,MATCH(B720,[1]Companies!$A:$A,0)),"")</f>
        <v>Education</v>
      </c>
      <c r="L720" s="14" t="str">
        <f>VLOOKUP(B720,[1]Companies!$A$1:$C$5243,1,FALSE)</f>
        <v>Praxilabs</v>
      </c>
      <c r="M720" s="15">
        <f t="shared" si="956"/>
        <v>0.9</v>
      </c>
      <c r="N720" s="10" t="str">
        <f t="shared" si="957"/>
        <v>43353PraxiLabs150000</v>
      </c>
      <c r="O720" s="14" t="str">
        <f t="shared" si="958"/>
        <v/>
      </c>
      <c r="P720" s="14">
        <f t="shared" si="959"/>
        <v>1</v>
      </c>
      <c r="Q720" s="14">
        <f t="array" ref="Q720">IFERROR(INDEX([1]Companies!$D:$D,MATCH(B720,[1]Companies!$A:$A,0)),"")</f>
        <v>2016</v>
      </c>
      <c r="R720" s="17">
        <f t="shared" si="960"/>
        <v>150000</v>
      </c>
      <c r="S720" s="14">
        <f>VLOOKUP(I720,[1]Lookups!$V$3:$Y$197,4,FALSE)</f>
        <v>0</v>
      </c>
      <c r="T720" s="14" t="str">
        <f>VLOOKUP(E720,[1]Lookups!$H$3:$I$71,2,FALSE)</f>
        <v>2. Seed</v>
      </c>
      <c r="U720" s="14" t="str">
        <f>VLOOKUP(K720,[1]Lookups!$B$3:$C$142,2,FALSE)</f>
        <v>Education</v>
      </c>
      <c r="V720" s="14">
        <f t="shared" si="921"/>
        <v>2018</v>
      </c>
      <c r="W720" s="14">
        <f t="shared" si="922"/>
        <v>9</v>
      </c>
      <c r="X720" s="14">
        <f>VLOOKUP(W720,[1]Lookups!$P$3:$S$15,2,FALSE)</f>
        <v>3</v>
      </c>
      <c r="Y720" s="16">
        <f>VLOOKUP(W720,[1]Lookups!$P$3:$U$15,3,FALSE)</f>
        <v>2</v>
      </c>
      <c r="Z720" s="16">
        <f t="shared" si="923"/>
        <v>1</v>
      </c>
      <c r="AA720" s="16" t="str">
        <f t="shared" ca="1" si="967"/>
        <v>HIMangel</v>
      </c>
      <c r="AB720" s="16">
        <f t="shared" si="967"/>
        <v>0</v>
      </c>
      <c r="AC720" s="16">
        <f t="shared" si="967"/>
        <v>0</v>
      </c>
      <c r="AD720" s="16">
        <f t="shared" si="967"/>
        <v>0</v>
      </c>
      <c r="AE720" s="16">
        <f t="shared" si="967"/>
        <v>0</v>
      </c>
      <c r="AF720" s="16">
        <f t="shared" si="967"/>
        <v>0</v>
      </c>
      <c r="AG720" s="16">
        <f t="shared" si="967"/>
        <v>0</v>
      </c>
      <c r="AH720" s="16">
        <f t="shared" si="967"/>
        <v>0</v>
      </c>
      <c r="AI720" s="16">
        <f t="shared" si="967"/>
        <v>0</v>
      </c>
      <c r="AJ720" s="16">
        <f t="shared" si="967"/>
        <v>0</v>
      </c>
      <c r="AK720" s="16">
        <f t="shared" si="967"/>
        <v>0</v>
      </c>
      <c r="AL720" s="16">
        <f t="shared" si="967"/>
        <v>0</v>
      </c>
      <c r="AM720" s="16">
        <f t="shared" si="967"/>
        <v>0</v>
      </c>
      <c r="AN720" s="16">
        <f t="shared" si="967"/>
        <v>0</v>
      </c>
      <c r="AO720" s="16">
        <f t="shared" si="967"/>
        <v>0</v>
      </c>
      <c r="AP720" s="10"/>
      <c r="AQ720" s="10"/>
      <c r="AR720" s="10"/>
      <c r="AS720" s="10" t="str">
        <f t="shared" ref="AS720" ca="1" si="972">IFERROR(__xludf.DUMMYFUNCTION("split(F710,"","",true,true)"),"HIMangel")</f>
        <v>HIMangel</v>
      </c>
      <c r="AT720" s="10"/>
      <c r="AU720" s="10"/>
      <c r="AV720" s="10"/>
      <c r="AW720" s="10"/>
      <c r="AX720" s="10"/>
      <c r="AY720" s="10"/>
      <c r="AZ720" s="10"/>
      <c r="BA720" s="10"/>
      <c r="BB720" s="10"/>
      <c r="BC720" s="10"/>
      <c r="BD720" s="10"/>
      <c r="BE720" s="10"/>
      <c r="BF720" s="10"/>
      <c r="BG720" s="10"/>
      <c r="BH720" s="10"/>
      <c r="BI720" s="10"/>
      <c r="BJ720" s="10"/>
      <c r="BK720" s="10"/>
      <c r="BM720" s="10"/>
    </row>
    <row r="721" spans="1:65" ht="12.75">
      <c r="A721" s="18">
        <v>43354</v>
      </c>
      <c r="B721" s="14" t="s">
        <v>1574</v>
      </c>
      <c r="C721" s="19">
        <v>150000</v>
      </c>
      <c r="D721" s="19"/>
      <c r="E721" s="14" t="s">
        <v>45</v>
      </c>
      <c r="F721" s="14" t="s">
        <v>1575</v>
      </c>
      <c r="G721" s="27" t="s">
        <v>1576</v>
      </c>
      <c r="H721" s="14" t="str">
        <f t="array" ref="H721">IFERROR(INDEX([1]Companies!$G:$G,MATCH(B721,[1]Companies!$A:$A,0)),"")</f>
        <v>South Africa</v>
      </c>
      <c r="I721" s="14" t="str">
        <f t="shared" si="955"/>
        <v>South Africa</v>
      </c>
      <c r="J721" s="14" t="str">
        <f t="array" ref="J721">IFERROR(INDEX([1]Companies!$Y:$Y,MATCH(B721,[1]Companies!$A:$A,0)),"")</f>
        <v>Media, Entertainment, Social News, Video</v>
      </c>
      <c r="K721" s="14" t="str">
        <f t="array" ref="K721">IFERROR(INDEX([1]Companies!$X:$X,MATCH(B721,[1]Companies!$A:$A,0)),"")</f>
        <v>Media &amp; Entertainment</v>
      </c>
      <c r="L721" s="14" t="str">
        <f>VLOOKUP(B721,[1]Companies!$A$1:$C$5243,1,FALSE)</f>
        <v>Hashtag Our Stories</v>
      </c>
      <c r="M721" s="15">
        <f t="shared" si="956"/>
        <v>0.9</v>
      </c>
      <c r="N721" s="10" t="str">
        <f t="shared" si="957"/>
        <v>43354Hashtag Our Stories150000</v>
      </c>
      <c r="O721" s="14" t="str">
        <f t="shared" si="958"/>
        <v/>
      </c>
      <c r="P721" s="14">
        <f t="shared" si="959"/>
        <v>1</v>
      </c>
      <c r="Q721" s="14">
        <f t="array" ref="Q721">IFERROR(INDEX([1]Companies!$D:$D,MATCH(B721,[1]Companies!$A:$A,0)),"")</f>
        <v>2017</v>
      </c>
      <c r="R721" s="17">
        <f t="shared" si="960"/>
        <v>150000</v>
      </c>
      <c r="S721" s="14">
        <f>VLOOKUP(I721,[1]Lookups!$V$3:$Y$197,4,FALSE)</f>
        <v>0</v>
      </c>
      <c r="T721" s="14" t="str">
        <f>VLOOKUP(E721,[1]Lookups!$H$3:$I$71,2,FALSE)</f>
        <v>2. Seed</v>
      </c>
      <c r="U721" s="14" t="str">
        <f>VLOOKUP(K721,[1]Lookups!$B$3:$C$142,2,FALSE)</f>
        <v>Media &amp; Entertainment</v>
      </c>
      <c r="V721" s="14">
        <f t="shared" si="921"/>
        <v>2018</v>
      </c>
      <c r="W721" s="14">
        <f t="shared" si="922"/>
        <v>9</v>
      </c>
      <c r="X721" s="14">
        <f>VLOOKUP(W721,[1]Lookups!$P$3:$S$15,2,FALSE)</f>
        <v>3</v>
      </c>
      <c r="Y721" s="16">
        <f>VLOOKUP(W721,[1]Lookups!$P$3:$U$15,3,FALSE)</f>
        <v>2</v>
      </c>
      <c r="Z721" s="16">
        <f t="shared" si="923"/>
        <v>1</v>
      </c>
      <c r="AA721" s="16" t="str">
        <f t="shared" ca="1" si="967"/>
        <v>HIMangel</v>
      </c>
      <c r="AB721" s="16">
        <f t="shared" si="967"/>
        <v>0</v>
      </c>
      <c r="AC721" s="16">
        <f t="shared" si="967"/>
        <v>0</v>
      </c>
      <c r="AD721" s="16">
        <f t="shared" si="967"/>
        <v>0</v>
      </c>
      <c r="AE721" s="16">
        <f t="shared" si="967"/>
        <v>0</v>
      </c>
      <c r="AF721" s="16">
        <f t="shared" si="967"/>
        <v>0</v>
      </c>
      <c r="AG721" s="16">
        <f t="shared" si="967"/>
        <v>0</v>
      </c>
      <c r="AH721" s="16">
        <f t="shared" si="967"/>
        <v>0</v>
      </c>
      <c r="AI721" s="16">
        <f t="shared" si="967"/>
        <v>0</v>
      </c>
      <c r="AJ721" s="16">
        <f t="shared" si="967"/>
        <v>0</v>
      </c>
      <c r="AK721" s="16">
        <f t="shared" si="967"/>
        <v>0</v>
      </c>
      <c r="AL721" s="16">
        <f t="shared" si="967"/>
        <v>0</v>
      </c>
      <c r="AM721" s="16">
        <f t="shared" si="967"/>
        <v>0</v>
      </c>
      <c r="AN721" s="16">
        <f t="shared" si="967"/>
        <v>0</v>
      </c>
      <c r="AO721" s="16">
        <f t="shared" si="967"/>
        <v>0</v>
      </c>
      <c r="AP721" s="10"/>
      <c r="AQ721" s="10"/>
      <c r="AR721" s="10"/>
      <c r="AS721" s="10" t="str">
        <f t="shared" ref="AS721" ca="1" si="973">IFERROR(__xludf.DUMMYFUNCTION("split(F710,"","",true,true)"),"HIMangel")</f>
        <v>HIMangel</v>
      </c>
      <c r="AT721" s="10"/>
      <c r="AU721" s="10"/>
      <c r="AV721" s="10"/>
      <c r="AW721" s="10"/>
      <c r="AX721" s="10"/>
      <c r="AY721" s="10"/>
      <c r="AZ721" s="10"/>
      <c r="BA721" s="10"/>
      <c r="BB721" s="10"/>
      <c r="BC721" s="10"/>
      <c r="BD721" s="10"/>
      <c r="BE721" s="10"/>
      <c r="BF721" s="10"/>
      <c r="BG721" s="10"/>
      <c r="BH721" s="10"/>
      <c r="BI721" s="10"/>
      <c r="BJ721" s="10"/>
      <c r="BK721" s="10"/>
      <c r="BM721" s="10"/>
    </row>
    <row r="722" spans="1:65" ht="12.75">
      <c r="A722" s="9">
        <v>43354</v>
      </c>
      <c r="B722" s="14" t="s">
        <v>1092</v>
      </c>
      <c r="C722" s="11">
        <v>210000</v>
      </c>
      <c r="D722" s="12"/>
      <c r="E722" s="10" t="s">
        <v>91</v>
      </c>
      <c r="F722" s="10" t="s">
        <v>49</v>
      </c>
      <c r="G722" s="13" t="s">
        <v>1577</v>
      </c>
      <c r="H722" s="14"/>
      <c r="I722" s="14"/>
      <c r="J722" s="14"/>
      <c r="K722" s="14"/>
      <c r="L722" s="14"/>
      <c r="M722" s="15"/>
      <c r="N722" s="10"/>
      <c r="O722" s="14"/>
      <c r="P722" s="14"/>
      <c r="Q722" s="14"/>
      <c r="R722" s="14"/>
      <c r="S722" s="14"/>
      <c r="T722" s="14"/>
      <c r="U722" s="14"/>
      <c r="V722" s="14">
        <f t="shared" si="921"/>
        <v>2018</v>
      </c>
      <c r="W722" s="14">
        <f t="shared" si="922"/>
        <v>9</v>
      </c>
      <c r="X722" s="14">
        <f>VLOOKUP(W722,[1]Lookups!$P$3:$S$15,2,FALSE)</f>
        <v>3</v>
      </c>
      <c r="Y722" s="16">
        <f>VLOOKUP(W722,[1]Lookups!$P$3:$U$15,3,FALSE)</f>
        <v>2</v>
      </c>
      <c r="Z722" s="16">
        <f t="shared" si="923"/>
        <v>1</v>
      </c>
      <c r="AA722" s="16" t="str">
        <f t="shared" ca="1" si="967"/>
        <v>#REF!</v>
      </c>
      <c r="AB722" s="16">
        <f t="shared" si="967"/>
        <v>0</v>
      </c>
      <c r="AC722" s="16">
        <f t="shared" si="967"/>
        <v>0</v>
      </c>
      <c r="AD722" s="16">
        <f t="shared" si="967"/>
        <v>0</v>
      </c>
      <c r="AE722" s="16">
        <f t="shared" si="967"/>
        <v>0</v>
      </c>
      <c r="AF722" s="16">
        <f t="shared" si="967"/>
        <v>0</v>
      </c>
      <c r="AG722" s="16">
        <f t="shared" si="967"/>
        <v>0</v>
      </c>
      <c r="AH722" s="16">
        <f t="shared" si="967"/>
        <v>0</v>
      </c>
      <c r="AI722" s="16">
        <f t="shared" si="967"/>
        <v>0</v>
      </c>
      <c r="AJ722" s="16">
        <f t="shared" si="967"/>
        <v>0</v>
      </c>
      <c r="AK722" s="16">
        <f t="shared" si="967"/>
        <v>0</v>
      </c>
      <c r="AL722" s="16">
        <f t="shared" si="967"/>
        <v>0</v>
      </c>
      <c r="AM722" s="16">
        <f t="shared" si="967"/>
        <v>0</v>
      </c>
      <c r="AN722" s="16">
        <f t="shared" si="967"/>
        <v>0</v>
      </c>
      <c r="AO722" s="16">
        <f t="shared" si="967"/>
        <v>0</v>
      </c>
      <c r="AP722" s="10"/>
      <c r="AQ722" s="10"/>
      <c r="AR722" s="10"/>
      <c r="AS722" s="10" t="str">
        <f ca="1">IFERROR(__xludf.DUMMYFUNCTION("split(#REF!,"","",true,true)"),"#REF!")</f>
        <v>#REF!</v>
      </c>
      <c r="AT722" s="10"/>
      <c r="AU722" s="10"/>
      <c r="AV722" s="10"/>
      <c r="AW722" s="10"/>
      <c r="AX722" s="10"/>
      <c r="AY722" s="10"/>
      <c r="AZ722" s="10"/>
      <c r="BA722" s="10"/>
      <c r="BB722" s="10"/>
      <c r="BC722" s="10"/>
      <c r="BD722" s="10"/>
      <c r="BE722" s="10"/>
      <c r="BF722" s="10"/>
      <c r="BG722" s="10"/>
      <c r="BH722" s="10"/>
      <c r="BI722" s="10"/>
      <c r="BJ722" s="10"/>
      <c r="BK722" s="10"/>
      <c r="BM722" s="10"/>
    </row>
    <row r="723" spans="1:65" ht="12.75">
      <c r="A723" s="18">
        <v>43355</v>
      </c>
      <c r="B723" s="14" t="s">
        <v>1578</v>
      </c>
      <c r="C723" s="19" t="s">
        <v>49</v>
      </c>
      <c r="D723" s="19"/>
      <c r="E723" s="14" t="s">
        <v>45</v>
      </c>
      <c r="F723" s="14" t="s">
        <v>1579</v>
      </c>
      <c r="G723" s="27" t="s">
        <v>1580</v>
      </c>
      <c r="H723" s="14" t="str">
        <f t="array" ref="H723">IFERROR(INDEX([1]Companies!$G:$G,MATCH(B723,[1]Companies!$A:$A,0)),"")</f>
        <v>Morocco</v>
      </c>
      <c r="I723" s="14" t="str">
        <f t="shared" ref="I723:I860" si="974">IF(LEN(TRIM(H723))-LEN(SUBSTITUTE(TRIM(H723),",","")) &gt; 0,TRIM(RIGHT(H723,LEN(H723)-FIND(",",H723))),H723)</f>
        <v>Morocco</v>
      </c>
      <c r="J723" s="14" t="str">
        <f t="array" ref="J723">IFERROR(INDEX([1]Companies!$Y:$Y,MATCH(B723,[1]Companies!$A:$A,0)),"")</f>
        <v>Health Care, Healthtech</v>
      </c>
      <c r="K723" s="14" t="str">
        <f t="array" ref="K723">IFERROR(INDEX([1]Companies!$X:$X,MATCH(B723,[1]Companies!$A:$A,0)),"")</f>
        <v>Healthcare &amp; Pharma</v>
      </c>
      <c r="L723" s="14" t="str">
        <f>VLOOKUP(B723,[1]Companies!$A$1:$C$5243,1,FALSE)</f>
        <v>Dabadoc</v>
      </c>
      <c r="M723" s="15">
        <f t="shared" ref="M723:M860" si="975">COUNTA(B723:K723)/(COUNTBLANK(B723:K723) + COUNTA(B723:K723))</f>
        <v>0.9</v>
      </c>
      <c r="N723" s="10" t="str">
        <f t="shared" ref="N723:N860" si="976">CONCATENATE(A723,B723,C723)</f>
        <v>43355DabaDocUndisclosed</v>
      </c>
      <c r="O723" s="14" t="str">
        <f t="shared" ref="O723:O756" si="977">IF(A723 = "","",IF(COUNTIF(N:N,CONCATENATE(A723,B723,C723))&gt;1,"Duplicated",""))</f>
        <v/>
      </c>
      <c r="P723" s="14">
        <f t="shared" ref="P723:P860" si="978">IF(C723="Undisclosed",0,1)</f>
        <v>0</v>
      </c>
      <c r="Q723" s="14">
        <f t="array" ref="Q723">IFERROR(INDEX([1]Companies!$D:$D,MATCH(B723,[1]Companies!$A:$A,0)),"")</f>
        <v>2014</v>
      </c>
      <c r="R723" s="17">
        <f t="shared" ref="R723:R860" si="979">SUMIF(B:B,B723,C:C)</f>
        <v>0</v>
      </c>
      <c r="S723" s="14">
        <f>VLOOKUP(I723,[1]Lookups!$V$3:$Y$197,4,FALSE)</f>
        <v>0</v>
      </c>
      <c r="T723" s="14" t="str">
        <f>VLOOKUP(E723,[1]Lookups!$H$3:$I$71,2,FALSE)</f>
        <v>2. Seed</v>
      </c>
      <c r="U723" s="14" t="str">
        <f>VLOOKUP(K723,[1]Lookups!$B$3:$C$142,2,FALSE)</f>
        <v>Health &amp; Pharmaceuticals</v>
      </c>
      <c r="V723" s="14">
        <f t="shared" si="921"/>
        <v>2018</v>
      </c>
      <c r="W723" s="14">
        <f t="shared" si="922"/>
        <v>9</v>
      </c>
      <c r="X723" s="14">
        <f>VLOOKUP(W723,[1]Lookups!$P$3:$S$15,2,FALSE)</f>
        <v>3</v>
      </c>
      <c r="Y723" s="16">
        <f>VLOOKUP(W723,[1]Lookups!$P$3:$U$15,3,FALSE)</f>
        <v>2</v>
      </c>
      <c r="Z723" s="16">
        <f t="shared" si="923"/>
        <v>1</v>
      </c>
      <c r="AA723" s="16" t="str">
        <f t="shared" ca="1" si="967"/>
        <v>Axa Insurance Morocco</v>
      </c>
      <c r="AB723" s="16">
        <f t="shared" si="967"/>
        <v>0</v>
      </c>
      <c r="AC723" s="16">
        <f t="shared" si="967"/>
        <v>0</v>
      </c>
      <c r="AD723" s="16">
        <f t="shared" si="967"/>
        <v>0</v>
      </c>
      <c r="AE723" s="16">
        <f t="shared" si="967"/>
        <v>0</v>
      </c>
      <c r="AF723" s="16">
        <f t="shared" si="967"/>
        <v>0</v>
      </c>
      <c r="AG723" s="16">
        <f t="shared" si="967"/>
        <v>0</v>
      </c>
      <c r="AH723" s="16">
        <f t="shared" si="967"/>
        <v>0</v>
      </c>
      <c r="AI723" s="16">
        <f t="shared" si="967"/>
        <v>0</v>
      </c>
      <c r="AJ723" s="16">
        <f t="shared" si="967"/>
        <v>0</v>
      </c>
      <c r="AK723" s="16">
        <f t="shared" si="967"/>
        <v>0</v>
      </c>
      <c r="AL723" s="16">
        <f t="shared" si="967"/>
        <v>0</v>
      </c>
      <c r="AM723" s="16">
        <f t="shared" si="967"/>
        <v>0</v>
      </c>
      <c r="AN723" s="16">
        <f t="shared" si="967"/>
        <v>0</v>
      </c>
      <c r="AO723" s="16">
        <f t="shared" si="967"/>
        <v>0</v>
      </c>
      <c r="AP723" s="10"/>
      <c r="AQ723" s="10"/>
      <c r="AR723" s="10"/>
      <c r="AS723" s="10" t="str">
        <f t="shared" ref="AS723" ca="1" si="980">IFERROR(__xludf.DUMMYFUNCTION("split(F723,"","",true,true)"),"Axa Insurance Morocco")</f>
        <v>Axa Insurance Morocco</v>
      </c>
      <c r="AT723" s="10"/>
      <c r="AU723" s="10"/>
      <c r="AV723" s="10"/>
      <c r="AW723" s="10"/>
      <c r="AX723" s="10"/>
      <c r="AY723" s="10"/>
      <c r="AZ723" s="10"/>
      <c r="BA723" s="10"/>
      <c r="BB723" s="10"/>
      <c r="BC723" s="10"/>
      <c r="BD723" s="10"/>
      <c r="BE723" s="10"/>
      <c r="BF723" s="10"/>
      <c r="BG723" s="10"/>
      <c r="BH723" s="10"/>
      <c r="BI723" s="10"/>
      <c r="BJ723" s="10"/>
      <c r="BK723" s="10"/>
      <c r="BM723" s="10"/>
    </row>
    <row r="724" spans="1:65" ht="12.75">
      <c r="A724" s="18">
        <v>43355</v>
      </c>
      <c r="B724" s="14" t="s">
        <v>1581</v>
      </c>
      <c r="C724" s="19">
        <v>100000</v>
      </c>
      <c r="D724" s="19"/>
      <c r="E724" s="14" t="s">
        <v>45</v>
      </c>
      <c r="F724" s="14" t="s">
        <v>1294</v>
      </c>
      <c r="G724" s="27" t="s">
        <v>1582</v>
      </c>
      <c r="H724" s="14" t="str">
        <f t="array" ref="H724">IFERROR(INDEX([1]Companies!$G:$G,MATCH(B724,[1]Companies!$A:$A,0)),"")</f>
        <v>Ghana</v>
      </c>
      <c r="I724" s="14" t="str">
        <f t="shared" si="974"/>
        <v>Ghana</v>
      </c>
      <c r="J724" s="14" t="str">
        <f t="array" ref="J724">IFERROR(INDEX([1]Companies!$Y:$Y,MATCH(B724,[1]Companies!$A:$A,0)),"")</f>
        <v>Financial Services, Information Technology, Mobile Payments</v>
      </c>
      <c r="K724" s="14" t="str">
        <f t="array" ref="K724">IFERROR(INDEX([1]Companies!$X:$X,MATCH(B724,[1]Companies!$A:$A,0)),"")</f>
        <v>Information Technology</v>
      </c>
      <c r="L724" s="14" t="str">
        <f>VLOOKUP(B724,[1]Companies!$A$1:$C$5243,1,FALSE)</f>
        <v>Jumeni</v>
      </c>
      <c r="M724" s="15">
        <f t="shared" si="975"/>
        <v>0.9</v>
      </c>
      <c r="N724" s="10" t="str">
        <f t="shared" si="976"/>
        <v>43355Jumeni100000</v>
      </c>
      <c r="O724" s="14" t="str">
        <f t="shared" si="977"/>
        <v/>
      </c>
      <c r="P724" s="14">
        <f t="shared" si="978"/>
        <v>1</v>
      </c>
      <c r="Q724" s="14">
        <f t="array" ref="Q724">IFERROR(INDEX([1]Companies!$D:$D,MATCH(B724,[1]Companies!$A:$A,0)),"")</f>
        <v>2018</v>
      </c>
      <c r="R724" s="17">
        <f t="shared" si="979"/>
        <v>100000</v>
      </c>
      <c r="S724" s="14">
        <f>VLOOKUP(I724,[1]Lookups!$V$3:$Y$197,4,FALSE)</f>
        <v>0</v>
      </c>
      <c r="T724" s="14" t="str">
        <f>VLOOKUP(E724,[1]Lookups!$H$3:$I$71,2,FALSE)</f>
        <v>2. Seed</v>
      </c>
      <c r="U724" s="14" t="str">
        <f>VLOOKUP(K724,[1]Lookups!$B$3:$C$142,2,FALSE)</f>
        <v>Other Technologies &amp; Information Technology</v>
      </c>
      <c r="V724" s="14">
        <f t="shared" si="921"/>
        <v>2018</v>
      </c>
      <c r="W724" s="14">
        <f t="shared" si="922"/>
        <v>9</v>
      </c>
      <c r="X724" s="14">
        <f>VLOOKUP(W724,[1]Lookups!$P$3:$S$15,2,FALSE)</f>
        <v>3</v>
      </c>
      <c r="Y724" s="16">
        <f>VLOOKUP(W724,[1]Lookups!$P$3:$U$15,3,FALSE)</f>
        <v>2</v>
      </c>
      <c r="Z724" s="16">
        <f t="shared" si="923"/>
        <v>1</v>
      </c>
      <c r="AA724" s="16" t="str">
        <f t="shared" ca="1" si="967"/>
        <v>Axa Insurance Morocco</v>
      </c>
      <c r="AB724" s="16">
        <f t="shared" si="967"/>
        <v>0</v>
      </c>
      <c r="AC724" s="16">
        <f t="shared" si="967"/>
        <v>0</v>
      </c>
      <c r="AD724" s="16">
        <f t="shared" si="967"/>
        <v>0</v>
      </c>
      <c r="AE724" s="16">
        <f t="shared" si="967"/>
        <v>0</v>
      </c>
      <c r="AF724" s="16">
        <f t="shared" si="967"/>
        <v>0</v>
      </c>
      <c r="AG724" s="16">
        <f t="shared" si="967"/>
        <v>0</v>
      </c>
      <c r="AH724" s="16">
        <f t="shared" si="967"/>
        <v>0</v>
      </c>
      <c r="AI724" s="16">
        <f t="shared" si="967"/>
        <v>0</v>
      </c>
      <c r="AJ724" s="16">
        <f t="shared" si="967"/>
        <v>0</v>
      </c>
      <c r="AK724" s="16">
        <f t="shared" si="967"/>
        <v>0</v>
      </c>
      <c r="AL724" s="16">
        <f t="shared" si="967"/>
        <v>0</v>
      </c>
      <c r="AM724" s="16">
        <f t="shared" si="967"/>
        <v>0</v>
      </c>
      <c r="AN724" s="16">
        <f t="shared" si="967"/>
        <v>0</v>
      </c>
      <c r="AO724" s="16">
        <f t="shared" si="967"/>
        <v>0</v>
      </c>
      <c r="AP724" s="10"/>
      <c r="AQ724" s="10"/>
      <c r="AR724" s="10"/>
      <c r="AS724" s="10" t="str">
        <f t="shared" ref="AS724" ca="1" si="981">IFERROR(__xludf.DUMMYFUNCTION("split(F723,"","",true,true)"),"Axa Insurance Morocco")</f>
        <v>Axa Insurance Morocco</v>
      </c>
      <c r="AT724" s="10"/>
      <c r="AU724" s="10"/>
      <c r="AV724" s="10"/>
      <c r="AW724" s="10"/>
      <c r="AX724" s="10"/>
      <c r="AY724" s="10"/>
      <c r="AZ724" s="10"/>
      <c r="BA724" s="10"/>
      <c r="BB724" s="10"/>
      <c r="BC724" s="10"/>
      <c r="BD724" s="10"/>
      <c r="BE724" s="10"/>
      <c r="BF724" s="10"/>
      <c r="BG724" s="10"/>
      <c r="BH724" s="10"/>
      <c r="BI724" s="10"/>
      <c r="BJ724" s="10"/>
      <c r="BK724" s="10"/>
      <c r="BM724" s="10"/>
    </row>
    <row r="725" spans="1:65" ht="12.75">
      <c r="A725" s="18">
        <v>43355</v>
      </c>
      <c r="B725" s="14" t="s">
        <v>1583</v>
      </c>
      <c r="C725" s="19">
        <v>100000</v>
      </c>
      <c r="D725" s="19"/>
      <c r="E725" s="14" t="s">
        <v>45</v>
      </c>
      <c r="F725" s="14" t="s">
        <v>1294</v>
      </c>
      <c r="G725" s="27" t="s">
        <v>1582</v>
      </c>
      <c r="H725" s="14" t="str">
        <f t="array" ref="H725">IFERROR(INDEX([1]Companies!$G:$G,MATCH(B725,[1]Companies!$A:$A,0)),"")</f>
        <v>Ghana</v>
      </c>
      <c r="I725" s="14" t="str">
        <f t="shared" si="974"/>
        <v>Ghana</v>
      </c>
      <c r="J725" s="14" t="str">
        <f t="array" ref="J725">IFERROR(INDEX([1]Companies!$Y:$Y,MATCH(B725,[1]Companies!$A:$A,0)),"")</f>
        <v>Financial Services, FinTech, Information Technology, Payments</v>
      </c>
      <c r="K725" s="14" t="str">
        <f t="array" ref="K725">IFERROR(INDEX([1]Companies!$X:$X,MATCH(B725,[1]Companies!$A:$A,0)),"")</f>
        <v>Financial Services</v>
      </c>
      <c r="L725" s="14" t="str">
        <f>VLOOKUP(B725,[1]Companies!$A$1:$C$5243,1,FALSE)</f>
        <v>Bace Group</v>
      </c>
      <c r="M725" s="15">
        <f t="shared" si="975"/>
        <v>0.9</v>
      </c>
      <c r="N725" s="10" t="str">
        <f t="shared" si="976"/>
        <v>43355BACE Group100000</v>
      </c>
      <c r="O725" s="14" t="str">
        <f t="shared" si="977"/>
        <v/>
      </c>
      <c r="P725" s="14">
        <f t="shared" si="978"/>
        <v>1</v>
      </c>
      <c r="Q725" s="14">
        <f t="array" ref="Q725">IFERROR(INDEX([1]Companies!$D:$D,MATCH(B725,[1]Companies!$A:$A,0)),"")</f>
        <v>2018</v>
      </c>
      <c r="R725" s="17">
        <f t="shared" si="979"/>
        <v>100000</v>
      </c>
      <c r="S725" s="14">
        <f>VLOOKUP(I725,[1]Lookups!$V$3:$Y$197,4,FALSE)</f>
        <v>0</v>
      </c>
      <c r="T725" s="14" t="str">
        <f>VLOOKUP(E725,[1]Lookups!$H$3:$I$71,2,FALSE)</f>
        <v>2. Seed</v>
      </c>
      <c r="U725" s="14" t="str">
        <f>VLOOKUP(K725,[1]Lookups!$B$3:$C$142,2,FALSE)</f>
        <v>Financial Services</v>
      </c>
      <c r="V725" s="14">
        <f t="shared" si="921"/>
        <v>2018</v>
      </c>
      <c r="W725" s="14">
        <f t="shared" si="922"/>
        <v>9</v>
      </c>
      <c r="X725" s="14">
        <f>VLOOKUP(W725,[1]Lookups!$P$3:$S$15,2,FALSE)</f>
        <v>3</v>
      </c>
      <c r="Y725" s="16">
        <f>VLOOKUP(W725,[1]Lookups!$P$3:$U$15,3,FALSE)</f>
        <v>2</v>
      </c>
      <c r="Z725" s="16">
        <f t="shared" si="923"/>
        <v>1</v>
      </c>
      <c r="AA725" s="16" t="str">
        <f t="shared" ca="1" si="967"/>
        <v>Axa Insurance Morocco</v>
      </c>
      <c r="AB725" s="16">
        <f t="shared" si="967"/>
        <v>0</v>
      </c>
      <c r="AC725" s="16">
        <f t="shared" si="967"/>
        <v>0</v>
      </c>
      <c r="AD725" s="16">
        <f t="shared" si="967"/>
        <v>0</v>
      </c>
      <c r="AE725" s="16">
        <f t="shared" si="967"/>
        <v>0</v>
      </c>
      <c r="AF725" s="16">
        <f t="shared" si="967"/>
        <v>0</v>
      </c>
      <c r="AG725" s="16">
        <f t="shared" si="967"/>
        <v>0</v>
      </c>
      <c r="AH725" s="16">
        <f t="shared" si="967"/>
        <v>0</v>
      </c>
      <c r="AI725" s="16">
        <f t="shared" si="967"/>
        <v>0</v>
      </c>
      <c r="AJ725" s="16">
        <f t="shared" si="967"/>
        <v>0</v>
      </c>
      <c r="AK725" s="16">
        <f t="shared" si="967"/>
        <v>0</v>
      </c>
      <c r="AL725" s="16">
        <f t="shared" si="967"/>
        <v>0</v>
      </c>
      <c r="AM725" s="16">
        <f t="shared" si="967"/>
        <v>0</v>
      </c>
      <c r="AN725" s="16">
        <f t="shared" si="967"/>
        <v>0</v>
      </c>
      <c r="AO725" s="16">
        <f t="shared" si="967"/>
        <v>0</v>
      </c>
      <c r="AP725" s="10"/>
      <c r="AQ725" s="10"/>
      <c r="AR725" s="10"/>
      <c r="AS725" s="10" t="str">
        <f t="shared" ref="AS725" ca="1" si="982">IFERROR(__xludf.DUMMYFUNCTION("split(F723,"","",true,true)"),"Axa Insurance Morocco")</f>
        <v>Axa Insurance Morocco</v>
      </c>
      <c r="AT725" s="10"/>
      <c r="AU725" s="10"/>
      <c r="AV725" s="10"/>
      <c r="AW725" s="10"/>
      <c r="AX725" s="10"/>
      <c r="AY725" s="10"/>
      <c r="AZ725" s="10"/>
      <c r="BA725" s="10"/>
      <c r="BB725" s="10"/>
      <c r="BC725" s="10"/>
      <c r="BD725" s="10"/>
      <c r="BE725" s="10"/>
      <c r="BF725" s="10"/>
      <c r="BG725" s="10"/>
      <c r="BH725" s="10"/>
      <c r="BI725" s="10"/>
      <c r="BJ725" s="10"/>
      <c r="BK725" s="10"/>
      <c r="BM725" s="10"/>
    </row>
    <row r="726" spans="1:65" ht="12.75">
      <c r="A726" s="18">
        <v>43355</v>
      </c>
      <c r="B726" s="14" t="s">
        <v>1584</v>
      </c>
      <c r="C726" s="19">
        <v>100000</v>
      </c>
      <c r="D726" s="19"/>
      <c r="E726" s="14" t="s">
        <v>45</v>
      </c>
      <c r="F726" s="14" t="s">
        <v>1294</v>
      </c>
      <c r="G726" s="27" t="s">
        <v>1582</v>
      </c>
      <c r="H726" s="14" t="str">
        <f t="array" ref="H726">IFERROR(INDEX([1]Companies!$G:$G,MATCH(B726,[1]Companies!$A:$A,0)),"")</f>
        <v>Ghana</v>
      </c>
      <c r="I726" s="14" t="str">
        <f t="shared" si="974"/>
        <v>Ghana</v>
      </c>
      <c r="J726" s="14" t="str">
        <f t="array" ref="J726">IFERROR(INDEX([1]Companies!$Y:$Y,MATCH(B726,[1]Companies!$A:$A,0)),"")</f>
        <v>recruitment software, IT recruitment</v>
      </c>
      <c r="K726" s="14" t="str">
        <f t="array" ref="K726">IFERROR(INDEX([1]Companies!$X:$X,MATCH(B726,[1]Companies!$A:$A,0)),"")</f>
        <v>Recruitment</v>
      </c>
      <c r="L726" s="14" t="str">
        <f>VLOOKUP(B726,[1]Companies!$A$1:$C$5243,1,FALSE)</f>
        <v xml:space="preserve">CodeIn </v>
      </c>
      <c r="M726" s="15">
        <f t="shared" si="975"/>
        <v>0.9</v>
      </c>
      <c r="N726" s="10" t="str">
        <f t="shared" si="976"/>
        <v>43355CodeIn 100000</v>
      </c>
      <c r="O726" s="14" t="str">
        <f t="shared" si="977"/>
        <v/>
      </c>
      <c r="P726" s="14">
        <f t="shared" si="978"/>
        <v>1</v>
      </c>
      <c r="Q726" s="14">
        <f t="array" ref="Q726">IFERROR(INDEX([1]Companies!$D:$D,MATCH(B726,[1]Companies!$A:$A,0)),"")</f>
        <v>2017</v>
      </c>
      <c r="R726" s="17">
        <f t="shared" si="979"/>
        <v>100000</v>
      </c>
      <c r="S726" s="14">
        <f>VLOOKUP(I726,[1]Lookups!$V$3:$Y$197,4,FALSE)</f>
        <v>0</v>
      </c>
      <c r="T726" s="14" t="str">
        <f>VLOOKUP(E726,[1]Lookups!$H$3:$I$71,2,FALSE)</f>
        <v>2. Seed</v>
      </c>
      <c r="U726" s="14" t="str">
        <f>VLOOKUP(K726,[1]Lookups!$B$3:$C$142,2,FALSE)</f>
        <v>Employment, Talent &amp; Labour</v>
      </c>
      <c r="V726" s="14">
        <f t="shared" si="921"/>
        <v>2018</v>
      </c>
      <c r="W726" s="14">
        <f t="shared" si="922"/>
        <v>9</v>
      </c>
      <c r="X726" s="14">
        <f>VLOOKUP(W726,[1]Lookups!$P$3:$S$15,2,FALSE)</f>
        <v>3</v>
      </c>
      <c r="Y726" s="16">
        <f>VLOOKUP(W726,[1]Lookups!$P$3:$U$15,3,FALSE)</f>
        <v>2</v>
      </c>
      <c r="Z726" s="16">
        <f t="shared" si="923"/>
        <v>1</v>
      </c>
      <c r="AA726" s="16" t="str">
        <f t="shared" ca="1" si="967"/>
        <v>Axa Insurance Morocco</v>
      </c>
      <c r="AB726" s="16">
        <f t="shared" si="967"/>
        <v>0</v>
      </c>
      <c r="AC726" s="16">
        <f t="shared" si="967"/>
        <v>0</v>
      </c>
      <c r="AD726" s="16">
        <f t="shared" si="967"/>
        <v>0</v>
      </c>
      <c r="AE726" s="16">
        <f t="shared" si="967"/>
        <v>0</v>
      </c>
      <c r="AF726" s="16">
        <f t="shared" si="967"/>
        <v>0</v>
      </c>
      <c r="AG726" s="16">
        <f t="shared" si="967"/>
        <v>0</v>
      </c>
      <c r="AH726" s="16">
        <f t="shared" si="967"/>
        <v>0</v>
      </c>
      <c r="AI726" s="16">
        <f t="shared" si="967"/>
        <v>0</v>
      </c>
      <c r="AJ726" s="16">
        <f t="shared" si="967"/>
        <v>0</v>
      </c>
      <c r="AK726" s="16">
        <f t="shared" si="967"/>
        <v>0</v>
      </c>
      <c r="AL726" s="16">
        <f t="shared" si="967"/>
        <v>0</v>
      </c>
      <c r="AM726" s="16">
        <f t="shared" si="967"/>
        <v>0</v>
      </c>
      <c r="AN726" s="16">
        <f t="shared" si="967"/>
        <v>0</v>
      </c>
      <c r="AO726" s="16">
        <f t="shared" si="967"/>
        <v>0</v>
      </c>
      <c r="AP726" s="10"/>
      <c r="AQ726" s="10"/>
      <c r="AR726" s="10"/>
      <c r="AS726" s="10" t="str">
        <f t="shared" ref="AS726" ca="1" si="983">IFERROR(__xludf.DUMMYFUNCTION("split(F723,"","",true,true)"),"Axa Insurance Morocco")</f>
        <v>Axa Insurance Morocco</v>
      </c>
      <c r="AT726" s="10"/>
      <c r="AU726" s="10"/>
      <c r="AV726" s="10"/>
      <c r="AW726" s="10"/>
      <c r="AX726" s="10"/>
      <c r="AY726" s="10"/>
      <c r="AZ726" s="10"/>
      <c r="BA726" s="10"/>
      <c r="BB726" s="10"/>
      <c r="BC726" s="10"/>
      <c r="BD726" s="10"/>
      <c r="BE726" s="10"/>
      <c r="BF726" s="10"/>
      <c r="BG726" s="10"/>
      <c r="BH726" s="10"/>
      <c r="BI726" s="10"/>
      <c r="BJ726" s="10"/>
      <c r="BK726" s="10"/>
      <c r="BM726" s="10"/>
    </row>
    <row r="727" spans="1:65" ht="12.75">
      <c r="A727" s="18">
        <v>43355</v>
      </c>
      <c r="B727" s="14" t="s">
        <v>1585</v>
      </c>
      <c r="C727" s="19">
        <v>100000</v>
      </c>
      <c r="D727" s="19"/>
      <c r="E727" s="14" t="s">
        <v>45</v>
      </c>
      <c r="F727" s="14" t="s">
        <v>1294</v>
      </c>
      <c r="G727" s="27" t="s">
        <v>1582</v>
      </c>
      <c r="H727" s="14" t="str">
        <f t="array" ref="H727">IFERROR(INDEX([1]Companies!$G:$G,MATCH(B727,[1]Companies!$A:$A,0)),"")</f>
        <v>Nigeria</v>
      </c>
      <c r="I727" s="14" t="str">
        <f t="shared" si="974"/>
        <v>Nigeria</v>
      </c>
      <c r="J727" s="14" t="str">
        <f t="array" ref="J727">IFERROR(INDEX([1]Companies!$Y:$Y,MATCH(B727,[1]Companies!$A:$A,0)),"")</f>
        <v>Legal Research, Case Law, Law Research, Case Law Database, Legal Tech, Legal Knowledge, Legal Tools, and Value Added Practice</v>
      </c>
      <c r="K727" s="14" t="str">
        <f t="array" ref="K727">IFERROR(INDEX([1]Companies!$X:$X,MATCH(B727,[1]Companies!$A:$A,0)),"")</f>
        <v>Commercial &amp; Professional Services</v>
      </c>
      <c r="L727" s="14" t="str">
        <f>VLOOKUP(B727,[1]Companies!$A$1:$C$5243,1,FALSE)</f>
        <v>Judy</v>
      </c>
      <c r="M727" s="15">
        <f t="shared" si="975"/>
        <v>0.9</v>
      </c>
      <c r="N727" s="10" t="str">
        <f t="shared" si="976"/>
        <v>43355Judy100000</v>
      </c>
      <c r="O727" s="14" t="str">
        <f t="shared" si="977"/>
        <v/>
      </c>
      <c r="P727" s="14">
        <f t="shared" si="978"/>
        <v>1</v>
      </c>
      <c r="Q727" s="14">
        <f t="array" ref="Q727">IFERROR(INDEX([1]Companies!$D:$D,MATCH(B727,[1]Companies!$A:$A,0)),"")</f>
        <v>2018</v>
      </c>
      <c r="R727" s="17">
        <f t="shared" si="979"/>
        <v>100000</v>
      </c>
      <c r="S727" s="14">
        <f>VLOOKUP(I727,[1]Lookups!$V$3:$Y$197,4,FALSE)</f>
        <v>0</v>
      </c>
      <c r="T727" s="14" t="str">
        <f>VLOOKUP(E727,[1]Lookups!$H$3:$I$71,2,FALSE)</f>
        <v>2. Seed</v>
      </c>
      <c r="U727" s="14" t="str">
        <f>VLOOKUP(K727,[1]Lookups!$B$3:$C$142,2,FALSE)</f>
        <v>Other Technologies &amp; Information Technology</v>
      </c>
      <c r="V727" s="14">
        <f t="shared" si="921"/>
        <v>2018</v>
      </c>
      <c r="W727" s="14">
        <f t="shared" si="922"/>
        <v>9</v>
      </c>
      <c r="X727" s="14">
        <f>VLOOKUP(W727,[1]Lookups!$P$3:$S$15,2,FALSE)</f>
        <v>3</v>
      </c>
      <c r="Y727" s="16">
        <f>VLOOKUP(W727,[1]Lookups!$P$3:$U$15,3,FALSE)</f>
        <v>2</v>
      </c>
      <c r="Z727" s="16">
        <f t="shared" si="923"/>
        <v>1</v>
      </c>
      <c r="AA727" s="16" t="str">
        <f t="shared" ca="1" si="967"/>
        <v>Axa Insurance Morocco</v>
      </c>
      <c r="AB727" s="16">
        <f t="shared" si="967"/>
        <v>0</v>
      </c>
      <c r="AC727" s="16">
        <f t="shared" si="967"/>
        <v>0</v>
      </c>
      <c r="AD727" s="16">
        <f t="shared" si="967"/>
        <v>0</v>
      </c>
      <c r="AE727" s="16">
        <f t="shared" si="967"/>
        <v>0</v>
      </c>
      <c r="AF727" s="16">
        <f t="shared" si="967"/>
        <v>0</v>
      </c>
      <c r="AG727" s="16">
        <f t="shared" si="967"/>
        <v>0</v>
      </c>
      <c r="AH727" s="16">
        <f t="shared" si="967"/>
        <v>0</v>
      </c>
      <c r="AI727" s="16">
        <f t="shared" si="967"/>
        <v>0</v>
      </c>
      <c r="AJ727" s="16">
        <f t="shared" si="967"/>
        <v>0</v>
      </c>
      <c r="AK727" s="16">
        <f t="shared" si="967"/>
        <v>0</v>
      </c>
      <c r="AL727" s="16">
        <f t="shared" si="967"/>
        <v>0</v>
      </c>
      <c r="AM727" s="16">
        <f t="shared" si="967"/>
        <v>0</v>
      </c>
      <c r="AN727" s="16">
        <f t="shared" si="967"/>
        <v>0</v>
      </c>
      <c r="AO727" s="16">
        <f t="shared" si="967"/>
        <v>0</v>
      </c>
      <c r="AP727" s="10"/>
      <c r="AQ727" s="10"/>
      <c r="AR727" s="10"/>
      <c r="AS727" s="10" t="str">
        <f t="shared" ref="AS727" ca="1" si="984">IFERROR(__xludf.DUMMYFUNCTION("split(F723,"","",true,true)"),"Axa Insurance Morocco")</f>
        <v>Axa Insurance Morocco</v>
      </c>
      <c r="AT727" s="10"/>
      <c r="AU727" s="10"/>
      <c r="AV727" s="10"/>
      <c r="AW727" s="10"/>
      <c r="AX727" s="10"/>
      <c r="AY727" s="10"/>
      <c r="AZ727" s="10"/>
      <c r="BA727" s="10"/>
      <c r="BB727" s="10"/>
      <c r="BC727" s="10"/>
      <c r="BD727" s="10"/>
      <c r="BE727" s="10"/>
      <c r="BF727" s="10"/>
      <c r="BG727" s="10"/>
      <c r="BH727" s="10"/>
      <c r="BI727" s="10"/>
      <c r="BJ727" s="10"/>
      <c r="BK727" s="10"/>
      <c r="BM727" s="10"/>
    </row>
    <row r="728" spans="1:65" ht="12.75">
      <c r="A728" s="18">
        <v>43355</v>
      </c>
      <c r="B728" s="14" t="s">
        <v>1586</v>
      </c>
      <c r="C728" s="19">
        <v>100000</v>
      </c>
      <c r="D728" s="19"/>
      <c r="E728" s="14" t="s">
        <v>45</v>
      </c>
      <c r="F728" s="14" t="s">
        <v>1294</v>
      </c>
      <c r="G728" s="27" t="s">
        <v>1587</v>
      </c>
      <c r="H728" s="14" t="str">
        <f t="array" ref="H728">IFERROR(INDEX([1]Companies!$G:$G,MATCH(B728,[1]Companies!$A:$A,0)),"")</f>
        <v>Ghana</v>
      </c>
      <c r="I728" s="14" t="str">
        <f t="shared" si="974"/>
        <v>Ghana</v>
      </c>
      <c r="J728" s="14" t="str">
        <f t="array" ref="J728">IFERROR(INDEX([1]Companies!$Y:$Y,MATCH(B728,[1]Companies!$A:$A,0)),"")</f>
        <v>On Demand Warehousing, Warehouse logistics, and Fullfilment</v>
      </c>
      <c r="K728" s="14" t="str">
        <f t="array" ref="K728">IFERROR(INDEX([1]Companies!$X:$X,MATCH(B728,[1]Companies!$A:$A,0)),"")</f>
        <v>Transport &amp; Logistics</v>
      </c>
      <c r="L728" s="14" t="str">
        <f>VLOOKUP(B728,[1]Companies!$A$1:$C$5243,1,FALSE)</f>
        <v>ShareHouse</v>
      </c>
      <c r="M728" s="15">
        <f t="shared" si="975"/>
        <v>0.9</v>
      </c>
      <c r="N728" s="10" t="str">
        <f t="shared" si="976"/>
        <v>43355ShareHouse100000</v>
      </c>
      <c r="O728" s="14" t="str">
        <f t="shared" si="977"/>
        <v/>
      </c>
      <c r="P728" s="14">
        <f t="shared" si="978"/>
        <v>1</v>
      </c>
      <c r="Q728" s="14">
        <f t="array" ref="Q728">IFERROR(INDEX([1]Companies!$D:$D,MATCH(B728,[1]Companies!$A:$A,0)),"")</f>
        <v>2018</v>
      </c>
      <c r="R728" s="17">
        <f t="shared" si="979"/>
        <v>100000</v>
      </c>
      <c r="S728" s="14">
        <f>VLOOKUP(I728,[1]Lookups!$V$3:$Y$197,4,FALSE)</f>
        <v>0</v>
      </c>
      <c r="T728" s="14" t="str">
        <f>VLOOKUP(E728,[1]Lookups!$H$3:$I$71,2,FALSE)</f>
        <v>2. Seed</v>
      </c>
      <c r="U728" s="14" t="str">
        <f>VLOOKUP(K728,[1]Lookups!$B$3:$C$142,2,FALSE)</f>
        <v>Transport &amp; Logistics</v>
      </c>
      <c r="V728" s="14">
        <f t="shared" si="921"/>
        <v>2018</v>
      </c>
      <c r="W728" s="14">
        <f t="shared" si="922"/>
        <v>9</v>
      </c>
      <c r="X728" s="14">
        <f>VLOOKUP(W728,[1]Lookups!$P$3:$S$15,2,FALSE)</f>
        <v>3</v>
      </c>
      <c r="Y728" s="16">
        <f>VLOOKUP(W728,[1]Lookups!$P$3:$U$15,3,FALSE)</f>
        <v>2</v>
      </c>
      <c r="Z728" s="16">
        <f t="shared" si="923"/>
        <v>1</v>
      </c>
      <c r="AA728" s="16" t="str">
        <f t="shared" ca="1" si="967"/>
        <v>Axa Insurance Morocco</v>
      </c>
      <c r="AB728" s="16">
        <f t="shared" si="967"/>
        <v>0</v>
      </c>
      <c r="AC728" s="16">
        <f t="shared" si="967"/>
        <v>0</v>
      </c>
      <c r="AD728" s="16">
        <f t="shared" si="967"/>
        <v>0</v>
      </c>
      <c r="AE728" s="16">
        <f t="shared" si="967"/>
        <v>0</v>
      </c>
      <c r="AF728" s="16">
        <f t="shared" si="967"/>
        <v>0</v>
      </c>
      <c r="AG728" s="16">
        <f t="shared" si="967"/>
        <v>0</v>
      </c>
      <c r="AH728" s="16">
        <f t="shared" si="967"/>
        <v>0</v>
      </c>
      <c r="AI728" s="16">
        <f t="shared" si="967"/>
        <v>0</v>
      </c>
      <c r="AJ728" s="16">
        <f t="shared" si="967"/>
        <v>0</v>
      </c>
      <c r="AK728" s="16">
        <f t="shared" si="967"/>
        <v>0</v>
      </c>
      <c r="AL728" s="16">
        <f t="shared" si="967"/>
        <v>0</v>
      </c>
      <c r="AM728" s="16">
        <f t="shared" si="967"/>
        <v>0</v>
      </c>
      <c r="AN728" s="16">
        <f t="shared" si="967"/>
        <v>0</v>
      </c>
      <c r="AO728" s="16">
        <f t="shared" si="967"/>
        <v>0</v>
      </c>
      <c r="AP728" s="10"/>
      <c r="AQ728" s="10"/>
      <c r="AR728" s="10"/>
      <c r="AS728" s="10" t="str">
        <f t="shared" ref="AS728" ca="1" si="985">IFERROR(__xludf.DUMMYFUNCTION("split(F723,"","",true,true)"),"Axa Insurance Morocco")</f>
        <v>Axa Insurance Morocco</v>
      </c>
      <c r="AT728" s="10"/>
      <c r="AU728" s="10"/>
      <c r="AV728" s="10"/>
      <c r="AW728" s="10"/>
      <c r="AX728" s="10"/>
      <c r="AY728" s="10"/>
      <c r="AZ728" s="10"/>
      <c r="BA728" s="10"/>
      <c r="BB728" s="10"/>
      <c r="BC728" s="10"/>
      <c r="BD728" s="10"/>
      <c r="BE728" s="10"/>
      <c r="BF728" s="10"/>
      <c r="BG728" s="10"/>
      <c r="BH728" s="10"/>
      <c r="BI728" s="10"/>
      <c r="BJ728" s="10"/>
      <c r="BK728" s="10"/>
      <c r="BM728" s="10"/>
    </row>
    <row r="729" spans="1:65" ht="12.75">
      <c r="A729" s="18">
        <v>43355</v>
      </c>
      <c r="B729" s="14" t="s">
        <v>1588</v>
      </c>
      <c r="C729" s="19">
        <v>100000</v>
      </c>
      <c r="D729" s="19"/>
      <c r="E729" s="14" t="s">
        <v>45</v>
      </c>
      <c r="F729" s="14" t="s">
        <v>1294</v>
      </c>
      <c r="G729" s="27" t="s">
        <v>1589</v>
      </c>
      <c r="H729" s="14" t="str">
        <f t="array" ref="H729">IFERROR(INDEX([1]Companies!$G:$G,MATCH(B729,[1]Companies!$A:$A,0)),"")</f>
        <v>Ghana</v>
      </c>
      <c r="I729" s="14" t="str">
        <f t="shared" si="974"/>
        <v>Ghana</v>
      </c>
      <c r="J729" s="14" t="str">
        <f t="array" ref="J729">IFERROR(INDEX([1]Companies!$Y:$Y,MATCH(B729,[1]Companies!$A:$A,0)),"")</f>
        <v>logistics, transportation, IoT, road-freight, tracking, cargo, and technology</v>
      </c>
      <c r="K729" s="14" t="str">
        <f t="array" ref="K729">IFERROR(INDEX([1]Companies!$X:$X,MATCH(B729,[1]Companies!$A:$A,0)),"")</f>
        <v>Transport &amp; Logistics</v>
      </c>
      <c r="L729" s="14" t="str">
        <f>VLOOKUP(B729,[1]Companies!$A$1:$C$5243,1,FALSE)</f>
        <v>Truckr Technologies</v>
      </c>
      <c r="M729" s="15">
        <f t="shared" si="975"/>
        <v>0.9</v>
      </c>
      <c r="N729" s="10" t="str">
        <f t="shared" si="976"/>
        <v>43355Truckr Technologies100000</v>
      </c>
      <c r="O729" s="14" t="str">
        <f t="shared" si="977"/>
        <v/>
      </c>
      <c r="P729" s="14">
        <f t="shared" si="978"/>
        <v>1</v>
      </c>
      <c r="Q729" s="14">
        <f t="array" ref="Q729">IFERROR(INDEX([1]Companies!$D:$D,MATCH(B729,[1]Companies!$A:$A,0)),"")</f>
        <v>2018</v>
      </c>
      <c r="R729" s="17">
        <f t="shared" si="979"/>
        <v>102700</v>
      </c>
      <c r="S729" s="14">
        <f>VLOOKUP(I729,[1]Lookups!$V$3:$Y$197,4,FALSE)</f>
        <v>0</v>
      </c>
      <c r="T729" s="14" t="str">
        <f>VLOOKUP(E729,[1]Lookups!$H$3:$I$71,2,FALSE)</f>
        <v>2. Seed</v>
      </c>
      <c r="U729" s="14" t="str">
        <f>VLOOKUP(K729,[1]Lookups!$B$3:$C$142,2,FALSE)</f>
        <v>Transport &amp; Logistics</v>
      </c>
      <c r="V729" s="14">
        <f t="shared" si="921"/>
        <v>2018</v>
      </c>
      <c r="W729" s="14">
        <f t="shared" si="922"/>
        <v>9</v>
      </c>
      <c r="X729" s="14">
        <f>VLOOKUP(W729,[1]Lookups!$P$3:$S$15,2,FALSE)</f>
        <v>3</v>
      </c>
      <c r="Y729" s="16">
        <f>VLOOKUP(W729,[1]Lookups!$P$3:$U$15,3,FALSE)</f>
        <v>2</v>
      </c>
      <c r="Z729" s="16">
        <f t="shared" si="923"/>
        <v>1</v>
      </c>
      <c r="AA729" s="16" t="str">
        <f t="shared" ca="1" si="967"/>
        <v>Axa Insurance Morocco</v>
      </c>
      <c r="AB729" s="16">
        <f t="shared" si="967"/>
        <v>0</v>
      </c>
      <c r="AC729" s="16">
        <f t="shared" si="967"/>
        <v>0</v>
      </c>
      <c r="AD729" s="16">
        <f t="shared" si="967"/>
        <v>0</v>
      </c>
      <c r="AE729" s="16">
        <f t="shared" si="967"/>
        <v>0</v>
      </c>
      <c r="AF729" s="16">
        <f t="shared" si="967"/>
        <v>0</v>
      </c>
      <c r="AG729" s="16">
        <f t="shared" si="967"/>
        <v>0</v>
      </c>
      <c r="AH729" s="16">
        <f t="shared" si="967"/>
        <v>0</v>
      </c>
      <c r="AI729" s="16">
        <f t="shared" si="967"/>
        <v>0</v>
      </c>
      <c r="AJ729" s="16">
        <f t="shared" si="967"/>
        <v>0</v>
      </c>
      <c r="AK729" s="16">
        <f t="shared" si="967"/>
        <v>0</v>
      </c>
      <c r="AL729" s="16">
        <f t="shared" si="967"/>
        <v>0</v>
      </c>
      <c r="AM729" s="16">
        <f t="shared" si="967"/>
        <v>0</v>
      </c>
      <c r="AN729" s="16">
        <f t="shared" si="967"/>
        <v>0</v>
      </c>
      <c r="AO729" s="16">
        <f t="shared" si="967"/>
        <v>0</v>
      </c>
      <c r="AP729" s="10"/>
      <c r="AQ729" s="10"/>
      <c r="AR729" s="10"/>
      <c r="AS729" s="10" t="str">
        <f t="shared" ref="AS729" ca="1" si="986">IFERROR(__xludf.DUMMYFUNCTION("split(F723,"","",true,true)"),"Axa Insurance Morocco")</f>
        <v>Axa Insurance Morocco</v>
      </c>
      <c r="AT729" s="10"/>
      <c r="AU729" s="10"/>
      <c r="AV729" s="10"/>
      <c r="AW729" s="10"/>
      <c r="AX729" s="10"/>
      <c r="AY729" s="10"/>
      <c r="AZ729" s="10"/>
      <c r="BA729" s="10"/>
      <c r="BB729" s="10"/>
      <c r="BC729" s="10"/>
      <c r="BD729" s="10"/>
      <c r="BE729" s="10"/>
      <c r="BF729" s="10"/>
      <c r="BG729" s="10"/>
      <c r="BH729" s="10"/>
      <c r="BI729" s="10"/>
      <c r="BJ729" s="10"/>
      <c r="BK729" s="10"/>
      <c r="BM729" s="10"/>
    </row>
    <row r="730" spans="1:65" ht="12.75">
      <c r="A730" s="18">
        <v>43355</v>
      </c>
      <c r="B730" s="14" t="s">
        <v>1590</v>
      </c>
      <c r="C730" s="19">
        <v>3700</v>
      </c>
      <c r="D730" s="19"/>
      <c r="E730" s="14" t="s">
        <v>234</v>
      </c>
      <c r="F730" s="14" t="s">
        <v>1591</v>
      </c>
      <c r="G730" s="21" t="s">
        <v>1592</v>
      </c>
      <c r="H730" s="14" t="str">
        <f t="array" ref="H730">IFERROR(INDEX([1]Companies!$G:$G,MATCH(B730,[1]Companies!$A:$A,0)),"")</f>
        <v>Nigeria</v>
      </c>
      <c r="I730" s="14" t="str">
        <f t="shared" si="974"/>
        <v>Nigeria</v>
      </c>
      <c r="J730" s="14" t="str">
        <f t="array" ref="J730">IFERROR(INDEX([1]Companies!$Y:$Y,MATCH(B730,[1]Companies!$A:$A,0)),"")</f>
        <v>Agriculture, E-Commerce, Farming, Internet, Internet of Things, Software</v>
      </c>
      <c r="K730" s="14" t="str">
        <f t="array" ref="K730">IFERROR(INDEX([1]Companies!$X:$X,MATCH(B730,[1]Companies!$A:$A,0)),"")</f>
        <v>Agriculture</v>
      </c>
      <c r="L730" s="14" t="str">
        <f>VLOOKUP(B730,[1]Companies!$A$1:$C$5243,1,FALSE)</f>
        <v>Crop2Cash</v>
      </c>
      <c r="M730" s="15">
        <f t="shared" si="975"/>
        <v>0.9</v>
      </c>
      <c r="N730" s="10" t="str">
        <f t="shared" si="976"/>
        <v>43355Crop2Cash3700</v>
      </c>
      <c r="O730" s="14" t="str">
        <f t="shared" si="977"/>
        <v/>
      </c>
      <c r="P730" s="14">
        <f t="shared" si="978"/>
        <v>1</v>
      </c>
      <c r="Q730" s="14">
        <f t="array" ref="Q730">IFERROR(INDEX([1]Companies!$D:$D,MATCH(B730,[1]Companies!$A:$A,0)),"")</f>
        <v>2018</v>
      </c>
      <c r="R730" s="17">
        <f t="shared" si="979"/>
        <v>3700</v>
      </c>
      <c r="S730" s="14">
        <f>VLOOKUP(I730,[1]Lookups!$V$3:$Y$197,4,FALSE)</f>
        <v>0</v>
      </c>
      <c r="T730" s="14" t="str">
        <f>VLOOKUP(E730,[1]Lookups!$H$3:$I$71,2,FALSE)</f>
        <v>2. Seed</v>
      </c>
      <c r="U730" s="14" t="str">
        <f>VLOOKUP(K730,[1]Lookups!$B$3:$C$142,2,FALSE)</f>
        <v>Agriculture</v>
      </c>
      <c r="V730" s="14">
        <f t="shared" si="921"/>
        <v>2018</v>
      </c>
      <c r="W730" s="14">
        <f t="shared" si="922"/>
        <v>9</v>
      </c>
      <c r="X730" s="14">
        <f>VLOOKUP(W730,[1]Lookups!$P$3:$S$15,2,FALSE)</f>
        <v>3</v>
      </c>
      <c r="Y730" s="16">
        <f>VLOOKUP(W730,[1]Lookups!$P$3:$U$15,3,FALSE)</f>
        <v>2</v>
      </c>
      <c r="Z730" s="16">
        <f t="shared" si="923"/>
        <v>1</v>
      </c>
      <c r="AA730" s="16" t="str">
        <f t="shared" ca="1" si="967"/>
        <v>Axa Insurance Morocco</v>
      </c>
      <c r="AB730" s="16">
        <f t="shared" si="967"/>
        <v>0</v>
      </c>
      <c r="AC730" s="16">
        <f t="shared" si="967"/>
        <v>0</v>
      </c>
      <c r="AD730" s="16">
        <f t="shared" si="967"/>
        <v>0</v>
      </c>
      <c r="AE730" s="16">
        <f t="shared" si="967"/>
        <v>0</v>
      </c>
      <c r="AF730" s="16">
        <f t="shared" si="967"/>
        <v>0</v>
      </c>
      <c r="AG730" s="16">
        <f t="shared" si="967"/>
        <v>0</v>
      </c>
      <c r="AH730" s="16">
        <f t="shared" si="967"/>
        <v>0</v>
      </c>
      <c r="AI730" s="16">
        <f t="shared" si="967"/>
        <v>0</v>
      </c>
      <c r="AJ730" s="16">
        <f t="shared" si="967"/>
        <v>0</v>
      </c>
      <c r="AK730" s="16">
        <f t="shared" si="967"/>
        <v>0</v>
      </c>
      <c r="AL730" s="16">
        <f t="shared" si="967"/>
        <v>0</v>
      </c>
      <c r="AM730" s="16">
        <f t="shared" si="967"/>
        <v>0</v>
      </c>
      <c r="AN730" s="16">
        <f t="shared" si="967"/>
        <v>0</v>
      </c>
      <c r="AO730" s="16">
        <f t="shared" si="967"/>
        <v>0</v>
      </c>
      <c r="AP730" s="10"/>
      <c r="AQ730" s="10"/>
      <c r="AR730" s="10"/>
      <c r="AS730" s="10" t="str">
        <f t="shared" ref="AS730" ca="1" si="987">IFERROR(__xludf.DUMMYFUNCTION("split(F723,"","",true,true)"),"Axa Insurance Morocco")</f>
        <v>Axa Insurance Morocco</v>
      </c>
      <c r="AT730" s="10"/>
      <c r="AU730" s="10"/>
      <c r="AV730" s="10"/>
      <c r="AW730" s="10"/>
      <c r="AX730" s="10"/>
      <c r="AY730" s="10"/>
      <c r="AZ730" s="10"/>
      <c r="BA730" s="10"/>
      <c r="BB730" s="10"/>
      <c r="BC730" s="10"/>
      <c r="BD730" s="10"/>
      <c r="BE730" s="10"/>
      <c r="BF730" s="10"/>
      <c r="BG730" s="10"/>
      <c r="BH730" s="10"/>
      <c r="BI730" s="10"/>
      <c r="BJ730" s="10"/>
      <c r="BK730" s="10"/>
      <c r="BM730" s="10"/>
    </row>
    <row r="731" spans="1:65" ht="12.75">
      <c r="A731" s="18">
        <v>43355</v>
      </c>
      <c r="B731" s="14" t="s">
        <v>1593</v>
      </c>
      <c r="C731" s="19">
        <v>2790</v>
      </c>
      <c r="D731" s="19"/>
      <c r="E731" s="14" t="s">
        <v>234</v>
      </c>
      <c r="F731" s="14" t="s">
        <v>1591</v>
      </c>
      <c r="G731" s="21" t="s">
        <v>1594</v>
      </c>
      <c r="H731" s="14" t="str">
        <f t="array" ref="H731">IFERROR(INDEX([1]Companies!$G:$G,MATCH(B731,[1]Companies!$A:$A,0)),"")</f>
        <v>Nigeria</v>
      </c>
      <c r="I731" s="14" t="str">
        <f t="shared" si="974"/>
        <v>Nigeria</v>
      </c>
      <c r="J731" s="14" t="str">
        <f t="array" ref="J731">IFERROR(INDEX([1]Companies!$Y:$Y,MATCH(B731,[1]Companies!$A:$A,0)),"")</f>
        <v>Consumer Goods, Delivery, Retail</v>
      </c>
      <c r="K731" s="14" t="str">
        <f t="array" ref="K731">IFERROR(INDEX([1]Companies!$X:$X,MATCH(B731,[1]Companies!$A:$A,0)),"")</f>
        <v>Agriculture</v>
      </c>
      <c r="L731" s="14" t="str">
        <f>VLOOKUP(B731,[1]Companies!$A$1:$C$5243,1,FALSE)</f>
        <v>Dilivasbox</v>
      </c>
      <c r="M731" s="15">
        <f t="shared" si="975"/>
        <v>0.9</v>
      </c>
      <c r="N731" s="10" t="str">
        <f t="shared" si="976"/>
        <v>43355Dilivasbox2790</v>
      </c>
      <c r="O731" s="14" t="str">
        <f t="shared" si="977"/>
        <v/>
      </c>
      <c r="P731" s="14">
        <f t="shared" si="978"/>
        <v>1</v>
      </c>
      <c r="Q731" s="14">
        <f t="array" ref="Q731">IFERROR(INDEX([1]Companies!$D:$D,MATCH(B731,[1]Companies!$A:$A,0)),"")</f>
        <v>2017</v>
      </c>
      <c r="R731" s="17">
        <f t="shared" si="979"/>
        <v>2790</v>
      </c>
      <c r="S731" s="14">
        <f>VLOOKUP(I731,[1]Lookups!$V$3:$Y$197,4,FALSE)</f>
        <v>0</v>
      </c>
      <c r="T731" s="14" t="str">
        <f>VLOOKUP(E731,[1]Lookups!$H$3:$I$71,2,FALSE)</f>
        <v>2. Seed</v>
      </c>
      <c r="U731" s="14" t="str">
        <f>VLOOKUP(K731,[1]Lookups!$B$3:$C$142,2,FALSE)</f>
        <v>Agriculture</v>
      </c>
      <c r="V731" s="14">
        <f t="shared" si="921"/>
        <v>2018</v>
      </c>
      <c r="W731" s="14">
        <f t="shared" si="922"/>
        <v>9</v>
      </c>
      <c r="X731" s="14">
        <f>VLOOKUP(W731,[1]Lookups!$P$3:$S$15,2,FALSE)</f>
        <v>3</v>
      </c>
      <c r="Y731" s="16">
        <f>VLOOKUP(W731,[1]Lookups!$P$3:$U$15,3,FALSE)</f>
        <v>2</v>
      </c>
      <c r="Z731" s="16">
        <f t="shared" si="923"/>
        <v>1</v>
      </c>
      <c r="AA731" s="16" t="str">
        <f t="shared" ca="1" si="967"/>
        <v>Axa Insurance Morocco</v>
      </c>
      <c r="AB731" s="16">
        <f t="shared" si="967"/>
        <v>0</v>
      </c>
      <c r="AC731" s="16">
        <f t="shared" si="967"/>
        <v>0</v>
      </c>
      <c r="AD731" s="16">
        <f t="shared" si="967"/>
        <v>0</v>
      </c>
      <c r="AE731" s="16">
        <f t="shared" si="967"/>
        <v>0</v>
      </c>
      <c r="AF731" s="16">
        <f t="shared" si="967"/>
        <v>0</v>
      </c>
      <c r="AG731" s="16">
        <f t="shared" si="967"/>
        <v>0</v>
      </c>
      <c r="AH731" s="16">
        <f t="shared" si="967"/>
        <v>0</v>
      </c>
      <c r="AI731" s="16">
        <f t="shared" si="967"/>
        <v>0</v>
      </c>
      <c r="AJ731" s="16">
        <f t="shared" si="967"/>
        <v>0</v>
      </c>
      <c r="AK731" s="16">
        <f t="shared" si="967"/>
        <v>0</v>
      </c>
      <c r="AL731" s="16">
        <f t="shared" si="967"/>
        <v>0</v>
      </c>
      <c r="AM731" s="16">
        <f t="shared" si="967"/>
        <v>0</v>
      </c>
      <c r="AN731" s="16">
        <f t="shared" si="967"/>
        <v>0</v>
      </c>
      <c r="AO731" s="16">
        <f t="shared" si="967"/>
        <v>0</v>
      </c>
      <c r="AP731" s="10"/>
      <c r="AQ731" s="10"/>
      <c r="AR731" s="10"/>
      <c r="AS731" s="10" t="str">
        <f t="shared" ref="AS731" ca="1" si="988">IFERROR(__xludf.DUMMYFUNCTION("split(F723,"","",true,true)"),"Axa Insurance Morocco")</f>
        <v>Axa Insurance Morocco</v>
      </c>
      <c r="AT731" s="10"/>
      <c r="AU731" s="10"/>
      <c r="AV731" s="10"/>
      <c r="AW731" s="10"/>
      <c r="AX731" s="10"/>
      <c r="AY731" s="10"/>
      <c r="AZ731" s="10"/>
      <c r="BA731" s="10"/>
      <c r="BB731" s="10"/>
      <c r="BC731" s="10"/>
      <c r="BD731" s="10"/>
      <c r="BE731" s="10"/>
      <c r="BF731" s="10"/>
      <c r="BG731" s="10"/>
      <c r="BH731" s="10"/>
      <c r="BI731" s="10"/>
      <c r="BJ731" s="10"/>
      <c r="BK731" s="10"/>
      <c r="BM731" s="10"/>
    </row>
    <row r="732" spans="1:65" ht="12.75">
      <c r="A732" s="18">
        <v>43356</v>
      </c>
      <c r="B732" s="21" t="s">
        <v>1595</v>
      </c>
      <c r="C732" s="19">
        <v>18000</v>
      </c>
      <c r="D732" s="19"/>
      <c r="E732" s="14" t="s">
        <v>45</v>
      </c>
      <c r="F732" s="14" t="s">
        <v>879</v>
      </c>
      <c r="G732" s="27" t="s">
        <v>1596</v>
      </c>
      <c r="H732" s="14" t="str">
        <f t="array" ref="H732">IFERROR(INDEX([1]Companies!$G:$G,MATCH(B732,[1]Companies!$A:$A,0)),"")</f>
        <v>South Africa</v>
      </c>
      <c r="I732" s="14" t="str">
        <f t="shared" si="974"/>
        <v>South Africa</v>
      </c>
      <c r="J732" s="14" t="str">
        <f t="array" ref="J732">IFERROR(INDEX([1]Companies!$Y:$Y,MATCH(B732,[1]Companies!$A:$A,0)),"")</f>
        <v>artificial intelligence, machine learning, natural language processing, and SaaS</v>
      </c>
      <c r="K732" s="14" t="str">
        <f t="array" ref="K732">IFERROR(INDEX([1]Companies!$X:$X,MATCH(B732,[1]Companies!$A:$A,0)),"")</f>
        <v>Emerging Technologies</v>
      </c>
      <c r="L732" s="21" t="str">
        <f>VLOOKUP(B732,[1]Companies!$A$1:$C$5243,1,FALSE)</f>
        <v>Voyc.Ai</v>
      </c>
      <c r="M732" s="15">
        <f t="shared" si="975"/>
        <v>0.9</v>
      </c>
      <c r="N732" s="10" t="str">
        <f t="shared" si="976"/>
        <v>43356Voyc.ai18000</v>
      </c>
      <c r="O732" s="14" t="str">
        <f t="shared" si="977"/>
        <v/>
      </c>
      <c r="P732" s="14">
        <f t="shared" si="978"/>
        <v>1</v>
      </c>
      <c r="Q732" s="14">
        <f t="array" ref="Q732">IFERROR(INDEX([1]Companies!$D:$D,MATCH(B732,[1]Companies!$A:$A,0)),"")</f>
        <v>2018</v>
      </c>
      <c r="R732" s="17">
        <f t="shared" si="979"/>
        <v>18000</v>
      </c>
      <c r="S732" s="14">
        <f>VLOOKUP(I732,[1]Lookups!$V$3:$Y$197,4,FALSE)</f>
        <v>0</v>
      </c>
      <c r="T732" s="14" t="str">
        <f>VLOOKUP(E732,[1]Lookups!$H$3:$I$71,2,FALSE)</f>
        <v>2. Seed</v>
      </c>
      <c r="U732" s="14" t="str">
        <f>VLOOKUP(K732,[1]Lookups!$B$3:$C$142,2,FALSE)</f>
        <v>Emerging Technologies</v>
      </c>
      <c r="V732" s="14">
        <f t="shared" si="921"/>
        <v>2018</v>
      </c>
      <c r="W732" s="14">
        <f t="shared" si="922"/>
        <v>9</v>
      </c>
      <c r="X732" s="14">
        <f>VLOOKUP(W732,[1]Lookups!$P$3:$S$15,2,FALSE)</f>
        <v>3</v>
      </c>
      <c r="Y732" s="16">
        <f>VLOOKUP(W732,[1]Lookups!$P$3:$U$15,3,FALSE)</f>
        <v>2</v>
      </c>
      <c r="Z732" s="16">
        <f t="shared" si="923"/>
        <v>1</v>
      </c>
      <c r="AA732" s="16" t="str">
        <f t="shared" ref="AA732:AO747" ca="1" si="989">AS732</f>
        <v>Axa Insurance Morocco</v>
      </c>
      <c r="AB732" s="16">
        <f t="shared" si="989"/>
        <v>0</v>
      </c>
      <c r="AC732" s="16">
        <f t="shared" si="989"/>
        <v>0</v>
      </c>
      <c r="AD732" s="16">
        <f t="shared" si="989"/>
        <v>0</v>
      </c>
      <c r="AE732" s="16">
        <f t="shared" si="989"/>
        <v>0</v>
      </c>
      <c r="AF732" s="16">
        <f t="shared" si="989"/>
        <v>0</v>
      </c>
      <c r="AG732" s="16">
        <f t="shared" si="989"/>
        <v>0</v>
      </c>
      <c r="AH732" s="16">
        <f t="shared" si="989"/>
        <v>0</v>
      </c>
      <c r="AI732" s="16">
        <f t="shared" si="989"/>
        <v>0</v>
      </c>
      <c r="AJ732" s="16">
        <f t="shared" si="989"/>
        <v>0</v>
      </c>
      <c r="AK732" s="16">
        <f t="shared" si="989"/>
        <v>0</v>
      </c>
      <c r="AL732" s="16">
        <f t="shared" si="989"/>
        <v>0</v>
      </c>
      <c r="AM732" s="16">
        <f t="shared" si="989"/>
        <v>0</v>
      </c>
      <c r="AN732" s="16">
        <f t="shared" si="989"/>
        <v>0</v>
      </c>
      <c r="AO732" s="16">
        <f t="shared" si="989"/>
        <v>0</v>
      </c>
      <c r="AP732" s="10"/>
      <c r="AQ732" s="10"/>
      <c r="AR732" s="10"/>
      <c r="AS732" s="10" t="str">
        <f t="shared" ref="AS732" ca="1" si="990">IFERROR(__xludf.DUMMYFUNCTION("split(F723,"","",true,true)"),"Axa Insurance Morocco")</f>
        <v>Axa Insurance Morocco</v>
      </c>
      <c r="AT732" s="10"/>
      <c r="AU732" s="10"/>
      <c r="AV732" s="10"/>
      <c r="AW732" s="10"/>
      <c r="AX732" s="10"/>
      <c r="AY732" s="10"/>
      <c r="AZ732" s="10"/>
      <c r="BA732" s="10"/>
      <c r="BB732" s="10"/>
      <c r="BC732" s="10"/>
      <c r="BD732" s="10"/>
      <c r="BE732" s="10"/>
      <c r="BF732" s="10"/>
      <c r="BG732" s="10"/>
      <c r="BH732" s="10"/>
      <c r="BI732" s="10"/>
      <c r="BJ732" s="10"/>
      <c r="BK732" s="10"/>
      <c r="BM732" s="10"/>
    </row>
    <row r="733" spans="1:65" ht="12.75">
      <c r="A733" s="18">
        <v>43357</v>
      </c>
      <c r="B733" s="14" t="s">
        <v>1597</v>
      </c>
      <c r="C733" s="19" t="s">
        <v>49</v>
      </c>
      <c r="D733" s="19"/>
      <c r="E733" s="14" t="s">
        <v>69</v>
      </c>
      <c r="F733" s="14" t="s">
        <v>1598</v>
      </c>
      <c r="G733" s="27" t="s">
        <v>1599</v>
      </c>
      <c r="H733" s="14" t="str">
        <f t="array" ref="H733">IFERROR(INDEX([1]Companies!$G:$G,MATCH(B733,[1]Companies!$A:$A,0)),"")</f>
        <v>South Africa</v>
      </c>
      <c r="I733" s="14" t="str">
        <f t="shared" si="974"/>
        <v>South Africa</v>
      </c>
      <c r="J733" s="14" t="str">
        <f t="array" ref="J733">IFERROR(INDEX([1]Companies!$Y:$Y,MATCH(B733,[1]Companies!$A:$A,0)),"")</f>
        <v>Information Services, Information Technology</v>
      </c>
      <c r="K733" s="14" t="str">
        <f t="array" ref="K733">IFERROR(INDEX([1]Companies!$X:$X,MATCH(B733,[1]Companies!$A:$A,0)),"")</f>
        <v>Emerging Technologies</v>
      </c>
      <c r="L733" s="14" t="str">
        <f>VLOOKUP(B733,[1]Companies!$A$1:$C$5243,1,FALSE)</f>
        <v>Atura</v>
      </c>
      <c r="M733" s="15">
        <f t="shared" si="975"/>
        <v>0.9</v>
      </c>
      <c r="N733" s="10" t="str">
        <f t="shared" si="976"/>
        <v>43357AturaUndisclosed</v>
      </c>
      <c r="O733" s="14" t="str">
        <f t="shared" si="977"/>
        <v/>
      </c>
      <c r="P733" s="14">
        <f t="shared" si="978"/>
        <v>0</v>
      </c>
      <c r="Q733" s="14">
        <f t="array" ref="Q733">IFERROR(INDEX([1]Companies!$D:$D,MATCH(B733,[1]Companies!$A:$A,0)),"")</f>
        <v>2016</v>
      </c>
      <c r="R733" s="17">
        <f t="shared" si="979"/>
        <v>0</v>
      </c>
      <c r="S733" s="14">
        <f>VLOOKUP(I733,[1]Lookups!$V$3:$Y$197,4,FALSE)</f>
        <v>0</v>
      </c>
      <c r="T733" s="14" t="str">
        <f>VLOOKUP(E733,[1]Lookups!$H$3:$I$71,2,FALSE)</f>
        <v>3. Early Venture</v>
      </c>
      <c r="U733" s="14" t="str">
        <f>VLOOKUP(K733,[1]Lookups!$B$3:$C$142,2,FALSE)</f>
        <v>Emerging Technologies</v>
      </c>
      <c r="V733" s="14">
        <f t="shared" si="921"/>
        <v>2018</v>
      </c>
      <c r="W733" s="14">
        <f t="shared" si="922"/>
        <v>9</v>
      </c>
      <c r="X733" s="14">
        <f>VLOOKUP(W733,[1]Lookups!$P$3:$S$15,2,FALSE)</f>
        <v>3</v>
      </c>
      <c r="Y733" s="16">
        <f>VLOOKUP(W733,[1]Lookups!$P$3:$U$15,3,FALSE)</f>
        <v>2</v>
      </c>
      <c r="Z733" s="16">
        <f t="shared" si="923"/>
        <v>3</v>
      </c>
      <c r="AA733" s="16" t="str">
        <f t="shared" ca="1" si="989"/>
        <v>Axa Insurance Morocco</v>
      </c>
      <c r="AB733" s="16" t="str">
        <f t="shared" ca="1" si="989"/>
        <v xml:space="preserve"> Investec</v>
      </c>
      <c r="AC733" s="16" t="str">
        <f t="shared" ca="1" si="989"/>
        <v xml:space="preserve"> Crossfin</v>
      </c>
      <c r="AD733" s="16">
        <f t="shared" si="989"/>
        <v>0</v>
      </c>
      <c r="AE733" s="16">
        <f t="shared" si="989"/>
        <v>0</v>
      </c>
      <c r="AF733" s="16">
        <f t="shared" si="989"/>
        <v>0</v>
      </c>
      <c r="AG733" s="16">
        <f t="shared" si="989"/>
        <v>0</v>
      </c>
      <c r="AH733" s="16">
        <f t="shared" si="989"/>
        <v>0</v>
      </c>
      <c r="AI733" s="16">
        <f t="shared" si="989"/>
        <v>0</v>
      </c>
      <c r="AJ733" s="16">
        <f t="shared" si="989"/>
        <v>0</v>
      </c>
      <c r="AK733" s="16">
        <f t="shared" si="989"/>
        <v>0</v>
      </c>
      <c r="AL733" s="16">
        <f t="shared" si="989"/>
        <v>0</v>
      </c>
      <c r="AM733" s="16">
        <f t="shared" si="989"/>
        <v>0</v>
      </c>
      <c r="AN733" s="16">
        <f t="shared" si="989"/>
        <v>0</v>
      </c>
      <c r="AO733" s="16">
        <f t="shared" si="989"/>
        <v>0</v>
      </c>
      <c r="AP733" s="10"/>
      <c r="AQ733" s="10"/>
      <c r="AR733" s="10"/>
      <c r="AS733" s="10" t="str">
        <f t="shared" ref="AS733" ca="1" si="991">IFERROR(__xludf.DUMMYFUNCTION("split(F723,"","",true,true)"),"Axa Insurance Morocco")</f>
        <v>Axa Insurance Morocco</v>
      </c>
      <c r="AT733" s="10" t="str">
        <f ca="1">IFERROR(__xludf.DUMMYFUNCTION("""COMPUTED_VALUE""")," Investec")</f>
        <v xml:space="preserve"> Investec</v>
      </c>
      <c r="AU733" s="10" t="str">
        <f ca="1">IFERROR(__xludf.DUMMYFUNCTION("""COMPUTED_VALUE""")," Crossfin")</f>
        <v xml:space="preserve"> Crossfin</v>
      </c>
      <c r="AV733" s="10"/>
      <c r="AW733" s="10"/>
      <c r="AX733" s="10"/>
      <c r="AY733" s="10"/>
      <c r="AZ733" s="10"/>
      <c r="BA733" s="10"/>
      <c r="BB733" s="10"/>
      <c r="BC733" s="10"/>
      <c r="BD733" s="10"/>
      <c r="BE733" s="10"/>
      <c r="BF733" s="10"/>
      <c r="BG733" s="10"/>
      <c r="BH733" s="10"/>
      <c r="BI733" s="10"/>
      <c r="BJ733" s="10"/>
      <c r="BK733" s="10"/>
      <c r="BM733" s="10"/>
    </row>
    <row r="734" spans="1:65" ht="12.75">
      <c r="A734" s="18">
        <v>43358</v>
      </c>
      <c r="B734" s="14" t="s">
        <v>1600</v>
      </c>
      <c r="C734" s="19" t="s">
        <v>49</v>
      </c>
      <c r="D734" s="19"/>
      <c r="E734" s="14" t="s">
        <v>45</v>
      </c>
      <c r="F734" s="14" t="s">
        <v>1601</v>
      </c>
      <c r="G734" s="27" t="s">
        <v>1602</v>
      </c>
      <c r="H734" s="14" t="str">
        <f t="array" ref="H734">IFERROR(INDEX([1]Companies!$G:$G,MATCH(B734,[1]Companies!$A:$A,0)),"")</f>
        <v>Egypt</v>
      </c>
      <c r="I734" s="14" t="str">
        <f t="shared" si="974"/>
        <v>Egypt</v>
      </c>
      <c r="J734" s="14" t="str">
        <f t="array" ref="J734">IFERROR(INDEX([1]Companies!$Y:$Y,MATCH(B734,[1]Companies!$A:$A,0)),"")</f>
        <v>E-Learning</v>
      </c>
      <c r="K734" s="14" t="str">
        <f t="array" ref="K734">IFERROR(INDEX([1]Companies!$X:$X,MATCH(B734,[1]Companies!$A:$A,0)),"")</f>
        <v>Education</v>
      </c>
      <c r="L734" s="14" t="str">
        <f>VLOOKUP(B734,[1]Companies!$A$1:$C$5243,1,FALSE)</f>
        <v>Oto English</v>
      </c>
      <c r="M734" s="15">
        <f t="shared" si="975"/>
        <v>0.9</v>
      </c>
      <c r="N734" s="10" t="str">
        <f t="shared" si="976"/>
        <v>43358OTO EnglishUndisclosed</v>
      </c>
      <c r="O734" s="14" t="str">
        <f t="shared" si="977"/>
        <v/>
      </c>
      <c r="P734" s="14">
        <f t="shared" si="978"/>
        <v>0</v>
      </c>
      <c r="Q734" s="14">
        <f t="array" ref="Q734">IFERROR(INDEX([1]Companies!$D:$D,MATCH(B734,[1]Companies!$A:$A,0)),"")</f>
        <v>2015</v>
      </c>
      <c r="R734" s="17">
        <f t="shared" si="979"/>
        <v>0</v>
      </c>
      <c r="S734" s="14">
        <f>VLOOKUP(I734,[1]Lookups!$V$3:$Y$197,4,FALSE)</f>
        <v>0</v>
      </c>
      <c r="T734" s="14" t="str">
        <f>VLOOKUP(E734,[1]Lookups!$H$3:$I$71,2,FALSE)</f>
        <v>2. Seed</v>
      </c>
      <c r="U734" s="14" t="str">
        <f>VLOOKUP(K734,[1]Lookups!$B$3:$C$142,2,FALSE)</f>
        <v>Education</v>
      </c>
      <c r="V734" s="14">
        <f t="shared" si="921"/>
        <v>2018</v>
      </c>
      <c r="W734" s="14">
        <f t="shared" si="922"/>
        <v>9</v>
      </c>
      <c r="X734" s="14">
        <f>VLOOKUP(W734,[1]Lookups!$P$3:$S$15,2,FALSE)</f>
        <v>3</v>
      </c>
      <c r="Y734" s="16">
        <f>VLOOKUP(W734,[1]Lookups!$P$3:$U$15,3,FALSE)</f>
        <v>2</v>
      </c>
      <c r="Z734" s="16">
        <f t="shared" si="923"/>
        <v>2</v>
      </c>
      <c r="AA734" s="16" t="str">
        <f t="shared" ca="1" si="989"/>
        <v>Axa Insurance Morocco</v>
      </c>
      <c r="AB734" s="16" t="str">
        <f t="shared" ca="1" si="989"/>
        <v xml:space="preserve"> EdVentures</v>
      </c>
      <c r="AC734" s="16">
        <f t="shared" si="989"/>
        <v>0</v>
      </c>
      <c r="AD734" s="16">
        <f t="shared" si="989"/>
        <v>0</v>
      </c>
      <c r="AE734" s="16">
        <f t="shared" si="989"/>
        <v>0</v>
      </c>
      <c r="AF734" s="16">
        <f t="shared" si="989"/>
        <v>0</v>
      </c>
      <c r="AG734" s="16">
        <f t="shared" si="989"/>
        <v>0</v>
      </c>
      <c r="AH734" s="16">
        <f t="shared" si="989"/>
        <v>0</v>
      </c>
      <c r="AI734" s="16">
        <f t="shared" si="989"/>
        <v>0</v>
      </c>
      <c r="AJ734" s="16">
        <f t="shared" si="989"/>
        <v>0</v>
      </c>
      <c r="AK734" s="16">
        <f t="shared" si="989"/>
        <v>0</v>
      </c>
      <c r="AL734" s="16">
        <f t="shared" si="989"/>
        <v>0</v>
      </c>
      <c r="AM734" s="16">
        <f t="shared" si="989"/>
        <v>0</v>
      </c>
      <c r="AN734" s="16">
        <f t="shared" si="989"/>
        <v>0</v>
      </c>
      <c r="AO734" s="16">
        <f t="shared" si="989"/>
        <v>0</v>
      </c>
      <c r="AP734" s="10"/>
      <c r="AQ734" s="10"/>
      <c r="AR734" s="10"/>
      <c r="AS734" s="10" t="str">
        <f t="shared" ref="AS734" ca="1" si="992">IFERROR(__xludf.DUMMYFUNCTION("split(F723,"","",true,true)"),"Axa Insurance Morocco")</f>
        <v>Axa Insurance Morocco</v>
      </c>
      <c r="AT734" s="10" t="str">
        <f ca="1">IFERROR(__xludf.DUMMYFUNCTION("""COMPUTED_VALUE""")," EdVentures")</f>
        <v xml:space="preserve"> EdVentures</v>
      </c>
      <c r="AU734" s="10"/>
      <c r="AV734" s="10"/>
      <c r="AW734" s="10"/>
      <c r="AX734" s="10"/>
      <c r="AY734" s="10"/>
      <c r="AZ734" s="10"/>
      <c r="BA734" s="10"/>
      <c r="BB734" s="10"/>
      <c r="BC734" s="10"/>
      <c r="BD734" s="10"/>
      <c r="BE734" s="10"/>
      <c r="BF734" s="10"/>
      <c r="BG734" s="10"/>
      <c r="BH734" s="10"/>
      <c r="BI734" s="10"/>
      <c r="BJ734" s="10"/>
      <c r="BK734" s="10"/>
      <c r="BM734" s="10"/>
    </row>
    <row r="735" spans="1:65" ht="12.75">
      <c r="A735" s="18">
        <v>43358</v>
      </c>
      <c r="B735" s="14" t="s">
        <v>1603</v>
      </c>
      <c r="C735" s="19">
        <v>65000</v>
      </c>
      <c r="D735" s="19"/>
      <c r="E735" s="14" t="s">
        <v>45</v>
      </c>
      <c r="F735" s="14" t="s">
        <v>49</v>
      </c>
      <c r="G735" s="14" t="s">
        <v>1460</v>
      </c>
      <c r="H735" s="14" t="str">
        <f t="array" ref="H735">IFERROR(INDEX([1]Companies!$G:$G,MATCH(B735,[1]Companies!$A:$A,0)),"")</f>
        <v>Ethiopia</v>
      </c>
      <c r="I735" s="14" t="str">
        <f t="shared" si="974"/>
        <v>Ethiopia</v>
      </c>
      <c r="J735" s="14" t="str">
        <f t="array" ref="J735">IFERROR(INDEX([1]Companies!$Y:$Y,MATCH(B735,[1]Companies!$A:$A,0)),"")</f>
        <v>Online Payment Processor and Mobile Payment Processor</v>
      </c>
      <c r="K735" s="14" t="str">
        <f t="array" ref="K735">IFERROR(INDEX([1]Companies!$X:$X,MATCH(B735,[1]Companies!$A:$A,0)),"")</f>
        <v>Financial Services</v>
      </c>
      <c r="L735" s="14" t="str">
        <f>VLOOKUP(B735,[1]Companies!$A$1:$C$5243,1,FALSE)</f>
        <v>YenePay</v>
      </c>
      <c r="M735" s="15">
        <f t="shared" si="975"/>
        <v>0.9</v>
      </c>
      <c r="N735" s="10" t="str">
        <f t="shared" si="976"/>
        <v>43358YenePay65000</v>
      </c>
      <c r="O735" s="14" t="str">
        <f t="shared" si="977"/>
        <v/>
      </c>
      <c r="P735" s="14">
        <f t="shared" si="978"/>
        <v>1</v>
      </c>
      <c r="Q735" s="14">
        <f t="array" ref="Q735">IFERROR(INDEX([1]Companies!$D:$D,MATCH(B735,[1]Companies!$A:$A,0)),"")</f>
        <v>2015</v>
      </c>
      <c r="R735" s="17">
        <f t="shared" si="979"/>
        <v>65000</v>
      </c>
      <c r="S735" s="14">
        <f>VLOOKUP(I735,[1]Lookups!$V$3:$Y$197,4,FALSE)</f>
        <v>0</v>
      </c>
      <c r="T735" s="14" t="str">
        <f>VLOOKUP(E735,[1]Lookups!$H$3:$I$71,2,FALSE)</f>
        <v>2. Seed</v>
      </c>
      <c r="U735" s="14" t="str">
        <f>VLOOKUP(K735,[1]Lookups!$B$3:$C$142,2,FALSE)</f>
        <v>Financial Services</v>
      </c>
      <c r="V735" s="14">
        <f t="shared" si="921"/>
        <v>2018</v>
      </c>
      <c r="W735" s="14">
        <f t="shared" si="922"/>
        <v>9</v>
      </c>
      <c r="X735" s="14">
        <f>VLOOKUP(W735,[1]Lookups!$P$3:$S$15,2,FALSE)</f>
        <v>3</v>
      </c>
      <c r="Y735" s="16">
        <f>VLOOKUP(W735,[1]Lookups!$P$3:$U$15,3,FALSE)</f>
        <v>2</v>
      </c>
      <c r="Z735" s="16">
        <f t="shared" si="923"/>
        <v>1</v>
      </c>
      <c r="AA735" s="16" t="str">
        <f t="shared" ca="1" si="989"/>
        <v>Axa Insurance Morocco</v>
      </c>
      <c r="AB735" s="16">
        <f t="shared" si="989"/>
        <v>0</v>
      </c>
      <c r="AC735" s="16">
        <f t="shared" si="989"/>
        <v>0</v>
      </c>
      <c r="AD735" s="16">
        <f t="shared" si="989"/>
        <v>0</v>
      </c>
      <c r="AE735" s="16">
        <f t="shared" si="989"/>
        <v>0</v>
      </c>
      <c r="AF735" s="16">
        <f t="shared" si="989"/>
        <v>0</v>
      </c>
      <c r="AG735" s="16">
        <f t="shared" si="989"/>
        <v>0</v>
      </c>
      <c r="AH735" s="16">
        <f t="shared" si="989"/>
        <v>0</v>
      </c>
      <c r="AI735" s="16">
        <f t="shared" si="989"/>
        <v>0</v>
      </c>
      <c r="AJ735" s="16">
        <f t="shared" si="989"/>
        <v>0</v>
      </c>
      <c r="AK735" s="16">
        <f t="shared" si="989"/>
        <v>0</v>
      </c>
      <c r="AL735" s="16">
        <f t="shared" si="989"/>
        <v>0</v>
      </c>
      <c r="AM735" s="16">
        <f t="shared" si="989"/>
        <v>0</v>
      </c>
      <c r="AN735" s="16">
        <f t="shared" si="989"/>
        <v>0</v>
      </c>
      <c r="AO735" s="16">
        <f t="shared" si="989"/>
        <v>0</v>
      </c>
      <c r="AP735" s="10"/>
      <c r="AQ735" s="10"/>
      <c r="AR735" s="10"/>
      <c r="AS735" s="10" t="str">
        <f t="shared" ref="AS735" ca="1" si="993">IFERROR(__xludf.DUMMYFUNCTION("split(F723,"","",true,true)"),"Axa Insurance Morocco")</f>
        <v>Axa Insurance Morocco</v>
      </c>
      <c r="AT735" s="10"/>
      <c r="AU735" s="10"/>
      <c r="AV735" s="10"/>
      <c r="AW735" s="10"/>
      <c r="AX735" s="10"/>
      <c r="AY735" s="10"/>
      <c r="AZ735" s="10"/>
      <c r="BA735" s="10"/>
      <c r="BB735" s="10"/>
      <c r="BC735" s="10"/>
      <c r="BD735" s="10"/>
      <c r="BE735" s="10"/>
      <c r="BF735" s="10"/>
      <c r="BG735" s="10"/>
      <c r="BH735" s="10"/>
      <c r="BI735" s="10"/>
      <c r="BJ735" s="10"/>
      <c r="BK735" s="10"/>
      <c r="BM735" s="10"/>
    </row>
    <row r="736" spans="1:65" ht="12.75">
      <c r="A736" s="18">
        <v>43360</v>
      </c>
      <c r="B736" s="14" t="s">
        <v>1604</v>
      </c>
      <c r="C736" s="19">
        <v>1600000</v>
      </c>
      <c r="D736" s="19"/>
      <c r="E736" s="14" t="s">
        <v>69</v>
      </c>
      <c r="F736" s="14" t="s">
        <v>1605</v>
      </c>
      <c r="G736" s="27" t="s">
        <v>1606</v>
      </c>
      <c r="H736" s="14" t="str">
        <f t="array" ref="H736">IFERROR(INDEX([1]Companies!$G:$G,MATCH(B736,[1]Companies!$A:$A,0)),"")</f>
        <v>Tunisia</v>
      </c>
      <c r="I736" s="14" t="str">
        <f t="shared" si="974"/>
        <v>Tunisia</v>
      </c>
      <c r="J736" s="14" t="str">
        <f t="array" ref="J736">IFERROR(INDEX([1]Companies!$Y:$Y,MATCH(B736,[1]Companies!$A:$A,0)),"")</f>
        <v>Industrial Engineering, Robotics</v>
      </c>
      <c r="K736" s="14" t="str">
        <f t="array" ref="K736">IFERROR(INDEX([1]Companies!$X:$X,MATCH(B736,[1]Companies!$A:$A,0)),"")</f>
        <v>Robotics</v>
      </c>
      <c r="L736" s="14" t="str">
        <f>VLOOKUP(B736,[1]Companies!$A$1:$C$5243,1,FALSE)</f>
        <v>Enova Robotics</v>
      </c>
      <c r="M736" s="15">
        <f t="shared" si="975"/>
        <v>0.9</v>
      </c>
      <c r="N736" s="10" t="str">
        <f t="shared" si="976"/>
        <v>43360Enova Robotics1600000</v>
      </c>
      <c r="O736" s="14" t="str">
        <f t="shared" si="977"/>
        <v/>
      </c>
      <c r="P736" s="14">
        <f t="shared" si="978"/>
        <v>1</v>
      </c>
      <c r="Q736" s="14">
        <f t="array" ref="Q736">IFERROR(INDEX([1]Companies!$D:$D,MATCH(B736,[1]Companies!$A:$A,0)),"")</f>
        <v>2014</v>
      </c>
      <c r="R736" s="17">
        <f t="shared" si="979"/>
        <v>1600000</v>
      </c>
      <c r="S736" s="14">
        <f>VLOOKUP(I736,[1]Lookups!$V$3:$Y$197,4,FALSE)</f>
        <v>0</v>
      </c>
      <c r="T736" s="14" t="str">
        <f>VLOOKUP(E736,[1]Lookups!$H$3:$I$71,2,FALSE)</f>
        <v>3. Early Venture</v>
      </c>
      <c r="U736" s="14" t="str">
        <f>VLOOKUP(K736,[1]Lookups!$B$3:$C$142,2,FALSE)</f>
        <v>Emerging Technologies</v>
      </c>
      <c r="V736" s="14">
        <f t="shared" si="921"/>
        <v>2018</v>
      </c>
      <c r="W736" s="14">
        <f t="shared" si="922"/>
        <v>9</v>
      </c>
      <c r="X736" s="14">
        <f>VLOOKUP(W736,[1]Lookups!$P$3:$S$15,2,FALSE)</f>
        <v>3</v>
      </c>
      <c r="Y736" s="16">
        <f>VLOOKUP(W736,[1]Lookups!$P$3:$U$15,3,FALSE)</f>
        <v>2</v>
      </c>
      <c r="Z736" s="16">
        <f t="shared" si="923"/>
        <v>1</v>
      </c>
      <c r="AA736" s="16" t="str">
        <f t="shared" ca="1" si="989"/>
        <v>Axa Insurance Morocco</v>
      </c>
      <c r="AB736" s="16">
        <f t="shared" si="989"/>
        <v>0</v>
      </c>
      <c r="AC736" s="16">
        <f t="shared" si="989"/>
        <v>0</v>
      </c>
      <c r="AD736" s="16">
        <f t="shared" si="989"/>
        <v>0</v>
      </c>
      <c r="AE736" s="16">
        <f t="shared" si="989"/>
        <v>0</v>
      </c>
      <c r="AF736" s="16">
        <f t="shared" si="989"/>
        <v>0</v>
      </c>
      <c r="AG736" s="16">
        <f t="shared" si="989"/>
        <v>0</v>
      </c>
      <c r="AH736" s="16">
        <f t="shared" si="989"/>
        <v>0</v>
      </c>
      <c r="AI736" s="16">
        <f t="shared" si="989"/>
        <v>0</v>
      </c>
      <c r="AJ736" s="16">
        <f t="shared" si="989"/>
        <v>0</v>
      </c>
      <c r="AK736" s="16">
        <f t="shared" si="989"/>
        <v>0</v>
      </c>
      <c r="AL736" s="16">
        <f t="shared" si="989"/>
        <v>0</v>
      </c>
      <c r="AM736" s="16">
        <f t="shared" si="989"/>
        <v>0</v>
      </c>
      <c r="AN736" s="16">
        <f t="shared" si="989"/>
        <v>0</v>
      </c>
      <c r="AO736" s="16">
        <f t="shared" si="989"/>
        <v>0</v>
      </c>
      <c r="AP736" s="10"/>
      <c r="AQ736" s="10"/>
      <c r="AR736" s="10"/>
      <c r="AS736" s="10" t="str">
        <f t="shared" ref="AS736" ca="1" si="994">IFERROR(__xludf.DUMMYFUNCTION("split(F723,"","",true,true)"),"Axa Insurance Morocco")</f>
        <v>Axa Insurance Morocco</v>
      </c>
      <c r="AT736" s="10"/>
      <c r="AU736" s="10"/>
      <c r="AV736" s="10"/>
      <c r="AW736" s="10"/>
      <c r="AX736" s="10"/>
      <c r="AY736" s="10"/>
      <c r="AZ736" s="10"/>
      <c r="BA736" s="10"/>
      <c r="BB736" s="10"/>
      <c r="BC736" s="10"/>
      <c r="BD736" s="10"/>
      <c r="BE736" s="10"/>
      <c r="BF736" s="10"/>
      <c r="BG736" s="10"/>
      <c r="BH736" s="10"/>
      <c r="BI736" s="10"/>
      <c r="BJ736" s="10"/>
      <c r="BK736" s="10"/>
      <c r="BM736" s="10"/>
    </row>
    <row r="737" spans="1:65" ht="12.75">
      <c r="A737" s="18">
        <v>43361</v>
      </c>
      <c r="B737" s="14" t="s">
        <v>166</v>
      </c>
      <c r="C737" s="19">
        <v>52000000</v>
      </c>
      <c r="D737" s="19"/>
      <c r="E737" s="14" t="s">
        <v>112</v>
      </c>
      <c r="F737" s="14" t="s">
        <v>1607</v>
      </c>
      <c r="G737" s="27" t="s">
        <v>1608</v>
      </c>
      <c r="H737" s="14" t="str">
        <f t="array" ref="H737">IFERROR(INDEX([1]Companies!$G:$G,MATCH(B737,[1]Companies!$A:$A,0)),"")</f>
        <v>South Africa</v>
      </c>
      <c r="I737" s="14" t="str">
        <f t="shared" si="974"/>
        <v>South Africa</v>
      </c>
      <c r="J737" s="14" t="str">
        <f t="array" ref="J737">IFERROR(INDEX([1]Companies!$Y:$Y,MATCH(B737,[1]Companies!$A:$A,0)),"")</f>
        <v>Technology, Mobile Money, Big Data, Digital Financial Services, Mobile Financial Services, Financial Technology</v>
      </c>
      <c r="K737" s="14" t="str">
        <f t="array" ref="K737">IFERROR(INDEX([1]Companies!$X:$X,MATCH(B737,[1]Companies!$A:$A,0)),"")</f>
        <v>Financial Services</v>
      </c>
      <c r="L737" s="14" t="str">
        <f>VLOOKUP(B737,[1]Companies!$A$1:$C$5243,1,FALSE)</f>
        <v>Jumo</v>
      </c>
      <c r="M737" s="15">
        <f t="shared" si="975"/>
        <v>0.9</v>
      </c>
      <c r="N737" s="10" t="str">
        <f t="shared" si="976"/>
        <v>43361Jumo52000000</v>
      </c>
      <c r="O737" s="14" t="str">
        <f t="shared" si="977"/>
        <v/>
      </c>
      <c r="P737" s="14">
        <f t="shared" si="978"/>
        <v>1</v>
      </c>
      <c r="Q737" s="14">
        <f t="array" ref="Q737">IFERROR(INDEX([1]Companies!$D:$D,MATCH(B737,[1]Companies!$A:$A,0)),"")</f>
        <v>2014</v>
      </c>
      <c r="R737" s="17">
        <f t="shared" si="979"/>
        <v>91700000</v>
      </c>
      <c r="S737" s="14">
        <f>VLOOKUP(I737,[1]Lookups!$V$3:$Y$197,4,FALSE)</f>
        <v>0</v>
      </c>
      <c r="T737" s="14" t="str">
        <f>VLOOKUP(E737,[1]Lookups!$H$3:$I$71,2,FALSE)</f>
        <v>3. Early Venture</v>
      </c>
      <c r="U737" s="14" t="str">
        <f>VLOOKUP(K737,[1]Lookups!$B$3:$C$142,2,FALSE)</f>
        <v>Financial Services</v>
      </c>
      <c r="V737" s="14">
        <f t="shared" si="921"/>
        <v>2018</v>
      </c>
      <c r="W737" s="14">
        <f t="shared" si="922"/>
        <v>9</v>
      </c>
      <c r="X737" s="14">
        <f>VLOOKUP(W737,[1]Lookups!$P$3:$S$15,2,FALSE)</f>
        <v>3</v>
      </c>
      <c r="Y737" s="16">
        <f>VLOOKUP(W737,[1]Lookups!$P$3:$U$15,3,FALSE)</f>
        <v>2</v>
      </c>
      <c r="Z737" s="16">
        <f t="shared" si="923"/>
        <v>6</v>
      </c>
      <c r="AA737" s="16" t="str">
        <f t="shared" ca="1" si="989"/>
        <v>Axa Insurance Morocco</v>
      </c>
      <c r="AB737" s="16" t="str">
        <f t="shared" ca="1" si="989"/>
        <v xml:space="preserve"> Proparco</v>
      </c>
      <c r="AC737" s="16" t="str">
        <f t="shared" ca="1" si="989"/>
        <v xml:space="preserve"> Finnfund</v>
      </c>
      <c r="AD737" s="16" t="str">
        <f t="shared" ca="1" si="989"/>
        <v xml:space="preserve"> Vostok Emerging Finance</v>
      </c>
      <c r="AE737" s="16" t="str">
        <f t="shared" ca="1" si="989"/>
        <v xml:space="preserve"> Gemcorp Capital</v>
      </c>
      <c r="AF737" s="16" t="str">
        <f t="shared" ca="1" si="989"/>
        <v xml:space="preserve"> LeapFrog Investments.</v>
      </c>
      <c r="AG737" s="16">
        <f t="shared" si="989"/>
        <v>0</v>
      </c>
      <c r="AH737" s="16">
        <f t="shared" si="989"/>
        <v>0</v>
      </c>
      <c r="AI737" s="16">
        <f t="shared" si="989"/>
        <v>0</v>
      </c>
      <c r="AJ737" s="16">
        <f t="shared" si="989"/>
        <v>0</v>
      </c>
      <c r="AK737" s="16">
        <f t="shared" si="989"/>
        <v>0</v>
      </c>
      <c r="AL737" s="16">
        <f t="shared" si="989"/>
        <v>0</v>
      </c>
      <c r="AM737" s="16">
        <f t="shared" si="989"/>
        <v>0</v>
      </c>
      <c r="AN737" s="16">
        <f t="shared" si="989"/>
        <v>0</v>
      </c>
      <c r="AO737" s="16">
        <f t="shared" si="989"/>
        <v>0</v>
      </c>
      <c r="AP737" s="10"/>
      <c r="AQ737" s="10"/>
      <c r="AR737" s="10"/>
      <c r="AS737" s="10" t="str">
        <f t="shared" ref="AS737" ca="1" si="995">IFERROR(__xludf.DUMMYFUNCTION("split(F723,"","",true,true)"),"Axa Insurance Morocco")</f>
        <v>Axa Insurance Morocco</v>
      </c>
      <c r="AT737" s="25" t="str">
        <f ca="1">IFERROR(__xludf.DUMMYFUNCTION("""COMPUTED_VALUE""")," Proparco")</f>
        <v xml:space="preserve"> Proparco</v>
      </c>
      <c r="AU737" s="25" t="str">
        <f ca="1">IFERROR(__xludf.DUMMYFUNCTION("""COMPUTED_VALUE""")," Finnfund")</f>
        <v xml:space="preserve"> Finnfund</v>
      </c>
      <c r="AV737" s="25" t="str">
        <f ca="1">IFERROR(__xludf.DUMMYFUNCTION("""COMPUTED_VALUE""")," Vostok Emerging Finance")</f>
        <v xml:space="preserve"> Vostok Emerging Finance</v>
      </c>
      <c r="AW737" s="25" t="str">
        <f ca="1">IFERROR(__xludf.DUMMYFUNCTION("""COMPUTED_VALUE""")," Gemcorp Capital")</f>
        <v xml:space="preserve"> Gemcorp Capital</v>
      </c>
      <c r="AX737" s="25" t="str">
        <f ca="1">IFERROR(__xludf.DUMMYFUNCTION("""COMPUTED_VALUE""")," LeapFrog Investments.")</f>
        <v xml:space="preserve"> LeapFrog Investments.</v>
      </c>
      <c r="AY737" s="25"/>
      <c r="AZ737" s="25"/>
      <c r="BA737" s="25"/>
      <c r="BB737" s="25"/>
      <c r="BC737" s="25"/>
      <c r="BD737" s="25"/>
      <c r="BE737" s="25"/>
      <c r="BF737" s="25"/>
      <c r="BG737" s="25"/>
      <c r="BH737" s="25"/>
      <c r="BI737" s="25"/>
      <c r="BJ737" s="25"/>
      <c r="BK737" s="25"/>
      <c r="BM737" s="25"/>
    </row>
    <row r="738" spans="1:65" ht="12.75">
      <c r="A738" s="18">
        <v>43362</v>
      </c>
      <c r="B738" s="14" t="s">
        <v>222</v>
      </c>
      <c r="C738" s="19">
        <v>12000000</v>
      </c>
      <c r="D738" s="19"/>
      <c r="E738" s="14" t="s">
        <v>84</v>
      </c>
      <c r="F738" s="14" t="s">
        <v>1609</v>
      </c>
      <c r="G738" s="13" t="s">
        <v>1610</v>
      </c>
      <c r="H738" s="14" t="str">
        <f t="array" ref="H738">IFERROR(INDEX([1]Companies!$G:$G,MATCH(B738,[1]Companies!$A:$A,0)),"")</f>
        <v>Egypt</v>
      </c>
      <c r="I738" s="14" t="str">
        <f t="shared" si="974"/>
        <v>Egypt</v>
      </c>
      <c r="J738" s="14" t="str">
        <f t="array" ref="J738">IFERROR(INDEX([1]Companies!$Y:$Y,MATCH(B738,[1]Companies!$A:$A,0)),"")</f>
        <v>Healthcare, Internet, Marketplace, Medical, Paas, Saas</v>
      </c>
      <c r="K738" s="14" t="str">
        <f t="array" ref="K738">IFERROR(INDEX([1]Companies!$X:$X,MATCH(B738,[1]Companies!$A:$A,0)),"")</f>
        <v>Healthcare &amp; Pharma</v>
      </c>
      <c r="L738" s="14" t="str">
        <f>VLOOKUP(B738,[1]Companies!$A$1:$C$5243,1,FALSE)</f>
        <v>Vezeeta</v>
      </c>
      <c r="M738" s="15">
        <f t="shared" si="975"/>
        <v>0.9</v>
      </c>
      <c r="N738" s="10" t="str">
        <f t="shared" si="976"/>
        <v>43362Vezeeta12000000</v>
      </c>
      <c r="O738" s="14" t="str">
        <f t="shared" si="977"/>
        <v/>
      </c>
      <c r="P738" s="14">
        <f t="shared" si="978"/>
        <v>1</v>
      </c>
      <c r="Q738" s="14">
        <f t="array" ref="Q738">IFERROR(INDEX([1]Companies!$D:$D,MATCH(B738,[1]Companies!$A:$A,0)),"")</f>
        <v>2012</v>
      </c>
      <c r="R738" s="17">
        <f t="shared" si="979"/>
        <v>23500000</v>
      </c>
      <c r="S738" s="14">
        <f>VLOOKUP(I738,[1]Lookups!$V$3:$Y$197,4,FALSE)</f>
        <v>0</v>
      </c>
      <c r="T738" s="14" t="str">
        <f>VLOOKUP(E738,[1]Lookups!$H$3:$I$71,2,FALSE)</f>
        <v>4. Late Venture</v>
      </c>
      <c r="U738" s="14" t="str">
        <f>VLOOKUP(K738,[1]Lookups!$B$3:$C$142,2,FALSE)</f>
        <v>Health &amp; Pharmaceuticals</v>
      </c>
      <c r="V738" s="14">
        <f t="shared" si="921"/>
        <v>2018</v>
      </c>
      <c r="W738" s="14">
        <f t="shared" si="922"/>
        <v>9</v>
      </c>
      <c r="X738" s="14">
        <f>VLOOKUP(W738,[1]Lookups!$P$3:$S$15,2,FALSE)</f>
        <v>3</v>
      </c>
      <c r="Y738" s="16">
        <f>VLOOKUP(W738,[1]Lookups!$P$3:$U$15,3,FALSE)</f>
        <v>2</v>
      </c>
      <c r="Z738" s="16">
        <f t="shared" si="923"/>
        <v>5</v>
      </c>
      <c r="AA738" s="16" t="str">
        <f t="shared" ca="1" si="989"/>
        <v>Axa Insurance Morocco</v>
      </c>
      <c r="AB738" s="16" t="str">
        <f t="shared" ca="1" si="989"/>
        <v xml:space="preserve"> Silicon Badia</v>
      </c>
      <c r="AC738" s="16" t="str">
        <f t="shared" ca="1" si="989"/>
        <v xml:space="preserve"> BECO Capital</v>
      </c>
      <c r="AD738" s="16" t="str">
        <f t="shared" ca="1" si="989"/>
        <v xml:space="preserve"> Vostock New Ventures</v>
      </c>
      <c r="AE738" s="16" t="str">
        <f t="shared" ca="1" si="989"/>
        <v xml:space="preserve"> Crescent Enterprise Venture Capital</v>
      </c>
      <c r="AF738" s="16">
        <f t="shared" si="989"/>
        <v>0</v>
      </c>
      <c r="AG738" s="16">
        <f t="shared" si="989"/>
        <v>0</v>
      </c>
      <c r="AH738" s="16">
        <f t="shared" si="989"/>
        <v>0</v>
      </c>
      <c r="AI738" s="16">
        <f t="shared" si="989"/>
        <v>0</v>
      </c>
      <c r="AJ738" s="16">
        <f t="shared" si="989"/>
        <v>0</v>
      </c>
      <c r="AK738" s="16">
        <f t="shared" si="989"/>
        <v>0</v>
      </c>
      <c r="AL738" s="16">
        <f t="shared" si="989"/>
        <v>0</v>
      </c>
      <c r="AM738" s="16">
        <f t="shared" si="989"/>
        <v>0</v>
      </c>
      <c r="AN738" s="16">
        <f t="shared" si="989"/>
        <v>0</v>
      </c>
      <c r="AO738" s="16">
        <f t="shared" si="989"/>
        <v>0</v>
      </c>
      <c r="AP738" s="10"/>
      <c r="AQ738" s="10"/>
      <c r="AR738" s="10"/>
      <c r="AS738" s="10" t="str">
        <f t="shared" ref="AS738" ca="1" si="996">IFERROR(__xludf.DUMMYFUNCTION("split(F723,"","",true,true)"),"Axa Insurance Morocco")</f>
        <v>Axa Insurance Morocco</v>
      </c>
      <c r="AT738" s="10" t="str">
        <f ca="1">IFERROR(__xludf.DUMMYFUNCTION("""COMPUTED_VALUE""")," Silicon Badia")</f>
        <v xml:space="preserve"> Silicon Badia</v>
      </c>
      <c r="AU738" s="10" t="str">
        <f ca="1">IFERROR(__xludf.DUMMYFUNCTION("""COMPUTED_VALUE""")," BECO Capital")</f>
        <v xml:space="preserve"> BECO Capital</v>
      </c>
      <c r="AV738" s="10" t="str">
        <f ca="1">IFERROR(__xludf.DUMMYFUNCTION("""COMPUTED_VALUE""")," Vostock New Ventures")</f>
        <v xml:space="preserve"> Vostock New Ventures</v>
      </c>
      <c r="AW738" s="10" t="str">
        <f ca="1">IFERROR(__xludf.DUMMYFUNCTION("""COMPUTED_VALUE""")," Crescent Enterprise Venture Capital")</f>
        <v xml:space="preserve"> Crescent Enterprise Venture Capital</v>
      </c>
      <c r="AX738" s="10"/>
      <c r="AY738" s="10"/>
      <c r="AZ738" s="10"/>
      <c r="BA738" s="10"/>
      <c r="BB738" s="10"/>
      <c r="BC738" s="10"/>
      <c r="BD738" s="10"/>
      <c r="BE738" s="10"/>
      <c r="BF738" s="10"/>
      <c r="BG738" s="10"/>
      <c r="BH738" s="10"/>
      <c r="BI738" s="10"/>
      <c r="BJ738" s="10"/>
      <c r="BK738" s="10"/>
      <c r="BM738" s="10"/>
    </row>
    <row r="739" spans="1:65" ht="12.75">
      <c r="A739" s="18">
        <v>43363</v>
      </c>
      <c r="B739" s="14" t="s">
        <v>1611</v>
      </c>
      <c r="C739" s="19">
        <v>35000</v>
      </c>
      <c r="D739" s="19"/>
      <c r="E739" s="14" t="s">
        <v>45</v>
      </c>
      <c r="F739" s="14" t="s">
        <v>1612</v>
      </c>
      <c r="G739" s="27" t="s">
        <v>1613</v>
      </c>
      <c r="H739" s="14" t="str">
        <f t="array" ref="H739">IFERROR(INDEX([1]Companies!$G:$G,MATCH(B739,[1]Companies!$A:$A,0)),"")</f>
        <v>Nigeria</v>
      </c>
      <c r="I739" s="14" t="str">
        <f t="shared" si="974"/>
        <v>Nigeria</v>
      </c>
      <c r="J739" s="14" t="str">
        <f t="array" ref="J739">IFERROR(INDEX([1]Companies!$Y:$Y,MATCH(B739,[1]Companies!$A:$A,0)),"")</f>
        <v>E-Commerce, Fashion, Retail</v>
      </c>
      <c r="K739" s="14" t="str">
        <f t="array" ref="K739">IFERROR(INDEX([1]Companies!$X:$X,MATCH(B739,[1]Companies!$A:$A,0)),"")</f>
        <v>E-Commerce &amp; Retail</v>
      </c>
      <c r="L739" s="14" t="str">
        <f>VLOOKUP(B739,[1]Companies!$A$1:$C$5243,1,FALSE)</f>
        <v xml:space="preserve">Fashpa </v>
      </c>
      <c r="M739" s="15">
        <f t="shared" si="975"/>
        <v>0.9</v>
      </c>
      <c r="N739" s="10" t="str">
        <f t="shared" si="976"/>
        <v>43363Fashpa 35000</v>
      </c>
      <c r="O739" s="14" t="str">
        <f t="shared" si="977"/>
        <v/>
      </c>
      <c r="P739" s="14">
        <f t="shared" si="978"/>
        <v>1</v>
      </c>
      <c r="Q739" s="14">
        <f t="array" ref="Q739">IFERROR(INDEX([1]Companies!$D:$D,MATCH(B739,[1]Companies!$A:$A,0)),"")</f>
        <v>2014</v>
      </c>
      <c r="R739" s="17">
        <f t="shared" si="979"/>
        <v>35000</v>
      </c>
      <c r="S739" s="14">
        <f>VLOOKUP(I739,[1]Lookups!$V$3:$Y$197,4,FALSE)</f>
        <v>0</v>
      </c>
      <c r="T739" s="14" t="str">
        <f>VLOOKUP(E739,[1]Lookups!$H$3:$I$71,2,FALSE)</f>
        <v>2. Seed</v>
      </c>
      <c r="U739" s="14" t="str">
        <f>VLOOKUP(K739,[1]Lookups!$B$3:$C$142,2,FALSE)</f>
        <v>E-commerce &amp; Retail</v>
      </c>
      <c r="V739" s="14">
        <f t="shared" si="921"/>
        <v>2018</v>
      </c>
      <c r="W739" s="14">
        <f t="shared" si="922"/>
        <v>9</v>
      </c>
      <c r="X739" s="14">
        <f>VLOOKUP(W739,[1]Lookups!$P$3:$S$15,2,FALSE)</f>
        <v>3</v>
      </c>
      <c r="Y739" s="16">
        <f>VLOOKUP(W739,[1]Lookups!$P$3:$U$15,3,FALSE)</f>
        <v>2</v>
      </c>
      <c r="Z739" s="16">
        <f t="shared" si="923"/>
        <v>1</v>
      </c>
      <c r="AA739" s="16" t="str">
        <f t="shared" ca="1" si="989"/>
        <v>Axa Insurance Morocco</v>
      </c>
      <c r="AB739" s="16">
        <f t="shared" si="989"/>
        <v>0</v>
      </c>
      <c r="AC739" s="16">
        <f t="shared" si="989"/>
        <v>0</v>
      </c>
      <c r="AD739" s="16">
        <f t="shared" si="989"/>
        <v>0</v>
      </c>
      <c r="AE739" s="16">
        <f t="shared" si="989"/>
        <v>0</v>
      </c>
      <c r="AF739" s="16">
        <f t="shared" si="989"/>
        <v>0</v>
      </c>
      <c r="AG739" s="16">
        <f t="shared" si="989"/>
        <v>0</v>
      </c>
      <c r="AH739" s="16">
        <f t="shared" si="989"/>
        <v>0</v>
      </c>
      <c r="AI739" s="16">
        <f t="shared" si="989"/>
        <v>0</v>
      </c>
      <c r="AJ739" s="16">
        <f t="shared" si="989"/>
        <v>0</v>
      </c>
      <c r="AK739" s="16">
        <f t="shared" si="989"/>
        <v>0</v>
      </c>
      <c r="AL739" s="16">
        <f t="shared" si="989"/>
        <v>0</v>
      </c>
      <c r="AM739" s="16">
        <f t="shared" si="989"/>
        <v>0</v>
      </c>
      <c r="AN739" s="16">
        <f t="shared" si="989"/>
        <v>0</v>
      </c>
      <c r="AO739" s="16">
        <f t="shared" si="989"/>
        <v>0</v>
      </c>
      <c r="AP739" s="10"/>
      <c r="AQ739" s="10"/>
      <c r="AR739" s="10"/>
      <c r="AS739" s="10" t="str">
        <f t="shared" ref="AS739" ca="1" si="997">IFERROR(__xludf.DUMMYFUNCTION("split(F723,"","",true,true)"),"Axa Insurance Morocco")</f>
        <v>Axa Insurance Morocco</v>
      </c>
      <c r="AT739" s="10"/>
      <c r="AU739" s="10"/>
      <c r="AV739" s="10"/>
      <c r="AW739" s="10"/>
      <c r="AX739" s="10"/>
      <c r="AY739" s="10"/>
      <c r="AZ739" s="10"/>
      <c r="BA739" s="10"/>
      <c r="BB739" s="10"/>
      <c r="BC739" s="10"/>
      <c r="BD739" s="10"/>
      <c r="BE739" s="10"/>
      <c r="BF739" s="10"/>
      <c r="BG739" s="10"/>
      <c r="BH739" s="10"/>
      <c r="BI739" s="10"/>
      <c r="BJ739" s="10"/>
      <c r="BK739" s="10"/>
      <c r="BM739" s="10"/>
    </row>
    <row r="740" spans="1:65" ht="12.75">
      <c r="A740" s="18">
        <v>43363</v>
      </c>
      <c r="B740" s="14" t="s">
        <v>1614</v>
      </c>
      <c r="C740" s="19">
        <v>20000</v>
      </c>
      <c r="D740" s="19"/>
      <c r="E740" s="14" t="s">
        <v>45</v>
      </c>
      <c r="F740" s="14" t="s">
        <v>1615</v>
      </c>
      <c r="G740" s="27" t="s">
        <v>1616</v>
      </c>
      <c r="H740" s="14" t="str">
        <f t="array" ref="H740">IFERROR(INDEX([1]Companies!$G:$G,MATCH(B740,[1]Companies!$A:$A,0)),"")</f>
        <v>Egypt</v>
      </c>
      <c r="I740" s="14" t="str">
        <f t="shared" si="974"/>
        <v>Egypt</v>
      </c>
      <c r="J740" s="14" t="str">
        <f t="array" ref="J740">IFERROR(INDEX([1]Companies!$Y:$Y,MATCH(B740,[1]Companies!$A:$A,0)),"")</f>
        <v>Automotive, Mobile Apps, Subscription Service</v>
      </c>
      <c r="K740" s="14" t="str">
        <f t="array" ref="K740">IFERROR(INDEX([1]Companies!$X:$X,MATCH(B740,[1]Companies!$A:$A,0)),"")</f>
        <v>Other Technologies &amp; Information Technology</v>
      </c>
      <c r="L740" s="14" t="str">
        <f>VLOOKUP(B740,[1]Companies!$A$1:$C$5243,1,FALSE)</f>
        <v>MAYDAY</v>
      </c>
      <c r="M740" s="15">
        <f t="shared" si="975"/>
        <v>0.9</v>
      </c>
      <c r="N740" s="10" t="str">
        <f t="shared" si="976"/>
        <v>43363MAYDAY20000</v>
      </c>
      <c r="O740" s="14" t="str">
        <f t="shared" si="977"/>
        <v/>
      </c>
      <c r="P740" s="14">
        <f t="shared" si="978"/>
        <v>1</v>
      </c>
      <c r="Q740" s="14">
        <f t="array" ref="Q740">IFERROR(INDEX([1]Companies!$D:$D,MATCH(B740,[1]Companies!$A:$A,0)),"")</f>
        <v>2018</v>
      </c>
      <c r="R740" s="17">
        <f t="shared" si="979"/>
        <v>48000</v>
      </c>
      <c r="S740" s="14">
        <f>VLOOKUP(I740,[1]Lookups!$V$3:$Y$197,4,FALSE)</f>
        <v>0</v>
      </c>
      <c r="T740" s="14" t="str">
        <f>VLOOKUP(E740,[1]Lookups!$H$3:$I$71,2,FALSE)</f>
        <v>2. Seed</v>
      </c>
      <c r="U740" s="14" t="str">
        <f>VLOOKUP(K740,[1]Lookups!$B$3:$C$142,2,FALSE)</f>
        <v>Other Technologies &amp; Information Technology</v>
      </c>
      <c r="V740" s="14">
        <f t="shared" si="921"/>
        <v>2018</v>
      </c>
      <c r="W740" s="14">
        <f t="shared" si="922"/>
        <v>9</v>
      </c>
      <c r="X740" s="14">
        <f>VLOOKUP(W740,[1]Lookups!$P$3:$S$15,2,FALSE)</f>
        <v>3</v>
      </c>
      <c r="Y740" s="16">
        <f>VLOOKUP(W740,[1]Lookups!$P$3:$U$15,3,FALSE)</f>
        <v>2</v>
      </c>
      <c r="Z740" s="16">
        <f t="shared" si="923"/>
        <v>1</v>
      </c>
      <c r="AA740" s="16" t="str">
        <f t="shared" ca="1" si="989"/>
        <v>Axa Insurance Morocco</v>
      </c>
      <c r="AB740" s="16">
        <f t="shared" si="989"/>
        <v>0</v>
      </c>
      <c r="AC740" s="16">
        <f t="shared" si="989"/>
        <v>0</v>
      </c>
      <c r="AD740" s="16">
        <f t="shared" si="989"/>
        <v>0</v>
      </c>
      <c r="AE740" s="16">
        <f t="shared" si="989"/>
        <v>0</v>
      </c>
      <c r="AF740" s="16">
        <f t="shared" si="989"/>
        <v>0</v>
      </c>
      <c r="AG740" s="16">
        <f t="shared" si="989"/>
        <v>0</v>
      </c>
      <c r="AH740" s="16">
        <f t="shared" si="989"/>
        <v>0</v>
      </c>
      <c r="AI740" s="16">
        <f t="shared" si="989"/>
        <v>0</v>
      </c>
      <c r="AJ740" s="16">
        <f t="shared" si="989"/>
        <v>0</v>
      </c>
      <c r="AK740" s="16">
        <f t="shared" si="989"/>
        <v>0</v>
      </c>
      <c r="AL740" s="16">
        <f t="shared" si="989"/>
        <v>0</v>
      </c>
      <c r="AM740" s="16">
        <f t="shared" si="989"/>
        <v>0</v>
      </c>
      <c r="AN740" s="16">
        <f t="shared" si="989"/>
        <v>0</v>
      </c>
      <c r="AO740" s="16">
        <f t="shared" si="989"/>
        <v>0</v>
      </c>
      <c r="AP740" s="10"/>
      <c r="AQ740" s="10"/>
      <c r="AR740" s="10"/>
      <c r="AS740" s="10" t="str">
        <f t="shared" ref="AS740" ca="1" si="998">IFERROR(__xludf.DUMMYFUNCTION("split(F723,"","",true,true)"),"Axa Insurance Morocco")</f>
        <v>Axa Insurance Morocco</v>
      </c>
      <c r="AT740" s="10"/>
      <c r="AU740" s="10"/>
      <c r="AV740" s="10"/>
      <c r="AW740" s="10"/>
      <c r="AX740" s="10"/>
      <c r="AY740" s="10"/>
      <c r="AZ740" s="10"/>
      <c r="BA740" s="10"/>
      <c r="BB740" s="10"/>
      <c r="BC740" s="10"/>
      <c r="BD740" s="10"/>
      <c r="BE740" s="10"/>
      <c r="BF740" s="10"/>
      <c r="BG740" s="10"/>
      <c r="BH740" s="10"/>
      <c r="BI740" s="10"/>
      <c r="BJ740" s="10"/>
      <c r="BK740" s="10"/>
      <c r="BM740" s="10"/>
    </row>
    <row r="741" spans="1:65" ht="12.75">
      <c r="A741" s="18">
        <v>43364</v>
      </c>
      <c r="B741" s="14" t="s">
        <v>1617</v>
      </c>
      <c r="C741" s="19">
        <v>250000</v>
      </c>
      <c r="D741" s="19"/>
      <c r="E741" s="14" t="s">
        <v>234</v>
      </c>
      <c r="F741" s="14" t="s">
        <v>1618</v>
      </c>
      <c r="G741" s="27" t="s">
        <v>1619</v>
      </c>
      <c r="H741" s="14" t="str">
        <f t="array" ref="H741">IFERROR(INDEX([1]Companies!$G:$G,MATCH(B741,[1]Companies!$A:$A,0)),"")</f>
        <v>Nigeria</v>
      </c>
      <c r="I741" s="14" t="str">
        <f t="shared" si="974"/>
        <v>Nigeria</v>
      </c>
      <c r="J741" s="14" t="str">
        <f t="array" ref="J741">IFERROR(INDEX([1]Companies!$Y:$Y,MATCH(B741,[1]Companies!$A:$A,0)),"")</f>
        <v>Software Development, Systems Integration, Project Management, Hub, and Digital Marketing</v>
      </c>
      <c r="K741" s="14" t="str">
        <f t="array" ref="K741">IFERROR(INDEX([1]Companies!$X:$X,MATCH(B741,[1]Companies!$A:$A,0)),"")</f>
        <v>Information Technology</v>
      </c>
      <c r="L741" s="14" t="str">
        <f>VLOOKUP(B741,[1]Companies!$A$1:$C$5243,1,FALSE)</f>
        <v>Enov8 Solutions</v>
      </c>
      <c r="M741" s="15">
        <f t="shared" si="975"/>
        <v>0.9</v>
      </c>
      <c r="N741" s="10" t="str">
        <f t="shared" si="976"/>
        <v>43364Enov8 Solutions250000</v>
      </c>
      <c r="O741" s="14" t="str">
        <f t="shared" si="977"/>
        <v/>
      </c>
      <c r="P741" s="14">
        <f t="shared" si="978"/>
        <v>1</v>
      </c>
      <c r="Q741" s="14">
        <f t="array" ref="Q741">IFERROR(INDEX([1]Companies!$D:$D,MATCH(B741,[1]Companies!$A:$A,0)),"")</f>
        <v>2018</v>
      </c>
      <c r="R741" s="17">
        <f t="shared" si="979"/>
        <v>250000</v>
      </c>
      <c r="S741" s="14">
        <f>VLOOKUP(I741,[1]Lookups!$V$3:$Y$197,4,FALSE)</f>
        <v>0</v>
      </c>
      <c r="T741" s="14" t="str">
        <f>VLOOKUP(E741,[1]Lookups!$H$3:$I$71,2,FALSE)</f>
        <v>2. Seed</v>
      </c>
      <c r="U741" s="14" t="str">
        <f>VLOOKUP(K741,[1]Lookups!$B$3:$C$142,2,FALSE)</f>
        <v>Other Technologies &amp; Information Technology</v>
      </c>
      <c r="V741" s="14">
        <f t="shared" si="921"/>
        <v>2018</v>
      </c>
      <c r="W741" s="14">
        <f t="shared" si="922"/>
        <v>9</v>
      </c>
      <c r="X741" s="14">
        <f>VLOOKUP(W741,[1]Lookups!$P$3:$S$15,2,FALSE)</f>
        <v>3</v>
      </c>
      <c r="Y741" s="16">
        <f>VLOOKUP(W741,[1]Lookups!$P$3:$U$15,3,FALSE)</f>
        <v>2</v>
      </c>
      <c r="Z741" s="16">
        <f t="shared" si="923"/>
        <v>1</v>
      </c>
      <c r="AA741" s="16" t="str">
        <f t="shared" ca="1" si="989"/>
        <v>Axa Insurance Morocco</v>
      </c>
      <c r="AB741" s="16">
        <f t="shared" si="989"/>
        <v>0</v>
      </c>
      <c r="AC741" s="16">
        <f t="shared" si="989"/>
        <v>0</v>
      </c>
      <c r="AD741" s="16">
        <f t="shared" si="989"/>
        <v>0</v>
      </c>
      <c r="AE741" s="16">
        <f t="shared" si="989"/>
        <v>0</v>
      </c>
      <c r="AF741" s="16">
        <f t="shared" si="989"/>
        <v>0</v>
      </c>
      <c r="AG741" s="16">
        <f t="shared" si="989"/>
        <v>0</v>
      </c>
      <c r="AH741" s="16">
        <f t="shared" si="989"/>
        <v>0</v>
      </c>
      <c r="AI741" s="16">
        <f t="shared" si="989"/>
        <v>0</v>
      </c>
      <c r="AJ741" s="16">
        <f t="shared" si="989"/>
        <v>0</v>
      </c>
      <c r="AK741" s="16">
        <f t="shared" si="989"/>
        <v>0</v>
      </c>
      <c r="AL741" s="16">
        <f t="shared" si="989"/>
        <v>0</v>
      </c>
      <c r="AM741" s="16">
        <f t="shared" si="989"/>
        <v>0</v>
      </c>
      <c r="AN741" s="16">
        <f t="shared" si="989"/>
        <v>0</v>
      </c>
      <c r="AO741" s="16">
        <f t="shared" si="989"/>
        <v>0</v>
      </c>
      <c r="AP741" s="10"/>
      <c r="AQ741" s="10"/>
      <c r="AR741" s="10"/>
      <c r="AS741" s="10" t="str">
        <f t="shared" ref="AS741" ca="1" si="999">IFERROR(__xludf.DUMMYFUNCTION("split(F723,"","",true,true)"),"Axa Insurance Morocco")</f>
        <v>Axa Insurance Morocco</v>
      </c>
      <c r="AT741" s="10"/>
      <c r="AU741" s="10"/>
      <c r="AV741" s="10"/>
      <c r="AW741" s="10"/>
      <c r="AX741" s="10"/>
      <c r="AY741" s="10"/>
      <c r="AZ741" s="10"/>
      <c r="BA741" s="10"/>
      <c r="BB741" s="10"/>
      <c r="BC741" s="10"/>
      <c r="BD741" s="10"/>
      <c r="BE741" s="10"/>
      <c r="BF741" s="10"/>
      <c r="BG741" s="10"/>
      <c r="BH741" s="10"/>
      <c r="BI741" s="10"/>
      <c r="BJ741" s="10"/>
      <c r="BK741" s="10"/>
      <c r="BM741" s="10"/>
    </row>
    <row r="742" spans="1:65" ht="12.75">
      <c r="A742" s="9">
        <v>43365</v>
      </c>
      <c r="B742" s="10" t="s">
        <v>1620</v>
      </c>
      <c r="C742" s="11">
        <v>4200</v>
      </c>
      <c r="D742" s="12"/>
      <c r="E742" s="10" t="s">
        <v>45</v>
      </c>
      <c r="F742" s="10" t="s">
        <v>1621</v>
      </c>
      <c r="G742" s="13" t="s">
        <v>1622</v>
      </c>
      <c r="H742" s="14" t="str">
        <f t="array" ref="H742">IFERROR(INDEX([1]Companies!$G:$G,MATCH(B742,[1]Companies!$A:$A,0)),"")</f>
        <v>Nigeria</v>
      </c>
      <c r="I742" s="14" t="str">
        <f t="shared" si="974"/>
        <v>Nigeria</v>
      </c>
      <c r="J742" s="14" t="str">
        <f t="array" ref="J742">IFERROR(INDEX([1]Companies!$Y:$Y,MATCH(B742,[1]Companies!$A:$A,0)),"")</f>
        <v>Content Creators, Digital Marketing, Web Development</v>
      </c>
      <c r="K742" s="14" t="str">
        <f t="array" ref="K742">IFERROR(INDEX([1]Companies!$X:$X,MATCH(B742,[1]Companies!$A:$A,0)),"")</f>
        <v>Media &amp; Entertainment</v>
      </c>
      <c r="L742" s="14" t="str">
        <f>VLOOKUP(B742,[1]Companies!$A$1:$C$5243,1,FALSE)</f>
        <v>Servixme</v>
      </c>
      <c r="M742" s="15">
        <f t="shared" si="975"/>
        <v>0.9</v>
      </c>
      <c r="N742" s="10" t="str">
        <f t="shared" si="976"/>
        <v>43365servixme4200</v>
      </c>
      <c r="O742" s="14" t="str">
        <f t="shared" si="977"/>
        <v/>
      </c>
      <c r="P742" s="14">
        <f t="shared" si="978"/>
        <v>1</v>
      </c>
      <c r="Q742" s="14">
        <f t="array" ref="Q742">IFERROR(INDEX([1]Companies!$D:$D,MATCH(B742,[1]Companies!$A:$A,0)),"")</f>
        <v>2018</v>
      </c>
      <c r="R742" s="17">
        <f t="shared" si="979"/>
        <v>4200</v>
      </c>
      <c r="S742" s="14">
        <f>VLOOKUP(I742,[1]Lookups!$V$3:$Y$197,4,FALSE)</f>
        <v>0</v>
      </c>
      <c r="T742" s="14" t="str">
        <f>VLOOKUP(E742,[1]Lookups!$H$3:$I$71,2,FALSE)</f>
        <v>2. Seed</v>
      </c>
      <c r="U742" s="14" t="str">
        <f>VLOOKUP(K742,[1]Lookups!$B$3:$C$142,2,FALSE)</f>
        <v>Media &amp; Entertainment</v>
      </c>
      <c r="V742" s="14">
        <f t="shared" si="921"/>
        <v>2018</v>
      </c>
      <c r="W742" s="14">
        <f t="shared" si="922"/>
        <v>9</v>
      </c>
      <c r="X742" s="14">
        <f>VLOOKUP(W742,[1]Lookups!$P$3:$S$15,2,FALSE)</f>
        <v>3</v>
      </c>
      <c r="Y742" s="16">
        <f>VLOOKUP(W742,[1]Lookups!$P$3:$U$15,3,FALSE)</f>
        <v>2</v>
      </c>
      <c r="Z742" s="16">
        <f t="shared" si="923"/>
        <v>1</v>
      </c>
      <c r="AA742" s="16" t="str">
        <f t="shared" ca="1" si="989"/>
        <v>Axa Insurance Morocco</v>
      </c>
      <c r="AB742" s="16">
        <f t="shared" si="989"/>
        <v>0</v>
      </c>
      <c r="AC742" s="16">
        <f t="shared" si="989"/>
        <v>0</v>
      </c>
      <c r="AD742" s="16">
        <f t="shared" si="989"/>
        <v>0</v>
      </c>
      <c r="AE742" s="16">
        <f t="shared" si="989"/>
        <v>0</v>
      </c>
      <c r="AF742" s="16">
        <f t="shared" si="989"/>
        <v>0</v>
      </c>
      <c r="AG742" s="16">
        <f t="shared" si="989"/>
        <v>0</v>
      </c>
      <c r="AH742" s="16">
        <f t="shared" si="989"/>
        <v>0</v>
      </c>
      <c r="AI742" s="16">
        <f t="shared" si="989"/>
        <v>0</v>
      </c>
      <c r="AJ742" s="16">
        <f t="shared" si="989"/>
        <v>0</v>
      </c>
      <c r="AK742" s="16">
        <f t="shared" si="989"/>
        <v>0</v>
      </c>
      <c r="AL742" s="16">
        <f t="shared" si="989"/>
        <v>0</v>
      </c>
      <c r="AM742" s="16">
        <f t="shared" si="989"/>
        <v>0</v>
      </c>
      <c r="AN742" s="16">
        <f t="shared" si="989"/>
        <v>0</v>
      </c>
      <c r="AO742" s="16">
        <f t="shared" si="989"/>
        <v>0</v>
      </c>
      <c r="AP742" s="10"/>
      <c r="AQ742" s="10"/>
      <c r="AR742" s="10"/>
      <c r="AS742" s="10" t="str">
        <f t="shared" ref="AS742" ca="1" si="1000">IFERROR(__xludf.DUMMYFUNCTION("split(F723,"","",true,true)"),"Axa Insurance Morocco")</f>
        <v>Axa Insurance Morocco</v>
      </c>
      <c r="AT742" s="10"/>
      <c r="AU742" s="10"/>
      <c r="AV742" s="10"/>
      <c r="AW742" s="10"/>
      <c r="AX742" s="10"/>
      <c r="AY742" s="10"/>
      <c r="AZ742" s="10"/>
      <c r="BA742" s="10"/>
      <c r="BB742" s="10"/>
      <c r="BC742" s="10"/>
      <c r="BD742" s="10"/>
      <c r="BE742" s="10"/>
      <c r="BF742" s="10"/>
      <c r="BG742" s="10"/>
      <c r="BH742" s="10"/>
      <c r="BI742" s="10"/>
      <c r="BJ742" s="10"/>
      <c r="BK742" s="10"/>
      <c r="BM742" s="10"/>
    </row>
    <row r="743" spans="1:65" ht="12.75">
      <c r="A743" s="18">
        <v>43367</v>
      </c>
      <c r="B743" s="14" t="s">
        <v>1623</v>
      </c>
      <c r="C743" s="19">
        <v>150000</v>
      </c>
      <c r="D743" s="19"/>
      <c r="E743" s="14" t="s">
        <v>45</v>
      </c>
      <c r="F743" s="14" t="s">
        <v>49</v>
      </c>
      <c r="G743" s="27" t="s">
        <v>1624</v>
      </c>
      <c r="H743" s="14" t="str">
        <f t="array" ref="H743">IFERROR(INDEX([1]Companies!$G:$G,MATCH(B743,[1]Companies!$A:$A,0)),"")</f>
        <v>Rwanda</v>
      </c>
      <c r="I743" s="14" t="str">
        <f t="shared" si="974"/>
        <v>Rwanda</v>
      </c>
      <c r="J743" s="14" t="str">
        <f t="array" ref="J743">IFERROR(INDEX([1]Companies!$Y:$Y,MATCH(B743,[1]Companies!$A:$A,0)),"")</f>
        <v>Factoring, Working Capital, Fintech</v>
      </c>
      <c r="K743" s="14" t="str">
        <f t="array" ref="K743">IFERROR(INDEX([1]Companies!$X:$X,MATCH(B743,[1]Companies!$A:$A,0)),"")</f>
        <v>Financial Services</v>
      </c>
      <c r="L743" s="14" t="str">
        <f>VLOOKUP(B743,[1]Companies!$A$1:$C$5243,1,FALSE)</f>
        <v>Benefactors</v>
      </c>
      <c r="M743" s="15">
        <f t="shared" si="975"/>
        <v>0.9</v>
      </c>
      <c r="N743" s="10" t="str">
        <f t="shared" si="976"/>
        <v>43367BeneFactors150000</v>
      </c>
      <c r="O743" s="14" t="str">
        <f t="shared" si="977"/>
        <v/>
      </c>
      <c r="P743" s="14">
        <f t="shared" si="978"/>
        <v>1</v>
      </c>
      <c r="Q743" s="14">
        <f t="array" ref="Q743">IFERROR(INDEX([1]Companies!$D:$D,MATCH(B743,[1]Companies!$A:$A,0)),"")</f>
        <v>2017</v>
      </c>
      <c r="R743" s="17">
        <f t="shared" si="979"/>
        <v>550000</v>
      </c>
      <c r="S743" s="14">
        <f>VLOOKUP(I743,[1]Lookups!$V$3:$Y$197,4,FALSE)</f>
        <v>0</v>
      </c>
      <c r="T743" s="14" t="str">
        <f>VLOOKUP(E743,[1]Lookups!$H$3:$I$71,2,FALSE)</f>
        <v>2. Seed</v>
      </c>
      <c r="U743" s="14" t="str">
        <f>VLOOKUP(K743,[1]Lookups!$B$3:$C$142,2,FALSE)</f>
        <v>Financial Services</v>
      </c>
      <c r="V743" s="14">
        <f t="shared" si="921"/>
        <v>2018</v>
      </c>
      <c r="W743" s="14">
        <f t="shared" si="922"/>
        <v>9</v>
      </c>
      <c r="X743" s="14">
        <f>VLOOKUP(W743,[1]Lookups!$P$3:$S$15,2,FALSE)</f>
        <v>3</v>
      </c>
      <c r="Y743" s="16">
        <f>VLOOKUP(W743,[1]Lookups!$P$3:$U$15,3,FALSE)</f>
        <v>2</v>
      </c>
      <c r="Z743" s="16">
        <f t="shared" si="923"/>
        <v>1</v>
      </c>
      <c r="AA743" s="16" t="str">
        <f t="shared" ca="1" si="989"/>
        <v>Axa Insurance Morocco</v>
      </c>
      <c r="AB743" s="16">
        <f t="shared" si="989"/>
        <v>0</v>
      </c>
      <c r="AC743" s="16">
        <f t="shared" si="989"/>
        <v>0</v>
      </c>
      <c r="AD743" s="16">
        <f t="shared" si="989"/>
        <v>0</v>
      </c>
      <c r="AE743" s="16">
        <f t="shared" si="989"/>
        <v>0</v>
      </c>
      <c r="AF743" s="16">
        <f t="shared" si="989"/>
        <v>0</v>
      </c>
      <c r="AG743" s="16">
        <f t="shared" si="989"/>
        <v>0</v>
      </c>
      <c r="AH743" s="16">
        <f t="shared" si="989"/>
        <v>0</v>
      </c>
      <c r="AI743" s="16">
        <f t="shared" si="989"/>
        <v>0</v>
      </c>
      <c r="AJ743" s="16">
        <f t="shared" si="989"/>
        <v>0</v>
      </c>
      <c r="AK743" s="16">
        <f t="shared" si="989"/>
        <v>0</v>
      </c>
      <c r="AL743" s="16">
        <f t="shared" si="989"/>
        <v>0</v>
      </c>
      <c r="AM743" s="16">
        <f t="shared" si="989"/>
        <v>0</v>
      </c>
      <c r="AN743" s="16">
        <f t="shared" si="989"/>
        <v>0</v>
      </c>
      <c r="AO743" s="16">
        <f t="shared" si="989"/>
        <v>0</v>
      </c>
      <c r="AP743" s="10"/>
      <c r="AQ743" s="10"/>
      <c r="AR743" s="10"/>
      <c r="AS743" s="10" t="str">
        <f t="shared" ref="AS743" ca="1" si="1001">IFERROR(__xludf.DUMMYFUNCTION("split(F723,"","",true,true)"),"Axa Insurance Morocco")</f>
        <v>Axa Insurance Morocco</v>
      </c>
      <c r="AT743" s="10"/>
      <c r="AU743" s="10"/>
      <c r="AV743" s="10"/>
      <c r="AW743" s="10"/>
      <c r="AX743" s="10"/>
      <c r="AY743" s="10"/>
      <c r="AZ743" s="10"/>
      <c r="BA743" s="10"/>
      <c r="BB743" s="10"/>
      <c r="BC743" s="10"/>
      <c r="BD743" s="10"/>
      <c r="BE743" s="10"/>
      <c r="BF743" s="10"/>
      <c r="BG743" s="10"/>
      <c r="BH743" s="10"/>
      <c r="BI743" s="10"/>
      <c r="BJ743" s="10"/>
      <c r="BK743" s="10"/>
      <c r="BM743" s="10"/>
    </row>
    <row r="744" spans="1:65" ht="12.75">
      <c r="A744" s="18">
        <v>43368</v>
      </c>
      <c r="B744" s="14" t="s">
        <v>1625</v>
      </c>
      <c r="C744" s="19">
        <v>500000</v>
      </c>
      <c r="D744" s="19"/>
      <c r="E744" s="14" t="s">
        <v>45</v>
      </c>
      <c r="F744" s="14" t="s">
        <v>942</v>
      </c>
      <c r="G744" s="14" t="s">
        <v>1033</v>
      </c>
      <c r="H744" s="14" t="str">
        <f t="array" ref="H744">IFERROR(INDEX([1]Companies!$G:$G,MATCH(B744,[1]Companies!$A:$A,0)),"")</f>
        <v>Nigeria</v>
      </c>
      <c r="I744" s="14" t="str">
        <f t="shared" si="974"/>
        <v>Nigeria</v>
      </c>
      <c r="J744" s="14" t="str">
        <f t="array" ref="J744">IFERROR(INDEX([1]Companies!$Y:$Y,MATCH(B744,[1]Companies!$A:$A,0)),"")</f>
        <v>Internet, iOS, Mobile, Telecommunications</v>
      </c>
      <c r="K744" s="14" t="str">
        <f t="array" ref="K744">IFERROR(INDEX([1]Companies!$X:$X,MATCH(B744,[1]Companies!$A:$A,0)),"")</f>
        <v>Information Technology</v>
      </c>
      <c r="L744" s="14" t="str">
        <f>VLOOKUP(B744,[1]Companies!$A$1:$C$5243,1,FALSE)</f>
        <v>Medallion Communications</v>
      </c>
      <c r="M744" s="15">
        <f t="shared" si="975"/>
        <v>0.9</v>
      </c>
      <c r="N744" s="10" t="str">
        <f t="shared" si="976"/>
        <v>43368Medallion Communications500000</v>
      </c>
      <c r="O744" s="14" t="str">
        <f t="shared" si="977"/>
        <v/>
      </c>
      <c r="P744" s="14">
        <f t="shared" si="978"/>
        <v>1</v>
      </c>
      <c r="Q744" s="14">
        <f t="array" ref="Q744">IFERROR(INDEX([1]Companies!$D:$D,MATCH(B744,[1]Companies!$A:$A,0)),"")</f>
        <v>2005</v>
      </c>
      <c r="R744" s="17">
        <f t="shared" si="979"/>
        <v>500000</v>
      </c>
      <c r="S744" s="14">
        <f>VLOOKUP(I744,[1]Lookups!$V$3:$Y$197,4,FALSE)</f>
        <v>0</v>
      </c>
      <c r="T744" s="14" t="str">
        <f>VLOOKUP(E744,[1]Lookups!$H$3:$I$71,2,FALSE)</f>
        <v>2. Seed</v>
      </c>
      <c r="U744" s="14" t="str">
        <f>VLOOKUP(K744,[1]Lookups!$B$3:$C$142,2,FALSE)</f>
        <v>Other Technologies &amp; Information Technology</v>
      </c>
      <c r="V744" s="14">
        <f t="shared" si="921"/>
        <v>2018</v>
      </c>
      <c r="W744" s="14">
        <f t="shared" si="922"/>
        <v>9</v>
      </c>
      <c r="X744" s="14">
        <f>VLOOKUP(W744,[1]Lookups!$P$3:$S$15,2,FALSE)</f>
        <v>3</v>
      </c>
      <c r="Y744" s="16">
        <f>VLOOKUP(W744,[1]Lookups!$P$3:$U$15,3,FALSE)</f>
        <v>2</v>
      </c>
      <c r="Z744" s="16">
        <f t="shared" si="923"/>
        <v>1</v>
      </c>
      <c r="AA744" s="16" t="str">
        <f t="shared" ca="1" si="989"/>
        <v>Axa Insurance Morocco</v>
      </c>
      <c r="AB744" s="16">
        <f t="shared" si="989"/>
        <v>0</v>
      </c>
      <c r="AC744" s="16">
        <f t="shared" si="989"/>
        <v>0</v>
      </c>
      <c r="AD744" s="16">
        <f t="shared" si="989"/>
        <v>0</v>
      </c>
      <c r="AE744" s="16">
        <f t="shared" si="989"/>
        <v>0</v>
      </c>
      <c r="AF744" s="16">
        <f t="shared" si="989"/>
        <v>0</v>
      </c>
      <c r="AG744" s="16">
        <f t="shared" si="989"/>
        <v>0</v>
      </c>
      <c r="AH744" s="16">
        <f t="shared" si="989"/>
        <v>0</v>
      </c>
      <c r="AI744" s="16">
        <f t="shared" si="989"/>
        <v>0</v>
      </c>
      <c r="AJ744" s="16">
        <f t="shared" si="989"/>
        <v>0</v>
      </c>
      <c r="AK744" s="16">
        <f t="shared" si="989"/>
        <v>0</v>
      </c>
      <c r="AL744" s="16">
        <f t="shared" si="989"/>
        <v>0</v>
      </c>
      <c r="AM744" s="16">
        <f t="shared" si="989"/>
        <v>0</v>
      </c>
      <c r="AN744" s="16">
        <f t="shared" si="989"/>
        <v>0</v>
      </c>
      <c r="AO744" s="16">
        <f t="shared" si="989"/>
        <v>0</v>
      </c>
      <c r="AP744" s="10"/>
      <c r="AQ744" s="10"/>
      <c r="AR744" s="10"/>
      <c r="AS744" s="10" t="str">
        <f t="shared" ref="AS744" ca="1" si="1002">IFERROR(__xludf.DUMMYFUNCTION("split(F723,"","",true,true)"),"Axa Insurance Morocco")</f>
        <v>Axa Insurance Morocco</v>
      </c>
      <c r="AT744" s="10"/>
      <c r="AU744" s="10"/>
      <c r="AV744" s="10"/>
      <c r="AW744" s="10"/>
      <c r="AX744" s="10"/>
      <c r="AY744" s="10"/>
      <c r="AZ744" s="10"/>
      <c r="BA744" s="10"/>
      <c r="BB744" s="10"/>
      <c r="BC744" s="10"/>
      <c r="BD744" s="10"/>
      <c r="BE744" s="10"/>
      <c r="BF744" s="10"/>
      <c r="BG744" s="10"/>
      <c r="BH744" s="10"/>
      <c r="BI744" s="10"/>
      <c r="BJ744" s="10"/>
      <c r="BK744" s="10"/>
      <c r="BM744" s="10"/>
    </row>
    <row r="745" spans="1:65" ht="12.75">
      <c r="A745" s="18">
        <v>43368</v>
      </c>
      <c r="B745" s="14" t="s">
        <v>824</v>
      </c>
      <c r="C745" s="19">
        <v>250000</v>
      </c>
      <c r="D745" s="19"/>
      <c r="E745" s="14" t="s">
        <v>45</v>
      </c>
      <c r="F745" s="14" t="s">
        <v>1626</v>
      </c>
      <c r="G745" s="13" t="s">
        <v>1627</v>
      </c>
      <c r="H745" s="14" t="str">
        <f t="array" ref="H745">IFERROR(INDEX([1]Companies!$G:$G,MATCH(B745,[1]Companies!$A:$A,0)),"")</f>
        <v>Egypt</v>
      </c>
      <c r="I745" s="14" t="str">
        <f t="shared" si="974"/>
        <v>Egypt</v>
      </c>
      <c r="J745" s="14" t="str">
        <f t="array" ref="J745">IFERROR(INDEX([1]Companies!$Y:$Y,MATCH(B745,[1]Companies!$A:$A,0)),"")</f>
        <v>Mobile Apps, Software, Transportation</v>
      </c>
      <c r="K745" s="14" t="str">
        <f t="array" ref="K745">IFERROR(INDEX([1]Companies!$X:$X,MATCH(B745,[1]Companies!$A:$A,0)),"")</f>
        <v>Transport &amp; Logistics</v>
      </c>
      <c r="L745" s="14" t="str">
        <f>VLOOKUP(B745,[1]Companies!$A$1:$C$5243,1,FALSE)</f>
        <v>Buseet</v>
      </c>
      <c r="M745" s="15">
        <f t="shared" si="975"/>
        <v>0.9</v>
      </c>
      <c r="N745" s="10" t="str">
        <f t="shared" si="976"/>
        <v>43368Buseet250000</v>
      </c>
      <c r="O745" s="14" t="str">
        <f t="shared" si="977"/>
        <v/>
      </c>
      <c r="P745" s="14">
        <f t="shared" si="978"/>
        <v>1</v>
      </c>
      <c r="Q745" s="14">
        <f t="array" ref="Q745">IFERROR(INDEX([1]Companies!$D:$D,MATCH(B745,[1]Companies!$A:$A,0)),"")</f>
        <v>2016</v>
      </c>
      <c r="R745" s="17">
        <f t="shared" si="979"/>
        <v>417000</v>
      </c>
      <c r="S745" s="14">
        <f>VLOOKUP(I745,[1]Lookups!$V$3:$Y$197,4,FALSE)</f>
        <v>0</v>
      </c>
      <c r="T745" s="14" t="str">
        <f>VLOOKUP(E745,[1]Lookups!$H$3:$I$71,2,FALSE)</f>
        <v>2. Seed</v>
      </c>
      <c r="U745" s="14" t="str">
        <f>VLOOKUP(K745,[1]Lookups!$B$3:$C$142,2,FALSE)</f>
        <v>Transport &amp; Logistics</v>
      </c>
      <c r="V745" s="14">
        <f t="shared" si="921"/>
        <v>2018</v>
      </c>
      <c r="W745" s="14">
        <f t="shared" si="922"/>
        <v>9</v>
      </c>
      <c r="X745" s="14">
        <f>VLOOKUP(W745,[1]Lookups!$P$3:$S$15,2,FALSE)</f>
        <v>3</v>
      </c>
      <c r="Y745" s="16">
        <f>VLOOKUP(W745,[1]Lookups!$P$3:$U$15,3,FALSE)</f>
        <v>2</v>
      </c>
      <c r="Z745" s="16">
        <f t="shared" si="923"/>
        <v>2</v>
      </c>
      <c r="AA745" s="16" t="str">
        <f t="shared" ca="1" si="989"/>
        <v>Axa Insurance Morocco</v>
      </c>
      <c r="AB745" s="16" t="str">
        <f t="shared" ca="1" si="989"/>
        <v xml:space="preserve"> 500 Startups</v>
      </c>
      <c r="AC745" s="16">
        <f t="shared" si="989"/>
        <v>0</v>
      </c>
      <c r="AD745" s="16">
        <f t="shared" si="989"/>
        <v>0</v>
      </c>
      <c r="AE745" s="16">
        <f t="shared" si="989"/>
        <v>0</v>
      </c>
      <c r="AF745" s="16">
        <f t="shared" si="989"/>
        <v>0</v>
      </c>
      <c r="AG745" s="16">
        <f t="shared" si="989"/>
        <v>0</v>
      </c>
      <c r="AH745" s="16">
        <f t="shared" si="989"/>
        <v>0</v>
      </c>
      <c r="AI745" s="16">
        <f t="shared" si="989"/>
        <v>0</v>
      </c>
      <c r="AJ745" s="16">
        <f t="shared" si="989"/>
        <v>0</v>
      </c>
      <c r="AK745" s="16">
        <f t="shared" si="989"/>
        <v>0</v>
      </c>
      <c r="AL745" s="16">
        <f t="shared" si="989"/>
        <v>0</v>
      </c>
      <c r="AM745" s="16">
        <f t="shared" si="989"/>
        <v>0</v>
      </c>
      <c r="AN745" s="16">
        <f t="shared" si="989"/>
        <v>0</v>
      </c>
      <c r="AO745" s="16">
        <f t="shared" si="989"/>
        <v>0</v>
      </c>
      <c r="AP745" s="10"/>
      <c r="AQ745" s="10"/>
      <c r="AR745" s="10"/>
      <c r="AS745" s="10" t="str">
        <f t="shared" ref="AS745" ca="1" si="1003">IFERROR(__xludf.DUMMYFUNCTION("split(F723,"","",true,true)"),"Axa Insurance Morocco")</f>
        <v>Axa Insurance Morocco</v>
      </c>
      <c r="AT745" s="10" t="str">
        <f ca="1">IFERROR(__xludf.DUMMYFUNCTION("""COMPUTED_VALUE""")," 500 Startups")</f>
        <v xml:space="preserve"> 500 Startups</v>
      </c>
      <c r="AU745" s="10"/>
      <c r="AV745" s="10"/>
      <c r="AW745" s="10"/>
      <c r="AX745" s="10"/>
      <c r="AY745" s="10"/>
      <c r="AZ745" s="10"/>
      <c r="BA745" s="10"/>
      <c r="BB745" s="10"/>
      <c r="BC745" s="10"/>
      <c r="BD745" s="10"/>
      <c r="BE745" s="10"/>
      <c r="BF745" s="10"/>
      <c r="BG745" s="10"/>
      <c r="BH745" s="10"/>
      <c r="BI745" s="10"/>
      <c r="BJ745" s="10"/>
      <c r="BK745" s="10"/>
      <c r="BM745" s="10"/>
    </row>
    <row r="746" spans="1:65" ht="12.75">
      <c r="A746" s="18">
        <v>43370</v>
      </c>
      <c r="B746" s="14" t="s">
        <v>1473</v>
      </c>
      <c r="C746" s="19">
        <v>3100000</v>
      </c>
      <c r="D746" s="19"/>
      <c r="E746" s="14" t="s">
        <v>69</v>
      </c>
      <c r="F746" s="14" t="s">
        <v>49</v>
      </c>
      <c r="G746" s="27" t="s">
        <v>1628</v>
      </c>
      <c r="H746" s="14" t="str">
        <f t="array" ref="H746">IFERROR(INDEX([1]Companies!$G:$G,MATCH(B746,[1]Companies!$A:$A,0)),"")</f>
        <v>South Africa</v>
      </c>
      <c r="I746" s="14" t="str">
        <f t="shared" si="974"/>
        <v>South Africa</v>
      </c>
      <c r="J746" s="14" t="str">
        <f t="array" ref="J746">IFERROR(INDEX([1]Companies!$Y:$Y,MATCH(B746,[1]Companies!$A:$A,0)),"")</f>
        <v>Information Services, Information Technology, Software</v>
      </c>
      <c r="K746" s="14" t="str">
        <f t="array" ref="K746">IFERROR(INDEX([1]Companies!$X:$X,MATCH(B746,[1]Companies!$A:$A,0)),"")</f>
        <v>Information Technology</v>
      </c>
      <c r="L746" s="14" t="str">
        <f>VLOOKUP(B746,[1]Companies!$A$1:$C$5243,1,FALSE)</f>
        <v>Names &amp; Faces</v>
      </c>
      <c r="M746" s="15">
        <f t="shared" si="975"/>
        <v>0.9</v>
      </c>
      <c r="N746" s="10" t="str">
        <f t="shared" si="976"/>
        <v>43370Names &amp; Faces3100000</v>
      </c>
      <c r="O746" s="14" t="str">
        <f t="shared" si="977"/>
        <v/>
      </c>
      <c r="P746" s="14">
        <f t="shared" si="978"/>
        <v>1</v>
      </c>
      <c r="Q746" s="14">
        <f t="array" ref="Q746">IFERROR(INDEX([1]Companies!$D:$D,MATCH(B746,[1]Companies!$A:$A,0)),"")</f>
        <v>2016</v>
      </c>
      <c r="R746" s="17">
        <f t="shared" si="979"/>
        <v>3220000</v>
      </c>
      <c r="S746" s="14">
        <f>VLOOKUP(I746,[1]Lookups!$V$3:$Y$197,4,FALSE)</f>
        <v>0</v>
      </c>
      <c r="T746" s="14" t="str">
        <f>VLOOKUP(E746,[1]Lookups!$H$3:$I$71,2,FALSE)</f>
        <v>3. Early Venture</v>
      </c>
      <c r="U746" s="14" t="str">
        <f>VLOOKUP(K746,[1]Lookups!$B$3:$C$142,2,FALSE)</f>
        <v>Other Technologies &amp; Information Technology</v>
      </c>
      <c r="V746" s="14">
        <f t="shared" si="921"/>
        <v>2018</v>
      </c>
      <c r="W746" s="14">
        <f t="shared" si="922"/>
        <v>9</v>
      </c>
      <c r="X746" s="14">
        <f>VLOOKUP(W746,[1]Lookups!$P$3:$S$15,2,FALSE)</f>
        <v>3</v>
      </c>
      <c r="Y746" s="16">
        <f>VLOOKUP(W746,[1]Lookups!$P$3:$U$15,3,FALSE)</f>
        <v>2</v>
      </c>
      <c r="Z746" s="16">
        <f t="shared" si="923"/>
        <v>1</v>
      </c>
      <c r="AA746" s="16" t="str">
        <f t="shared" ca="1" si="989"/>
        <v>Axa Insurance Morocco</v>
      </c>
      <c r="AB746" s="16">
        <f t="shared" si="989"/>
        <v>0</v>
      </c>
      <c r="AC746" s="16">
        <f t="shared" si="989"/>
        <v>0</v>
      </c>
      <c r="AD746" s="16">
        <f t="shared" si="989"/>
        <v>0</v>
      </c>
      <c r="AE746" s="16">
        <f t="shared" si="989"/>
        <v>0</v>
      </c>
      <c r="AF746" s="16">
        <f t="shared" si="989"/>
        <v>0</v>
      </c>
      <c r="AG746" s="16">
        <f t="shared" si="989"/>
        <v>0</v>
      </c>
      <c r="AH746" s="16">
        <f t="shared" si="989"/>
        <v>0</v>
      </c>
      <c r="AI746" s="16">
        <f t="shared" si="989"/>
        <v>0</v>
      </c>
      <c r="AJ746" s="16">
        <f t="shared" si="989"/>
        <v>0</v>
      </c>
      <c r="AK746" s="16">
        <f t="shared" si="989"/>
        <v>0</v>
      </c>
      <c r="AL746" s="16">
        <f t="shared" si="989"/>
        <v>0</v>
      </c>
      <c r="AM746" s="16">
        <f t="shared" si="989"/>
        <v>0</v>
      </c>
      <c r="AN746" s="16">
        <f t="shared" si="989"/>
        <v>0</v>
      </c>
      <c r="AO746" s="16">
        <f t="shared" si="989"/>
        <v>0</v>
      </c>
      <c r="AP746" s="10"/>
      <c r="AQ746" s="10"/>
      <c r="AR746" s="10"/>
      <c r="AS746" s="10" t="str">
        <f t="shared" ref="AS746" ca="1" si="1004">IFERROR(__xludf.DUMMYFUNCTION("split(F723,"","",true,true)"),"Axa Insurance Morocco")</f>
        <v>Axa Insurance Morocco</v>
      </c>
      <c r="AT746" s="10"/>
      <c r="AU746" s="10"/>
      <c r="AV746" s="10"/>
      <c r="AW746" s="10"/>
      <c r="AX746" s="10"/>
      <c r="AY746" s="10"/>
      <c r="AZ746" s="10"/>
      <c r="BA746" s="10"/>
      <c r="BB746" s="10"/>
      <c r="BC746" s="10"/>
      <c r="BD746" s="10"/>
      <c r="BE746" s="10"/>
      <c r="BF746" s="10"/>
      <c r="BG746" s="10"/>
      <c r="BH746" s="10"/>
      <c r="BI746" s="10"/>
      <c r="BJ746" s="10"/>
      <c r="BK746" s="10"/>
      <c r="BM746" s="10"/>
    </row>
    <row r="747" spans="1:65" ht="12.75">
      <c r="A747" s="18">
        <v>43373</v>
      </c>
      <c r="B747" s="14" t="s">
        <v>1629</v>
      </c>
      <c r="C747" s="19">
        <v>250000</v>
      </c>
      <c r="D747" s="19"/>
      <c r="E747" s="14" t="s">
        <v>45</v>
      </c>
      <c r="F747" s="14" t="s">
        <v>942</v>
      </c>
      <c r="G747" s="14" t="s">
        <v>1033</v>
      </c>
      <c r="H747" s="14">
        <f t="array" ref="H747">IFERROR(INDEX([1]Companies!$G:$G,MATCH(B747,[1]Companies!$A:$A,0)),"")</f>
        <v>0</v>
      </c>
      <c r="I747" s="14">
        <f t="shared" si="974"/>
        <v>0</v>
      </c>
      <c r="J747" s="14" t="str">
        <f t="array" ref="J747">IFERROR(INDEX([1]Companies!$Y:$Y,MATCH(B747,[1]Companies!$A:$A,0)),"")</f>
        <v>Information Technology, Logistics, Manufacturing, Real Time, Robotics, Supply Chain Management</v>
      </c>
      <c r="K747" s="14" t="str">
        <f t="array" ref="K747">IFERROR(INDEX([1]Companies!$X:$X,MATCH(B747,[1]Companies!$A:$A,0)),"")</f>
        <v>Financial Services</v>
      </c>
      <c r="L747" s="14" t="str">
        <f>VLOOKUP(B747,[1]Companies!$A$1:$C$5243,1,FALSE)</f>
        <v>Intelligra</v>
      </c>
      <c r="M747" s="15">
        <f t="shared" si="975"/>
        <v>0.9</v>
      </c>
      <c r="N747" s="10" t="str">
        <f t="shared" si="976"/>
        <v>43373Intelligra250000</v>
      </c>
      <c r="O747" s="14" t="str">
        <f t="shared" si="977"/>
        <v/>
      </c>
      <c r="P747" s="14">
        <f t="shared" si="978"/>
        <v>1</v>
      </c>
      <c r="Q747" s="14">
        <f t="array" ref="Q747">IFERROR(INDEX([1]Companies!$D:$D,MATCH(B747,[1]Companies!$A:$A,0)),"")</f>
        <v>0</v>
      </c>
      <c r="R747" s="17">
        <f t="shared" si="979"/>
        <v>250000</v>
      </c>
      <c r="S747" s="14" t="e">
        <f>VLOOKUP(I747,[1]Lookups!$V$3:$Y$197,4,FALSE)</f>
        <v>#N/A</v>
      </c>
      <c r="T747" s="14" t="str">
        <f>VLOOKUP(E747,[1]Lookups!$H$3:$I$71,2,FALSE)</f>
        <v>2. Seed</v>
      </c>
      <c r="U747" s="14" t="str">
        <f>VLOOKUP(K747,[1]Lookups!$B$3:$C$142,2,FALSE)</f>
        <v>Financial Services</v>
      </c>
      <c r="V747" s="14">
        <f t="shared" si="921"/>
        <v>2018</v>
      </c>
      <c r="W747" s="14">
        <f t="shared" si="922"/>
        <v>9</v>
      </c>
      <c r="X747" s="14">
        <f>VLOOKUP(W747,[1]Lookups!$P$3:$S$15,2,FALSE)</f>
        <v>3</v>
      </c>
      <c r="Y747" s="16">
        <f>VLOOKUP(W747,[1]Lookups!$P$3:$U$15,3,FALSE)</f>
        <v>2</v>
      </c>
      <c r="Z747" s="16">
        <f t="shared" si="923"/>
        <v>1</v>
      </c>
      <c r="AA747" s="16" t="str">
        <f t="shared" ca="1" si="989"/>
        <v>Axa Insurance Morocco</v>
      </c>
      <c r="AB747" s="16">
        <f t="shared" si="989"/>
        <v>0</v>
      </c>
      <c r="AC747" s="16">
        <f t="shared" si="989"/>
        <v>0</v>
      </c>
      <c r="AD747" s="16">
        <f t="shared" si="989"/>
        <v>0</v>
      </c>
      <c r="AE747" s="16">
        <f t="shared" si="989"/>
        <v>0</v>
      </c>
      <c r="AF747" s="16">
        <f t="shared" si="989"/>
        <v>0</v>
      </c>
      <c r="AG747" s="16">
        <f t="shared" si="989"/>
        <v>0</v>
      </c>
      <c r="AH747" s="16">
        <f t="shared" si="989"/>
        <v>0</v>
      </c>
      <c r="AI747" s="16">
        <f t="shared" si="989"/>
        <v>0</v>
      </c>
      <c r="AJ747" s="16">
        <f t="shared" si="989"/>
        <v>0</v>
      </c>
      <c r="AK747" s="16">
        <f t="shared" si="989"/>
        <v>0</v>
      </c>
      <c r="AL747" s="16">
        <f t="shared" si="989"/>
        <v>0</v>
      </c>
      <c r="AM747" s="16">
        <f t="shared" si="989"/>
        <v>0</v>
      </c>
      <c r="AN747" s="16">
        <f t="shared" si="989"/>
        <v>0</v>
      </c>
      <c r="AO747" s="16">
        <f t="shared" si="989"/>
        <v>0</v>
      </c>
      <c r="AP747" s="10"/>
      <c r="AQ747" s="10"/>
      <c r="AR747" s="10"/>
      <c r="AS747" s="10" t="str">
        <f t="shared" ref="AS747" ca="1" si="1005">IFERROR(__xludf.DUMMYFUNCTION("split(F723,"","",true,true)"),"Axa Insurance Morocco")</f>
        <v>Axa Insurance Morocco</v>
      </c>
      <c r="AT747" s="10"/>
      <c r="AU747" s="10"/>
      <c r="AV747" s="10"/>
      <c r="AW747" s="10"/>
      <c r="AX747" s="10"/>
      <c r="AY747" s="10"/>
      <c r="AZ747" s="10"/>
      <c r="BA747" s="10"/>
      <c r="BB747" s="10"/>
      <c r="BC747" s="10"/>
      <c r="BD747" s="10"/>
      <c r="BE747" s="10"/>
      <c r="BF747" s="10"/>
      <c r="BG747" s="10"/>
      <c r="BH747" s="10"/>
      <c r="BI747" s="10"/>
      <c r="BJ747" s="10"/>
      <c r="BK747" s="10"/>
      <c r="BM747" s="10"/>
    </row>
    <row r="748" spans="1:65" ht="12.75">
      <c r="A748" s="18">
        <v>43373</v>
      </c>
      <c r="B748" s="14" t="s">
        <v>1630</v>
      </c>
      <c r="C748" s="19">
        <v>50000</v>
      </c>
      <c r="D748" s="19"/>
      <c r="E748" s="14" t="s">
        <v>55</v>
      </c>
      <c r="F748" s="14" t="s">
        <v>1631</v>
      </c>
      <c r="G748" s="27" t="s">
        <v>1632</v>
      </c>
      <c r="H748" s="14" t="str">
        <f t="array" ref="H748">IFERROR(INDEX([1]Companies!$G:$G,MATCH(B748,[1]Companies!$A:$A,0)),"")</f>
        <v/>
      </c>
      <c r="I748" s="14" t="str">
        <f t="shared" si="974"/>
        <v/>
      </c>
      <c r="J748" s="14" t="str">
        <f t="array" ref="J748">IFERROR(INDEX([1]Companies!$Y:$Y,MATCH(B748,[1]Companies!$A:$A,0)),"")</f>
        <v/>
      </c>
      <c r="K748" s="14" t="str">
        <f t="array" ref="K748">IFERROR(INDEX([1]Companies!$X:$X,MATCH(B748,[1]Companies!$A:$A,0)),"")</f>
        <v/>
      </c>
      <c r="L748" s="14" t="e">
        <f>VLOOKUP(B748,[1]Companies!$A$1:$C$5243,1,FALSE)</f>
        <v>#N/A</v>
      </c>
      <c r="M748" s="15">
        <f t="shared" si="975"/>
        <v>0.6428571428571429</v>
      </c>
      <c r="N748" s="10" t="str">
        <f t="shared" si="976"/>
        <v>43373LifeBank50000</v>
      </c>
      <c r="O748" s="14" t="str">
        <f t="shared" si="977"/>
        <v/>
      </c>
      <c r="P748" s="14">
        <f t="shared" si="978"/>
        <v>1</v>
      </c>
      <c r="Q748" s="14" t="str">
        <f t="array" ref="Q748">IFERROR(INDEX([1]Companies!$D:$D,MATCH(B748,[1]Companies!$A:$A,0)),"")</f>
        <v/>
      </c>
      <c r="R748" s="17">
        <f t="shared" si="979"/>
        <v>100000</v>
      </c>
      <c r="S748" s="14" t="e">
        <f>VLOOKUP(I748,[1]Lookups!$V$3:$Y$197,4,FALSE)</f>
        <v>#N/A</v>
      </c>
      <c r="T748" s="14" t="str">
        <f>VLOOKUP(E748,[1]Lookups!$H$3:$I$71,2,FALSE)</f>
        <v>1. Grant</v>
      </c>
      <c r="U748" s="14" t="e">
        <f>VLOOKUP(K748,[1]Lookups!$B$3:$C$142,2,FALSE)</f>
        <v>#N/A</v>
      </c>
      <c r="V748" s="14">
        <f t="shared" si="921"/>
        <v>2018</v>
      </c>
      <c r="W748" s="14">
        <f t="shared" si="922"/>
        <v>9</v>
      </c>
      <c r="X748" s="14">
        <f>VLOOKUP(W748,[1]Lookups!$P$3:$S$15,2,FALSE)</f>
        <v>3</v>
      </c>
      <c r="Y748" s="16">
        <f>VLOOKUP(W748,[1]Lookups!$P$3:$U$15,3,FALSE)</f>
        <v>2</v>
      </c>
      <c r="Z748" s="16">
        <f t="shared" si="923"/>
        <v>1</v>
      </c>
      <c r="AA748" s="16" t="str">
        <f t="shared" ref="AA748:AO763" ca="1" si="1006">AS748</f>
        <v>Axa Insurance Morocco</v>
      </c>
      <c r="AB748" s="16">
        <f t="shared" si="1006"/>
        <v>0</v>
      </c>
      <c r="AC748" s="16">
        <f t="shared" si="1006"/>
        <v>0</v>
      </c>
      <c r="AD748" s="16">
        <f t="shared" si="1006"/>
        <v>0</v>
      </c>
      <c r="AE748" s="16">
        <f t="shared" si="1006"/>
        <v>0</v>
      </c>
      <c r="AF748" s="16">
        <f t="shared" si="1006"/>
        <v>0</v>
      </c>
      <c r="AG748" s="16">
        <f t="shared" si="1006"/>
        <v>0</v>
      </c>
      <c r="AH748" s="16">
        <f t="shared" si="1006"/>
        <v>0</v>
      </c>
      <c r="AI748" s="16">
        <f t="shared" si="1006"/>
        <v>0</v>
      </c>
      <c r="AJ748" s="16">
        <f t="shared" si="1006"/>
        <v>0</v>
      </c>
      <c r="AK748" s="16">
        <f t="shared" si="1006"/>
        <v>0</v>
      </c>
      <c r="AL748" s="16">
        <f t="shared" si="1006"/>
        <v>0</v>
      </c>
      <c r="AM748" s="16">
        <f t="shared" si="1006"/>
        <v>0</v>
      </c>
      <c r="AN748" s="16">
        <f t="shared" si="1006"/>
        <v>0</v>
      </c>
      <c r="AO748" s="16">
        <f t="shared" si="1006"/>
        <v>0</v>
      </c>
      <c r="AP748" s="10"/>
      <c r="AQ748" s="10"/>
      <c r="AR748" s="10"/>
      <c r="AS748" s="10" t="str">
        <f t="shared" ref="AS748" ca="1" si="1007">IFERROR(__xludf.DUMMYFUNCTION("split(F723,"","",true,true)"),"Axa Insurance Morocco")</f>
        <v>Axa Insurance Morocco</v>
      </c>
      <c r="AT748" s="10"/>
      <c r="AU748" s="10"/>
      <c r="AV748" s="10"/>
      <c r="AW748" s="10"/>
      <c r="AX748" s="10"/>
      <c r="AY748" s="10"/>
      <c r="AZ748" s="10"/>
      <c r="BA748" s="10"/>
      <c r="BB748" s="10"/>
      <c r="BC748" s="10"/>
      <c r="BD748" s="10"/>
      <c r="BE748" s="10"/>
      <c r="BF748" s="10"/>
      <c r="BG748" s="10"/>
      <c r="BH748" s="10"/>
      <c r="BI748" s="10"/>
      <c r="BJ748" s="10"/>
      <c r="BK748" s="10"/>
      <c r="BM748" s="10"/>
    </row>
    <row r="749" spans="1:65" ht="12.75">
      <c r="A749" s="18">
        <v>43373</v>
      </c>
      <c r="B749" s="14" t="s">
        <v>1633</v>
      </c>
      <c r="C749" s="19">
        <v>30000</v>
      </c>
      <c r="D749" s="19"/>
      <c r="E749" s="14" t="s">
        <v>45</v>
      </c>
      <c r="F749" s="14" t="s">
        <v>49</v>
      </c>
      <c r="G749" s="27" t="s">
        <v>1634</v>
      </c>
      <c r="H749" s="14" t="str">
        <f t="array" ref="H749">IFERROR(INDEX([1]Companies!$G:$G,MATCH(B749,[1]Companies!$A:$A,0)),"")</f>
        <v/>
      </c>
      <c r="I749" s="14" t="str">
        <f t="shared" si="974"/>
        <v/>
      </c>
      <c r="J749" s="14" t="str">
        <f t="array" ref="J749">IFERROR(INDEX([1]Companies!$Y:$Y,MATCH(B749,[1]Companies!$A:$A,0)),"")</f>
        <v/>
      </c>
      <c r="K749" s="14" t="str">
        <f t="array" ref="K749">IFERROR(INDEX([1]Companies!$X:$X,MATCH(B749,[1]Companies!$A:$A,0)),"")</f>
        <v/>
      </c>
      <c r="L749" s="14" t="e">
        <f>VLOOKUP(B749,[1]Companies!$A$1:$C$5243,1,FALSE)</f>
        <v>#N/A</v>
      </c>
      <c r="M749" s="15">
        <f t="shared" si="975"/>
        <v>0.6428571428571429</v>
      </c>
      <c r="N749" s="10" t="str">
        <f t="shared" si="976"/>
        <v>43373FoodLocker30000</v>
      </c>
      <c r="O749" s="14" t="str">
        <f t="shared" si="977"/>
        <v/>
      </c>
      <c r="P749" s="14">
        <f t="shared" si="978"/>
        <v>1</v>
      </c>
      <c r="Q749" s="14" t="str">
        <f t="array" ref="Q749">IFERROR(INDEX([1]Companies!$D:$D,MATCH(B749,[1]Companies!$A:$A,0)),"")</f>
        <v/>
      </c>
      <c r="R749" s="17">
        <f t="shared" si="979"/>
        <v>41000</v>
      </c>
      <c r="S749" s="14" t="e">
        <f>VLOOKUP(I749,[1]Lookups!$V$3:$Y$197,4,FALSE)</f>
        <v>#N/A</v>
      </c>
      <c r="T749" s="14" t="str">
        <f>VLOOKUP(E749,[1]Lookups!$H$3:$I$71,2,FALSE)</f>
        <v>2. Seed</v>
      </c>
      <c r="U749" s="14" t="e">
        <f>VLOOKUP(K749,[1]Lookups!$B$3:$C$142,2,FALSE)</f>
        <v>#N/A</v>
      </c>
      <c r="V749" s="14">
        <f t="shared" si="921"/>
        <v>2018</v>
      </c>
      <c r="W749" s="14">
        <f t="shared" si="922"/>
        <v>9</v>
      </c>
      <c r="X749" s="14">
        <f>VLOOKUP(W749,[1]Lookups!$P$3:$S$15,2,FALSE)</f>
        <v>3</v>
      </c>
      <c r="Y749" s="16">
        <f>VLOOKUP(W749,[1]Lookups!$P$3:$U$15,3,FALSE)</f>
        <v>2</v>
      </c>
      <c r="Z749" s="16">
        <f t="shared" si="923"/>
        <v>1</v>
      </c>
      <c r="AA749" s="16" t="str">
        <f t="shared" ca="1" si="1006"/>
        <v>Axa Insurance Morocco</v>
      </c>
      <c r="AB749" s="16">
        <f t="shared" si="1006"/>
        <v>0</v>
      </c>
      <c r="AC749" s="16">
        <f t="shared" si="1006"/>
        <v>0</v>
      </c>
      <c r="AD749" s="16">
        <f t="shared" si="1006"/>
        <v>0</v>
      </c>
      <c r="AE749" s="16">
        <f t="shared" si="1006"/>
        <v>0</v>
      </c>
      <c r="AF749" s="16">
        <f t="shared" si="1006"/>
        <v>0</v>
      </c>
      <c r="AG749" s="16">
        <f t="shared" si="1006"/>
        <v>0</v>
      </c>
      <c r="AH749" s="16">
        <f t="shared" si="1006"/>
        <v>0</v>
      </c>
      <c r="AI749" s="16">
        <f t="shared" si="1006"/>
        <v>0</v>
      </c>
      <c r="AJ749" s="16">
        <f t="shared" si="1006"/>
        <v>0</v>
      </c>
      <c r="AK749" s="16">
        <f t="shared" si="1006"/>
        <v>0</v>
      </c>
      <c r="AL749" s="16">
        <f t="shared" si="1006"/>
        <v>0</v>
      </c>
      <c r="AM749" s="16">
        <f t="shared" si="1006"/>
        <v>0</v>
      </c>
      <c r="AN749" s="16">
        <f t="shared" si="1006"/>
        <v>0</v>
      </c>
      <c r="AO749" s="16">
        <f t="shared" si="1006"/>
        <v>0</v>
      </c>
      <c r="AP749" s="10"/>
      <c r="AQ749" s="10"/>
      <c r="AR749" s="10"/>
      <c r="AS749" s="10" t="str">
        <f t="shared" ref="AS749" ca="1" si="1008">IFERROR(__xludf.DUMMYFUNCTION("split(F723,"","",true,true)"),"Axa Insurance Morocco")</f>
        <v>Axa Insurance Morocco</v>
      </c>
      <c r="AT749" s="10"/>
      <c r="AU749" s="10"/>
      <c r="AV749" s="10"/>
      <c r="AW749" s="10"/>
      <c r="AX749" s="10"/>
      <c r="AY749" s="10"/>
      <c r="AZ749" s="10"/>
      <c r="BA749" s="10"/>
      <c r="BB749" s="10"/>
      <c r="BC749" s="10"/>
      <c r="BD749" s="10"/>
      <c r="BE749" s="10"/>
      <c r="BF749" s="10"/>
      <c r="BG749" s="10"/>
      <c r="BH749" s="10"/>
      <c r="BI749" s="10"/>
      <c r="BJ749" s="10"/>
      <c r="BK749" s="10"/>
      <c r="BM749" s="10"/>
    </row>
    <row r="750" spans="1:65" ht="12.75">
      <c r="A750" s="9">
        <v>43374</v>
      </c>
      <c r="B750" s="10" t="s">
        <v>1635</v>
      </c>
      <c r="C750" s="11" t="s">
        <v>49</v>
      </c>
      <c r="D750" s="12"/>
      <c r="E750" s="10" t="s">
        <v>45</v>
      </c>
      <c r="F750" s="10" t="s">
        <v>1273</v>
      </c>
      <c r="G750" s="13" t="s">
        <v>1636</v>
      </c>
      <c r="H750" s="14" t="str">
        <f t="array" ref="H750">IFERROR(INDEX([1]Companies!$G:$G,MATCH(B750,[1]Companies!$A:$A,0)),"")</f>
        <v>Madagascar</v>
      </c>
      <c r="I750" s="14" t="str">
        <f t="shared" si="974"/>
        <v>Madagascar</v>
      </c>
      <c r="J750" s="14" t="str">
        <f t="array" ref="J750">IFERROR(INDEX([1]Companies!$Y:$Y,MATCH(B750,[1]Companies!$A:$A,0)),"")</f>
        <v>Information Technology, Transportation</v>
      </c>
      <c r="K750" s="14" t="str">
        <f t="array" ref="K750">IFERROR(INDEX([1]Companies!$X:$X,MATCH(B750,[1]Companies!$A:$A,0)),"")</f>
        <v>Transport &amp; Logistics</v>
      </c>
      <c r="L750" s="14" t="str">
        <f>VLOOKUP(B750,[1]Companies!$A$1:$C$5243,1,FALSE)</f>
        <v>Betaksys Systeme</v>
      </c>
      <c r="M750" s="15">
        <f t="shared" si="975"/>
        <v>0.9</v>
      </c>
      <c r="N750" s="10" t="str">
        <f t="shared" si="976"/>
        <v>43374Betaksys SystemeUndisclosed</v>
      </c>
      <c r="O750" s="14" t="str">
        <f t="shared" si="977"/>
        <v/>
      </c>
      <c r="P750" s="14">
        <f t="shared" si="978"/>
        <v>0</v>
      </c>
      <c r="Q750" s="14">
        <f t="array" ref="Q750">IFERROR(INDEX([1]Companies!$D:$D,MATCH(B750,[1]Companies!$A:$A,0)),"")</f>
        <v>2018</v>
      </c>
      <c r="R750" s="17">
        <f t="shared" si="979"/>
        <v>0</v>
      </c>
      <c r="S750" s="14">
        <f>VLOOKUP(I750,[1]Lookups!$V$3:$Y$197,4,FALSE)</f>
        <v>0</v>
      </c>
      <c r="T750" s="14" t="str">
        <f>VLOOKUP(E750,[1]Lookups!$H$3:$I$71,2,FALSE)</f>
        <v>2. Seed</v>
      </c>
      <c r="U750" s="14" t="str">
        <f>VLOOKUP(K750,[1]Lookups!$B$3:$C$142,2,FALSE)</f>
        <v>Transport &amp; Logistics</v>
      </c>
      <c r="V750" s="14">
        <f t="shared" si="921"/>
        <v>2018</v>
      </c>
      <c r="W750" s="14">
        <f t="shared" si="922"/>
        <v>10</v>
      </c>
      <c r="X750" s="14">
        <f>VLOOKUP(W750,[1]Lookups!$P$3:$S$15,2,FALSE)</f>
        <v>4</v>
      </c>
      <c r="Y750" s="16">
        <f>VLOOKUP(W750,[1]Lookups!$P$3:$U$15,3,FALSE)</f>
        <v>2</v>
      </c>
      <c r="Z750" s="16">
        <f t="shared" si="923"/>
        <v>1</v>
      </c>
      <c r="AA750" s="16" t="str">
        <f t="shared" ca="1" si="1006"/>
        <v>Axa Insurance Morocco</v>
      </c>
      <c r="AB750" s="16">
        <f t="shared" si="1006"/>
        <v>0</v>
      </c>
      <c r="AC750" s="16">
        <f t="shared" si="1006"/>
        <v>0</v>
      </c>
      <c r="AD750" s="16">
        <f t="shared" si="1006"/>
        <v>0</v>
      </c>
      <c r="AE750" s="16">
        <f t="shared" si="1006"/>
        <v>0</v>
      </c>
      <c r="AF750" s="16">
        <f t="shared" si="1006"/>
        <v>0</v>
      </c>
      <c r="AG750" s="16">
        <f t="shared" si="1006"/>
        <v>0</v>
      </c>
      <c r="AH750" s="16">
        <f t="shared" si="1006"/>
        <v>0</v>
      </c>
      <c r="AI750" s="16">
        <f t="shared" si="1006"/>
        <v>0</v>
      </c>
      <c r="AJ750" s="16">
        <f t="shared" si="1006"/>
        <v>0</v>
      </c>
      <c r="AK750" s="16">
        <f t="shared" si="1006"/>
        <v>0</v>
      </c>
      <c r="AL750" s="16">
        <f t="shared" si="1006"/>
        <v>0</v>
      </c>
      <c r="AM750" s="16">
        <f t="shared" si="1006"/>
        <v>0</v>
      </c>
      <c r="AN750" s="16">
        <f t="shared" si="1006"/>
        <v>0</v>
      </c>
      <c r="AO750" s="16">
        <f t="shared" si="1006"/>
        <v>0</v>
      </c>
      <c r="AP750" s="10"/>
      <c r="AQ750" s="10"/>
      <c r="AR750" s="10"/>
      <c r="AS750" s="10" t="str">
        <f t="shared" ref="AS750" ca="1" si="1009">IFERROR(__xludf.DUMMYFUNCTION("split(F723,"","",true,true)"),"Axa Insurance Morocco")</f>
        <v>Axa Insurance Morocco</v>
      </c>
      <c r="AT750" s="10"/>
      <c r="AU750" s="10"/>
      <c r="AV750" s="10"/>
      <c r="AW750" s="10"/>
      <c r="AX750" s="10"/>
      <c r="AY750" s="10"/>
      <c r="AZ750" s="10"/>
      <c r="BA750" s="10"/>
      <c r="BB750" s="10"/>
      <c r="BC750" s="10"/>
      <c r="BD750" s="10"/>
      <c r="BE750" s="10"/>
      <c r="BF750" s="10"/>
      <c r="BG750" s="10"/>
      <c r="BH750" s="10"/>
      <c r="BI750" s="10"/>
      <c r="BJ750" s="10"/>
      <c r="BK750" s="10"/>
      <c r="BM750" s="10"/>
    </row>
    <row r="751" spans="1:65" ht="12.75">
      <c r="A751" s="18">
        <v>43374</v>
      </c>
      <c r="B751" s="14" t="s">
        <v>1637</v>
      </c>
      <c r="C751" s="19">
        <v>2270000</v>
      </c>
      <c r="D751" s="19"/>
      <c r="E751" s="14" t="s">
        <v>69</v>
      </c>
      <c r="F751" s="14" t="s">
        <v>1638</v>
      </c>
      <c r="G751" s="27" t="s">
        <v>1639</v>
      </c>
      <c r="H751" s="14" t="str">
        <f t="array" ref="H751">IFERROR(INDEX([1]Companies!$G:$G,MATCH(B751,[1]Companies!$A:$A,0)),"")</f>
        <v>South Africa</v>
      </c>
      <c r="I751" s="14" t="str">
        <f t="shared" si="974"/>
        <v>South Africa</v>
      </c>
      <c r="J751" s="14" t="str">
        <f t="array" ref="J751">IFERROR(INDEX([1]Companies!$Y:$Y,MATCH(B751,[1]Companies!$A:$A,0)),"")</f>
        <v>Solar products, Distribution in emerging markets, Product design, and After sales support</v>
      </c>
      <c r="K751" s="14" t="str">
        <f t="array" ref="K751">IFERROR(INDEX([1]Companies!$X:$X,MATCH(B751,[1]Companies!$A:$A,0)),"")</f>
        <v>Energy &amp; Environment Resources</v>
      </c>
      <c r="L751" s="14" t="str">
        <f>VLOOKUP(B751,[1]Companies!$A$1:$C$5243,1,FALSE)</f>
        <v>Solarworks!</v>
      </c>
      <c r="M751" s="15">
        <f t="shared" si="975"/>
        <v>0.9</v>
      </c>
      <c r="N751" s="10" t="str">
        <f t="shared" si="976"/>
        <v>43374Solarworks!2270000</v>
      </c>
      <c r="O751" s="14" t="str">
        <f t="shared" si="977"/>
        <v/>
      </c>
      <c r="P751" s="14">
        <f t="shared" si="978"/>
        <v>1</v>
      </c>
      <c r="Q751" s="14">
        <f t="array" ref="Q751">IFERROR(INDEX([1]Companies!$D:$D,MATCH(B751,[1]Companies!$A:$A,0)),"")</f>
        <v>2007</v>
      </c>
      <c r="R751" s="17">
        <f t="shared" si="979"/>
        <v>4270000</v>
      </c>
      <c r="S751" s="14">
        <f>VLOOKUP(I751,[1]Lookups!$V$3:$Y$197,4,FALSE)</f>
        <v>0</v>
      </c>
      <c r="T751" s="14" t="str">
        <f>VLOOKUP(E751,[1]Lookups!$H$3:$I$71,2,FALSE)</f>
        <v>3. Early Venture</v>
      </c>
      <c r="U751" s="14" t="e">
        <f>VLOOKUP(K751,[1]Lookups!$B$3:$C$142,2,FALSE)</f>
        <v>#N/A</v>
      </c>
      <c r="V751" s="14">
        <f t="shared" si="921"/>
        <v>2018</v>
      </c>
      <c r="W751" s="14">
        <f t="shared" si="922"/>
        <v>10</v>
      </c>
      <c r="X751" s="14">
        <f>VLOOKUP(W751,[1]Lookups!$P$3:$S$15,2,FALSE)</f>
        <v>4</v>
      </c>
      <c r="Y751" s="16">
        <f>VLOOKUP(W751,[1]Lookups!$P$3:$U$15,3,FALSE)</f>
        <v>2</v>
      </c>
      <c r="Z751" s="16">
        <f t="shared" si="923"/>
        <v>2</v>
      </c>
      <c r="AA751" s="16" t="str">
        <f t="shared" ca="1" si="1006"/>
        <v>Axa Insurance Morocco</v>
      </c>
      <c r="AB751" s="16" t="str">
        <f t="shared" ca="1" si="1006"/>
        <v xml:space="preserve"> Persistent Energy Capital</v>
      </c>
      <c r="AC751" s="16">
        <f t="shared" si="1006"/>
        <v>0</v>
      </c>
      <c r="AD751" s="16">
        <f t="shared" si="1006"/>
        <v>0</v>
      </c>
      <c r="AE751" s="16">
        <f t="shared" si="1006"/>
        <v>0</v>
      </c>
      <c r="AF751" s="16">
        <f t="shared" si="1006"/>
        <v>0</v>
      </c>
      <c r="AG751" s="16">
        <f t="shared" si="1006"/>
        <v>0</v>
      </c>
      <c r="AH751" s="16">
        <f t="shared" si="1006"/>
        <v>0</v>
      </c>
      <c r="AI751" s="16">
        <f t="shared" si="1006"/>
        <v>0</v>
      </c>
      <c r="AJ751" s="16">
        <f t="shared" si="1006"/>
        <v>0</v>
      </c>
      <c r="AK751" s="16">
        <f t="shared" si="1006"/>
        <v>0</v>
      </c>
      <c r="AL751" s="16">
        <f t="shared" si="1006"/>
        <v>0</v>
      </c>
      <c r="AM751" s="16">
        <f t="shared" si="1006"/>
        <v>0</v>
      </c>
      <c r="AN751" s="16">
        <f t="shared" si="1006"/>
        <v>0</v>
      </c>
      <c r="AO751" s="16">
        <f t="shared" si="1006"/>
        <v>0</v>
      </c>
      <c r="AP751" s="10"/>
      <c r="AQ751" s="10"/>
      <c r="AR751" s="10"/>
      <c r="AS751" s="10" t="str">
        <f t="shared" ref="AS751" ca="1" si="1010">IFERROR(__xludf.DUMMYFUNCTION("split(F723,"","",true,true)"),"Axa Insurance Morocco")</f>
        <v>Axa Insurance Morocco</v>
      </c>
      <c r="AT751" s="10" t="str">
        <f ca="1">IFERROR(__xludf.DUMMYFUNCTION("""COMPUTED_VALUE""")," Persistent Energy Capital")</f>
        <v xml:space="preserve"> Persistent Energy Capital</v>
      </c>
      <c r="AU751" s="10"/>
      <c r="AV751" s="10"/>
      <c r="AW751" s="10"/>
      <c r="AX751" s="10"/>
      <c r="AY751" s="10"/>
      <c r="AZ751" s="10"/>
      <c r="BA751" s="10"/>
      <c r="BB751" s="10"/>
      <c r="BC751" s="10"/>
      <c r="BD751" s="10"/>
      <c r="BE751" s="10"/>
      <c r="BF751" s="10"/>
      <c r="BG751" s="10"/>
      <c r="BH751" s="10"/>
      <c r="BI751" s="10"/>
      <c r="BJ751" s="10"/>
      <c r="BK751" s="10"/>
      <c r="BM751" s="10"/>
    </row>
    <row r="752" spans="1:65" ht="12.75">
      <c r="A752" s="9">
        <v>43374</v>
      </c>
      <c r="B752" s="10" t="s">
        <v>604</v>
      </c>
      <c r="C752" s="11">
        <v>1200000</v>
      </c>
      <c r="D752" s="12"/>
      <c r="E752" s="14" t="s">
        <v>45</v>
      </c>
      <c r="F752" s="10" t="s">
        <v>1640</v>
      </c>
      <c r="G752" s="13" t="s">
        <v>1641</v>
      </c>
      <c r="H752" s="14" t="str">
        <f t="array" ref="H752">IFERROR(INDEX([1]Companies!$G:$G,MATCH(B752,[1]Companies!$A:$A,0)),"")</f>
        <v>Rwanda</v>
      </c>
      <c r="I752" s="14" t="str">
        <f t="shared" si="974"/>
        <v>Rwanda</v>
      </c>
      <c r="J752" s="14" t="str">
        <f t="array" ref="J752">IFERROR(INDEX([1]Companies!$Y:$Y,MATCH(B752,[1]Companies!$A:$A,0)),"")</f>
        <v>Renewables &amp; Environment</v>
      </c>
      <c r="K752" s="14" t="str">
        <f t="array" ref="K752">IFERROR(INDEX([1]Companies!$X:$X,MATCH(B752,[1]Companies!$A:$A,0)),"")</f>
        <v>Energy &amp; Environment Resources</v>
      </c>
      <c r="L752" s="14" t="str">
        <f>VLOOKUP(B752,[1]Companies!$A$1:$C$5243,1,FALSE)</f>
        <v>OffGridBox</v>
      </c>
      <c r="M752" s="15">
        <f t="shared" si="975"/>
        <v>0.9</v>
      </c>
      <c r="N752" s="10" t="str">
        <f t="shared" si="976"/>
        <v>43374OffGridBox1200000</v>
      </c>
      <c r="O752" s="14" t="str">
        <f t="shared" si="977"/>
        <v/>
      </c>
      <c r="P752" s="14">
        <f t="shared" si="978"/>
        <v>1</v>
      </c>
      <c r="Q752" s="14">
        <f t="array" ref="Q752">IFERROR(INDEX([1]Companies!$D:$D,MATCH(B752,[1]Companies!$A:$A,0)),"")</f>
        <v>2016</v>
      </c>
      <c r="R752" s="17">
        <f t="shared" si="979"/>
        <v>3705000</v>
      </c>
      <c r="S752" s="14">
        <f>VLOOKUP(I752,[1]Lookups!$V$3:$Y$197,4,FALSE)</f>
        <v>0</v>
      </c>
      <c r="T752" s="14" t="str">
        <f>VLOOKUP(E752,[1]Lookups!$H$3:$I$71,2,FALSE)</f>
        <v>2. Seed</v>
      </c>
      <c r="U752" s="14" t="e">
        <f>VLOOKUP(K752,[1]Lookups!$B$3:$C$142,2,FALSE)</f>
        <v>#N/A</v>
      </c>
      <c r="V752" s="14">
        <f t="shared" si="921"/>
        <v>2018</v>
      </c>
      <c r="W752" s="14">
        <f t="shared" si="922"/>
        <v>10</v>
      </c>
      <c r="X752" s="14">
        <f>VLOOKUP(W752,[1]Lookups!$P$3:$S$15,2,FALSE)</f>
        <v>4</v>
      </c>
      <c r="Y752" s="16">
        <f>VLOOKUP(W752,[1]Lookups!$P$3:$U$15,3,FALSE)</f>
        <v>2</v>
      </c>
      <c r="Z752" s="16">
        <f t="shared" si="923"/>
        <v>3</v>
      </c>
      <c r="AA752" s="16" t="str">
        <f t="shared" ca="1" si="1006"/>
        <v>Axa Insurance Morocco</v>
      </c>
      <c r="AB752" s="16" t="str">
        <f t="shared" ca="1" si="1006"/>
        <v xml:space="preserve"> DOEN Participaties</v>
      </c>
      <c r="AC752" s="16" t="str">
        <f t="shared" ca="1" si="1006"/>
        <v xml:space="preserve"> EEP Africa</v>
      </c>
      <c r="AD752" s="16">
        <f t="shared" si="1006"/>
        <v>0</v>
      </c>
      <c r="AE752" s="16">
        <f t="shared" si="1006"/>
        <v>0</v>
      </c>
      <c r="AF752" s="16">
        <f t="shared" si="1006"/>
        <v>0</v>
      </c>
      <c r="AG752" s="16">
        <f t="shared" si="1006"/>
        <v>0</v>
      </c>
      <c r="AH752" s="16">
        <f t="shared" si="1006"/>
        <v>0</v>
      </c>
      <c r="AI752" s="16">
        <f t="shared" si="1006"/>
        <v>0</v>
      </c>
      <c r="AJ752" s="16">
        <f t="shared" si="1006"/>
        <v>0</v>
      </c>
      <c r="AK752" s="16">
        <f t="shared" si="1006"/>
        <v>0</v>
      </c>
      <c r="AL752" s="16">
        <f t="shared" si="1006"/>
        <v>0</v>
      </c>
      <c r="AM752" s="16">
        <f t="shared" si="1006"/>
        <v>0</v>
      </c>
      <c r="AN752" s="16">
        <f t="shared" si="1006"/>
        <v>0</v>
      </c>
      <c r="AO752" s="16">
        <f t="shared" si="1006"/>
        <v>0</v>
      </c>
      <c r="AP752" s="10"/>
      <c r="AQ752" s="10"/>
      <c r="AR752" s="10"/>
      <c r="AS752" s="10" t="str">
        <f t="shared" ref="AS752" ca="1" si="1011">IFERROR(__xludf.DUMMYFUNCTION("split(F723,"","",true,true)"),"Axa Insurance Morocco")</f>
        <v>Axa Insurance Morocco</v>
      </c>
      <c r="AT752" s="10" t="str">
        <f ca="1">IFERROR(__xludf.DUMMYFUNCTION("""COMPUTED_VALUE""")," DOEN Participaties")</f>
        <v xml:space="preserve"> DOEN Participaties</v>
      </c>
      <c r="AU752" s="10" t="str">
        <f ca="1">IFERROR(__xludf.DUMMYFUNCTION("""COMPUTED_VALUE""")," EEP Africa")</f>
        <v xml:space="preserve"> EEP Africa</v>
      </c>
      <c r="AV752" s="10"/>
      <c r="AW752" s="10"/>
      <c r="AX752" s="10"/>
      <c r="AY752" s="10"/>
      <c r="AZ752" s="10"/>
      <c r="BA752" s="10"/>
      <c r="BB752" s="10"/>
      <c r="BC752" s="10"/>
      <c r="BD752" s="10"/>
      <c r="BE752" s="10"/>
      <c r="BF752" s="10"/>
      <c r="BG752" s="10"/>
      <c r="BH752" s="10"/>
      <c r="BI752" s="10"/>
      <c r="BJ752" s="10"/>
      <c r="BK752" s="10"/>
      <c r="BM752" s="10"/>
    </row>
    <row r="753" spans="1:65" ht="12.75">
      <c r="A753" s="18">
        <v>43374</v>
      </c>
      <c r="B753" s="14" t="s">
        <v>1642</v>
      </c>
      <c r="C753" s="19">
        <v>980000</v>
      </c>
      <c r="D753" s="19"/>
      <c r="E753" s="14" t="s">
        <v>45</v>
      </c>
      <c r="F753" s="14" t="s">
        <v>1643</v>
      </c>
      <c r="G753" s="27" t="s">
        <v>1644</v>
      </c>
      <c r="H753" s="14" t="str">
        <f t="array" ref="H753">IFERROR(INDEX([1]Companies!$G:$G,MATCH(B753,[1]Companies!$A:$A,0)),"")</f>
        <v>South Africa</v>
      </c>
      <c r="I753" s="14" t="str">
        <f t="shared" si="974"/>
        <v>South Africa</v>
      </c>
      <c r="J753" s="14" t="str">
        <f t="array" ref="J753">IFERROR(INDEX([1]Companies!$Y:$Y,MATCH(B753,[1]Companies!$A:$A,0)),"")</f>
        <v>Marketplace, Travel</v>
      </c>
      <c r="K753" s="14" t="str">
        <f t="array" ref="K753">IFERROR(INDEX([1]Companies!$X:$X,MATCH(B753,[1]Companies!$A:$A,0)),"")</f>
        <v>Travel &amp; Leisure</v>
      </c>
      <c r="L753" s="14" t="str">
        <f>VLOOKUP(B753,[1]Companies!$A$1:$C$5243,1,FALSE)</f>
        <v>Tastemakers Africa</v>
      </c>
      <c r="M753" s="15">
        <f t="shared" si="975"/>
        <v>0.9</v>
      </c>
      <c r="N753" s="10" t="str">
        <f t="shared" si="976"/>
        <v>43374Tastemakers Africa980000</v>
      </c>
      <c r="O753" s="14" t="str">
        <f t="shared" si="977"/>
        <v/>
      </c>
      <c r="P753" s="14">
        <f t="shared" si="978"/>
        <v>1</v>
      </c>
      <c r="Q753" s="14">
        <f t="array" ref="Q753">IFERROR(INDEX([1]Companies!$D:$D,MATCH(B753,[1]Companies!$A:$A,0)),"")</f>
        <v>2014</v>
      </c>
      <c r="R753" s="17">
        <f t="shared" si="979"/>
        <v>980000</v>
      </c>
      <c r="S753" s="14">
        <f>VLOOKUP(I753,[1]Lookups!$V$3:$Y$197,4,FALSE)</f>
        <v>0</v>
      </c>
      <c r="T753" s="14" t="str">
        <f>VLOOKUP(E753,[1]Lookups!$H$3:$I$71,2,FALSE)</f>
        <v>2. Seed</v>
      </c>
      <c r="U753" s="14" t="str">
        <f>VLOOKUP(K753,[1]Lookups!$B$3:$C$142,2,FALSE)</f>
        <v>Travel &amp; Leisure</v>
      </c>
      <c r="V753" s="14">
        <f t="shared" si="921"/>
        <v>2018</v>
      </c>
      <c r="W753" s="14">
        <f t="shared" si="922"/>
        <v>10</v>
      </c>
      <c r="X753" s="14">
        <f>VLOOKUP(W753,[1]Lookups!$P$3:$S$15,2,FALSE)</f>
        <v>4</v>
      </c>
      <c r="Y753" s="16">
        <f>VLOOKUP(W753,[1]Lookups!$P$3:$U$15,3,FALSE)</f>
        <v>2</v>
      </c>
      <c r="Z753" s="16">
        <f t="shared" si="923"/>
        <v>5</v>
      </c>
      <c r="AA753" s="16" t="str">
        <f t="shared" ca="1" si="1006"/>
        <v>Axa Insurance Morocco</v>
      </c>
      <c r="AB753" s="16" t="str">
        <f t="shared" ca="1" si="1006"/>
        <v xml:space="preserve"> CRE Venture Capital</v>
      </c>
      <c r="AC753" s="16" t="str">
        <f t="shared" ca="1" si="1006"/>
        <v xml:space="preserve"> Pipeline Angels</v>
      </c>
      <c r="AD753" s="16" t="str">
        <f t="shared" ca="1" si="1006"/>
        <v xml:space="preserve"> Metis Investments</v>
      </c>
      <c r="AE753" s="16" t="str">
        <f t="shared" ca="1" si="1006"/>
        <v xml:space="preserve"> Christopher Isaacs</v>
      </c>
      <c r="AF753" s="16">
        <f t="shared" si="1006"/>
        <v>0</v>
      </c>
      <c r="AG753" s="16">
        <f t="shared" si="1006"/>
        <v>0</v>
      </c>
      <c r="AH753" s="16">
        <f t="shared" si="1006"/>
        <v>0</v>
      </c>
      <c r="AI753" s="16">
        <f t="shared" si="1006"/>
        <v>0</v>
      </c>
      <c r="AJ753" s="16">
        <f t="shared" si="1006"/>
        <v>0</v>
      </c>
      <c r="AK753" s="16">
        <f t="shared" si="1006"/>
        <v>0</v>
      </c>
      <c r="AL753" s="16">
        <f t="shared" si="1006"/>
        <v>0</v>
      </c>
      <c r="AM753" s="16">
        <f t="shared" si="1006"/>
        <v>0</v>
      </c>
      <c r="AN753" s="16">
        <f t="shared" si="1006"/>
        <v>0</v>
      </c>
      <c r="AO753" s="16">
        <f t="shared" si="1006"/>
        <v>0</v>
      </c>
      <c r="AP753" s="10"/>
      <c r="AQ753" s="10"/>
      <c r="AR753" s="10"/>
      <c r="AS753" s="10" t="str">
        <f t="shared" ref="AS753" ca="1" si="1012">IFERROR(__xludf.DUMMYFUNCTION("split(F723,"","",true,true)"),"Axa Insurance Morocco")</f>
        <v>Axa Insurance Morocco</v>
      </c>
      <c r="AT753" s="10" t="str">
        <f ca="1">IFERROR(__xludf.DUMMYFUNCTION("""COMPUTED_VALUE""")," CRE Venture Capital")</f>
        <v xml:space="preserve"> CRE Venture Capital</v>
      </c>
      <c r="AU753" s="10" t="str">
        <f ca="1">IFERROR(__xludf.DUMMYFUNCTION("""COMPUTED_VALUE""")," Pipeline Angels")</f>
        <v xml:space="preserve"> Pipeline Angels</v>
      </c>
      <c r="AV753" s="10" t="str">
        <f ca="1">IFERROR(__xludf.DUMMYFUNCTION("""COMPUTED_VALUE""")," Metis Investments")</f>
        <v xml:space="preserve"> Metis Investments</v>
      </c>
      <c r="AW753" s="10" t="str">
        <f ca="1">IFERROR(__xludf.DUMMYFUNCTION("""COMPUTED_VALUE""")," Christopher Isaacs")</f>
        <v xml:space="preserve"> Christopher Isaacs</v>
      </c>
      <c r="AX753" s="10"/>
      <c r="AY753" s="10"/>
      <c r="AZ753" s="10"/>
      <c r="BA753" s="10"/>
      <c r="BB753" s="10"/>
      <c r="BC753" s="10"/>
      <c r="BD753" s="10"/>
      <c r="BE753" s="10"/>
      <c r="BF753" s="10"/>
      <c r="BG753" s="10"/>
      <c r="BH753" s="10"/>
      <c r="BI753" s="10"/>
      <c r="BJ753" s="10"/>
      <c r="BK753" s="10"/>
      <c r="BM753" s="10"/>
    </row>
    <row r="754" spans="1:65" ht="12.75">
      <c r="A754" s="18">
        <v>43374</v>
      </c>
      <c r="B754" s="14" t="s">
        <v>1645</v>
      </c>
      <c r="C754" s="19">
        <v>408000</v>
      </c>
      <c r="D754" s="19"/>
      <c r="E754" s="14" t="s">
        <v>45</v>
      </c>
      <c r="F754" s="14" t="s">
        <v>1646</v>
      </c>
      <c r="G754" s="27" t="s">
        <v>1647</v>
      </c>
      <c r="H754" s="14" t="str">
        <f t="array" ref="H754">IFERROR(INDEX([1]Companies!$G:$G,MATCH(B754,[1]Companies!$A:$A,0)),"")</f>
        <v>Tunisia</v>
      </c>
      <c r="I754" s="14" t="str">
        <f t="shared" si="974"/>
        <v>Tunisia</v>
      </c>
      <c r="J754" s="14" t="str">
        <f t="array" ref="J754">IFERROR(INDEX([1]Companies!$Y:$Y,MATCH(B754,[1]Companies!$A:$A,0)),"")</f>
        <v>Artificial Intelligence, Big Data, E-Commerce, Machine Learning, SaaS, Software</v>
      </c>
      <c r="K754" s="14" t="str">
        <f t="array" ref="K754">IFERROR(INDEX([1]Companies!$X:$X,MATCH(B754,[1]Companies!$A:$A,0)),"")</f>
        <v>E-Commerce &amp; Retail</v>
      </c>
      <c r="L754" s="14" t="str">
        <f>VLOOKUP(B754,[1]Companies!$A$1:$C$5243,1,FALSE)</f>
        <v>Datavora</v>
      </c>
      <c r="M754" s="15">
        <f t="shared" si="975"/>
        <v>0.9</v>
      </c>
      <c r="N754" s="10" t="str">
        <f t="shared" si="976"/>
        <v>43374Datavora408000</v>
      </c>
      <c r="O754" s="14" t="str">
        <f t="shared" si="977"/>
        <v/>
      </c>
      <c r="P754" s="14">
        <f t="shared" si="978"/>
        <v>1</v>
      </c>
      <c r="Q754" s="14">
        <f t="array" ref="Q754">IFERROR(INDEX([1]Companies!$D:$D,MATCH(B754,[1]Companies!$A:$A,0)),"")</f>
        <v>2016</v>
      </c>
      <c r="R754" s="17">
        <f t="shared" si="979"/>
        <v>408000</v>
      </c>
      <c r="S754" s="14">
        <f>VLOOKUP(I754,[1]Lookups!$V$3:$Y$197,4,FALSE)</f>
        <v>0</v>
      </c>
      <c r="T754" s="14" t="str">
        <f>VLOOKUP(E754,[1]Lookups!$H$3:$I$71,2,FALSE)</f>
        <v>2. Seed</v>
      </c>
      <c r="U754" s="14" t="str">
        <f>VLOOKUP(K754,[1]Lookups!$B$3:$C$142,2,FALSE)</f>
        <v>E-commerce &amp; Retail</v>
      </c>
      <c r="V754" s="14">
        <f t="shared" si="921"/>
        <v>2018</v>
      </c>
      <c r="W754" s="14">
        <f t="shared" si="922"/>
        <v>10</v>
      </c>
      <c r="X754" s="14">
        <f>VLOOKUP(W754,[1]Lookups!$P$3:$S$15,2,FALSE)</f>
        <v>4</v>
      </c>
      <c r="Y754" s="16">
        <f>VLOOKUP(W754,[1]Lookups!$P$3:$U$15,3,FALSE)</f>
        <v>2</v>
      </c>
      <c r="Z754" s="16">
        <f t="shared" si="923"/>
        <v>2</v>
      </c>
      <c r="AA754" s="16" t="str">
        <f t="shared" ca="1" si="1006"/>
        <v>Axa Insurance Morocco</v>
      </c>
      <c r="AB754" s="16" t="str">
        <f t="shared" ca="1" si="1006"/>
        <v xml:space="preserve"> Intilaq</v>
      </c>
      <c r="AC754" s="16">
        <f t="shared" si="1006"/>
        <v>0</v>
      </c>
      <c r="AD754" s="16">
        <f t="shared" si="1006"/>
        <v>0</v>
      </c>
      <c r="AE754" s="16">
        <f t="shared" si="1006"/>
        <v>0</v>
      </c>
      <c r="AF754" s="16">
        <f t="shared" si="1006"/>
        <v>0</v>
      </c>
      <c r="AG754" s="16">
        <f t="shared" si="1006"/>
        <v>0</v>
      </c>
      <c r="AH754" s="16">
        <f t="shared" si="1006"/>
        <v>0</v>
      </c>
      <c r="AI754" s="16">
        <f t="shared" si="1006"/>
        <v>0</v>
      </c>
      <c r="AJ754" s="16">
        <f t="shared" si="1006"/>
        <v>0</v>
      </c>
      <c r="AK754" s="16">
        <f t="shared" si="1006"/>
        <v>0</v>
      </c>
      <c r="AL754" s="16">
        <f t="shared" si="1006"/>
        <v>0</v>
      </c>
      <c r="AM754" s="16">
        <f t="shared" si="1006"/>
        <v>0</v>
      </c>
      <c r="AN754" s="16">
        <f t="shared" si="1006"/>
        <v>0</v>
      </c>
      <c r="AO754" s="16">
        <f t="shared" si="1006"/>
        <v>0</v>
      </c>
      <c r="AP754" s="10"/>
      <c r="AQ754" s="10"/>
      <c r="AR754" s="10"/>
      <c r="AS754" s="10" t="str">
        <f t="shared" ref="AS754" ca="1" si="1013">IFERROR(__xludf.DUMMYFUNCTION("split(F723,"","",true,true)"),"Axa Insurance Morocco")</f>
        <v>Axa Insurance Morocco</v>
      </c>
      <c r="AT754" s="10" t="str">
        <f ca="1">IFERROR(__xludf.DUMMYFUNCTION("""COMPUTED_VALUE""")," Intilaq")</f>
        <v xml:space="preserve"> Intilaq</v>
      </c>
      <c r="AU754" s="10"/>
      <c r="AV754" s="10"/>
      <c r="AW754" s="10"/>
      <c r="AX754" s="10"/>
      <c r="AY754" s="10"/>
      <c r="AZ754" s="10"/>
      <c r="BA754" s="10"/>
      <c r="BB754" s="10"/>
      <c r="BC754" s="10"/>
      <c r="BD754" s="10"/>
      <c r="BE754" s="10"/>
      <c r="BF754" s="10"/>
      <c r="BG754" s="10"/>
      <c r="BH754" s="10"/>
      <c r="BI754" s="10"/>
      <c r="BJ754" s="10"/>
      <c r="BK754" s="10"/>
      <c r="BM754" s="10"/>
    </row>
    <row r="755" spans="1:65" ht="12.75">
      <c r="A755" s="18">
        <v>43374</v>
      </c>
      <c r="B755" s="14" t="s">
        <v>1648</v>
      </c>
      <c r="C755" s="19">
        <v>200000</v>
      </c>
      <c r="D755" s="19"/>
      <c r="E755" s="14" t="s">
        <v>45</v>
      </c>
      <c r="F755" s="14" t="s">
        <v>952</v>
      </c>
      <c r="G755" s="14"/>
      <c r="H755" s="14" t="str">
        <f t="array" ref="H755">IFERROR(INDEX([1]Companies!$G:$G,MATCH(B755,[1]Companies!$A:$A,0)),"")</f>
        <v>Kenya</v>
      </c>
      <c r="I755" s="14" t="str">
        <f t="shared" si="974"/>
        <v>Kenya</v>
      </c>
      <c r="J755" s="14" t="str">
        <f t="array" ref="J755">IFERROR(INDEX([1]Companies!$Y:$Y,MATCH(B755,[1]Companies!$A:$A,0)),"")</f>
        <v>Hospital &amp; Health Care</v>
      </c>
      <c r="K755" s="14" t="str">
        <f t="array" ref="K755">IFERROR(INDEX([1]Companies!$X:$X,MATCH(B755,[1]Companies!$A:$A,0)),"")</f>
        <v>Healthcare &amp; Pharma</v>
      </c>
      <c r="L755" s="14" t="str">
        <f>VLOOKUP(B755,[1]Companies!$A$1:$C$5243,1,FALSE)</f>
        <v>Lapaire Glasses</v>
      </c>
      <c r="M755" s="15">
        <f t="shared" si="975"/>
        <v>0.8</v>
      </c>
      <c r="N755" s="10" t="str">
        <f t="shared" si="976"/>
        <v>43374Lapaire Glasses200000</v>
      </c>
      <c r="O755" s="14" t="str">
        <f t="shared" si="977"/>
        <v/>
      </c>
      <c r="P755" s="14">
        <f t="shared" si="978"/>
        <v>1</v>
      </c>
      <c r="Q755" s="14">
        <f t="array" ref="Q755">IFERROR(INDEX([1]Companies!$D:$D,MATCH(B755,[1]Companies!$A:$A,0)),"")</f>
        <v>2018</v>
      </c>
      <c r="R755" s="17">
        <f t="shared" si="979"/>
        <v>200000</v>
      </c>
      <c r="S755" s="14">
        <f>VLOOKUP(I755,[1]Lookups!$V$3:$Y$197,4,FALSE)</f>
        <v>0</v>
      </c>
      <c r="T755" s="14" t="str">
        <f>VLOOKUP(E755,[1]Lookups!$H$3:$I$71,2,FALSE)</f>
        <v>2. Seed</v>
      </c>
      <c r="U755" s="14" t="str">
        <f>VLOOKUP(K755,[1]Lookups!$B$3:$C$142,2,FALSE)</f>
        <v>Health &amp; Pharmaceuticals</v>
      </c>
      <c r="V755" s="14">
        <f t="shared" si="921"/>
        <v>2018</v>
      </c>
      <c r="W755" s="14">
        <f t="shared" si="922"/>
        <v>10</v>
      </c>
      <c r="X755" s="14">
        <f>VLOOKUP(W755,[1]Lookups!$P$3:$S$15,2,FALSE)</f>
        <v>4</v>
      </c>
      <c r="Y755" s="16">
        <f>VLOOKUP(W755,[1]Lookups!$P$3:$U$15,3,FALSE)</f>
        <v>2</v>
      </c>
      <c r="Z755" s="16">
        <f t="shared" si="923"/>
        <v>1</v>
      </c>
      <c r="AA755" s="16" t="str">
        <f t="shared" ca="1" si="1006"/>
        <v>Axa Insurance Morocco</v>
      </c>
      <c r="AB755" s="16">
        <f t="shared" si="1006"/>
        <v>0</v>
      </c>
      <c r="AC755" s="16">
        <f t="shared" si="1006"/>
        <v>0</v>
      </c>
      <c r="AD755" s="16">
        <f t="shared" si="1006"/>
        <v>0</v>
      </c>
      <c r="AE755" s="16">
        <f t="shared" si="1006"/>
        <v>0</v>
      </c>
      <c r="AF755" s="16">
        <f t="shared" si="1006"/>
        <v>0</v>
      </c>
      <c r="AG755" s="16">
        <f t="shared" si="1006"/>
        <v>0</v>
      </c>
      <c r="AH755" s="16">
        <f t="shared" si="1006"/>
        <v>0</v>
      </c>
      <c r="AI755" s="16">
        <f t="shared" si="1006"/>
        <v>0</v>
      </c>
      <c r="AJ755" s="16">
        <f t="shared" si="1006"/>
        <v>0</v>
      </c>
      <c r="AK755" s="16">
        <f t="shared" si="1006"/>
        <v>0</v>
      </c>
      <c r="AL755" s="16">
        <f t="shared" si="1006"/>
        <v>0</v>
      </c>
      <c r="AM755" s="16">
        <f t="shared" si="1006"/>
        <v>0</v>
      </c>
      <c r="AN755" s="16">
        <f t="shared" si="1006"/>
        <v>0</v>
      </c>
      <c r="AO755" s="16">
        <f t="shared" si="1006"/>
        <v>0</v>
      </c>
      <c r="AP755" s="10"/>
      <c r="AQ755" s="10"/>
      <c r="AR755" s="10"/>
      <c r="AS755" s="10" t="str">
        <f t="shared" ref="AS755" ca="1" si="1014">IFERROR(__xludf.DUMMYFUNCTION("split(F723,"","",true,true)"),"Axa Insurance Morocco")</f>
        <v>Axa Insurance Morocco</v>
      </c>
      <c r="AT755" s="10"/>
      <c r="AU755" s="10"/>
      <c r="AV755" s="10"/>
      <c r="AW755" s="10"/>
      <c r="AX755" s="10"/>
      <c r="AY755" s="10"/>
      <c r="AZ755" s="10"/>
      <c r="BA755" s="10"/>
      <c r="BB755" s="10"/>
      <c r="BC755" s="10"/>
      <c r="BD755" s="10"/>
      <c r="BE755" s="10"/>
      <c r="BF755" s="10"/>
      <c r="BG755" s="10"/>
      <c r="BH755" s="10"/>
      <c r="BI755" s="10"/>
      <c r="BJ755" s="10"/>
      <c r="BK755" s="10"/>
      <c r="BM755" s="10"/>
    </row>
    <row r="756" spans="1:65" ht="12.75">
      <c r="A756" s="9">
        <v>43374</v>
      </c>
      <c r="B756" s="10" t="s">
        <v>1649</v>
      </c>
      <c r="C756" s="11">
        <v>100000</v>
      </c>
      <c r="D756" s="12"/>
      <c r="E756" s="10" t="s">
        <v>45</v>
      </c>
      <c r="F756" s="10" t="s">
        <v>1650</v>
      </c>
      <c r="G756" s="13" t="s">
        <v>1651</v>
      </c>
      <c r="H756" s="14" t="str">
        <f t="array" ref="H756">IFERROR(INDEX([1]Companies!$G:$G,MATCH(B756,[1]Companies!$A:$A,0)),"")</f>
        <v>Egypt</v>
      </c>
      <c r="I756" s="14" t="str">
        <f t="shared" si="974"/>
        <v>Egypt</v>
      </c>
      <c r="J756" s="14" t="str">
        <f t="array" ref="J756">IFERROR(INDEX([1]Companies!$Y:$Y,MATCH(B756,[1]Companies!$A:$A,0)),"")</f>
        <v>E-Commerce, Food and Beverage, Internet</v>
      </c>
      <c r="K756" s="14" t="str">
        <f t="array" ref="K756">IFERROR(INDEX([1]Companies!$X:$X,MATCH(B756,[1]Companies!$A:$A,0)),"")</f>
        <v>E-Commerce &amp; Retail</v>
      </c>
      <c r="L756" s="14" t="str">
        <f>VLOOKUP(B756,[1]Companies!$A$1:$C$5243,1,FALSE)</f>
        <v>Aklabaity</v>
      </c>
      <c r="M756" s="15">
        <f t="shared" si="975"/>
        <v>0.9</v>
      </c>
      <c r="N756" s="10" t="str">
        <f t="shared" si="976"/>
        <v>43374Aklabaity100000</v>
      </c>
      <c r="O756" s="14" t="str">
        <f t="shared" si="977"/>
        <v/>
      </c>
      <c r="P756" s="14">
        <f t="shared" si="978"/>
        <v>1</v>
      </c>
      <c r="Q756" s="14">
        <f t="array" ref="Q756">IFERROR(INDEX([1]Companies!$D:$D,MATCH(B756,[1]Companies!$A:$A,0)),"")</f>
        <v>2016</v>
      </c>
      <c r="R756" s="17">
        <f t="shared" si="979"/>
        <v>100000</v>
      </c>
      <c r="S756" s="14">
        <f>VLOOKUP(I756,[1]Lookups!$V$3:$Y$197,4,FALSE)</f>
        <v>0</v>
      </c>
      <c r="T756" s="14" t="str">
        <f>VLOOKUP(E756,[1]Lookups!$H$3:$I$71,2,FALSE)</f>
        <v>2. Seed</v>
      </c>
      <c r="U756" s="14" t="str">
        <f>VLOOKUP(K756,[1]Lookups!$B$3:$C$142,2,FALSE)</f>
        <v>E-commerce &amp; Retail</v>
      </c>
      <c r="V756" s="14">
        <f t="shared" si="921"/>
        <v>2018</v>
      </c>
      <c r="W756" s="14">
        <f t="shared" si="922"/>
        <v>10</v>
      </c>
      <c r="X756" s="14">
        <f>VLOOKUP(W756,[1]Lookups!$P$3:$S$15,2,FALSE)</f>
        <v>4</v>
      </c>
      <c r="Y756" s="16">
        <f>VLOOKUP(W756,[1]Lookups!$P$3:$U$15,3,FALSE)</f>
        <v>2</v>
      </c>
      <c r="Z756" s="16">
        <f t="shared" si="923"/>
        <v>1</v>
      </c>
      <c r="AA756" s="16" t="str">
        <f t="shared" ca="1" si="1006"/>
        <v>Axa Insurance Morocco</v>
      </c>
      <c r="AB756" s="16">
        <f t="shared" si="1006"/>
        <v>0</v>
      </c>
      <c r="AC756" s="16">
        <f t="shared" si="1006"/>
        <v>0</v>
      </c>
      <c r="AD756" s="16">
        <f t="shared" si="1006"/>
        <v>0</v>
      </c>
      <c r="AE756" s="16">
        <f t="shared" si="1006"/>
        <v>0</v>
      </c>
      <c r="AF756" s="16">
        <f t="shared" si="1006"/>
        <v>0</v>
      </c>
      <c r="AG756" s="16">
        <f t="shared" si="1006"/>
        <v>0</v>
      </c>
      <c r="AH756" s="16">
        <f t="shared" si="1006"/>
        <v>0</v>
      </c>
      <c r="AI756" s="16">
        <f t="shared" si="1006"/>
        <v>0</v>
      </c>
      <c r="AJ756" s="16">
        <f t="shared" si="1006"/>
        <v>0</v>
      </c>
      <c r="AK756" s="16">
        <f t="shared" si="1006"/>
        <v>0</v>
      </c>
      <c r="AL756" s="16">
        <f t="shared" si="1006"/>
        <v>0</v>
      </c>
      <c r="AM756" s="16">
        <f t="shared" si="1006"/>
        <v>0</v>
      </c>
      <c r="AN756" s="16">
        <f t="shared" si="1006"/>
        <v>0</v>
      </c>
      <c r="AO756" s="16">
        <f t="shared" si="1006"/>
        <v>0</v>
      </c>
      <c r="AP756" s="10"/>
      <c r="AQ756" s="10"/>
      <c r="AR756" s="10"/>
      <c r="AS756" s="10" t="str">
        <f t="shared" ref="AS756" ca="1" si="1015">IFERROR(__xludf.DUMMYFUNCTION("split(F723,"","",true,true)"),"Axa Insurance Morocco")</f>
        <v>Axa Insurance Morocco</v>
      </c>
      <c r="AT756" s="10"/>
      <c r="AU756" s="10"/>
      <c r="AV756" s="10"/>
      <c r="AW756" s="10"/>
      <c r="AX756" s="10"/>
      <c r="AY756" s="10"/>
      <c r="AZ756" s="10"/>
      <c r="BA756" s="10"/>
      <c r="BB756" s="10"/>
      <c r="BC756" s="10"/>
      <c r="BD756" s="10"/>
      <c r="BE756" s="10"/>
      <c r="BF756" s="10"/>
      <c r="BG756" s="10"/>
      <c r="BH756" s="10"/>
      <c r="BI756" s="10"/>
      <c r="BJ756" s="10"/>
      <c r="BK756" s="10"/>
      <c r="BM756" s="10"/>
    </row>
    <row r="757" spans="1:65" ht="12.75">
      <c r="A757" s="9">
        <v>43374</v>
      </c>
      <c r="B757" s="10" t="s">
        <v>1172</v>
      </c>
      <c r="C757" s="11">
        <v>1100000</v>
      </c>
      <c r="D757" s="12"/>
      <c r="E757" s="14" t="s">
        <v>45</v>
      </c>
      <c r="F757" s="10" t="s">
        <v>49</v>
      </c>
      <c r="G757" s="13" t="s">
        <v>1652</v>
      </c>
      <c r="H757" s="14" t="str">
        <f t="array" ref="H757">IFERROR(INDEX([1]Companies!$G:$G,MATCH(B757,[1]Companies!$A:$A,0)),"")</f>
        <v>Nigeria</v>
      </c>
      <c r="I757" s="14" t="str">
        <f t="shared" si="974"/>
        <v>Nigeria</v>
      </c>
      <c r="J757" s="14" t="str">
        <f t="array" ref="J757">IFERROR(INDEX([1]Companies!$Y:$Y,MATCH(B757,[1]Companies!$A:$A,0)),"")</f>
        <v>Health Care, Pharmaceutical, SaaS</v>
      </c>
      <c r="K757" s="14" t="str">
        <f t="array" ref="K757">IFERROR(INDEX([1]Companies!$X:$X,MATCH(B757,[1]Companies!$A:$A,0)),"")</f>
        <v>Healthcare &amp; Pharma</v>
      </c>
      <c r="L757" s="14" t="str">
        <f>VLOOKUP(B757,[1]Companies!$A$1:$C$5243,1,FALSE)</f>
        <v>Medsaf</v>
      </c>
      <c r="M757" s="15">
        <f t="shared" si="975"/>
        <v>0.9</v>
      </c>
      <c r="N757" s="10" t="str">
        <f t="shared" si="976"/>
        <v>43374Medsaf1100000</v>
      </c>
      <c r="O757" s="14"/>
      <c r="P757" s="14">
        <f t="shared" si="978"/>
        <v>1</v>
      </c>
      <c r="Q757" s="14">
        <f t="array" ref="Q757">IFERROR(INDEX([1]Companies!$D:$D,MATCH(B757,[1]Companies!$A:$A,0)),"")</f>
        <v>2017</v>
      </c>
      <c r="R757" s="17">
        <f t="shared" si="979"/>
        <v>1440000</v>
      </c>
      <c r="S757" s="14">
        <f>VLOOKUP(I757,[1]Lookups!$V$3:$Y$197,4,FALSE)</f>
        <v>0</v>
      </c>
      <c r="T757" s="14"/>
      <c r="U757" s="14"/>
      <c r="V757" s="14">
        <f t="shared" si="921"/>
        <v>2018</v>
      </c>
      <c r="W757" s="14">
        <f t="shared" si="922"/>
        <v>10</v>
      </c>
      <c r="X757" s="14">
        <f>VLOOKUP(W757,[1]Lookups!$P$3:$S$15,2,FALSE)</f>
        <v>4</v>
      </c>
      <c r="Y757" s="16">
        <f>VLOOKUP(W757,[1]Lookups!$P$3:$U$15,3,FALSE)</f>
        <v>2</v>
      </c>
      <c r="Z757" s="16">
        <f t="shared" si="923"/>
        <v>1</v>
      </c>
      <c r="AA757" s="16" t="str">
        <f t="shared" ca="1" si="1006"/>
        <v>Axa Insurance Morocco</v>
      </c>
      <c r="AB757" s="16">
        <f t="shared" si="1006"/>
        <v>0</v>
      </c>
      <c r="AC757" s="16">
        <f t="shared" si="1006"/>
        <v>0</v>
      </c>
      <c r="AD757" s="16">
        <f t="shared" si="1006"/>
        <v>0</v>
      </c>
      <c r="AE757" s="16">
        <f t="shared" si="1006"/>
        <v>0</v>
      </c>
      <c r="AF757" s="16">
        <f t="shared" si="1006"/>
        <v>0</v>
      </c>
      <c r="AG757" s="16">
        <f t="shared" si="1006"/>
        <v>0</v>
      </c>
      <c r="AH757" s="16">
        <f t="shared" si="1006"/>
        <v>0</v>
      </c>
      <c r="AI757" s="16">
        <f t="shared" si="1006"/>
        <v>0</v>
      </c>
      <c r="AJ757" s="16">
        <f t="shared" si="1006"/>
        <v>0</v>
      </c>
      <c r="AK757" s="16">
        <f t="shared" si="1006"/>
        <v>0</v>
      </c>
      <c r="AL757" s="16">
        <f t="shared" si="1006"/>
        <v>0</v>
      </c>
      <c r="AM757" s="16">
        <f t="shared" si="1006"/>
        <v>0</v>
      </c>
      <c r="AN757" s="16">
        <f t="shared" si="1006"/>
        <v>0</v>
      </c>
      <c r="AO757" s="16">
        <f t="shared" si="1006"/>
        <v>0</v>
      </c>
      <c r="AP757" s="10"/>
      <c r="AQ757" s="10"/>
      <c r="AR757" s="10"/>
      <c r="AS757" s="10" t="str">
        <f t="shared" ref="AS757" ca="1" si="1016">IFERROR(__xludf.DUMMYFUNCTION("split(F723,"","",true,true)"),"Axa Insurance Morocco")</f>
        <v>Axa Insurance Morocco</v>
      </c>
      <c r="AT757" s="10"/>
      <c r="AU757" s="10"/>
      <c r="AV757" s="10"/>
      <c r="AW757" s="10"/>
      <c r="AX757" s="10"/>
      <c r="AY757" s="10"/>
      <c r="AZ757" s="10"/>
      <c r="BA757" s="10"/>
      <c r="BB757" s="10"/>
      <c r="BC757" s="10"/>
      <c r="BD757" s="10"/>
      <c r="BE757" s="10"/>
      <c r="BF757" s="10"/>
      <c r="BG757" s="10"/>
      <c r="BH757" s="10"/>
      <c r="BI757" s="10"/>
      <c r="BJ757" s="10"/>
      <c r="BK757" s="10"/>
      <c r="BM757" s="10"/>
    </row>
    <row r="758" spans="1:65" ht="12.75">
      <c r="A758" s="18">
        <v>43375</v>
      </c>
      <c r="B758" s="14" t="s">
        <v>1653</v>
      </c>
      <c r="C758" s="19">
        <v>600000</v>
      </c>
      <c r="D758" s="19"/>
      <c r="E758" s="14" t="s">
        <v>69</v>
      </c>
      <c r="F758" s="14" t="s">
        <v>651</v>
      </c>
      <c r="G758" s="27" t="s">
        <v>1654</v>
      </c>
      <c r="H758" s="14" t="str">
        <f t="array" ref="H758">IFERROR(INDEX([1]Companies!$G:$G,MATCH(B758,[1]Companies!$A:$A,0)),"")</f>
        <v>Egypt</v>
      </c>
      <c r="I758" s="14" t="str">
        <f t="shared" si="974"/>
        <v>Egypt</v>
      </c>
      <c r="J758" s="14" t="str">
        <f t="array" ref="J758">IFERROR(INDEX([1]Companies!$Y:$Y,MATCH(B758,[1]Companies!$A:$A,0)),"")</f>
        <v>Community Builder, Communication Platform, Facility Management, Security Management Solution</v>
      </c>
      <c r="K758" s="14" t="str">
        <f t="array" ref="K758">IFERROR(INDEX([1]Companies!$X:$X,MATCH(B758,[1]Companies!$A:$A,0)),"")</f>
        <v>Media &amp; Entertainment</v>
      </c>
      <c r="L758" s="14" t="str">
        <f>VLOOKUP(B758,[1]Companies!$A$1:$C$5243,1,FALSE)</f>
        <v>Icommunity</v>
      </c>
      <c r="M758" s="15">
        <f t="shared" si="975"/>
        <v>0.9</v>
      </c>
      <c r="N758" s="10" t="str">
        <f t="shared" si="976"/>
        <v>43375iCommunity600000</v>
      </c>
      <c r="O758" s="14" t="str">
        <f t="shared" ref="O758:O860" si="1017">IF(A758 = "","",IF(COUNTIF(N:N,CONCATENATE(A758,B758,C758))&gt;1,"Duplicated",""))</f>
        <v/>
      </c>
      <c r="P758" s="14">
        <f t="shared" si="978"/>
        <v>1</v>
      </c>
      <c r="Q758" s="14">
        <f t="array" ref="Q758">IFERROR(INDEX([1]Companies!$D:$D,MATCH(B758,[1]Companies!$A:$A,0)),"")</f>
        <v>2016</v>
      </c>
      <c r="R758" s="17">
        <f t="shared" si="979"/>
        <v>600000</v>
      </c>
      <c r="S758" s="14">
        <f>VLOOKUP(I758,[1]Lookups!$V$3:$Y$197,4,FALSE)</f>
        <v>0</v>
      </c>
      <c r="T758" s="14" t="str">
        <f>VLOOKUP(E758,[1]Lookups!$H$3:$I$71,2,FALSE)</f>
        <v>3. Early Venture</v>
      </c>
      <c r="U758" s="14" t="str">
        <f>VLOOKUP(K758,[1]Lookups!$B$3:$C$142,2,FALSE)</f>
        <v>Media &amp; Entertainment</v>
      </c>
      <c r="V758" s="14">
        <f t="shared" si="921"/>
        <v>2018</v>
      </c>
      <c r="W758" s="14">
        <f t="shared" si="922"/>
        <v>10</v>
      </c>
      <c r="X758" s="14">
        <f>VLOOKUP(W758,[1]Lookups!$P$3:$S$15,2,FALSE)</f>
        <v>4</v>
      </c>
      <c r="Y758" s="16">
        <f>VLOOKUP(W758,[1]Lookups!$P$3:$U$15,3,FALSE)</f>
        <v>2</v>
      </c>
      <c r="Z758" s="16">
        <f t="shared" si="923"/>
        <v>1</v>
      </c>
      <c r="AA758" s="16" t="str">
        <f t="shared" ca="1" si="1006"/>
        <v>Axa Insurance Morocco</v>
      </c>
      <c r="AB758" s="16">
        <f t="shared" si="1006"/>
        <v>0</v>
      </c>
      <c r="AC758" s="16">
        <f t="shared" si="1006"/>
        <v>0</v>
      </c>
      <c r="AD758" s="16">
        <f t="shared" si="1006"/>
        <v>0</v>
      </c>
      <c r="AE758" s="16">
        <f t="shared" si="1006"/>
        <v>0</v>
      </c>
      <c r="AF758" s="16">
        <f t="shared" si="1006"/>
        <v>0</v>
      </c>
      <c r="AG758" s="16">
        <f t="shared" si="1006"/>
        <v>0</v>
      </c>
      <c r="AH758" s="16">
        <f t="shared" si="1006"/>
        <v>0</v>
      </c>
      <c r="AI758" s="16">
        <f t="shared" si="1006"/>
        <v>0</v>
      </c>
      <c r="AJ758" s="16">
        <f t="shared" si="1006"/>
        <v>0</v>
      </c>
      <c r="AK758" s="16">
        <f t="shared" si="1006"/>
        <v>0</v>
      </c>
      <c r="AL758" s="16">
        <f t="shared" si="1006"/>
        <v>0</v>
      </c>
      <c r="AM758" s="16">
        <f t="shared" si="1006"/>
        <v>0</v>
      </c>
      <c r="AN758" s="16">
        <f t="shared" si="1006"/>
        <v>0</v>
      </c>
      <c r="AO758" s="16">
        <f t="shared" si="1006"/>
        <v>0</v>
      </c>
      <c r="AP758" s="10"/>
      <c r="AQ758" s="10"/>
      <c r="AR758" s="10"/>
      <c r="AS758" s="10" t="str">
        <f t="shared" ref="AS758" ca="1" si="1018">IFERROR(__xludf.DUMMYFUNCTION("split(F723,"","",true,true)"),"Axa Insurance Morocco")</f>
        <v>Axa Insurance Morocco</v>
      </c>
      <c r="AT758" s="10"/>
      <c r="AU758" s="10"/>
      <c r="AV758" s="10"/>
      <c r="AW758" s="10"/>
      <c r="AX758" s="10"/>
      <c r="AY758" s="10"/>
      <c r="AZ758" s="10"/>
      <c r="BA758" s="10"/>
      <c r="BB758" s="10"/>
      <c r="BC758" s="10"/>
      <c r="BD758" s="10"/>
      <c r="BE758" s="10"/>
      <c r="BF758" s="10"/>
      <c r="BG758" s="10"/>
      <c r="BH758" s="10"/>
      <c r="BI758" s="10"/>
      <c r="BJ758" s="10"/>
      <c r="BK758" s="10"/>
      <c r="BM758" s="10"/>
    </row>
    <row r="759" spans="1:65" ht="12.75">
      <c r="A759" s="9">
        <v>43377</v>
      </c>
      <c r="B759" s="10" t="s">
        <v>1655</v>
      </c>
      <c r="C759" s="11" t="s">
        <v>49</v>
      </c>
      <c r="D759" s="12"/>
      <c r="E759" s="10" t="s">
        <v>45</v>
      </c>
      <c r="F759" s="10" t="s">
        <v>49</v>
      </c>
      <c r="G759" s="13" t="s">
        <v>1656</v>
      </c>
      <c r="H759" s="14" t="str">
        <f t="array" ref="H759">IFERROR(INDEX([1]Companies!$G:$G,MATCH(B759,[1]Companies!$A:$A,0)),"")</f>
        <v>Egypt</v>
      </c>
      <c r="I759" s="14" t="str">
        <f t="shared" si="974"/>
        <v>Egypt</v>
      </c>
      <c r="J759" s="14" t="str">
        <f t="array" ref="J759">IFERROR(INDEX([1]Companies!$Y:$Y,MATCH(B759,[1]Companies!$A:$A,0)),"")</f>
        <v>Talent, Labour</v>
      </c>
      <c r="K759" s="14" t="str">
        <f t="array" ref="K759">IFERROR(INDEX([1]Companies!$X:$X,MATCH(B759,[1]Companies!$A:$A,0)),"")</f>
        <v>Commercial &amp; Professional Services</v>
      </c>
      <c r="L759" s="14" t="str">
        <f>VLOOKUP(B759,[1]Companies!$A$1:$C$5243,1,FALSE)</f>
        <v>AnaMehani</v>
      </c>
      <c r="M759" s="15">
        <f t="shared" si="975"/>
        <v>0.9</v>
      </c>
      <c r="N759" s="10" t="str">
        <f t="shared" si="976"/>
        <v>43377AnaMehaniUndisclosed</v>
      </c>
      <c r="O759" s="14" t="str">
        <f t="shared" si="1017"/>
        <v/>
      </c>
      <c r="P759" s="14">
        <f t="shared" si="978"/>
        <v>0</v>
      </c>
      <c r="Q759" s="14">
        <f t="array" ref="Q759">IFERROR(INDEX([1]Companies!$D:$D,MATCH(B759,[1]Companies!$A:$A,0)),"")</f>
        <v>2015</v>
      </c>
      <c r="R759" s="17">
        <f t="shared" si="979"/>
        <v>0</v>
      </c>
      <c r="S759" s="14">
        <f>VLOOKUP(I759,[1]Lookups!$V$3:$Y$197,4,FALSE)</f>
        <v>0</v>
      </c>
      <c r="T759" s="14" t="str">
        <f>VLOOKUP(E759,[1]Lookups!$H$3:$I$71,2,FALSE)</f>
        <v>2. Seed</v>
      </c>
      <c r="U759" s="14" t="str">
        <f>VLOOKUP(K759,[1]Lookups!$B$3:$C$142,2,FALSE)</f>
        <v>Other Technologies &amp; Information Technology</v>
      </c>
      <c r="V759" s="14">
        <f t="shared" si="921"/>
        <v>2018</v>
      </c>
      <c r="W759" s="14">
        <f t="shared" si="922"/>
        <v>10</v>
      </c>
      <c r="X759" s="14">
        <f>VLOOKUP(W759,[1]Lookups!$P$3:$S$15,2,FALSE)</f>
        <v>4</v>
      </c>
      <c r="Y759" s="16">
        <f>VLOOKUP(W759,[1]Lookups!$P$3:$U$15,3,FALSE)</f>
        <v>2</v>
      </c>
      <c r="Z759" s="16">
        <f t="shared" si="923"/>
        <v>1</v>
      </c>
      <c r="AA759" s="16" t="str">
        <f t="shared" ca="1" si="1006"/>
        <v>Axa Insurance Morocco</v>
      </c>
      <c r="AB759" s="16">
        <f t="shared" si="1006"/>
        <v>0</v>
      </c>
      <c r="AC759" s="16">
        <f t="shared" si="1006"/>
        <v>0</v>
      </c>
      <c r="AD759" s="16">
        <f t="shared" si="1006"/>
        <v>0</v>
      </c>
      <c r="AE759" s="16">
        <f t="shared" si="1006"/>
        <v>0</v>
      </c>
      <c r="AF759" s="16">
        <f t="shared" si="1006"/>
        <v>0</v>
      </c>
      <c r="AG759" s="16">
        <f t="shared" si="1006"/>
        <v>0</v>
      </c>
      <c r="AH759" s="16">
        <f t="shared" si="1006"/>
        <v>0</v>
      </c>
      <c r="AI759" s="16">
        <f t="shared" si="1006"/>
        <v>0</v>
      </c>
      <c r="AJ759" s="16">
        <f t="shared" si="1006"/>
        <v>0</v>
      </c>
      <c r="AK759" s="16">
        <f t="shared" si="1006"/>
        <v>0</v>
      </c>
      <c r="AL759" s="16">
        <f t="shared" si="1006"/>
        <v>0</v>
      </c>
      <c r="AM759" s="16">
        <f t="shared" si="1006"/>
        <v>0</v>
      </c>
      <c r="AN759" s="16">
        <f t="shared" si="1006"/>
        <v>0</v>
      </c>
      <c r="AO759" s="16">
        <f t="shared" si="1006"/>
        <v>0</v>
      </c>
      <c r="AP759" s="10"/>
      <c r="AQ759" s="10"/>
      <c r="AR759" s="10"/>
      <c r="AS759" s="10" t="str">
        <f t="shared" ref="AS759" ca="1" si="1019">IFERROR(__xludf.DUMMYFUNCTION("split(F723,"","",true,true)"),"Axa Insurance Morocco")</f>
        <v>Axa Insurance Morocco</v>
      </c>
      <c r="AT759" s="10"/>
      <c r="AU759" s="10"/>
      <c r="AV759" s="10"/>
      <c r="AW759" s="10"/>
      <c r="AX759" s="10"/>
      <c r="AY759" s="10"/>
      <c r="AZ759" s="10"/>
      <c r="BA759" s="10"/>
      <c r="BB759" s="10"/>
      <c r="BC759" s="10"/>
      <c r="BD759" s="10"/>
      <c r="BE759" s="10"/>
      <c r="BF759" s="10"/>
      <c r="BG759" s="10"/>
      <c r="BH759" s="10"/>
      <c r="BI759" s="10"/>
      <c r="BJ759" s="10"/>
      <c r="BK759" s="10"/>
      <c r="BM759" s="10"/>
    </row>
    <row r="760" spans="1:65" ht="12.75">
      <c r="A760" s="9">
        <v>43378</v>
      </c>
      <c r="B760" s="10" t="s">
        <v>1657</v>
      </c>
      <c r="C760" s="11" t="s">
        <v>49</v>
      </c>
      <c r="D760" s="12"/>
      <c r="E760" s="10" t="s">
        <v>45</v>
      </c>
      <c r="F760" s="10" t="s">
        <v>1118</v>
      </c>
      <c r="G760" s="13" t="s">
        <v>1658</v>
      </c>
      <c r="H760" s="14" t="str">
        <f t="array" ref="H760">IFERROR(INDEX([1]Companies!$G:$G,MATCH(B760,[1]Companies!$A:$A,0)),"")</f>
        <v>Ghana</v>
      </c>
      <c r="I760" s="14" t="str">
        <f t="shared" si="974"/>
        <v>Ghana</v>
      </c>
      <c r="J760" s="14" t="str">
        <f t="array" ref="J760">IFERROR(INDEX([1]Companies!$Y:$Y,MATCH(B760,[1]Companies!$A:$A,0)),"")</f>
        <v>AgTech, Logistics</v>
      </c>
      <c r="K760" s="14" t="str">
        <f t="array" ref="K760">IFERROR(INDEX([1]Companies!$X:$X,MATCH(B760,[1]Companies!$A:$A,0)),"")</f>
        <v>Transport &amp; Logistics</v>
      </c>
      <c r="L760" s="14" t="str">
        <f>VLOOKUP(B760,[1]Companies!$A$1:$C$5243,1,FALSE)</f>
        <v>Jetstream Africa</v>
      </c>
      <c r="M760" s="15">
        <f t="shared" si="975"/>
        <v>0.9</v>
      </c>
      <c r="N760" s="10" t="str">
        <f t="shared" si="976"/>
        <v>43378Jetstream AfricaUndisclosed</v>
      </c>
      <c r="O760" s="14" t="str">
        <f t="shared" si="1017"/>
        <v/>
      </c>
      <c r="P760" s="14">
        <f t="shared" si="978"/>
        <v>0</v>
      </c>
      <c r="Q760" s="14">
        <f t="array" ref="Q760">IFERROR(INDEX([1]Companies!$D:$D,MATCH(B760,[1]Companies!$A:$A,0)),"")</f>
        <v>2018</v>
      </c>
      <c r="R760" s="17">
        <f t="shared" si="979"/>
        <v>0</v>
      </c>
      <c r="S760" s="14">
        <f>VLOOKUP(I760,[1]Lookups!$V$3:$Y$197,4,FALSE)</f>
        <v>0</v>
      </c>
      <c r="T760" s="14" t="str">
        <f>VLOOKUP(E760,[1]Lookups!$H$3:$I$71,2,FALSE)</f>
        <v>2. Seed</v>
      </c>
      <c r="U760" s="14" t="str">
        <f>VLOOKUP(K760,[1]Lookups!$B$3:$C$142,2,FALSE)</f>
        <v>Transport &amp; Logistics</v>
      </c>
      <c r="V760" s="14">
        <f t="shared" si="921"/>
        <v>2018</v>
      </c>
      <c r="W760" s="14">
        <f t="shared" si="922"/>
        <v>10</v>
      </c>
      <c r="X760" s="14">
        <f>VLOOKUP(W760,[1]Lookups!$P$3:$S$15,2,FALSE)</f>
        <v>4</v>
      </c>
      <c r="Y760" s="16">
        <f>VLOOKUP(W760,[1]Lookups!$P$3:$U$15,3,FALSE)</f>
        <v>2</v>
      </c>
      <c r="Z760" s="16">
        <f t="shared" si="923"/>
        <v>1</v>
      </c>
      <c r="AA760" s="16" t="str">
        <f t="shared" ca="1" si="1006"/>
        <v>Axa Insurance Morocco</v>
      </c>
      <c r="AB760" s="16">
        <f t="shared" si="1006"/>
        <v>0</v>
      </c>
      <c r="AC760" s="16">
        <f t="shared" si="1006"/>
        <v>0</v>
      </c>
      <c r="AD760" s="16">
        <f t="shared" si="1006"/>
        <v>0</v>
      </c>
      <c r="AE760" s="16">
        <f t="shared" si="1006"/>
        <v>0</v>
      </c>
      <c r="AF760" s="16">
        <f t="shared" si="1006"/>
        <v>0</v>
      </c>
      <c r="AG760" s="16">
        <f t="shared" si="1006"/>
        <v>0</v>
      </c>
      <c r="AH760" s="16">
        <f t="shared" si="1006"/>
        <v>0</v>
      </c>
      <c r="AI760" s="16">
        <f t="shared" si="1006"/>
        <v>0</v>
      </c>
      <c r="AJ760" s="16">
        <f t="shared" si="1006"/>
        <v>0</v>
      </c>
      <c r="AK760" s="16">
        <f t="shared" si="1006"/>
        <v>0</v>
      </c>
      <c r="AL760" s="16">
        <f t="shared" si="1006"/>
        <v>0</v>
      </c>
      <c r="AM760" s="16">
        <f t="shared" si="1006"/>
        <v>0</v>
      </c>
      <c r="AN760" s="16">
        <f t="shared" si="1006"/>
        <v>0</v>
      </c>
      <c r="AO760" s="16">
        <f t="shared" si="1006"/>
        <v>0</v>
      </c>
      <c r="AP760" s="10"/>
      <c r="AQ760" s="10"/>
      <c r="AR760" s="10"/>
      <c r="AS760" s="10" t="str">
        <f t="shared" ref="AS760" ca="1" si="1020">IFERROR(__xludf.DUMMYFUNCTION("split(F723,"","",true,true)"),"Axa Insurance Morocco")</f>
        <v>Axa Insurance Morocco</v>
      </c>
      <c r="AT760" s="10"/>
      <c r="AU760" s="10"/>
      <c r="AV760" s="10"/>
      <c r="AW760" s="10"/>
      <c r="AX760" s="10"/>
      <c r="AY760" s="10"/>
      <c r="AZ760" s="10"/>
      <c r="BA760" s="10"/>
      <c r="BB760" s="10"/>
      <c r="BC760" s="10"/>
      <c r="BD760" s="10"/>
      <c r="BE760" s="10"/>
      <c r="BF760" s="10"/>
      <c r="BG760" s="10"/>
      <c r="BH760" s="10"/>
      <c r="BI760" s="10"/>
      <c r="BJ760" s="10"/>
      <c r="BK760" s="10"/>
      <c r="BM760" s="10"/>
    </row>
    <row r="761" spans="1:65" ht="12.75">
      <c r="A761" s="18">
        <v>43379</v>
      </c>
      <c r="B761" s="14" t="s">
        <v>238</v>
      </c>
      <c r="C761" s="19">
        <v>200000</v>
      </c>
      <c r="D761" s="19"/>
      <c r="E761" s="14" t="s">
        <v>45</v>
      </c>
      <c r="F761" s="14" t="s">
        <v>49</v>
      </c>
      <c r="G761" s="27" t="s">
        <v>998</v>
      </c>
      <c r="H761" s="14" t="str">
        <f t="array" ref="H761">IFERROR(INDEX([1]Companies!$G:$G,MATCH(B761,[1]Companies!$A:$A,0)),"")</f>
        <v>South Africa</v>
      </c>
      <c r="I761" s="14" t="str">
        <f t="shared" si="974"/>
        <v>South Africa</v>
      </c>
      <c r="J761" s="14" t="str">
        <f t="array" ref="J761">IFERROR(INDEX([1]Companies!$Y:$Y,MATCH(B761,[1]Companies!$A:$A,0)),"")</f>
        <v>Collaborative Consumption, Logistics, Shipping</v>
      </c>
      <c r="K761" s="14" t="str">
        <f t="array" ref="K761">IFERROR(INDEX([1]Companies!$X:$X,MATCH(B761,[1]Companies!$A:$A,0)),"")</f>
        <v>Transport &amp; Logistics</v>
      </c>
      <c r="L761" s="14" t="str">
        <f>VLOOKUP(B761,[1]Companies!$A$1:$C$5243,1,FALSE)</f>
        <v>Fastvan</v>
      </c>
      <c r="M761" s="15">
        <f t="shared" si="975"/>
        <v>0.9</v>
      </c>
      <c r="N761" s="10" t="str">
        <f t="shared" si="976"/>
        <v>43379Fastvan200000</v>
      </c>
      <c r="O761" s="14" t="str">
        <f t="shared" si="1017"/>
        <v/>
      </c>
      <c r="P761" s="14">
        <f t="shared" si="978"/>
        <v>1</v>
      </c>
      <c r="Q761" s="14">
        <f t="array" ref="Q761">IFERROR(INDEX([1]Companies!$D:$D,MATCH(B761,[1]Companies!$A:$A,0)),"")</f>
        <v>2015</v>
      </c>
      <c r="R761" s="17">
        <f t="shared" si="979"/>
        <v>700000</v>
      </c>
      <c r="S761" s="14">
        <f>VLOOKUP(I761,[1]Lookups!$V$3:$Y$197,4,FALSE)</f>
        <v>0</v>
      </c>
      <c r="T761" s="14" t="str">
        <f>VLOOKUP(E761,[1]Lookups!$H$3:$I$71,2,FALSE)</f>
        <v>2. Seed</v>
      </c>
      <c r="U761" s="14" t="str">
        <f>VLOOKUP(K761,[1]Lookups!$B$3:$C$142,2,FALSE)</f>
        <v>Transport &amp; Logistics</v>
      </c>
      <c r="V761" s="14">
        <f t="shared" si="921"/>
        <v>2018</v>
      </c>
      <c r="W761" s="14">
        <f t="shared" si="922"/>
        <v>10</v>
      </c>
      <c r="X761" s="14">
        <f>VLOOKUP(W761,[1]Lookups!$P$3:$S$15,2,FALSE)</f>
        <v>4</v>
      </c>
      <c r="Y761" s="16">
        <f>VLOOKUP(W761,[1]Lookups!$P$3:$U$15,3,FALSE)</f>
        <v>2</v>
      </c>
      <c r="Z761" s="16">
        <f t="shared" si="923"/>
        <v>1</v>
      </c>
      <c r="AA761" s="16" t="str">
        <f t="shared" ca="1" si="1006"/>
        <v>Axa Insurance Morocco</v>
      </c>
      <c r="AB761" s="16">
        <f t="shared" si="1006"/>
        <v>0</v>
      </c>
      <c r="AC761" s="16">
        <f t="shared" si="1006"/>
        <v>0</v>
      </c>
      <c r="AD761" s="16">
        <f t="shared" si="1006"/>
        <v>0</v>
      </c>
      <c r="AE761" s="16">
        <f t="shared" si="1006"/>
        <v>0</v>
      </c>
      <c r="AF761" s="16">
        <f t="shared" si="1006"/>
        <v>0</v>
      </c>
      <c r="AG761" s="16">
        <f t="shared" si="1006"/>
        <v>0</v>
      </c>
      <c r="AH761" s="16">
        <f t="shared" si="1006"/>
        <v>0</v>
      </c>
      <c r="AI761" s="16">
        <f t="shared" si="1006"/>
        <v>0</v>
      </c>
      <c r="AJ761" s="16">
        <f t="shared" si="1006"/>
        <v>0</v>
      </c>
      <c r="AK761" s="16">
        <f t="shared" si="1006"/>
        <v>0</v>
      </c>
      <c r="AL761" s="16">
        <f t="shared" si="1006"/>
        <v>0</v>
      </c>
      <c r="AM761" s="16">
        <f t="shared" si="1006"/>
        <v>0</v>
      </c>
      <c r="AN761" s="16">
        <f t="shared" si="1006"/>
        <v>0</v>
      </c>
      <c r="AO761" s="16">
        <f t="shared" si="1006"/>
        <v>0</v>
      </c>
      <c r="AP761" s="10"/>
      <c r="AQ761" s="10"/>
      <c r="AR761" s="10"/>
      <c r="AS761" s="10" t="str">
        <f t="shared" ref="AS761" ca="1" si="1021">IFERROR(__xludf.DUMMYFUNCTION("split(F723,"","",true,true)"),"Axa Insurance Morocco")</f>
        <v>Axa Insurance Morocco</v>
      </c>
      <c r="AT761" s="10"/>
      <c r="AU761" s="10"/>
      <c r="AV761" s="10"/>
      <c r="AW761" s="10"/>
      <c r="AX761" s="10"/>
      <c r="AY761" s="10"/>
      <c r="AZ761" s="10"/>
      <c r="BA761" s="10"/>
      <c r="BB761" s="10"/>
      <c r="BC761" s="10"/>
      <c r="BD761" s="10"/>
      <c r="BE761" s="10"/>
      <c r="BF761" s="10"/>
      <c r="BG761" s="10"/>
      <c r="BH761" s="10"/>
      <c r="BI761" s="10"/>
      <c r="BJ761" s="10"/>
      <c r="BK761" s="10"/>
      <c r="BM761" s="10"/>
    </row>
    <row r="762" spans="1:65" ht="12.75">
      <c r="A762" s="18">
        <v>43379</v>
      </c>
      <c r="B762" s="14" t="s">
        <v>1372</v>
      </c>
      <c r="C762" s="19">
        <v>30000</v>
      </c>
      <c r="D762" s="19"/>
      <c r="E762" s="14" t="s">
        <v>55</v>
      </c>
      <c r="F762" s="14" t="s">
        <v>1659</v>
      </c>
      <c r="G762" s="27" t="s">
        <v>1660</v>
      </c>
      <c r="H762" s="14" t="str">
        <f t="array" ref="H762">IFERROR(INDEX([1]Companies!$G:$G,MATCH(B762,[1]Companies!$A:$A,0)),"")</f>
        <v>Uganda</v>
      </c>
      <c r="I762" s="14" t="str">
        <f t="shared" si="974"/>
        <v>Uganda</v>
      </c>
      <c r="J762" s="14" t="str">
        <f t="array" ref="J762">IFERROR(INDEX([1]Companies!$Y:$Y,MATCH(B762,[1]Companies!$A:$A,0)),"")</f>
        <v>Baby, Crowdfunding, Health Care, Medical Device, Wearables</v>
      </c>
      <c r="K762" s="14" t="str">
        <f t="array" ref="K762">IFERROR(INDEX([1]Companies!$X:$X,MATCH(B762,[1]Companies!$A:$A,0)),"")</f>
        <v>Healthcare &amp; Pharma</v>
      </c>
      <c r="L762" s="14" t="str">
        <f>VLOOKUP(B762,[1]Companies!$A$1:$C$5243,1,FALSE)</f>
        <v>Neopenda</v>
      </c>
      <c r="M762" s="15">
        <f t="shared" si="975"/>
        <v>0.9</v>
      </c>
      <c r="N762" s="10" t="str">
        <f t="shared" si="976"/>
        <v>43379Neopenda30000</v>
      </c>
      <c r="O762" s="14" t="str">
        <f t="shared" si="1017"/>
        <v/>
      </c>
      <c r="P762" s="14">
        <f t="shared" si="978"/>
        <v>1</v>
      </c>
      <c r="Q762" s="14">
        <f t="array" ref="Q762">IFERROR(INDEX([1]Companies!$D:$D,MATCH(B762,[1]Companies!$A:$A,0)),"")</f>
        <v>2015</v>
      </c>
      <c r="R762" s="17">
        <f t="shared" si="979"/>
        <v>1510000</v>
      </c>
      <c r="S762" s="14">
        <f>VLOOKUP(I762,[1]Lookups!$V$3:$Y$197,4,FALSE)</f>
        <v>0</v>
      </c>
      <c r="T762" s="14" t="str">
        <f>VLOOKUP(E762,[1]Lookups!$H$3:$I$71,2,FALSE)</f>
        <v>1. Grant</v>
      </c>
      <c r="U762" s="14" t="str">
        <f>VLOOKUP(K762,[1]Lookups!$B$3:$C$142,2,FALSE)</f>
        <v>Health &amp; Pharmaceuticals</v>
      </c>
      <c r="V762" s="14">
        <f t="shared" si="921"/>
        <v>2018</v>
      </c>
      <c r="W762" s="14">
        <f t="shared" si="922"/>
        <v>10</v>
      </c>
      <c r="X762" s="14">
        <f>VLOOKUP(W762,[1]Lookups!$P$3:$S$15,2,FALSE)</f>
        <v>4</v>
      </c>
      <c r="Y762" s="16">
        <f>VLOOKUP(W762,[1]Lookups!$P$3:$U$15,3,FALSE)</f>
        <v>2</v>
      </c>
      <c r="Z762" s="16">
        <f t="shared" si="923"/>
        <v>1</v>
      </c>
      <c r="AA762" s="16" t="str">
        <f t="shared" ca="1" si="1006"/>
        <v>Axa Insurance Morocco</v>
      </c>
      <c r="AB762" s="16">
        <f t="shared" si="1006"/>
        <v>0</v>
      </c>
      <c r="AC762" s="16">
        <f t="shared" si="1006"/>
        <v>0</v>
      </c>
      <c r="AD762" s="16">
        <f t="shared" si="1006"/>
        <v>0</v>
      </c>
      <c r="AE762" s="16">
        <f t="shared" si="1006"/>
        <v>0</v>
      </c>
      <c r="AF762" s="16">
        <f t="shared" si="1006"/>
        <v>0</v>
      </c>
      <c r="AG762" s="16">
        <f t="shared" si="1006"/>
        <v>0</v>
      </c>
      <c r="AH762" s="16">
        <f t="shared" si="1006"/>
        <v>0</v>
      </c>
      <c r="AI762" s="16">
        <f t="shared" si="1006"/>
        <v>0</v>
      </c>
      <c r="AJ762" s="16">
        <f t="shared" si="1006"/>
        <v>0</v>
      </c>
      <c r="AK762" s="16">
        <f t="shared" si="1006"/>
        <v>0</v>
      </c>
      <c r="AL762" s="16">
        <f t="shared" si="1006"/>
        <v>0</v>
      </c>
      <c r="AM762" s="16">
        <f t="shared" si="1006"/>
        <v>0</v>
      </c>
      <c r="AN762" s="16">
        <f t="shared" si="1006"/>
        <v>0</v>
      </c>
      <c r="AO762" s="16">
        <f t="shared" si="1006"/>
        <v>0</v>
      </c>
      <c r="AP762" s="10"/>
      <c r="AQ762" s="10"/>
      <c r="AR762" s="10"/>
      <c r="AS762" s="10" t="str">
        <f t="shared" ref="AS762" ca="1" si="1022">IFERROR(__xludf.DUMMYFUNCTION("split(F723,"","",true,true)"),"Axa Insurance Morocco")</f>
        <v>Axa Insurance Morocco</v>
      </c>
      <c r="AT762" s="10"/>
      <c r="AU762" s="10"/>
      <c r="AV762" s="10"/>
      <c r="AW762" s="10"/>
      <c r="AX762" s="10"/>
      <c r="AY762" s="10"/>
      <c r="AZ762" s="10"/>
      <c r="BA762" s="10"/>
      <c r="BB762" s="10"/>
      <c r="BC762" s="10"/>
      <c r="BD762" s="10"/>
      <c r="BE762" s="10"/>
      <c r="BF762" s="10"/>
      <c r="BG762" s="10"/>
      <c r="BH762" s="10"/>
      <c r="BI762" s="10"/>
      <c r="BJ762" s="10"/>
      <c r="BK762" s="10"/>
      <c r="BM762" s="10"/>
    </row>
    <row r="763" spans="1:65" ht="12.75">
      <c r="A763" s="18">
        <v>43380</v>
      </c>
      <c r="B763" s="14" t="s">
        <v>1661</v>
      </c>
      <c r="C763" s="19">
        <v>1000000</v>
      </c>
      <c r="D763" s="19"/>
      <c r="E763" s="14" t="s">
        <v>45</v>
      </c>
      <c r="F763" s="14" t="s">
        <v>1662</v>
      </c>
      <c r="G763" s="27" t="s">
        <v>1663</v>
      </c>
      <c r="H763" s="14" t="str">
        <f t="array" ref="H763">IFERROR(INDEX([1]Companies!$G:$G,MATCH(B763,[1]Companies!$A:$A,0)),"")</f>
        <v>South Africa</v>
      </c>
      <c r="I763" s="14" t="str">
        <f t="shared" si="974"/>
        <v>South Africa</v>
      </c>
      <c r="J763" s="14" t="str">
        <f t="array" ref="J763">IFERROR(INDEX([1]Companies!$Y:$Y,MATCH(B763,[1]Companies!$A:$A,0)),"")</f>
        <v>Augmented Reality, Game Development, Blockchain Integration, DataBits</v>
      </c>
      <c r="K763" s="14" t="str">
        <f t="array" ref="K763">IFERROR(INDEX([1]Companies!$X:$X,MATCH(B763,[1]Companies!$A:$A,0)),"")</f>
        <v>Media &amp; Entertainment</v>
      </c>
      <c r="L763" s="14" t="str">
        <f>VLOOKUP(B763,[1]Companies!$A$1:$C$5243,1,FALSE)</f>
        <v>Augmentors</v>
      </c>
      <c r="M763" s="15">
        <f t="shared" si="975"/>
        <v>0.9</v>
      </c>
      <c r="N763" s="10" t="str">
        <f t="shared" si="976"/>
        <v>43380Augmentors1000000</v>
      </c>
      <c r="O763" s="14" t="str">
        <f t="shared" si="1017"/>
        <v/>
      </c>
      <c r="P763" s="14">
        <f t="shared" si="978"/>
        <v>1</v>
      </c>
      <c r="Q763" s="14">
        <f t="array" ref="Q763">IFERROR(INDEX([1]Companies!$D:$D,MATCH(B763,[1]Companies!$A:$A,0)),"")</f>
        <v>2015</v>
      </c>
      <c r="R763" s="17">
        <f t="shared" si="979"/>
        <v>1000000</v>
      </c>
      <c r="S763" s="14">
        <f>VLOOKUP(I763,[1]Lookups!$V$3:$Y$197,4,FALSE)</f>
        <v>0</v>
      </c>
      <c r="T763" s="14" t="str">
        <f>VLOOKUP(E763,[1]Lookups!$H$3:$I$71,2,FALSE)</f>
        <v>2. Seed</v>
      </c>
      <c r="U763" s="14" t="str">
        <f>VLOOKUP(K763,[1]Lookups!$B$3:$C$142,2,FALSE)</f>
        <v>Media &amp; Entertainment</v>
      </c>
      <c r="V763" s="14">
        <f t="shared" si="921"/>
        <v>2018</v>
      </c>
      <c r="W763" s="14">
        <f t="shared" si="922"/>
        <v>10</v>
      </c>
      <c r="X763" s="14">
        <f>VLOOKUP(W763,[1]Lookups!$P$3:$S$15,2,FALSE)</f>
        <v>4</v>
      </c>
      <c r="Y763" s="16">
        <f>VLOOKUP(W763,[1]Lookups!$P$3:$U$15,3,FALSE)</f>
        <v>2</v>
      </c>
      <c r="Z763" s="16">
        <f t="shared" si="923"/>
        <v>1</v>
      </c>
      <c r="AA763" s="16" t="str">
        <f t="shared" ca="1" si="1006"/>
        <v>Axa Insurance Morocco</v>
      </c>
      <c r="AB763" s="16">
        <f t="shared" si="1006"/>
        <v>0</v>
      </c>
      <c r="AC763" s="16">
        <f t="shared" si="1006"/>
        <v>0</v>
      </c>
      <c r="AD763" s="16">
        <f t="shared" si="1006"/>
        <v>0</v>
      </c>
      <c r="AE763" s="16">
        <f t="shared" si="1006"/>
        <v>0</v>
      </c>
      <c r="AF763" s="16">
        <f t="shared" si="1006"/>
        <v>0</v>
      </c>
      <c r="AG763" s="16">
        <f t="shared" si="1006"/>
        <v>0</v>
      </c>
      <c r="AH763" s="16">
        <f t="shared" si="1006"/>
        <v>0</v>
      </c>
      <c r="AI763" s="16">
        <f t="shared" si="1006"/>
        <v>0</v>
      </c>
      <c r="AJ763" s="16">
        <f t="shared" si="1006"/>
        <v>0</v>
      </c>
      <c r="AK763" s="16">
        <f t="shared" si="1006"/>
        <v>0</v>
      </c>
      <c r="AL763" s="16">
        <f t="shared" si="1006"/>
        <v>0</v>
      </c>
      <c r="AM763" s="16">
        <f t="shared" si="1006"/>
        <v>0</v>
      </c>
      <c r="AN763" s="16">
        <f t="shared" si="1006"/>
        <v>0</v>
      </c>
      <c r="AO763" s="16">
        <f t="shared" si="1006"/>
        <v>0</v>
      </c>
      <c r="AP763" s="10"/>
      <c r="AQ763" s="10"/>
      <c r="AR763" s="10"/>
      <c r="AS763" s="10" t="str">
        <f t="shared" ref="AS763" ca="1" si="1023">IFERROR(__xludf.DUMMYFUNCTION("split(F723,"","",true,true)"),"Axa Insurance Morocco")</f>
        <v>Axa Insurance Morocco</v>
      </c>
      <c r="AT763" s="10"/>
      <c r="AU763" s="10"/>
      <c r="AV763" s="10"/>
      <c r="AW763" s="10"/>
      <c r="AX763" s="10"/>
      <c r="AY763" s="10"/>
      <c r="AZ763" s="10"/>
      <c r="BA763" s="10"/>
      <c r="BB763" s="10"/>
      <c r="BC763" s="10"/>
      <c r="BD763" s="10"/>
      <c r="BE763" s="10"/>
      <c r="BF763" s="10"/>
      <c r="BG763" s="10"/>
      <c r="BH763" s="10"/>
      <c r="BI763" s="10"/>
      <c r="BJ763" s="10"/>
      <c r="BK763" s="10"/>
      <c r="BM763" s="10"/>
    </row>
    <row r="764" spans="1:65" ht="12.75">
      <c r="A764" s="18">
        <v>43381</v>
      </c>
      <c r="B764" s="14" t="s">
        <v>1293</v>
      </c>
      <c r="C764" s="19" t="s">
        <v>49</v>
      </c>
      <c r="D764" s="19"/>
      <c r="E764" s="14" t="s">
        <v>45</v>
      </c>
      <c r="F764" s="14" t="s">
        <v>1281</v>
      </c>
      <c r="G764" s="27" t="s">
        <v>1664</v>
      </c>
      <c r="H764" s="14" t="str">
        <f t="array" ref="H764">IFERROR(INDEX([1]Companies!$G:$G,MATCH(B764,[1]Companies!$A:$A,0)),"")</f>
        <v>Nigeria</v>
      </c>
      <c r="I764" s="14" t="str">
        <f t="shared" si="974"/>
        <v>Nigeria</v>
      </c>
      <c r="J764" s="14" t="str">
        <f t="array" ref="J764">IFERROR(INDEX([1]Companies!$Y:$Y,MATCH(B764,[1]Companies!$A:$A,0)),"")</f>
        <v>Accounting, Banking, Financial Services, Cloud Computing</v>
      </c>
      <c r="K764" s="14" t="str">
        <f t="array" ref="K764">IFERROR(INDEX([1]Companies!$X:$X,MATCH(B764,[1]Companies!$A:$A,0)),"")</f>
        <v>Financial Services</v>
      </c>
      <c r="L764" s="14" t="str">
        <f>VLOOKUP(B764,[1]Companies!$A$1:$C$5243,1,FALSE)</f>
        <v>Accounteer</v>
      </c>
      <c r="M764" s="15">
        <f t="shared" si="975"/>
        <v>0.9</v>
      </c>
      <c r="N764" s="10" t="str">
        <f t="shared" si="976"/>
        <v>43381AccounteerUndisclosed</v>
      </c>
      <c r="O764" s="14" t="str">
        <f t="shared" si="1017"/>
        <v/>
      </c>
      <c r="P764" s="14">
        <f t="shared" si="978"/>
        <v>0</v>
      </c>
      <c r="Q764" s="14">
        <f t="array" ref="Q764">IFERROR(INDEX([1]Companies!$D:$D,MATCH(B764,[1]Companies!$A:$A,0)),"")</f>
        <v>2015</v>
      </c>
      <c r="R764" s="17">
        <f t="shared" si="979"/>
        <v>75000</v>
      </c>
      <c r="S764" s="14">
        <f>VLOOKUP(I764,[1]Lookups!$V$3:$Y$197,4,FALSE)</f>
        <v>0</v>
      </c>
      <c r="T764" s="14" t="str">
        <f>VLOOKUP(E764,[1]Lookups!$H$3:$I$71,2,FALSE)</f>
        <v>2. Seed</v>
      </c>
      <c r="U764" s="14" t="str">
        <f>VLOOKUP(K764,[1]Lookups!$B$3:$C$142,2,FALSE)</f>
        <v>Financial Services</v>
      </c>
      <c r="V764" s="14">
        <f t="shared" si="921"/>
        <v>2018</v>
      </c>
      <c r="W764" s="14">
        <f t="shared" si="922"/>
        <v>10</v>
      </c>
      <c r="X764" s="14">
        <f>VLOOKUP(W764,[1]Lookups!$P$3:$S$15,2,FALSE)</f>
        <v>4</v>
      </c>
      <c r="Y764" s="16">
        <f>VLOOKUP(W764,[1]Lookups!$P$3:$U$15,3,FALSE)</f>
        <v>2</v>
      </c>
      <c r="Z764" s="16">
        <f t="shared" si="923"/>
        <v>1</v>
      </c>
      <c r="AA764" s="16" t="str">
        <f t="shared" ref="AA764:AO779" ca="1" si="1024">AS764</f>
        <v>Axa Insurance Morocco</v>
      </c>
      <c r="AB764" s="16">
        <f t="shared" si="1024"/>
        <v>0</v>
      </c>
      <c r="AC764" s="16">
        <f t="shared" si="1024"/>
        <v>0</v>
      </c>
      <c r="AD764" s="16">
        <f t="shared" si="1024"/>
        <v>0</v>
      </c>
      <c r="AE764" s="16">
        <f t="shared" si="1024"/>
        <v>0</v>
      </c>
      <c r="AF764" s="16">
        <f t="shared" si="1024"/>
        <v>0</v>
      </c>
      <c r="AG764" s="16">
        <f t="shared" si="1024"/>
        <v>0</v>
      </c>
      <c r="AH764" s="16">
        <f t="shared" si="1024"/>
        <v>0</v>
      </c>
      <c r="AI764" s="16">
        <f t="shared" si="1024"/>
        <v>0</v>
      </c>
      <c r="AJ764" s="16">
        <f t="shared" si="1024"/>
        <v>0</v>
      </c>
      <c r="AK764" s="16">
        <f t="shared" si="1024"/>
        <v>0</v>
      </c>
      <c r="AL764" s="16">
        <f t="shared" si="1024"/>
        <v>0</v>
      </c>
      <c r="AM764" s="16">
        <f t="shared" si="1024"/>
        <v>0</v>
      </c>
      <c r="AN764" s="16">
        <f t="shared" si="1024"/>
        <v>0</v>
      </c>
      <c r="AO764" s="16">
        <f t="shared" si="1024"/>
        <v>0</v>
      </c>
      <c r="AP764" s="10"/>
      <c r="AQ764" s="10"/>
      <c r="AR764" s="10"/>
      <c r="AS764" s="10" t="str">
        <f t="shared" ref="AS764" ca="1" si="1025">IFERROR(__xludf.DUMMYFUNCTION("split(F723,"","",true,true)"),"Axa Insurance Morocco")</f>
        <v>Axa Insurance Morocco</v>
      </c>
      <c r="AT764" s="10"/>
      <c r="AU764" s="10"/>
      <c r="AV764" s="10"/>
      <c r="AW764" s="10"/>
      <c r="AX764" s="10"/>
      <c r="AY764" s="10"/>
      <c r="AZ764" s="10"/>
      <c r="BA764" s="10"/>
      <c r="BB764" s="10"/>
      <c r="BC764" s="10"/>
      <c r="BD764" s="10"/>
      <c r="BE764" s="10"/>
      <c r="BF764" s="10"/>
      <c r="BG764" s="10"/>
      <c r="BH764" s="10"/>
      <c r="BI764" s="10"/>
      <c r="BJ764" s="10"/>
      <c r="BK764" s="10"/>
      <c r="BM764" s="10"/>
    </row>
    <row r="765" spans="1:65" ht="12.75">
      <c r="A765" s="18">
        <v>43381</v>
      </c>
      <c r="B765" s="14" t="s">
        <v>1665</v>
      </c>
      <c r="C765" s="19" t="s">
        <v>49</v>
      </c>
      <c r="D765" s="19"/>
      <c r="E765" s="14" t="s">
        <v>45</v>
      </c>
      <c r="F765" s="14" t="s">
        <v>1325</v>
      </c>
      <c r="G765" s="27" t="s">
        <v>1666</v>
      </c>
      <c r="H765" s="14" t="str">
        <f t="array" ref="H765">IFERROR(INDEX([1]Companies!$G:$G,MATCH(B765,[1]Companies!$A:$A,0)),"")</f>
        <v>Nigeria</v>
      </c>
      <c r="I765" s="14" t="str">
        <f t="shared" si="974"/>
        <v>Nigeria</v>
      </c>
      <c r="J765" s="14" t="str">
        <f t="array" ref="J765">IFERROR(INDEX([1]Companies!$Y:$Y,MATCH(B765,[1]Companies!$A:$A,0)),"")</f>
        <v>Delivery, Delivery Service, Logistics</v>
      </c>
      <c r="K765" s="14" t="str">
        <f t="array" ref="K765">IFERROR(INDEX([1]Companies!$X:$X,MATCH(B765,[1]Companies!$A:$A,0)),"")</f>
        <v>Transport &amp; Logistics</v>
      </c>
      <c r="L765" s="14" t="str">
        <f>VLOOKUP(B765,[1]Companies!$A$1:$C$5243,1,FALSE)</f>
        <v>Parcel-It</v>
      </c>
      <c r="M765" s="15">
        <f t="shared" si="975"/>
        <v>0.9</v>
      </c>
      <c r="N765" s="10" t="str">
        <f t="shared" si="976"/>
        <v>43381Parcel-ItUndisclosed</v>
      </c>
      <c r="O765" s="14" t="str">
        <f t="shared" si="1017"/>
        <v/>
      </c>
      <c r="P765" s="14">
        <f t="shared" si="978"/>
        <v>0</v>
      </c>
      <c r="Q765" s="14">
        <f t="array" ref="Q765">IFERROR(INDEX([1]Companies!$D:$D,MATCH(B765,[1]Companies!$A:$A,0)),"")</f>
        <v>2017</v>
      </c>
      <c r="R765" s="17">
        <f t="shared" si="979"/>
        <v>0</v>
      </c>
      <c r="S765" s="14">
        <f>VLOOKUP(I765,[1]Lookups!$V$3:$Y$197,4,FALSE)</f>
        <v>0</v>
      </c>
      <c r="T765" s="14" t="str">
        <f>VLOOKUP(E765,[1]Lookups!$H$3:$I$71,2,FALSE)</f>
        <v>2. Seed</v>
      </c>
      <c r="U765" s="14" t="str">
        <f>VLOOKUP(K765,[1]Lookups!$B$3:$C$142,2,FALSE)</f>
        <v>Transport &amp; Logistics</v>
      </c>
      <c r="V765" s="14">
        <f t="shared" si="921"/>
        <v>2018</v>
      </c>
      <c r="W765" s="14">
        <f t="shared" si="922"/>
        <v>10</v>
      </c>
      <c r="X765" s="14">
        <f>VLOOKUP(W765,[1]Lookups!$P$3:$S$15,2,FALSE)</f>
        <v>4</v>
      </c>
      <c r="Y765" s="16">
        <f>VLOOKUP(W765,[1]Lookups!$P$3:$U$15,3,FALSE)</f>
        <v>2</v>
      </c>
      <c r="Z765" s="16">
        <f t="shared" si="923"/>
        <v>1</v>
      </c>
      <c r="AA765" s="16" t="str">
        <f t="shared" ca="1" si="1024"/>
        <v>Axa Insurance Morocco</v>
      </c>
      <c r="AB765" s="16">
        <f t="shared" si="1024"/>
        <v>0</v>
      </c>
      <c r="AC765" s="16">
        <f t="shared" si="1024"/>
        <v>0</v>
      </c>
      <c r="AD765" s="16">
        <f t="shared" si="1024"/>
        <v>0</v>
      </c>
      <c r="AE765" s="16">
        <f t="shared" si="1024"/>
        <v>0</v>
      </c>
      <c r="AF765" s="16">
        <f t="shared" si="1024"/>
        <v>0</v>
      </c>
      <c r="AG765" s="16">
        <f t="shared" si="1024"/>
        <v>0</v>
      </c>
      <c r="AH765" s="16">
        <f t="shared" si="1024"/>
        <v>0</v>
      </c>
      <c r="AI765" s="16">
        <f t="shared" si="1024"/>
        <v>0</v>
      </c>
      <c r="AJ765" s="16">
        <f t="shared" si="1024"/>
        <v>0</v>
      </c>
      <c r="AK765" s="16">
        <f t="shared" si="1024"/>
        <v>0</v>
      </c>
      <c r="AL765" s="16">
        <f t="shared" si="1024"/>
        <v>0</v>
      </c>
      <c r="AM765" s="16">
        <f t="shared" si="1024"/>
        <v>0</v>
      </c>
      <c r="AN765" s="16">
        <f t="shared" si="1024"/>
        <v>0</v>
      </c>
      <c r="AO765" s="16">
        <f t="shared" si="1024"/>
        <v>0</v>
      </c>
      <c r="AP765" s="10"/>
      <c r="AQ765" s="10"/>
      <c r="AR765" s="10"/>
      <c r="AS765" s="10" t="str">
        <f t="shared" ref="AS765" ca="1" si="1026">IFERROR(__xludf.DUMMYFUNCTION("split(F723,"","",true,true)"),"Axa Insurance Morocco")</f>
        <v>Axa Insurance Morocco</v>
      </c>
      <c r="AT765" s="10"/>
      <c r="AU765" s="10"/>
      <c r="AV765" s="10"/>
      <c r="AW765" s="10"/>
      <c r="AX765" s="10"/>
      <c r="AY765" s="10"/>
      <c r="AZ765" s="10"/>
      <c r="BA765" s="10"/>
      <c r="BB765" s="10"/>
      <c r="BC765" s="10"/>
      <c r="BD765" s="10"/>
      <c r="BE765" s="10"/>
      <c r="BF765" s="10"/>
      <c r="BG765" s="10"/>
      <c r="BH765" s="10"/>
      <c r="BI765" s="10"/>
      <c r="BJ765" s="10"/>
      <c r="BK765" s="10"/>
      <c r="BM765" s="10"/>
    </row>
    <row r="766" spans="1:65" ht="12.75">
      <c r="A766" s="18">
        <v>43384</v>
      </c>
      <c r="B766" s="14" t="s">
        <v>530</v>
      </c>
      <c r="C766" s="19">
        <v>500000</v>
      </c>
      <c r="D766" s="19"/>
      <c r="E766" s="14" t="s">
        <v>45</v>
      </c>
      <c r="F766" s="14" t="s">
        <v>1667</v>
      </c>
      <c r="G766" s="27" t="s">
        <v>1668</v>
      </c>
      <c r="H766" s="14" t="str">
        <f t="array" ref="H766">IFERROR(INDEX([1]Companies!$G:$G,MATCH(B766,[1]Companies!$A:$A,0)),"")</f>
        <v>South Africa</v>
      </c>
      <c r="I766" s="14" t="str">
        <f t="shared" si="974"/>
        <v>South Africa</v>
      </c>
      <c r="J766" s="14" t="str">
        <f t="array" ref="J766">IFERROR(INDEX([1]Companies!$Y:$Y,MATCH(B766,[1]Companies!$A:$A,0)),"")</f>
        <v>Solar Energy Project Financing, Solar Power, Blockchain, Internet of Things, Ethereum Smart Contracts, Bitcoin</v>
      </c>
      <c r="K766" s="14" t="str">
        <f t="array" ref="K766">IFERROR(INDEX([1]Companies!$X:$X,MATCH(B766,[1]Companies!$A:$A,0)),"")</f>
        <v>Financial Services</v>
      </c>
      <c r="L766" s="14" t="str">
        <f>VLOOKUP(B766,[1]Companies!$A$1:$C$5243,1,FALSE)</f>
        <v xml:space="preserve">The Sun Exchange </v>
      </c>
      <c r="M766" s="15">
        <f t="shared" si="975"/>
        <v>0.9</v>
      </c>
      <c r="N766" s="10" t="str">
        <f t="shared" si="976"/>
        <v>43384The Sun Exchange 500000</v>
      </c>
      <c r="O766" s="14" t="str">
        <f t="shared" si="1017"/>
        <v/>
      </c>
      <c r="P766" s="14">
        <f t="shared" si="978"/>
        <v>1</v>
      </c>
      <c r="Q766" s="14">
        <f t="array" ref="Q766">IFERROR(INDEX([1]Companies!$D:$D,MATCH(B766,[1]Companies!$A:$A,0)),"")</f>
        <v>2015</v>
      </c>
      <c r="R766" s="17">
        <f t="shared" si="979"/>
        <v>3920000</v>
      </c>
      <c r="S766" s="14">
        <f>VLOOKUP(I766,[1]Lookups!$V$3:$Y$197,4,FALSE)</f>
        <v>0</v>
      </c>
      <c r="T766" s="14" t="str">
        <f>VLOOKUP(E766,[1]Lookups!$H$3:$I$71,2,FALSE)</f>
        <v>2. Seed</v>
      </c>
      <c r="U766" s="14" t="str">
        <f>VLOOKUP(K766,[1]Lookups!$B$3:$C$142,2,FALSE)</f>
        <v>Financial Services</v>
      </c>
      <c r="V766" s="14">
        <f t="shared" si="921"/>
        <v>2018</v>
      </c>
      <c r="W766" s="14">
        <f t="shared" si="922"/>
        <v>10</v>
      </c>
      <c r="X766" s="14">
        <f>VLOOKUP(W766,[1]Lookups!$P$3:$S$15,2,FALSE)</f>
        <v>4</v>
      </c>
      <c r="Y766" s="16">
        <f>VLOOKUP(W766,[1]Lookups!$P$3:$U$15,3,FALSE)</f>
        <v>2</v>
      </c>
      <c r="Z766" s="16">
        <f t="shared" si="923"/>
        <v>1</v>
      </c>
      <c r="AA766" s="16" t="str">
        <f t="shared" ca="1" si="1024"/>
        <v>Axa Insurance Morocco</v>
      </c>
      <c r="AB766" s="16">
        <f t="shared" si="1024"/>
        <v>0</v>
      </c>
      <c r="AC766" s="16">
        <f t="shared" si="1024"/>
        <v>0</v>
      </c>
      <c r="AD766" s="16">
        <f t="shared" si="1024"/>
        <v>0</v>
      </c>
      <c r="AE766" s="16">
        <f t="shared" si="1024"/>
        <v>0</v>
      </c>
      <c r="AF766" s="16">
        <f t="shared" si="1024"/>
        <v>0</v>
      </c>
      <c r="AG766" s="16">
        <f t="shared" si="1024"/>
        <v>0</v>
      </c>
      <c r="AH766" s="16">
        <f t="shared" si="1024"/>
        <v>0</v>
      </c>
      <c r="AI766" s="16">
        <f t="shared" si="1024"/>
        <v>0</v>
      </c>
      <c r="AJ766" s="16">
        <f t="shared" si="1024"/>
        <v>0</v>
      </c>
      <c r="AK766" s="16">
        <f t="shared" si="1024"/>
        <v>0</v>
      </c>
      <c r="AL766" s="16">
        <f t="shared" si="1024"/>
        <v>0</v>
      </c>
      <c r="AM766" s="16">
        <f t="shared" si="1024"/>
        <v>0</v>
      </c>
      <c r="AN766" s="16">
        <f t="shared" si="1024"/>
        <v>0</v>
      </c>
      <c r="AO766" s="16">
        <f t="shared" si="1024"/>
        <v>0</v>
      </c>
      <c r="AP766" s="10"/>
      <c r="AQ766" s="10"/>
      <c r="AR766" s="10"/>
      <c r="AS766" s="10" t="str">
        <f t="shared" ref="AS766" ca="1" si="1027">IFERROR(__xludf.DUMMYFUNCTION("split(F723,"","",true,true)"),"Axa Insurance Morocco")</f>
        <v>Axa Insurance Morocco</v>
      </c>
      <c r="AT766" s="10"/>
      <c r="AU766" s="10"/>
      <c r="AV766" s="10"/>
      <c r="AW766" s="10"/>
      <c r="AX766" s="10"/>
      <c r="AY766" s="10"/>
      <c r="AZ766" s="10"/>
      <c r="BA766" s="10"/>
      <c r="BB766" s="10"/>
      <c r="BC766" s="10"/>
      <c r="BD766" s="10"/>
      <c r="BE766" s="10"/>
      <c r="BF766" s="10"/>
      <c r="BG766" s="10"/>
      <c r="BH766" s="10"/>
      <c r="BI766" s="10"/>
      <c r="BJ766" s="10"/>
      <c r="BK766" s="10"/>
      <c r="BM766" s="10"/>
    </row>
    <row r="767" spans="1:65" ht="12.75">
      <c r="A767" s="18">
        <v>43384</v>
      </c>
      <c r="B767" s="14" t="s">
        <v>1669</v>
      </c>
      <c r="C767" s="19">
        <v>20000</v>
      </c>
      <c r="D767" s="19"/>
      <c r="E767" s="14" t="s">
        <v>55</v>
      </c>
      <c r="F767" s="14" t="s">
        <v>1670</v>
      </c>
      <c r="G767" s="27" t="s">
        <v>1671</v>
      </c>
      <c r="H767" s="14" t="str">
        <f t="array" ref="H767">IFERROR(INDEX([1]Companies!$G:$G,MATCH(B767,[1]Companies!$A:$A,0)),"")</f>
        <v>Uganda</v>
      </c>
      <c r="I767" s="14" t="str">
        <f t="shared" si="974"/>
        <v>Uganda</v>
      </c>
      <c r="J767" s="14" t="str">
        <f t="array" ref="J767">IFERROR(INDEX([1]Companies!$Y:$Y,MATCH(B767,[1]Companies!$A:$A,0)),"")</f>
        <v>Health Care</v>
      </c>
      <c r="K767" s="14" t="str">
        <f t="array" ref="K767">IFERROR(INDEX([1]Companies!$X:$X,MATCH(B767,[1]Companies!$A:$A,0)),"")</f>
        <v>Healthcare &amp; Pharma</v>
      </c>
      <c r="L767" s="14" t="str">
        <f>VLOOKUP(B767,[1]Companies!$A$1:$C$5243,1,FALSE)</f>
        <v>BreastIT</v>
      </c>
      <c r="M767" s="15">
        <f t="shared" si="975"/>
        <v>0.9</v>
      </c>
      <c r="N767" s="10" t="str">
        <f t="shared" si="976"/>
        <v>43384BreastIT20000</v>
      </c>
      <c r="O767" s="14" t="str">
        <f t="shared" si="1017"/>
        <v/>
      </c>
      <c r="P767" s="14">
        <f t="shared" si="978"/>
        <v>1</v>
      </c>
      <c r="Q767" s="14">
        <f t="array" ref="Q767">IFERROR(INDEX([1]Companies!$D:$D,MATCH(B767,[1]Companies!$A:$A,0)),"")</f>
        <v>2014</v>
      </c>
      <c r="R767" s="17">
        <f t="shared" si="979"/>
        <v>20000</v>
      </c>
      <c r="S767" s="14">
        <f>VLOOKUP(I767,[1]Lookups!$V$3:$Y$197,4,FALSE)</f>
        <v>0</v>
      </c>
      <c r="T767" s="14" t="str">
        <f>VLOOKUP(E767,[1]Lookups!$H$3:$I$71,2,FALSE)</f>
        <v>1. Grant</v>
      </c>
      <c r="U767" s="14" t="str">
        <f>VLOOKUP(K767,[1]Lookups!$B$3:$C$142,2,FALSE)</f>
        <v>Health &amp; Pharmaceuticals</v>
      </c>
      <c r="V767" s="14">
        <f t="shared" si="921"/>
        <v>2018</v>
      </c>
      <c r="W767" s="14">
        <f t="shared" si="922"/>
        <v>10</v>
      </c>
      <c r="X767" s="14">
        <f>VLOOKUP(W767,[1]Lookups!$P$3:$S$15,2,FALSE)</f>
        <v>4</v>
      </c>
      <c r="Y767" s="16">
        <f>VLOOKUP(W767,[1]Lookups!$P$3:$U$15,3,FALSE)</f>
        <v>2</v>
      </c>
      <c r="Z767" s="16">
        <f t="shared" si="923"/>
        <v>1</v>
      </c>
      <c r="AA767" s="16" t="str">
        <f t="shared" ca="1" si="1024"/>
        <v>Axa Insurance Morocco</v>
      </c>
      <c r="AB767" s="16">
        <f t="shared" si="1024"/>
        <v>0</v>
      </c>
      <c r="AC767" s="16">
        <f t="shared" si="1024"/>
        <v>0</v>
      </c>
      <c r="AD767" s="16">
        <f t="shared" si="1024"/>
        <v>0</v>
      </c>
      <c r="AE767" s="16">
        <f t="shared" si="1024"/>
        <v>0</v>
      </c>
      <c r="AF767" s="16">
        <f t="shared" si="1024"/>
        <v>0</v>
      </c>
      <c r="AG767" s="16">
        <f t="shared" si="1024"/>
        <v>0</v>
      </c>
      <c r="AH767" s="16">
        <f t="shared" si="1024"/>
        <v>0</v>
      </c>
      <c r="AI767" s="16">
        <f t="shared" si="1024"/>
        <v>0</v>
      </c>
      <c r="AJ767" s="16">
        <f t="shared" si="1024"/>
        <v>0</v>
      </c>
      <c r="AK767" s="16">
        <f t="shared" si="1024"/>
        <v>0</v>
      </c>
      <c r="AL767" s="16">
        <f t="shared" si="1024"/>
        <v>0</v>
      </c>
      <c r="AM767" s="16">
        <f t="shared" si="1024"/>
        <v>0</v>
      </c>
      <c r="AN767" s="16">
        <f t="shared" si="1024"/>
        <v>0</v>
      </c>
      <c r="AO767" s="16">
        <f t="shared" si="1024"/>
        <v>0</v>
      </c>
      <c r="AP767" s="10"/>
      <c r="AQ767" s="10"/>
      <c r="AR767" s="10"/>
      <c r="AS767" s="10" t="str">
        <f t="shared" ref="AS767" ca="1" si="1028">IFERROR(__xludf.DUMMYFUNCTION("split(F723,"","",true,true)"),"Axa Insurance Morocco")</f>
        <v>Axa Insurance Morocco</v>
      </c>
      <c r="AT767" s="10"/>
      <c r="AU767" s="10"/>
      <c r="AV767" s="10"/>
      <c r="AW767" s="10"/>
      <c r="AX767" s="10"/>
      <c r="AY767" s="10"/>
      <c r="AZ767" s="10"/>
      <c r="BA767" s="10"/>
      <c r="BB767" s="10"/>
      <c r="BC767" s="10"/>
      <c r="BD767" s="10"/>
      <c r="BE767" s="10"/>
      <c r="BF767" s="10"/>
      <c r="BG767" s="10"/>
      <c r="BH767" s="10"/>
      <c r="BI767" s="10"/>
      <c r="BJ767" s="10"/>
      <c r="BK767" s="10"/>
      <c r="BM767" s="10"/>
    </row>
    <row r="768" spans="1:65" ht="12.75">
      <c r="A768" s="18">
        <v>43385</v>
      </c>
      <c r="B768" s="14" t="s">
        <v>88</v>
      </c>
      <c r="C768" s="19" t="s">
        <v>49</v>
      </c>
      <c r="D768" s="19"/>
      <c r="E768" s="10" t="s">
        <v>653</v>
      </c>
      <c r="F768" s="14" t="s">
        <v>1672</v>
      </c>
      <c r="G768" s="27" t="s">
        <v>1673</v>
      </c>
      <c r="H768" s="14" t="str">
        <f t="array" ref="H768">IFERROR(INDEX([1]Companies!$G:$G,MATCH(B768,[1]Companies!$A:$A,0)),"")</f>
        <v>Zambia</v>
      </c>
      <c r="I768" s="14" t="str">
        <f t="shared" si="974"/>
        <v>Zambia</v>
      </c>
      <c r="J768" s="14" t="str">
        <f t="array" ref="J768">IFERROR(INDEX([1]Companies!$Y:$Y,MATCH(B768,[1]Companies!$A:$A,0)),"")</f>
        <v>Mobile Money Transfer, Fintech</v>
      </c>
      <c r="K768" s="14" t="str">
        <f t="array" ref="K768">IFERROR(INDEX([1]Companies!$X:$X,MATCH(B768,[1]Companies!$A:$A,0)),"")</f>
        <v>Financial Services</v>
      </c>
      <c r="L768" s="14" t="str">
        <f>VLOOKUP(B768,[1]Companies!$A$1:$C$5243,1,FALSE)</f>
        <v>Zoona</v>
      </c>
      <c r="M768" s="15">
        <f t="shared" si="975"/>
        <v>0.9</v>
      </c>
      <c r="N768" s="10" t="str">
        <f t="shared" si="976"/>
        <v>43385ZoonaUndisclosed</v>
      </c>
      <c r="O768" s="14" t="str">
        <f t="shared" si="1017"/>
        <v/>
      </c>
      <c r="P768" s="14">
        <f t="shared" si="978"/>
        <v>0</v>
      </c>
      <c r="Q768" s="14">
        <f t="array" ref="Q768">IFERROR(INDEX([1]Companies!$D:$D,MATCH(B768,[1]Companies!$A:$A,0)),"")</f>
        <v>2009</v>
      </c>
      <c r="R768" s="17">
        <f t="shared" si="979"/>
        <v>19500000</v>
      </c>
      <c r="S768" s="14">
        <f>VLOOKUP(I768,[1]Lookups!$V$3:$Y$197,4,FALSE)</f>
        <v>0</v>
      </c>
      <c r="T768" s="14" t="str">
        <f>VLOOKUP(E768,[1]Lookups!$H$3:$I$71,2,FALSE)</f>
        <v>4. Late Venture</v>
      </c>
      <c r="U768" s="14" t="str">
        <f>VLOOKUP(K768,[1]Lookups!$B$3:$C$142,2,FALSE)</f>
        <v>Financial Services</v>
      </c>
      <c r="V768" s="14">
        <f t="shared" si="921"/>
        <v>2018</v>
      </c>
      <c r="W768" s="14">
        <f t="shared" si="922"/>
        <v>10</v>
      </c>
      <c r="X768" s="14">
        <f>VLOOKUP(W768,[1]Lookups!$P$3:$S$15,2,FALSE)</f>
        <v>4</v>
      </c>
      <c r="Y768" s="16">
        <f>VLOOKUP(W768,[1]Lookups!$P$3:$U$15,3,FALSE)</f>
        <v>2</v>
      </c>
      <c r="Z768" s="16">
        <f t="shared" si="923"/>
        <v>1</v>
      </c>
      <c r="AA768" s="16" t="str">
        <f t="shared" ca="1" si="1024"/>
        <v>Axa Insurance Morocco</v>
      </c>
      <c r="AB768" s="16">
        <f t="shared" si="1024"/>
        <v>0</v>
      </c>
      <c r="AC768" s="16">
        <f t="shared" si="1024"/>
        <v>0</v>
      </c>
      <c r="AD768" s="16">
        <f t="shared" si="1024"/>
        <v>0</v>
      </c>
      <c r="AE768" s="16">
        <f t="shared" si="1024"/>
        <v>0</v>
      </c>
      <c r="AF768" s="16">
        <f t="shared" si="1024"/>
        <v>0</v>
      </c>
      <c r="AG768" s="16">
        <f t="shared" si="1024"/>
        <v>0</v>
      </c>
      <c r="AH768" s="16">
        <f t="shared" si="1024"/>
        <v>0</v>
      </c>
      <c r="AI768" s="16">
        <f t="shared" si="1024"/>
        <v>0</v>
      </c>
      <c r="AJ768" s="16">
        <f t="shared" si="1024"/>
        <v>0</v>
      </c>
      <c r="AK768" s="16">
        <f t="shared" si="1024"/>
        <v>0</v>
      </c>
      <c r="AL768" s="16">
        <f t="shared" si="1024"/>
        <v>0</v>
      </c>
      <c r="AM768" s="16">
        <f t="shared" si="1024"/>
        <v>0</v>
      </c>
      <c r="AN768" s="16">
        <f t="shared" si="1024"/>
        <v>0</v>
      </c>
      <c r="AO768" s="16">
        <f t="shared" si="1024"/>
        <v>0</v>
      </c>
      <c r="AP768" s="10"/>
      <c r="AQ768" s="10"/>
      <c r="AR768" s="10"/>
      <c r="AS768" s="10" t="str">
        <f t="shared" ref="AS768" ca="1" si="1029">IFERROR(__xludf.DUMMYFUNCTION("split(F723,"","",true,true)"),"Axa Insurance Morocco")</f>
        <v>Axa Insurance Morocco</v>
      </c>
      <c r="AT768" s="10"/>
      <c r="AU768" s="10"/>
      <c r="AV768" s="10"/>
      <c r="AW768" s="10"/>
      <c r="AX768" s="10"/>
      <c r="AY768" s="10"/>
      <c r="AZ768" s="10"/>
      <c r="BA768" s="10"/>
      <c r="BB768" s="10"/>
      <c r="BC768" s="10"/>
      <c r="BD768" s="10"/>
      <c r="BE768" s="10"/>
      <c r="BF768" s="10"/>
      <c r="BG768" s="10"/>
      <c r="BH768" s="10"/>
      <c r="BI768" s="10"/>
      <c r="BJ768" s="10"/>
      <c r="BK768" s="10"/>
      <c r="BM768" s="10"/>
    </row>
    <row r="769" spans="1:65" ht="12.75">
      <c r="A769" s="9">
        <v>43385</v>
      </c>
      <c r="B769" s="10" t="s">
        <v>1484</v>
      </c>
      <c r="C769" s="11" t="s">
        <v>49</v>
      </c>
      <c r="D769" s="12"/>
      <c r="E769" s="10" t="s">
        <v>328</v>
      </c>
      <c r="F769" s="10" t="s">
        <v>516</v>
      </c>
      <c r="G769" s="13" t="s">
        <v>1674</v>
      </c>
      <c r="H769" s="14" t="str">
        <f t="array" ref="H769">IFERROR(INDEX([1]Companies!$G:$G,MATCH(B769,[1]Companies!$A:$A,0)),"")</f>
        <v>Nigeria</v>
      </c>
      <c r="I769" s="14" t="str">
        <f t="shared" si="974"/>
        <v>Nigeria</v>
      </c>
      <c r="J769" s="14" t="str">
        <f t="array" ref="J769">IFERROR(INDEX([1]Companies!$Y:$Y,MATCH(B769,[1]Companies!$A:$A,0)),"")</f>
        <v>SaaS</v>
      </c>
      <c r="K769" s="14" t="str">
        <f t="array" ref="K769">IFERROR(INDEX([1]Companies!$X:$X,MATCH(B769,[1]Companies!$A:$A,0)),"")</f>
        <v>Financial Services</v>
      </c>
      <c r="L769" s="14" t="str">
        <f>VLOOKUP(B769,[1]Companies!$A$1:$C$5243,1,FALSE)</f>
        <v>ThankUCash</v>
      </c>
      <c r="M769" s="15">
        <f t="shared" si="975"/>
        <v>0.9</v>
      </c>
      <c r="N769" s="10" t="str">
        <f t="shared" si="976"/>
        <v>43385ThankUCashUndisclosed</v>
      </c>
      <c r="O769" s="14" t="str">
        <f t="shared" si="1017"/>
        <v/>
      </c>
      <c r="P769" s="14">
        <f t="shared" si="978"/>
        <v>0</v>
      </c>
      <c r="Q769" s="14">
        <f t="array" ref="Q769">IFERROR(INDEX([1]Companies!$D:$D,MATCH(B769,[1]Companies!$A:$A,0)),"")</f>
        <v>2018</v>
      </c>
      <c r="R769" s="17">
        <f t="shared" si="979"/>
        <v>210000</v>
      </c>
      <c r="S769" s="14">
        <f>VLOOKUP(I769,[1]Lookups!$V$3:$Y$197,4,FALSE)</f>
        <v>0</v>
      </c>
      <c r="T769" s="14" t="str">
        <f>VLOOKUP(E769,[1]Lookups!$H$3:$I$71,2,FALSE)</f>
        <v>4. Late Venture</v>
      </c>
      <c r="U769" s="14" t="str">
        <f>VLOOKUP(K769,[1]Lookups!$B$3:$C$142,2,FALSE)</f>
        <v>Financial Services</v>
      </c>
      <c r="V769" s="14">
        <f t="shared" si="921"/>
        <v>2018</v>
      </c>
      <c r="W769" s="14">
        <f t="shared" si="922"/>
        <v>10</v>
      </c>
      <c r="X769" s="14">
        <f>VLOOKUP(W769,[1]Lookups!$P$3:$S$15,2,FALSE)</f>
        <v>4</v>
      </c>
      <c r="Y769" s="16">
        <f>VLOOKUP(W769,[1]Lookups!$P$3:$U$15,3,FALSE)</f>
        <v>2</v>
      </c>
      <c r="Z769" s="16">
        <f t="shared" si="923"/>
        <v>1</v>
      </c>
      <c r="AA769" s="16" t="str">
        <f t="shared" ca="1" si="1024"/>
        <v>Axa Insurance Morocco</v>
      </c>
      <c r="AB769" s="16">
        <f t="shared" si="1024"/>
        <v>0</v>
      </c>
      <c r="AC769" s="16">
        <f t="shared" si="1024"/>
        <v>0</v>
      </c>
      <c r="AD769" s="16">
        <f t="shared" si="1024"/>
        <v>0</v>
      </c>
      <c r="AE769" s="16">
        <f t="shared" si="1024"/>
        <v>0</v>
      </c>
      <c r="AF769" s="16">
        <f t="shared" si="1024"/>
        <v>0</v>
      </c>
      <c r="AG769" s="16">
        <f t="shared" si="1024"/>
        <v>0</v>
      </c>
      <c r="AH769" s="16">
        <f t="shared" si="1024"/>
        <v>0</v>
      </c>
      <c r="AI769" s="16">
        <f t="shared" si="1024"/>
        <v>0</v>
      </c>
      <c r="AJ769" s="16">
        <f t="shared" si="1024"/>
        <v>0</v>
      </c>
      <c r="AK769" s="16">
        <f t="shared" si="1024"/>
        <v>0</v>
      </c>
      <c r="AL769" s="16">
        <f t="shared" si="1024"/>
        <v>0</v>
      </c>
      <c r="AM769" s="16">
        <f t="shared" si="1024"/>
        <v>0</v>
      </c>
      <c r="AN769" s="16">
        <f t="shared" si="1024"/>
        <v>0</v>
      </c>
      <c r="AO769" s="16">
        <f t="shared" si="1024"/>
        <v>0</v>
      </c>
      <c r="AP769" s="10"/>
      <c r="AQ769" s="10"/>
      <c r="AR769" s="10"/>
      <c r="AS769" s="10" t="str">
        <f t="shared" ref="AS769" ca="1" si="1030">IFERROR(__xludf.DUMMYFUNCTION("split(F723,"","",true,true)"),"Axa Insurance Morocco")</f>
        <v>Axa Insurance Morocco</v>
      </c>
      <c r="AT769" s="10"/>
      <c r="AU769" s="10"/>
      <c r="AV769" s="10"/>
      <c r="AW769" s="10"/>
      <c r="AX769" s="10"/>
      <c r="AY769" s="10"/>
      <c r="AZ769" s="10"/>
      <c r="BA769" s="10"/>
      <c r="BB769" s="10"/>
      <c r="BC769" s="10"/>
      <c r="BD769" s="10"/>
      <c r="BE769" s="10"/>
      <c r="BF769" s="10"/>
      <c r="BG769" s="10"/>
      <c r="BH769" s="10"/>
      <c r="BI769" s="10"/>
      <c r="BJ769" s="10"/>
      <c r="BK769" s="10"/>
      <c r="BM769" s="10"/>
    </row>
    <row r="770" spans="1:65" ht="12.75">
      <c r="A770" s="18">
        <v>43387</v>
      </c>
      <c r="B770" s="14" t="s">
        <v>1134</v>
      </c>
      <c r="C770" s="11" t="s">
        <v>49</v>
      </c>
      <c r="D770" s="38">
        <v>0.15</v>
      </c>
      <c r="E770" s="10" t="s">
        <v>830</v>
      </c>
      <c r="F770" s="10" t="s">
        <v>1675</v>
      </c>
      <c r="G770" s="27" t="s">
        <v>1676</v>
      </c>
      <c r="H770" s="14" t="str">
        <f t="array" ref="H770">IFERROR(INDEX([1]Companies!$G:$G,MATCH(B770,[1]Companies!$A:$A,0)),"")</f>
        <v>Mauritius</v>
      </c>
      <c r="I770" s="14" t="str">
        <f t="shared" si="974"/>
        <v>Mauritius</v>
      </c>
      <c r="J770" s="14" t="str">
        <f t="array" ref="J770">IFERROR(INDEX([1]Companies!$Y:$Y,MATCH(B770,[1]Companies!$A:$A,0)),"")</f>
        <v>Mobile Marketplace</v>
      </c>
      <c r="K770" s="14" t="str">
        <f t="array" ref="K770">IFERROR(INDEX([1]Companies!$X:$X,MATCH(B770,[1]Companies!$A:$A,0)),"")</f>
        <v>E-Commerce &amp; Retail</v>
      </c>
      <c r="L770" s="14" t="str">
        <f>VLOOKUP(B770,[1]Companies!$A$1:$C$5243,1,FALSE)</f>
        <v>Coinafrique</v>
      </c>
      <c r="M770" s="15">
        <f t="shared" si="975"/>
        <v>1</v>
      </c>
      <c r="N770" s="10" t="str">
        <f t="shared" si="976"/>
        <v>43387CoinAfriqueUndisclosed</v>
      </c>
      <c r="O770" s="14" t="str">
        <f t="shared" si="1017"/>
        <v/>
      </c>
      <c r="P770" s="14">
        <f t="shared" si="978"/>
        <v>0</v>
      </c>
      <c r="Q770" s="14">
        <f t="array" ref="Q770">IFERROR(INDEX([1]Companies!$D:$D,MATCH(B770,[1]Companies!$A:$A,0)),"")</f>
        <v>2015</v>
      </c>
      <c r="R770" s="17">
        <f t="shared" si="979"/>
        <v>3100000</v>
      </c>
      <c r="S770" s="14">
        <f>VLOOKUP(I770,[1]Lookups!$V$3:$Y$197,4,FALSE)</f>
        <v>0</v>
      </c>
      <c r="T770" s="14" t="str">
        <f>VLOOKUP(E770,[1]Lookups!$H$3:$I$71,2,FALSE)</f>
        <v>4. Late Venture</v>
      </c>
      <c r="U770" s="14" t="str">
        <f>VLOOKUP(K770,[1]Lookups!$B$3:$C$142,2,FALSE)</f>
        <v>E-commerce &amp; Retail</v>
      </c>
      <c r="V770" s="14">
        <f t="shared" si="921"/>
        <v>2018</v>
      </c>
      <c r="W770" s="14">
        <f t="shared" si="922"/>
        <v>10</v>
      </c>
      <c r="X770" s="14">
        <f>VLOOKUP(W770,[1]Lookups!$P$3:$S$15,2,FALSE)</f>
        <v>4</v>
      </c>
      <c r="Y770" s="16">
        <f>VLOOKUP(W770,[1]Lookups!$P$3:$U$15,3,FALSE)</f>
        <v>2</v>
      </c>
      <c r="Z770" s="16">
        <f t="shared" si="923"/>
        <v>1</v>
      </c>
      <c r="AA770" s="16" t="str">
        <f t="shared" ca="1" si="1024"/>
        <v>Axa Insurance Morocco</v>
      </c>
      <c r="AB770" s="16">
        <f t="shared" si="1024"/>
        <v>0</v>
      </c>
      <c r="AC770" s="16">
        <f t="shared" si="1024"/>
        <v>0</v>
      </c>
      <c r="AD770" s="16">
        <f t="shared" si="1024"/>
        <v>0</v>
      </c>
      <c r="AE770" s="16">
        <f t="shared" si="1024"/>
        <v>0</v>
      </c>
      <c r="AF770" s="16">
        <f t="shared" si="1024"/>
        <v>0</v>
      </c>
      <c r="AG770" s="16">
        <f t="shared" si="1024"/>
        <v>0</v>
      </c>
      <c r="AH770" s="16">
        <f t="shared" si="1024"/>
        <v>0</v>
      </c>
      <c r="AI770" s="16">
        <f t="shared" si="1024"/>
        <v>0</v>
      </c>
      <c r="AJ770" s="16">
        <f t="shared" si="1024"/>
        <v>0</v>
      </c>
      <c r="AK770" s="16">
        <f t="shared" si="1024"/>
        <v>0</v>
      </c>
      <c r="AL770" s="16">
        <f t="shared" si="1024"/>
        <v>0</v>
      </c>
      <c r="AM770" s="16">
        <f t="shared" si="1024"/>
        <v>0</v>
      </c>
      <c r="AN770" s="16">
        <f t="shared" si="1024"/>
        <v>0</v>
      </c>
      <c r="AO770" s="16">
        <f t="shared" si="1024"/>
        <v>0</v>
      </c>
      <c r="AP770" s="10"/>
      <c r="AQ770" s="10"/>
      <c r="AR770" s="10"/>
      <c r="AS770" s="10" t="str">
        <f t="shared" ref="AS770" ca="1" si="1031">IFERROR(__xludf.DUMMYFUNCTION("split(F723,"","",true,true)"),"Axa Insurance Morocco")</f>
        <v>Axa Insurance Morocco</v>
      </c>
      <c r="AT770" s="10"/>
      <c r="AU770" s="10"/>
      <c r="AV770" s="10"/>
      <c r="AW770" s="10"/>
      <c r="AX770" s="10"/>
      <c r="AY770" s="10"/>
      <c r="AZ770" s="10"/>
      <c r="BA770" s="10"/>
      <c r="BB770" s="10"/>
      <c r="BC770" s="10"/>
      <c r="BD770" s="10"/>
      <c r="BE770" s="10"/>
      <c r="BF770" s="10"/>
      <c r="BG770" s="10"/>
      <c r="BH770" s="10"/>
      <c r="BI770" s="10"/>
      <c r="BJ770" s="10"/>
      <c r="BK770" s="10"/>
      <c r="BM770" s="10"/>
    </row>
    <row r="771" spans="1:65" ht="12.75">
      <c r="A771" s="18">
        <v>43388</v>
      </c>
      <c r="B771" s="14" t="s">
        <v>491</v>
      </c>
      <c r="C771" s="19">
        <v>10000000</v>
      </c>
      <c r="D771" s="19"/>
      <c r="E771" s="14" t="s">
        <v>69</v>
      </c>
      <c r="F771" s="14" t="s">
        <v>1677</v>
      </c>
      <c r="G771" s="27" t="s">
        <v>1678</v>
      </c>
      <c r="H771" s="14" t="str">
        <f t="array" ref="H771">IFERROR(INDEX([1]Companies!$G:$G,MATCH(B771,[1]Companies!$A:$A,0)),"")</f>
        <v>United States</v>
      </c>
      <c r="I771" s="14" t="str">
        <f t="shared" si="974"/>
        <v>United States</v>
      </c>
      <c r="J771" s="14" t="str">
        <f t="array" ref="J771">IFERROR(INDEX([1]Companies!$Y:$Y,MATCH(B771,[1]Companies!$A:$A,0)),"")</f>
        <v>Payments, Fintech, Financial Technology</v>
      </c>
      <c r="K771" s="14" t="str">
        <f t="array" ref="K771">IFERROR(INDEX([1]Companies!$X:$X,MATCH(B771,[1]Companies!$A:$A,0)),"")</f>
        <v>Financial Services</v>
      </c>
      <c r="L771" s="14" t="str">
        <f>VLOOKUP(B771,[1]Companies!$A$1:$C$5243,1,FALSE)</f>
        <v>Flutterwave</v>
      </c>
      <c r="M771" s="15">
        <f t="shared" si="975"/>
        <v>0.9</v>
      </c>
      <c r="N771" s="10" t="str">
        <f t="shared" si="976"/>
        <v>43388Flutterwave10000000</v>
      </c>
      <c r="O771" s="14" t="str">
        <f t="shared" si="1017"/>
        <v/>
      </c>
      <c r="P771" s="14">
        <f t="shared" si="978"/>
        <v>1</v>
      </c>
      <c r="Q771" s="14">
        <f t="array" ref="Q771">IFERROR(INDEX([1]Companies!$D:$D,MATCH(B771,[1]Companies!$A:$A,0)),"")</f>
        <v>2016</v>
      </c>
      <c r="R771" s="17">
        <f t="shared" si="979"/>
        <v>20300000</v>
      </c>
      <c r="S771" s="14" t="e">
        <f>VLOOKUP(I771,[1]Lookups!$V$3:$Y$197,4,FALSE)</f>
        <v>#N/A</v>
      </c>
      <c r="T771" s="14" t="str">
        <f>VLOOKUP(E771,[1]Lookups!$H$3:$I$71,2,FALSE)</f>
        <v>3. Early Venture</v>
      </c>
      <c r="U771" s="14" t="str">
        <f>VLOOKUP(K771,[1]Lookups!$B$3:$C$142,2,FALSE)</f>
        <v>Financial Services</v>
      </c>
      <c r="V771" s="14">
        <f t="shared" si="921"/>
        <v>2018</v>
      </c>
      <c r="W771" s="14">
        <f t="shared" si="922"/>
        <v>10</v>
      </c>
      <c r="X771" s="14">
        <f>VLOOKUP(W771,[1]Lookups!$P$3:$S$15,2,FALSE)</f>
        <v>4</v>
      </c>
      <c r="Y771" s="16">
        <f>VLOOKUP(W771,[1]Lookups!$P$3:$U$15,3,FALSE)</f>
        <v>2</v>
      </c>
      <c r="Z771" s="16">
        <f t="shared" si="923"/>
        <v>5</v>
      </c>
      <c r="AA771" s="16" t="str">
        <f t="shared" ca="1" si="1024"/>
        <v>Axa Insurance Morocco</v>
      </c>
      <c r="AB771" s="16" t="str">
        <f t="shared" ca="1" si="1024"/>
        <v xml:space="preserve"> Mastercard</v>
      </c>
      <c r="AC771" s="16" t="str">
        <f t="shared" ca="1" si="1024"/>
        <v xml:space="preserve"> FinTech Collective</v>
      </c>
      <c r="AD771" s="16" t="str">
        <f t="shared" ca="1" si="1024"/>
        <v xml:space="preserve"> CRE Venture Capital</v>
      </c>
      <c r="AE771" s="16" t="str">
        <f t="shared" ca="1" si="1024"/>
        <v xml:space="preserve"> 4DX Ventures</v>
      </c>
      <c r="AF771" s="16">
        <f t="shared" si="1024"/>
        <v>0</v>
      </c>
      <c r="AG771" s="16">
        <f t="shared" si="1024"/>
        <v>0</v>
      </c>
      <c r="AH771" s="16">
        <f t="shared" si="1024"/>
        <v>0</v>
      </c>
      <c r="AI771" s="16">
        <f t="shared" si="1024"/>
        <v>0</v>
      </c>
      <c r="AJ771" s="16">
        <f t="shared" si="1024"/>
        <v>0</v>
      </c>
      <c r="AK771" s="16">
        <f t="shared" si="1024"/>
        <v>0</v>
      </c>
      <c r="AL771" s="16">
        <f t="shared" si="1024"/>
        <v>0</v>
      </c>
      <c r="AM771" s="16">
        <f t="shared" si="1024"/>
        <v>0</v>
      </c>
      <c r="AN771" s="16">
        <f t="shared" si="1024"/>
        <v>0</v>
      </c>
      <c r="AO771" s="16">
        <f t="shared" si="1024"/>
        <v>0</v>
      </c>
      <c r="AP771" s="10"/>
      <c r="AQ771" s="10"/>
      <c r="AR771" s="10"/>
      <c r="AS771" s="10" t="str">
        <f t="shared" ref="AS771" ca="1" si="1032">IFERROR(__xludf.DUMMYFUNCTION("split(F723,"","",true,true)"),"Axa Insurance Morocco")</f>
        <v>Axa Insurance Morocco</v>
      </c>
      <c r="AT771" s="10" t="str">
        <f ca="1">IFERROR(__xludf.DUMMYFUNCTION("""COMPUTED_VALUE""")," Mastercard")</f>
        <v xml:space="preserve"> Mastercard</v>
      </c>
      <c r="AU771" s="10" t="str">
        <f ca="1">IFERROR(__xludf.DUMMYFUNCTION("""COMPUTED_VALUE""")," FinTech Collective")</f>
        <v xml:space="preserve"> FinTech Collective</v>
      </c>
      <c r="AV771" s="10" t="str">
        <f ca="1">IFERROR(__xludf.DUMMYFUNCTION("""COMPUTED_VALUE""")," CRE Venture Capital")</f>
        <v xml:space="preserve"> CRE Venture Capital</v>
      </c>
      <c r="AW771" s="10" t="str">
        <f ca="1">IFERROR(__xludf.DUMMYFUNCTION("""COMPUTED_VALUE""")," 4DX Ventures")</f>
        <v xml:space="preserve"> 4DX Ventures</v>
      </c>
      <c r="AX771" s="10"/>
      <c r="AY771" s="10"/>
      <c r="AZ771" s="10"/>
      <c r="BA771" s="10"/>
      <c r="BB771" s="10"/>
      <c r="BC771" s="10"/>
      <c r="BD771" s="10"/>
      <c r="BE771" s="10"/>
      <c r="BF771" s="10"/>
      <c r="BG771" s="10"/>
      <c r="BH771" s="10"/>
      <c r="BI771" s="10"/>
      <c r="BJ771" s="10"/>
      <c r="BK771" s="10"/>
      <c r="BM771" s="10"/>
    </row>
    <row r="772" spans="1:65" ht="12.75">
      <c r="A772" s="18">
        <v>43388</v>
      </c>
      <c r="B772" s="14" t="s">
        <v>1679</v>
      </c>
      <c r="C772" s="19">
        <v>890000</v>
      </c>
      <c r="D772" s="19"/>
      <c r="E772" s="14" t="s">
        <v>55</v>
      </c>
      <c r="F772" s="14" t="s">
        <v>1462</v>
      </c>
      <c r="G772" s="27" t="s">
        <v>1680</v>
      </c>
      <c r="H772" s="14" t="str">
        <f t="array" ref="H772">IFERROR(INDEX([1]Companies!$G:$G,MATCH(B772,[1]Companies!$A:$A,0)),"")</f>
        <v>South Africa</v>
      </c>
      <c r="I772" s="14" t="str">
        <f t="shared" si="974"/>
        <v>South Africa</v>
      </c>
      <c r="J772" s="14" t="str">
        <f t="array" ref="J772">IFERROR(INDEX([1]Companies!$Y:$Y,MATCH(B772,[1]Companies!$A:$A,0)),"")</f>
        <v>Accomodation, Construction</v>
      </c>
      <c r="K772" s="14" t="str">
        <f t="array" ref="K772">IFERROR(INDEX([1]Companies!$X:$X,MATCH(B772,[1]Companies!$A:$A,0)),"")</f>
        <v>Real Estate</v>
      </c>
      <c r="L772" s="14" t="str">
        <f>VLOOKUP(B772,[1]Companies!$A$1:$C$5243,1,FALSE)</f>
        <v>Hustlenomics</v>
      </c>
      <c r="M772" s="15">
        <f t="shared" si="975"/>
        <v>0.9</v>
      </c>
      <c r="N772" s="10" t="str">
        <f t="shared" si="976"/>
        <v>43388Hustlenomics890000</v>
      </c>
      <c r="O772" s="14" t="str">
        <f t="shared" si="1017"/>
        <v/>
      </c>
      <c r="P772" s="14">
        <f t="shared" si="978"/>
        <v>1</v>
      </c>
      <c r="Q772" s="14">
        <f t="array" ref="Q772">IFERROR(INDEX([1]Companies!$D:$D,MATCH(B772,[1]Companies!$A:$A,0)),"")</f>
        <v>2015</v>
      </c>
      <c r="R772" s="17">
        <f t="shared" si="979"/>
        <v>890000</v>
      </c>
      <c r="S772" s="14">
        <f>VLOOKUP(I772,[1]Lookups!$V$3:$Y$197,4,FALSE)</f>
        <v>0</v>
      </c>
      <c r="T772" s="14" t="str">
        <f>VLOOKUP(E772,[1]Lookups!$H$3:$I$71,2,FALSE)</f>
        <v>1. Grant</v>
      </c>
      <c r="U772" s="14" t="str">
        <f>VLOOKUP(K772,[1]Lookups!$B$3:$C$142,2,FALSE)</f>
        <v>Construction &amp; Real Estate</v>
      </c>
      <c r="V772" s="14">
        <f t="shared" si="921"/>
        <v>2018</v>
      </c>
      <c r="W772" s="14">
        <f t="shared" si="922"/>
        <v>10</v>
      </c>
      <c r="X772" s="14">
        <f>VLOOKUP(W772,[1]Lookups!$P$3:$S$15,2,FALSE)</f>
        <v>4</v>
      </c>
      <c r="Y772" s="16">
        <f>VLOOKUP(W772,[1]Lookups!$P$3:$U$15,3,FALSE)</f>
        <v>2</v>
      </c>
      <c r="Z772" s="16">
        <f t="shared" si="923"/>
        <v>1</v>
      </c>
      <c r="AA772" s="16" t="str">
        <f t="shared" ca="1" si="1024"/>
        <v>Axa Insurance Morocco</v>
      </c>
      <c r="AB772" s="16">
        <f t="shared" si="1024"/>
        <v>0</v>
      </c>
      <c r="AC772" s="16">
        <f t="shared" si="1024"/>
        <v>0</v>
      </c>
      <c r="AD772" s="16">
        <f t="shared" si="1024"/>
        <v>0</v>
      </c>
      <c r="AE772" s="16">
        <f t="shared" si="1024"/>
        <v>0</v>
      </c>
      <c r="AF772" s="16">
        <f t="shared" si="1024"/>
        <v>0</v>
      </c>
      <c r="AG772" s="16">
        <f t="shared" si="1024"/>
        <v>0</v>
      </c>
      <c r="AH772" s="16">
        <f t="shared" si="1024"/>
        <v>0</v>
      </c>
      <c r="AI772" s="16">
        <f t="shared" si="1024"/>
        <v>0</v>
      </c>
      <c r="AJ772" s="16">
        <f t="shared" si="1024"/>
        <v>0</v>
      </c>
      <c r="AK772" s="16">
        <f t="shared" si="1024"/>
        <v>0</v>
      </c>
      <c r="AL772" s="16">
        <f t="shared" si="1024"/>
        <v>0</v>
      </c>
      <c r="AM772" s="16">
        <f t="shared" si="1024"/>
        <v>0</v>
      </c>
      <c r="AN772" s="16">
        <f t="shared" si="1024"/>
        <v>0</v>
      </c>
      <c r="AO772" s="16">
        <f t="shared" si="1024"/>
        <v>0</v>
      </c>
      <c r="AP772" s="10"/>
      <c r="AQ772" s="10"/>
      <c r="AR772" s="10"/>
      <c r="AS772" s="10" t="str">
        <f t="shared" ref="AS772" ca="1" si="1033">IFERROR(__xludf.DUMMYFUNCTION("split(F723,"","",true,true)"),"Axa Insurance Morocco")</f>
        <v>Axa Insurance Morocco</v>
      </c>
      <c r="AT772" s="10"/>
      <c r="AU772" s="10"/>
      <c r="AV772" s="10"/>
      <c r="AW772" s="10"/>
      <c r="AX772" s="10"/>
      <c r="AY772" s="10"/>
      <c r="AZ772" s="10"/>
      <c r="BA772" s="10"/>
      <c r="BB772" s="10"/>
      <c r="BC772" s="10"/>
      <c r="BD772" s="10"/>
      <c r="BE772" s="10"/>
      <c r="BF772" s="10"/>
      <c r="BG772" s="10"/>
      <c r="BH772" s="10"/>
      <c r="BI772" s="10"/>
      <c r="BJ772" s="10"/>
      <c r="BK772" s="10"/>
      <c r="BM772" s="10"/>
    </row>
    <row r="773" spans="1:65" ht="12.75">
      <c r="A773" s="18">
        <v>43388</v>
      </c>
      <c r="B773" s="14" t="s">
        <v>1681</v>
      </c>
      <c r="C773" s="19">
        <v>53000</v>
      </c>
      <c r="D773" s="19"/>
      <c r="E773" s="14" t="s">
        <v>55</v>
      </c>
      <c r="F773" s="14" t="s">
        <v>1462</v>
      </c>
      <c r="G773" s="27" t="s">
        <v>1682</v>
      </c>
      <c r="H773" s="14" t="str">
        <f t="array" ref="H773">IFERROR(INDEX([1]Companies!$G:$G,MATCH(B773,[1]Companies!$A:$A,0)),"")</f>
        <v/>
      </c>
      <c r="I773" s="14" t="str">
        <f t="shared" si="974"/>
        <v/>
      </c>
      <c r="J773" s="14" t="str">
        <f t="array" ref="J773">IFERROR(INDEX([1]Companies!$Y:$Y,MATCH(B773,[1]Companies!$A:$A,0)),"")</f>
        <v/>
      </c>
      <c r="K773" s="14" t="str">
        <f t="array" ref="K773">IFERROR(INDEX([1]Companies!$X:$X,MATCH(B773,[1]Companies!$A:$A,0)),"")</f>
        <v/>
      </c>
      <c r="L773" s="14" t="e">
        <f>VLOOKUP(B773,[1]Companies!$A$1:$C$5243,1,FALSE)</f>
        <v>#N/A</v>
      </c>
      <c r="M773" s="15">
        <f t="shared" si="975"/>
        <v>0.6428571428571429</v>
      </c>
      <c r="N773" s="10" t="str">
        <f t="shared" si="976"/>
        <v>43388Invoiceworx53000</v>
      </c>
      <c r="O773" s="14" t="str">
        <f t="shared" si="1017"/>
        <v/>
      </c>
      <c r="P773" s="14">
        <f t="shared" si="978"/>
        <v>1</v>
      </c>
      <c r="Q773" s="14" t="str">
        <f t="array" ref="Q773">IFERROR(INDEX([1]Companies!$D:$D,MATCH(B773,[1]Companies!$A:$A,0)),"")</f>
        <v/>
      </c>
      <c r="R773" s="17">
        <f t="shared" si="979"/>
        <v>53000</v>
      </c>
      <c r="S773" s="14" t="e">
        <f>VLOOKUP(I773,[1]Lookups!$V$3:$Y$197,4,FALSE)</f>
        <v>#N/A</v>
      </c>
      <c r="T773" s="14" t="str">
        <f>VLOOKUP(E773,[1]Lookups!$H$3:$I$71,2,FALSE)</f>
        <v>1. Grant</v>
      </c>
      <c r="U773" s="14" t="e">
        <f>VLOOKUP(K773,[1]Lookups!$B$3:$C$142,2,FALSE)</f>
        <v>#N/A</v>
      </c>
      <c r="V773" s="14">
        <f t="shared" si="921"/>
        <v>2018</v>
      </c>
      <c r="W773" s="14">
        <f t="shared" si="922"/>
        <v>10</v>
      </c>
      <c r="X773" s="14">
        <f>VLOOKUP(W773,[1]Lookups!$P$3:$S$15,2,FALSE)</f>
        <v>4</v>
      </c>
      <c r="Y773" s="16">
        <f>VLOOKUP(W773,[1]Lookups!$P$3:$U$15,3,FALSE)</f>
        <v>2</v>
      </c>
      <c r="Z773" s="16">
        <f t="shared" si="923"/>
        <v>1</v>
      </c>
      <c r="AA773" s="16" t="str">
        <f t="shared" ca="1" si="1024"/>
        <v>Axa Insurance Morocco</v>
      </c>
      <c r="AB773" s="16">
        <f t="shared" si="1024"/>
        <v>0</v>
      </c>
      <c r="AC773" s="16">
        <f t="shared" si="1024"/>
        <v>0</v>
      </c>
      <c r="AD773" s="16">
        <f t="shared" si="1024"/>
        <v>0</v>
      </c>
      <c r="AE773" s="16">
        <f t="shared" si="1024"/>
        <v>0</v>
      </c>
      <c r="AF773" s="16">
        <f t="shared" si="1024"/>
        <v>0</v>
      </c>
      <c r="AG773" s="16">
        <f t="shared" si="1024"/>
        <v>0</v>
      </c>
      <c r="AH773" s="16">
        <f t="shared" si="1024"/>
        <v>0</v>
      </c>
      <c r="AI773" s="16">
        <f t="shared" si="1024"/>
        <v>0</v>
      </c>
      <c r="AJ773" s="16">
        <f t="shared" si="1024"/>
        <v>0</v>
      </c>
      <c r="AK773" s="16">
        <f t="shared" si="1024"/>
        <v>0</v>
      </c>
      <c r="AL773" s="16">
        <f t="shared" si="1024"/>
        <v>0</v>
      </c>
      <c r="AM773" s="16">
        <f t="shared" si="1024"/>
        <v>0</v>
      </c>
      <c r="AN773" s="16">
        <f t="shared" si="1024"/>
        <v>0</v>
      </c>
      <c r="AO773" s="16">
        <f t="shared" si="1024"/>
        <v>0</v>
      </c>
      <c r="AP773" s="10"/>
      <c r="AQ773" s="10"/>
      <c r="AR773" s="10"/>
      <c r="AS773" s="10" t="str">
        <f t="shared" ref="AS773" ca="1" si="1034">IFERROR(__xludf.DUMMYFUNCTION("split(F723,"","",true,true)"),"Axa Insurance Morocco")</f>
        <v>Axa Insurance Morocco</v>
      </c>
      <c r="AT773" s="10"/>
      <c r="AU773" s="10"/>
      <c r="AV773" s="10"/>
      <c r="AW773" s="10"/>
      <c r="AX773" s="10"/>
      <c r="AY773" s="10"/>
      <c r="AZ773" s="10"/>
      <c r="BA773" s="10"/>
      <c r="BB773" s="10"/>
      <c r="BC773" s="10"/>
      <c r="BD773" s="10"/>
      <c r="BE773" s="10"/>
      <c r="BF773" s="10"/>
      <c r="BG773" s="10"/>
      <c r="BH773" s="10"/>
      <c r="BI773" s="10"/>
      <c r="BJ773" s="10"/>
      <c r="BK773" s="10"/>
      <c r="BM773" s="10"/>
    </row>
    <row r="774" spans="1:65" ht="12.75">
      <c r="A774" s="18">
        <v>43389</v>
      </c>
      <c r="B774" s="14" t="s">
        <v>1683</v>
      </c>
      <c r="C774" s="19" t="s">
        <v>49</v>
      </c>
      <c r="D774" s="19"/>
      <c r="E774" s="14" t="s">
        <v>45</v>
      </c>
      <c r="F774" s="14" t="s">
        <v>472</v>
      </c>
      <c r="G774" s="27" t="s">
        <v>1684</v>
      </c>
      <c r="H774" s="14" t="str">
        <f t="array" ref="H774">IFERROR(INDEX([1]Companies!$G:$G,MATCH(B774,[1]Companies!$A:$A,0)),"")</f>
        <v>South Africa</v>
      </c>
      <c r="I774" s="14" t="str">
        <f t="shared" si="974"/>
        <v>South Africa</v>
      </c>
      <c r="J774" s="14" t="str">
        <f t="array" ref="J774">IFERROR(INDEX([1]Companies!$Y:$Y,MATCH(B774,[1]Companies!$A:$A,0)),"")</f>
        <v>Brokers, Mobile App</v>
      </c>
      <c r="K774" s="14" t="str">
        <f t="array" ref="K774">IFERROR(INDEX([1]Companies!$X:$X,MATCH(B774,[1]Companies!$A:$A,0)),"")</f>
        <v>Real estate</v>
      </c>
      <c r="L774" s="14" t="str">
        <f>VLOOKUP(B774,[1]Companies!$A$1:$C$5243,1,FALSE)</f>
        <v>Instant Property</v>
      </c>
      <c r="M774" s="15">
        <f t="shared" si="975"/>
        <v>0.9</v>
      </c>
      <c r="N774" s="10" t="str">
        <f t="shared" si="976"/>
        <v>43389Instant PropertyUndisclosed</v>
      </c>
      <c r="O774" s="14" t="str">
        <f t="shared" si="1017"/>
        <v/>
      </c>
      <c r="P774" s="14">
        <f t="shared" si="978"/>
        <v>0</v>
      </c>
      <c r="Q774" s="14">
        <f t="array" ref="Q774">IFERROR(INDEX([1]Companies!$D:$D,MATCH(B774,[1]Companies!$A:$A,0)),"")</f>
        <v>2014</v>
      </c>
      <c r="R774" s="17">
        <f t="shared" si="979"/>
        <v>0</v>
      </c>
      <c r="S774" s="14">
        <f>VLOOKUP(I774,[1]Lookups!$V$3:$Y$197,4,FALSE)</f>
        <v>0</v>
      </c>
      <c r="T774" s="14" t="str">
        <f>VLOOKUP(E774,[1]Lookups!$H$3:$I$71,2,FALSE)</f>
        <v>2. Seed</v>
      </c>
      <c r="U774" s="14" t="str">
        <f>VLOOKUP(K774,[1]Lookups!$B$3:$C$142,2,FALSE)</f>
        <v>Construction &amp; Real Estate</v>
      </c>
      <c r="V774" s="14">
        <f t="shared" si="921"/>
        <v>2018</v>
      </c>
      <c r="W774" s="14">
        <f t="shared" si="922"/>
        <v>10</v>
      </c>
      <c r="X774" s="14">
        <f>VLOOKUP(W774,[1]Lookups!$P$3:$S$15,2,FALSE)</f>
        <v>4</v>
      </c>
      <c r="Y774" s="16">
        <f>VLOOKUP(W774,[1]Lookups!$P$3:$U$15,3,FALSE)</f>
        <v>2</v>
      </c>
      <c r="Z774" s="16">
        <f t="shared" si="923"/>
        <v>1</v>
      </c>
      <c r="AA774" s="16" t="str">
        <f t="shared" ca="1" si="1024"/>
        <v>Axa Insurance Morocco</v>
      </c>
      <c r="AB774" s="16">
        <f t="shared" si="1024"/>
        <v>0</v>
      </c>
      <c r="AC774" s="16">
        <f t="shared" si="1024"/>
        <v>0</v>
      </c>
      <c r="AD774" s="16">
        <f t="shared" si="1024"/>
        <v>0</v>
      </c>
      <c r="AE774" s="16">
        <f t="shared" si="1024"/>
        <v>0</v>
      </c>
      <c r="AF774" s="16">
        <f t="shared" si="1024"/>
        <v>0</v>
      </c>
      <c r="AG774" s="16">
        <f t="shared" si="1024"/>
        <v>0</v>
      </c>
      <c r="AH774" s="16">
        <f t="shared" si="1024"/>
        <v>0</v>
      </c>
      <c r="AI774" s="16">
        <f t="shared" si="1024"/>
        <v>0</v>
      </c>
      <c r="AJ774" s="16">
        <f t="shared" si="1024"/>
        <v>0</v>
      </c>
      <c r="AK774" s="16">
        <f t="shared" si="1024"/>
        <v>0</v>
      </c>
      <c r="AL774" s="16">
        <f t="shared" si="1024"/>
        <v>0</v>
      </c>
      <c r="AM774" s="16">
        <f t="shared" si="1024"/>
        <v>0</v>
      </c>
      <c r="AN774" s="16">
        <f t="shared" si="1024"/>
        <v>0</v>
      </c>
      <c r="AO774" s="16">
        <f t="shared" si="1024"/>
        <v>0</v>
      </c>
      <c r="AP774" s="10"/>
      <c r="AQ774" s="10"/>
      <c r="AR774" s="10"/>
      <c r="AS774" s="10" t="str">
        <f t="shared" ref="AS774" ca="1" si="1035">IFERROR(__xludf.DUMMYFUNCTION("split(F723,"","",true,true)"),"Axa Insurance Morocco")</f>
        <v>Axa Insurance Morocco</v>
      </c>
      <c r="AT774" s="10"/>
      <c r="AU774" s="10"/>
      <c r="AV774" s="10"/>
      <c r="AW774" s="10"/>
      <c r="AX774" s="10"/>
      <c r="AY774" s="10"/>
      <c r="AZ774" s="10"/>
      <c r="BA774" s="10"/>
      <c r="BB774" s="10"/>
      <c r="BC774" s="10"/>
      <c r="BD774" s="10"/>
      <c r="BE774" s="10"/>
      <c r="BF774" s="10"/>
      <c r="BG774" s="10"/>
      <c r="BH774" s="10"/>
      <c r="BI774" s="10"/>
      <c r="BJ774" s="10"/>
      <c r="BK774" s="10"/>
      <c r="BM774" s="10"/>
    </row>
    <row r="775" spans="1:65" ht="12.75">
      <c r="A775" s="18">
        <v>43389</v>
      </c>
      <c r="B775" s="14" t="s">
        <v>1685</v>
      </c>
      <c r="C775" s="19" t="s">
        <v>49</v>
      </c>
      <c r="D775" s="19"/>
      <c r="E775" s="14" t="s">
        <v>45</v>
      </c>
      <c r="F775" s="14" t="s">
        <v>1686</v>
      </c>
      <c r="G775" s="27" t="s">
        <v>1687</v>
      </c>
      <c r="H775" s="14" t="str">
        <f t="array" ref="H775">IFERROR(INDEX([1]Companies!$G:$G,MATCH(B775,[1]Companies!$A:$A,0)),"")</f>
        <v>South Africa</v>
      </c>
      <c r="I775" s="14" t="str">
        <f t="shared" si="974"/>
        <v>South Africa</v>
      </c>
      <c r="J775" s="14" t="str">
        <f t="array" ref="J775">IFERROR(INDEX([1]Companies!$Y:$Y,MATCH(B775,[1]Companies!$A:$A,0)),"")</f>
        <v>Life Insurance, long term insurance, Disability Insurance, Funeral Insurance, and Group insurance</v>
      </c>
      <c r="K775" s="14" t="str">
        <f t="array" ref="K775">IFERROR(INDEX([1]Companies!$X:$X,MATCH(B775,[1]Companies!$A:$A,0)),"")</f>
        <v>Financial Services</v>
      </c>
      <c r="L775" s="14" t="str">
        <f>VLOOKUP(B775,[1]Companies!$A$1:$C$5243,1,FALSE)</f>
        <v>Simply</v>
      </c>
      <c r="M775" s="15">
        <f t="shared" si="975"/>
        <v>0.9</v>
      </c>
      <c r="N775" s="10" t="str">
        <f t="shared" si="976"/>
        <v>43389SimplyUndisclosed</v>
      </c>
      <c r="O775" s="14" t="str">
        <f t="shared" si="1017"/>
        <v/>
      </c>
      <c r="P775" s="14">
        <f t="shared" si="978"/>
        <v>0</v>
      </c>
      <c r="Q775" s="14">
        <f t="array" ref="Q775">IFERROR(INDEX([1]Companies!$D:$D,MATCH(B775,[1]Companies!$A:$A,0)),"")</f>
        <v>2015</v>
      </c>
      <c r="R775" s="17">
        <f t="shared" si="979"/>
        <v>0</v>
      </c>
      <c r="S775" s="14">
        <f>VLOOKUP(I775,[1]Lookups!$V$3:$Y$197,4,FALSE)</f>
        <v>0</v>
      </c>
      <c r="T775" s="14" t="str">
        <f>VLOOKUP(E775,[1]Lookups!$H$3:$I$71,2,FALSE)</f>
        <v>2. Seed</v>
      </c>
      <c r="U775" s="14" t="str">
        <f>VLOOKUP(K775,[1]Lookups!$B$3:$C$142,2,FALSE)</f>
        <v>Financial Services</v>
      </c>
      <c r="V775" s="14">
        <f t="shared" si="921"/>
        <v>2018</v>
      </c>
      <c r="W775" s="14">
        <f t="shared" si="922"/>
        <v>10</v>
      </c>
      <c r="X775" s="14">
        <f>VLOOKUP(W775,[1]Lookups!$P$3:$S$15,2,FALSE)</f>
        <v>4</v>
      </c>
      <c r="Y775" s="16">
        <f>VLOOKUP(W775,[1]Lookups!$P$3:$U$15,3,FALSE)</f>
        <v>2</v>
      </c>
      <c r="Z775" s="16">
        <f t="shared" si="923"/>
        <v>1</v>
      </c>
      <c r="AA775" s="16" t="str">
        <f t="shared" ca="1" si="1024"/>
        <v>Axa Insurance Morocco</v>
      </c>
      <c r="AB775" s="16">
        <f t="shared" si="1024"/>
        <v>0</v>
      </c>
      <c r="AC775" s="16">
        <f t="shared" si="1024"/>
        <v>0</v>
      </c>
      <c r="AD775" s="16">
        <f t="shared" si="1024"/>
        <v>0</v>
      </c>
      <c r="AE775" s="16">
        <f t="shared" si="1024"/>
        <v>0</v>
      </c>
      <c r="AF775" s="16">
        <f t="shared" si="1024"/>
        <v>0</v>
      </c>
      <c r="AG775" s="16">
        <f t="shared" si="1024"/>
        <v>0</v>
      </c>
      <c r="AH775" s="16">
        <f t="shared" si="1024"/>
        <v>0</v>
      </c>
      <c r="AI775" s="16">
        <f t="shared" si="1024"/>
        <v>0</v>
      </c>
      <c r="AJ775" s="16">
        <f t="shared" si="1024"/>
        <v>0</v>
      </c>
      <c r="AK775" s="16">
        <f t="shared" si="1024"/>
        <v>0</v>
      </c>
      <c r="AL775" s="16">
        <f t="shared" si="1024"/>
        <v>0</v>
      </c>
      <c r="AM775" s="16">
        <f t="shared" si="1024"/>
        <v>0</v>
      </c>
      <c r="AN775" s="16">
        <f t="shared" si="1024"/>
        <v>0</v>
      </c>
      <c r="AO775" s="16">
        <f t="shared" si="1024"/>
        <v>0</v>
      </c>
      <c r="AP775" s="10"/>
      <c r="AQ775" s="10"/>
      <c r="AR775" s="10"/>
      <c r="AS775" s="10" t="str">
        <f t="shared" ref="AS775" ca="1" si="1036">IFERROR(__xludf.DUMMYFUNCTION("split(F723,"","",true,true)"),"Axa Insurance Morocco")</f>
        <v>Axa Insurance Morocco</v>
      </c>
      <c r="AT775" s="10"/>
      <c r="AU775" s="10"/>
      <c r="AV775" s="10"/>
      <c r="AW775" s="10"/>
      <c r="AX775" s="10"/>
      <c r="AY775" s="10"/>
      <c r="AZ775" s="10"/>
      <c r="BA775" s="10"/>
      <c r="BB775" s="10"/>
      <c r="BC775" s="10"/>
      <c r="BD775" s="10"/>
      <c r="BE775" s="10"/>
      <c r="BF775" s="10"/>
      <c r="BG775" s="10"/>
      <c r="BH775" s="10"/>
      <c r="BI775" s="10"/>
      <c r="BJ775" s="10"/>
      <c r="BK775" s="10"/>
      <c r="BM775" s="10"/>
    </row>
    <row r="776" spans="1:65" ht="12.75">
      <c r="A776" s="18">
        <v>43389</v>
      </c>
      <c r="B776" s="14" t="s">
        <v>1688</v>
      </c>
      <c r="C776" s="19">
        <v>200000</v>
      </c>
      <c r="D776" s="19"/>
      <c r="E776" s="14" t="s">
        <v>234</v>
      </c>
      <c r="F776" s="14" t="s">
        <v>49</v>
      </c>
      <c r="G776" s="27" t="s">
        <v>1689</v>
      </c>
      <c r="H776" s="14" t="str">
        <f t="array" ref="H776">IFERROR(INDEX([1]Companies!$G:$G,MATCH(B776,[1]Companies!$A:$A,0)),"")</f>
        <v>Egypt</v>
      </c>
      <c r="I776" s="14" t="str">
        <f t="shared" si="974"/>
        <v>Egypt</v>
      </c>
      <c r="J776" s="14" t="str">
        <f t="array" ref="J776">IFERROR(INDEX([1]Companies!$Y:$Y,MATCH(B776,[1]Companies!$A:$A,0)),"")</f>
        <v>Sharing Economy, Shipping, Peer-to-Peer</v>
      </c>
      <c r="K776" s="14" t="str">
        <f t="array" ref="K776">IFERROR(INDEX([1]Companies!$X:$X,MATCH(B776,[1]Companies!$A:$A,0)),"")</f>
        <v>Transport &amp; Logistics</v>
      </c>
      <c r="L776" s="14" t="str">
        <f>VLOOKUP(B776,[1]Companies!$A$1:$C$5243,1,FALSE)</f>
        <v>Hitchhiker</v>
      </c>
      <c r="M776" s="15">
        <f t="shared" si="975"/>
        <v>0.9</v>
      </c>
      <c r="N776" s="10" t="str">
        <f t="shared" si="976"/>
        <v>43389HitchHiker200000</v>
      </c>
      <c r="O776" s="14" t="str">
        <f t="shared" si="1017"/>
        <v/>
      </c>
      <c r="P776" s="14">
        <f t="shared" si="978"/>
        <v>1</v>
      </c>
      <c r="Q776" s="14">
        <f t="array" ref="Q776">IFERROR(INDEX([1]Companies!$D:$D,MATCH(B776,[1]Companies!$A:$A,0)),"")</f>
        <v>2017</v>
      </c>
      <c r="R776" s="17">
        <f t="shared" si="979"/>
        <v>200000</v>
      </c>
      <c r="S776" s="14">
        <f>VLOOKUP(I776,[1]Lookups!$V$3:$Y$197,4,FALSE)</f>
        <v>0</v>
      </c>
      <c r="T776" s="14" t="str">
        <f>VLOOKUP(E776,[1]Lookups!$H$3:$I$71,2,FALSE)</f>
        <v>2. Seed</v>
      </c>
      <c r="U776" s="14" t="str">
        <f>VLOOKUP(K776,[1]Lookups!$B$3:$C$142,2,FALSE)</f>
        <v>Transport &amp; Logistics</v>
      </c>
      <c r="V776" s="14">
        <f t="shared" si="921"/>
        <v>2018</v>
      </c>
      <c r="W776" s="14">
        <f t="shared" si="922"/>
        <v>10</v>
      </c>
      <c r="X776" s="14">
        <f>VLOOKUP(W776,[1]Lookups!$P$3:$S$15,2,FALSE)</f>
        <v>4</v>
      </c>
      <c r="Y776" s="16">
        <f>VLOOKUP(W776,[1]Lookups!$P$3:$U$15,3,FALSE)</f>
        <v>2</v>
      </c>
      <c r="Z776" s="16">
        <f t="shared" si="923"/>
        <v>1</v>
      </c>
      <c r="AA776" s="16" t="str">
        <f t="shared" ca="1" si="1024"/>
        <v>Axa Insurance Morocco</v>
      </c>
      <c r="AB776" s="16">
        <f t="shared" si="1024"/>
        <v>0</v>
      </c>
      <c r="AC776" s="16">
        <f t="shared" si="1024"/>
        <v>0</v>
      </c>
      <c r="AD776" s="16">
        <f t="shared" si="1024"/>
        <v>0</v>
      </c>
      <c r="AE776" s="16">
        <f t="shared" si="1024"/>
        <v>0</v>
      </c>
      <c r="AF776" s="16">
        <f t="shared" si="1024"/>
        <v>0</v>
      </c>
      <c r="AG776" s="16">
        <f t="shared" si="1024"/>
        <v>0</v>
      </c>
      <c r="AH776" s="16">
        <f t="shared" si="1024"/>
        <v>0</v>
      </c>
      <c r="AI776" s="16">
        <f t="shared" si="1024"/>
        <v>0</v>
      </c>
      <c r="AJ776" s="16">
        <f t="shared" si="1024"/>
        <v>0</v>
      </c>
      <c r="AK776" s="16">
        <f t="shared" si="1024"/>
        <v>0</v>
      </c>
      <c r="AL776" s="16">
        <f t="shared" si="1024"/>
        <v>0</v>
      </c>
      <c r="AM776" s="16">
        <f t="shared" si="1024"/>
        <v>0</v>
      </c>
      <c r="AN776" s="16">
        <f t="shared" si="1024"/>
        <v>0</v>
      </c>
      <c r="AO776" s="16">
        <f t="shared" si="1024"/>
        <v>0</v>
      </c>
      <c r="AP776" s="10"/>
      <c r="AQ776" s="10"/>
      <c r="AR776" s="10"/>
      <c r="AS776" s="10" t="str">
        <f t="shared" ref="AS776" ca="1" si="1037">IFERROR(__xludf.DUMMYFUNCTION("split(F723,"","",true,true)"),"Axa Insurance Morocco")</f>
        <v>Axa Insurance Morocco</v>
      </c>
      <c r="AT776" s="10"/>
      <c r="AU776" s="10"/>
      <c r="AV776" s="10"/>
      <c r="AW776" s="10"/>
      <c r="AX776" s="10"/>
      <c r="AY776" s="10"/>
      <c r="AZ776" s="10"/>
      <c r="BA776" s="10"/>
      <c r="BB776" s="10"/>
      <c r="BC776" s="10"/>
      <c r="BD776" s="10"/>
      <c r="BE776" s="10"/>
      <c r="BF776" s="10"/>
      <c r="BG776" s="10"/>
      <c r="BH776" s="10"/>
      <c r="BI776" s="10"/>
      <c r="BJ776" s="10"/>
      <c r="BK776" s="10"/>
      <c r="BM776" s="10"/>
    </row>
    <row r="777" spans="1:65" ht="12.75">
      <c r="A777" s="18">
        <v>43390</v>
      </c>
      <c r="B777" s="14" t="s">
        <v>1690</v>
      </c>
      <c r="C777" s="19" t="s">
        <v>49</v>
      </c>
      <c r="D777" s="19"/>
      <c r="E777" s="14" t="s">
        <v>69</v>
      </c>
      <c r="F777" s="14" t="s">
        <v>1691</v>
      </c>
      <c r="G777" s="27" t="s">
        <v>1692</v>
      </c>
      <c r="H777" s="14" t="str">
        <f t="array" ref="H777">IFERROR(INDEX([1]Companies!$G:$G,MATCH(B777,[1]Companies!$A:$A,0)),"")</f>
        <v>South Africa</v>
      </c>
      <c r="I777" s="14" t="str">
        <f t="shared" si="974"/>
        <v>South Africa</v>
      </c>
      <c r="J777" s="14" t="str">
        <f t="array" ref="J777">IFERROR(INDEX([1]Companies!$Y:$Y,MATCH(B777,[1]Companies!$A:$A,0)),"")</f>
        <v>InsurTech, Marketplace</v>
      </c>
      <c r="K777" s="14" t="str">
        <f t="array" ref="K777">IFERROR(INDEX([1]Companies!$X:$X,MATCH(B777,[1]Companies!$A:$A,0)),"")</f>
        <v>Financial Services</v>
      </c>
      <c r="L777" s="14" t="str">
        <f>VLOOKUP(B777,[1]Companies!$A$1:$C$5243,1,FALSE)</f>
        <v>Click2Sure</v>
      </c>
      <c r="M777" s="15">
        <f t="shared" si="975"/>
        <v>0.9</v>
      </c>
      <c r="N777" s="10" t="str">
        <f t="shared" si="976"/>
        <v>43390Click2SureUndisclosed</v>
      </c>
      <c r="O777" s="14" t="str">
        <f t="shared" si="1017"/>
        <v/>
      </c>
      <c r="P777" s="14">
        <f t="shared" si="978"/>
        <v>0</v>
      </c>
      <c r="Q777" s="14">
        <f t="array" ref="Q777">IFERROR(INDEX([1]Companies!$D:$D,MATCH(B777,[1]Companies!$A:$A,0)),"")</f>
        <v>2016</v>
      </c>
      <c r="R777" s="17">
        <f t="shared" si="979"/>
        <v>0</v>
      </c>
      <c r="S777" s="14">
        <f>VLOOKUP(I777,[1]Lookups!$V$3:$Y$197,4,FALSE)</f>
        <v>0</v>
      </c>
      <c r="T777" s="14" t="str">
        <f>VLOOKUP(E777,[1]Lookups!$H$3:$I$71,2,FALSE)</f>
        <v>3. Early Venture</v>
      </c>
      <c r="U777" s="14" t="str">
        <f>VLOOKUP(K777,[1]Lookups!$B$3:$C$142,2,FALSE)</f>
        <v>Financial Services</v>
      </c>
      <c r="V777" s="14">
        <f t="shared" si="921"/>
        <v>2018</v>
      </c>
      <c r="W777" s="14">
        <f t="shared" si="922"/>
        <v>10</v>
      </c>
      <c r="X777" s="14">
        <f>VLOOKUP(W777,[1]Lookups!$P$3:$S$15,2,FALSE)</f>
        <v>4</v>
      </c>
      <c r="Y777" s="16">
        <f>VLOOKUP(W777,[1]Lookups!$P$3:$U$15,3,FALSE)</f>
        <v>2</v>
      </c>
      <c r="Z777" s="16">
        <f t="shared" si="923"/>
        <v>1</v>
      </c>
      <c r="AA777" s="16" t="str">
        <f t="shared" ca="1" si="1024"/>
        <v>Axa Insurance Morocco</v>
      </c>
      <c r="AB777" s="16">
        <f t="shared" si="1024"/>
        <v>0</v>
      </c>
      <c r="AC777" s="16">
        <f t="shared" si="1024"/>
        <v>0</v>
      </c>
      <c r="AD777" s="16">
        <f t="shared" si="1024"/>
        <v>0</v>
      </c>
      <c r="AE777" s="16">
        <f t="shared" si="1024"/>
        <v>0</v>
      </c>
      <c r="AF777" s="16">
        <f t="shared" si="1024"/>
        <v>0</v>
      </c>
      <c r="AG777" s="16">
        <f t="shared" si="1024"/>
        <v>0</v>
      </c>
      <c r="AH777" s="16">
        <f t="shared" si="1024"/>
        <v>0</v>
      </c>
      <c r="AI777" s="16">
        <f t="shared" si="1024"/>
        <v>0</v>
      </c>
      <c r="AJ777" s="16">
        <f t="shared" si="1024"/>
        <v>0</v>
      </c>
      <c r="AK777" s="16">
        <f t="shared" si="1024"/>
        <v>0</v>
      </c>
      <c r="AL777" s="16">
        <f t="shared" si="1024"/>
        <v>0</v>
      </c>
      <c r="AM777" s="16">
        <f t="shared" si="1024"/>
        <v>0</v>
      </c>
      <c r="AN777" s="16">
        <f t="shared" si="1024"/>
        <v>0</v>
      </c>
      <c r="AO777" s="16">
        <f t="shared" si="1024"/>
        <v>0</v>
      </c>
      <c r="AP777" s="10"/>
      <c r="AQ777" s="10"/>
      <c r="AR777" s="10"/>
      <c r="AS777" s="10" t="str">
        <f t="shared" ref="AS777" ca="1" si="1038">IFERROR(__xludf.DUMMYFUNCTION("split(F723,"","",true,true)"),"Axa Insurance Morocco")</f>
        <v>Axa Insurance Morocco</v>
      </c>
      <c r="AT777" s="10"/>
      <c r="AU777" s="10"/>
      <c r="AV777" s="10"/>
      <c r="AW777" s="10"/>
      <c r="AX777" s="10"/>
      <c r="AY777" s="10"/>
      <c r="AZ777" s="10"/>
      <c r="BA777" s="10"/>
      <c r="BB777" s="10"/>
      <c r="BC777" s="10"/>
      <c r="BD777" s="10"/>
      <c r="BE777" s="10"/>
      <c r="BF777" s="10"/>
      <c r="BG777" s="10"/>
      <c r="BH777" s="10"/>
      <c r="BI777" s="10"/>
      <c r="BJ777" s="10"/>
      <c r="BK777" s="10"/>
      <c r="BM777" s="10"/>
    </row>
    <row r="778" spans="1:65" ht="12.75">
      <c r="A778" s="9">
        <v>43392</v>
      </c>
      <c r="B778" s="10" t="s">
        <v>244</v>
      </c>
      <c r="C778" s="11" t="s">
        <v>49</v>
      </c>
      <c r="D778" s="12"/>
      <c r="E778" s="10" t="s">
        <v>45</v>
      </c>
      <c r="F778" s="10" t="s">
        <v>822</v>
      </c>
      <c r="G778" s="13" t="s">
        <v>1693</v>
      </c>
      <c r="H778" s="14" t="str">
        <f t="array" ref="H778">IFERROR(INDEX([1]Companies!$G:$G,MATCH(B778,[1]Companies!$A:$A,0)),"")</f>
        <v>Rwanda</v>
      </c>
      <c r="I778" s="14" t="str">
        <f t="shared" si="974"/>
        <v>Rwanda</v>
      </c>
      <c r="J778" s="14" t="str">
        <f t="array" ref="J778">IFERROR(INDEX([1]Companies!$Y:$Y,MATCH(B778,[1]Companies!$A:$A,0)),"")</f>
        <v>Apps, Public Safety, Taxi Service, Transportation, Ride-hailing</v>
      </c>
      <c r="K778" s="14" t="str">
        <f t="array" ref="K778">IFERROR(INDEX([1]Companies!$X:$X,MATCH(B778,[1]Companies!$A:$A,0)),"")</f>
        <v>Transport &amp; Logistics</v>
      </c>
      <c r="L778" s="14" t="str">
        <f>VLOOKUP(B778,[1]Companies!$A$1:$C$5243,1,FALSE)</f>
        <v>CanGo</v>
      </c>
      <c r="M778" s="15">
        <f t="shared" si="975"/>
        <v>0.9</v>
      </c>
      <c r="N778" s="10" t="str">
        <f t="shared" si="976"/>
        <v>43392CanGoUndisclosed</v>
      </c>
      <c r="O778" s="14" t="str">
        <f t="shared" si="1017"/>
        <v/>
      </c>
      <c r="P778" s="14">
        <f t="shared" si="978"/>
        <v>0</v>
      </c>
      <c r="Q778" s="14">
        <f t="array" ref="Q778">IFERROR(INDEX([1]Companies!$D:$D,MATCH(B778,[1]Companies!$A:$A,0)),"")</f>
        <v>2015</v>
      </c>
      <c r="R778" s="17">
        <f t="shared" si="979"/>
        <v>131000</v>
      </c>
      <c r="S778" s="14">
        <f>VLOOKUP(I778,[1]Lookups!$V$3:$Y$197,4,FALSE)</f>
        <v>0</v>
      </c>
      <c r="T778" s="14" t="str">
        <f>VLOOKUP(E778,[1]Lookups!$H$3:$I$71,2,FALSE)</f>
        <v>2. Seed</v>
      </c>
      <c r="U778" s="14" t="str">
        <f>VLOOKUP(K778,[1]Lookups!$B$3:$C$142,2,FALSE)</f>
        <v>Transport &amp; Logistics</v>
      </c>
      <c r="V778" s="14">
        <f t="shared" si="921"/>
        <v>2018</v>
      </c>
      <c r="W778" s="14">
        <f t="shared" si="922"/>
        <v>10</v>
      </c>
      <c r="X778" s="14">
        <f>VLOOKUP(W778,[1]Lookups!$P$3:$S$15,2,FALSE)</f>
        <v>4</v>
      </c>
      <c r="Y778" s="16">
        <f>VLOOKUP(W778,[1]Lookups!$P$3:$U$15,3,FALSE)</f>
        <v>2</v>
      </c>
      <c r="Z778" s="16">
        <f t="shared" si="923"/>
        <v>1</v>
      </c>
      <c r="AA778" s="16" t="str">
        <f t="shared" ca="1" si="1024"/>
        <v>Axa Insurance Morocco</v>
      </c>
      <c r="AB778" s="16">
        <f t="shared" si="1024"/>
        <v>0</v>
      </c>
      <c r="AC778" s="16">
        <f t="shared" si="1024"/>
        <v>0</v>
      </c>
      <c r="AD778" s="16">
        <f t="shared" si="1024"/>
        <v>0</v>
      </c>
      <c r="AE778" s="16">
        <f t="shared" si="1024"/>
        <v>0</v>
      </c>
      <c r="AF778" s="16">
        <f t="shared" si="1024"/>
        <v>0</v>
      </c>
      <c r="AG778" s="16">
        <f t="shared" si="1024"/>
        <v>0</v>
      </c>
      <c r="AH778" s="16">
        <f t="shared" si="1024"/>
        <v>0</v>
      </c>
      <c r="AI778" s="16">
        <f t="shared" si="1024"/>
        <v>0</v>
      </c>
      <c r="AJ778" s="16">
        <f t="shared" si="1024"/>
        <v>0</v>
      </c>
      <c r="AK778" s="16">
        <f t="shared" si="1024"/>
        <v>0</v>
      </c>
      <c r="AL778" s="16">
        <f t="shared" si="1024"/>
        <v>0</v>
      </c>
      <c r="AM778" s="16">
        <f t="shared" si="1024"/>
        <v>0</v>
      </c>
      <c r="AN778" s="16">
        <f t="shared" si="1024"/>
        <v>0</v>
      </c>
      <c r="AO778" s="16">
        <f t="shared" si="1024"/>
        <v>0</v>
      </c>
      <c r="AP778" s="10"/>
      <c r="AQ778" s="10"/>
      <c r="AR778" s="10"/>
      <c r="AS778" s="10" t="str">
        <f t="shared" ref="AS778" ca="1" si="1039">IFERROR(__xludf.DUMMYFUNCTION("split(F723,"","",true,true)"),"Axa Insurance Morocco")</f>
        <v>Axa Insurance Morocco</v>
      </c>
      <c r="AT778" s="10"/>
      <c r="AU778" s="10"/>
      <c r="AV778" s="10"/>
      <c r="AW778" s="10"/>
      <c r="AX778" s="10"/>
      <c r="AY778" s="10"/>
      <c r="AZ778" s="10"/>
      <c r="BA778" s="10"/>
      <c r="BB778" s="10"/>
      <c r="BC778" s="10"/>
      <c r="BD778" s="10"/>
      <c r="BE778" s="10"/>
      <c r="BF778" s="10"/>
      <c r="BG778" s="10"/>
      <c r="BH778" s="10"/>
      <c r="BI778" s="10"/>
      <c r="BJ778" s="10"/>
      <c r="BK778" s="10"/>
      <c r="BM778" s="10"/>
    </row>
    <row r="779" spans="1:65" ht="12.75">
      <c r="A779" s="18">
        <v>43396</v>
      </c>
      <c r="B779" s="14" t="s">
        <v>1694</v>
      </c>
      <c r="C779" s="19" t="s">
        <v>49</v>
      </c>
      <c r="D779" s="19"/>
      <c r="E779" s="14" t="s">
        <v>45</v>
      </c>
      <c r="F779" s="14" t="s">
        <v>1325</v>
      </c>
      <c r="G779" s="27" t="s">
        <v>1695</v>
      </c>
      <c r="H779" s="14" t="str">
        <f t="array" ref="H779">IFERROR(INDEX([1]Companies!$G:$G,MATCH(B779,[1]Companies!$A:$A,0)),"")</f>
        <v>Namibia</v>
      </c>
      <c r="I779" s="14" t="str">
        <f t="shared" si="974"/>
        <v>Namibia</v>
      </c>
      <c r="J779" s="14" t="str">
        <f t="array" ref="J779">IFERROR(INDEX([1]Companies!$Y:$Y,MATCH(B779,[1]Companies!$A:$A,0)),"")</f>
        <v>Computer, Hardware, ICT, Manufacturing, Product Design</v>
      </c>
      <c r="K779" s="14" t="str">
        <f t="array" ref="K779">IFERROR(INDEX([1]Companies!$X:$X,MATCH(B779,[1]Companies!$A:$A,0)),"")</f>
        <v>Information Technology</v>
      </c>
      <c r="L779" s="14" t="str">
        <f>VLOOKUP(B779,[1]Companies!$A$1:$C$5243,1,FALSE)</f>
        <v>Pebl</v>
      </c>
      <c r="M779" s="15">
        <f t="shared" si="975"/>
        <v>0.9</v>
      </c>
      <c r="N779" s="10" t="str">
        <f t="shared" si="976"/>
        <v>43396PEBLUndisclosed</v>
      </c>
      <c r="O779" s="14" t="str">
        <f t="shared" si="1017"/>
        <v/>
      </c>
      <c r="P779" s="14">
        <f t="shared" si="978"/>
        <v>0</v>
      </c>
      <c r="Q779" s="14">
        <f t="array" ref="Q779">IFERROR(INDEX([1]Companies!$D:$D,MATCH(B779,[1]Companies!$A:$A,0)),"")</f>
        <v>2015</v>
      </c>
      <c r="R779" s="17">
        <f t="shared" si="979"/>
        <v>0</v>
      </c>
      <c r="S779" s="14">
        <f>VLOOKUP(I779,[1]Lookups!$V$3:$Y$197,4,FALSE)</f>
        <v>0</v>
      </c>
      <c r="T779" s="14" t="str">
        <f>VLOOKUP(E779,[1]Lookups!$H$3:$I$71,2,FALSE)</f>
        <v>2. Seed</v>
      </c>
      <c r="U779" s="14" t="str">
        <f>VLOOKUP(K779,[1]Lookups!$B$3:$C$142,2,FALSE)</f>
        <v>Other Technologies &amp; Information Technology</v>
      </c>
      <c r="V779" s="14">
        <f t="shared" si="921"/>
        <v>2018</v>
      </c>
      <c r="W779" s="14">
        <f t="shared" si="922"/>
        <v>10</v>
      </c>
      <c r="X779" s="14">
        <f>VLOOKUP(W779,[1]Lookups!$P$3:$S$15,2,FALSE)</f>
        <v>4</v>
      </c>
      <c r="Y779" s="16">
        <f>VLOOKUP(W779,[1]Lookups!$P$3:$U$15,3,FALSE)</f>
        <v>2</v>
      </c>
      <c r="Z779" s="16">
        <f t="shared" si="923"/>
        <v>1</v>
      </c>
      <c r="AA779" s="16" t="str">
        <f t="shared" ca="1" si="1024"/>
        <v>Axa Insurance Morocco</v>
      </c>
      <c r="AB779" s="16">
        <f t="shared" si="1024"/>
        <v>0</v>
      </c>
      <c r="AC779" s="16">
        <f t="shared" si="1024"/>
        <v>0</v>
      </c>
      <c r="AD779" s="16">
        <f t="shared" si="1024"/>
        <v>0</v>
      </c>
      <c r="AE779" s="16">
        <f t="shared" si="1024"/>
        <v>0</v>
      </c>
      <c r="AF779" s="16">
        <f t="shared" si="1024"/>
        <v>0</v>
      </c>
      <c r="AG779" s="16">
        <f t="shared" si="1024"/>
        <v>0</v>
      </c>
      <c r="AH779" s="16">
        <f t="shared" si="1024"/>
        <v>0</v>
      </c>
      <c r="AI779" s="16">
        <f t="shared" si="1024"/>
        <v>0</v>
      </c>
      <c r="AJ779" s="16">
        <f t="shared" si="1024"/>
        <v>0</v>
      </c>
      <c r="AK779" s="16">
        <f t="shared" si="1024"/>
        <v>0</v>
      </c>
      <c r="AL779" s="16">
        <f t="shared" si="1024"/>
        <v>0</v>
      </c>
      <c r="AM779" s="16">
        <f t="shared" si="1024"/>
        <v>0</v>
      </c>
      <c r="AN779" s="16">
        <f t="shared" si="1024"/>
        <v>0</v>
      </c>
      <c r="AO779" s="16">
        <f t="shared" si="1024"/>
        <v>0</v>
      </c>
      <c r="AP779" s="10"/>
      <c r="AQ779" s="10"/>
      <c r="AR779" s="10"/>
      <c r="AS779" s="10" t="str">
        <f t="shared" ref="AS779" ca="1" si="1040">IFERROR(__xludf.DUMMYFUNCTION("split(F723,"","",true,true)"),"Axa Insurance Morocco")</f>
        <v>Axa Insurance Morocco</v>
      </c>
      <c r="AT779" s="10"/>
      <c r="AU779" s="10"/>
      <c r="AV779" s="10"/>
      <c r="AW779" s="10"/>
      <c r="AX779" s="10"/>
      <c r="AY779" s="10"/>
      <c r="AZ779" s="10"/>
      <c r="BA779" s="10"/>
      <c r="BB779" s="10"/>
      <c r="BC779" s="10"/>
      <c r="BD779" s="10"/>
      <c r="BE779" s="10"/>
      <c r="BF779" s="10"/>
      <c r="BG779" s="10"/>
      <c r="BH779" s="10"/>
      <c r="BI779" s="10"/>
      <c r="BJ779" s="10"/>
      <c r="BK779" s="10"/>
      <c r="BM779" s="10"/>
    </row>
    <row r="780" spans="1:65" ht="12.75">
      <c r="A780" s="18">
        <v>43397</v>
      </c>
      <c r="B780" s="14" t="s">
        <v>1696</v>
      </c>
      <c r="C780" s="19" t="s">
        <v>49</v>
      </c>
      <c r="D780" s="19"/>
      <c r="E780" s="14" t="s">
        <v>45</v>
      </c>
      <c r="F780" s="14" t="s">
        <v>1697</v>
      </c>
      <c r="G780" s="27" t="s">
        <v>1698</v>
      </c>
      <c r="H780" s="14" t="str">
        <f t="array" ref="H780">IFERROR(INDEX([1]Companies!$G:$G,MATCH(B780,[1]Companies!$A:$A,0)),"")</f>
        <v>South Africa</v>
      </c>
      <c r="I780" s="14" t="str">
        <f t="shared" si="974"/>
        <v>South Africa</v>
      </c>
      <c r="J780" s="14" t="str">
        <f t="array" ref="J780">IFERROR(INDEX([1]Companies!$Y:$Y,MATCH(B780,[1]Companies!$A:$A,0)),"")</f>
        <v>Equity Crowdfunding, Investment, and Funding</v>
      </c>
      <c r="K780" s="14" t="str">
        <f t="array" ref="K780">IFERROR(INDEX([1]Companies!$X:$X,MATCH(B780,[1]Companies!$A:$A,0)),"")</f>
        <v>Financial Services</v>
      </c>
      <c r="L780" s="14" t="str">
        <f>VLOOKUP(B780,[1]Companies!$A$1:$C$5243,1,FALSE)</f>
        <v>Uprise.Africa</v>
      </c>
      <c r="M780" s="15">
        <f t="shared" si="975"/>
        <v>0.9</v>
      </c>
      <c r="N780" s="10" t="str">
        <f t="shared" si="976"/>
        <v>43397Uprise.AfricaUndisclosed</v>
      </c>
      <c r="O780" s="14" t="str">
        <f t="shared" si="1017"/>
        <v/>
      </c>
      <c r="P780" s="14">
        <f t="shared" si="978"/>
        <v>0</v>
      </c>
      <c r="Q780" s="14">
        <f t="array" ref="Q780">IFERROR(INDEX([1]Companies!$D:$D,MATCH(B780,[1]Companies!$A:$A,0)),"")</f>
        <v>2017</v>
      </c>
      <c r="R780" s="17">
        <f t="shared" si="979"/>
        <v>0</v>
      </c>
      <c r="S780" s="14">
        <f>VLOOKUP(I780,[1]Lookups!$V$3:$Y$197,4,FALSE)</f>
        <v>0</v>
      </c>
      <c r="T780" s="14" t="str">
        <f>VLOOKUP(E780,[1]Lookups!$H$3:$I$71,2,FALSE)</f>
        <v>2. Seed</v>
      </c>
      <c r="U780" s="14" t="str">
        <f>VLOOKUP(K780,[1]Lookups!$B$3:$C$142,2,FALSE)</f>
        <v>Financial Services</v>
      </c>
      <c r="V780" s="14">
        <f t="shared" si="921"/>
        <v>2018</v>
      </c>
      <c r="W780" s="14">
        <f t="shared" si="922"/>
        <v>10</v>
      </c>
      <c r="X780" s="14">
        <f>VLOOKUP(W780,[1]Lookups!$P$3:$S$15,2,FALSE)</f>
        <v>4</v>
      </c>
      <c r="Y780" s="16">
        <f>VLOOKUP(W780,[1]Lookups!$P$3:$U$15,3,FALSE)</f>
        <v>2</v>
      </c>
      <c r="Z780" s="16">
        <f t="shared" si="923"/>
        <v>1</v>
      </c>
      <c r="AA780" s="16" t="str">
        <f t="shared" ref="AA780:AO795" ca="1" si="1041">AS780</f>
        <v>Axa Insurance Morocco</v>
      </c>
      <c r="AB780" s="16">
        <f t="shared" si="1041"/>
        <v>0</v>
      </c>
      <c r="AC780" s="16">
        <f t="shared" si="1041"/>
        <v>0</v>
      </c>
      <c r="AD780" s="16">
        <f t="shared" si="1041"/>
        <v>0</v>
      </c>
      <c r="AE780" s="16">
        <f t="shared" si="1041"/>
        <v>0</v>
      </c>
      <c r="AF780" s="16">
        <f t="shared" si="1041"/>
        <v>0</v>
      </c>
      <c r="AG780" s="16">
        <f t="shared" si="1041"/>
        <v>0</v>
      </c>
      <c r="AH780" s="16">
        <f t="shared" si="1041"/>
        <v>0</v>
      </c>
      <c r="AI780" s="16">
        <f t="shared" si="1041"/>
        <v>0</v>
      </c>
      <c r="AJ780" s="16">
        <f t="shared" si="1041"/>
        <v>0</v>
      </c>
      <c r="AK780" s="16">
        <f t="shared" si="1041"/>
        <v>0</v>
      </c>
      <c r="AL780" s="16">
        <f t="shared" si="1041"/>
        <v>0</v>
      </c>
      <c r="AM780" s="16">
        <f t="shared" si="1041"/>
        <v>0</v>
      </c>
      <c r="AN780" s="16">
        <f t="shared" si="1041"/>
        <v>0</v>
      </c>
      <c r="AO780" s="16">
        <f t="shared" si="1041"/>
        <v>0</v>
      </c>
      <c r="AP780" s="10"/>
      <c r="AQ780" s="10"/>
      <c r="AR780" s="10"/>
      <c r="AS780" s="10" t="str">
        <f t="shared" ref="AS780" ca="1" si="1042">IFERROR(__xludf.DUMMYFUNCTION("split(F723,"","",true,true)"),"Axa Insurance Morocco")</f>
        <v>Axa Insurance Morocco</v>
      </c>
      <c r="AT780" s="10"/>
      <c r="AU780" s="10"/>
      <c r="AV780" s="10"/>
      <c r="AW780" s="10"/>
      <c r="AX780" s="10"/>
      <c r="AY780" s="10"/>
      <c r="AZ780" s="10"/>
      <c r="BA780" s="10"/>
      <c r="BB780" s="10"/>
      <c r="BC780" s="10"/>
      <c r="BD780" s="10"/>
      <c r="BE780" s="10"/>
      <c r="BF780" s="10"/>
      <c r="BG780" s="10"/>
      <c r="BH780" s="10"/>
      <c r="BI780" s="10"/>
      <c r="BJ780" s="10"/>
      <c r="BK780" s="10"/>
      <c r="BM780" s="10"/>
    </row>
    <row r="781" spans="1:65" ht="12.75">
      <c r="A781" s="18">
        <v>43403</v>
      </c>
      <c r="B781" s="14" t="s">
        <v>1699</v>
      </c>
      <c r="C781" s="19">
        <v>1400000</v>
      </c>
      <c r="D781" s="19"/>
      <c r="E781" s="14" t="s">
        <v>55</v>
      </c>
      <c r="F781" s="14" t="s">
        <v>1379</v>
      </c>
      <c r="G781" s="27" t="s">
        <v>1700</v>
      </c>
      <c r="H781" s="14" t="str">
        <f t="array" ref="H781">IFERROR(INDEX([1]Companies!$G:$G,MATCH(B781,[1]Companies!$A:$A,0)),"")</f>
        <v>South Africa</v>
      </c>
      <c r="I781" s="14" t="str">
        <f t="shared" si="974"/>
        <v>South Africa</v>
      </c>
      <c r="J781" s="14" t="str">
        <f t="array" ref="J781">IFERROR(INDEX([1]Companies!$Y:$Y,MATCH(B781,[1]Companies!$A:$A,0)),"")</f>
        <v>Employment, Online Portals</v>
      </c>
      <c r="K781" s="14" t="str">
        <f t="array" ref="K781">IFERROR(INDEX([1]Companies!$X:$X,MATCH(B781,[1]Companies!$A:$A,0)),"")</f>
        <v>Commercial &amp; Professional Services</v>
      </c>
      <c r="L781" s="14" t="str">
        <f>VLOOKUP(B781,[1]Companies!$A$1:$C$5243,1,FALSE)</f>
        <v>Boostme360</v>
      </c>
      <c r="M781" s="15">
        <f t="shared" si="975"/>
        <v>0.9</v>
      </c>
      <c r="N781" s="10" t="str">
        <f t="shared" si="976"/>
        <v>43403BoostMe3601400000</v>
      </c>
      <c r="O781" s="14" t="str">
        <f t="shared" si="1017"/>
        <v/>
      </c>
      <c r="P781" s="14">
        <f t="shared" si="978"/>
        <v>1</v>
      </c>
      <c r="Q781" s="14">
        <f t="array" ref="Q781">IFERROR(INDEX([1]Companies!$D:$D,MATCH(B781,[1]Companies!$A:$A,0)),"")</f>
        <v>2018</v>
      </c>
      <c r="R781" s="17">
        <f t="shared" si="979"/>
        <v>1400000</v>
      </c>
      <c r="S781" s="14">
        <f>VLOOKUP(I781,[1]Lookups!$V$3:$Y$197,4,FALSE)</f>
        <v>0</v>
      </c>
      <c r="T781" s="14" t="str">
        <f>VLOOKUP(E781,[1]Lookups!$H$3:$I$71,2,FALSE)</f>
        <v>1. Grant</v>
      </c>
      <c r="U781" s="14" t="str">
        <f>VLOOKUP(K781,[1]Lookups!$B$3:$C$142,2,FALSE)</f>
        <v>Other Technologies &amp; Information Technology</v>
      </c>
      <c r="V781" s="14">
        <f t="shared" si="921"/>
        <v>2018</v>
      </c>
      <c r="W781" s="14">
        <f t="shared" si="922"/>
        <v>10</v>
      </c>
      <c r="X781" s="14">
        <f>VLOOKUP(W781,[1]Lookups!$P$3:$S$15,2,FALSE)</f>
        <v>4</v>
      </c>
      <c r="Y781" s="16">
        <f>VLOOKUP(W781,[1]Lookups!$P$3:$U$15,3,FALSE)</f>
        <v>2</v>
      </c>
      <c r="Z781" s="16">
        <f t="shared" si="923"/>
        <v>1</v>
      </c>
      <c r="AA781" s="16" t="str">
        <f t="shared" ca="1" si="1041"/>
        <v>Axa Insurance Morocco</v>
      </c>
      <c r="AB781" s="16">
        <f t="shared" si="1041"/>
        <v>0</v>
      </c>
      <c r="AC781" s="16">
        <f t="shared" si="1041"/>
        <v>0</v>
      </c>
      <c r="AD781" s="16">
        <f t="shared" si="1041"/>
        <v>0</v>
      </c>
      <c r="AE781" s="16">
        <f t="shared" si="1041"/>
        <v>0</v>
      </c>
      <c r="AF781" s="16">
        <f t="shared" si="1041"/>
        <v>0</v>
      </c>
      <c r="AG781" s="16">
        <f t="shared" si="1041"/>
        <v>0</v>
      </c>
      <c r="AH781" s="16">
        <f t="shared" si="1041"/>
        <v>0</v>
      </c>
      <c r="AI781" s="16">
        <f t="shared" si="1041"/>
        <v>0</v>
      </c>
      <c r="AJ781" s="16">
        <f t="shared" si="1041"/>
        <v>0</v>
      </c>
      <c r="AK781" s="16">
        <f t="shared" si="1041"/>
        <v>0</v>
      </c>
      <c r="AL781" s="16">
        <f t="shared" si="1041"/>
        <v>0</v>
      </c>
      <c r="AM781" s="16">
        <f t="shared" si="1041"/>
        <v>0</v>
      </c>
      <c r="AN781" s="16">
        <f t="shared" si="1041"/>
        <v>0</v>
      </c>
      <c r="AO781" s="16">
        <f t="shared" si="1041"/>
        <v>0</v>
      </c>
      <c r="AP781" s="10"/>
      <c r="AQ781" s="10"/>
      <c r="AR781" s="10"/>
      <c r="AS781" s="10" t="str">
        <f t="shared" ref="AS781" ca="1" si="1043">IFERROR(__xludf.DUMMYFUNCTION("split(F723,"","",true,true)"),"Axa Insurance Morocco")</f>
        <v>Axa Insurance Morocco</v>
      </c>
      <c r="AT781" s="10"/>
      <c r="AU781" s="10"/>
      <c r="AV781" s="10"/>
      <c r="AW781" s="10"/>
      <c r="AX781" s="10"/>
      <c r="AY781" s="10"/>
      <c r="AZ781" s="10"/>
      <c r="BA781" s="10"/>
      <c r="BB781" s="10"/>
      <c r="BC781" s="10"/>
      <c r="BD781" s="10"/>
      <c r="BE781" s="10"/>
      <c r="BF781" s="10"/>
      <c r="BG781" s="10"/>
      <c r="BH781" s="10"/>
      <c r="BI781" s="10"/>
      <c r="BJ781" s="10"/>
      <c r="BK781" s="10"/>
      <c r="BM781" s="10"/>
    </row>
    <row r="782" spans="1:65" ht="12.75">
      <c r="A782" s="18">
        <v>43403</v>
      </c>
      <c r="B782" s="14" t="s">
        <v>533</v>
      </c>
      <c r="C782" s="19">
        <v>1100000</v>
      </c>
      <c r="D782" s="19"/>
      <c r="E782" s="14" t="s">
        <v>55</v>
      </c>
      <c r="F782" s="14" t="s">
        <v>1701</v>
      </c>
      <c r="G782" s="27" t="s">
        <v>1702</v>
      </c>
      <c r="H782" s="14" t="str">
        <f t="array" ref="H782">IFERROR(INDEX([1]Companies!$G:$G,MATCH(B782,[1]Companies!$A:$A,0)),"")</f>
        <v>Kenya</v>
      </c>
      <c r="I782" s="14" t="str">
        <f t="shared" si="974"/>
        <v>Kenya</v>
      </c>
      <c r="J782" s="14" t="str">
        <f t="array" ref="J782">IFERROR(INDEX([1]Companies!$Y:$Y,MATCH(B782,[1]Companies!$A:$A,0)),"")</f>
        <v>Agriculture, Farmers Market, Financial Services, Machine Learning</v>
      </c>
      <c r="K782" s="14" t="str">
        <f t="array" ref="K782">IFERROR(INDEX([1]Companies!$X:$X,MATCH(B782,[1]Companies!$A:$A,0)),"")</f>
        <v>Agriculture</v>
      </c>
      <c r="L782" s="14" t="str">
        <f>VLOOKUP(B782,[1]Companies!$A$1:$C$5243,1,FALSE)</f>
        <v>Apollo Agriculture</v>
      </c>
      <c r="M782" s="15">
        <f t="shared" si="975"/>
        <v>0.9</v>
      </c>
      <c r="N782" s="10" t="str">
        <f t="shared" si="976"/>
        <v>43403Apollo Agriculture1100000</v>
      </c>
      <c r="O782" s="14" t="str">
        <f t="shared" si="1017"/>
        <v/>
      </c>
      <c r="P782" s="14">
        <f t="shared" si="978"/>
        <v>1</v>
      </c>
      <c r="Q782" s="14">
        <f t="array" ref="Q782">IFERROR(INDEX([1]Companies!$D:$D,MATCH(B782,[1]Companies!$A:$A,0)),"")</f>
        <v>2015</v>
      </c>
      <c r="R782" s="17">
        <f t="shared" si="979"/>
        <v>1600000</v>
      </c>
      <c r="S782" s="14">
        <f>VLOOKUP(I782,[1]Lookups!$V$3:$Y$197,4,FALSE)</f>
        <v>0</v>
      </c>
      <c r="T782" s="14" t="str">
        <f>VLOOKUP(E782,[1]Lookups!$H$3:$I$71,2,FALSE)</f>
        <v>1. Grant</v>
      </c>
      <c r="U782" s="14" t="str">
        <f>VLOOKUP(K782,[1]Lookups!$B$3:$C$142,2,FALSE)</f>
        <v>Agriculture</v>
      </c>
      <c r="V782" s="14">
        <f t="shared" si="921"/>
        <v>2018</v>
      </c>
      <c r="W782" s="14">
        <f t="shared" si="922"/>
        <v>10</v>
      </c>
      <c r="X782" s="14">
        <f>VLOOKUP(W782,[1]Lookups!$P$3:$S$15,2,FALSE)</f>
        <v>4</v>
      </c>
      <c r="Y782" s="16">
        <f>VLOOKUP(W782,[1]Lookups!$P$3:$U$15,3,FALSE)</f>
        <v>2</v>
      </c>
      <c r="Z782" s="16">
        <f t="shared" si="923"/>
        <v>1</v>
      </c>
      <c r="AA782" s="16" t="str">
        <f t="shared" ca="1" si="1041"/>
        <v>Axa Insurance Morocco</v>
      </c>
      <c r="AB782" s="16">
        <f t="shared" si="1041"/>
        <v>0</v>
      </c>
      <c r="AC782" s="16">
        <f t="shared" si="1041"/>
        <v>0</v>
      </c>
      <c r="AD782" s="16">
        <f t="shared" si="1041"/>
        <v>0</v>
      </c>
      <c r="AE782" s="16">
        <f t="shared" si="1041"/>
        <v>0</v>
      </c>
      <c r="AF782" s="16">
        <f t="shared" si="1041"/>
        <v>0</v>
      </c>
      <c r="AG782" s="16">
        <f t="shared" si="1041"/>
        <v>0</v>
      </c>
      <c r="AH782" s="16">
        <f t="shared" si="1041"/>
        <v>0</v>
      </c>
      <c r="AI782" s="16">
        <f t="shared" si="1041"/>
        <v>0</v>
      </c>
      <c r="AJ782" s="16">
        <f t="shared" si="1041"/>
        <v>0</v>
      </c>
      <c r="AK782" s="16">
        <f t="shared" si="1041"/>
        <v>0</v>
      </c>
      <c r="AL782" s="16">
        <f t="shared" si="1041"/>
        <v>0</v>
      </c>
      <c r="AM782" s="16">
        <f t="shared" si="1041"/>
        <v>0</v>
      </c>
      <c r="AN782" s="16">
        <f t="shared" si="1041"/>
        <v>0</v>
      </c>
      <c r="AO782" s="16">
        <f t="shared" si="1041"/>
        <v>0</v>
      </c>
      <c r="AP782" s="10"/>
      <c r="AQ782" s="10"/>
      <c r="AR782" s="10"/>
      <c r="AS782" s="10" t="str">
        <f t="shared" ref="AS782" ca="1" si="1044">IFERROR(__xludf.DUMMYFUNCTION("split(F723,"","",true,true)"),"Axa Insurance Morocco")</f>
        <v>Axa Insurance Morocco</v>
      </c>
      <c r="AT782" s="10"/>
      <c r="AU782" s="10"/>
      <c r="AV782" s="10"/>
      <c r="AW782" s="10"/>
      <c r="AX782" s="10"/>
      <c r="AY782" s="10"/>
      <c r="AZ782" s="10"/>
      <c r="BA782" s="10"/>
      <c r="BB782" s="10"/>
      <c r="BC782" s="10"/>
      <c r="BD782" s="10"/>
      <c r="BE782" s="10"/>
      <c r="BF782" s="10"/>
      <c r="BG782" s="10"/>
      <c r="BH782" s="10"/>
      <c r="BI782" s="10"/>
      <c r="BJ782" s="10"/>
      <c r="BK782" s="10"/>
      <c r="BM782" s="10"/>
    </row>
    <row r="783" spans="1:65" ht="12.75">
      <c r="A783" s="18">
        <v>43403</v>
      </c>
      <c r="B783" s="14" t="s">
        <v>436</v>
      </c>
      <c r="C783" s="19">
        <v>740000</v>
      </c>
      <c r="D783" s="19"/>
      <c r="E783" s="14" t="s">
        <v>55</v>
      </c>
      <c r="F783" s="14" t="s">
        <v>1701</v>
      </c>
      <c r="G783" s="27" t="s">
        <v>1702</v>
      </c>
      <c r="H783" s="14" t="str">
        <f t="array" ref="H783">IFERROR(INDEX([1]Companies!$G:$G,MATCH(B783,[1]Companies!$A:$A,0)),"")</f>
        <v>Uganda</v>
      </c>
      <c r="I783" s="14" t="str">
        <f t="shared" si="974"/>
        <v>Uganda</v>
      </c>
      <c r="J783" s="14" t="str">
        <f t="array" ref="J783">IFERROR(INDEX([1]Companies!$Y:$Y,MATCH(B783,[1]Companies!$A:$A,0)),"")</f>
        <v>Solar PV (Solar Home Systems), Rural Off-grid markets in Africa, Financing, and Distribution</v>
      </c>
      <c r="K783" s="14" t="str">
        <f t="array" ref="K783">IFERROR(INDEX([1]Companies!$X:$X,MATCH(B783,[1]Companies!$A:$A,0)),"")</f>
        <v>Energy &amp; Environment Resources</v>
      </c>
      <c r="L783" s="14" t="str">
        <f>VLOOKUP(B783,[1]Companies!$A$1:$C$5243,1,FALSE)</f>
        <v>Solarnow</v>
      </c>
      <c r="M783" s="15">
        <f t="shared" si="975"/>
        <v>0.9</v>
      </c>
      <c r="N783" s="10" t="str">
        <f t="shared" si="976"/>
        <v>43403SolarNow740000</v>
      </c>
      <c r="O783" s="14" t="str">
        <f t="shared" si="1017"/>
        <v/>
      </c>
      <c r="P783" s="14">
        <f t="shared" si="978"/>
        <v>1</v>
      </c>
      <c r="Q783" s="14">
        <f t="array" ref="Q783">IFERROR(INDEX([1]Companies!$D:$D,MATCH(B783,[1]Companies!$A:$A,0)),"")</f>
        <v>2011</v>
      </c>
      <c r="R783" s="17">
        <f t="shared" si="979"/>
        <v>17740000</v>
      </c>
      <c r="S783" s="14">
        <f>VLOOKUP(I783,[1]Lookups!$V$3:$Y$197,4,FALSE)</f>
        <v>0</v>
      </c>
      <c r="T783" s="14" t="str">
        <f>VLOOKUP(E783,[1]Lookups!$H$3:$I$71,2,FALSE)</f>
        <v>1. Grant</v>
      </c>
      <c r="U783" s="14" t="e">
        <f>VLOOKUP(K783,[1]Lookups!$B$3:$C$142,2,FALSE)</f>
        <v>#N/A</v>
      </c>
      <c r="V783" s="14">
        <f t="shared" si="921"/>
        <v>2018</v>
      </c>
      <c r="W783" s="14">
        <f t="shared" si="922"/>
        <v>10</v>
      </c>
      <c r="X783" s="14">
        <f>VLOOKUP(W783,[1]Lookups!$P$3:$S$15,2,FALSE)</f>
        <v>4</v>
      </c>
      <c r="Y783" s="16">
        <f>VLOOKUP(W783,[1]Lookups!$P$3:$U$15,3,FALSE)</f>
        <v>2</v>
      </c>
      <c r="Z783" s="16">
        <f t="shared" si="923"/>
        <v>1</v>
      </c>
      <c r="AA783" s="16" t="str">
        <f t="shared" ca="1" si="1041"/>
        <v>Axa Insurance Morocco</v>
      </c>
      <c r="AB783" s="16">
        <f t="shared" si="1041"/>
        <v>0</v>
      </c>
      <c r="AC783" s="16">
        <f t="shared" si="1041"/>
        <v>0</v>
      </c>
      <c r="AD783" s="16">
        <f t="shared" si="1041"/>
        <v>0</v>
      </c>
      <c r="AE783" s="16">
        <f t="shared" si="1041"/>
        <v>0</v>
      </c>
      <c r="AF783" s="16">
        <f t="shared" si="1041"/>
        <v>0</v>
      </c>
      <c r="AG783" s="16">
        <f t="shared" si="1041"/>
        <v>0</v>
      </c>
      <c r="AH783" s="16">
        <f t="shared" si="1041"/>
        <v>0</v>
      </c>
      <c r="AI783" s="16">
        <f t="shared" si="1041"/>
        <v>0</v>
      </c>
      <c r="AJ783" s="16">
        <f t="shared" si="1041"/>
        <v>0</v>
      </c>
      <c r="AK783" s="16">
        <f t="shared" si="1041"/>
        <v>0</v>
      </c>
      <c r="AL783" s="16">
        <f t="shared" si="1041"/>
        <v>0</v>
      </c>
      <c r="AM783" s="16">
        <f t="shared" si="1041"/>
        <v>0</v>
      </c>
      <c r="AN783" s="16">
        <f t="shared" si="1041"/>
        <v>0</v>
      </c>
      <c r="AO783" s="16">
        <f t="shared" si="1041"/>
        <v>0</v>
      </c>
      <c r="AP783" s="10"/>
      <c r="AQ783" s="10"/>
      <c r="AR783" s="10"/>
      <c r="AS783" s="10" t="str">
        <f t="shared" ref="AS783" ca="1" si="1045">IFERROR(__xludf.DUMMYFUNCTION("split(F723,"","",true,true)"),"Axa Insurance Morocco")</f>
        <v>Axa Insurance Morocco</v>
      </c>
      <c r="AT783" s="10"/>
      <c r="AU783" s="10"/>
      <c r="AV783" s="10"/>
      <c r="AW783" s="10"/>
      <c r="AX783" s="10"/>
      <c r="AY783" s="10"/>
      <c r="AZ783" s="10"/>
      <c r="BA783" s="10"/>
      <c r="BB783" s="10"/>
      <c r="BC783" s="10"/>
      <c r="BD783" s="10"/>
      <c r="BE783" s="10"/>
      <c r="BF783" s="10"/>
      <c r="BG783" s="10"/>
      <c r="BH783" s="10"/>
      <c r="BI783" s="10"/>
      <c r="BJ783" s="10"/>
      <c r="BK783" s="10"/>
      <c r="BM783" s="10"/>
    </row>
    <row r="784" spans="1:65" ht="12.75">
      <c r="A784" s="18">
        <v>43403</v>
      </c>
      <c r="B784" s="14" t="s">
        <v>346</v>
      </c>
      <c r="C784" s="19">
        <v>692000</v>
      </c>
      <c r="D784" s="19"/>
      <c r="E784" s="14" t="s">
        <v>55</v>
      </c>
      <c r="F784" s="14" t="s">
        <v>1701</v>
      </c>
      <c r="G784" s="27" t="s">
        <v>1702</v>
      </c>
      <c r="H784" s="14" t="str">
        <f t="array" ref="H784">IFERROR(INDEX([1]Companies!$G:$G,MATCH(B784,[1]Companies!$A:$A,0)),"")</f>
        <v>Ghana</v>
      </c>
      <c r="I784" s="14" t="str">
        <f t="shared" si="974"/>
        <v>Ghana</v>
      </c>
      <c r="J784" s="14" t="str">
        <f t="array" ref="J784">IFERROR(INDEX([1]Companies!$Y:$Y,MATCH(B784,[1]Companies!$A:$A,0)),"")</f>
        <v>Agtech, Data Analytics</v>
      </c>
      <c r="K784" s="14" t="str">
        <f t="array" ref="K784">IFERROR(INDEX([1]Companies!$X:$X,MATCH(B784,[1]Companies!$A:$A,0)),"")</f>
        <v>Agriculture</v>
      </c>
      <c r="L784" s="14" t="str">
        <f>VLOOKUP(B784,[1]Companies!$A$1:$C$5243,1,FALSE)</f>
        <v>Farmerline</v>
      </c>
      <c r="M784" s="15">
        <f t="shared" si="975"/>
        <v>0.9</v>
      </c>
      <c r="N784" s="10" t="str">
        <f t="shared" si="976"/>
        <v>43403Farmerline692000</v>
      </c>
      <c r="O784" s="14" t="str">
        <f t="shared" si="1017"/>
        <v/>
      </c>
      <c r="P784" s="14">
        <f t="shared" si="978"/>
        <v>1</v>
      </c>
      <c r="Q784" s="14">
        <f t="array" ref="Q784">IFERROR(INDEX([1]Companies!$D:$D,MATCH(B784,[1]Companies!$A:$A,0)),"")</f>
        <v>2012</v>
      </c>
      <c r="R784" s="17">
        <f t="shared" si="979"/>
        <v>742000</v>
      </c>
      <c r="S784" s="14">
        <f>VLOOKUP(I784,[1]Lookups!$V$3:$Y$197,4,FALSE)</f>
        <v>0</v>
      </c>
      <c r="T784" s="14" t="str">
        <f>VLOOKUP(E784,[1]Lookups!$H$3:$I$71,2,FALSE)</f>
        <v>1. Grant</v>
      </c>
      <c r="U784" s="14" t="str">
        <f>VLOOKUP(K784,[1]Lookups!$B$3:$C$142,2,FALSE)</f>
        <v>Agriculture</v>
      </c>
      <c r="V784" s="14">
        <f t="shared" si="921"/>
        <v>2018</v>
      </c>
      <c r="W784" s="14">
        <f t="shared" si="922"/>
        <v>10</v>
      </c>
      <c r="X784" s="14">
        <f>VLOOKUP(W784,[1]Lookups!$P$3:$S$15,2,FALSE)</f>
        <v>4</v>
      </c>
      <c r="Y784" s="16">
        <f>VLOOKUP(W784,[1]Lookups!$P$3:$U$15,3,FALSE)</f>
        <v>2</v>
      </c>
      <c r="Z784" s="16">
        <f t="shared" si="923"/>
        <v>1</v>
      </c>
      <c r="AA784" s="16" t="str">
        <f t="shared" ca="1" si="1041"/>
        <v>Axa Insurance Morocco</v>
      </c>
      <c r="AB784" s="16">
        <f t="shared" si="1041"/>
        <v>0</v>
      </c>
      <c r="AC784" s="16">
        <f t="shared" si="1041"/>
        <v>0</v>
      </c>
      <c r="AD784" s="16">
        <f t="shared" si="1041"/>
        <v>0</v>
      </c>
      <c r="AE784" s="16">
        <f t="shared" si="1041"/>
        <v>0</v>
      </c>
      <c r="AF784" s="16">
        <f t="shared" si="1041"/>
        <v>0</v>
      </c>
      <c r="AG784" s="16">
        <f t="shared" si="1041"/>
        <v>0</v>
      </c>
      <c r="AH784" s="16">
        <f t="shared" si="1041"/>
        <v>0</v>
      </c>
      <c r="AI784" s="16">
        <f t="shared" si="1041"/>
        <v>0</v>
      </c>
      <c r="AJ784" s="16">
        <f t="shared" si="1041"/>
        <v>0</v>
      </c>
      <c r="AK784" s="16">
        <f t="shared" si="1041"/>
        <v>0</v>
      </c>
      <c r="AL784" s="16">
        <f t="shared" si="1041"/>
        <v>0</v>
      </c>
      <c r="AM784" s="16">
        <f t="shared" si="1041"/>
        <v>0</v>
      </c>
      <c r="AN784" s="16">
        <f t="shared" si="1041"/>
        <v>0</v>
      </c>
      <c r="AO784" s="16">
        <f t="shared" si="1041"/>
        <v>0</v>
      </c>
      <c r="AP784" s="10"/>
      <c r="AQ784" s="10"/>
      <c r="AR784" s="10"/>
      <c r="AS784" s="10" t="str">
        <f t="shared" ref="AS784" ca="1" si="1046">IFERROR(__xludf.DUMMYFUNCTION("split(F723,"","",true,true)"),"Axa Insurance Morocco")</f>
        <v>Axa Insurance Morocco</v>
      </c>
      <c r="AT784" s="10"/>
      <c r="AU784" s="10"/>
      <c r="AV784" s="10"/>
      <c r="AW784" s="10"/>
      <c r="AX784" s="10"/>
      <c r="AY784" s="10"/>
      <c r="AZ784" s="10"/>
      <c r="BA784" s="10"/>
      <c r="BB784" s="10"/>
      <c r="BC784" s="10"/>
      <c r="BD784" s="10"/>
      <c r="BE784" s="10"/>
      <c r="BF784" s="10"/>
      <c r="BG784" s="10"/>
      <c r="BH784" s="10"/>
      <c r="BI784" s="10"/>
      <c r="BJ784" s="10"/>
      <c r="BK784" s="10"/>
      <c r="BM784" s="10"/>
    </row>
    <row r="785" spans="1:65" ht="12.75">
      <c r="A785" s="18">
        <v>43403</v>
      </c>
      <c r="B785" s="14" t="s">
        <v>1703</v>
      </c>
      <c r="C785" s="19">
        <v>15000</v>
      </c>
      <c r="D785" s="19"/>
      <c r="E785" s="14" t="s">
        <v>45</v>
      </c>
      <c r="F785" s="14" t="s">
        <v>1281</v>
      </c>
      <c r="G785" s="27" t="s">
        <v>1704</v>
      </c>
      <c r="H785" s="14" t="str">
        <f t="array" ref="H785">IFERROR(INDEX([1]Companies!$G:$G,MATCH(B785,[1]Companies!$A:$A,0)),"")</f>
        <v>Nigeria</v>
      </c>
      <c r="I785" s="14" t="str">
        <f t="shared" si="974"/>
        <v>Nigeria</v>
      </c>
      <c r="J785" s="14" t="str">
        <f t="array" ref="J785">IFERROR(INDEX([1]Companies!$Y:$Y,MATCH(B785,[1]Companies!$A:$A,0)),"")</f>
        <v>Saving, Investing, Fintech</v>
      </c>
      <c r="K785" s="14" t="str">
        <f t="array" ref="K785">IFERROR(INDEX([1]Companies!$X:$X,MATCH(B785,[1]Companies!$A:$A,0)),"")</f>
        <v>Financial Services</v>
      </c>
      <c r="L785" s="14" t="str">
        <f>VLOOKUP(B785,[1]Companies!$A$1:$C$5243,1,FALSE)</f>
        <v>Riby Finance</v>
      </c>
      <c r="M785" s="15">
        <f t="shared" si="975"/>
        <v>0.9</v>
      </c>
      <c r="N785" s="10" t="str">
        <f t="shared" si="976"/>
        <v>43403Riby Finance15000</v>
      </c>
      <c r="O785" s="14" t="str">
        <f t="shared" si="1017"/>
        <v/>
      </c>
      <c r="P785" s="14">
        <f t="shared" si="978"/>
        <v>1</v>
      </c>
      <c r="Q785" s="14">
        <f t="array" ref="Q785">IFERROR(INDEX([1]Companies!$D:$D,MATCH(B785,[1]Companies!$A:$A,0)),"")</f>
        <v>2016</v>
      </c>
      <c r="R785" s="17">
        <f t="shared" si="979"/>
        <v>15000</v>
      </c>
      <c r="S785" s="14">
        <f>VLOOKUP(I785,[1]Lookups!$V$3:$Y$197,4,FALSE)</f>
        <v>0</v>
      </c>
      <c r="T785" s="14" t="str">
        <f>VLOOKUP(E785,[1]Lookups!$H$3:$I$71,2,FALSE)</f>
        <v>2. Seed</v>
      </c>
      <c r="U785" s="14" t="str">
        <f>VLOOKUP(K785,[1]Lookups!$B$3:$C$142,2,FALSE)</f>
        <v>Financial Services</v>
      </c>
      <c r="V785" s="14">
        <f t="shared" si="921"/>
        <v>2018</v>
      </c>
      <c r="W785" s="14">
        <f t="shared" si="922"/>
        <v>10</v>
      </c>
      <c r="X785" s="14">
        <f>VLOOKUP(W785,[1]Lookups!$P$3:$S$15,2,FALSE)</f>
        <v>4</v>
      </c>
      <c r="Y785" s="16">
        <f>VLOOKUP(W785,[1]Lookups!$P$3:$U$15,3,FALSE)</f>
        <v>2</v>
      </c>
      <c r="Z785" s="16">
        <f t="shared" si="923"/>
        <v>1</v>
      </c>
      <c r="AA785" s="16" t="str">
        <f t="shared" ca="1" si="1041"/>
        <v>Axa Insurance Morocco</v>
      </c>
      <c r="AB785" s="16">
        <f t="shared" si="1041"/>
        <v>0</v>
      </c>
      <c r="AC785" s="16">
        <f t="shared" si="1041"/>
        <v>0</v>
      </c>
      <c r="AD785" s="16">
        <f t="shared" si="1041"/>
        <v>0</v>
      </c>
      <c r="AE785" s="16">
        <f t="shared" si="1041"/>
        <v>0</v>
      </c>
      <c r="AF785" s="16">
        <f t="shared" si="1041"/>
        <v>0</v>
      </c>
      <c r="AG785" s="16">
        <f t="shared" si="1041"/>
        <v>0</v>
      </c>
      <c r="AH785" s="16">
        <f t="shared" si="1041"/>
        <v>0</v>
      </c>
      <c r="AI785" s="16">
        <f t="shared" si="1041"/>
        <v>0</v>
      </c>
      <c r="AJ785" s="16">
        <f t="shared" si="1041"/>
        <v>0</v>
      </c>
      <c r="AK785" s="16">
        <f t="shared" si="1041"/>
        <v>0</v>
      </c>
      <c r="AL785" s="16">
        <f t="shared" si="1041"/>
        <v>0</v>
      </c>
      <c r="AM785" s="16">
        <f t="shared" si="1041"/>
        <v>0</v>
      </c>
      <c r="AN785" s="16">
        <f t="shared" si="1041"/>
        <v>0</v>
      </c>
      <c r="AO785" s="16">
        <f t="shared" si="1041"/>
        <v>0</v>
      </c>
      <c r="AP785" s="10"/>
      <c r="AQ785" s="10"/>
      <c r="AR785" s="10"/>
      <c r="AS785" s="10" t="str">
        <f t="shared" ref="AS785" ca="1" si="1047">IFERROR(__xludf.DUMMYFUNCTION("split(F723,"","",true,true)"),"Axa Insurance Morocco")</f>
        <v>Axa Insurance Morocco</v>
      </c>
      <c r="AT785" s="10"/>
      <c r="AU785" s="10"/>
      <c r="AV785" s="10"/>
      <c r="AW785" s="10"/>
      <c r="AX785" s="10"/>
      <c r="AY785" s="10"/>
      <c r="AZ785" s="10"/>
      <c r="BA785" s="10"/>
      <c r="BB785" s="10"/>
      <c r="BC785" s="10"/>
      <c r="BD785" s="10"/>
      <c r="BE785" s="10"/>
      <c r="BF785" s="10"/>
      <c r="BG785" s="10"/>
      <c r="BH785" s="10"/>
      <c r="BI785" s="10"/>
      <c r="BJ785" s="10"/>
      <c r="BK785" s="10"/>
      <c r="BM785" s="10"/>
    </row>
    <row r="786" spans="1:65" ht="12.75">
      <c r="A786" s="18">
        <v>43404</v>
      </c>
      <c r="B786" s="14" t="s">
        <v>1705</v>
      </c>
      <c r="C786" s="19">
        <v>14000000</v>
      </c>
      <c r="D786" s="19"/>
      <c r="E786" s="14" t="s">
        <v>112</v>
      </c>
      <c r="F786" s="14" t="s">
        <v>1706</v>
      </c>
      <c r="G786" s="27" t="s">
        <v>1707</v>
      </c>
      <c r="H786" s="14" t="str">
        <f t="array" ref="H786">IFERROR(INDEX([1]Companies!$G:$G,MATCH(B786,[1]Companies!$A:$A,0)),"")</f>
        <v>South Africa</v>
      </c>
      <c r="I786" s="14" t="str">
        <f t="shared" si="974"/>
        <v>South Africa</v>
      </c>
      <c r="J786" s="14" t="str">
        <f t="array" ref="J786">IFERROR(INDEX([1]Companies!$Y:$Y,MATCH(B786,[1]Companies!$A:$A,0)),"")</f>
        <v>Financial Services, FinTech, Mobile Payments, Payments</v>
      </c>
      <c r="K786" s="14" t="str">
        <f t="array" ref="K786">IFERROR(INDEX([1]Companies!$X:$X,MATCH(B786,[1]Companies!$A:$A,0)),"")</f>
        <v>Financial Services</v>
      </c>
      <c r="L786" s="14" t="str">
        <f>VLOOKUP(B786,[1]Companies!$A$1:$C$5243,1,FALSE)</f>
        <v>MFS Africa</v>
      </c>
      <c r="M786" s="15">
        <f t="shared" si="975"/>
        <v>0.9</v>
      </c>
      <c r="N786" s="10" t="str">
        <f t="shared" si="976"/>
        <v>43404MFS Africa14000000</v>
      </c>
      <c r="O786" s="14" t="str">
        <f t="shared" si="1017"/>
        <v/>
      </c>
      <c r="P786" s="14">
        <f t="shared" si="978"/>
        <v>1</v>
      </c>
      <c r="Q786" s="14">
        <f t="array" ref="Q786">IFERROR(INDEX([1]Companies!$D:$D,MATCH(B786,[1]Companies!$A:$A,0)),"")</f>
        <v>2010</v>
      </c>
      <c r="R786" s="17">
        <f t="shared" si="979"/>
        <v>14000000</v>
      </c>
      <c r="S786" s="14">
        <f>VLOOKUP(I786,[1]Lookups!$V$3:$Y$197,4,FALSE)</f>
        <v>0</v>
      </c>
      <c r="T786" s="14" t="str">
        <f>VLOOKUP(E786,[1]Lookups!$H$3:$I$71,2,FALSE)</f>
        <v>3. Early Venture</v>
      </c>
      <c r="U786" s="14" t="str">
        <f>VLOOKUP(K786,[1]Lookups!$B$3:$C$142,2,FALSE)</f>
        <v>Financial Services</v>
      </c>
      <c r="V786" s="14">
        <f t="shared" si="921"/>
        <v>2018</v>
      </c>
      <c r="W786" s="14">
        <f t="shared" si="922"/>
        <v>10</v>
      </c>
      <c r="X786" s="14">
        <f>VLOOKUP(W786,[1]Lookups!$P$3:$S$15,2,FALSE)</f>
        <v>4</v>
      </c>
      <c r="Y786" s="16">
        <f>VLOOKUP(W786,[1]Lookups!$P$3:$U$15,3,FALSE)</f>
        <v>2</v>
      </c>
      <c r="Z786" s="16">
        <f t="shared" si="923"/>
        <v>4</v>
      </c>
      <c r="AA786" s="16" t="str">
        <f t="shared" ca="1" si="1041"/>
        <v>Axa Insurance Morocco</v>
      </c>
      <c r="AB786" s="16" t="str">
        <f t="shared" ca="1" si="1041"/>
        <v xml:space="preserve"> Goodwell Investments</v>
      </c>
      <c r="AC786" s="16" t="str">
        <f t="shared" ca="1" si="1041"/>
        <v xml:space="preserve"> FSD Africa</v>
      </c>
      <c r="AD786" s="16" t="str">
        <f t="shared" ca="1" si="1041"/>
        <v xml:space="preserve"> Equator Capital Partners</v>
      </c>
      <c r="AE786" s="16">
        <f t="shared" si="1041"/>
        <v>0</v>
      </c>
      <c r="AF786" s="16">
        <f t="shared" si="1041"/>
        <v>0</v>
      </c>
      <c r="AG786" s="16">
        <f t="shared" si="1041"/>
        <v>0</v>
      </c>
      <c r="AH786" s="16">
        <f t="shared" si="1041"/>
        <v>0</v>
      </c>
      <c r="AI786" s="16">
        <f t="shared" si="1041"/>
        <v>0</v>
      </c>
      <c r="AJ786" s="16">
        <f t="shared" si="1041"/>
        <v>0</v>
      </c>
      <c r="AK786" s="16">
        <f t="shared" si="1041"/>
        <v>0</v>
      </c>
      <c r="AL786" s="16">
        <f t="shared" si="1041"/>
        <v>0</v>
      </c>
      <c r="AM786" s="16">
        <f t="shared" si="1041"/>
        <v>0</v>
      </c>
      <c r="AN786" s="16">
        <f t="shared" si="1041"/>
        <v>0</v>
      </c>
      <c r="AO786" s="16">
        <f t="shared" si="1041"/>
        <v>0</v>
      </c>
      <c r="AP786" s="10"/>
      <c r="AQ786" s="10"/>
      <c r="AR786" s="10"/>
      <c r="AS786" s="10" t="str">
        <f t="shared" ref="AS786" ca="1" si="1048">IFERROR(__xludf.DUMMYFUNCTION("split(F723,"","",true,true)"),"Axa Insurance Morocco")</f>
        <v>Axa Insurance Morocco</v>
      </c>
      <c r="AT786" s="10" t="str">
        <f ca="1">IFERROR(__xludf.DUMMYFUNCTION("""COMPUTED_VALUE""")," Goodwell Investments")</f>
        <v xml:space="preserve"> Goodwell Investments</v>
      </c>
      <c r="AU786" s="10" t="str">
        <f ca="1">IFERROR(__xludf.DUMMYFUNCTION("""COMPUTED_VALUE""")," FSD Africa")</f>
        <v xml:space="preserve"> FSD Africa</v>
      </c>
      <c r="AV786" s="10" t="str">
        <f ca="1">IFERROR(__xludf.DUMMYFUNCTION("""COMPUTED_VALUE""")," Equator Capital Partners")</f>
        <v xml:space="preserve"> Equator Capital Partners</v>
      </c>
      <c r="AW786" s="10"/>
      <c r="AX786" s="10"/>
      <c r="AY786" s="10"/>
      <c r="AZ786" s="10"/>
      <c r="BA786" s="10"/>
      <c r="BB786" s="10"/>
      <c r="BC786" s="10"/>
      <c r="BD786" s="10"/>
      <c r="BE786" s="10"/>
      <c r="BF786" s="10"/>
      <c r="BG786" s="10"/>
      <c r="BH786" s="10"/>
      <c r="BI786" s="10"/>
      <c r="BJ786" s="10"/>
      <c r="BK786" s="10"/>
      <c r="BM786" s="10"/>
    </row>
    <row r="787" spans="1:65" ht="12.75">
      <c r="A787" s="9">
        <v>43404</v>
      </c>
      <c r="B787" s="10" t="s">
        <v>682</v>
      </c>
      <c r="C787" s="11">
        <v>150000</v>
      </c>
      <c r="D787" s="12"/>
      <c r="E787" s="10" t="s">
        <v>45</v>
      </c>
      <c r="F787" s="10" t="s">
        <v>226</v>
      </c>
      <c r="G787" s="13" t="s">
        <v>1708</v>
      </c>
      <c r="H787" s="14" t="str">
        <f t="array" ref="H787">IFERROR(INDEX([1]Companies!$G:$G,MATCH(B787,[1]Companies!$A:$A,0)),"")</f>
        <v>Nigeria</v>
      </c>
      <c r="I787" s="14" t="str">
        <f t="shared" si="974"/>
        <v>Nigeria</v>
      </c>
      <c r="J787" s="14" t="str">
        <f t="array" ref="J787">IFERROR(INDEX([1]Companies!$Y:$Y,MATCH(B787,[1]Companies!$A:$A,0)),"")</f>
        <v>Agriculture, AgTech, Information Technology</v>
      </c>
      <c r="K787" s="14" t="str">
        <f t="array" ref="K787">IFERROR(INDEX([1]Companies!$X:$X,MATCH(B787,[1]Companies!$A:$A,0)),"")</f>
        <v>Agriculture</v>
      </c>
      <c r="L787" s="14" t="str">
        <f>VLOOKUP(B787,[1]Companies!$A$1:$C$5243,1,FALSE)</f>
        <v>Thrive Agric</v>
      </c>
      <c r="M787" s="15">
        <f t="shared" si="975"/>
        <v>0.9</v>
      </c>
      <c r="N787" s="10" t="str">
        <f t="shared" si="976"/>
        <v>43404Thrive Agric150000</v>
      </c>
      <c r="O787" s="14" t="str">
        <f t="shared" si="1017"/>
        <v/>
      </c>
      <c r="P787" s="14">
        <f t="shared" si="978"/>
        <v>1</v>
      </c>
      <c r="Q787" s="14">
        <f t="array" ref="Q787">IFERROR(INDEX([1]Companies!$D:$D,MATCH(B787,[1]Companies!$A:$A,0)),"")</f>
        <v>2016</v>
      </c>
      <c r="R787" s="17">
        <f t="shared" si="979"/>
        <v>620000</v>
      </c>
      <c r="S787" s="14">
        <f>VLOOKUP(I787,[1]Lookups!$V$3:$Y$197,4,FALSE)</f>
        <v>0</v>
      </c>
      <c r="T787" s="14" t="str">
        <f>VLOOKUP(E787,[1]Lookups!$H$3:$I$71,2,FALSE)</f>
        <v>2. Seed</v>
      </c>
      <c r="U787" s="14" t="str">
        <f>VLOOKUP(K787,[1]Lookups!$B$3:$C$142,2,FALSE)</f>
        <v>Agriculture</v>
      </c>
      <c r="V787" s="14">
        <f t="shared" si="921"/>
        <v>2018</v>
      </c>
      <c r="W787" s="14">
        <f t="shared" si="922"/>
        <v>10</v>
      </c>
      <c r="X787" s="14">
        <f>VLOOKUP(W787,[1]Lookups!$P$3:$S$15,2,FALSE)</f>
        <v>4</v>
      </c>
      <c r="Y787" s="16">
        <f>VLOOKUP(W787,[1]Lookups!$P$3:$U$15,3,FALSE)</f>
        <v>2</v>
      </c>
      <c r="Z787" s="16">
        <f t="shared" si="923"/>
        <v>1</v>
      </c>
      <c r="AA787" s="16" t="str">
        <f t="shared" ca="1" si="1041"/>
        <v>Axa Insurance Morocco</v>
      </c>
      <c r="AB787" s="16">
        <f t="shared" si="1041"/>
        <v>0</v>
      </c>
      <c r="AC787" s="16">
        <f t="shared" si="1041"/>
        <v>0</v>
      </c>
      <c r="AD787" s="16">
        <f t="shared" si="1041"/>
        <v>0</v>
      </c>
      <c r="AE787" s="16">
        <f t="shared" si="1041"/>
        <v>0</v>
      </c>
      <c r="AF787" s="16">
        <f t="shared" si="1041"/>
        <v>0</v>
      </c>
      <c r="AG787" s="16">
        <f t="shared" si="1041"/>
        <v>0</v>
      </c>
      <c r="AH787" s="16">
        <f t="shared" si="1041"/>
        <v>0</v>
      </c>
      <c r="AI787" s="16">
        <f t="shared" si="1041"/>
        <v>0</v>
      </c>
      <c r="AJ787" s="16">
        <f t="shared" si="1041"/>
        <v>0</v>
      </c>
      <c r="AK787" s="16">
        <f t="shared" si="1041"/>
        <v>0</v>
      </c>
      <c r="AL787" s="16">
        <f t="shared" si="1041"/>
        <v>0</v>
      </c>
      <c r="AM787" s="16">
        <f t="shared" si="1041"/>
        <v>0</v>
      </c>
      <c r="AN787" s="16">
        <f t="shared" si="1041"/>
        <v>0</v>
      </c>
      <c r="AO787" s="16">
        <f t="shared" si="1041"/>
        <v>0</v>
      </c>
      <c r="AP787" s="10"/>
      <c r="AQ787" s="10"/>
      <c r="AR787" s="10"/>
      <c r="AS787" s="10" t="str">
        <f t="shared" ref="AS787" ca="1" si="1049">IFERROR(__xludf.DUMMYFUNCTION("split(F723,"","",true,true)"),"Axa Insurance Morocco")</f>
        <v>Axa Insurance Morocco</v>
      </c>
      <c r="AT787" s="10"/>
      <c r="AU787" s="10"/>
      <c r="AV787" s="10"/>
      <c r="AW787" s="10"/>
      <c r="AX787" s="10"/>
      <c r="AY787" s="10"/>
      <c r="AZ787" s="10"/>
      <c r="BA787" s="10"/>
      <c r="BB787" s="10"/>
      <c r="BC787" s="10"/>
      <c r="BD787" s="10"/>
      <c r="BE787" s="10"/>
      <c r="BF787" s="10"/>
      <c r="BG787" s="10"/>
      <c r="BH787" s="10"/>
      <c r="BI787" s="10"/>
      <c r="BJ787" s="10"/>
      <c r="BK787" s="10"/>
      <c r="BM787" s="10"/>
    </row>
    <row r="788" spans="1:65" ht="12.75">
      <c r="A788" s="18">
        <v>43405</v>
      </c>
      <c r="B788" s="14" t="s">
        <v>1709</v>
      </c>
      <c r="C788" s="19" t="s">
        <v>49</v>
      </c>
      <c r="D788" s="22"/>
      <c r="E788" s="14" t="s">
        <v>55</v>
      </c>
      <c r="F788" s="14" t="s">
        <v>1710</v>
      </c>
      <c r="G788" s="21" t="s">
        <v>1711</v>
      </c>
      <c r="H788" s="14" t="str">
        <f t="array" ref="H788">IFERROR(INDEX([1]Companies!$G:$G,MATCH(B788,[1]Companies!$A:$A,0)),"")</f>
        <v/>
      </c>
      <c r="I788" s="14" t="str">
        <f t="shared" si="974"/>
        <v/>
      </c>
      <c r="J788" s="14" t="str">
        <f t="array" ref="J788">IFERROR(INDEX([1]Companies!$Y:$Y,MATCH(B788,[1]Companies!$A:$A,0)),"")</f>
        <v/>
      </c>
      <c r="K788" s="14" t="str">
        <f t="array" ref="K788">IFERROR(INDEX([1]Companies!$X:$X,MATCH(B788,[1]Companies!$A:$A,0)),"")</f>
        <v/>
      </c>
      <c r="L788" s="14" t="e">
        <f>VLOOKUP(B788,[1]Companies!$A$1:$C$5243,1,FALSE)</f>
        <v>#N/A</v>
      </c>
      <c r="M788" s="15">
        <f t="shared" si="975"/>
        <v>0.6428571428571429</v>
      </c>
      <c r="N788" s="10" t="str">
        <f t="shared" si="976"/>
        <v>43405AmplifyUndisclosed</v>
      </c>
      <c r="O788" s="14" t="str">
        <f t="shared" si="1017"/>
        <v/>
      </c>
      <c r="P788" s="14">
        <f t="shared" si="978"/>
        <v>0</v>
      </c>
      <c r="Q788" s="14" t="str">
        <f t="array" ref="Q788">IFERROR(INDEX([1]Companies!$D:$D,MATCH(B788,[1]Companies!$A:$A,0)),"")</f>
        <v/>
      </c>
      <c r="R788" s="17">
        <f t="shared" si="979"/>
        <v>0</v>
      </c>
      <c r="S788" s="14" t="e">
        <f>VLOOKUP(I788,[1]Lookups!$V$3:$Y$197,4,FALSE)</f>
        <v>#N/A</v>
      </c>
      <c r="T788" s="14" t="str">
        <f>VLOOKUP(E788,[1]Lookups!$H$3:$I$71,2,FALSE)</f>
        <v>1. Grant</v>
      </c>
      <c r="U788" s="14" t="e">
        <f>VLOOKUP(K788,[1]Lookups!$B$3:$C$142,2,FALSE)</f>
        <v>#N/A</v>
      </c>
      <c r="V788" s="14">
        <f t="shared" si="921"/>
        <v>2018</v>
      </c>
      <c r="W788" s="14">
        <f t="shared" si="922"/>
        <v>11</v>
      </c>
      <c r="X788" s="14">
        <f>VLOOKUP(W788,[1]Lookups!$P$3:$S$15,2,FALSE)</f>
        <v>4</v>
      </c>
      <c r="Y788" s="16">
        <f>VLOOKUP(W788,[1]Lookups!$P$3:$U$15,3,FALSE)</f>
        <v>2</v>
      </c>
      <c r="Z788" s="16">
        <f t="shared" si="923"/>
        <v>1</v>
      </c>
      <c r="AA788" s="16" t="str">
        <f t="shared" ca="1" si="1041"/>
        <v>Axa Insurance Morocco</v>
      </c>
      <c r="AB788" s="16">
        <f t="shared" si="1041"/>
        <v>0</v>
      </c>
      <c r="AC788" s="16">
        <f t="shared" si="1041"/>
        <v>0</v>
      </c>
      <c r="AD788" s="16">
        <f t="shared" si="1041"/>
        <v>0</v>
      </c>
      <c r="AE788" s="16">
        <f t="shared" si="1041"/>
        <v>0</v>
      </c>
      <c r="AF788" s="16">
        <f t="shared" si="1041"/>
        <v>0</v>
      </c>
      <c r="AG788" s="16">
        <f t="shared" si="1041"/>
        <v>0</v>
      </c>
      <c r="AH788" s="16">
        <f t="shared" si="1041"/>
        <v>0</v>
      </c>
      <c r="AI788" s="16">
        <f t="shared" si="1041"/>
        <v>0</v>
      </c>
      <c r="AJ788" s="16">
        <f t="shared" si="1041"/>
        <v>0</v>
      </c>
      <c r="AK788" s="16">
        <f t="shared" si="1041"/>
        <v>0</v>
      </c>
      <c r="AL788" s="16">
        <f t="shared" si="1041"/>
        <v>0</v>
      </c>
      <c r="AM788" s="16">
        <f t="shared" si="1041"/>
        <v>0</v>
      </c>
      <c r="AN788" s="16">
        <f t="shared" si="1041"/>
        <v>0</v>
      </c>
      <c r="AO788" s="16">
        <f t="shared" si="1041"/>
        <v>0</v>
      </c>
      <c r="AP788" s="10"/>
      <c r="AQ788" s="10"/>
      <c r="AR788" s="10"/>
      <c r="AS788" s="10" t="str">
        <f t="shared" ref="AS788" ca="1" si="1050">IFERROR(__xludf.DUMMYFUNCTION("split(F723,"","",true,true)"),"Axa Insurance Morocco")</f>
        <v>Axa Insurance Morocco</v>
      </c>
      <c r="AT788" s="10"/>
      <c r="AU788" s="10"/>
      <c r="AV788" s="10"/>
      <c r="AW788" s="10"/>
      <c r="AX788" s="10"/>
      <c r="AY788" s="10"/>
      <c r="AZ788" s="10"/>
      <c r="BA788" s="10"/>
      <c r="BB788" s="10"/>
      <c r="BC788" s="10"/>
      <c r="BD788" s="10"/>
      <c r="BE788" s="10"/>
      <c r="BF788" s="10"/>
      <c r="BG788" s="10"/>
      <c r="BH788" s="10"/>
      <c r="BI788" s="10"/>
      <c r="BJ788" s="10"/>
      <c r="BK788" s="10"/>
      <c r="BM788" s="10"/>
    </row>
    <row r="789" spans="1:65" ht="12.75">
      <c r="A789" s="18">
        <v>43405</v>
      </c>
      <c r="B789" s="14" t="s">
        <v>130</v>
      </c>
      <c r="C789" s="19" t="s">
        <v>49</v>
      </c>
      <c r="D789" s="22"/>
      <c r="E789" s="14" t="s">
        <v>55</v>
      </c>
      <c r="F789" s="14" t="s">
        <v>665</v>
      </c>
      <c r="G789" s="21" t="s">
        <v>1712</v>
      </c>
      <c r="H789" s="14" t="str">
        <f t="array" ref="H789">IFERROR(INDEX([1]Companies!$G:$G,MATCH(B789,[1]Companies!$A:$A,0)),"")</f>
        <v>Kenya</v>
      </c>
      <c r="I789" s="14" t="str">
        <f t="shared" si="974"/>
        <v>Kenya</v>
      </c>
      <c r="J789" s="14" t="str">
        <f t="array" ref="J789">IFERROR(INDEX([1]Companies!$Y:$Y,MATCH(B789,[1]Companies!$A:$A,0)),"")</f>
        <v>Educational Content, Mobile Learning, E-Learning, Edtech</v>
      </c>
      <c r="K789" s="14" t="str">
        <f t="array" ref="K789">IFERROR(INDEX([1]Companies!$X:$X,MATCH(B789,[1]Companies!$A:$A,0)),"")</f>
        <v>Education</v>
      </c>
      <c r="L789" s="14" t="str">
        <f>VLOOKUP(B789,[1]Companies!$A$1:$C$5243,1,FALSE)</f>
        <v>Eneza Education</v>
      </c>
      <c r="M789" s="15">
        <f t="shared" si="975"/>
        <v>0.9</v>
      </c>
      <c r="N789" s="10" t="str">
        <f t="shared" si="976"/>
        <v>43405Eneza EducationUndisclosed</v>
      </c>
      <c r="O789" s="14" t="str">
        <f t="shared" si="1017"/>
        <v/>
      </c>
      <c r="P789" s="14">
        <f t="shared" si="978"/>
        <v>0</v>
      </c>
      <c r="Q789" s="14">
        <f t="array" ref="Q789">IFERROR(INDEX([1]Companies!$D:$D,MATCH(B789,[1]Companies!$A:$A,0)),"")</f>
        <v>2011</v>
      </c>
      <c r="R789" s="17">
        <f t="shared" si="979"/>
        <v>0</v>
      </c>
      <c r="S789" s="14">
        <f>VLOOKUP(I789,[1]Lookups!$V$3:$Y$197,4,FALSE)</f>
        <v>0</v>
      </c>
      <c r="T789" s="14" t="str">
        <f>VLOOKUP(E789,[1]Lookups!$H$3:$I$71,2,FALSE)</f>
        <v>1. Grant</v>
      </c>
      <c r="U789" s="14" t="str">
        <f>VLOOKUP(K789,[1]Lookups!$B$3:$C$142,2,FALSE)</f>
        <v>Education</v>
      </c>
      <c r="V789" s="14">
        <f t="shared" si="921"/>
        <v>2018</v>
      </c>
      <c r="W789" s="14">
        <f t="shared" si="922"/>
        <v>11</v>
      </c>
      <c r="X789" s="14">
        <f>VLOOKUP(W789,[1]Lookups!$P$3:$S$15,2,FALSE)</f>
        <v>4</v>
      </c>
      <c r="Y789" s="16">
        <f>VLOOKUP(W789,[1]Lookups!$P$3:$U$15,3,FALSE)</f>
        <v>2</v>
      </c>
      <c r="Z789" s="16">
        <f t="shared" si="923"/>
        <v>1</v>
      </c>
      <c r="AA789" s="16" t="str">
        <f t="shared" ca="1" si="1041"/>
        <v>Axa Insurance Morocco</v>
      </c>
      <c r="AB789" s="16">
        <f t="shared" si="1041"/>
        <v>0</v>
      </c>
      <c r="AC789" s="16">
        <f t="shared" si="1041"/>
        <v>0</v>
      </c>
      <c r="AD789" s="16">
        <f t="shared" si="1041"/>
        <v>0</v>
      </c>
      <c r="AE789" s="16">
        <f t="shared" si="1041"/>
        <v>0</v>
      </c>
      <c r="AF789" s="16">
        <f t="shared" si="1041"/>
        <v>0</v>
      </c>
      <c r="AG789" s="16">
        <f t="shared" si="1041"/>
        <v>0</v>
      </c>
      <c r="AH789" s="16">
        <f t="shared" si="1041"/>
        <v>0</v>
      </c>
      <c r="AI789" s="16">
        <f t="shared" si="1041"/>
        <v>0</v>
      </c>
      <c r="AJ789" s="16">
        <f t="shared" si="1041"/>
        <v>0</v>
      </c>
      <c r="AK789" s="16">
        <f t="shared" si="1041"/>
        <v>0</v>
      </c>
      <c r="AL789" s="16">
        <f t="shared" si="1041"/>
        <v>0</v>
      </c>
      <c r="AM789" s="16">
        <f t="shared" si="1041"/>
        <v>0</v>
      </c>
      <c r="AN789" s="16">
        <f t="shared" si="1041"/>
        <v>0</v>
      </c>
      <c r="AO789" s="16">
        <f t="shared" si="1041"/>
        <v>0</v>
      </c>
      <c r="AP789" s="10"/>
      <c r="AQ789" s="10"/>
      <c r="AR789" s="10"/>
      <c r="AS789" s="10" t="str">
        <f t="shared" ref="AS789" ca="1" si="1051">IFERROR(__xludf.DUMMYFUNCTION("split(F723,"","",true,true)"),"Axa Insurance Morocco")</f>
        <v>Axa Insurance Morocco</v>
      </c>
      <c r="AT789" s="10"/>
      <c r="AU789" s="10"/>
      <c r="AV789" s="10"/>
      <c r="AW789" s="10"/>
      <c r="AX789" s="10"/>
      <c r="AY789" s="10"/>
      <c r="AZ789" s="10"/>
      <c r="BA789" s="10"/>
      <c r="BB789" s="10"/>
      <c r="BC789" s="10"/>
      <c r="BD789" s="10"/>
      <c r="BE789" s="10"/>
      <c r="BF789" s="10"/>
      <c r="BG789" s="10"/>
      <c r="BH789" s="10"/>
      <c r="BI789" s="10"/>
      <c r="BJ789" s="10"/>
      <c r="BK789" s="10"/>
      <c r="BM789" s="10"/>
    </row>
    <row r="790" spans="1:65" ht="12.75">
      <c r="A790" s="18">
        <v>43405</v>
      </c>
      <c r="B790" s="14" t="s">
        <v>1713</v>
      </c>
      <c r="C790" s="19" t="s">
        <v>49</v>
      </c>
      <c r="D790" s="22"/>
      <c r="E790" s="14" t="s">
        <v>55</v>
      </c>
      <c r="F790" s="14" t="s">
        <v>665</v>
      </c>
      <c r="G790" s="21" t="s">
        <v>1714</v>
      </c>
      <c r="H790" s="14" t="str">
        <f t="array" ref="H790">IFERROR(INDEX([1]Companies!$G:$G,MATCH(B790,[1]Companies!$A:$A,0)),"")</f>
        <v>Cameroon</v>
      </c>
      <c r="I790" s="14" t="str">
        <f t="shared" si="974"/>
        <v>Cameroon</v>
      </c>
      <c r="J790" s="14" t="str">
        <f t="array" ref="J790">IFERROR(INDEX([1]Companies!$Y:$Y,MATCH(B790,[1]Companies!$A:$A,0)),"")</f>
        <v>Communities, Health Care, Information Services, Information Technology</v>
      </c>
      <c r="K790" s="14" t="str">
        <f t="array" ref="K790">IFERROR(INDEX([1]Companies!$X:$X,MATCH(B790,[1]Companies!$A:$A,0)),"")</f>
        <v>Healthcare &amp; Pharma</v>
      </c>
      <c r="L790" s="14" t="str">
        <f>VLOOKUP(B790,[1]Companies!$A$1:$C$5243,1,FALSE)</f>
        <v>GiftedMom</v>
      </c>
      <c r="M790" s="15">
        <f t="shared" si="975"/>
        <v>0.9</v>
      </c>
      <c r="N790" s="10" t="str">
        <f t="shared" si="976"/>
        <v>43405GiftedMomUndisclosed</v>
      </c>
      <c r="O790" s="14" t="str">
        <f t="shared" si="1017"/>
        <v/>
      </c>
      <c r="P790" s="14">
        <f t="shared" si="978"/>
        <v>0</v>
      </c>
      <c r="Q790" s="14">
        <f t="array" ref="Q790">IFERROR(INDEX([1]Companies!$D:$D,MATCH(B790,[1]Companies!$A:$A,0)),"")</f>
        <v>2013</v>
      </c>
      <c r="R790" s="17">
        <f t="shared" si="979"/>
        <v>0</v>
      </c>
      <c r="S790" s="14">
        <f>VLOOKUP(I790,[1]Lookups!$V$3:$Y$197,4,FALSE)</f>
        <v>0</v>
      </c>
      <c r="T790" s="14" t="str">
        <f>VLOOKUP(E790,[1]Lookups!$H$3:$I$71,2,FALSE)</f>
        <v>1. Grant</v>
      </c>
      <c r="U790" s="14" t="str">
        <f>VLOOKUP(K790,[1]Lookups!$B$3:$C$142,2,FALSE)</f>
        <v>Health &amp; Pharmaceuticals</v>
      </c>
      <c r="V790" s="14">
        <f t="shared" si="921"/>
        <v>2018</v>
      </c>
      <c r="W790" s="14">
        <f t="shared" si="922"/>
        <v>11</v>
      </c>
      <c r="X790" s="14">
        <f>VLOOKUP(W790,[1]Lookups!$P$3:$S$15,2,FALSE)</f>
        <v>4</v>
      </c>
      <c r="Y790" s="16">
        <f>VLOOKUP(W790,[1]Lookups!$P$3:$U$15,3,FALSE)</f>
        <v>2</v>
      </c>
      <c r="Z790" s="16">
        <f t="shared" si="923"/>
        <v>1</v>
      </c>
      <c r="AA790" s="16" t="str">
        <f t="shared" ca="1" si="1041"/>
        <v>Axa Insurance Morocco</v>
      </c>
      <c r="AB790" s="16">
        <f t="shared" si="1041"/>
        <v>0</v>
      </c>
      <c r="AC790" s="16">
        <f t="shared" si="1041"/>
        <v>0</v>
      </c>
      <c r="AD790" s="16">
        <f t="shared" si="1041"/>
        <v>0</v>
      </c>
      <c r="AE790" s="16">
        <f t="shared" si="1041"/>
        <v>0</v>
      </c>
      <c r="AF790" s="16">
        <f t="shared" si="1041"/>
        <v>0</v>
      </c>
      <c r="AG790" s="16">
        <f t="shared" si="1041"/>
        <v>0</v>
      </c>
      <c r="AH790" s="16">
        <f t="shared" si="1041"/>
        <v>0</v>
      </c>
      <c r="AI790" s="16">
        <f t="shared" si="1041"/>
        <v>0</v>
      </c>
      <c r="AJ790" s="16">
        <f t="shared" si="1041"/>
        <v>0</v>
      </c>
      <c r="AK790" s="16">
        <f t="shared" si="1041"/>
        <v>0</v>
      </c>
      <c r="AL790" s="16">
        <f t="shared" si="1041"/>
        <v>0</v>
      </c>
      <c r="AM790" s="16">
        <f t="shared" si="1041"/>
        <v>0</v>
      </c>
      <c r="AN790" s="16">
        <f t="shared" si="1041"/>
        <v>0</v>
      </c>
      <c r="AO790" s="16">
        <f t="shared" si="1041"/>
        <v>0</v>
      </c>
      <c r="AP790" s="10"/>
      <c r="AQ790" s="10"/>
      <c r="AR790" s="10"/>
      <c r="AS790" s="10" t="str">
        <f t="shared" ref="AS790" ca="1" si="1052">IFERROR(__xludf.DUMMYFUNCTION("split(F723,"","",true,true)"),"Axa Insurance Morocco")</f>
        <v>Axa Insurance Morocco</v>
      </c>
      <c r="AT790" s="10"/>
      <c r="AU790" s="10"/>
      <c r="AV790" s="10"/>
      <c r="AW790" s="10"/>
      <c r="AX790" s="10"/>
      <c r="AY790" s="10"/>
      <c r="AZ790" s="10"/>
      <c r="BA790" s="10"/>
      <c r="BB790" s="10"/>
      <c r="BC790" s="10"/>
      <c r="BD790" s="10"/>
      <c r="BE790" s="10"/>
      <c r="BF790" s="10"/>
      <c r="BG790" s="10"/>
      <c r="BH790" s="10"/>
      <c r="BI790" s="10"/>
      <c r="BJ790" s="10"/>
      <c r="BK790" s="10"/>
      <c r="BM790" s="10"/>
    </row>
    <row r="791" spans="1:65" ht="12.75">
      <c r="A791" s="18">
        <v>43405</v>
      </c>
      <c r="B791" s="14" t="s">
        <v>1715</v>
      </c>
      <c r="C791" s="19" t="s">
        <v>49</v>
      </c>
      <c r="D791" s="22"/>
      <c r="E791" s="14" t="s">
        <v>55</v>
      </c>
      <c r="F791" s="14" t="s">
        <v>665</v>
      </c>
      <c r="G791" s="21" t="s">
        <v>1716</v>
      </c>
      <c r="H791" s="14" t="str">
        <f t="array" ref="H791">IFERROR(INDEX([1]Companies!$G:$G,MATCH(B791,[1]Companies!$A:$A,0)),"")</f>
        <v>Benin</v>
      </c>
      <c r="I791" s="14" t="str">
        <f t="shared" si="974"/>
        <v>Benin</v>
      </c>
      <c r="J791" s="14" t="str">
        <f t="array" ref="J791">IFERROR(INDEX([1]Companies!$Y:$Y,MATCH(B791,[1]Companies!$A:$A,0)),"")</f>
        <v>Health Care, Medical</v>
      </c>
      <c r="K791" s="14" t="str">
        <f t="array" ref="K791">IFERROR(INDEX([1]Companies!$X:$X,MATCH(B791,[1]Companies!$A:$A,0)),"")</f>
        <v>Healthcare &amp; Pharma</v>
      </c>
      <c r="L791" s="14" t="str">
        <f>VLOOKUP(B791,[1]Companies!$A$1:$C$5243,1,FALSE)</f>
        <v>KEA Medicals</v>
      </c>
      <c r="M791" s="15">
        <f t="shared" si="975"/>
        <v>0.9</v>
      </c>
      <c r="N791" s="10" t="str">
        <f t="shared" si="976"/>
        <v>43405KEA MedicalsUndisclosed</v>
      </c>
      <c r="O791" s="14" t="str">
        <f t="shared" si="1017"/>
        <v/>
      </c>
      <c r="P791" s="14">
        <f t="shared" si="978"/>
        <v>0</v>
      </c>
      <c r="Q791" s="14">
        <f t="array" ref="Q791">IFERROR(INDEX([1]Companies!$D:$D,MATCH(B791,[1]Companies!$A:$A,0)),"")</f>
        <v>2016</v>
      </c>
      <c r="R791" s="17">
        <f t="shared" si="979"/>
        <v>0</v>
      </c>
      <c r="S791" s="14">
        <f>VLOOKUP(I791,[1]Lookups!$V$3:$Y$197,4,FALSE)</f>
        <v>0</v>
      </c>
      <c r="T791" s="14" t="str">
        <f>VLOOKUP(E791,[1]Lookups!$H$3:$I$71,2,FALSE)</f>
        <v>1. Grant</v>
      </c>
      <c r="U791" s="14" t="str">
        <f>VLOOKUP(K791,[1]Lookups!$B$3:$C$142,2,FALSE)</f>
        <v>Health &amp; Pharmaceuticals</v>
      </c>
      <c r="V791" s="14">
        <f t="shared" si="921"/>
        <v>2018</v>
      </c>
      <c r="W791" s="14">
        <f t="shared" si="922"/>
        <v>11</v>
      </c>
      <c r="X791" s="14">
        <f>VLOOKUP(W791,[1]Lookups!$P$3:$S$15,2,FALSE)</f>
        <v>4</v>
      </c>
      <c r="Y791" s="16">
        <f>VLOOKUP(W791,[1]Lookups!$P$3:$U$15,3,FALSE)</f>
        <v>2</v>
      </c>
      <c r="Z791" s="16">
        <f t="shared" si="923"/>
        <v>1</v>
      </c>
      <c r="AA791" s="16" t="str">
        <f t="shared" ca="1" si="1041"/>
        <v>Axa Insurance Morocco</v>
      </c>
      <c r="AB791" s="16">
        <f t="shared" si="1041"/>
        <v>0</v>
      </c>
      <c r="AC791" s="16">
        <f t="shared" si="1041"/>
        <v>0</v>
      </c>
      <c r="AD791" s="16">
        <f t="shared" si="1041"/>
        <v>0</v>
      </c>
      <c r="AE791" s="16">
        <f t="shared" si="1041"/>
        <v>0</v>
      </c>
      <c r="AF791" s="16">
        <f t="shared" si="1041"/>
        <v>0</v>
      </c>
      <c r="AG791" s="16">
        <f t="shared" si="1041"/>
        <v>0</v>
      </c>
      <c r="AH791" s="16">
        <f t="shared" si="1041"/>
        <v>0</v>
      </c>
      <c r="AI791" s="16">
        <f t="shared" si="1041"/>
        <v>0</v>
      </c>
      <c r="AJ791" s="16">
        <f t="shared" si="1041"/>
        <v>0</v>
      </c>
      <c r="AK791" s="16">
        <f t="shared" si="1041"/>
        <v>0</v>
      </c>
      <c r="AL791" s="16">
        <f t="shared" si="1041"/>
        <v>0</v>
      </c>
      <c r="AM791" s="16">
        <f t="shared" si="1041"/>
        <v>0</v>
      </c>
      <c r="AN791" s="16">
        <f t="shared" si="1041"/>
        <v>0</v>
      </c>
      <c r="AO791" s="16">
        <f t="shared" si="1041"/>
        <v>0</v>
      </c>
      <c r="AP791" s="10"/>
      <c r="AQ791" s="10"/>
      <c r="AR791" s="10"/>
      <c r="AS791" s="10" t="str">
        <f t="shared" ref="AS791" ca="1" si="1053">IFERROR(__xludf.DUMMYFUNCTION("split(F723,"","",true,true)"),"Axa Insurance Morocco")</f>
        <v>Axa Insurance Morocco</v>
      </c>
      <c r="AT791" s="10"/>
      <c r="AU791" s="10"/>
      <c r="AV791" s="10"/>
      <c r="AW791" s="10"/>
      <c r="AX791" s="10"/>
      <c r="AY791" s="10"/>
      <c r="AZ791" s="10"/>
      <c r="BA791" s="10"/>
      <c r="BB791" s="10"/>
      <c r="BC791" s="10"/>
      <c r="BD791" s="10"/>
      <c r="BE791" s="10"/>
      <c r="BF791" s="10"/>
      <c r="BG791" s="10"/>
      <c r="BH791" s="10"/>
      <c r="BI791" s="10"/>
      <c r="BJ791" s="10"/>
      <c r="BK791" s="10"/>
      <c r="BM791" s="10"/>
    </row>
    <row r="792" spans="1:65" ht="12.75">
      <c r="A792" s="9">
        <v>43405</v>
      </c>
      <c r="B792" s="10" t="s">
        <v>1717</v>
      </c>
      <c r="C792" s="11" t="s">
        <v>49</v>
      </c>
      <c r="D792" s="12"/>
      <c r="E792" s="14" t="s">
        <v>234</v>
      </c>
      <c r="F792" s="10" t="s">
        <v>49</v>
      </c>
      <c r="G792" s="13" t="s">
        <v>1718</v>
      </c>
      <c r="H792" s="14" t="str">
        <f t="array" ref="H792">IFERROR(INDEX([1]Companies!$G:$G,MATCH(B792,[1]Companies!$A:$A,0)),"")</f>
        <v>Rwanda</v>
      </c>
      <c r="I792" s="14" t="str">
        <f t="shared" si="974"/>
        <v>Rwanda</v>
      </c>
      <c r="J792" s="14" t="str">
        <f t="array" ref="J792">IFERROR(INDEX([1]Companies!$Y:$Y,MATCH(B792,[1]Companies!$A:$A,0)),"")</f>
        <v>Construction, E-Commerce, Logistics, Marketplace, Software, Machinery</v>
      </c>
      <c r="K792" s="14" t="str">
        <f t="array" ref="K792">IFERROR(INDEX([1]Companies!$X:$X,MATCH(B792,[1]Companies!$A:$A,0)),"")</f>
        <v>E-Commerce &amp; Retail</v>
      </c>
      <c r="L792" s="14" t="str">
        <f>VLOOKUP(B792,[1]Companies!$A$1:$C$5243,1,FALSE)</f>
        <v>quip.link</v>
      </c>
      <c r="M792" s="15">
        <f t="shared" si="975"/>
        <v>0.9</v>
      </c>
      <c r="N792" s="10" t="str">
        <f t="shared" si="976"/>
        <v>43405quip.linkUndisclosed</v>
      </c>
      <c r="O792" s="14" t="str">
        <f t="shared" si="1017"/>
        <v/>
      </c>
      <c r="P792" s="14">
        <f t="shared" si="978"/>
        <v>0</v>
      </c>
      <c r="Q792" s="14">
        <f t="array" ref="Q792">IFERROR(INDEX([1]Companies!$D:$D,MATCH(B792,[1]Companies!$A:$A,0)),"")</f>
        <v>2018</v>
      </c>
      <c r="R792" s="17">
        <f t="shared" si="979"/>
        <v>0</v>
      </c>
      <c r="S792" s="14">
        <f>VLOOKUP(I792,[1]Lookups!$V$3:$Y$197,4,FALSE)</f>
        <v>0</v>
      </c>
      <c r="T792" s="14" t="str">
        <f>VLOOKUP(E792,[1]Lookups!$H$3:$I$71,2,FALSE)</f>
        <v>2. Seed</v>
      </c>
      <c r="U792" s="14" t="str">
        <f>VLOOKUP(K792,[1]Lookups!$B$3:$C$142,2,FALSE)</f>
        <v>E-commerce &amp; Retail</v>
      </c>
      <c r="V792" s="14">
        <f t="shared" si="921"/>
        <v>2018</v>
      </c>
      <c r="W792" s="14">
        <f t="shared" si="922"/>
        <v>11</v>
      </c>
      <c r="X792" s="14">
        <f>VLOOKUP(W792,[1]Lookups!$P$3:$S$15,2,FALSE)</f>
        <v>4</v>
      </c>
      <c r="Y792" s="16">
        <f>VLOOKUP(W792,[1]Lookups!$P$3:$U$15,3,FALSE)</f>
        <v>2</v>
      </c>
      <c r="Z792" s="16">
        <f t="shared" si="923"/>
        <v>1</v>
      </c>
      <c r="AA792" s="16" t="str">
        <f t="shared" ca="1" si="1041"/>
        <v>Axa Insurance Morocco</v>
      </c>
      <c r="AB792" s="16">
        <f t="shared" si="1041"/>
        <v>0</v>
      </c>
      <c r="AC792" s="16">
        <f t="shared" si="1041"/>
        <v>0</v>
      </c>
      <c r="AD792" s="16">
        <f t="shared" si="1041"/>
        <v>0</v>
      </c>
      <c r="AE792" s="16">
        <f t="shared" si="1041"/>
        <v>0</v>
      </c>
      <c r="AF792" s="16">
        <f t="shared" si="1041"/>
        <v>0</v>
      </c>
      <c r="AG792" s="16">
        <f t="shared" si="1041"/>
        <v>0</v>
      </c>
      <c r="AH792" s="16">
        <f t="shared" si="1041"/>
        <v>0</v>
      </c>
      <c r="AI792" s="16">
        <f t="shared" si="1041"/>
        <v>0</v>
      </c>
      <c r="AJ792" s="16">
        <f t="shared" si="1041"/>
        <v>0</v>
      </c>
      <c r="AK792" s="16">
        <f t="shared" si="1041"/>
        <v>0</v>
      </c>
      <c r="AL792" s="16">
        <f t="shared" si="1041"/>
        <v>0</v>
      </c>
      <c r="AM792" s="16">
        <f t="shared" si="1041"/>
        <v>0</v>
      </c>
      <c r="AN792" s="16">
        <f t="shared" si="1041"/>
        <v>0</v>
      </c>
      <c r="AO792" s="16">
        <f t="shared" si="1041"/>
        <v>0</v>
      </c>
      <c r="AP792" s="10"/>
      <c r="AQ792" s="10"/>
      <c r="AR792" s="10"/>
      <c r="AS792" s="10" t="str">
        <f t="shared" ref="AS792" ca="1" si="1054">IFERROR(__xludf.DUMMYFUNCTION("split(F723,"","",true,true)"),"Axa Insurance Morocco")</f>
        <v>Axa Insurance Morocco</v>
      </c>
      <c r="AT792" s="10"/>
      <c r="AU792" s="10"/>
      <c r="AV792" s="10"/>
      <c r="AW792" s="10"/>
      <c r="AX792" s="10"/>
      <c r="AY792" s="10"/>
      <c r="AZ792" s="10"/>
      <c r="BA792" s="10"/>
      <c r="BB792" s="10"/>
      <c r="BC792" s="10"/>
      <c r="BD792" s="10"/>
      <c r="BE792" s="10"/>
      <c r="BF792" s="10"/>
      <c r="BG792" s="10"/>
      <c r="BH792" s="10"/>
      <c r="BI792" s="10"/>
      <c r="BJ792" s="10"/>
      <c r="BK792" s="10"/>
      <c r="BM792" s="10"/>
    </row>
    <row r="793" spans="1:65" ht="12.75">
      <c r="A793" s="9">
        <v>43405</v>
      </c>
      <c r="B793" s="10" t="s">
        <v>1719</v>
      </c>
      <c r="C793" s="11">
        <v>4300000</v>
      </c>
      <c r="D793" s="12"/>
      <c r="E793" s="10" t="s">
        <v>45</v>
      </c>
      <c r="F793" s="10" t="s">
        <v>1720</v>
      </c>
      <c r="G793" s="13" t="s">
        <v>1721</v>
      </c>
      <c r="H793" s="14" t="str">
        <f t="array" ref="H793">IFERROR(INDEX([1]Companies!$G:$G,MATCH(B793,[1]Companies!$A:$A,0)),"")</f>
        <v>South Africa</v>
      </c>
      <c r="I793" s="14" t="str">
        <f t="shared" si="974"/>
        <v>South Africa</v>
      </c>
      <c r="J793" s="14" t="str">
        <f t="array" ref="J793">IFERROR(INDEX([1]Companies!$Y:$Y,MATCH(B793,[1]Companies!$A:$A,0)),"")</f>
        <v>Cryptocurrency, Financial Exchanges, Financial Services, Mobile Payments, Personal Finance, Stock Exchanges, Trading Platform</v>
      </c>
      <c r="K793" s="14" t="str">
        <f t="array" ref="K793">IFERROR(INDEX([1]Companies!$X:$X,MATCH(B793,[1]Companies!$A:$A,0)),"")</f>
        <v>Financial Services</v>
      </c>
      <c r="L793" s="14" t="str">
        <f>VLOOKUP(B793,[1]Companies!$A$1:$C$5243,1,FALSE)</f>
        <v>SOL Wallet</v>
      </c>
      <c r="M793" s="15">
        <f t="shared" si="975"/>
        <v>0.9</v>
      </c>
      <c r="N793" s="10" t="str">
        <f t="shared" si="976"/>
        <v>43405SOL Wallet4300000</v>
      </c>
      <c r="O793" s="14" t="str">
        <f t="shared" si="1017"/>
        <v/>
      </c>
      <c r="P793" s="14">
        <f t="shared" si="978"/>
        <v>1</v>
      </c>
      <c r="Q793" s="14">
        <f t="array" ref="Q793">IFERROR(INDEX([1]Companies!$D:$D,MATCH(B793,[1]Companies!$A:$A,0)),"")</f>
        <v>2017</v>
      </c>
      <c r="R793" s="17">
        <f t="shared" si="979"/>
        <v>4300000</v>
      </c>
      <c r="S793" s="14">
        <f>VLOOKUP(I793,[1]Lookups!$V$3:$Y$197,4,FALSE)</f>
        <v>0</v>
      </c>
      <c r="T793" s="14" t="str">
        <f>VLOOKUP(E793,[1]Lookups!$H$3:$I$71,2,FALSE)</f>
        <v>2. Seed</v>
      </c>
      <c r="U793" s="14" t="str">
        <f>VLOOKUP(K793,[1]Lookups!$B$3:$C$142,2,FALSE)</f>
        <v>Financial Services</v>
      </c>
      <c r="V793" s="14">
        <f t="shared" si="921"/>
        <v>2018</v>
      </c>
      <c r="W793" s="14">
        <f t="shared" si="922"/>
        <v>11</v>
      </c>
      <c r="X793" s="14">
        <f>VLOOKUP(W793,[1]Lookups!$P$3:$S$15,2,FALSE)</f>
        <v>4</v>
      </c>
      <c r="Y793" s="16">
        <f>VLOOKUP(W793,[1]Lookups!$P$3:$U$15,3,FALSE)</f>
        <v>2</v>
      </c>
      <c r="Z793" s="16">
        <f t="shared" si="923"/>
        <v>1</v>
      </c>
      <c r="AA793" s="16" t="str">
        <f t="shared" ca="1" si="1041"/>
        <v>Axa Insurance Morocco</v>
      </c>
      <c r="AB793" s="16">
        <f t="shared" si="1041"/>
        <v>0</v>
      </c>
      <c r="AC793" s="16">
        <f t="shared" si="1041"/>
        <v>0</v>
      </c>
      <c r="AD793" s="16">
        <f t="shared" si="1041"/>
        <v>0</v>
      </c>
      <c r="AE793" s="16">
        <f t="shared" si="1041"/>
        <v>0</v>
      </c>
      <c r="AF793" s="16">
        <f t="shared" si="1041"/>
        <v>0</v>
      </c>
      <c r="AG793" s="16">
        <f t="shared" si="1041"/>
        <v>0</v>
      </c>
      <c r="AH793" s="16">
        <f t="shared" si="1041"/>
        <v>0</v>
      </c>
      <c r="AI793" s="16">
        <f t="shared" si="1041"/>
        <v>0</v>
      </c>
      <c r="AJ793" s="16">
        <f t="shared" si="1041"/>
        <v>0</v>
      </c>
      <c r="AK793" s="16">
        <f t="shared" si="1041"/>
        <v>0</v>
      </c>
      <c r="AL793" s="16">
        <f t="shared" si="1041"/>
        <v>0</v>
      </c>
      <c r="AM793" s="16">
        <f t="shared" si="1041"/>
        <v>0</v>
      </c>
      <c r="AN793" s="16">
        <f t="shared" si="1041"/>
        <v>0</v>
      </c>
      <c r="AO793" s="16">
        <f t="shared" si="1041"/>
        <v>0</v>
      </c>
      <c r="AP793" s="10"/>
      <c r="AQ793" s="10"/>
      <c r="AR793" s="10"/>
      <c r="AS793" s="10" t="str">
        <f t="shared" ref="AS793" ca="1" si="1055">IFERROR(__xludf.DUMMYFUNCTION("split(F723,"","",true,true)"),"Axa Insurance Morocco")</f>
        <v>Axa Insurance Morocco</v>
      </c>
      <c r="AT793" s="10"/>
      <c r="AU793" s="10"/>
      <c r="AV793" s="10"/>
      <c r="AW793" s="10"/>
      <c r="AX793" s="10"/>
      <c r="AY793" s="10"/>
      <c r="AZ793" s="10"/>
      <c r="BA793" s="10"/>
      <c r="BB793" s="10"/>
      <c r="BC793" s="10"/>
      <c r="BD793" s="10"/>
      <c r="BE793" s="10"/>
      <c r="BF793" s="10"/>
      <c r="BG793" s="10"/>
      <c r="BH793" s="10"/>
      <c r="BI793" s="10"/>
      <c r="BJ793" s="10"/>
      <c r="BK793" s="10"/>
      <c r="BM793" s="10"/>
    </row>
    <row r="794" spans="1:65" ht="12.75">
      <c r="A794" s="18">
        <v>43405</v>
      </c>
      <c r="B794" s="14" t="s">
        <v>464</v>
      </c>
      <c r="C794" s="19">
        <v>1500000</v>
      </c>
      <c r="D794" s="19"/>
      <c r="E794" s="10" t="s">
        <v>91</v>
      </c>
      <c r="F794" s="14" t="s">
        <v>1722</v>
      </c>
      <c r="G794" s="27" t="s">
        <v>1723</v>
      </c>
      <c r="H794" s="14" t="str">
        <f t="array" ref="H794">IFERROR(INDEX([1]Companies!$G:$G,MATCH(B794,[1]Companies!$A:$A,0)),"")</f>
        <v>Ghana</v>
      </c>
      <c r="I794" s="14" t="str">
        <f t="shared" si="974"/>
        <v>Ghana</v>
      </c>
      <c r="J794" s="14" t="str">
        <f t="array" ref="J794">IFERROR(INDEX([1]Companies!$Y:$Y,MATCH(B794,[1]Companies!$A:$A,0)),"")</f>
        <v>Asset Financing, Pay As You Go Solar, and Solar Energy</v>
      </c>
      <c r="K794" s="14" t="str">
        <f t="array" ref="K794">IFERROR(INDEX([1]Companies!$X:$X,MATCH(B794,[1]Companies!$A:$A,0)),"")</f>
        <v>Energy &amp; Environment Resources</v>
      </c>
      <c r="L794" s="14" t="str">
        <f>VLOOKUP(B794,[1]Companies!$A$1:$C$5243,1,FALSE)</f>
        <v>PEG Africa</v>
      </c>
      <c r="M794" s="15">
        <f t="shared" si="975"/>
        <v>0.9</v>
      </c>
      <c r="N794" s="10" t="str">
        <f t="shared" si="976"/>
        <v>43405PEG Africa1500000</v>
      </c>
      <c r="O794" s="14" t="str">
        <f t="shared" si="1017"/>
        <v/>
      </c>
      <c r="P794" s="14">
        <f t="shared" si="978"/>
        <v>1</v>
      </c>
      <c r="Q794" s="14">
        <f t="array" ref="Q794">IFERROR(INDEX([1]Companies!$D:$D,MATCH(B794,[1]Companies!$A:$A,0)),"")</f>
        <v>2013</v>
      </c>
      <c r="R794" s="17">
        <f t="shared" si="979"/>
        <v>52500000</v>
      </c>
      <c r="S794" s="14">
        <f>VLOOKUP(I794,[1]Lookups!$V$3:$Y$197,4,FALSE)</f>
        <v>0</v>
      </c>
      <c r="T794" s="14" t="str">
        <f>VLOOKUP(E794,[1]Lookups!$H$3:$I$71,2,FALSE)</f>
        <v>5. Debt Financing</v>
      </c>
      <c r="U794" s="14" t="e">
        <f>VLOOKUP(K794,[1]Lookups!$B$3:$C$142,2,FALSE)</f>
        <v>#N/A</v>
      </c>
      <c r="V794" s="14">
        <f t="shared" si="921"/>
        <v>2018</v>
      </c>
      <c r="W794" s="14">
        <f t="shared" si="922"/>
        <v>11</v>
      </c>
      <c r="X794" s="14">
        <f>VLOOKUP(W794,[1]Lookups!$P$3:$S$15,2,FALSE)</f>
        <v>4</v>
      </c>
      <c r="Y794" s="16">
        <f>VLOOKUP(W794,[1]Lookups!$P$3:$U$15,3,FALSE)</f>
        <v>2</v>
      </c>
      <c r="Z794" s="16">
        <f t="shared" si="923"/>
        <v>2</v>
      </c>
      <c r="AA794" s="16" t="str">
        <f t="shared" ca="1" si="1041"/>
        <v>Axa Insurance Morocco</v>
      </c>
      <c r="AB794" s="16" t="str">
        <f t="shared" ca="1" si="1041"/>
        <v xml:space="preserve"> Oikocredit International</v>
      </c>
      <c r="AC794" s="16">
        <f t="shared" si="1041"/>
        <v>0</v>
      </c>
      <c r="AD794" s="16">
        <f t="shared" si="1041"/>
        <v>0</v>
      </c>
      <c r="AE794" s="16">
        <f t="shared" si="1041"/>
        <v>0</v>
      </c>
      <c r="AF794" s="16">
        <f t="shared" si="1041"/>
        <v>0</v>
      </c>
      <c r="AG794" s="16">
        <f t="shared" si="1041"/>
        <v>0</v>
      </c>
      <c r="AH794" s="16">
        <f t="shared" si="1041"/>
        <v>0</v>
      </c>
      <c r="AI794" s="16">
        <f t="shared" si="1041"/>
        <v>0</v>
      </c>
      <c r="AJ794" s="16">
        <f t="shared" si="1041"/>
        <v>0</v>
      </c>
      <c r="AK794" s="16">
        <f t="shared" si="1041"/>
        <v>0</v>
      </c>
      <c r="AL794" s="16">
        <f t="shared" si="1041"/>
        <v>0</v>
      </c>
      <c r="AM794" s="16">
        <f t="shared" si="1041"/>
        <v>0</v>
      </c>
      <c r="AN794" s="16">
        <f t="shared" si="1041"/>
        <v>0</v>
      </c>
      <c r="AO794" s="16">
        <f t="shared" si="1041"/>
        <v>0</v>
      </c>
      <c r="AP794" s="10"/>
      <c r="AQ794" s="10"/>
      <c r="AR794" s="10"/>
      <c r="AS794" s="10" t="str">
        <f t="shared" ref="AS794" ca="1" si="1056">IFERROR(__xludf.DUMMYFUNCTION("split(F723,"","",true,true)"),"Axa Insurance Morocco")</f>
        <v>Axa Insurance Morocco</v>
      </c>
      <c r="AT794" s="10" t="str">
        <f ca="1">IFERROR(__xludf.DUMMYFUNCTION("""COMPUTED_VALUE""")," Oikocredit International")</f>
        <v xml:space="preserve"> Oikocredit International</v>
      </c>
      <c r="AU794" s="10"/>
      <c r="AV794" s="10"/>
      <c r="AW794" s="10"/>
      <c r="AX794" s="10"/>
      <c r="AY794" s="10"/>
      <c r="AZ794" s="10"/>
      <c r="BA794" s="10"/>
      <c r="BB794" s="10"/>
      <c r="BC794" s="10"/>
      <c r="BD794" s="10"/>
      <c r="BE794" s="10"/>
      <c r="BF794" s="10"/>
      <c r="BG794" s="10"/>
      <c r="BH794" s="10"/>
      <c r="BI794" s="10"/>
      <c r="BJ794" s="10"/>
      <c r="BK794" s="10"/>
      <c r="BM794" s="10"/>
    </row>
    <row r="795" spans="1:65" ht="12.75">
      <c r="A795" s="9">
        <v>43405</v>
      </c>
      <c r="B795" s="10" t="s">
        <v>617</v>
      </c>
      <c r="C795" s="11">
        <v>168000</v>
      </c>
      <c r="D795" s="12"/>
      <c r="E795" s="10" t="s">
        <v>45</v>
      </c>
      <c r="F795" s="10" t="s">
        <v>618</v>
      </c>
      <c r="G795" s="13" t="s">
        <v>1724</v>
      </c>
      <c r="H795" s="14" t="str">
        <f t="array" ref="H795">IFERROR(INDEX([1]Companies!$G:$G,MATCH(B795,[1]Companies!$A:$A,0)),"")</f>
        <v>Ivory Coast</v>
      </c>
      <c r="I795" s="14" t="str">
        <f t="shared" si="974"/>
        <v>Ivory Coast</v>
      </c>
      <c r="J795" s="14" t="str">
        <f t="array" ref="J795">IFERROR(INDEX([1]Companies!$Y:$Y,MATCH(B795,[1]Companies!$A:$A,0)),"")</f>
        <v>Art, E-Commerce, Fashion, Handmade</v>
      </c>
      <c r="K795" s="14" t="str">
        <f t="array" ref="K795">IFERROR(INDEX([1]Companies!$X:$X,MATCH(B795,[1]Companies!$A:$A,0)),"")</f>
        <v>E-Commerce &amp; Retail</v>
      </c>
      <c r="L795" s="14" t="str">
        <f>VLOOKUP(B795,[1]Companies!$A$1:$C$5243,1,FALSE)</f>
        <v>Afrikrea</v>
      </c>
      <c r="M795" s="15">
        <f t="shared" si="975"/>
        <v>0.9</v>
      </c>
      <c r="N795" s="10" t="str">
        <f t="shared" si="976"/>
        <v>43405Afrikrea168000</v>
      </c>
      <c r="O795" s="14" t="str">
        <f t="shared" si="1017"/>
        <v/>
      </c>
      <c r="P795" s="14">
        <f t="shared" si="978"/>
        <v>1</v>
      </c>
      <c r="Q795" s="14">
        <f t="array" ref="Q795">IFERROR(INDEX([1]Companies!$D:$D,MATCH(B795,[1]Companies!$A:$A,0)),"")</f>
        <v>2012</v>
      </c>
      <c r="R795" s="17">
        <f t="shared" si="979"/>
        <v>1069000</v>
      </c>
      <c r="S795" s="14">
        <f>VLOOKUP(I795,[1]Lookups!$V$3:$Y$197,4,FALSE)</f>
        <v>0</v>
      </c>
      <c r="T795" s="14" t="str">
        <f>VLOOKUP(E795,[1]Lookups!$H$3:$I$71,2,FALSE)</f>
        <v>2. Seed</v>
      </c>
      <c r="U795" s="14" t="str">
        <f>VLOOKUP(K795,[1]Lookups!$B$3:$C$142,2,FALSE)</f>
        <v>E-commerce &amp; Retail</v>
      </c>
      <c r="V795" s="14">
        <f t="shared" si="921"/>
        <v>2018</v>
      </c>
      <c r="W795" s="14">
        <f t="shared" si="922"/>
        <v>11</v>
      </c>
      <c r="X795" s="14">
        <f>VLOOKUP(W795,[1]Lookups!$P$3:$S$15,2,FALSE)</f>
        <v>4</v>
      </c>
      <c r="Y795" s="16">
        <f>VLOOKUP(W795,[1]Lookups!$P$3:$U$15,3,FALSE)</f>
        <v>2</v>
      </c>
      <c r="Z795" s="16">
        <f t="shared" si="923"/>
        <v>1</v>
      </c>
      <c r="AA795" s="16" t="str">
        <f t="shared" ca="1" si="1041"/>
        <v>Axa Insurance Morocco</v>
      </c>
      <c r="AB795" s="16">
        <f t="shared" si="1041"/>
        <v>0</v>
      </c>
      <c r="AC795" s="16">
        <f t="shared" si="1041"/>
        <v>0</v>
      </c>
      <c r="AD795" s="16">
        <f t="shared" si="1041"/>
        <v>0</v>
      </c>
      <c r="AE795" s="16">
        <f t="shared" si="1041"/>
        <v>0</v>
      </c>
      <c r="AF795" s="16">
        <f t="shared" si="1041"/>
        <v>0</v>
      </c>
      <c r="AG795" s="16">
        <f t="shared" si="1041"/>
        <v>0</v>
      </c>
      <c r="AH795" s="16">
        <f t="shared" si="1041"/>
        <v>0</v>
      </c>
      <c r="AI795" s="16">
        <f t="shared" si="1041"/>
        <v>0</v>
      </c>
      <c r="AJ795" s="16">
        <f t="shared" si="1041"/>
        <v>0</v>
      </c>
      <c r="AK795" s="16">
        <f t="shared" si="1041"/>
        <v>0</v>
      </c>
      <c r="AL795" s="16">
        <f t="shared" si="1041"/>
        <v>0</v>
      </c>
      <c r="AM795" s="16">
        <f t="shared" si="1041"/>
        <v>0</v>
      </c>
      <c r="AN795" s="16">
        <f t="shared" si="1041"/>
        <v>0</v>
      </c>
      <c r="AO795" s="16">
        <f t="shared" si="1041"/>
        <v>0</v>
      </c>
      <c r="AP795" s="10"/>
      <c r="AQ795" s="10"/>
      <c r="AR795" s="10"/>
      <c r="AS795" s="10" t="str">
        <f t="shared" ref="AS795" ca="1" si="1057">IFERROR(__xludf.DUMMYFUNCTION("split(F723,"","",true,true)"),"Axa Insurance Morocco")</f>
        <v>Axa Insurance Morocco</v>
      </c>
      <c r="AT795" s="10"/>
      <c r="AU795" s="10"/>
      <c r="AV795" s="10"/>
      <c r="AW795" s="10"/>
      <c r="AX795" s="10"/>
      <c r="AY795" s="10"/>
      <c r="AZ795" s="10"/>
      <c r="BA795" s="10"/>
      <c r="BB795" s="10"/>
      <c r="BC795" s="10"/>
      <c r="BD795" s="10"/>
      <c r="BE795" s="10"/>
      <c r="BF795" s="10"/>
      <c r="BG795" s="10"/>
      <c r="BH795" s="10"/>
      <c r="BI795" s="10"/>
      <c r="BJ795" s="10"/>
      <c r="BK795" s="10"/>
      <c r="BM795" s="10"/>
    </row>
    <row r="796" spans="1:65" ht="12.75">
      <c r="A796" s="18">
        <v>43405</v>
      </c>
      <c r="B796" s="14" t="s">
        <v>1725</v>
      </c>
      <c r="C796" s="19">
        <v>167000</v>
      </c>
      <c r="D796" s="19"/>
      <c r="E796" s="14" t="s">
        <v>45</v>
      </c>
      <c r="F796" s="14" t="s">
        <v>49</v>
      </c>
      <c r="G796" s="21" t="s">
        <v>1726</v>
      </c>
      <c r="H796" s="14" t="str">
        <f t="array" ref="H796">IFERROR(INDEX([1]Companies!$G:$G,MATCH(B796,[1]Companies!$A:$A,0)),"")</f>
        <v>Mauritius</v>
      </c>
      <c r="I796" s="14" t="str">
        <f t="shared" si="974"/>
        <v>Mauritius</v>
      </c>
      <c r="J796" s="14" t="str">
        <f t="array" ref="J796">IFERROR(INDEX([1]Companies!$Y:$Y,MATCH(B796,[1]Companies!$A:$A,0)),"")</f>
        <v>Human Resources, Internet, Software, Recruitment</v>
      </c>
      <c r="K796" s="14" t="str">
        <f t="array" ref="K796">IFERROR(INDEX([1]Companies!$X:$X,MATCH(B796,[1]Companies!$A:$A,0)),"")</f>
        <v>Commercial &amp; Professional Services</v>
      </c>
      <c r="L796" s="14" t="str">
        <f>VLOOKUP(B796,[1]Companies!$A$1:$C$5243,1,FALSE)</f>
        <v>Koann</v>
      </c>
      <c r="M796" s="15">
        <f t="shared" si="975"/>
        <v>0.9</v>
      </c>
      <c r="N796" s="10" t="str">
        <f t="shared" si="976"/>
        <v>43405Koann167000</v>
      </c>
      <c r="O796" s="14" t="str">
        <f t="shared" si="1017"/>
        <v/>
      </c>
      <c r="P796" s="14">
        <f t="shared" si="978"/>
        <v>1</v>
      </c>
      <c r="Q796" s="14">
        <f t="array" ref="Q796">IFERROR(INDEX([1]Companies!$D:$D,MATCH(B796,[1]Companies!$A:$A,0)),"")</f>
        <v>2013</v>
      </c>
      <c r="R796" s="17">
        <f t="shared" si="979"/>
        <v>167000</v>
      </c>
      <c r="S796" s="14">
        <f>VLOOKUP(I796,[1]Lookups!$V$3:$Y$197,4,FALSE)</f>
        <v>0</v>
      </c>
      <c r="T796" s="14" t="str">
        <f>VLOOKUP(E796,[1]Lookups!$H$3:$I$71,2,FALSE)</f>
        <v>2. Seed</v>
      </c>
      <c r="U796" s="14" t="str">
        <f>VLOOKUP(K796,[1]Lookups!$B$3:$C$142,2,FALSE)</f>
        <v>Other Technologies &amp; Information Technology</v>
      </c>
      <c r="V796" s="14">
        <f t="shared" si="921"/>
        <v>2018</v>
      </c>
      <c r="W796" s="14">
        <f t="shared" si="922"/>
        <v>11</v>
      </c>
      <c r="X796" s="14">
        <f>VLOOKUP(W796,[1]Lookups!$P$3:$S$15,2,FALSE)</f>
        <v>4</v>
      </c>
      <c r="Y796" s="16">
        <f>VLOOKUP(W796,[1]Lookups!$P$3:$U$15,3,FALSE)</f>
        <v>2</v>
      </c>
      <c r="Z796" s="16">
        <f t="shared" si="923"/>
        <v>1</v>
      </c>
      <c r="AA796" s="16" t="str">
        <f t="shared" ref="AA796:AO811" ca="1" si="1058">AS796</f>
        <v>Axa Insurance Morocco</v>
      </c>
      <c r="AB796" s="16">
        <f t="shared" si="1058"/>
        <v>0</v>
      </c>
      <c r="AC796" s="16">
        <f t="shared" si="1058"/>
        <v>0</v>
      </c>
      <c r="AD796" s="16">
        <f t="shared" si="1058"/>
        <v>0</v>
      </c>
      <c r="AE796" s="16">
        <f t="shared" si="1058"/>
        <v>0</v>
      </c>
      <c r="AF796" s="16">
        <f t="shared" si="1058"/>
        <v>0</v>
      </c>
      <c r="AG796" s="16">
        <f t="shared" si="1058"/>
        <v>0</v>
      </c>
      <c r="AH796" s="16">
        <f t="shared" si="1058"/>
        <v>0</v>
      </c>
      <c r="AI796" s="16">
        <f t="shared" si="1058"/>
        <v>0</v>
      </c>
      <c r="AJ796" s="16">
        <f t="shared" si="1058"/>
        <v>0</v>
      </c>
      <c r="AK796" s="16">
        <f t="shared" si="1058"/>
        <v>0</v>
      </c>
      <c r="AL796" s="16">
        <f t="shared" si="1058"/>
        <v>0</v>
      </c>
      <c r="AM796" s="16">
        <f t="shared" si="1058"/>
        <v>0</v>
      </c>
      <c r="AN796" s="16">
        <f t="shared" si="1058"/>
        <v>0</v>
      </c>
      <c r="AO796" s="16">
        <f t="shared" si="1058"/>
        <v>0</v>
      </c>
      <c r="AP796" s="10"/>
      <c r="AQ796" s="10"/>
      <c r="AR796" s="10"/>
      <c r="AS796" s="10" t="str">
        <f t="shared" ref="AS796" ca="1" si="1059">IFERROR(__xludf.DUMMYFUNCTION("split(F723,"","",true,true)"),"Axa Insurance Morocco")</f>
        <v>Axa Insurance Morocco</v>
      </c>
      <c r="AT796" s="10"/>
      <c r="AU796" s="10"/>
      <c r="AV796" s="10"/>
      <c r="AW796" s="10"/>
      <c r="AX796" s="10"/>
      <c r="AY796" s="10"/>
      <c r="AZ796" s="10"/>
      <c r="BA796" s="10"/>
      <c r="BB796" s="10"/>
      <c r="BC796" s="10"/>
      <c r="BD796" s="10"/>
      <c r="BE796" s="10"/>
      <c r="BF796" s="10"/>
      <c r="BG796" s="10"/>
      <c r="BH796" s="10"/>
      <c r="BI796" s="10"/>
      <c r="BJ796" s="10"/>
      <c r="BK796" s="10"/>
      <c r="BM796" s="10"/>
    </row>
    <row r="797" spans="1:65" ht="12.75">
      <c r="A797" s="18">
        <v>43406</v>
      </c>
      <c r="B797" s="14" t="s">
        <v>648</v>
      </c>
      <c r="C797" s="19">
        <v>120000</v>
      </c>
      <c r="D797" s="19"/>
      <c r="E797" s="14" t="s">
        <v>45</v>
      </c>
      <c r="F797" s="14" t="s">
        <v>1727</v>
      </c>
      <c r="G797" s="27" t="s">
        <v>1728</v>
      </c>
      <c r="H797" s="14" t="str">
        <f t="array" ref="H797">IFERROR(INDEX([1]Companies!$G:$G,MATCH(B797,[1]Companies!$A:$A,0)),"")</f>
        <v>Nigeria</v>
      </c>
      <c r="I797" s="14" t="str">
        <f t="shared" si="974"/>
        <v>Nigeria</v>
      </c>
      <c r="J797" s="14" t="str">
        <f t="array" ref="J797">IFERROR(INDEX([1]Companies!$Y:$Y,MATCH(B797,[1]Companies!$A:$A,0)),"")</f>
        <v>EdTech, Enterprise Resource Planning (ERP), SaaS</v>
      </c>
      <c r="K797" s="14" t="str">
        <f t="array" ref="K797">IFERROR(INDEX([1]Companies!$X:$X,MATCH(B797,[1]Companies!$A:$A,0)),"")</f>
        <v>Education</v>
      </c>
      <c r="L797" s="14" t="str">
        <f>VLOOKUP(B797,[1]Companies!$A$1:$C$5243,1,FALSE)</f>
        <v>Edves</v>
      </c>
      <c r="M797" s="15">
        <f t="shared" si="975"/>
        <v>0.9</v>
      </c>
      <c r="N797" s="10" t="str">
        <f t="shared" si="976"/>
        <v>43406Edves120000</v>
      </c>
      <c r="O797" s="14" t="str">
        <f t="shared" si="1017"/>
        <v/>
      </c>
      <c r="P797" s="14">
        <f t="shared" si="978"/>
        <v>1</v>
      </c>
      <c r="Q797" s="14">
        <f t="array" ref="Q797">IFERROR(INDEX([1]Companies!$D:$D,MATCH(B797,[1]Companies!$A:$A,0)),"")</f>
        <v>2016</v>
      </c>
      <c r="R797" s="17">
        <f t="shared" si="979"/>
        <v>191500</v>
      </c>
      <c r="S797" s="14">
        <f>VLOOKUP(I797,[1]Lookups!$V$3:$Y$197,4,FALSE)</f>
        <v>0</v>
      </c>
      <c r="T797" s="14" t="str">
        <f>VLOOKUP(E797,[1]Lookups!$H$3:$I$71,2,FALSE)</f>
        <v>2. Seed</v>
      </c>
      <c r="U797" s="14" t="str">
        <f>VLOOKUP(K797,[1]Lookups!$B$3:$C$142,2,FALSE)</f>
        <v>Education</v>
      </c>
      <c r="V797" s="14">
        <f t="shared" si="921"/>
        <v>2018</v>
      </c>
      <c r="W797" s="14">
        <f t="shared" si="922"/>
        <v>11</v>
      </c>
      <c r="X797" s="14">
        <f>VLOOKUP(W797,[1]Lookups!$P$3:$S$15,2,FALSE)</f>
        <v>4</v>
      </c>
      <c r="Y797" s="16">
        <f>VLOOKUP(W797,[1]Lookups!$P$3:$U$15,3,FALSE)</f>
        <v>2</v>
      </c>
      <c r="Z797" s="16">
        <f t="shared" si="923"/>
        <v>2</v>
      </c>
      <c r="AA797" s="16" t="str">
        <f t="shared" ca="1" si="1058"/>
        <v>Axa Insurance Morocco</v>
      </c>
      <c r="AB797" s="16" t="str">
        <f t="shared" ca="1" si="1058"/>
        <v xml:space="preserve"> Co-creation Hub Nigeria</v>
      </c>
      <c r="AC797" s="16">
        <f t="shared" si="1058"/>
        <v>0</v>
      </c>
      <c r="AD797" s="16">
        <f t="shared" si="1058"/>
        <v>0</v>
      </c>
      <c r="AE797" s="16">
        <f t="shared" si="1058"/>
        <v>0</v>
      </c>
      <c r="AF797" s="16">
        <f t="shared" si="1058"/>
        <v>0</v>
      </c>
      <c r="AG797" s="16">
        <f t="shared" si="1058"/>
        <v>0</v>
      </c>
      <c r="AH797" s="16">
        <f t="shared" si="1058"/>
        <v>0</v>
      </c>
      <c r="AI797" s="16">
        <f t="shared" si="1058"/>
        <v>0</v>
      </c>
      <c r="AJ797" s="16">
        <f t="shared" si="1058"/>
        <v>0</v>
      </c>
      <c r="AK797" s="16">
        <f t="shared" si="1058"/>
        <v>0</v>
      </c>
      <c r="AL797" s="16">
        <f t="shared" si="1058"/>
        <v>0</v>
      </c>
      <c r="AM797" s="16">
        <f t="shared" si="1058"/>
        <v>0</v>
      </c>
      <c r="AN797" s="16">
        <f t="shared" si="1058"/>
        <v>0</v>
      </c>
      <c r="AO797" s="16">
        <f t="shared" si="1058"/>
        <v>0</v>
      </c>
      <c r="AP797" s="10"/>
      <c r="AQ797" s="10"/>
      <c r="AR797" s="10"/>
      <c r="AS797" s="10" t="str">
        <f t="shared" ref="AS797" ca="1" si="1060">IFERROR(__xludf.DUMMYFUNCTION("split(F723,"","",true,true)"),"Axa Insurance Morocco")</f>
        <v>Axa Insurance Morocco</v>
      </c>
      <c r="AT797" s="10" t="str">
        <f ca="1">IFERROR(__xludf.DUMMYFUNCTION("""COMPUTED_VALUE""")," Co-creation Hub Nigeria")</f>
        <v xml:space="preserve"> Co-creation Hub Nigeria</v>
      </c>
      <c r="AU797" s="10"/>
      <c r="AV797" s="10"/>
      <c r="AW797" s="10"/>
      <c r="AX797" s="10"/>
      <c r="AY797" s="10"/>
      <c r="AZ797" s="10"/>
      <c r="BA797" s="10"/>
      <c r="BB797" s="10"/>
      <c r="BC797" s="10"/>
      <c r="BD797" s="10"/>
      <c r="BE797" s="10"/>
      <c r="BF797" s="10"/>
      <c r="BG797" s="10"/>
      <c r="BH797" s="10"/>
      <c r="BI797" s="10"/>
      <c r="BJ797" s="10"/>
      <c r="BK797" s="10"/>
      <c r="BM797" s="10"/>
    </row>
    <row r="798" spans="1:65" ht="12.75">
      <c r="A798" s="18">
        <v>43407</v>
      </c>
      <c r="B798" s="14" t="s">
        <v>682</v>
      </c>
      <c r="C798" s="19">
        <v>150000</v>
      </c>
      <c r="D798" s="19"/>
      <c r="E798" s="14" t="s">
        <v>45</v>
      </c>
      <c r="F798" s="14" t="s">
        <v>226</v>
      </c>
      <c r="G798" s="27" t="s">
        <v>1708</v>
      </c>
      <c r="H798" s="14" t="str">
        <f t="array" ref="H798">IFERROR(INDEX([1]Companies!$G:$G,MATCH(B798,[1]Companies!$A:$A,0)),"")</f>
        <v>Nigeria</v>
      </c>
      <c r="I798" s="14" t="str">
        <f t="shared" si="974"/>
        <v>Nigeria</v>
      </c>
      <c r="J798" s="14" t="str">
        <f t="array" ref="J798">IFERROR(INDEX([1]Companies!$Y:$Y,MATCH(B798,[1]Companies!$A:$A,0)),"")</f>
        <v>Agriculture, AgTech, Information Technology</v>
      </c>
      <c r="K798" s="14" t="str">
        <f t="array" ref="K798">IFERROR(INDEX([1]Companies!$X:$X,MATCH(B798,[1]Companies!$A:$A,0)),"")</f>
        <v>Agriculture</v>
      </c>
      <c r="L798" s="14" t="str">
        <f>VLOOKUP(B798,[1]Companies!$A$1:$C$5243,1,FALSE)</f>
        <v>Thrive Agric</v>
      </c>
      <c r="M798" s="15">
        <f t="shared" si="975"/>
        <v>0.9</v>
      </c>
      <c r="N798" s="10" t="str">
        <f t="shared" si="976"/>
        <v>43407Thrive Agric150000</v>
      </c>
      <c r="O798" s="14" t="str">
        <f t="shared" si="1017"/>
        <v/>
      </c>
      <c r="P798" s="14">
        <f t="shared" si="978"/>
        <v>1</v>
      </c>
      <c r="Q798" s="14">
        <f t="array" ref="Q798">IFERROR(INDEX([1]Companies!$D:$D,MATCH(B798,[1]Companies!$A:$A,0)),"")</f>
        <v>2016</v>
      </c>
      <c r="R798" s="17">
        <f t="shared" si="979"/>
        <v>620000</v>
      </c>
      <c r="S798" s="14">
        <f>VLOOKUP(I798,[1]Lookups!$V$3:$Y$197,4,FALSE)</f>
        <v>0</v>
      </c>
      <c r="T798" s="14" t="str">
        <f>VLOOKUP(E798,[1]Lookups!$H$3:$I$71,2,FALSE)</f>
        <v>2. Seed</v>
      </c>
      <c r="U798" s="14" t="str">
        <f>VLOOKUP(K798,[1]Lookups!$B$3:$C$142,2,FALSE)</f>
        <v>Agriculture</v>
      </c>
      <c r="V798" s="14">
        <f t="shared" si="921"/>
        <v>2018</v>
      </c>
      <c r="W798" s="14">
        <f t="shared" si="922"/>
        <v>11</v>
      </c>
      <c r="X798" s="14">
        <f>VLOOKUP(W798,[1]Lookups!$P$3:$S$15,2,FALSE)</f>
        <v>4</v>
      </c>
      <c r="Y798" s="16">
        <f>VLOOKUP(W798,[1]Lookups!$P$3:$U$15,3,FALSE)</f>
        <v>2</v>
      </c>
      <c r="Z798" s="16">
        <f t="shared" si="923"/>
        <v>1</v>
      </c>
      <c r="AA798" s="16" t="str">
        <f t="shared" ca="1" si="1058"/>
        <v>Axa Insurance Morocco</v>
      </c>
      <c r="AB798" s="16">
        <f t="shared" si="1058"/>
        <v>0</v>
      </c>
      <c r="AC798" s="16">
        <f t="shared" si="1058"/>
        <v>0</v>
      </c>
      <c r="AD798" s="16">
        <f t="shared" si="1058"/>
        <v>0</v>
      </c>
      <c r="AE798" s="16">
        <f t="shared" si="1058"/>
        <v>0</v>
      </c>
      <c r="AF798" s="16">
        <f t="shared" si="1058"/>
        <v>0</v>
      </c>
      <c r="AG798" s="16">
        <f t="shared" si="1058"/>
        <v>0</v>
      </c>
      <c r="AH798" s="16">
        <f t="shared" si="1058"/>
        <v>0</v>
      </c>
      <c r="AI798" s="16">
        <f t="shared" si="1058"/>
        <v>0</v>
      </c>
      <c r="AJ798" s="16">
        <f t="shared" si="1058"/>
        <v>0</v>
      </c>
      <c r="AK798" s="16">
        <f t="shared" si="1058"/>
        <v>0</v>
      </c>
      <c r="AL798" s="16">
        <f t="shared" si="1058"/>
        <v>0</v>
      </c>
      <c r="AM798" s="16">
        <f t="shared" si="1058"/>
        <v>0</v>
      </c>
      <c r="AN798" s="16">
        <f t="shared" si="1058"/>
        <v>0</v>
      </c>
      <c r="AO798" s="16">
        <f t="shared" si="1058"/>
        <v>0</v>
      </c>
      <c r="AP798" s="10"/>
      <c r="AQ798" s="10"/>
      <c r="AR798" s="10"/>
      <c r="AS798" s="10" t="str">
        <f t="shared" ref="AS798" ca="1" si="1061">IFERROR(__xludf.DUMMYFUNCTION("split(F723,"","",true,true)"),"Axa Insurance Morocco")</f>
        <v>Axa Insurance Morocco</v>
      </c>
      <c r="AT798" s="10"/>
      <c r="AU798" s="10"/>
      <c r="AV798" s="10"/>
      <c r="AW798" s="10"/>
      <c r="AX798" s="10"/>
      <c r="AY798" s="10"/>
      <c r="AZ798" s="10"/>
      <c r="BA798" s="10"/>
      <c r="BB798" s="10"/>
      <c r="BC798" s="10"/>
      <c r="BD798" s="10"/>
      <c r="BE798" s="10"/>
      <c r="BF798" s="10"/>
      <c r="BG798" s="10"/>
      <c r="BH798" s="10"/>
      <c r="BI798" s="10"/>
      <c r="BJ798" s="10"/>
      <c r="BK798" s="10"/>
      <c r="BM798" s="10"/>
    </row>
    <row r="799" spans="1:65" ht="12.75">
      <c r="A799" s="18">
        <v>43409</v>
      </c>
      <c r="B799" s="14" t="s">
        <v>1729</v>
      </c>
      <c r="C799" s="19" t="s">
        <v>49</v>
      </c>
      <c r="D799" s="19"/>
      <c r="E799" s="14" t="s">
        <v>45</v>
      </c>
      <c r="F799" s="14" t="s">
        <v>1325</v>
      </c>
      <c r="G799" s="27" t="s">
        <v>1730</v>
      </c>
      <c r="H799" s="14" t="str">
        <f t="array" ref="H799">IFERROR(INDEX([1]Companies!$G:$G,MATCH(B799,[1]Companies!$A:$A,0)),"")</f>
        <v>Kenya</v>
      </c>
      <c r="I799" s="14" t="str">
        <f t="shared" si="974"/>
        <v>Kenya</v>
      </c>
      <c r="J799" s="14" t="str">
        <f t="array" ref="J799">IFERROR(INDEX([1]Companies!$Y:$Y,MATCH(B799,[1]Companies!$A:$A,0)),"")</f>
        <v>Information Services, Information Technology</v>
      </c>
      <c r="K799" s="14" t="str">
        <f t="array" ref="K799">IFERROR(INDEX([1]Companies!$X:$X,MATCH(B799,[1]Companies!$A:$A,0)),"")</f>
        <v>Social Network</v>
      </c>
      <c r="L799" s="14" t="str">
        <f>VLOOKUP(B799,[1]Companies!$A$1:$C$5243,1,FALSE)</f>
        <v>Netwookie</v>
      </c>
      <c r="M799" s="15">
        <f t="shared" si="975"/>
        <v>0.9</v>
      </c>
      <c r="N799" s="10" t="str">
        <f t="shared" si="976"/>
        <v>43409NetwookieUndisclosed</v>
      </c>
      <c r="O799" s="14" t="str">
        <f t="shared" si="1017"/>
        <v/>
      </c>
      <c r="P799" s="14">
        <f t="shared" si="978"/>
        <v>0</v>
      </c>
      <c r="Q799" s="14">
        <f t="array" ref="Q799">IFERROR(INDEX([1]Companies!$D:$D,MATCH(B799,[1]Companies!$A:$A,0)),"")</f>
        <v>2015</v>
      </c>
      <c r="R799" s="17">
        <f t="shared" si="979"/>
        <v>0</v>
      </c>
      <c r="S799" s="14">
        <f>VLOOKUP(I799,[1]Lookups!$V$3:$Y$197,4,FALSE)</f>
        <v>0</v>
      </c>
      <c r="T799" s="14" t="str">
        <f>VLOOKUP(E799,[1]Lookups!$H$3:$I$71,2,FALSE)</f>
        <v>2. Seed</v>
      </c>
      <c r="U799" s="14" t="str">
        <f>VLOOKUP(K799,[1]Lookups!$B$3:$C$142,2,FALSE)</f>
        <v>Media &amp; Entertainment</v>
      </c>
      <c r="V799" s="14">
        <f t="shared" si="921"/>
        <v>2018</v>
      </c>
      <c r="W799" s="14">
        <f t="shared" si="922"/>
        <v>11</v>
      </c>
      <c r="X799" s="14">
        <f>VLOOKUP(W799,[1]Lookups!$P$3:$S$15,2,FALSE)</f>
        <v>4</v>
      </c>
      <c r="Y799" s="16">
        <f>VLOOKUP(W799,[1]Lookups!$P$3:$U$15,3,FALSE)</f>
        <v>2</v>
      </c>
      <c r="Z799" s="16">
        <f t="shared" si="923"/>
        <v>1</v>
      </c>
      <c r="AA799" s="16" t="str">
        <f t="shared" ca="1" si="1058"/>
        <v>Axa Insurance Morocco</v>
      </c>
      <c r="AB799" s="16">
        <f t="shared" si="1058"/>
        <v>0</v>
      </c>
      <c r="AC799" s="16">
        <f t="shared" si="1058"/>
        <v>0</v>
      </c>
      <c r="AD799" s="16">
        <f t="shared" si="1058"/>
        <v>0</v>
      </c>
      <c r="AE799" s="16">
        <f t="shared" si="1058"/>
        <v>0</v>
      </c>
      <c r="AF799" s="16">
        <f t="shared" si="1058"/>
        <v>0</v>
      </c>
      <c r="AG799" s="16">
        <f t="shared" si="1058"/>
        <v>0</v>
      </c>
      <c r="AH799" s="16">
        <f t="shared" si="1058"/>
        <v>0</v>
      </c>
      <c r="AI799" s="16">
        <f t="shared" si="1058"/>
        <v>0</v>
      </c>
      <c r="AJ799" s="16">
        <f t="shared" si="1058"/>
        <v>0</v>
      </c>
      <c r="AK799" s="16">
        <f t="shared" si="1058"/>
        <v>0</v>
      </c>
      <c r="AL799" s="16">
        <f t="shared" si="1058"/>
        <v>0</v>
      </c>
      <c r="AM799" s="16">
        <f t="shared" si="1058"/>
        <v>0</v>
      </c>
      <c r="AN799" s="16">
        <f t="shared" si="1058"/>
        <v>0</v>
      </c>
      <c r="AO799" s="16">
        <f t="shared" si="1058"/>
        <v>0</v>
      </c>
      <c r="AP799" s="10"/>
      <c r="AQ799" s="10"/>
      <c r="AR799" s="10"/>
      <c r="AS799" s="10" t="str">
        <f t="shared" ref="AS799" ca="1" si="1062">IFERROR(__xludf.DUMMYFUNCTION("split(F723,"","",true,true)"),"Axa Insurance Morocco")</f>
        <v>Axa Insurance Morocco</v>
      </c>
      <c r="AT799" s="10"/>
      <c r="AU799" s="10"/>
      <c r="AV799" s="10"/>
      <c r="AW799" s="10"/>
      <c r="AX799" s="10"/>
      <c r="AY799" s="10"/>
      <c r="AZ799" s="10"/>
      <c r="BA799" s="10"/>
      <c r="BB799" s="10"/>
      <c r="BC799" s="10"/>
      <c r="BD799" s="10"/>
      <c r="BE799" s="10"/>
      <c r="BF799" s="10"/>
      <c r="BG799" s="10"/>
      <c r="BH799" s="10"/>
      <c r="BI799" s="10"/>
      <c r="BJ799" s="10"/>
      <c r="BK799" s="10"/>
      <c r="BM799" s="10"/>
    </row>
    <row r="800" spans="1:65" ht="12.75">
      <c r="A800" s="18">
        <v>43411</v>
      </c>
      <c r="B800" s="14" t="s">
        <v>1731</v>
      </c>
      <c r="C800" s="19" t="s">
        <v>49</v>
      </c>
      <c r="D800" s="19"/>
      <c r="E800" s="14" t="s">
        <v>69</v>
      </c>
      <c r="F800" s="14" t="s">
        <v>993</v>
      </c>
      <c r="G800" s="27" t="s">
        <v>1732</v>
      </c>
      <c r="H800" s="14" t="str">
        <f t="array" ref="H800">IFERROR(INDEX([1]Companies!$G:$G,MATCH(B800,[1]Companies!$A:$A,0)),"")</f>
        <v>South Africa</v>
      </c>
      <c r="I800" s="14" t="str">
        <f t="shared" si="974"/>
        <v>South Africa</v>
      </c>
      <c r="J800" s="14" t="str">
        <f t="array" ref="J800">IFERROR(INDEX([1]Companies!$Y:$Y,MATCH(B800,[1]Companies!$A:$A,0)),"")</f>
        <v>Hardware, Health Care, Pharmaceutical</v>
      </c>
      <c r="K800" s="14" t="str">
        <f t="array" ref="K800">IFERROR(INDEX([1]Companies!$X:$X,MATCH(B800,[1]Companies!$A:$A,0)),"")</f>
        <v>Healthcare &amp; Pharma</v>
      </c>
      <c r="L800" s="14" t="str">
        <f>VLOOKUP(B800,[1]Companies!$A$1:$C$5243,1,FALSE)</f>
        <v>Pharmascout</v>
      </c>
      <c r="M800" s="15">
        <f t="shared" si="975"/>
        <v>0.9</v>
      </c>
      <c r="N800" s="10" t="str">
        <f t="shared" si="976"/>
        <v>43411PharmaScoutUndisclosed</v>
      </c>
      <c r="O800" s="14" t="str">
        <f t="shared" si="1017"/>
        <v/>
      </c>
      <c r="P800" s="14">
        <f t="shared" si="978"/>
        <v>0</v>
      </c>
      <c r="Q800" s="14">
        <f t="array" ref="Q800">IFERROR(INDEX([1]Companies!$D:$D,MATCH(B800,[1]Companies!$A:$A,0)),"")</f>
        <v>2015</v>
      </c>
      <c r="R800" s="17">
        <f t="shared" si="979"/>
        <v>0</v>
      </c>
      <c r="S800" s="14">
        <f>VLOOKUP(I800,[1]Lookups!$V$3:$Y$197,4,FALSE)</f>
        <v>0</v>
      </c>
      <c r="T800" s="14" t="str">
        <f>VLOOKUP(E800,[1]Lookups!$H$3:$I$71,2,FALSE)</f>
        <v>3. Early Venture</v>
      </c>
      <c r="U800" s="14" t="str">
        <f>VLOOKUP(K800,[1]Lookups!$B$3:$C$142,2,FALSE)</f>
        <v>Health &amp; Pharmaceuticals</v>
      </c>
      <c r="V800" s="14">
        <f t="shared" si="921"/>
        <v>2018</v>
      </c>
      <c r="W800" s="14">
        <f t="shared" si="922"/>
        <v>11</v>
      </c>
      <c r="X800" s="14">
        <f>VLOOKUP(W800,[1]Lookups!$P$3:$S$15,2,FALSE)</f>
        <v>4</v>
      </c>
      <c r="Y800" s="16">
        <f>VLOOKUP(W800,[1]Lookups!$P$3:$U$15,3,FALSE)</f>
        <v>2</v>
      </c>
      <c r="Z800" s="16">
        <f t="shared" si="923"/>
        <v>1</v>
      </c>
      <c r="AA800" s="16" t="str">
        <f t="shared" ca="1" si="1058"/>
        <v>Axa Insurance Morocco</v>
      </c>
      <c r="AB800" s="16">
        <f t="shared" si="1058"/>
        <v>0</v>
      </c>
      <c r="AC800" s="16">
        <f t="shared" si="1058"/>
        <v>0</v>
      </c>
      <c r="AD800" s="16">
        <f t="shared" si="1058"/>
        <v>0</v>
      </c>
      <c r="AE800" s="16">
        <f t="shared" si="1058"/>
        <v>0</v>
      </c>
      <c r="AF800" s="16">
        <f t="shared" si="1058"/>
        <v>0</v>
      </c>
      <c r="AG800" s="16">
        <f t="shared" si="1058"/>
        <v>0</v>
      </c>
      <c r="AH800" s="16">
        <f t="shared" si="1058"/>
        <v>0</v>
      </c>
      <c r="AI800" s="16">
        <f t="shared" si="1058"/>
        <v>0</v>
      </c>
      <c r="AJ800" s="16">
        <f t="shared" si="1058"/>
        <v>0</v>
      </c>
      <c r="AK800" s="16">
        <f t="shared" si="1058"/>
        <v>0</v>
      </c>
      <c r="AL800" s="16">
        <f t="shared" si="1058"/>
        <v>0</v>
      </c>
      <c r="AM800" s="16">
        <f t="shared" si="1058"/>
        <v>0</v>
      </c>
      <c r="AN800" s="16">
        <f t="shared" si="1058"/>
        <v>0</v>
      </c>
      <c r="AO800" s="16">
        <f t="shared" si="1058"/>
        <v>0</v>
      </c>
      <c r="AP800" s="10"/>
      <c r="AQ800" s="10"/>
      <c r="AR800" s="10"/>
      <c r="AS800" s="10" t="str">
        <f t="shared" ref="AS800" ca="1" si="1063">IFERROR(__xludf.DUMMYFUNCTION("split(F723,"","",true,true)"),"Axa Insurance Morocco")</f>
        <v>Axa Insurance Morocco</v>
      </c>
      <c r="AT800" s="10"/>
      <c r="AU800" s="10"/>
      <c r="AV800" s="10"/>
      <c r="AW800" s="10"/>
      <c r="AX800" s="10"/>
      <c r="AY800" s="10"/>
      <c r="AZ800" s="10"/>
      <c r="BA800" s="10"/>
      <c r="BB800" s="10"/>
      <c r="BC800" s="10"/>
      <c r="BD800" s="10"/>
      <c r="BE800" s="10"/>
      <c r="BF800" s="10"/>
      <c r="BG800" s="10"/>
      <c r="BH800" s="10"/>
      <c r="BI800" s="10"/>
      <c r="BJ800" s="10"/>
      <c r="BK800" s="10"/>
      <c r="BM800" s="10"/>
    </row>
    <row r="801" spans="1:65" ht="12.75">
      <c r="A801" s="18">
        <v>43412</v>
      </c>
      <c r="B801" s="14" t="s">
        <v>1733</v>
      </c>
      <c r="C801" s="19" t="s">
        <v>49</v>
      </c>
      <c r="D801" s="22"/>
      <c r="E801" s="14" t="s">
        <v>234</v>
      </c>
      <c r="F801" s="14" t="s">
        <v>1734</v>
      </c>
      <c r="G801" s="27" t="s">
        <v>1735</v>
      </c>
      <c r="H801" s="14" t="str">
        <f t="array" ref="H801">IFERROR(INDEX([1]Companies!$G:$G,MATCH(B801,[1]Companies!$A:$A,0)),"")</f>
        <v>Nigeria</v>
      </c>
      <c r="I801" s="14" t="str">
        <f t="shared" si="974"/>
        <v>Nigeria</v>
      </c>
      <c r="J801" s="14" t="str">
        <f t="array" ref="J801">IFERROR(INDEX([1]Companies!$Y:$Y,MATCH(B801,[1]Companies!$A:$A,0)),"")</f>
        <v>Bike-Sharing</v>
      </c>
      <c r="K801" s="14" t="str">
        <f t="array" ref="K801">IFERROR(INDEX([1]Companies!$X:$X,MATCH(B801,[1]Companies!$A:$A,0)),"")</f>
        <v>Transport &amp; Logistics</v>
      </c>
      <c r="L801" s="14" t="str">
        <f>VLOOKUP(B801,[1]Companies!$A$1:$C$5243,1,FALSE)</f>
        <v>Awabike</v>
      </c>
      <c r="M801" s="15">
        <f t="shared" si="975"/>
        <v>0.9</v>
      </c>
      <c r="N801" s="10" t="str">
        <f t="shared" si="976"/>
        <v>43412AwaBikeUndisclosed</v>
      </c>
      <c r="O801" s="14" t="str">
        <f t="shared" si="1017"/>
        <v/>
      </c>
      <c r="P801" s="14">
        <f t="shared" si="978"/>
        <v>0</v>
      </c>
      <c r="Q801" s="14">
        <f t="array" ref="Q801">IFERROR(INDEX([1]Companies!$D:$D,MATCH(B801,[1]Companies!$A:$A,0)),"")</f>
        <v>2017</v>
      </c>
      <c r="R801" s="17">
        <f t="shared" si="979"/>
        <v>0</v>
      </c>
      <c r="S801" s="14">
        <f>VLOOKUP(I801,[1]Lookups!$V$3:$Y$197,4,FALSE)</f>
        <v>0</v>
      </c>
      <c r="T801" s="14" t="str">
        <f>VLOOKUP(E801,[1]Lookups!$H$3:$I$71,2,FALSE)</f>
        <v>2. Seed</v>
      </c>
      <c r="U801" s="14" t="str">
        <f>VLOOKUP(K801,[1]Lookups!$B$3:$C$142,2,FALSE)</f>
        <v>Transport &amp; Logistics</v>
      </c>
      <c r="V801" s="14">
        <f t="shared" si="921"/>
        <v>2018</v>
      </c>
      <c r="W801" s="14">
        <f t="shared" si="922"/>
        <v>11</v>
      </c>
      <c r="X801" s="14">
        <f>VLOOKUP(W801,[1]Lookups!$P$3:$S$15,2,FALSE)</f>
        <v>4</v>
      </c>
      <c r="Y801" s="16">
        <f>VLOOKUP(W801,[1]Lookups!$P$3:$U$15,3,FALSE)</f>
        <v>2</v>
      </c>
      <c r="Z801" s="16">
        <f t="shared" si="923"/>
        <v>1</v>
      </c>
      <c r="AA801" s="16" t="str">
        <f t="shared" ca="1" si="1058"/>
        <v>Axa Insurance Morocco</v>
      </c>
      <c r="AB801" s="16">
        <f t="shared" si="1058"/>
        <v>0</v>
      </c>
      <c r="AC801" s="16">
        <f t="shared" si="1058"/>
        <v>0</v>
      </c>
      <c r="AD801" s="16">
        <f t="shared" si="1058"/>
        <v>0</v>
      </c>
      <c r="AE801" s="16">
        <f t="shared" si="1058"/>
        <v>0</v>
      </c>
      <c r="AF801" s="16">
        <f t="shared" si="1058"/>
        <v>0</v>
      </c>
      <c r="AG801" s="16">
        <f t="shared" si="1058"/>
        <v>0</v>
      </c>
      <c r="AH801" s="16">
        <f t="shared" si="1058"/>
        <v>0</v>
      </c>
      <c r="AI801" s="16">
        <f t="shared" si="1058"/>
        <v>0</v>
      </c>
      <c r="AJ801" s="16">
        <f t="shared" si="1058"/>
        <v>0</v>
      </c>
      <c r="AK801" s="16">
        <f t="shared" si="1058"/>
        <v>0</v>
      </c>
      <c r="AL801" s="16">
        <f t="shared" si="1058"/>
        <v>0</v>
      </c>
      <c r="AM801" s="16">
        <f t="shared" si="1058"/>
        <v>0</v>
      </c>
      <c r="AN801" s="16">
        <f t="shared" si="1058"/>
        <v>0</v>
      </c>
      <c r="AO801" s="16">
        <f t="shared" si="1058"/>
        <v>0</v>
      </c>
      <c r="AP801" s="10"/>
      <c r="AQ801" s="10"/>
      <c r="AR801" s="10"/>
      <c r="AS801" s="10" t="str">
        <f t="shared" ref="AS801" ca="1" si="1064">IFERROR(__xludf.DUMMYFUNCTION("split(F723,"","",true,true)"),"Axa Insurance Morocco")</f>
        <v>Axa Insurance Morocco</v>
      </c>
      <c r="AT801" s="10"/>
      <c r="AU801" s="10"/>
      <c r="AV801" s="10"/>
      <c r="AW801" s="10"/>
      <c r="AX801" s="10"/>
      <c r="AY801" s="10"/>
      <c r="AZ801" s="10"/>
      <c r="BA801" s="10"/>
      <c r="BB801" s="10"/>
      <c r="BC801" s="10"/>
      <c r="BD801" s="10"/>
      <c r="BE801" s="10"/>
      <c r="BF801" s="10"/>
      <c r="BG801" s="10"/>
      <c r="BH801" s="10"/>
      <c r="BI801" s="10"/>
      <c r="BJ801" s="10"/>
      <c r="BK801" s="10"/>
      <c r="BM801" s="10"/>
    </row>
    <row r="802" spans="1:65" ht="12.75">
      <c r="A802" s="18">
        <v>43412</v>
      </c>
      <c r="B802" s="14" t="s">
        <v>1736</v>
      </c>
      <c r="C802" s="19">
        <v>2510000</v>
      </c>
      <c r="D802" s="19"/>
      <c r="E802" s="14" t="s">
        <v>45</v>
      </c>
      <c r="F802" s="14" t="s">
        <v>1737</v>
      </c>
      <c r="G802" s="27" t="s">
        <v>1738</v>
      </c>
      <c r="H802" s="14" t="str">
        <f t="array" ref="H802">IFERROR(INDEX([1]Companies!$G:$G,MATCH(B802,[1]Companies!$A:$A,0)),"")</f>
        <v>Kenya</v>
      </c>
      <c r="I802" s="14" t="str">
        <f t="shared" si="974"/>
        <v>Kenya</v>
      </c>
      <c r="J802" s="14" t="str">
        <f t="array" ref="J802">IFERROR(INDEX([1]Companies!$Y:$Y,MATCH(B802,[1]Companies!$A:$A,0)),"")</f>
        <v>Software, Media</v>
      </c>
      <c r="K802" s="14" t="str">
        <f t="array" ref="K802">IFERROR(INDEX([1]Companies!$X:$X,MATCH(B802,[1]Companies!$A:$A,0)),"")</f>
        <v>Education</v>
      </c>
      <c r="L802" s="14" t="str">
        <f>VLOOKUP(B802,[1]Companies!$A$1:$C$5243,1,FALSE)</f>
        <v>Kukua</v>
      </c>
      <c r="M802" s="15">
        <f t="shared" si="975"/>
        <v>0.9</v>
      </c>
      <c r="N802" s="10" t="str">
        <f t="shared" si="976"/>
        <v>43412Kukua2510000</v>
      </c>
      <c r="O802" s="14" t="str">
        <f t="shared" si="1017"/>
        <v/>
      </c>
      <c r="P802" s="14">
        <f t="shared" si="978"/>
        <v>1</v>
      </c>
      <c r="Q802" s="14">
        <f t="array" ref="Q802">IFERROR(INDEX([1]Companies!$D:$D,MATCH(B802,[1]Companies!$A:$A,0)),"")</f>
        <v>2014</v>
      </c>
      <c r="R802" s="17">
        <f t="shared" si="979"/>
        <v>2510000</v>
      </c>
      <c r="S802" s="14">
        <f>VLOOKUP(I802,[1]Lookups!$V$3:$Y$197,4,FALSE)</f>
        <v>0</v>
      </c>
      <c r="T802" s="14" t="str">
        <f>VLOOKUP(E802,[1]Lookups!$H$3:$I$71,2,FALSE)</f>
        <v>2. Seed</v>
      </c>
      <c r="U802" s="14" t="str">
        <f>VLOOKUP(K802,[1]Lookups!$B$3:$C$142,2,FALSE)</f>
        <v>Education</v>
      </c>
      <c r="V802" s="14">
        <f t="shared" si="921"/>
        <v>2018</v>
      </c>
      <c r="W802" s="14">
        <f t="shared" si="922"/>
        <v>11</v>
      </c>
      <c r="X802" s="14">
        <f>VLOOKUP(W802,[1]Lookups!$P$3:$S$15,2,FALSE)</f>
        <v>4</v>
      </c>
      <c r="Y802" s="16">
        <f>VLOOKUP(W802,[1]Lookups!$P$3:$U$15,3,FALSE)</f>
        <v>2</v>
      </c>
      <c r="Z802" s="16">
        <f t="shared" si="923"/>
        <v>5</v>
      </c>
      <c r="AA802" s="16" t="str">
        <f t="shared" ca="1" si="1058"/>
        <v>Axa Insurance Morocco</v>
      </c>
      <c r="AB802" s="16" t="str">
        <f t="shared" ca="1" si="1058"/>
        <v xml:space="preserve"> Kima Ventures</v>
      </c>
      <c r="AC802" s="16" t="str">
        <f t="shared" ca="1" si="1058"/>
        <v xml:space="preserve"> Founders Factory</v>
      </c>
      <c r="AD802" s="16" t="str">
        <f t="shared" ca="1" si="1058"/>
        <v xml:space="preserve"> Burda Principle Investments</v>
      </c>
      <c r="AE802" s="16" t="str">
        <f t="shared" ca="1" si="1058"/>
        <v xml:space="preserve"> First Minute Capital</v>
      </c>
      <c r="AF802" s="16">
        <f t="shared" si="1058"/>
        <v>0</v>
      </c>
      <c r="AG802" s="16">
        <f t="shared" si="1058"/>
        <v>0</v>
      </c>
      <c r="AH802" s="16">
        <f t="shared" si="1058"/>
        <v>0</v>
      </c>
      <c r="AI802" s="16">
        <f t="shared" si="1058"/>
        <v>0</v>
      </c>
      <c r="AJ802" s="16">
        <f t="shared" si="1058"/>
        <v>0</v>
      </c>
      <c r="AK802" s="16">
        <f t="shared" si="1058"/>
        <v>0</v>
      </c>
      <c r="AL802" s="16">
        <f t="shared" si="1058"/>
        <v>0</v>
      </c>
      <c r="AM802" s="16">
        <f t="shared" si="1058"/>
        <v>0</v>
      </c>
      <c r="AN802" s="16">
        <f t="shared" si="1058"/>
        <v>0</v>
      </c>
      <c r="AO802" s="16">
        <f t="shared" si="1058"/>
        <v>0</v>
      </c>
      <c r="AP802" s="10"/>
      <c r="AQ802" s="10"/>
      <c r="AR802" s="10"/>
      <c r="AS802" s="10" t="str">
        <f t="shared" ref="AS802" ca="1" si="1065">IFERROR(__xludf.DUMMYFUNCTION("split(F723,"","",true,true)"),"Axa Insurance Morocco")</f>
        <v>Axa Insurance Morocco</v>
      </c>
      <c r="AT802" s="10" t="str">
        <f ca="1">IFERROR(__xludf.DUMMYFUNCTION("""COMPUTED_VALUE""")," Kima Ventures")</f>
        <v xml:space="preserve"> Kima Ventures</v>
      </c>
      <c r="AU802" s="10" t="str">
        <f ca="1">IFERROR(__xludf.DUMMYFUNCTION("""COMPUTED_VALUE""")," Founders Factory")</f>
        <v xml:space="preserve"> Founders Factory</v>
      </c>
      <c r="AV802" s="10" t="str">
        <f ca="1">IFERROR(__xludf.DUMMYFUNCTION("""COMPUTED_VALUE""")," Burda Principle Investments")</f>
        <v xml:space="preserve"> Burda Principle Investments</v>
      </c>
      <c r="AW802" s="10" t="str">
        <f ca="1">IFERROR(__xludf.DUMMYFUNCTION("""COMPUTED_VALUE""")," First Minute Capital")</f>
        <v xml:space="preserve"> First Minute Capital</v>
      </c>
      <c r="AX802" s="10"/>
      <c r="AY802" s="10"/>
      <c r="AZ802" s="10"/>
      <c r="BA802" s="10"/>
      <c r="BB802" s="10"/>
      <c r="BC802" s="10"/>
      <c r="BD802" s="10"/>
      <c r="BE802" s="10"/>
      <c r="BF802" s="10"/>
      <c r="BG802" s="10"/>
      <c r="BH802" s="10"/>
      <c r="BI802" s="10"/>
      <c r="BJ802" s="10"/>
      <c r="BK802" s="10"/>
      <c r="BM802" s="10"/>
    </row>
    <row r="803" spans="1:65" ht="12.75">
      <c r="A803" s="18">
        <v>43413</v>
      </c>
      <c r="B803" s="14" t="s">
        <v>1739</v>
      </c>
      <c r="C803" s="19" t="s">
        <v>49</v>
      </c>
      <c r="D803" s="19"/>
      <c r="E803" s="14" t="s">
        <v>45</v>
      </c>
      <c r="F803" s="14" t="s">
        <v>1325</v>
      </c>
      <c r="G803" s="27" t="s">
        <v>1740</v>
      </c>
      <c r="H803" s="14" t="str">
        <f t="array" ref="H803">IFERROR(INDEX([1]Companies!$G:$G,MATCH(B803,[1]Companies!$A:$A,0)),"")</f>
        <v>Kenya</v>
      </c>
      <c r="I803" s="14" t="str">
        <f t="shared" si="974"/>
        <v>Kenya</v>
      </c>
      <c r="J803" s="14" t="str">
        <f t="array" ref="J803">IFERROR(INDEX([1]Companies!$Y:$Y,MATCH(B803,[1]Companies!$A:$A,0)),"")</f>
        <v>Training, youth development, Business Skills, internship placement, Intern recruitment, capacity building, Entry-level recruitment, Up-skilling, Business Etiquette, Sales skills, Marketing skills, Customer service skills, Administration skills, SME Talent Provision, and Recruitment</v>
      </c>
      <c r="K803" s="14" t="str">
        <f t="array" ref="K803">IFERROR(INDEX([1]Companies!$X:$X,MATCH(B803,[1]Companies!$A:$A,0)),"")</f>
        <v>Recruitment</v>
      </c>
      <c r="L803" s="14" t="str">
        <f>VLOOKUP(B803,[1]Companies!$A$1:$C$5243,1,FALSE)</f>
        <v>Yusudi</v>
      </c>
      <c r="M803" s="15">
        <f t="shared" si="975"/>
        <v>0.9</v>
      </c>
      <c r="N803" s="10" t="str">
        <f t="shared" si="976"/>
        <v>43413YusudiUndisclosed</v>
      </c>
      <c r="O803" s="14" t="str">
        <f t="shared" si="1017"/>
        <v/>
      </c>
      <c r="P803" s="14">
        <f t="shared" si="978"/>
        <v>0</v>
      </c>
      <c r="Q803" s="14">
        <f t="array" ref="Q803">IFERROR(INDEX([1]Companies!$D:$D,MATCH(B803,[1]Companies!$A:$A,0)),"")</f>
        <v>2015</v>
      </c>
      <c r="R803" s="17">
        <f t="shared" si="979"/>
        <v>250000</v>
      </c>
      <c r="S803" s="14">
        <f>VLOOKUP(I803,[1]Lookups!$V$3:$Y$197,4,FALSE)</f>
        <v>0</v>
      </c>
      <c r="T803" s="14" t="str">
        <f>VLOOKUP(E803,[1]Lookups!$H$3:$I$71,2,FALSE)</f>
        <v>2. Seed</v>
      </c>
      <c r="U803" s="14" t="str">
        <f>VLOOKUP(K803,[1]Lookups!$B$3:$C$142,2,FALSE)</f>
        <v>Employment, Talent &amp; Labour</v>
      </c>
      <c r="V803" s="14">
        <f t="shared" si="921"/>
        <v>2018</v>
      </c>
      <c r="W803" s="14">
        <f t="shared" si="922"/>
        <v>11</v>
      </c>
      <c r="X803" s="14">
        <f>VLOOKUP(W803,[1]Lookups!$P$3:$S$15,2,FALSE)</f>
        <v>4</v>
      </c>
      <c r="Y803" s="16">
        <f>VLOOKUP(W803,[1]Lookups!$P$3:$U$15,3,FALSE)</f>
        <v>2</v>
      </c>
      <c r="Z803" s="16">
        <f t="shared" si="923"/>
        <v>1</v>
      </c>
      <c r="AA803" s="16" t="str">
        <f t="shared" ca="1" si="1058"/>
        <v>Axa Insurance Morocco</v>
      </c>
      <c r="AB803" s="16">
        <f t="shared" si="1058"/>
        <v>0</v>
      </c>
      <c r="AC803" s="16">
        <f t="shared" si="1058"/>
        <v>0</v>
      </c>
      <c r="AD803" s="16">
        <f t="shared" si="1058"/>
        <v>0</v>
      </c>
      <c r="AE803" s="16">
        <f t="shared" si="1058"/>
        <v>0</v>
      </c>
      <c r="AF803" s="16">
        <f t="shared" si="1058"/>
        <v>0</v>
      </c>
      <c r="AG803" s="16">
        <f t="shared" si="1058"/>
        <v>0</v>
      </c>
      <c r="AH803" s="16">
        <f t="shared" si="1058"/>
        <v>0</v>
      </c>
      <c r="AI803" s="16">
        <f t="shared" si="1058"/>
        <v>0</v>
      </c>
      <c r="AJ803" s="16">
        <f t="shared" si="1058"/>
        <v>0</v>
      </c>
      <c r="AK803" s="16">
        <f t="shared" si="1058"/>
        <v>0</v>
      </c>
      <c r="AL803" s="16">
        <f t="shared" si="1058"/>
        <v>0</v>
      </c>
      <c r="AM803" s="16">
        <f t="shared" si="1058"/>
        <v>0</v>
      </c>
      <c r="AN803" s="16">
        <f t="shared" si="1058"/>
        <v>0</v>
      </c>
      <c r="AO803" s="16">
        <f t="shared" si="1058"/>
        <v>0</v>
      </c>
      <c r="AP803" s="10"/>
      <c r="AQ803" s="10"/>
      <c r="AR803" s="10"/>
      <c r="AS803" s="10" t="str">
        <f t="shared" ref="AS803" ca="1" si="1066">IFERROR(__xludf.DUMMYFUNCTION("split(F723,"","",true,true)"),"Axa Insurance Morocco")</f>
        <v>Axa Insurance Morocco</v>
      </c>
      <c r="AT803" s="10"/>
      <c r="AU803" s="10"/>
      <c r="AV803" s="10"/>
      <c r="AW803" s="10"/>
      <c r="AX803" s="10"/>
      <c r="AY803" s="10"/>
      <c r="AZ803" s="10"/>
      <c r="BA803" s="10"/>
      <c r="BB803" s="10"/>
      <c r="BC803" s="10"/>
      <c r="BD803" s="10"/>
      <c r="BE803" s="10"/>
      <c r="BF803" s="10"/>
      <c r="BG803" s="10"/>
      <c r="BH803" s="10"/>
      <c r="BI803" s="10"/>
      <c r="BJ803" s="10"/>
      <c r="BK803" s="10"/>
      <c r="BM803" s="10"/>
    </row>
    <row r="804" spans="1:65" ht="12.75">
      <c r="A804" s="18">
        <v>43413</v>
      </c>
      <c r="B804" s="14" t="s">
        <v>1741</v>
      </c>
      <c r="C804" s="19">
        <v>300000</v>
      </c>
      <c r="D804" s="19"/>
      <c r="E804" s="14" t="s">
        <v>45</v>
      </c>
      <c r="F804" s="14" t="s">
        <v>1742</v>
      </c>
      <c r="G804" s="27" t="s">
        <v>1743</v>
      </c>
      <c r="H804" s="14" t="str">
        <f t="array" ref="H804">IFERROR(INDEX([1]Companies!$G:$G,MATCH(B804,[1]Companies!$A:$A,0)),"")</f>
        <v>Ghana</v>
      </c>
      <c r="I804" s="14" t="str">
        <f t="shared" si="974"/>
        <v>Ghana</v>
      </c>
      <c r="J804" s="14" t="str">
        <f t="array" ref="J804">IFERROR(INDEX([1]Companies!$Y:$Y,MATCH(B804,[1]Companies!$A:$A,0)),"")</f>
        <v>Veterinary, Animal Health</v>
      </c>
      <c r="K804" s="14" t="str">
        <f t="array" ref="K804">IFERROR(INDEX([1]Companies!$X:$X,MATCH(B804,[1]Companies!$A:$A,0)),"")</f>
        <v>Agriculture</v>
      </c>
      <c r="L804" s="14" t="str">
        <f>VLOOKUP(B804,[1]Companies!$A$1:$C$5243,1,FALSE)</f>
        <v>Cowtribe</v>
      </c>
      <c r="M804" s="15">
        <f t="shared" si="975"/>
        <v>0.9</v>
      </c>
      <c r="N804" s="10" t="str">
        <f t="shared" si="976"/>
        <v>43413CowTribe300000</v>
      </c>
      <c r="O804" s="14" t="str">
        <f t="shared" si="1017"/>
        <v/>
      </c>
      <c r="P804" s="14">
        <f t="shared" si="978"/>
        <v>1</v>
      </c>
      <c r="Q804" s="14">
        <f t="array" ref="Q804">IFERROR(INDEX([1]Companies!$D:$D,MATCH(B804,[1]Companies!$A:$A,0)),"")</f>
        <v>2016</v>
      </c>
      <c r="R804" s="17">
        <f t="shared" si="979"/>
        <v>420000</v>
      </c>
      <c r="S804" s="14">
        <f>VLOOKUP(I804,[1]Lookups!$V$3:$Y$197,4,FALSE)</f>
        <v>0</v>
      </c>
      <c r="T804" s="14" t="str">
        <f>VLOOKUP(E804,[1]Lookups!$H$3:$I$71,2,FALSE)</f>
        <v>2. Seed</v>
      </c>
      <c r="U804" s="14" t="str">
        <f>VLOOKUP(K804,[1]Lookups!$B$3:$C$142,2,FALSE)</f>
        <v>Agriculture</v>
      </c>
      <c r="V804" s="14">
        <f t="shared" si="921"/>
        <v>2018</v>
      </c>
      <c r="W804" s="14">
        <f t="shared" si="922"/>
        <v>11</v>
      </c>
      <c r="X804" s="14">
        <f>VLOOKUP(W804,[1]Lookups!$P$3:$S$15,2,FALSE)</f>
        <v>4</v>
      </c>
      <c r="Y804" s="16">
        <f>VLOOKUP(W804,[1]Lookups!$P$3:$U$15,3,FALSE)</f>
        <v>2</v>
      </c>
      <c r="Z804" s="16">
        <f t="shared" si="923"/>
        <v>1</v>
      </c>
      <c r="AA804" s="16" t="str">
        <f t="shared" ca="1" si="1058"/>
        <v>Axa Insurance Morocco</v>
      </c>
      <c r="AB804" s="16">
        <f t="shared" si="1058"/>
        <v>0</v>
      </c>
      <c r="AC804" s="16">
        <f t="shared" si="1058"/>
        <v>0</v>
      </c>
      <c r="AD804" s="16">
        <f t="shared" si="1058"/>
        <v>0</v>
      </c>
      <c r="AE804" s="16">
        <f t="shared" si="1058"/>
        <v>0</v>
      </c>
      <c r="AF804" s="16">
        <f t="shared" si="1058"/>
        <v>0</v>
      </c>
      <c r="AG804" s="16">
        <f t="shared" si="1058"/>
        <v>0</v>
      </c>
      <c r="AH804" s="16">
        <f t="shared" si="1058"/>
        <v>0</v>
      </c>
      <c r="AI804" s="16">
        <f t="shared" si="1058"/>
        <v>0</v>
      </c>
      <c r="AJ804" s="16">
        <f t="shared" si="1058"/>
        <v>0</v>
      </c>
      <c r="AK804" s="16">
        <f t="shared" si="1058"/>
        <v>0</v>
      </c>
      <c r="AL804" s="16">
        <f t="shared" si="1058"/>
        <v>0</v>
      </c>
      <c r="AM804" s="16">
        <f t="shared" si="1058"/>
        <v>0</v>
      </c>
      <c r="AN804" s="16">
        <f t="shared" si="1058"/>
        <v>0</v>
      </c>
      <c r="AO804" s="16">
        <f t="shared" si="1058"/>
        <v>0</v>
      </c>
      <c r="AP804" s="10"/>
      <c r="AQ804" s="10"/>
      <c r="AR804" s="10"/>
      <c r="AS804" s="10" t="str">
        <f t="shared" ref="AS804" ca="1" si="1067">IFERROR(__xludf.DUMMYFUNCTION("split(F723,"","",true,true)"),"Axa Insurance Morocco")</f>
        <v>Axa Insurance Morocco</v>
      </c>
      <c r="AT804" s="10"/>
      <c r="AU804" s="10"/>
      <c r="AV804" s="10"/>
      <c r="AW804" s="10"/>
      <c r="AX804" s="10"/>
      <c r="AY804" s="10"/>
      <c r="AZ804" s="10"/>
      <c r="BA804" s="10"/>
      <c r="BB804" s="10"/>
      <c r="BC804" s="10"/>
      <c r="BD804" s="10"/>
      <c r="BE804" s="10"/>
      <c r="BF804" s="10"/>
      <c r="BG804" s="10"/>
      <c r="BH804" s="10"/>
      <c r="BI804" s="10"/>
      <c r="BJ804" s="10"/>
      <c r="BK804" s="10"/>
      <c r="BM804" s="10"/>
    </row>
    <row r="805" spans="1:65" ht="12.75">
      <c r="A805" s="9">
        <v>43416</v>
      </c>
      <c r="B805" s="10" t="s">
        <v>1744</v>
      </c>
      <c r="C805" s="11">
        <v>1400</v>
      </c>
      <c r="D805" s="12"/>
      <c r="E805" s="14" t="s">
        <v>234</v>
      </c>
      <c r="F805" s="10" t="s">
        <v>49</v>
      </c>
      <c r="G805" s="13" t="s">
        <v>1745</v>
      </c>
      <c r="H805" s="14" t="str">
        <f t="array" ref="H805">IFERROR(INDEX([1]Companies!$G:$G,MATCH(B805,[1]Companies!$A:$A,0)),"")</f>
        <v>Nigeria</v>
      </c>
      <c r="I805" s="14" t="str">
        <f t="shared" si="974"/>
        <v>Nigeria</v>
      </c>
      <c r="J805" s="14" t="str">
        <f t="array" ref="J805">IFERROR(INDEX([1]Companies!$Y:$Y,MATCH(B805,[1]Companies!$A:$A,0)),"")</f>
        <v>Computer, Hardware, Information Technology, Software</v>
      </c>
      <c r="K805" s="14" t="str">
        <f t="array" ref="K805">IFERROR(INDEX([1]Companies!$X:$X,MATCH(B805,[1]Companies!$A:$A,0)),"")</f>
        <v>Information Technology</v>
      </c>
      <c r="L805" s="14" t="str">
        <f>VLOOKUP(B805,[1]Companies!$A$1:$C$5243,1,FALSE)</f>
        <v>NanoDoors</v>
      </c>
      <c r="M805" s="15">
        <f t="shared" si="975"/>
        <v>0.9</v>
      </c>
      <c r="N805" s="10" t="str">
        <f t="shared" si="976"/>
        <v>43416NanoDoors1400</v>
      </c>
      <c r="O805" s="14" t="str">
        <f t="shared" si="1017"/>
        <v/>
      </c>
      <c r="P805" s="14">
        <f t="shared" si="978"/>
        <v>1</v>
      </c>
      <c r="Q805" s="14">
        <f t="array" ref="Q805">IFERROR(INDEX([1]Companies!$D:$D,MATCH(B805,[1]Companies!$A:$A,0)),"")</f>
        <v>2018</v>
      </c>
      <c r="R805" s="17">
        <f t="shared" si="979"/>
        <v>1400</v>
      </c>
      <c r="S805" s="14">
        <f>VLOOKUP(I805,[1]Lookups!$V$3:$Y$197,4,FALSE)</f>
        <v>0</v>
      </c>
      <c r="T805" s="14" t="str">
        <f>VLOOKUP(E805,[1]Lookups!$H$3:$I$71,2,FALSE)</f>
        <v>2. Seed</v>
      </c>
      <c r="U805" s="14" t="str">
        <f>VLOOKUP(K805,[1]Lookups!$B$3:$C$142,2,FALSE)</f>
        <v>Other Technologies &amp; Information Technology</v>
      </c>
      <c r="V805" s="14">
        <f t="shared" si="921"/>
        <v>2018</v>
      </c>
      <c r="W805" s="14">
        <f t="shared" si="922"/>
        <v>11</v>
      </c>
      <c r="X805" s="14">
        <f>VLOOKUP(W805,[1]Lookups!$P$3:$S$15,2,FALSE)</f>
        <v>4</v>
      </c>
      <c r="Y805" s="16">
        <f>VLOOKUP(W805,[1]Lookups!$P$3:$U$15,3,FALSE)</f>
        <v>2</v>
      </c>
      <c r="Z805" s="16">
        <f t="shared" si="923"/>
        <v>1</v>
      </c>
      <c r="AA805" s="16" t="str">
        <f t="shared" ca="1" si="1058"/>
        <v>Axa Insurance Morocco</v>
      </c>
      <c r="AB805" s="16">
        <f t="shared" si="1058"/>
        <v>0</v>
      </c>
      <c r="AC805" s="16">
        <f t="shared" si="1058"/>
        <v>0</v>
      </c>
      <c r="AD805" s="16">
        <f t="shared" si="1058"/>
        <v>0</v>
      </c>
      <c r="AE805" s="16">
        <f t="shared" si="1058"/>
        <v>0</v>
      </c>
      <c r="AF805" s="16">
        <f t="shared" si="1058"/>
        <v>0</v>
      </c>
      <c r="AG805" s="16">
        <f t="shared" si="1058"/>
        <v>0</v>
      </c>
      <c r="AH805" s="16">
        <f t="shared" si="1058"/>
        <v>0</v>
      </c>
      <c r="AI805" s="16">
        <f t="shared" si="1058"/>
        <v>0</v>
      </c>
      <c r="AJ805" s="16">
        <f t="shared" si="1058"/>
        <v>0</v>
      </c>
      <c r="AK805" s="16">
        <f t="shared" si="1058"/>
        <v>0</v>
      </c>
      <c r="AL805" s="16">
        <f t="shared" si="1058"/>
        <v>0</v>
      </c>
      <c r="AM805" s="16">
        <f t="shared" si="1058"/>
        <v>0</v>
      </c>
      <c r="AN805" s="16">
        <f t="shared" si="1058"/>
        <v>0</v>
      </c>
      <c r="AO805" s="16">
        <f t="shared" si="1058"/>
        <v>0</v>
      </c>
      <c r="AP805" s="10"/>
      <c r="AQ805" s="10"/>
      <c r="AR805" s="10"/>
      <c r="AS805" s="10" t="str">
        <f t="shared" ref="AS805" ca="1" si="1068">IFERROR(__xludf.DUMMYFUNCTION("split(F723,"","",true,true)"),"Axa Insurance Morocco")</f>
        <v>Axa Insurance Morocco</v>
      </c>
      <c r="AT805" s="10"/>
      <c r="AU805" s="10"/>
      <c r="AV805" s="10"/>
      <c r="AW805" s="10"/>
      <c r="AX805" s="10"/>
      <c r="AY805" s="10"/>
      <c r="AZ805" s="10"/>
      <c r="BA805" s="10"/>
      <c r="BB805" s="10"/>
      <c r="BC805" s="10"/>
      <c r="BD805" s="10"/>
      <c r="BE805" s="10"/>
      <c r="BF805" s="10"/>
      <c r="BG805" s="10"/>
      <c r="BH805" s="10"/>
      <c r="BI805" s="10"/>
      <c r="BJ805" s="10"/>
      <c r="BK805" s="10"/>
      <c r="BM805" s="10"/>
    </row>
    <row r="806" spans="1:65" ht="12.75">
      <c r="A806" s="18">
        <v>43417</v>
      </c>
      <c r="B806" s="14" t="s">
        <v>204</v>
      </c>
      <c r="C806" s="19">
        <v>5020000</v>
      </c>
      <c r="D806" s="19"/>
      <c r="E806" s="14" t="s">
        <v>112</v>
      </c>
      <c r="F806" s="14" t="s">
        <v>1746</v>
      </c>
      <c r="G806" s="27" t="s">
        <v>1747</v>
      </c>
      <c r="H806" s="14" t="str">
        <f t="array" ref="H806">IFERROR(INDEX([1]Companies!$G:$G,MATCH(B806,[1]Companies!$A:$A,0)),"")</f>
        <v>Kenya</v>
      </c>
      <c r="I806" s="14" t="str">
        <f t="shared" si="974"/>
        <v>Kenya</v>
      </c>
      <c r="J806" s="14" t="str">
        <f t="array" ref="J806">IFERROR(INDEX([1]Companies!$Y:$Y,MATCH(B806,[1]Companies!$A:$A,0)),"")</f>
        <v>Blockchain, Cryptocurrencies, Exchange, Fintech</v>
      </c>
      <c r="K806" s="14" t="str">
        <f t="array" ref="K806">IFERROR(INDEX([1]Companies!$X:$X,MATCH(B806,[1]Companies!$A:$A,0)),"")</f>
        <v>Financial Services</v>
      </c>
      <c r="L806" s="14" t="str">
        <f>VLOOKUP(B806,[1]Companies!$A$1:$C$5243,1,FALSE)</f>
        <v>Bitpesa</v>
      </c>
      <c r="M806" s="15">
        <f t="shared" si="975"/>
        <v>0.9</v>
      </c>
      <c r="N806" s="10" t="str">
        <f t="shared" si="976"/>
        <v>43417BitPesa5020000</v>
      </c>
      <c r="O806" s="14" t="str">
        <f t="shared" si="1017"/>
        <v/>
      </c>
      <c r="P806" s="14">
        <f t="shared" si="978"/>
        <v>1</v>
      </c>
      <c r="Q806" s="14">
        <f t="array" ref="Q806">IFERROR(INDEX([1]Companies!$D:$D,MATCH(B806,[1]Companies!$A:$A,0)),"")</f>
        <v>2013</v>
      </c>
      <c r="R806" s="17">
        <f t="shared" si="979"/>
        <v>14970000</v>
      </c>
      <c r="S806" s="14">
        <f>VLOOKUP(I806,[1]Lookups!$V$3:$Y$197,4,FALSE)</f>
        <v>0</v>
      </c>
      <c r="T806" s="14" t="str">
        <f>VLOOKUP(E806,[1]Lookups!$H$3:$I$71,2,FALSE)</f>
        <v>3. Early Venture</v>
      </c>
      <c r="U806" s="14" t="str">
        <f>VLOOKUP(K806,[1]Lookups!$B$3:$C$142,2,FALSE)</f>
        <v>Financial Services</v>
      </c>
      <c r="V806" s="14">
        <f t="shared" si="921"/>
        <v>2018</v>
      </c>
      <c r="W806" s="14">
        <f t="shared" si="922"/>
        <v>11</v>
      </c>
      <c r="X806" s="14">
        <f>VLOOKUP(W806,[1]Lookups!$P$3:$S$15,2,FALSE)</f>
        <v>4</v>
      </c>
      <c r="Y806" s="16">
        <f>VLOOKUP(W806,[1]Lookups!$P$3:$U$15,3,FALSE)</f>
        <v>2</v>
      </c>
      <c r="Z806" s="16">
        <f t="shared" si="923"/>
        <v>1</v>
      </c>
      <c r="AA806" s="16" t="str">
        <f t="shared" ca="1" si="1058"/>
        <v>Axa Insurance Morocco</v>
      </c>
      <c r="AB806" s="16">
        <f t="shared" si="1058"/>
        <v>0</v>
      </c>
      <c r="AC806" s="16">
        <f t="shared" si="1058"/>
        <v>0</v>
      </c>
      <c r="AD806" s="16">
        <f t="shared" si="1058"/>
        <v>0</v>
      </c>
      <c r="AE806" s="16">
        <f t="shared" si="1058"/>
        <v>0</v>
      </c>
      <c r="AF806" s="16">
        <f t="shared" si="1058"/>
        <v>0</v>
      </c>
      <c r="AG806" s="16">
        <f t="shared" si="1058"/>
        <v>0</v>
      </c>
      <c r="AH806" s="16">
        <f t="shared" si="1058"/>
        <v>0</v>
      </c>
      <c r="AI806" s="16">
        <f t="shared" si="1058"/>
        <v>0</v>
      </c>
      <c r="AJ806" s="16">
        <f t="shared" si="1058"/>
        <v>0</v>
      </c>
      <c r="AK806" s="16">
        <f t="shared" si="1058"/>
        <v>0</v>
      </c>
      <c r="AL806" s="16">
        <f t="shared" si="1058"/>
        <v>0</v>
      </c>
      <c r="AM806" s="16">
        <f t="shared" si="1058"/>
        <v>0</v>
      </c>
      <c r="AN806" s="16">
        <f t="shared" si="1058"/>
        <v>0</v>
      </c>
      <c r="AO806" s="16">
        <f t="shared" si="1058"/>
        <v>0</v>
      </c>
      <c r="AP806" s="10"/>
      <c r="AQ806" s="10"/>
      <c r="AR806" s="10"/>
      <c r="AS806" s="10" t="str">
        <f t="shared" ref="AS806" ca="1" si="1069">IFERROR(__xludf.DUMMYFUNCTION("split(F723,"","",true,true)"),"Axa Insurance Morocco")</f>
        <v>Axa Insurance Morocco</v>
      </c>
      <c r="AT806" s="10"/>
      <c r="AU806" s="10"/>
      <c r="AV806" s="10"/>
      <c r="AW806" s="10"/>
      <c r="AX806" s="10"/>
      <c r="AY806" s="10"/>
      <c r="AZ806" s="10"/>
      <c r="BA806" s="10"/>
      <c r="BB806" s="10"/>
      <c r="BC806" s="10"/>
      <c r="BD806" s="10"/>
      <c r="BE806" s="10"/>
      <c r="BF806" s="10"/>
      <c r="BG806" s="10"/>
      <c r="BH806" s="10"/>
      <c r="BI806" s="10"/>
      <c r="BJ806" s="10"/>
      <c r="BK806" s="10"/>
      <c r="BM806" s="10"/>
    </row>
    <row r="807" spans="1:65" ht="12.75">
      <c r="A807" s="18">
        <v>43418</v>
      </c>
      <c r="B807" s="14" t="s">
        <v>1134</v>
      </c>
      <c r="C807" s="19" t="s">
        <v>49</v>
      </c>
      <c r="D807" s="19"/>
      <c r="E807" s="10" t="s">
        <v>653</v>
      </c>
      <c r="F807" s="14" t="s">
        <v>1675</v>
      </c>
      <c r="G807" s="27" t="s">
        <v>1676</v>
      </c>
      <c r="H807" s="14" t="str">
        <f t="array" ref="H807">IFERROR(INDEX([1]Companies!$G:$G,MATCH(B807,[1]Companies!$A:$A,0)),"")</f>
        <v>Mauritius</v>
      </c>
      <c r="I807" s="14" t="str">
        <f t="shared" si="974"/>
        <v>Mauritius</v>
      </c>
      <c r="J807" s="14" t="str">
        <f t="array" ref="J807">IFERROR(INDEX([1]Companies!$Y:$Y,MATCH(B807,[1]Companies!$A:$A,0)),"")</f>
        <v>Mobile Marketplace</v>
      </c>
      <c r="K807" s="14" t="str">
        <f t="array" ref="K807">IFERROR(INDEX([1]Companies!$X:$X,MATCH(B807,[1]Companies!$A:$A,0)),"")</f>
        <v>E-Commerce &amp; Retail</v>
      </c>
      <c r="L807" s="14" t="str">
        <f>VLOOKUP(B807,[1]Companies!$A$1:$C$5243,1,FALSE)</f>
        <v>Coinafrique</v>
      </c>
      <c r="M807" s="15">
        <f t="shared" si="975"/>
        <v>0.9</v>
      </c>
      <c r="N807" s="10" t="str">
        <f t="shared" si="976"/>
        <v>43418CoinAfriqueUndisclosed</v>
      </c>
      <c r="O807" s="14" t="str">
        <f t="shared" si="1017"/>
        <v/>
      </c>
      <c r="P807" s="14">
        <f t="shared" si="978"/>
        <v>0</v>
      </c>
      <c r="Q807" s="14">
        <f t="array" ref="Q807">IFERROR(INDEX([1]Companies!$D:$D,MATCH(B807,[1]Companies!$A:$A,0)),"")</f>
        <v>2015</v>
      </c>
      <c r="R807" s="17">
        <f t="shared" si="979"/>
        <v>3100000</v>
      </c>
      <c r="S807" s="14">
        <f>VLOOKUP(I807,[1]Lookups!$V$3:$Y$197,4,FALSE)</f>
        <v>0</v>
      </c>
      <c r="T807" s="14" t="str">
        <f>VLOOKUP(E807,[1]Lookups!$H$3:$I$71,2,FALSE)</f>
        <v>4. Late Venture</v>
      </c>
      <c r="U807" s="14" t="str">
        <f>VLOOKUP(K807,[1]Lookups!$B$3:$C$142,2,FALSE)</f>
        <v>E-commerce &amp; Retail</v>
      </c>
      <c r="V807" s="14">
        <f t="shared" si="921"/>
        <v>2018</v>
      </c>
      <c r="W807" s="14">
        <f t="shared" si="922"/>
        <v>11</v>
      </c>
      <c r="X807" s="14">
        <f>VLOOKUP(W807,[1]Lookups!$P$3:$S$15,2,FALSE)</f>
        <v>4</v>
      </c>
      <c r="Y807" s="16">
        <f>VLOOKUP(W807,[1]Lookups!$P$3:$U$15,3,FALSE)</f>
        <v>2</v>
      </c>
      <c r="Z807" s="16">
        <f t="shared" si="923"/>
        <v>1</v>
      </c>
      <c r="AA807" s="16" t="str">
        <f t="shared" ca="1" si="1058"/>
        <v>Axa Insurance Morocco</v>
      </c>
      <c r="AB807" s="16">
        <f t="shared" si="1058"/>
        <v>0</v>
      </c>
      <c r="AC807" s="16">
        <f t="shared" si="1058"/>
        <v>0</v>
      </c>
      <c r="AD807" s="16">
        <f t="shared" si="1058"/>
        <v>0</v>
      </c>
      <c r="AE807" s="16">
        <f t="shared" si="1058"/>
        <v>0</v>
      </c>
      <c r="AF807" s="16">
        <f t="shared" si="1058"/>
        <v>0</v>
      </c>
      <c r="AG807" s="16">
        <f t="shared" si="1058"/>
        <v>0</v>
      </c>
      <c r="AH807" s="16">
        <f t="shared" si="1058"/>
        <v>0</v>
      </c>
      <c r="AI807" s="16">
        <f t="shared" si="1058"/>
        <v>0</v>
      </c>
      <c r="AJ807" s="16">
        <f t="shared" si="1058"/>
        <v>0</v>
      </c>
      <c r="AK807" s="16">
        <f t="shared" si="1058"/>
        <v>0</v>
      </c>
      <c r="AL807" s="16">
        <f t="shared" si="1058"/>
        <v>0</v>
      </c>
      <c r="AM807" s="16">
        <f t="shared" si="1058"/>
        <v>0</v>
      </c>
      <c r="AN807" s="16">
        <f t="shared" si="1058"/>
        <v>0</v>
      </c>
      <c r="AO807" s="16">
        <f t="shared" si="1058"/>
        <v>0</v>
      </c>
      <c r="AP807" s="10"/>
      <c r="AQ807" s="10"/>
      <c r="AR807" s="10"/>
      <c r="AS807" s="10" t="str">
        <f t="shared" ref="AS807" ca="1" si="1070">IFERROR(__xludf.DUMMYFUNCTION("split(F723,"","",true,true)"),"Axa Insurance Morocco")</f>
        <v>Axa Insurance Morocco</v>
      </c>
      <c r="AT807" s="10"/>
      <c r="AU807" s="10"/>
      <c r="AV807" s="10"/>
      <c r="AW807" s="10"/>
      <c r="AX807" s="10"/>
      <c r="AY807" s="10"/>
      <c r="AZ807" s="10"/>
      <c r="BA807" s="10"/>
      <c r="BB807" s="10"/>
      <c r="BC807" s="10"/>
      <c r="BD807" s="10"/>
      <c r="BE807" s="10"/>
      <c r="BF807" s="10"/>
      <c r="BG807" s="10"/>
      <c r="BH807" s="10"/>
      <c r="BI807" s="10"/>
      <c r="BJ807" s="10"/>
      <c r="BK807" s="10"/>
      <c r="BM807" s="10"/>
    </row>
    <row r="808" spans="1:65" ht="12.75">
      <c r="A808" s="18">
        <v>43419</v>
      </c>
      <c r="B808" s="14" t="s">
        <v>399</v>
      </c>
      <c r="C808" s="19">
        <v>10000000</v>
      </c>
      <c r="D808" s="19"/>
      <c r="E808" s="14" t="s">
        <v>112</v>
      </c>
      <c r="F808" s="14" t="s">
        <v>1748</v>
      </c>
      <c r="G808" s="27" t="s">
        <v>1749</v>
      </c>
      <c r="H808" s="14" t="str">
        <f t="array" ref="H808">IFERROR(INDEX([1]Companies!$G:$G,MATCH(B808,[1]Companies!$A:$A,0)),"")</f>
        <v>Kenya</v>
      </c>
      <c r="I808" s="14" t="str">
        <f t="shared" si="974"/>
        <v>Kenya</v>
      </c>
      <c r="J808" s="14" t="str">
        <f t="array" ref="J808">IFERROR(INDEX([1]Companies!$Y:$Y,MATCH(B808,[1]Companies!$A:$A,0)),"")</f>
        <v>mCommerce, Distribution, and Agriculture</v>
      </c>
      <c r="K808" s="14" t="str">
        <f t="array" ref="K808">IFERROR(INDEX([1]Companies!$X:$X,MATCH(B808,[1]Companies!$A:$A,0)),"")</f>
        <v>E-Commerce &amp; Retail</v>
      </c>
      <c r="L808" s="14" t="str">
        <f>VLOOKUP(B808,[1]Companies!$A$1:$C$5243,1,FALSE)</f>
        <v>Twiga Foods</v>
      </c>
      <c r="M808" s="15">
        <f t="shared" si="975"/>
        <v>0.9</v>
      </c>
      <c r="N808" s="10" t="str">
        <f t="shared" si="976"/>
        <v>43419Twiga Foods10000000</v>
      </c>
      <c r="O808" s="14" t="str">
        <f t="shared" si="1017"/>
        <v/>
      </c>
      <c r="P808" s="14">
        <f t="shared" si="978"/>
        <v>1</v>
      </c>
      <c r="Q808" s="14">
        <f t="array" ref="Q808">IFERROR(INDEX([1]Companies!$D:$D,MATCH(B808,[1]Companies!$A:$A,0)),"")</f>
        <v>2013</v>
      </c>
      <c r="R808" s="17">
        <f t="shared" si="979"/>
        <v>40350000</v>
      </c>
      <c r="S808" s="14">
        <f>VLOOKUP(I808,[1]Lookups!$V$3:$Y$197,4,FALSE)</f>
        <v>0</v>
      </c>
      <c r="T808" s="14" t="str">
        <f>VLOOKUP(E808,[1]Lookups!$H$3:$I$71,2,FALSE)</f>
        <v>3. Early Venture</v>
      </c>
      <c r="U808" s="14" t="str">
        <f>VLOOKUP(K808,[1]Lookups!$B$3:$C$142,2,FALSE)</f>
        <v>E-commerce &amp; Retail</v>
      </c>
      <c r="V808" s="14">
        <f t="shared" si="921"/>
        <v>2018</v>
      </c>
      <c r="W808" s="14">
        <f t="shared" si="922"/>
        <v>11</v>
      </c>
      <c r="X808" s="14">
        <f>VLOOKUP(W808,[1]Lookups!$P$3:$S$15,2,FALSE)</f>
        <v>4</v>
      </c>
      <c r="Y808" s="16">
        <f>VLOOKUP(W808,[1]Lookups!$P$3:$U$15,3,FALSE)</f>
        <v>2</v>
      </c>
      <c r="Z808" s="16">
        <f t="shared" si="923"/>
        <v>5</v>
      </c>
      <c r="AA808" s="16" t="str">
        <f t="shared" ca="1" si="1058"/>
        <v>Axa Insurance Morocco</v>
      </c>
      <c r="AB808" s="16" t="str">
        <f t="shared" ca="1" si="1058"/>
        <v xml:space="preserve"> 1776 Ventures</v>
      </c>
      <c r="AC808" s="16" t="str">
        <f t="shared" ca="1" si="1058"/>
        <v xml:space="preserve"> Wamda Capital</v>
      </c>
      <c r="AD808" s="16" t="str">
        <f t="shared" ca="1" si="1058"/>
        <v xml:space="preserve"> TLcom Capital Partners</v>
      </c>
      <c r="AE808" s="16" t="str">
        <f t="shared" ca="1" si="1058"/>
        <v xml:space="preserve"> DOB Equity</v>
      </c>
      <c r="AF808" s="16">
        <f t="shared" si="1058"/>
        <v>0</v>
      </c>
      <c r="AG808" s="16">
        <f t="shared" si="1058"/>
        <v>0</v>
      </c>
      <c r="AH808" s="16">
        <f t="shared" si="1058"/>
        <v>0</v>
      </c>
      <c r="AI808" s="16">
        <f t="shared" si="1058"/>
        <v>0</v>
      </c>
      <c r="AJ808" s="16">
        <f t="shared" si="1058"/>
        <v>0</v>
      </c>
      <c r="AK808" s="16">
        <f t="shared" si="1058"/>
        <v>0</v>
      </c>
      <c r="AL808" s="16">
        <f t="shared" si="1058"/>
        <v>0</v>
      </c>
      <c r="AM808" s="16">
        <f t="shared" si="1058"/>
        <v>0</v>
      </c>
      <c r="AN808" s="16">
        <f t="shared" si="1058"/>
        <v>0</v>
      </c>
      <c r="AO808" s="16">
        <f t="shared" si="1058"/>
        <v>0</v>
      </c>
      <c r="AP808" s="10"/>
      <c r="AQ808" s="10"/>
      <c r="AR808" s="10"/>
      <c r="AS808" s="10" t="str">
        <f t="shared" ref="AS808" ca="1" si="1071">IFERROR(__xludf.DUMMYFUNCTION("split(F723,"","",true,true)"),"Axa Insurance Morocco")</f>
        <v>Axa Insurance Morocco</v>
      </c>
      <c r="AT808" s="10" t="str">
        <f ca="1">IFERROR(__xludf.DUMMYFUNCTION("""COMPUTED_VALUE""")," 1776 Ventures")</f>
        <v xml:space="preserve"> 1776 Ventures</v>
      </c>
      <c r="AU808" s="10" t="str">
        <f ca="1">IFERROR(__xludf.DUMMYFUNCTION("""COMPUTED_VALUE""")," Wamda Capital")</f>
        <v xml:space="preserve"> Wamda Capital</v>
      </c>
      <c r="AV808" s="10" t="str">
        <f ca="1">IFERROR(__xludf.DUMMYFUNCTION("""COMPUTED_VALUE""")," TLcom Capital Partners")</f>
        <v xml:space="preserve"> TLcom Capital Partners</v>
      </c>
      <c r="AW808" s="10" t="str">
        <f ca="1">IFERROR(__xludf.DUMMYFUNCTION("""COMPUTED_VALUE""")," DOB Equity")</f>
        <v xml:space="preserve"> DOB Equity</v>
      </c>
      <c r="AX808" s="10"/>
      <c r="AY808" s="10"/>
      <c r="AZ808" s="10"/>
      <c r="BA808" s="10"/>
      <c r="BB808" s="10"/>
      <c r="BC808" s="10"/>
      <c r="BD808" s="10"/>
      <c r="BE808" s="10"/>
      <c r="BF808" s="10"/>
      <c r="BG808" s="10"/>
      <c r="BH808" s="10"/>
      <c r="BI808" s="10"/>
      <c r="BJ808" s="10"/>
      <c r="BK808" s="10"/>
      <c r="BM808" s="10"/>
    </row>
    <row r="809" spans="1:65" ht="12.75">
      <c r="A809" s="18">
        <v>43419</v>
      </c>
      <c r="B809" s="14" t="s">
        <v>1750</v>
      </c>
      <c r="C809" s="19">
        <v>700000</v>
      </c>
      <c r="D809" s="19"/>
      <c r="E809" s="14" t="s">
        <v>45</v>
      </c>
      <c r="F809" s="14" t="s">
        <v>1751</v>
      </c>
      <c r="G809" s="27" t="s">
        <v>1752</v>
      </c>
      <c r="H809" s="14" t="str">
        <f t="array" ref="H809">IFERROR(INDEX([1]Companies!$G:$G,MATCH(B809,[1]Companies!$A:$A,0)),"")</f>
        <v>Egypt</v>
      </c>
      <c r="I809" s="14" t="str">
        <f t="shared" si="974"/>
        <v>Egypt</v>
      </c>
      <c r="J809" s="14" t="str">
        <f t="array" ref="J809">IFERROR(INDEX([1]Companies!$Y:$Y,MATCH(B809,[1]Companies!$A:$A,0)),"")</f>
        <v>Food and Beverage</v>
      </c>
      <c r="K809" s="14" t="str">
        <f t="array" ref="K809">IFERROR(INDEX([1]Companies!$X:$X,MATCH(B809,[1]Companies!$A:$A,0)),"")</f>
        <v>E-Commerce &amp; Retail</v>
      </c>
      <c r="L809" s="14" t="str">
        <f>VLOOKUP(B809,[1]Companies!$A$1:$C$5243,1,FALSE)</f>
        <v>Fakahany</v>
      </c>
      <c r="M809" s="15">
        <f t="shared" si="975"/>
        <v>0.9</v>
      </c>
      <c r="N809" s="10" t="str">
        <f t="shared" si="976"/>
        <v>43419Fakahany700000</v>
      </c>
      <c r="O809" s="14" t="str">
        <f t="shared" si="1017"/>
        <v/>
      </c>
      <c r="P809" s="14">
        <f t="shared" si="978"/>
        <v>1</v>
      </c>
      <c r="Q809" s="14">
        <f t="array" ref="Q809">IFERROR(INDEX([1]Companies!$D:$D,MATCH(B809,[1]Companies!$A:$A,0)),"")</f>
        <v>2017</v>
      </c>
      <c r="R809" s="17">
        <f t="shared" si="979"/>
        <v>700000</v>
      </c>
      <c r="S809" s="14">
        <f>VLOOKUP(I809,[1]Lookups!$V$3:$Y$197,4,FALSE)</f>
        <v>0</v>
      </c>
      <c r="T809" s="14" t="str">
        <f>VLOOKUP(E809,[1]Lookups!$H$3:$I$71,2,FALSE)</f>
        <v>2. Seed</v>
      </c>
      <c r="U809" s="14" t="str">
        <f>VLOOKUP(K809,[1]Lookups!$B$3:$C$142,2,FALSE)</f>
        <v>E-commerce &amp; Retail</v>
      </c>
      <c r="V809" s="14">
        <f t="shared" si="921"/>
        <v>2018</v>
      </c>
      <c r="W809" s="14">
        <f t="shared" si="922"/>
        <v>11</v>
      </c>
      <c r="X809" s="14">
        <f>VLOOKUP(W809,[1]Lookups!$P$3:$S$15,2,FALSE)</f>
        <v>4</v>
      </c>
      <c r="Y809" s="16">
        <f>VLOOKUP(W809,[1]Lookups!$P$3:$U$15,3,FALSE)</f>
        <v>2</v>
      </c>
      <c r="Z809" s="16">
        <f t="shared" si="923"/>
        <v>1</v>
      </c>
      <c r="AA809" s="16" t="str">
        <f t="shared" ca="1" si="1058"/>
        <v>Axa Insurance Morocco</v>
      </c>
      <c r="AB809" s="16">
        <f t="shared" si="1058"/>
        <v>0</v>
      </c>
      <c r="AC809" s="16">
        <f t="shared" si="1058"/>
        <v>0</v>
      </c>
      <c r="AD809" s="16">
        <f t="shared" si="1058"/>
        <v>0</v>
      </c>
      <c r="AE809" s="16">
        <f t="shared" si="1058"/>
        <v>0</v>
      </c>
      <c r="AF809" s="16">
        <f t="shared" si="1058"/>
        <v>0</v>
      </c>
      <c r="AG809" s="16">
        <f t="shared" si="1058"/>
        <v>0</v>
      </c>
      <c r="AH809" s="16">
        <f t="shared" si="1058"/>
        <v>0</v>
      </c>
      <c r="AI809" s="16">
        <f t="shared" si="1058"/>
        <v>0</v>
      </c>
      <c r="AJ809" s="16">
        <f t="shared" si="1058"/>
        <v>0</v>
      </c>
      <c r="AK809" s="16">
        <f t="shared" si="1058"/>
        <v>0</v>
      </c>
      <c r="AL809" s="16">
        <f t="shared" si="1058"/>
        <v>0</v>
      </c>
      <c r="AM809" s="16">
        <f t="shared" si="1058"/>
        <v>0</v>
      </c>
      <c r="AN809" s="16">
        <f t="shared" si="1058"/>
        <v>0</v>
      </c>
      <c r="AO809" s="16">
        <f t="shared" si="1058"/>
        <v>0</v>
      </c>
      <c r="AP809" s="10"/>
      <c r="AQ809" s="10"/>
      <c r="AR809" s="10"/>
      <c r="AS809" s="10" t="str">
        <f t="shared" ref="AS809" ca="1" si="1072">IFERROR(__xludf.DUMMYFUNCTION("split(F723,"","",true,true)"),"Axa Insurance Morocco")</f>
        <v>Axa Insurance Morocco</v>
      </c>
      <c r="AT809" s="10"/>
      <c r="AU809" s="10"/>
      <c r="AV809" s="10"/>
      <c r="AW809" s="10"/>
      <c r="AX809" s="10"/>
      <c r="AY809" s="10"/>
      <c r="AZ809" s="10"/>
      <c r="BA809" s="10"/>
      <c r="BB809" s="10"/>
      <c r="BC809" s="10"/>
      <c r="BD809" s="10"/>
      <c r="BE809" s="10"/>
      <c r="BF809" s="10"/>
      <c r="BG809" s="10"/>
      <c r="BH809" s="10"/>
      <c r="BI809" s="10"/>
      <c r="BJ809" s="10"/>
      <c r="BK809" s="10"/>
      <c r="BM809" s="10"/>
    </row>
    <row r="810" spans="1:65" ht="12.75">
      <c r="A810" s="18">
        <v>43419</v>
      </c>
      <c r="B810" s="14" t="s">
        <v>1753</v>
      </c>
      <c r="C810" s="19">
        <v>563000</v>
      </c>
      <c r="D810" s="19"/>
      <c r="E810" s="14" t="s">
        <v>45</v>
      </c>
      <c r="F810" s="14" t="s">
        <v>1754</v>
      </c>
      <c r="G810" s="27" t="s">
        <v>1755</v>
      </c>
      <c r="H810" s="14" t="str">
        <f t="array" ref="H810">IFERROR(INDEX([1]Companies!$G:$G,MATCH(B810,[1]Companies!$A:$A,0)),"")</f>
        <v>South Africa</v>
      </c>
      <c r="I810" s="14" t="str">
        <f t="shared" si="974"/>
        <v>South Africa</v>
      </c>
      <c r="J810" s="14" t="str">
        <f t="array" ref="J810">IFERROR(INDEX([1]Companies!$Y:$Y,MATCH(B810,[1]Companies!$A:$A,0)),"")</f>
        <v>Machine learning, Artificial Intelligence, Chat bot, FinTech</v>
      </c>
      <c r="K810" s="14" t="str">
        <f t="array" ref="K810">IFERROR(INDEX([1]Companies!$X:$X,MATCH(B810,[1]Companies!$A:$A,0)),"")</f>
        <v>Financial Services</v>
      </c>
      <c r="L810" s="14" t="str">
        <f>VLOOKUP(B810,[1]Companies!$A$1:$C$5243,1,FALSE)</f>
        <v>Finchatbot</v>
      </c>
      <c r="M810" s="15">
        <f t="shared" si="975"/>
        <v>0.9</v>
      </c>
      <c r="N810" s="10" t="str">
        <f t="shared" si="976"/>
        <v>43419FinChatBot563000</v>
      </c>
      <c r="O810" s="14" t="str">
        <f t="shared" si="1017"/>
        <v/>
      </c>
      <c r="P810" s="14">
        <f t="shared" si="978"/>
        <v>1</v>
      </c>
      <c r="Q810" s="14">
        <f t="array" ref="Q810">IFERROR(INDEX([1]Companies!$D:$D,MATCH(B810,[1]Companies!$A:$A,0)),"")</f>
        <v>2016</v>
      </c>
      <c r="R810" s="17">
        <f t="shared" si="979"/>
        <v>563000</v>
      </c>
      <c r="S810" s="14">
        <f>VLOOKUP(I810,[1]Lookups!$V$3:$Y$197,4,FALSE)</f>
        <v>0</v>
      </c>
      <c r="T810" s="14" t="str">
        <f>VLOOKUP(E810,[1]Lookups!$H$3:$I$71,2,FALSE)</f>
        <v>2. Seed</v>
      </c>
      <c r="U810" s="14" t="str">
        <f>VLOOKUP(K810,[1]Lookups!$B$3:$C$142,2,FALSE)</f>
        <v>Financial Services</v>
      </c>
      <c r="V810" s="14">
        <f t="shared" si="921"/>
        <v>2018</v>
      </c>
      <c r="W810" s="14">
        <f t="shared" si="922"/>
        <v>11</v>
      </c>
      <c r="X810" s="14">
        <f>VLOOKUP(W810,[1]Lookups!$P$3:$S$15,2,FALSE)</f>
        <v>4</v>
      </c>
      <c r="Y810" s="16">
        <f>VLOOKUP(W810,[1]Lookups!$P$3:$U$15,3,FALSE)</f>
        <v>2</v>
      </c>
      <c r="Z810" s="16">
        <f t="shared" si="923"/>
        <v>2</v>
      </c>
      <c r="AA810" s="16" t="str">
        <f t="shared" ca="1" si="1058"/>
        <v>Axa Insurance Morocco</v>
      </c>
      <c r="AB810" s="16" t="str">
        <f t="shared" ca="1" si="1058"/>
        <v xml:space="preserve"> Compass Capital</v>
      </c>
      <c r="AC810" s="16">
        <f t="shared" si="1058"/>
        <v>0</v>
      </c>
      <c r="AD810" s="16">
        <f t="shared" si="1058"/>
        <v>0</v>
      </c>
      <c r="AE810" s="16">
        <f t="shared" si="1058"/>
        <v>0</v>
      </c>
      <c r="AF810" s="16">
        <f t="shared" si="1058"/>
        <v>0</v>
      </c>
      <c r="AG810" s="16">
        <f t="shared" si="1058"/>
        <v>0</v>
      </c>
      <c r="AH810" s="16">
        <f t="shared" si="1058"/>
        <v>0</v>
      </c>
      <c r="AI810" s="16">
        <f t="shared" si="1058"/>
        <v>0</v>
      </c>
      <c r="AJ810" s="16">
        <f t="shared" si="1058"/>
        <v>0</v>
      </c>
      <c r="AK810" s="16">
        <f t="shared" si="1058"/>
        <v>0</v>
      </c>
      <c r="AL810" s="16">
        <f t="shared" si="1058"/>
        <v>0</v>
      </c>
      <c r="AM810" s="16">
        <f t="shared" si="1058"/>
        <v>0</v>
      </c>
      <c r="AN810" s="16">
        <f t="shared" si="1058"/>
        <v>0</v>
      </c>
      <c r="AO810" s="16">
        <f t="shared" si="1058"/>
        <v>0</v>
      </c>
      <c r="AP810" s="10"/>
      <c r="AQ810" s="10"/>
      <c r="AR810" s="10"/>
      <c r="AS810" s="10" t="str">
        <f t="shared" ref="AS810" ca="1" si="1073">IFERROR(__xludf.DUMMYFUNCTION("split(F723,"","",true,true)"),"Axa Insurance Morocco")</f>
        <v>Axa Insurance Morocco</v>
      </c>
      <c r="AT810" s="10" t="str">
        <f ca="1">IFERROR(__xludf.DUMMYFUNCTION("""COMPUTED_VALUE""")," Compass Capital")</f>
        <v xml:space="preserve"> Compass Capital</v>
      </c>
      <c r="AU810" s="10"/>
      <c r="AV810" s="10"/>
      <c r="AW810" s="10"/>
      <c r="AX810" s="10"/>
      <c r="AY810" s="10"/>
      <c r="AZ810" s="10"/>
      <c r="BA810" s="10"/>
      <c r="BB810" s="10"/>
      <c r="BC810" s="10"/>
      <c r="BD810" s="10"/>
      <c r="BE810" s="10"/>
      <c r="BF810" s="10"/>
      <c r="BG810" s="10"/>
      <c r="BH810" s="10"/>
      <c r="BI810" s="10"/>
      <c r="BJ810" s="10"/>
      <c r="BK810" s="10"/>
      <c r="BM810" s="10"/>
    </row>
    <row r="811" spans="1:65" ht="12.75">
      <c r="A811" s="18">
        <v>43419</v>
      </c>
      <c r="B811" s="14" t="s">
        <v>1756</v>
      </c>
      <c r="C811" s="19">
        <v>150000</v>
      </c>
      <c r="D811" s="19"/>
      <c r="E811" s="14" t="s">
        <v>55</v>
      </c>
      <c r="F811" s="14" t="s">
        <v>1757</v>
      </c>
      <c r="G811" s="27" t="s">
        <v>1758</v>
      </c>
      <c r="H811" s="14" t="str">
        <f t="array" ref="H811">IFERROR(INDEX([1]Companies!$G:$G,MATCH(B811,[1]Companies!$A:$A,0)),"")</f>
        <v>Kenya</v>
      </c>
      <c r="I811" s="14" t="str">
        <f t="shared" si="974"/>
        <v>Kenya</v>
      </c>
      <c r="J811" s="14" t="str">
        <f t="array" ref="J811">IFERROR(INDEX([1]Companies!$Y:$Y,MATCH(B811,[1]Companies!$A:$A,0)),"")</f>
        <v>Information Services, Farming</v>
      </c>
      <c r="K811" s="14" t="str">
        <f t="array" ref="K811">IFERROR(INDEX([1]Companies!$X:$X,MATCH(B811,[1]Companies!$A:$A,0)),"")</f>
        <v>Agriculture</v>
      </c>
      <c r="L811" s="14" t="str">
        <f>VLOOKUP(B811,[1]Companies!$A$1:$C$5243,1,FALSE)</f>
        <v>Farm.Ink</v>
      </c>
      <c r="M811" s="15">
        <f t="shared" si="975"/>
        <v>0.9</v>
      </c>
      <c r="N811" s="10" t="str">
        <f t="shared" si="976"/>
        <v>43419Farm.ink150000</v>
      </c>
      <c r="O811" s="14" t="str">
        <f t="shared" si="1017"/>
        <v/>
      </c>
      <c r="P811" s="14">
        <f t="shared" si="978"/>
        <v>1</v>
      </c>
      <c r="Q811" s="14">
        <f t="array" ref="Q811">IFERROR(INDEX([1]Companies!$D:$D,MATCH(B811,[1]Companies!$A:$A,0)),"")</f>
        <v>2016</v>
      </c>
      <c r="R811" s="17">
        <f t="shared" si="979"/>
        <v>150000</v>
      </c>
      <c r="S811" s="14">
        <f>VLOOKUP(I811,[1]Lookups!$V$3:$Y$197,4,FALSE)</f>
        <v>0</v>
      </c>
      <c r="T811" s="14" t="str">
        <f>VLOOKUP(E811,[1]Lookups!$H$3:$I$71,2,FALSE)</f>
        <v>1. Grant</v>
      </c>
      <c r="U811" s="14" t="str">
        <f>VLOOKUP(K811,[1]Lookups!$B$3:$C$142,2,FALSE)</f>
        <v>Agriculture</v>
      </c>
      <c r="V811" s="14">
        <f t="shared" si="921"/>
        <v>2018</v>
      </c>
      <c r="W811" s="14">
        <f t="shared" si="922"/>
        <v>11</v>
      </c>
      <c r="X811" s="14">
        <f>VLOOKUP(W811,[1]Lookups!$P$3:$S$15,2,FALSE)</f>
        <v>4</v>
      </c>
      <c r="Y811" s="16">
        <f>VLOOKUP(W811,[1]Lookups!$P$3:$U$15,3,FALSE)</f>
        <v>2</v>
      </c>
      <c r="Z811" s="16">
        <f t="shared" si="923"/>
        <v>1</v>
      </c>
      <c r="AA811" s="16" t="str">
        <f t="shared" ca="1" si="1058"/>
        <v>Axa Insurance Morocco</v>
      </c>
      <c r="AB811" s="16">
        <f t="shared" si="1058"/>
        <v>0</v>
      </c>
      <c r="AC811" s="16">
        <f t="shared" si="1058"/>
        <v>0</v>
      </c>
      <c r="AD811" s="16">
        <f t="shared" si="1058"/>
        <v>0</v>
      </c>
      <c r="AE811" s="16">
        <f t="shared" si="1058"/>
        <v>0</v>
      </c>
      <c r="AF811" s="16">
        <f t="shared" si="1058"/>
        <v>0</v>
      </c>
      <c r="AG811" s="16">
        <f t="shared" si="1058"/>
        <v>0</v>
      </c>
      <c r="AH811" s="16">
        <f t="shared" si="1058"/>
        <v>0</v>
      </c>
      <c r="AI811" s="16">
        <f t="shared" si="1058"/>
        <v>0</v>
      </c>
      <c r="AJ811" s="16">
        <f t="shared" si="1058"/>
        <v>0</v>
      </c>
      <c r="AK811" s="16">
        <f t="shared" si="1058"/>
        <v>0</v>
      </c>
      <c r="AL811" s="16">
        <f t="shared" si="1058"/>
        <v>0</v>
      </c>
      <c r="AM811" s="16">
        <f t="shared" si="1058"/>
        <v>0</v>
      </c>
      <c r="AN811" s="16">
        <f t="shared" si="1058"/>
        <v>0</v>
      </c>
      <c r="AO811" s="16">
        <f t="shared" si="1058"/>
        <v>0</v>
      </c>
      <c r="AP811" s="10"/>
      <c r="AQ811" s="10"/>
      <c r="AR811" s="10"/>
      <c r="AS811" s="10" t="str">
        <f t="shared" ref="AS811" ca="1" si="1074">IFERROR(__xludf.DUMMYFUNCTION("split(F723,"","",true,true)"),"Axa Insurance Morocco")</f>
        <v>Axa Insurance Morocco</v>
      </c>
      <c r="AT811" s="10"/>
      <c r="AU811" s="10"/>
      <c r="AV811" s="10"/>
      <c r="AW811" s="10"/>
      <c r="AX811" s="10"/>
      <c r="AY811" s="10"/>
      <c r="AZ811" s="10"/>
      <c r="BA811" s="10"/>
      <c r="BB811" s="10"/>
      <c r="BC811" s="10"/>
      <c r="BD811" s="10"/>
      <c r="BE811" s="10"/>
      <c r="BF811" s="10"/>
      <c r="BG811" s="10"/>
      <c r="BH811" s="10"/>
      <c r="BI811" s="10"/>
      <c r="BJ811" s="10"/>
      <c r="BK811" s="10"/>
      <c r="BM811" s="10"/>
    </row>
    <row r="812" spans="1:65" ht="12.75">
      <c r="A812" s="18">
        <v>43420</v>
      </c>
      <c r="B812" s="14" t="s">
        <v>1759</v>
      </c>
      <c r="C812" s="19">
        <v>15000</v>
      </c>
      <c r="D812" s="19"/>
      <c r="E812" s="14" t="s">
        <v>45</v>
      </c>
      <c r="F812" s="14" t="s">
        <v>1191</v>
      </c>
      <c r="G812" s="27" t="s">
        <v>1760</v>
      </c>
      <c r="H812" s="14" t="str">
        <f t="array" ref="H812">IFERROR(INDEX([1]Companies!$G:$G,MATCH(B812,[1]Companies!$A:$A,0)),"")</f>
        <v>Nigeria</v>
      </c>
      <c r="I812" s="14" t="str">
        <f t="shared" si="974"/>
        <v>Nigeria</v>
      </c>
      <c r="J812" s="14" t="str">
        <f t="array" ref="J812">IFERROR(INDEX([1]Companies!$Y:$Y,MATCH(B812,[1]Companies!$A:$A,0)),"")</f>
        <v>Solar, Clean Technology</v>
      </c>
      <c r="K812" s="14" t="str">
        <f t="array" ref="K812">IFERROR(INDEX([1]Companies!$X:$X,MATCH(B812,[1]Companies!$A:$A,0)),"")</f>
        <v>Energy &amp; Environment Resources</v>
      </c>
      <c r="L812" s="14" t="str">
        <f>VLOOKUP(B812,[1]Companies!$A$1:$C$5243,1,FALSE)</f>
        <v>Greenage Technologies</v>
      </c>
      <c r="M812" s="15">
        <f t="shared" si="975"/>
        <v>0.9</v>
      </c>
      <c r="N812" s="10" t="str">
        <f t="shared" si="976"/>
        <v>43420Greenage Technologies15000</v>
      </c>
      <c r="O812" s="14" t="str">
        <f t="shared" si="1017"/>
        <v/>
      </c>
      <c r="P812" s="14">
        <f t="shared" si="978"/>
        <v>1</v>
      </c>
      <c r="Q812" s="14">
        <f t="array" ref="Q812">IFERROR(INDEX([1]Companies!$D:$D,MATCH(B812,[1]Companies!$A:$A,0)),"")</f>
        <v>2007</v>
      </c>
      <c r="R812" s="17">
        <f t="shared" si="979"/>
        <v>92000</v>
      </c>
      <c r="S812" s="14">
        <f>VLOOKUP(I812,[1]Lookups!$V$3:$Y$197,4,FALSE)</f>
        <v>0</v>
      </c>
      <c r="T812" s="14" t="str">
        <f>VLOOKUP(E812,[1]Lookups!$H$3:$I$71,2,FALSE)</f>
        <v>2. Seed</v>
      </c>
      <c r="U812" s="14" t="e">
        <f>VLOOKUP(K812,[1]Lookups!$B$3:$C$142,2,FALSE)</f>
        <v>#N/A</v>
      </c>
      <c r="V812" s="14">
        <f t="shared" si="921"/>
        <v>2018</v>
      </c>
      <c r="W812" s="14">
        <f t="shared" si="922"/>
        <v>11</v>
      </c>
      <c r="X812" s="14">
        <f>VLOOKUP(W812,[1]Lookups!$P$3:$S$15,2,FALSE)</f>
        <v>4</v>
      </c>
      <c r="Y812" s="16">
        <f>VLOOKUP(W812,[1]Lookups!$P$3:$U$15,3,FALSE)</f>
        <v>2</v>
      </c>
      <c r="Z812" s="16">
        <f t="shared" si="923"/>
        <v>1</v>
      </c>
      <c r="AA812" s="16" t="str">
        <f t="shared" ref="AA812:AO827" ca="1" si="1075">AS812</f>
        <v>Axa Insurance Morocco</v>
      </c>
      <c r="AB812" s="16">
        <f t="shared" si="1075"/>
        <v>0</v>
      </c>
      <c r="AC812" s="16">
        <f t="shared" si="1075"/>
        <v>0</v>
      </c>
      <c r="AD812" s="16">
        <f t="shared" si="1075"/>
        <v>0</v>
      </c>
      <c r="AE812" s="16">
        <f t="shared" si="1075"/>
        <v>0</v>
      </c>
      <c r="AF812" s="16">
        <f t="shared" si="1075"/>
        <v>0</v>
      </c>
      <c r="AG812" s="16">
        <f t="shared" si="1075"/>
        <v>0</v>
      </c>
      <c r="AH812" s="16">
        <f t="shared" si="1075"/>
        <v>0</v>
      </c>
      <c r="AI812" s="16">
        <f t="shared" si="1075"/>
        <v>0</v>
      </c>
      <c r="AJ812" s="16">
        <f t="shared" si="1075"/>
        <v>0</v>
      </c>
      <c r="AK812" s="16">
        <f t="shared" si="1075"/>
        <v>0</v>
      </c>
      <c r="AL812" s="16">
        <f t="shared" si="1075"/>
        <v>0</v>
      </c>
      <c r="AM812" s="16">
        <f t="shared" si="1075"/>
        <v>0</v>
      </c>
      <c r="AN812" s="16">
        <f t="shared" si="1075"/>
        <v>0</v>
      </c>
      <c r="AO812" s="16">
        <f t="shared" si="1075"/>
        <v>0</v>
      </c>
      <c r="AP812" s="10"/>
      <c r="AQ812" s="10"/>
      <c r="AR812" s="10"/>
      <c r="AS812" s="10" t="str">
        <f t="shared" ref="AS812" ca="1" si="1076">IFERROR(__xludf.DUMMYFUNCTION("split(F723,"","",true,true)"),"Axa Insurance Morocco")</f>
        <v>Axa Insurance Morocco</v>
      </c>
      <c r="AT812" s="10"/>
      <c r="AU812" s="10"/>
      <c r="AV812" s="10"/>
      <c r="AW812" s="10"/>
      <c r="AX812" s="10"/>
      <c r="AY812" s="10"/>
      <c r="AZ812" s="10"/>
      <c r="BA812" s="10"/>
      <c r="BB812" s="10"/>
      <c r="BC812" s="10"/>
      <c r="BD812" s="10"/>
      <c r="BE812" s="10"/>
      <c r="BF812" s="10"/>
      <c r="BG812" s="10"/>
      <c r="BH812" s="10"/>
      <c r="BI812" s="10"/>
      <c r="BJ812" s="10"/>
      <c r="BK812" s="10"/>
      <c r="BM812" s="10"/>
    </row>
    <row r="813" spans="1:65" ht="12.75">
      <c r="A813" s="18">
        <v>43420</v>
      </c>
      <c r="B813" s="14" t="s">
        <v>1761</v>
      </c>
      <c r="C813" s="19">
        <v>15000</v>
      </c>
      <c r="D813" s="19"/>
      <c r="E813" s="14" t="s">
        <v>45</v>
      </c>
      <c r="F813" s="14" t="s">
        <v>1191</v>
      </c>
      <c r="G813" s="27" t="s">
        <v>1760</v>
      </c>
      <c r="H813" s="14" t="str">
        <f t="array" ref="H813">IFERROR(INDEX([1]Companies!$G:$G,MATCH(B813,[1]Companies!$A:$A,0)),"")</f>
        <v>Nigeria</v>
      </c>
      <c r="I813" s="14" t="str">
        <f t="shared" si="974"/>
        <v>Nigeria</v>
      </c>
      <c r="J813" s="14" t="str">
        <f t="array" ref="J813">IFERROR(INDEX([1]Companies!$Y:$Y,MATCH(B813,[1]Companies!$A:$A,0)),"")</f>
        <v>Legal services</v>
      </c>
      <c r="K813" s="14" t="str">
        <f t="array" ref="K813">IFERROR(INDEX([1]Companies!$X:$X,MATCH(B813,[1]Companies!$A:$A,0)),"")</f>
        <v>Commercial &amp; Professional Services</v>
      </c>
      <c r="L813" s="14" t="str">
        <f>VLOOKUP(B813,[1]Companies!$A$1:$C$5243,1,FALSE)</f>
        <v>Lawyerapp</v>
      </c>
      <c r="M813" s="15">
        <f t="shared" si="975"/>
        <v>0.9</v>
      </c>
      <c r="N813" s="10" t="str">
        <f t="shared" si="976"/>
        <v>43420LawyerApp15000</v>
      </c>
      <c r="O813" s="14" t="str">
        <f t="shared" si="1017"/>
        <v/>
      </c>
      <c r="P813" s="14">
        <f t="shared" si="978"/>
        <v>1</v>
      </c>
      <c r="Q813" s="14">
        <f t="array" ref="Q813">IFERROR(INDEX([1]Companies!$D:$D,MATCH(B813,[1]Companies!$A:$A,0)),"")</f>
        <v>2018</v>
      </c>
      <c r="R813" s="17">
        <f t="shared" si="979"/>
        <v>15000</v>
      </c>
      <c r="S813" s="14">
        <f>VLOOKUP(I813,[1]Lookups!$V$3:$Y$197,4,FALSE)</f>
        <v>0</v>
      </c>
      <c r="T813" s="14" t="str">
        <f>VLOOKUP(E813,[1]Lookups!$H$3:$I$71,2,FALSE)</f>
        <v>2. Seed</v>
      </c>
      <c r="U813" s="14" t="str">
        <f>VLOOKUP(K813,[1]Lookups!$B$3:$C$142,2,FALSE)</f>
        <v>Other Technologies &amp; Information Technology</v>
      </c>
      <c r="V813" s="14">
        <f t="shared" si="921"/>
        <v>2018</v>
      </c>
      <c r="W813" s="14">
        <f t="shared" si="922"/>
        <v>11</v>
      </c>
      <c r="X813" s="14">
        <f>VLOOKUP(W813,[1]Lookups!$P$3:$S$15,2,FALSE)</f>
        <v>4</v>
      </c>
      <c r="Y813" s="16">
        <f>VLOOKUP(W813,[1]Lookups!$P$3:$U$15,3,FALSE)</f>
        <v>2</v>
      </c>
      <c r="Z813" s="16">
        <f t="shared" si="923"/>
        <v>1</v>
      </c>
      <c r="AA813" s="16" t="str">
        <f t="shared" ca="1" si="1075"/>
        <v>Axa Insurance Morocco</v>
      </c>
      <c r="AB813" s="16">
        <f t="shared" si="1075"/>
        <v>0</v>
      </c>
      <c r="AC813" s="16">
        <f t="shared" si="1075"/>
        <v>0</v>
      </c>
      <c r="AD813" s="16">
        <f t="shared" si="1075"/>
        <v>0</v>
      </c>
      <c r="AE813" s="16">
        <f t="shared" si="1075"/>
        <v>0</v>
      </c>
      <c r="AF813" s="16">
        <f t="shared" si="1075"/>
        <v>0</v>
      </c>
      <c r="AG813" s="16">
        <f t="shared" si="1075"/>
        <v>0</v>
      </c>
      <c r="AH813" s="16">
        <f t="shared" si="1075"/>
        <v>0</v>
      </c>
      <c r="AI813" s="16">
        <f t="shared" si="1075"/>
        <v>0</v>
      </c>
      <c r="AJ813" s="16">
        <f t="shared" si="1075"/>
        <v>0</v>
      </c>
      <c r="AK813" s="16">
        <f t="shared" si="1075"/>
        <v>0</v>
      </c>
      <c r="AL813" s="16">
        <f t="shared" si="1075"/>
        <v>0</v>
      </c>
      <c r="AM813" s="16">
        <f t="shared" si="1075"/>
        <v>0</v>
      </c>
      <c r="AN813" s="16">
        <f t="shared" si="1075"/>
        <v>0</v>
      </c>
      <c r="AO813" s="16">
        <f t="shared" si="1075"/>
        <v>0</v>
      </c>
      <c r="AP813" s="10"/>
      <c r="AQ813" s="10"/>
      <c r="AR813" s="10"/>
      <c r="AS813" s="10" t="str">
        <f t="shared" ref="AS813" ca="1" si="1077">IFERROR(__xludf.DUMMYFUNCTION("split(F723,"","",true,true)"),"Axa Insurance Morocco")</f>
        <v>Axa Insurance Morocco</v>
      </c>
      <c r="AT813" s="10"/>
      <c r="AU813" s="10"/>
      <c r="AV813" s="10"/>
      <c r="AW813" s="10"/>
      <c r="AX813" s="10"/>
      <c r="AY813" s="10"/>
      <c r="AZ813" s="10"/>
      <c r="BA813" s="10"/>
      <c r="BB813" s="10"/>
      <c r="BC813" s="10"/>
      <c r="BD813" s="10"/>
      <c r="BE813" s="10"/>
      <c r="BF813" s="10"/>
      <c r="BG813" s="10"/>
      <c r="BH813" s="10"/>
      <c r="BI813" s="10"/>
      <c r="BJ813" s="10"/>
      <c r="BK813" s="10"/>
      <c r="BM813" s="10"/>
    </row>
    <row r="814" spans="1:65" ht="12.75">
      <c r="A814" s="18">
        <v>43423</v>
      </c>
      <c r="B814" s="14" t="s">
        <v>1762</v>
      </c>
      <c r="C814" s="19">
        <v>50000</v>
      </c>
      <c r="D814" s="19"/>
      <c r="E814" s="14" t="s">
        <v>55</v>
      </c>
      <c r="F814" s="14" t="s">
        <v>1757</v>
      </c>
      <c r="G814" s="27" t="s">
        <v>1763</v>
      </c>
      <c r="H814" s="14" t="str">
        <f t="array" ref="H814">IFERROR(INDEX([1]Companies!$G:$G,MATCH(B814,[1]Companies!$A:$A,0)),"")</f>
        <v>Ghana</v>
      </c>
      <c r="I814" s="14" t="str">
        <f t="shared" si="974"/>
        <v>Ghana</v>
      </c>
      <c r="J814" s="14" t="str">
        <f t="array" ref="J814">IFERROR(INDEX([1]Companies!$Y:$Y,MATCH(B814,[1]Companies!$A:$A,0)),"")</f>
        <v>Geospatial Modelling</v>
      </c>
      <c r="K814" s="14" t="str">
        <f t="array" ref="K814">IFERROR(INDEX([1]Companies!$X:$X,MATCH(B814,[1]Companies!$A:$A,0)),"")</f>
        <v>Information Technology</v>
      </c>
      <c r="L814" s="14" t="str">
        <f>VLOOKUP(B814,[1]Companies!$A$1:$C$5243,1,FALSE)</f>
        <v>Henson Geodata Technologies</v>
      </c>
      <c r="M814" s="15">
        <f t="shared" si="975"/>
        <v>0.9</v>
      </c>
      <c r="N814" s="10" t="str">
        <f t="shared" si="976"/>
        <v>43423Henson Geodata Technologies50000</v>
      </c>
      <c r="O814" s="14" t="str">
        <f t="shared" si="1017"/>
        <v/>
      </c>
      <c r="P814" s="14">
        <f t="shared" si="978"/>
        <v>1</v>
      </c>
      <c r="Q814" s="14">
        <f t="array" ref="Q814">IFERROR(INDEX([1]Companies!$D:$D,MATCH(B814,[1]Companies!$A:$A,0)),"")</f>
        <v>2013</v>
      </c>
      <c r="R814" s="17">
        <f t="shared" si="979"/>
        <v>50000</v>
      </c>
      <c r="S814" s="14">
        <f>VLOOKUP(I814,[1]Lookups!$V$3:$Y$197,4,FALSE)</f>
        <v>0</v>
      </c>
      <c r="T814" s="14" t="str">
        <f>VLOOKUP(E814,[1]Lookups!$H$3:$I$71,2,FALSE)</f>
        <v>1. Grant</v>
      </c>
      <c r="U814" s="14" t="str">
        <f>VLOOKUP(K814,[1]Lookups!$B$3:$C$142,2,FALSE)</f>
        <v>Other Technologies &amp; Information Technology</v>
      </c>
      <c r="V814" s="14">
        <f t="shared" si="921"/>
        <v>2018</v>
      </c>
      <c r="W814" s="14">
        <f t="shared" si="922"/>
        <v>11</v>
      </c>
      <c r="X814" s="14">
        <f>VLOOKUP(W814,[1]Lookups!$P$3:$S$15,2,FALSE)</f>
        <v>4</v>
      </c>
      <c r="Y814" s="16">
        <f>VLOOKUP(W814,[1]Lookups!$P$3:$U$15,3,FALSE)</f>
        <v>2</v>
      </c>
      <c r="Z814" s="16">
        <f t="shared" si="923"/>
        <v>1</v>
      </c>
      <c r="AA814" s="16" t="str">
        <f t="shared" ca="1" si="1075"/>
        <v>Axa Insurance Morocco</v>
      </c>
      <c r="AB814" s="16">
        <f t="shared" si="1075"/>
        <v>0</v>
      </c>
      <c r="AC814" s="16">
        <f t="shared" si="1075"/>
        <v>0</v>
      </c>
      <c r="AD814" s="16">
        <f t="shared" si="1075"/>
        <v>0</v>
      </c>
      <c r="AE814" s="16">
        <f t="shared" si="1075"/>
        <v>0</v>
      </c>
      <c r="AF814" s="16">
        <f t="shared" si="1075"/>
        <v>0</v>
      </c>
      <c r="AG814" s="16">
        <f t="shared" si="1075"/>
        <v>0</v>
      </c>
      <c r="AH814" s="16">
        <f t="shared" si="1075"/>
        <v>0</v>
      </c>
      <c r="AI814" s="16">
        <f t="shared" si="1075"/>
        <v>0</v>
      </c>
      <c r="AJ814" s="16">
        <f t="shared" si="1075"/>
        <v>0</v>
      </c>
      <c r="AK814" s="16">
        <f t="shared" si="1075"/>
        <v>0</v>
      </c>
      <c r="AL814" s="16">
        <f t="shared" si="1075"/>
        <v>0</v>
      </c>
      <c r="AM814" s="16">
        <f t="shared" si="1075"/>
        <v>0</v>
      </c>
      <c r="AN814" s="16">
        <f t="shared" si="1075"/>
        <v>0</v>
      </c>
      <c r="AO814" s="16">
        <f t="shared" si="1075"/>
        <v>0</v>
      </c>
      <c r="AP814" s="10"/>
      <c r="AQ814" s="10"/>
      <c r="AR814" s="10"/>
      <c r="AS814" s="10" t="str">
        <f t="shared" ref="AS814" ca="1" si="1078">IFERROR(__xludf.DUMMYFUNCTION("split(F723,"","",true,true)"),"Axa Insurance Morocco")</f>
        <v>Axa Insurance Morocco</v>
      </c>
      <c r="AT814" s="10"/>
      <c r="AU814" s="10"/>
      <c r="AV814" s="10"/>
      <c r="AW814" s="10"/>
      <c r="AX814" s="10"/>
      <c r="AY814" s="10"/>
      <c r="AZ814" s="10"/>
      <c r="BA814" s="10"/>
      <c r="BB814" s="10"/>
      <c r="BC814" s="10"/>
      <c r="BD814" s="10"/>
      <c r="BE814" s="10"/>
      <c r="BF814" s="10"/>
      <c r="BG814" s="10"/>
      <c r="BH814" s="10"/>
      <c r="BI814" s="10"/>
      <c r="BJ814" s="10"/>
      <c r="BK814" s="10"/>
      <c r="BM814" s="10"/>
    </row>
    <row r="815" spans="1:65" ht="12.75">
      <c r="A815" s="18">
        <v>43423</v>
      </c>
      <c r="B815" s="14" t="s">
        <v>1764</v>
      </c>
      <c r="C815" s="19">
        <v>50000</v>
      </c>
      <c r="D815" s="19"/>
      <c r="E815" s="14" t="s">
        <v>55</v>
      </c>
      <c r="F815" s="14" t="s">
        <v>1757</v>
      </c>
      <c r="G815" s="27" t="s">
        <v>1763</v>
      </c>
      <c r="H815" s="14" t="str">
        <f t="array" ref="H815">IFERROR(INDEX([1]Companies!$G:$G,MATCH(B815,[1]Companies!$A:$A,0)),"")</f>
        <v>Nigeria</v>
      </c>
      <c r="I815" s="14" t="str">
        <f t="shared" si="974"/>
        <v>Nigeria</v>
      </c>
      <c r="J815" s="14" t="str">
        <f t="array" ref="J815">IFERROR(INDEX([1]Companies!$Y:$Y,MATCH(B815,[1]Companies!$A:$A,0)),"")</f>
        <v>Health Care, Information Technology, Management Information Systems</v>
      </c>
      <c r="K815" s="14" t="str">
        <f t="array" ref="K815">IFERROR(INDEX([1]Companies!$X:$X,MATCH(B815,[1]Companies!$A:$A,0)),"")</f>
        <v>Information Technology</v>
      </c>
      <c r="L815" s="14" t="str">
        <f>VLOOKUP(B815,[1]Companies!$A$1:$C$5243,1,FALSE)</f>
        <v>eHealth Africa</v>
      </c>
      <c r="M815" s="15">
        <f t="shared" si="975"/>
        <v>0.9</v>
      </c>
      <c r="N815" s="10" t="str">
        <f t="shared" si="976"/>
        <v>43423eHealth Africa50000</v>
      </c>
      <c r="O815" s="14" t="str">
        <f t="shared" si="1017"/>
        <v/>
      </c>
      <c r="P815" s="14">
        <f t="shared" si="978"/>
        <v>1</v>
      </c>
      <c r="Q815" s="14">
        <f t="array" ref="Q815">IFERROR(INDEX([1]Companies!$D:$D,MATCH(B815,[1]Companies!$A:$A,0)),"")</f>
        <v>2010</v>
      </c>
      <c r="R815" s="17">
        <f t="shared" si="979"/>
        <v>50000</v>
      </c>
      <c r="S815" s="14">
        <f>VLOOKUP(I815,[1]Lookups!$V$3:$Y$197,4,FALSE)</f>
        <v>0</v>
      </c>
      <c r="T815" s="14" t="str">
        <f>VLOOKUP(E815,[1]Lookups!$H$3:$I$71,2,FALSE)</f>
        <v>1. Grant</v>
      </c>
      <c r="U815" s="14" t="str">
        <f>VLOOKUP(K815,[1]Lookups!$B$3:$C$142,2,FALSE)</f>
        <v>Other Technologies &amp; Information Technology</v>
      </c>
      <c r="V815" s="14">
        <f t="shared" si="921"/>
        <v>2018</v>
      </c>
      <c r="W815" s="14">
        <f t="shared" si="922"/>
        <v>11</v>
      </c>
      <c r="X815" s="14">
        <f>VLOOKUP(W815,[1]Lookups!$P$3:$S$15,2,FALSE)</f>
        <v>4</v>
      </c>
      <c r="Y815" s="16">
        <f>VLOOKUP(W815,[1]Lookups!$P$3:$U$15,3,FALSE)</f>
        <v>2</v>
      </c>
      <c r="Z815" s="16">
        <f t="shared" si="923"/>
        <v>1</v>
      </c>
      <c r="AA815" s="16" t="str">
        <f t="shared" ca="1" si="1075"/>
        <v>Axa Insurance Morocco</v>
      </c>
      <c r="AB815" s="16">
        <f t="shared" si="1075"/>
        <v>0</v>
      </c>
      <c r="AC815" s="16">
        <f t="shared" si="1075"/>
        <v>0</v>
      </c>
      <c r="AD815" s="16">
        <f t="shared" si="1075"/>
        <v>0</v>
      </c>
      <c r="AE815" s="16">
        <f t="shared" si="1075"/>
        <v>0</v>
      </c>
      <c r="AF815" s="16">
        <f t="shared" si="1075"/>
        <v>0</v>
      </c>
      <c r="AG815" s="16">
        <f t="shared" si="1075"/>
        <v>0</v>
      </c>
      <c r="AH815" s="16">
        <f t="shared" si="1075"/>
        <v>0</v>
      </c>
      <c r="AI815" s="16">
        <f t="shared" si="1075"/>
        <v>0</v>
      </c>
      <c r="AJ815" s="16">
        <f t="shared" si="1075"/>
        <v>0</v>
      </c>
      <c r="AK815" s="16">
        <f t="shared" si="1075"/>
        <v>0</v>
      </c>
      <c r="AL815" s="16">
        <f t="shared" si="1075"/>
        <v>0</v>
      </c>
      <c r="AM815" s="16">
        <f t="shared" si="1075"/>
        <v>0</v>
      </c>
      <c r="AN815" s="16">
        <f t="shared" si="1075"/>
        <v>0</v>
      </c>
      <c r="AO815" s="16">
        <f t="shared" si="1075"/>
        <v>0</v>
      </c>
      <c r="AP815" s="10"/>
      <c r="AQ815" s="10"/>
      <c r="AR815" s="10"/>
      <c r="AS815" s="10" t="str">
        <f t="shared" ref="AS815" ca="1" si="1079">IFERROR(__xludf.DUMMYFUNCTION("split(F723,"","",true,true)"),"Axa Insurance Morocco")</f>
        <v>Axa Insurance Morocco</v>
      </c>
      <c r="AT815" s="10"/>
      <c r="AU815" s="10"/>
      <c r="AV815" s="10"/>
      <c r="AW815" s="10"/>
      <c r="AX815" s="10"/>
      <c r="AY815" s="10"/>
      <c r="AZ815" s="10"/>
      <c r="BA815" s="10"/>
      <c r="BB815" s="10"/>
      <c r="BC815" s="10"/>
      <c r="BD815" s="10"/>
      <c r="BE815" s="10"/>
      <c r="BF815" s="10"/>
      <c r="BG815" s="10"/>
      <c r="BH815" s="10"/>
      <c r="BI815" s="10"/>
      <c r="BJ815" s="10"/>
      <c r="BK815" s="10"/>
      <c r="BM815" s="10"/>
    </row>
    <row r="816" spans="1:65" ht="12.75">
      <c r="A816" s="18">
        <v>43423</v>
      </c>
      <c r="B816" s="14" t="s">
        <v>346</v>
      </c>
      <c r="C816" s="19">
        <v>50000</v>
      </c>
      <c r="D816" s="19"/>
      <c r="E816" s="14" t="s">
        <v>55</v>
      </c>
      <c r="F816" s="14" t="s">
        <v>1757</v>
      </c>
      <c r="G816" s="27" t="s">
        <v>1763</v>
      </c>
      <c r="H816" s="14" t="str">
        <f t="array" ref="H816">IFERROR(INDEX([1]Companies!$G:$G,MATCH(B816,[1]Companies!$A:$A,0)),"")</f>
        <v>Ghana</v>
      </c>
      <c r="I816" s="14" t="str">
        <f t="shared" si="974"/>
        <v>Ghana</v>
      </c>
      <c r="J816" s="14" t="str">
        <f t="array" ref="J816">IFERROR(INDEX([1]Companies!$Y:$Y,MATCH(B816,[1]Companies!$A:$A,0)),"")</f>
        <v>Agtech, Data Analytics</v>
      </c>
      <c r="K816" s="14" t="str">
        <f t="array" ref="K816">IFERROR(INDEX([1]Companies!$X:$X,MATCH(B816,[1]Companies!$A:$A,0)),"")</f>
        <v>Agriculture</v>
      </c>
      <c r="L816" s="14" t="str">
        <f>VLOOKUP(B816,[1]Companies!$A$1:$C$5243,1,FALSE)</f>
        <v>Farmerline</v>
      </c>
      <c r="M816" s="15">
        <f t="shared" si="975"/>
        <v>0.9</v>
      </c>
      <c r="N816" s="10" t="str">
        <f t="shared" si="976"/>
        <v>43423Farmerline50000</v>
      </c>
      <c r="O816" s="14" t="str">
        <f t="shared" si="1017"/>
        <v/>
      </c>
      <c r="P816" s="14">
        <f t="shared" si="978"/>
        <v>1</v>
      </c>
      <c r="Q816" s="14">
        <f t="array" ref="Q816">IFERROR(INDEX([1]Companies!$D:$D,MATCH(B816,[1]Companies!$A:$A,0)),"")</f>
        <v>2012</v>
      </c>
      <c r="R816" s="17">
        <f t="shared" si="979"/>
        <v>742000</v>
      </c>
      <c r="S816" s="14">
        <f>VLOOKUP(I816,[1]Lookups!$V$3:$Y$197,4,FALSE)</f>
        <v>0</v>
      </c>
      <c r="T816" s="14" t="str">
        <f>VLOOKUP(E816,[1]Lookups!$H$3:$I$71,2,FALSE)</f>
        <v>1. Grant</v>
      </c>
      <c r="U816" s="14" t="str">
        <f>VLOOKUP(K816,[1]Lookups!$B$3:$C$142,2,FALSE)</f>
        <v>Agriculture</v>
      </c>
      <c r="V816" s="14">
        <f t="shared" si="921"/>
        <v>2018</v>
      </c>
      <c r="W816" s="14">
        <f t="shared" si="922"/>
        <v>11</v>
      </c>
      <c r="X816" s="14">
        <f>VLOOKUP(W816,[1]Lookups!$P$3:$S$15,2,FALSE)</f>
        <v>4</v>
      </c>
      <c r="Y816" s="16">
        <f>VLOOKUP(W816,[1]Lookups!$P$3:$U$15,3,FALSE)</f>
        <v>2</v>
      </c>
      <c r="Z816" s="16">
        <f t="shared" si="923"/>
        <v>1</v>
      </c>
      <c r="AA816" s="16" t="str">
        <f t="shared" ca="1" si="1075"/>
        <v>Axa Insurance Morocco</v>
      </c>
      <c r="AB816" s="16">
        <f t="shared" si="1075"/>
        <v>0</v>
      </c>
      <c r="AC816" s="16">
        <f t="shared" si="1075"/>
        <v>0</v>
      </c>
      <c r="AD816" s="16">
        <f t="shared" si="1075"/>
        <v>0</v>
      </c>
      <c r="AE816" s="16">
        <f t="shared" si="1075"/>
        <v>0</v>
      </c>
      <c r="AF816" s="16">
        <f t="shared" si="1075"/>
        <v>0</v>
      </c>
      <c r="AG816" s="16">
        <f t="shared" si="1075"/>
        <v>0</v>
      </c>
      <c r="AH816" s="16">
        <f t="shared" si="1075"/>
        <v>0</v>
      </c>
      <c r="AI816" s="16">
        <f t="shared" si="1075"/>
        <v>0</v>
      </c>
      <c r="AJ816" s="16">
        <f t="shared" si="1075"/>
        <v>0</v>
      </c>
      <c r="AK816" s="16">
        <f t="shared" si="1075"/>
        <v>0</v>
      </c>
      <c r="AL816" s="16">
        <f t="shared" si="1075"/>
        <v>0</v>
      </c>
      <c r="AM816" s="16">
        <f t="shared" si="1075"/>
        <v>0</v>
      </c>
      <c r="AN816" s="16">
        <f t="shared" si="1075"/>
        <v>0</v>
      </c>
      <c r="AO816" s="16">
        <f t="shared" si="1075"/>
        <v>0</v>
      </c>
      <c r="AP816" s="10"/>
      <c r="AQ816" s="10"/>
      <c r="AR816" s="10"/>
      <c r="AS816" s="10" t="str">
        <f t="shared" ref="AS816" ca="1" si="1080">IFERROR(__xludf.DUMMYFUNCTION("split(F723,"","",true,true)"),"Axa Insurance Morocco")</f>
        <v>Axa Insurance Morocco</v>
      </c>
      <c r="AT816" s="10"/>
      <c r="AU816" s="10"/>
      <c r="AV816" s="10"/>
      <c r="AW816" s="10"/>
      <c r="AX816" s="10"/>
      <c r="AY816" s="10"/>
      <c r="AZ816" s="10"/>
      <c r="BA816" s="10"/>
      <c r="BB816" s="10"/>
      <c r="BC816" s="10"/>
      <c r="BD816" s="10"/>
      <c r="BE816" s="10"/>
      <c r="BF816" s="10"/>
      <c r="BG816" s="10"/>
      <c r="BH816" s="10"/>
      <c r="BI816" s="10"/>
      <c r="BJ816" s="10"/>
      <c r="BK816" s="10"/>
      <c r="BM816" s="10"/>
    </row>
    <row r="817" spans="1:65" ht="12.75">
      <c r="A817" s="18">
        <v>43424</v>
      </c>
      <c r="B817" s="14" t="s">
        <v>1765</v>
      </c>
      <c r="C817" s="19">
        <v>100000</v>
      </c>
      <c r="D817" s="19"/>
      <c r="E817" s="14" t="s">
        <v>45</v>
      </c>
      <c r="F817" s="14" t="s">
        <v>967</v>
      </c>
      <c r="G817" s="27" t="s">
        <v>1766</v>
      </c>
      <c r="H817" s="14" t="str">
        <f t="array" ref="H817">IFERROR(INDEX([1]Companies!$G:$G,MATCH(B817,[1]Companies!$A:$A,0)),"")</f>
        <v>Egypt</v>
      </c>
      <c r="I817" s="14" t="str">
        <f t="shared" si="974"/>
        <v>Egypt</v>
      </c>
      <c r="J817" s="14" t="str">
        <f t="array" ref="J817">IFERROR(INDEX([1]Companies!$Y:$Y,MATCH(B817,[1]Companies!$A:$A,0)),"")</f>
        <v>Communities, eSports, Gaming, Online Games</v>
      </c>
      <c r="K817" s="14" t="str">
        <f t="array" ref="K817">IFERROR(INDEX([1]Companies!$X:$X,MATCH(B817,[1]Companies!$A:$A,0)),"")</f>
        <v>Media &amp; Entertainment</v>
      </c>
      <c r="L817" s="14" t="str">
        <f>VLOOKUP(B817,[1]Companies!$A$1:$C$5243,1,FALSE)</f>
        <v>Gbarena</v>
      </c>
      <c r="M817" s="15">
        <f t="shared" si="975"/>
        <v>0.9</v>
      </c>
      <c r="N817" s="10" t="str">
        <f t="shared" si="976"/>
        <v>43424GBarena100000</v>
      </c>
      <c r="O817" s="14" t="str">
        <f t="shared" si="1017"/>
        <v/>
      </c>
      <c r="P817" s="14">
        <f t="shared" si="978"/>
        <v>1</v>
      </c>
      <c r="Q817" s="14">
        <f t="array" ref="Q817">IFERROR(INDEX([1]Companies!$D:$D,MATCH(B817,[1]Companies!$A:$A,0)),"")</f>
        <v>2016</v>
      </c>
      <c r="R817" s="17">
        <f t="shared" si="979"/>
        <v>100000</v>
      </c>
      <c r="S817" s="14">
        <f>VLOOKUP(I817,[1]Lookups!$V$3:$Y$197,4,FALSE)</f>
        <v>0</v>
      </c>
      <c r="T817" s="14" t="str">
        <f>VLOOKUP(E817,[1]Lookups!$H$3:$I$71,2,FALSE)</f>
        <v>2. Seed</v>
      </c>
      <c r="U817" s="14" t="str">
        <f>VLOOKUP(K817,[1]Lookups!$B$3:$C$142,2,FALSE)</f>
        <v>Media &amp; Entertainment</v>
      </c>
      <c r="V817" s="14">
        <f t="shared" si="921"/>
        <v>2018</v>
      </c>
      <c r="W817" s="14">
        <f t="shared" si="922"/>
        <v>11</v>
      </c>
      <c r="X817" s="14">
        <f>VLOOKUP(W817,[1]Lookups!$P$3:$S$15,2,FALSE)</f>
        <v>4</v>
      </c>
      <c r="Y817" s="16">
        <f>VLOOKUP(W817,[1]Lookups!$P$3:$U$15,3,FALSE)</f>
        <v>2</v>
      </c>
      <c r="Z817" s="16">
        <f t="shared" si="923"/>
        <v>1</v>
      </c>
      <c r="AA817" s="16" t="str">
        <f t="shared" ca="1" si="1075"/>
        <v>Axa Insurance Morocco</v>
      </c>
      <c r="AB817" s="16">
        <f t="shared" si="1075"/>
        <v>0</v>
      </c>
      <c r="AC817" s="16">
        <f t="shared" si="1075"/>
        <v>0</v>
      </c>
      <c r="AD817" s="16">
        <f t="shared" si="1075"/>
        <v>0</v>
      </c>
      <c r="AE817" s="16">
        <f t="shared" si="1075"/>
        <v>0</v>
      </c>
      <c r="AF817" s="16">
        <f t="shared" si="1075"/>
        <v>0</v>
      </c>
      <c r="AG817" s="16">
        <f t="shared" si="1075"/>
        <v>0</v>
      </c>
      <c r="AH817" s="16">
        <f t="shared" si="1075"/>
        <v>0</v>
      </c>
      <c r="AI817" s="16">
        <f t="shared" si="1075"/>
        <v>0</v>
      </c>
      <c r="AJ817" s="16">
        <f t="shared" si="1075"/>
        <v>0</v>
      </c>
      <c r="AK817" s="16">
        <f t="shared" si="1075"/>
        <v>0</v>
      </c>
      <c r="AL817" s="16">
        <f t="shared" si="1075"/>
        <v>0</v>
      </c>
      <c r="AM817" s="16">
        <f t="shared" si="1075"/>
        <v>0</v>
      </c>
      <c r="AN817" s="16">
        <f t="shared" si="1075"/>
        <v>0</v>
      </c>
      <c r="AO817" s="16">
        <f t="shared" si="1075"/>
        <v>0</v>
      </c>
      <c r="AP817" s="10"/>
      <c r="AQ817" s="10"/>
      <c r="AR817" s="10"/>
      <c r="AS817" s="10" t="str">
        <f t="shared" ref="AS817" ca="1" si="1081">IFERROR(__xludf.DUMMYFUNCTION("split(F723,"","",true,true)"),"Axa Insurance Morocco")</f>
        <v>Axa Insurance Morocco</v>
      </c>
      <c r="AT817" s="10"/>
      <c r="AU817" s="10"/>
      <c r="AV817" s="10"/>
      <c r="AW817" s="10"/>
      <c r="AX817" s="10"/>
      <c r="AY817" s="10"/>
      <c r="AZ817" s="10"/>
      <c r="BA817" s="10"/>
      <c r="BB817" s="10"/>
      <c r="BC817" s="10"/>
      <c r="BD817" s="10"/>
      <c r="BE817" s="10"/>
      <c r="BF817" s="10"/>
      <c r="BG817" s="10"/>
      <c r="BH817" s="10"/>
      <c r="BI817" s="10"/>
      <c r="BJ817" s="10"/>
      <c r="BK817" s="10"/>
      <c r="BM817" s="10"/>
    </row>
    <row r="818" spans="1:65" ht="12.75">
      <c r="A818" s="18">
        <v>43424</v>
      </c>
      <c r="B818" s="14" t="s">
        <v>1767</v>
      </c>
      <c r="C818" s="19">
        <v>75000</v>
      </c>
      <c r="D818" s="19"/>
      <c r="E818" s="14" t="s">
        <v>55</v>
      </c>
      <c r="F818" s="14" t="s">
        <v>1757</v>
      </c>
      <c r="G818" s="27" t="s">
        <v>1768</v>
      </c>
      <c r="H818" s="14" t="str">
        <f t="array" ref="H818">IFERROR(INDEX([1]Companies!$G:$G,MATCH(B818,[1]Companies!$A:$A,0)),"")</f>
        <v>Uganda</v>
      </c>
      <c r="I818" s="14" t="str">
        <f t="shared" si="974"/>
        <v>Uganda</v>
      </c>
      <c r="J818" s="14" t="str">
        <f t="array" ref="J818">IFERROR(INDEX([1]Companies!$Y:$Y,MATCH(B818,[1]Companies!$A:$A,0)),"")</f>
        <v>Agriculture, Information Technology</v>
      </c>
      <c r="K818" s="14" t="str">
        <f t="array" ref="K818">IFERROR(INDEX([1]Companies!$X:$X,MATCH(B818,[1]Companies!$A:$A,0)),"")</f>
        <v>Agriculture</v>
      </c>
      <c r="L818" s="14" t="str">
        <f>VLOOKUP(B818,[1]Companies!$A$1:$C$5243,1,FALSE)</f>
        <v>Akorion</v>
      </c>
      <c r="M818" s="15">
        <f t="shared" si="975"/>
        <v>0.9</v>
      </c>
      <c r="N818" s="10" t="str">
        <f t="shared" si="976"/>
        <v>43424Akorion75000</v>
      </c>
      <c r="O818" s="14" t="str">
        <f t="shared" si="1017"/>
        <v/>
      </c>
      <c r="P818" s="14">
        <f t="shared" si="978"/>
        <v>1</v>
      </c>
      <c r="Q818" s="14">
        <f t="array" ref="Q818">IFERROR(INDEX([1]Companies!$D:$D,MATCH(B818,[1]Companies!$A:$A,0)),"")</f>
        <v>2014</v>
      </c>
      <c r="R818" s="17">
        <f t="shared" si="979"/>
        <v>75000</v>
      </c>
      <c r="S818" s="14">
        <f>VLOOKUP(I818,[1]Lookups!$V$3:$Y$197,4,FALSE)</f>
        <v>0</v>
      </c>
      <c r="T818" s="14" t="str">
        <f>VLOOKUP(E818,[1]Lookups!$H$3:$I$71,2,FALSE)</f>
        <v>1. Grant</v>
      </c>
      <c r="U818" s="14" t="str">
        <f>VLOOKUP(K818,[1]Lookups!$B$3:$C$142,2,FALSE)</f>
        <v>Agriculture</v>
      </c>
      <c r="V818" s="14">
        <f t="shared" si="921"/>
        <v>2018</v>
      </c>
      <c r="W818" s="14">
        <f t="shared" si="922"/>
        <v>11</v>
      </c>
      <c r="X818" s="14">
        <f>VLOOKUP(W818,[1]Lookups!$P$3:$S$15,2,FALSE)</f>
        <v>4</v>
      </c>
      <c r="Y818" s="16">
        <f>VLOOKUP(W818,[1]Lookups!$P$3:$U$15,3,FALSE)</f>
        <v>2</v>
      </c>
      <c r="Z818" s="16">
        <f t="shared" si="923"/>
        <v>1</v>
      </c>
      <c r="AA818" s="16" t="str">
        <f t="shared" ca="1" si="1075"/>
        <v>Axa Insurance Morocco</v>
      </c>
      <c r="AB818" s="16">
        <f t="shared" si="1075"/>
        <v>0</v>
      </c>
      <c r="AC818" s="16">
        <f t="shared" si="1075"/>
        <v>0</v>
      </c>
      <c r="AD818" s="16">
        <f t="shared" si="1075"/>
        <v>0</v>
      </c>
      <c r="AE818" s="16">
        <f t="shared" si="1075"/>
        <v>0</v>
      </c>
      <c r="AF818" s="16">
        <f t="shared" si="1075"/>
        <v>0</v>
      </c>
      <c r="AG818" s="16">
        <f t="shared" si="1075"/>
        <v>0</v>
      </c>
      <c r="AH818" s="16">
        <f t="shared" si="1075"/>
        <v>0</v>
      </c>
      <c r="AI818" s="16">
        <f t="shared" si="1075"/>
        <v>0</v>
      </c>
      <c r="AJ818" s="16">
        <f t="shared" si="1075"/>
        <v>0</v>
      </c>
      <c r="AK818" s="16">
        <f t="shared" si="1075"/>
        <v>0</v>
      </c>
      <c r="AL818" s="16">
        <f t="shared" si="1075"/>
        <v>0</v>
      </c>
      <c r="AM818" s="16">
        <f t="shared" si="1075"/>
        <v>0</v>
      </c>
      <c r="AN818" s="16">
        <f t="shared" si="1075"/>
        <v>0</v>
      </c>
      <c r="AO818" s="16">
        <f t="shared" si="1075"/>
        <v>0</v>
      </c>
      <c r="AP818" s="10"/>
      <c r="AQ818" s="10"/>
      <c r="AR818" s="10"/>
      <c r="AS818" s="10" t="str">
        <f t="shared" ref="AS818" ca="1" si="1082">IFERROR(__xludf.DUMMYFUNCTION("split(F723,"","",true,true)"),"Axa Insurance Morocco")</f>
        <v>Axa Insurance Morocco</v>
      </c>
      <c r="AT818" s="10"/>
      <c r="AU818" s="10"/>
      <c r="AV818" s="10"/>
      <c r="AW818" s="10"/>
      <c r="AX818" s="10"/>
      <c r="AY818" s="10"/>
      <c r="AZ818" s="10"/>
      <c r="BA818" s="10"/>
      <c r="BB818" s="10"/>
      <c r="BC818" s="10"/>
      <c r="BD818" s="10"/>
      <c r="BE818" s="10"/>
      <c r="BF818" s="10"/>
      <c r="BG818" s="10"/>
      <c r="BH818" s="10"/>
      <c r="BI818" s="10"/>
      <c r="BJ818" s="10"/>
      <c r="BK818" s="10"/>
      <c r="BM818" s="10"/>
    </row>
    <row r="819" spans="1:65" ht="12.75">
      <c r="A819" s="18">
        <v>43424</v>
      </c>
      <c r="B819" s="14" t="s">
        <v>1769</v>
      </c>
      <c r="C819" s="19">
        <v>34000</v>
      </c>
      <c r="D819" s="19"/>
      <c r="E819" s="14" t="s">
        <v>55</v>
      </c>
      <c r="F819" s="14" t="s">
        <v>1770</v>
      </c>
      <c r="G819" s="27" t="s">
        <v>1771</v>
      </c>
      <c r="H819" s="14" t="str">
        <f t="array" ref="H819">IFERROR(INDEX([1]Companies!$G:$G,MATCH(B819,[1]Companies!$A:$A,0)),"")</f>
        <v>South Africa</v>
      </c>
      <c r="I819" s="14" t="str">
        <f t="shared" si="974"/>
        <v>South Africa</v>
      </c>
      <c r="J819" s="14" t="str">
        <f t="array" ref="J819">IFERROR(INDEX([1]Companies!$Y:$Y,MATCH(B819,[1]Companies!$A:$A,0)),"")</f>
        <v>Car Services &amp; Repairs, Mobile Mechanics, Car Services, Car Repairs, and Mechanic Marketplace</v>
      </c>
      <c r="K819" s="14" t="str">
        <f t="array" ref="K819">IFERROR(INDEX([1]Companies!$X:$X,MATCH(B819,[1]Companies!$A:$A,0)),"")</f>
        <v>Commercial &amp; Professional Services</v>
      </c>
      <c r="L819" s="14" t="str">
        <f>VLOOKUP(B819,[1]Companies!$A$1:$C$5243,1,FALSE)</f>
        <v>Fixxr</v>
      </c>
      <c r="M819" s="15">
        <f t="shared" si="975"/>
        <v>0.9</v>
      </c>
      <c r="N819" s="10" t="str">
        <f t="shared" si="976"/>
        <v>43424Fixxr34000</v>
      </c>
      <c r="O819" s="14" t="str">
        <f t="shared" si="1017"/>
        <v/>
      </c>
      <c r="P819" s="14">
        <f t="shared" si="978"/>
        <v>1</v>
      </c>
      <c r="Q819" s="14">
        <f t="array" ref="Q819">IFERROR(INDEX([1]Companies!$D:$D,MATCH(B819,[1]Companies!$A:$A,0)),"")</f>
        <v>2018</v>
      </c>
      <c r="R819" s="17">
        <f t="shared" si="979"/>
        <v>34000</v>
      </c>
      <c r="S819" s="14">
        <f>VLOOKUP(I819,[1]Lookups!$V$3:$Y$197,4,FALSE)</f>
        <v>0</v>
      </c>
      <c r="T819" s="14" t="str">
        <f>VLOOKUP(E819,[1]Lookups!$H$3:$I$71,2,FALSE)</f>
        <v>1. Grant</v>
      </c>
      <c r="U819" s="14" t="str">
        <f>VLOOKUP(K819,[1]Lookups!$B$3:$C$142,2,FALSE)</f>
        <v>Other Technologies &amp; Information Technology</v>
      </c>
      <c r="V819" s="14">
        <f t="shared" si="921"/>
        <v>2018</v>
      </c>
      <c r="W819" s="14">
        <f t="shared" si="922"/>
        <v>11</v>
      </c>
      <c r="X819" s="14">
        <f>VLOOKUP(W819,[1]Lookups!$P$3:$S$15,2,FALSE)</f>
        <v>4</v>
      </c>
      <c r="Y819" s="16">
        <f>VLOOKUP(W819,[1]Lookups!$P$3:$U$15,3,FALSE)</f>
        <v>2</v>
      </c>
      <c r="Z819" s="16">
        <f t="shared" si="923"/>
        <v>1</v>
      </c>
      <c r="AA819" s="16" t="str">
        <f t="shared" ca="1" si="1075"/>
        <v>Axa Insurance Morocco</v>
      </c>
      <c r="AB819" s="16">
        <f t="shared" si="1075"/>
        <v>0</v>
      </c>
      <c r="AC819" s="16">
        <f t="shared" si="1075"/>
        <v>0</v>
      </c>
      <c r="AD819" s="16">
        <f t="shared" si="1075"/>
        <v>0</v>
      </c>
      <c r="AE819" s="16">
        <f t="shared" si="1075"/>
        <v>0</v>
      </c>
      <c r="AF819" s="16">
        <f t="shared" si="1075"/>
        <v>0</v>
      </c>
      <c r="AG819" s="16">
        <f t="shared" si="1075"/>
        <v>0</v>
      </c>
      <c r="AH819" s="16">
        <f t="shared" si="1075"/>
        <v>0</v>
      </c>
      <c r="AI819" s="16">
        <f t="shared" si="1075"/>
        <v>0</v>
      </c>
      <c r="AJ819" s="16">
        <f t="shared" si="1075"/>
        <v>0</v>
      </c>
      <c r="AK819" s="16">
        <f t="shared" si="1075"/>
        <v>0</v>
      </c>
      <c r="AL819" s="16">
        <f t="shared" si="1075"/>
        <v>0</v>
      </c>
      <c r="AM819" s="16">
        <f t="shared" si="1075"/>
        <v>0</v>
      </c>
      <c r="AN819" s="16">
        <f t="shared" si="1075"/>
        <v>0</v>
      </c>
      <c r="AO819" s="16">
        <f t="shared" si="1075"/>
        <v>0</v>
      </c>
      <c r="AP819" s="10"/>
      <c r="AQ819" s="10"/>
      <c r="AR819" s="10"/>
      <c r="AS819" s="10" t="str">
        <f t="shared" ref="AS819" ca="1" si="1083">IFERROR(__xludf.DUMMYFUNCTION("split(F723,"","",true,true)"),"Axa Insurance Morocco")</f>
        <v>Axa Insurance Morocco</v>
      </c>
      <c r="AT819" s="10"/>
      <c r="AU819" s="10"/>
      <c r="AV819" s="10"/>
      <c r="AW819" s="10"/>
      <c r="AX819" s="10"/>
      <c r="AY819" s="10"/>
      <c r="AZ819" s="10"/>
      <c r="BA819" s="10"/>
      <c r="BB819" s="10"/>
      <c r="BC819" s="10"/>
      <c r="BD819" s="10"/>
      <c r="BE819" s="10"/>
      <c r="BF819" s="10"/>
      <c r="BG819" s="10"/>
      <c r="BH819" s="10"/>
      <c r="BI819" s="10"/>
      <c r="BJ819" s="10"/>
      <c r="BK819" s="10"/>
      <c r="BM819" s="10"/>
    </row>
    <row r="820" spans="1:65" ht="12.75">
      <c r="A820" s="18">
        <v>43426</v>
      </c>
      <c r="B820" s="14" t="s">
        <v>716</v>
      </c>
      <c r="C820" s="19">
        <v>30000000</v>
      </c>
      <c r="D820" s="19"/>
      <c r="E820" s="14" t="s">
        <v>112</v>
      </c>
      <c r="F820" s="14" t="s">
        <v>1772</v>
      </c>
      <c r="G820" s="27" t="s">
        <v>1773</v>
      </c>
      <c r="H820" s="14" t="str">
        <f t="array" ref="H820">IFERROR(INDEX([1]Companies!$G:$G,MATCH(B820,[1]Companies!$A:$A,0)),"")</f>
        <v>Egypt</v>
      </c>
      <c r="I820" s="14" t="str">
        <f t="shared" si="974"/>
        <v>Egypt</v>
      </c>
      <c r="J820" s="14" t="str">
        <f t="array" ref="J820">IFERROR(INDEX([1]Companies!$Y:$Y,MATCH(B820,[1]Companies!$A:$A,0)),"")</f>
        <v>Internet, Mobile Apps, Transportation, Travel, Ride hailing</v>
      </c>
      <c r="K820" s="14" t="str">
        <f t="array" ref="K820">IFERROR(INDEX([1]Companies!$X:$X,MATCH(B820,[1]Companies!$A:$A,0)),"")</f>
        <v>Transport &amp; Logistics</v>
      </c>
      <c r="L820" s="14" t="str">
        <f>VLOOKUP(B820,[1]Companies!$A$1:$C$5243,1,FALSE)</f>
        <v>Swvl</v>
      </c>
      <c r="M820" s="15">
        <f t="shared" si="975"/>
        <v>0.9</v>
      </c>
      <c r="N820" s="10" t="str">
        <f t="shared" si="976"/>
        <v>43426SWVL30000000</v>
      </c>
      <c r="O820" s="14" t="str">
        <f t="shared" si="1017"/>
        <v/>
      </c>
      <c r="P820" s="14">
        <f t="shared" si="978"/>
        <v>1</v>
      </c>
      <c r="Q820" s="14">
        <f t="array" ref="Q820">IFERROR(INDEX([1]Companies!$D:$D,MATCH(B820,[1]Companies!$A:$A,0)),"")</f>
        <v>2017</v>
      </c>
      <c r="R820" s="17">
        <f t="shared" si="979"/>
        <v>80500000</v>
      </c>
      <c r="S820" s="14">
        <f>VLOOKUP(I820,[1]Lookups!$V$3:$Y$197,4,FALSE)</f>
        <v>0</v>
      </c>
      <c r="T820" s="14" t="str">
        <f>VLOOKUP(E820,[1]Lookups!$H$3:$I$71,2,FALSE)</f>
        <v>3. Early Venture</v>
      </c>
      <c r="U820" s="14" t="str">
        <f>VLOOKUP(K820,[1]Lookups!$B$3:$C$142,2,FALSE)</f>
        <v>Transport &amp; Logistics</v>
      </c>
      <c r="V820" s="14">
        <f t="shared" si="921"/>
        <v>2018</v>
      </c>
      <c r="W820" s="14">
        <f t="shared" si="922"/>
        <v>11</v>
      </c>
      <c r="X820" s="14">
        <f>VLOOKUP(W820,[1]Lookups!$P$3:$S$15,2,FALSE)</f>
        <v>4</v>
      </c>
      <c r="Y820" s="16">
        <f>VLOOKUP(W820,[1]Lookups!$P$3:$U$15,3,FALSE)</f>
        <v>2</v>
      </c>
      <c r="Z820" s="16">
        <f t="shared" si="923"/>
        <v>4</v>
      </c>
      <c r="AA820" s="16" t="str">
        <f t="shared" ca="1" si="1075"/>
        <v>Axa Insurance Morocco</v>
      </c>
      <c r="AB820" s="16" t="str">
        <f t="shared" ca="1" si="1075"/>
        <v xml:space="preserve"> Raed Ventures</v>
      </c>
      <c r="AC820" s="16" t="str">
        <f t="shared" ca="1" si="1075"/>
        <v xml:space="preserve"> Silicon Badia</v>
      </c>
      <c r="AD820" s="16" t="str">
        <f t="shared" ca="1" si="1075"/>
        <v xml:space="preserve"> Arzan Venture Capital</v>
      </c>
      <c r="AE820" s="16">
        <f t="shared" si="1075"/>
        <v>0</v>
      </c>
      <c r="AF820" s="16">
        <f t="shared" si="1075"/>
        <v>0</v>
      </c>
      <c r="AG820" s="16">
        <f t="shared" si="1075"/>
        <v>0</v>
      </c>
      <c r="AH820" s="16">
        <f t="shared" si="1075"/>
        <v>0</v>
      </c>
      <c r="AI820" s="16">
        <f t="shared" si="1075"/>
        <v>0</v>
      </c>
      <c r="AJ820" s="16">
        <f t="shared" si="1075"/>
        <v>0</v>
      </c>
      <c r="AK820" s="16">
        <f t="shared" si="1075"/>
        <v>0</v>
      </c>
      <c r="AL820" s="16">
        <f t="shared" si="1075"/>
        <v>0</v>
      </c>
      <c r="AM820" s="16">
        <f t="shared" si="1075"/>
        <v>0</v>
      </c>
      <c r="AN820" s="16">
        <f t="shared" si="1075"/>
        <v>0</v>
      </c>
      <c r="AO820" s="16">
        <f t="shared" si="1075"/>
        <v>0</v>
      </c>
      <c r="AP820" s="10"/>
      <c r="AQ820" s="10"/>
      <c r="AR820" s="10"/>
      <c r="AS820" s="10" t="str">
        <f t="shared" ref="AS820" ca="1" si="1084">IFERROR(__xludf.DUMMYFUNCTION("split(F723,"","",true,true)"),"Axa Insurance Morocco")</f>
        <v>Axa Insurance Morocco</v>
      </c>
      <c r="AT820" s="10" t="str">
        <f ca="1">IFERROR(__xludf.DUMMYFUNCTION("""COMPUTED_VALUE""")," Raed Ventures")</f>
        <v xml:space="preserve"> Raed Ventures</v>
      </c>
      <c r="AU820" s="10" t="str">
        <f ca="1">IFERROR(__xludf.DUMMYFUNCTION("""COMPUTED_VALUE""")," Silicon Badia")</f>
        <v xml:space="preserve"> Silicon Badia</v>
      </c>
      <c r="AV820" s="10" t="str">
        <f ca="1">IFERROR(__xludf.DUMMYFUNCTION("""COMPUTED_VALUE""")," Arzan Venture Capital")</f>
        <v xml:space="preserve"> Arzan Venture Capital</v>
      </c>
      <c r="AW820" s="10"/>
      <c r="AX820" s="10"/>
      <c r="AY820" s="10"/>
      <c r="AZ820" s="10"/>
      <c r="BA820" s="10"/>
      <c r="BB820" s="10"/>
      <c r="BC820" s="10"/>
      <c r="BD820" s="10"/>
      <c r="BE820" s="10"/>
      <c r="BF820" s="10"/>
      <c r="BG820" s="10"/>
      <c r="BH820" s="10"/>
      <c r="BI820" s="10"/>
      <c r="BJ820" s="10"/>
      <c r="BK820" s="10"/>
      <c r="BM820" s="10"/>
    </row>
    <row r="821" spans="1:65" ht="12.75">
      <c r="A821" s="18">
        <v>43426</v>
      </c>
      <c r="B821" s="14" t="s">
        <v>1774</v>
      </c>
      <c r="C821" s="19">
        <v>250000</v>
      </c>
      <c r="D821" s="19"/>
      <c r="E821" s="14" t="s">
        <v>45</v>
      </c>
      <c r="F821" s="14" t="s">
        <v>1341</v>
      </c>
      <c r="G821" s="27" t="s">
        <v>1775</v>
      </c>
      <c r="H821" s="14" t="str">
        <f t="array" ref="H821">IFERROR(INDEX([1]Companies!$G:$G,MATCH(B821,[1]Companies!$A:$A,0)),"")</f>
        <v>Nigeria</v>
      </c>
      <c r="I821" s="14" t="str">
        <f t="shared" si="974"/>
        <v>Nigeria</v>
      </c>
      <c r="J821" s="14" t="str">
        <f t="array" ref="J821">IFERROR(INDEX([1]Companies!$Y:$Y,MATCH(B821,[1]Companies!$A:$A,0)),"")</f>
        <v>Health Diagnostics, Medical</v>
      </c>
      <c r="K821" s="14" t="str">
        <f t="array" ref="K821">IFERROR(INDEX([1]Companies!$X:$X,MATCH(B821,[1]Companies!$A:$A,0)),"")</f>
        <v>Healthcare &amp; Pharma</v>
      </c>
      <c r="L821" s="14" t="str">
        <f>VLOOKUP(B821,[1]Companies!$A$1:$C$5243,1,FALSE)</f>
        <v>Sonocare</v>
      </c>
      <c r="M821" s="15">
        <f t="shared" si="975"/>
        <v>0.9</v>
      </c>
      <c r="N821" s="10" t="str">
        <f t="shared" si="976"/>
        <v>43426SonoCare250000</v>
      </c>
      <c r="O821" s="14" t="str">
        <f t="shared" si="1017"/>
        <v/>
      </c>
      <c r="P821" s="14">
        <f t="shared" si="978"/>
        <v>1</v>
      </c>
      <c r="Q821" s="14">
        <f t="array" ref="Q821">IFERROR(INDEX([1]Companies!$D:$D,MATCH(B821,[1]Companies!$A:$A,0)),"")</f>
        <v>2015</v>
      </c>
      <c r="R821" s="17">
        <f t="shared" si="979"/>
        <v>250000</v>
      </c>
      <c r="S821" s="14">
        <f>VLOOKUP(I821,[1]Lookups!$V$3:$Y$197,4,FALSE)</f>
        <v>0</v>
      </c>
      <c r="T821" s="14" t="str">
        <f>VLOOKUP(E821,[1]Lookups!$H$3:$I$71,2,FALSE)</f>
        <v>2. Seed</v>
      </c>
      <c r="U821" s="14" t="str">
        <f>VLOOKUP(K821,[1]Lookups!$B$3:$C$142,2,FALSE)</f>
        <v>Health &amp; Pharmaceuticals</v>
      </c>
      <c r="V821" s="14">
        <f t="shared" si="921"/>
        <v>2018</v>
      </c>
      <c r="W821" s="14">
        <f t="shared" si="922"/>
        <v>11</v>
      </c>
      <c r="X821" s="14">
        <f>VLOOKUP(W821,[1]Lookups!$P$3:$S$15,2,FALSE)</f>
        <v>4</v>
      </c>
      <c r="Y821" s="16">
        <f>VLOOKUP(W821,[1]Lookups!$P$3:$U$15,3,FALSE)</f>
        <v>2</v>
      </c>
      <c r="Z821" s="16">
        <f t="shared" si="923"/>
        <v>1</v>
      </c>
      <c r="AA821" s="16" t="str">
        <f t="shared" ca="1" si="1075"/>
        <v>Axa Insurance Morocco</v>
      </c>
      <c r="AB821" s="16">
        <f t="shared" si="1075"/>
        <v>0</v>
      </c>
      <c r="AC821" s="16">
        <f t="shared" si="1075"/>
        <v>0</v>
      </c>
      <c r="AD821" s="16">
        <f t="shared" si="1075"/>
        <v>0</v>
      </c>
      <c r="AE821" s="16">
        <f t="shared" si="1075"/>
        <v>0</v>
      </c>
      <c r="AF821" s="16">
        <f t="shared" si="1075"/>
        <v>0</v>
      </c>
      <c r="AG821" s="16">
        <f t="shared" si="1075"/>
        <v>0</v>
      </c>
      <c r="AH821" s="16">
        <f t="shared" si="1075"/>
        <v>0</v>
      </c>
      <c r="AI821" s="16">
        <f t="shared" si="1075"/>
        <v>0</v>
      </c>
      <c r="AJ821" s="16">
        <f t="shared" si="1075"/>
        <v>0</v>
      </c>
      <c r="AK821" s="16">
        <f t="shared" si="1075"/>
        <v>0</v>
      </c>
      <c r="AL821" s="16">
        <f t="shared" si="1075"/>
        <v>0</v>
      </c>
      <c r="AM821" s="16">
        <f t="shared" si="1075"/>
        <v>0</v>
      </c>
      <c r="AN821" s="16">
        <f t="shared" si="1075"/>
        <v>0</v>
      </c>
      <c r="AO821" s="16">
        <f t="shared" si="1075"/>
        <v>0</v>
      </c>
      <c r="AP821" s="10"/>
      <c r="AQ821" s="10"/>
      <c r="AR821" s="10"/>
      <c r="AS821" s="10" t="str">
        <f t="shared" ref="AS821" ca="1" si="1085">IFERROR(__xludf.DUMMYFUNCTION("split(F723,"","",true,true)"),"Axa Insurance Morocco")</f>
        <v>Axa Insurance Morocco</v>
      </c>
      <c r="AT821" s="10"/>
      <c r="AU821" s="10"/>
      <c r="AV821" s="10"/>
      <c r="AW821" s="10"/>
      <c r="AX821" s="10"/>
      <c r="AY821" s="10"/>
      <c r="AZ821" s="10"/>
      <c r="BA821" s="10"/>
      <c r="BB821" s="10"/>
      <c r="BC821" s="10"/>
      <c r="BD821" s="10"/>
      <c r="BE821" s="10"/>
      <c r="BF821" s="10"/>
      <c r="BG821" s="10"/>
      <c r="BH821" s="10"/>
      <c r="BI821" s="10"/>
      <c r="BJ821" s="10"/>
      <c r="BK821" s="10"/>
      <c r="BM821" s="10"/>
    </row>
    <row r="822" spans="1:65" ht="12.75">
      <c r="A822" s="18">
        <v>43426</v>
      </c>
      <c r="B822" s="14" t="s">
        <v>1165</v>
      </c>
      <c r="C822" s="19">
        <v>35000</v>
      </c>
      <c r="D822" s="19"/>
      <c r="E822" s="14" t="s">
        <v>45</v>
      </c>
      <c r="F822" s="14" t="s">
        <v>1776</v>
      </c>
      <c r="G822" s="27" t="s">
        <v>1167</v>
      </c>
      <c r="H822" s="14" t="str">
        <f t="array" ref="H822">IFERROR(INDEX([1]Companies!$G:$G,MATCH(B822,[1]Companies!$A:$A,0)),"")</f>
        <v>South Africa</v>
      </c>
      <c r="I822" s="14" t="str">
        <f t="shared" si="974"/>
        <v>South Africa</v>
      </c>
      <c r="J822" s="14" t="str">
        <f t="array" ref="J822">IFERROR(INDEX([1]Companies!$Y:$Y,MATCH(B822,[1]Companies!$A:$A,0)),"")</f>
        <v>Education, Software</v>
      </c>
      <c r="K822" s="14" t="str">
        <f t="array" ref="K822">IFERROR(INDEX([1]Companies!$X:$X,MATCH(B822,[1]Companies!$A:$A,0)),"")</f>
        <v>Education</v>
      </c>
      <c r="L822" s="14" t="str">
        <f>VLOOKUP(B822,[1]Companies!$A$1:$C$5243,1,FALSE)</f>
        <v>Zomila</v>
      </c>
      <c r="M822" s="15">
        <f t="shared" si="975"/>
        <v>0.9</v>
      </c>
      <c r="N822" s="10" t="str">
        <f t="shared" si="976"/>
        <v>43426Zomila35000</v>
      </c>
      <c r="O822" s="14" t="str">
        <f t="shared" si="1017"/>
        <v/>
      </c>
      <c r="P822" s="14">
        <f t="shared" si="978"/>
        <v>1</v>
      </c>
      <c r="Q822" s="14">
        <f t="array" ref="Q822">IFERROR(INDEX([1]Companies!$D:$D,MATCH(B822,[1]Companies!$A:$A,0)),"")</f>
        <v>2017</v>
      </c>
      <c r="R822" s="17">
        <f t="shared" si="979"/>
        <v>70000</v>
      </c>
      <c r="S822" s="14">
        <f>VLOOKUP(I822,[1]Lookups!$V$3:$Y$197,4,FALSE)</f>
        <v>0</v>
      </c>
      <c r="T822" s="14" t="str">
        <f>VLOOKUP(E822,[1]Lookups!$H$3:$I$71,2,FALSE)</f>
        <v>2. Seed</v>
      </c>
      <c r="U822" s="14" t="str">
        <f>VLOOKUP(K822,[1]Lookups!$B$3:$C$142,2,FALSE)</f>
        <v>Education</v>
      </c>
      <c r="V822" s="14">
        <f t="shared" si="921"/>
        <v>2018</v>
      </c>
      <c r="W822" s="14">
        <f t="shared" si="922"/>
        <v>11</v>
      </c>
      <c r="X822" s="14">
        <f>VLOOKUP(W822,[1]Lookups!$P$3:$S$15,2,FALSE)</f>
        <v>4</v>
      </c>
      <c r="Y822" s="16">
        <f>VLOOKUP(W822,[1]Lookups!$P$3:$U$15,3,FALSE)</f>
        <v>2</v>
      </c>
      <c r="Z822" s="16">
        <f t="shared" si="923"/>
        <v>3</v>
      </c>
      <c r="AA822" s="16" t="str">
        <f t="shared" ca="1" si="1075"/>
        <v>Axa Insurance Morocco</v>
      </c>
      <c r="AB822" s="16" t="str">
        <f t="shared" ca="1" si="1075"/>
        <v xml:space="preserve"> Frederik Gerner</v>
      </c>
      <c r="AC822" s="16" t="str">
        <f t="shared" ca="1" si="1075"/>
        <v xml:space="preserve"> Bas Hochstenbach</v>
      </c>
      <c r="AD822" s="16">
        <f t="shared" si="1075"/>
        <v>0</v>
      </c>
      <c r="AE822" s="16">
        <f t="shared" si="1075"/>
        <v>0</v>
      </c>
      <c r="AF822" s="16">
        <f t="shared" si="1075"/>
        <v>0</v>
      </c>
      <c r="AG822" s="16">
        <f t="shared" si="1075"/>
        <v>0</v>
      </c>
      <c r="AH822" s="16">
        <f t="shared" si="1075"/>
        <v>0</v>
      </c>
      <c r="AI822" s="16">
        <f t="shared" si="1075"/>
        <v>0</v>
      </c>
      <c r="AJ822" s="16">
        <f t="shared" si="1075"/>
        <v>0</v>
      </c>
      <c r="AK822" s="16">
        <f t="shared" si="1075"/>
        <v>0</v>
      </c>
      <c r="AL822" s="16">
        <f t="shared" si="1075"/>
        <v>0</v>
      </c>
      <c r="AM822" s="16">
        <f t="shared" si="1075"/>
        <v>0</v>
      </c>
      <c r="AN822" s="16">
        <f t="shared" si="1075"/>
        <v>0</v>
      </c>
      <c r="AO822" s="16">
        <f t="shared" si="1075"/>
        <v>0</v>
      </c>
      <c r="AP822" s="10"/>
      <c r="AQ822" s="10"/>
      <c r="AR822" s="10"/>
      <c r="AS822" s="10" t="str">
        <f t="shared" ref="AS822" ca="1" si="1086">IFERROR(__xludf.DUMMYFUNCTION("split(F723,"","",true,true)"),"Axa Insurance Morocco")</f>
        <v>Axa Insurance Morocco</v>
      </c>
      <c r="AT822" s="10" t="str">
        <f ca="1">IFERROR(__xludf.DUMMYFUNCTION("""COMPUTED_VALUE""")," Frederik Gerner")</f>
        <v xml:space="preserve"> Frederik Gerner</v>
      </c>
      <c r="AU822" s="10" t="str">
        <f ca="1">IFERROR(__xludf.DUMMYFUNCTION("""COMPUTED_VALUE""")," Bas Hochstenbach")</f>
        <v xml:space="preserve"> Bas Hochstenbach</v>
      </c>
      <c r="AV822" s="10"/>
      <c r="AW822" s="10"/>
      <c r="AX822" s="10"/>
      <c r="AY822" s="10"/>
      <c r="AZ822" s="10"/>
      <c r="BA822" s="10"/>
      <c r="BB822" s="10"/>
      <c r="BC822" s="10"/>
      <c r="BD822" s="10"/>
      <c r="BE822" s="10"/>
      <c r="BF822" s="10"/>
      <c r="BG822" s="10"/>
      <c r="BH822" s="10"/>
      <c r="BI822" s="10"/>
      <c r="BJ822" s="10"/>
      <c r="BK822" s="10"/>
      <c r="BM822" s="10"/>
    </row>
    <row r="823" spans="1:65" ht="12.75">
      <c r="A823" s="18">
        <v>43427</v>
      </c>
      <c r="B823" s="14" t="s">
        <v>1777</v>
      </c>
      <c r="C823" s="19">
        <v>40000000</v>
      </c>
      <c r="D823" s="19"/>
      <c r="E823" s="10" t="s">
        <v>91</v>
      </c>
      <c r="F823" s="14" t="s">
        <v>1778</v>
      </c>
      <c r="G823" s="21" t="s">
        <v>1779</v>
      </c>
      <c r="H823" s="14" t="str">
        <f t="array" ref="H823">IFERROR(INDEX([1]Companies!$G:$G,MATCH(B823,[1]Companies!$A:$A,0)),"")</f>
        <v>Kenya</v>
      </c>
      <c r="I823" s="14" t="str">
        <f t="shared" si="974"/>
        <v>Kenya</v>
      </c>
      <c r="J823" s="14" t="str">
        <f t="array" ref="J823">IFERROR(INDEX([1]Companies!$Y:$Y,MATCH(B823,[1]Companies!$A:$A,0)),"")</f>
        <v>Information and Communications Technology (ICT), Public Relations</v>
      </c>
      <c r="K823" s="14" t="str">
        <f t="array" ref="K823">IFERROR(INDEX([1]Companies!$X:$X,MATCH(B823,[1]Companies!$A:$A,0)),"")</f>
        <v>Telecommunications</v>
      </c>
      <c r="L823" s="14" t="str">
        <f>VLOOKUP(B823,[1]Companies!$A$1:$C$5243,1,FALSE)</f>
        <v>Telkom Kenya</v>
      </c>
      <c r="M823" s="15">
        <f t="shared" si="975"/>
        <v>0.9</v>
      </c>
      <c r="N823" s="10" t="str">
        <f t="shared" si="976"/>
        <v>43427Telkom Kenya40000000</v>
      </c>
      <c r="O823" s="14" t="str">
        <f t="shared" si="1017"/>
        <v/>
      </c>
      <c r="P823" s="14">
        <f t="shared" si="978"/>
        <v>1</v>
      </c>
      <c r="Q823" s="14">
        <f t="array" ref="Q823">IFERROR(INDEX([1]Companies!$D:$D,MATCH(B823,[1]Companies!$A:$A,0)),"")</f>
        <v>1999</v>
      </c>
      <c r="R823" s="17">
        <f t="shared" si="979"/>
        <v>40000000</v>
      </c>
      <c r="S823" s="14">
        <f>VLOOKUP(I823,[1]Lookups!$V$3:$Y$197,4,FALSE)</f>
        <v>0</v>
      </c>
      <c r="T823" s="14" t="str">
        <f>VLOOKUP(E823,[1]Lookups!$H$3:$I$71,2,FALSE)</f>
        <v>5. Debt Financing</v>
      </c>
      <c r="U823" s="14" t="str">
        <f>VLOOKUP(K823,[1]Lookups!$B$3:$C$142,2,FALSE)</f>
        <v>Other Technologies &amp; Information Technology</v>
      </c>
      <c r="V823" s="14">
        <f t="shared" si="921"/>
        <v>2018</v>
      </c>
      <c r="W823" s="14">
        <f t="shared" si="922"/>
        <v>11</v>
      </c>
      <c r="X823" s="14">
        <f>VLOOKUP(W823,[1]Lookups!$P$3:$S$15,2,FALSE)</f>
        <v>4</v>
      </c>
      <c r="Y823" s="16">
        <f>VLOOKUP(W823,[1]Lookups!$P$3:$U$15,3,FALSE)</f>
        <v>2</v>
      </c>
      <c r="Z823" s="16">
        <f t="shared" si="923"/>
        <v>1</v>
      </c>
      <c r="AA823" s="16" t="str">
        <f t="shared" ca="1" si="1075"/>
        <v>Axa Insurance Morocco</v>
      </c>
      <c r="AB823" s="16">
        <f t="shared" si="1075"/>
        <v>0</v>
      </c>
      <c r="AC823" s="16">
        <f t="shared" si="1075"/>
        <v>0</v>
      </c>
      <c r="AD823" s="16">
        <f t="shared" si="1075"/>
        <v>0</v>
      </c>
      <c r="AE823" s="16">
        <f t="shared" si="1075"/>
        <v>0</v>
      </c>
      <c r="AF823" s="16">
        <f t="shared" si="1075"/>
        <v>0</v>
      </c>
      <c r="AG823" s="16">
        <f t="shared" si="1075"/>
        <v>0</v>
      </c>
      <c r="AH823" s="16">
        <f t="shared" si="1075"/>
        <v>0</v>
      </c>
      <c r="AI823" s="16">
        <f t="shared" si="1075"/>
        <v>0</v>
      </c>
      <c r="AJ823" s="16">
        <f t="shared" si="1075"/>
        <v>0</v>
      </c>
      <c r="AK823" s="16">
        <f t="shared" si="1075"/>
        <v>0</v>
      </c>
      <c r="AL823" s="16">
        <f t="shared" si="1075"/>
        <v>0</v>
      </c>
      <c r="AM823" s="16">
        <f t="shared" si="1075"/>
        <v>0</v>
      </c>
      <c r="AN823" s="16">
        <f t="shared" si="1075"/>
        <v>0</v>
      </c>
      <c r="AO823" s="16">
        <f t="shared" si="1075"/>
        <v>0</v>
      </c>
      <c r="AP823" s="10"/>
      <c r="AQ823" s="10"/>
      <c r="AR823" s="10"/>
      <c r="AS823" s="10" t="str">
        <f t="shared" ref="AS823" ca="1" si="1087">IFERROR(__xludf.DUMMYFUNCTION("split(F723,"","",true,true)"),"Axa Insurance Morocco")</f>
        <v>Axa Insurance Morocco</v>
      </c>
      <c r="AT823" s="25"/>
      <c r="AU823" s="25"/>
      <c r="AV823" s="25"/>
      <c r="AW823" s="25"/>
      <c r="AX823" s="25"/>
      <c r="AY823" s="25"/>
      <c r="AZ823" s="25"/>
      <c r="BA823" s="25"/>
      <c r="BB823" s="25"/>
      <c r="BC823" s="25"/>
      <c r="BD823" s="25"/>
      <c r="BE823" s="25"/>
      <c r="BF823" s="25"/>
      <c r="BG823" s="25"/>
      <c r="BH823" s="25"/>
      <c r="BI823" s="25"/>
      <c r="BJ823" s="25"/>
      <c r="BK823" s="25"/>
      <c r="BM823" s="25"/>
    </row>
    <row r="824" spans="1:65" ht="12.75">
      <c r="A824" s="18">
        <v>43427</v>
      </c>
      <c r="B824" s="14" t="s">
        <v>1780</v>
      </c>
      <c r="C824" s="19">
        <v>51000</v>
      </c>
      <c r="D824" s="19"/>
      <c r="E824" s="14" t="s">
        <v>45</v>
      </c>
      <c r="F824" s="14" t="s">
        <v>110</v>
      </c>
      <c r="G824" s="27" t="s">
        <v>1781</v>
      </c>
      <c r="H824" s="14" t="str">
        <f t="array" ref="H824">IFERROR(INDEX([1]Companies!$G:$G,MATCH(B824,[1]Companies!$A:$A,0)),"")</f>
        <v>Cameroon</v>
      </c>
      <c r="I824" s="14" t="str">
        <f t="shared" si="974"/>
        <v>Cameroon</v>
      </c>
      <c r="J824" s="14" t="str">
        <f t="array" ref="J824">IFERROR(INDEX([1]Companies!$Y:$Y,MATCH(B824,[1]Companies!$A:$A,0)),"")</f>
        <v>Advertising, eSports, Mobile, Software, Video Games</v>
      </c>
      <c r="K824" s="14" t="str">
        <f t="array" ref="K824">IFERROR(INDEX([1]Companies!$X:$X,MATCH(B824,[1]Companies!$A:$A,0)),"")</f>
        <v>Media &amp; Entertainment</v>
      </c>
      <c r="L824" s="14" t="str">
        <f>VLOOKUP(B824,[1]Companies!$A$1:$C$5243,1,FALSE)</f>
        <v>Seemba</v>
      </c>
      <c r="M824" s="15">
        <f t="shared" si="975"/>
        <v>0.9</v>
      </c>
      <c r="N824" s="10" t="str">
        <f t="shared" si="976"/>
        <v>43427Seemba51000</v>
      </c>
      <c r="O824" s="14" t="str">
        <f t="shared" si="1017"/>
        <v/>
      </c>
      <c r="P824" s="14">
        <f t="shared" si="978"/>
        <v>1</v>
      </c>
      <c r="Q824" s="14">
        <f t="array" ref="Q824">IFERROR(INDEX([1]Companies!$D:$D,MATCH(B824,[1]Companies!$A:$A,0)),"")</f>
        <v>2018</v>
      </c>
      <c r="R824" s="17">
        <f t="shared" si="979"/>
        <v>51000</v>
      </c>
      <c r="S824" s="14">
        <f>VLOOKUP(I824,[1]Lookups!$V$3:$Y$197,4,FALSE)</f>
        <v>0</v>
      </c>
      <c r="T824" s="14" t="str">
        <f>VLOOKUP(E824,[1]Lookups!$H$3:$I$71,2,FALSE)</f>
        <v>2. Seed</v>
      </c>
      <c r="U824" s="14" t="str">
        <f>VLOOKUP(K824,[1]Lookups!$B$3:$C$142,2,FALSE)</f>
        <v>Media &amp; Entertainment</v>
      </c>
      <c r="V824" s="14">
        <f t="shared" si="921"/>
        <v>2018</v>
      </c>
      <c r="W824" s="14">
        <f t="shared" si="922"/>
        <v>11</v>
      </c>
      <c r="X824" s="14">
        <f>VLOOKUP(W824,[1]Lookups!$P$3:$S$15,2,FALSE)</f>
        <v>4</v>
      </c>
      <c r="Y824" s="16">
        <f>VLOOKUP(W824,[1]Lookups!$P$3:$U$15,3,FALSE)</f>
        <v>2</v>
      </c>
      <c r="Z824" s="16">
        <f t="shared" si="923"/>
        <v>1</v>
      </c>
      <c r="AA824" s="16" t="str">
        <f t="shared" ca="1" si="1075"/>
        <v>Axa Insurance Morocco</v>
      </c>
      <c r="AB824" s="16">
        <f t="shared" si="1075"/>
        <v>0</v>
      </c>
      <c r="AC824" s="16">
        <f t="shared" si="1075"/>
        <v>0</v>
      </c>
      <c r="AD824" s="16">
        <f t="shared" si="1075"/>
        <v>0</v>
      </c>
      <c r="AE824" s="16">
        <f t="shared" si="1075"/>
        <v>0</v>
      </c>
      <c r="AF824" s="16">
        <f t="shared" si="1075"/>
        <v>0</v>
      </c>
      <c r="AG824" s="16">
        <f t="shared" si="1075"/>
        <v>0</v>
      </c>
      <c r="AH824" s="16">
        <f t="shared" si="1075"/>
        <v>0</v>
      </c>
      <c r="AI824" s="16">
        <f t="shared" si="1075"/>
        <v>0</v>
      </c>
      <c r="AJ824" s="16">
        <f t="shared" si="1075"/>
        <v>0</v>
      </c>
      <c r="AK824" s="16">
        <f t="shared" si="1075"/>
        <v>0</v>
      </c>
      <c r="AL824" s="16">
        <f t="shared" si="1075"/>
        <v>0</v>
      </c>
      <c r="AM824" s="16">
        <f t="shared" si="1075"/>
        <v>0</v>
      </c>
      <c r="AN824" s="16">
        <f t="shared" si="1075"/>
        <v>0</v>
      </c>
      <c r="AO824" s="16">
        <f t="shared" si="1075"/>
        <v>0</v>
      </c>
      <c r="AP824" s="10"/>
      <c r="AQ824" s="10"/>
      <c r="AR824" s="10"/>
      <c r="AS824" s="10" t="str">
        <f t="shared" ref="AS824" ca="1" si="1088">IFERROR(__xludf.DUMMYFUNCTION("split(F723,"","",true,true)"),"Axa Insurance Morocco")</f>
        <v>Axa Insurance Morocco</v>
      </c>
      <c r="AT824" s="10"/>
      <c r="AU824" s="10"/>
      <c r="AV824" s="10"/>
      <c r="AW824" s="10"/>
      <c r="AX824" s="10"/>
      <c r="AY824" s="10"/>
      <c r="AZ824" s="10"/>
      <c r="BA824" s="10"/>
      <c r="BB824" s="10"/>
      <c r="BC824" s="10"/>
      <c r="BD824" s="10"/>
      <c r="BE824" s="10"/>
      <c r="BF824" s="10"/>
      <c r="BG824" s="10"/>
      <c r="BH824" s="10"/>
      <c r="BI824" s="10"/>
      <c r="BJ824" s="10"/>
      <c r="BK824" s="10"/>
      <c r="BM824" s="10"/>
    </row>
    <row r="825" spans="1:65" ht="12.75">
      <c r="A825" s="18">
        <v>43430</v>
      </c>
      <c r="B825" s="14" t="s">
        <v>1782</v>
      </c>
      <c r="C825" s="19">
        <v>51000000</v>
      </c>
      <c r="D825" s="19"/>
      <c r="E825" s="10" t="s">
        <v>91</v>
      </c>
      <c r="F825" s="14" t="s">
        <v>1783</v>
      </c>
      <c r="G825" s="21" t="s">
        <v>1784</v>
      </c>
      <c r="H825" s="14" t="str">
        <f t="array" ref="H825">IFERROR(INDEX([1]Companies!$G:$G,MATCH(B825,[1]Companies!$A:$A,0)),"")</f>
        <v>Nigeria</v>
      </c>
      <c r="I825" s="14" t="str">
        <f t="shared" si="974"/>
        <v>Nigeria</v>
      </c>
      <c r="J825" s="14" t="str">
        <f t="array" ref="J825">IFERROR(INDEX([1]Companies!$Y:$Y,MATCH(B825,[1]Companies!$A:$A,0)),"")</f>
        <v>Social Media</v>
      </c>
      <c r="K825" s="14" t="str">
        <f t="array" ref="K825">IFERROR(INDEX([1]Companies!$X:$X,MATCH(B825,[1]Companies!$A:$A,0)),"")</f>
        <v>Social Media</v>
      </c>
      <c r="L825" s="14" t="str">
        <f>VLOOKUP(B825,[1]Companies!$A$1:$C$5243,1,FALSE)</f>
        <v>Ison Xperiences</v>
      </c>
      <c r="M825" s="15">
        <f t="shared" si="975"/>
        <v>0.9</v>
      </c>
      <c r="N825" s="10" t="str">
        <f t="shared" si="976"/>
        <v>43430iSON Xperiences51000000</v>
      </c>
      <c r="O825" s="14" t="str">
        <f t="shared" si="1017"/>
        <v/>
      </c>
      <c r="P825" s="14">
        <f t="shared" si="978"/>
        <v>1</v>
      </c>
      <c r="Q825" s="14">
        <f t="array" ref="Q825">IFERROR(INDEX([1]Companies!$D:$D,MATCH(B825,[1]Companies!$A:$A,0)),"")</f>
        <v>2010</v>
      </c>
      <c r="R825" s="17">
        <f t="shared" si="979"/>
        <v>51000000</v>
      </c>
      <c r="S825" s="14">
        <f>VLOOKUP(I825,[1]Lookups!$V$3:$Y$197,4,FALSE)</f>
        <v>0</v>
      </c>
      <c r="T825" s="14" t="str">
        <f>VLOOKUP(E825,[1]Lookups!$H$3:$I$71,2,FALSE)</f>
        <v>5. Debt Financing</v>
      </c>
      <c r="U825" s="14" t="e">
        <f>VLOOKUP(K825,[1]Lookups!$B$3:$C$142,2,FALSE)</f>
        <v>#N/A</v>
      </c>
      <c r="V825" s="14">
        <f t="shared" si="921"/>
        <v>2018</v>
      </c>
      <c r="W825" s="14">
        <f t="shared" si="922"/>
        <v>11</v>
      </c>
      <c r="X825" s="14">
        <f>VLOOKUP(W825,[1]Lookups!$P$3:$S$15,2,FALSE)</f>
        <v>4</v>
      </c>
      <c r="Y825" s="16">
        <f>VLOOKUP(W825,[1]Lookups!$P$3:$U$15,3,FALSE)</f>
        <v>2</v>
      </c>
      <c r="Z825" s="16">
        <f t="shared" si="923"/>
        <v>2</v>
      </c>
      <c r="AA825" s="16" t="str">
        <f t="shared" ca="1" si="1075"/>
        <v>Axa Insurance Morocco</v>
      </c>
      <c r="AB825" s="16" t="str">
        <f t="shared" ca="1" si="1075"/>
        <v xml:space="preserve"> Gulf Capital</v>
      </c>
      <c r="AC825" s="16">
        <f t="shared" si="1075"/>
        <v>0</v>
      </c>
      <c r="AD825" s="16">
        <f t="shared" si="1075"/>
        <v>0</v>
      </c>
      <c r="AE825" s="16">
        <f t="shared" si="1075"/>
        <v>0</v>
      </c>
      <c r="AF825" s="16">
        <f t="shared" si="1075"/>
        <v>0</v>
      </c>
      <c r="AG825" s="16">
        <f t="shared" si="1075"/>
        <v>0</v>
      </c>
      <c r="AH825" s="16">
        <f t="shared" si="1075"/>
        <v>0</v>
      </c>
      <c r="AI825" s="16">
        <f t="shared" si="1075"/>
        <v>0</v>
      </c>
      <c r="AJ825" s="16">
        <f t="shared" si="1075"/>
        <v>0</v>
      </c>
      <c r="AK825" s="16">
        <f t="shared" si="1075"/>
        <v>0</v>
      </c>
      <c r="AL825" s="16">
        <f t="shared" si="1075"/>
        <v>0</v>
      </c>
      <c r="AM825" s="16">
        <f t="shared" si="1075"/>
        <v>0</v>
      </c>
      <c r="AN825" s="16">
        <f t="shared" si="1075"/>
        <v>0</v>
      </c>
      <c r="AO825" s="16">
        <f t="shared" si="1075"/>
        <v>0</v>
      </c>
      <c r="AP825" s="10"/>
      <c r="AQ825" s="10"/>
      <c r="AR825" s="10"/>
      <c r="AS825" s="10" t="str">
        <f t="shared" ref="AS825" ca="1" si="1089">IFERROR(__xludf.DUMMYFUNCTION("split(F723,"","",true,true)"),"Axa Insurance Morocco")</f>
        <v>Axa Insurance Morocco</v>
      </c>
      <c r="AT825" s="10" t="str">
        <f ca="1">IFERROR(__xludf.DUMMYFUNCTION("""COMPUTED_VALUE""")," Gulf Capital")</f>
        <v xml:space="preserve"> Gulf Capital</v>
      </c>
      <c r="AU825" s="10"/>
      <c r="AV825" s="10"/>
      <c r="AW825" s="10"/>
      <c r="AX825" s="10"/>
      <c r="AY825" s="10"/>
      <c r="AZ825" s="10"/>
      <c r="BA825" s="10"/>
      <c r="BB825" s="10"/>
      <c r="BC825" s="10"/>
      <c r="BD825" s="10"/>
      <c r="BE825" s="10"/>
      <c r="BF825" s="10"/>
      <c r="BG825" s="10"/>
      <c r="BH825" s="10"/>
      <c r="BI825" s="10"/>
      <c r="BJ825" s="10"/>
      <c r="BK825" s="10"/>
      <c r="BM825" s="10"/>
    </row>
    <row r="826" spans="1:65" ht="12.75">
      <c r="A826" s="18">
        <v>43431</v>
      </c>
      <c r="B826" s="14" t="s">
        <v>1785</v>
      </c>
      <c r="C826" s="19">
        <v>150000</v>
      </c>
      <c r="D826" s="19"/>
      <c r="E826" s="14" t="s">
        <v>45</v>
      </c>
      <c r="F826" s="14" t="s">
        <v>1786</v>
      </c>
      <c r="G826" s="27" t="s">
        <v>1787</v>
      </c>
      <c r="H826" s="14" t="str">
        <f t="array" ref="H826">IFERROR(INDEX([1]Companies!$G:$G,MATCH(B826,[1]Companies!$A:$A,0)),"")</f>
        <v>Rwanda</v>
      </c>
      <c r="I826" s="14" t="str">
        <f t="shared" si="974"/>
        <v>Rwanda</v>
      </c>
      <c r="J826" s="14" t="str">
        <f t="array" ref="J826">IFERROR(INDEX([1]Companies!$Y:$Y,MATCH(B826,[1]Companies!$A:$A,0)),"")</f>
        <v>Consumer Goods, Retail, Retail Technology, Women</v>
      </c>
      <c r="K826" s="14" t="str">
        <f t="array" ref="K826">IFERROR(INDEX([1]Companies!$X:$X,MATCH(B826,[1]Companies!$A:$A,0)),"")</f>
        <v>E-Commerce &amp; Retail</v>
      </c>
      <c r="L826" s="14" t="str">
        <f>VLOOKUP(B826,[1]Companies!$A$1:$C$5243,1,FALSE)</f>
        <v>Kasha</v>
      </c>
      <c r="M826" s="15">
        <f t="shared" si="975"/>
        <v>0.9</v>
      </c>
      <c r="N826" s="10" t="str">
        <f t="shared" si="976"/>
        <v>43431Kasha150000</v>
      </c>
      <c r="O826" s="14" t="str">
        <f t="shared" si="1017"/>
        <v/>
      </c>
      <c r="P826" s="14">
        <f t="shared" si="978"/>
        <v>1</v>
      </c>
      <c r="Q826" s="14">
        <f t="array" ref="Q826">IFERROR(INDEX([1]Companies!$D:$D,MATCH(B826,[1]Companies!$A:$A,0)),"")</f>
        <v>2016</v>
      </c>
      <c r="R826" s="17">
        <f t="shared" si="979"/>
        <v>150000</v>
      </c>
      <c r="S826" s="14">
        <f>VLOOKUP(I826,[1]Lookups!$V$3:$Y$197,4,FALSE)</f>
        <v>0</v>
      </c>
      <c r="T826" s="14" t="str">
        <f>VLOOKUP(E826,[1]Lookups!$H$3:$I$71,2,FALSE)</f>
        <v>2. Seed</v>
      </c>
      <c r="U826" s="14" t="str">
        <f>VLOOKUP(K826,[1]Lookups!$B$3:$C$142,2,FALSE)</f>
        <v>E-commerce &amp; Retail</v>
      </c>
      <c r="V826" s="14">
        <f t="shared" si="921"/>
        <v>2018</v>
      </c>
      <c r="W826" s="14">
        <f t="shared" si="922"/>
        <v>11</v>
      </c>
      <c r="X826" s="14">
        <f>VLOOKUP(W826,[1]Lookups!$P$3:$S$15,2,FALSE)</f>
        <v>4</v>
      </c>
      <c r="Y826" s="16">
        <f>VLOOKUP(W826,[1]Lookups!$P$3:$U$15,3,FALSE)</f>
        <v>2</v>
      </c>
      <c r="Z826" s="16">
        <f t="shared" si="923"/>
        <v>1</v>
      </c>
      <c r="AA826" s="16" t="str">
        <f t="shared" ca="1" si="1075"/>
        <v>Axa Insurance Morocco</v>
      </c>
      <c r="AB826" s="16">
        <f t="shared" si="1075"/>
        <v>0</v>
      </c>
      <c r="AC826" s="16">
        <f t="shared" si="1075"/>
        <v>0</v>
      </c>
      <c r="AD826" s="16">
        <f t="shared" si="1075"/>
        <v>0</v>
      </c>
      <c r="AE826" s="16">
        <f t="shared" si="1075"/>
        <v>0</v>
      </c>
      <c r="AF826" s="16">
        <f t="shared" si="1075"/>
        <v>0</v>
      </c>
      <c r="AG826" s="16">
        <f t="shared" si="1075"/>
        <v>0</v>
      </c>
      <c r="AH826" s="16">
        <f t="shared" si="1075"/>
        <v>0</v>
      </c>
      <c r="AI826" s="16">
        <f t="shared" si="1075"/>
        <v>0</v>
      </c>
      <c r="AJ826" s="16">
        <f t="shared" si="1075"/>
        <v>0</v>
      </c>
      <c r="AK826" s="16">
        <f t="shared" si="1075"/>
        <v>0</v>
      </c>
      <c r="AL826" s="16">
        <f t="shared" si="1075"/>
        <v>0</v>
      </c>
      <c r="AM826" s="16">
        <f t="shared" si="1075"/>
        <v>0</v>
      </c>
      <c r="AN826" s="16">
        <f t="shared" si="1075"/>
        <v>0</v>
      </c>
      <c r="AO826" s="16">
        <f t="shared" si="1075"/>
        <v>0</v>
      </c>
      <c r="AP826" s="10"/>
      <c r="AQ826" s="10"/>
      <c r="AR826" s="10"/>
      <c r="AS826" s="10" t="str">
        <f t="shared" ref="AS826" ca="1" si="1090">IFERROR(__xludf.DUMMYFUNCTION("split(F723,"","",true,true)"),"Axa Insurance Morocco")</f>
        <v>Axa Insurance Morocco</v>
      </c>
      <c r="AT826" s="10"/>
      <c r="AU826" s="10"/>
      <c r="AV826" s="10"/>
      <c r="AW826" s="10"/>
      <c r="AX826" s="10"/>
      <c r="AY826" s="10"/>
      <c r="AZ826" s="10"/>
      <c r="BA826" s="10"/>
      <c r="BB826" s="10"/>
      <c r="BC826" s="10"/>
      <c r="BD826" s="10"/>
      <c r="BE826" s="10"/>
      <c r="BF826" s="10"/>
      <c r="BG826" s="10"/>
      <c r="BH826" s="10"/>
      <c r="BI826" s="10"/>
      <c r="BJ826" s="10"/>
      <c r="BK826" s="10"/>
      <c r="BM826" s="10"/>
    </row>
    <row r="827" spans="1:65" ht="12.75">
      <c r="A827" s="18">
        <v>43431</v>
      </c>
      <c r="B827" s="14" t="s">
        <v>1788</v>
      </c>
      <c r="C827" s="19">
        <v>100000</v>
      </c>
      <c r="D827" s="19"/>
      <c r="E827" s="14" t="s">
        <v>45</v>
      </c>
      <c r="F827" s="14" t="s">
        <v>1786</v>
      </c>
      <c r="G827" s="27" t="s">
        <v>1789</v>
      </c>
      <c r="H827" s="14" t="str">
        <f t="array" ref="H827">IFERROR(INDEX([1]Companies!$G:$G,MATCH(B827,[1]Companies!$A:$A,0)),"")</f>
        <v>Kenya</v>
      </c>
      <c r="I827" s="14" t="str">
        <f t="shared" si="974"/>
        <v>Kenya</v>
      </c>
      <c r="J827" s="14" t="str">
        <f t="array" ref="J827">IFERROR(INDEX([1]Companies!$Y:$Y,MATCH(B827,[1]Companies!$A:$A,0)),"")</f>
        <v>Digital Learning, Agriculture</v>
      </c>
      <c r="K827" s="14" t="str">
        <f t="array" ref="K827">IFERROR(INDEX([1]Companies!$X:$X,MATCH(B827,[1]Companies!$A:$A,0)),"")</f>
        <v>Education</v>
      </c>
      <c r="L827" s="14" t="str">
        <f>VLOOKUP(B827,[1]Companies!$A$1:$C$5243,1,FALSE)</f>
        <v>Arifu</v>
      </c>
      <c r="M827" s="15">
        <f t="shared" si="975"/>
        <v>0.9</v>
      </c>
      <c r="N827" s="10" t="str">
        <f t="shared" si="976"/>
        <v>43431Arifu100000</v>
      </c>
      <c r="O827" s="14" t="str">
        <f t="shared" si="1017"/>
        <v/>
      </c>
      <c r="P827" s="14">
        <f t="shared" si="978"/>
        <v>1</v>
      </c>
      <c r="Q827" s="14">
        <f t="array" ref="Q827">IFERROR(INDEX([1]Companies!$D:$D,MATCH(B827,[1]Companies!$A:$A,0)),"")</f>
        <v>2013</v>
      </c>
      <c r="R827" s="17">
        <f t="shared" si="979"/>
        <v>100000</v>
      </c>
      <c r="S827" s="14">
        <f>VLOOKUP(I827,[1]Lookups!$V$3:$Y$197,4,FALSE)</f>
        <v>0</v>
      </c>
      <c r="T827" s="14" t="str">
        <f>VLOOKUP(E827,[1]Lookups!$H$3:$I$71,2,FALSE)</f>
        <v>2. Seed</v>
      </c>
      <c r="U827" s="14" t="str">
        <f>VLOOKUP(K827,[1]Lookups!$B$3:$C$142,2,FALSE)</f>
        <v>Education</v>
      </c>
      <c r="V827" s="14">
        <f t="shared" si="921"/>
        <v>2018</v>
      </c>
      <c r="W827" s="14">
        <f t="shared" si="922"/>
        <v>11</v>
      </c>
      <c r="X827" s="14">
        <f>VLOOKUP(W827,[1]Lookups!$P$3:$S$15,2,FALSE)</f>
        <v>4</v>
      </c>
      <c r="Y827" s="16">
        <f>VLOOKUP(W827,[1]Lookups!$P$3:$U$15,3,FALSE)</f>
        <v>2</v>
      </c>
      <c r="Z827" s="16">
        <f t="shared" si="923"/>
        <v>1</v>
      </c>
      <c r="AA827" s="16" t="str">
        <f t="shared" ca="1" si="1075"/>
        <v>Axa Insurance Morocco</v>
      </c>
      <c r="AB827" s="16">
        <f t="shared" si="1075"/>
        <v>0</v>
      </c>
      <c r="AC827" s="16">
        <f t="shared" si="1075"/>
        <v>0</v>
      </c>
      <c r="AD827" s="16">
        <f t="shared" si="1075"/>
        <v>0</v>
      </c>
      <c r="AE827" s="16">
        <f t="shared" si="1075"/>
        <v>0</v>
      </c>
      <c r="AF827" s="16">
        <f t="shared" si="1075"/>
        <v>0</v>
      </c>
      <c r="AG827" s="16">
        <f t="shared" si="1075"/>
        <v>0</v>
      </c>
      <c r="AH827" s="16">
        <f t="shared" si="1075"/>
        <v>0</v>
      </c>
      <c r="AI827" s="16">
        <f t="shared" si="1075"/>
        <v>0</v>
      </c>
      <c r="AJ827" s="16">
        <f t="shared" si="1075"/>
        <v>0</v>
      </c>
      <c r="AK827" s="16">
        <f t="shared" si="1075"/>
        <v>0</v>
      </c>
      <c r="AL827" s="16">
        <f t="shared" si="1075"/>
        <v>0</v>
      </c>
      <c r="AM827" s="16">
        <f t="shared" si="1075"/>
        <v>0</v>
      </c>
      <c r="AN827" s="16">
        <f t="shared" si="1075"/>
        <v>0</v>
      </c>
      <c r="AO827" s="16">
        <f t="shared" si="1075"/>
        <v>0</v>
      </c>
      <c r="AP827" s="10"/>
      <c r="AQ827" s="10"/>
      <c r="AR827" s="10"/>
      <c r="AS827" s="10" t="str">
        <f t="shared" ref="AS827" ca="1" si="1091">IFERROR(__xludf.DUMMYFUNCTION("split(F723,"","",true,true)"),"Axa Insurance Morocco")</f>
        <v>Axa Insurance Morocco</v>
      </c>
      <c r="AT827" s="10"/>
      <c r="AU827" s="10"/>
      <c r="AV827" s="10"/>
      <c r="AW827" s="10"/>
      <c r="AX827" s="10"/>
      <c r="AY827" s="10"/>
      <c r="AZ827" s="10"/>
      <c r="BA827" s="10"/>
      <c r="BB827" s="10"/>
      <c r="BC827" s="10"/>
      <c r="BD827" s="10"/>
      <c r="BE827" s="10"/>
      <c r="BF827" s="10"/>
      <c r="BG827" s="10"/>
      <c r="BH827" s="10"/>
      <c r="BI827" s="10"/>
      <c r="BJ827" s="10"/>
      <c r="BK827" s="10"/>
      <c r="BM827" s="10"/>
    </row>
    <row r="828" spans="1:65" ht="12.75">
      <c r="A828" s="18">
        <v>43432</v>
      </c>
      <c r="B828" s="14" t="s">
        <v>1790</v>
      </c>
      <c r="C828" s="19" t="s">
        <v>49</v>
      </c>
      <c r="D828" s="19"/>
      <c r="E828" s="14" t="s">
        <v>55</v>
      </c>
      <c r="F828" s="14" t="s">
        <v>1791</v>
      </c>
      <c r="G828" s="27" t="s">
        <v>1792</v>
      </c>
      <c r="H828" s="14" t="str">
        <f t="array" ref="H828">IFERROR(INDEX([1]Companies!$G:$G,MATCH(B828,[1]Companies!$A:$A,0)),"")</f>
        <v>Kenya</v>
      </c>
      <c r="I828" s="14" t="str">
        <f t="shared" si="974"/>
        <v>Kenya</v>
      </c>
      <c r="J828" s="14" t="str">
        <f t="array" ref="J828">IFERROR(INDEX([1]Companies!$Y:$Y,MATCH(B828,[1]Companies!$A:$A,0)),"")</f>
        <v>Fashion, Information Technology</v>
      </c>
      <c r="K828" s="14" t="str">
        <f t="array" ref="K828">IFERROR(INDEX([1]Companies!$X:$X,MATCH(B828,[1]Companies!$A:$A,0)),"")</f>
        <v>Education</v>
      </c>
      <c r="L828" s="14" t="str">
        <f>VLOOKUP(B828,[1]Companies!$A$1:$C$5243,1,FALSE)</f>
        <v>Akirachix</v>
      </c>
      <c r="M828" s="15">
        <f t="shared" si="975"/>
        <v>0.9</v>
      </c>
      <c r="N828" s="10" t="str">
        <f t="shared" si="976"/>
        <v>43432AkiraChixUndisclosed</v>
      </c>
      <c r="O828" s="14" t="str">
        <f t="shared" si="1017"/>
        <v/>
      </c>
      <c r="P828" s="14">
        <f t="shared" si="978"/>
        <v>0</v>
      </c>
      <c r="Q828" s="14">
        <f t="array" ref="Q828">IFERROR(INDEX([1]Companies!$D:$D,MATCH(B828,[1]Companies!$A:$A,0)),"")</f>
        <v>2010</v>
      </c>
      <c r="R828" s="17">
        <f t="shared" si="979"/>
        <v>0</v>
      </c>
      <c r="S828" s="14">
        <f>VLOOKUP(I828,[1]Lookups!$V$3:$Y$197,4,FALSE)</f>
        <v>0</v>
      </c>
      <c r="T828" s="14" t="str">
        <f>VLOOKUP(E828,[1]Lookups!$H$3:$I$71,2,FALSE)</f>
        <v>1. Grant</v>
      </c>
      <c r="U828" s="14" t="str">
        <f>VLOOKUP(K828,[1]Lookups!$B$3:$C$142,2,FALSE)</f>
        <v>Education</v>
      </c>
      <c r="V828" s="14">
        <f t="shared" si="921"/>
        <v>2018</v>
      </c>
      <c r="W828" s="14">
        <f t="shared" si="922"/>
        <v>11</v>
      </c>
      <c r="X828" s="14">
        <f>VLOOKUP(W828,[1]Lookups!$P$3:$S$15,2,FALSE)</f>
        <v>4</v>
      </c>
      <c r="Y828" s="16">
        <f>VLOOKUP(W828,[1]Lookups!$P$3:$U$15,3,FALSE)</f>
        <v>2</v>
      </c>
      <c r="Z828" s="16">
        <f t="shared" si="923"/>
        <v>1</v>
      </c>
      <c r="AA828" s="16" t="str">
        <f t="shared" ref="AA828:AO843" ca="1" si="1092">AS828</f>
        <v>Axa Insurance Morocco</v>
      </c>
      <c r="AB828" s="16">
        <f t="shared" si="1092"/>
        <v>0</v>
      </c>
      <c r="AC828" s="16">
        <f t="shared" si="1092"/>
        <v>0</v>
      </c>
      <c r="AD828" s="16">
        <f t="shared" si="1092"/>
        <v>0</v>
      </c>
      <c r="AE828" s="16">
        <f t="shared" si="1092"/>
        <v>0</v>
      </c>
      <c r="AF828" s="16">
        <f t="shared" si="1092"/>
        <v>0</v>
      </c>
      <c r="AG828" s="16">
        <f t="shared" si="1092"/>
        <v>0</v>
      </c>
      <c r="AH828" s="16">
        <f t="shared" si="1092"/>
        <v>0</v>
      </c>
      <c r="AI828" s="16">
        <f t="shared" si="1092"/>
        <v>0</v>
      </c>
      <c r="AJ828" s="16">
        <f t="shared" si="1092"/>
        <v>0</v>
      </c>
      <c r="AK828" s="16">
        <f t="shared" si="1092"/>
        <v>0</v>
      </c>
      <c r="AL828" s="16">
        <f t="shared" si="1092"/>
        <v>0</v>
      </c>
      <c r="AM828" s="16">
        <f t="shared" si="1092"/>
        <v>0</v>
      </c>
      <c r="AN828" s="16">
        <f t="shared" si="1092"/>
        <v>0</v>
      </c>
      <c r="AO828" s="16">
        <f t="shared" si="1092"/>
        <v>0</v>
      </c>
      <c r="AP828" s="10"/>
      <c r="AQ828" s="10"/>
      <c r="AR828" s="10"/>
      <c r="AS828" s="10" t="str">
        <f t="shared" ref="AS828" ca="1" si="1093">IFERROR(__xludf.DUMMYFUNCTION("split(F723,"","",true,true)"),"Axa Insurance Morocco")</f>
        <v>Axa Insurance Morocco</v>
      </c>
      <c r="AT828" s="10"/>
      <c r="AU828" s="10"/>
      <c r="AV828" s="10"/>
      <c r="AW828" s="10"/>
      <c r="AX828" s="10"/>
      <c r="AY828" s="10"/>
      <c r="AZ828" s="10"/>
      <c r="BA828" s="10"/>
      <c r="BB828" s="10"/>
      <c r="BC828" s="10"/>
      <c r="BD828" s="10"/>
      <c r="BE828" s="10"/>
      <c r="BF828" s="10"/>
      <c r="BG828" s="10"/>
      <c r="BH828" s="10"/>
      <c r="BI828" s="10"/>
      <c r="BJ828" s="10"/>
      <c r="BK828" s="10"/>
      <c r="BM828" s="10"/>
    </row>
    <row r="829" spans="1:65" ht="12.75">
      <c r="A829" s="18">
        <v>43432</v>
      </c>
      <c r="B829" s="14" t="s">
        <v>1433</v>
      </c>
      <c r="C829" s="19">
        <v>300000</v>
      </c>
      <c r="D829" s="19"/>
      <c r="E829" s="14" t="s">
        <v>45</v>
      </c>
      <c r="F829" s="14" t="s">
        <v>1793</v>
      </c>
      <c r="G829" s="27" t="s">
        <v>1794</v>
      </c>
      <c r="H829" s="14" t="str">
        <f t="array" ref="H829">IFERROR(INDEX([1]Companies!$G:$G,MATCH(B829,[1]Companies!$A:$A,0)),"")</f>
        <v>Zimbabwe</v>
      </c>
      <c r="I829" s="14" t="str">
        <f t="shared" si="974"/>
        <v>Zimbabwe</v>
      </c>
      <c r="J829" s="14" t="str">
        <f t="array" ref="J829">IFERROR(INDEX([1]Companies!$Y:$Y,MATCH(B829,[1]Companies!$A:$A,0)),"")</f>
        <v>Clean Energy, Energy, Solar</v>
      </c>
      <c r="K829" s="14" t="str">
        <f t="array" ref="K829">IFERROR(INDEX([1]Companies!$X:$X,MATCH(B829,[1]Companies!$A:$A,0)),"")</f>
        <v>Energy &amp; Environment Resources</v>
      </c>
      <c r="L829" s="14" t="str">
        <f>VLOOKUP(B829,[1]Companies!$A$1:$C$5243,1,FALSE)</f>
        <v>Zonful Energy</v>
      </c>
      <c r="M829" s="15">
        <f t="shared" si="975"/>
        <v>0.9</v>
      </c>
      <c r="N829" s="10" t="str">
        <f t="shared" si="976"/>
        <v>43432Zonful Energy300000</v>
      </c>
      <c r="O829" s="14" t="str">
        <f t="shared" si="1017"/>
        <v/>
      </c>
      <c r="P829" s="14">
        <f t="shared" si="978"/>
        <v>1</v>
      </c>
      <c r="Q829" s="14">
        <f t="array" ref="Q829">IFERROR(INDEX([1]Companies!$D:$D,MATCH(B829,[1]Companies!$A:$A,0)),"")</f>
        <v>2013</v>
      </c>
      <c r="R829" s="17">
        <f t="shared" si="979"/>
        <v>600000</v>
      </c>
      <c r="S829" s="14">
        <f>VLOOKUP(I829,[1]Lookups!$V$3:$Y$197,4,FALSE)</f>
        <v>0</v>
      </c>
      <c r="T829" s="14" t="str">
        <f>VLOOKUP(E829,[1]Lookups!$H$3:$I$71,2,FALSE)</f>
        <v>2. Seed</v>
      </c>
      <c r="U829" s="14" t="e">
        <f>VLOOKUP(K829,[1]Lookups!$B$3:$C$142,2,FALSE)</f>
        <v>#N/A</v>
      </c>
      <c r="V829" s="14">
        <f t="shared" si="921"/>
        <v>2018</v>
      </c>
      <c r="W829" s="14">
        <f t="shared" si="922"/>
        <v>11</v>
      </c>
      <c r="X829" s="14">
        <f>VLOOKUP(W829,[1]Lookups!$P$3:$S$15,2,FALSE)</f>
        <v>4</v>
      </c>
      <c r="Y829" s="16">
        <f>VLOOKUP(W829,[1]Lookups!$P$3:$U$15,3,FALSE)</f>
        <v>2</v>
      </c>
      <c r="Z829" s="16">
        <f t="shared" si="923"/>
        <v>2</v>
      </c>
      <c r="AA829" s="16" t="str">
        <f t="shared" ca="1" si="1092"/>
        <v>Axa Insurance Morocco</v>
      </c>
      <c r="AB829" s="16" t="str">
        <f t="shared" ca="1" si="1092"/>
        <v xml:space="preserve"> Aster</v>
      </c>
      <c r="AC829" s="16">
        <f t="shared" si="1092"/>
        <v>0</v>
      </c>
      <c r="AD829" s="16">
        <f t="shared" si="1092"/>
        <v>0</v>
      </c>
      <c r="AE829" s="16">
        <f t="shared" si="1092"/>
        <v>0</v>
      </c>
      <c r="AF829" s="16">
        <f t="shared" si="1092"/>
        <v>0</v>
      </c>
      <c r="AG829" s="16">
        <f t="shared" si="1092"/>
        <v>0</v>
      </c>
      <c r="AH829" s="16">
        <f t="shared" si="1092"/>
        <v>0</v>
      </c>
      <c r="AI829" s="16">
        <f t="shared" si="1092"/>
        <v>0</v>
      </c>
      <c r="AJ829" s="16">
        <f t="shared" si="1092"/>
        <v>0</v>
      </c>
      <c r="AK829" s="16">
        <f t="shared" si="1092"/>
        <v>0</v>
      </c>
      <c r="AL829" s="16">
        <f t="shared" si="1092"/>
        <v>0</v>
      </c>
      <c r="AM829" s="16">
        <f t="shared" si="1092"/>
        <v>0</v>
      </c>
      <c r="AN829" s="16">
        <f t="shared" si="1092"/>
        <v>0</v>
      </c>
      <c r="AO829" s="16">
        <f t="shared" si="1092"/>
        <v>0</v>
      </c>
      <c r="AP829" s="10"/>
      <c r="AQ829" s="10"/>
      <c r="AR829" s="10"/>
      <c r="AS829" s="10" t="str">
        <f t="shared" ref="AS829" ca="1" si="1094">IFERROR(__xludf.DUMMYFUNCTION("split(F723,"","",true,true)"),"Axa Insurance Morocco")</f>
        <v>Axa Insurance Morocco</v>
      </c>
      <c r="AT829" s="10" t="str">
        <f ca="1">IFERROR(__xludf.DUMMYFUNCTION("""COMPUTED_VALUE""")," Aster")</f>
        <v xml:space="preserve"> Aster</v>
      </c>
      <c r="AU829" s="10"/>
      <c r="AV829" s="10"/>
      <c r="AW829" s="10"/>
      <c r="AX829" s="10"/>
      <c r="AY829" s="10"/>
      <c r="AZ829" s="10"/>
      <c r="BA829" s="10"/>
      <c r="BB829" s="10"/>
      <c r="BC829" s="10"/>
      <c r="BD829" s="10"/>
      <c r="BE829" s="10"/>
      <c r="BF829" s="10"/>
      <c r="BG829" s="10"/>
      <c r="BH829" s="10"/>
      <c r="BI829" s="10"/>
      <c r="BJ829" s="10"/>
      <c r="BK829" s="10"/>
      <c r="BM829" s="10"/>
    </row>
    <row r="830" spans="1:65" ht="12.75">
      <c r="A830" s="18">
        <v>43433</v>
      </c>
      <c r="B830" s="14" t="s">
        <v>1795</v>
      </c>
      <c r="C830" s="19" t="s">
        <v>49</v>
      </c>
      <c r="D830" s="19"/>
      <c r="E830" s="14" t="s">
        <v>45</v>
      </c>
      <c r="F830" s="14" t="s">
        <v>1325</v>
      </c>
      <c r="G830" s="27" t="s">
        <v>1796</v>
      </c>
      <c r="H830" s="14" t="str">
        <f t="array" ref="H830">IFERROR(INDEX([1]Companies!$G:$G,MATCH(B830,[1]Companies!$A:$A,0)),"")</f>
        <v>Ivory Coast</v>
      </c>
      <c r="I830" s="14" t="str">
        <f t="shared" si="974"/>
        <v>Ivory Coast</v>
      </c>
      <c r="J830" s="14" t="str">
        <f t="array" ref="J830">IFERROR(INDEX([1]Companies!$Y:$Y,MATCH(B830,[1]Companies!$A:$A,0)),"")</f>
        <v>Legal, Legal Documents, Business Establishment OHADA Countries, Consult an Online Attorney in Africa, and Legal Services</v>
      </c>
      <c r="K830" s="14" t="str">
        <f t="array" ref="K830">IFERROR(INDEX([1]Companies!$X:$X,MATCH(B830,[1]Companies!$A:$A,0)),"")</f>
        <v>Commercial &amp; Professional Services</v>
      </c>
      <c r="L830" s="14" t="str">
        <f>VLOOKUP(B830,[1]Companies!$A$1:$C$5243,1,FALSE)</f>
        <v>Legafrik</v>
      </c>
      <c r="M830" s="15">
        <f t="shared" si="975"/>
        <v>0.9</v>
      </c>
      <c r="N830" s="10" t="str">
        <f t="shared" si="976"/>
        <v>43433LegafrikUndisclosed</v>
      </c>
      <c r="O830" s="14" t="str">
        <f t="shared" si="1017"/>
        <v/>
      </c>
      <c r="P830" s="14">
        <f t="shared" si="978"/>
        <v>0</v>
      </c>
      <c r="Q830" s="14">
        <f t="array" ref="Q830">IFERROR(INDEX([1]Companies!$D:$D,MATCH(B830,[1]Companies!$A:$A,0)),"")</f>
        <v>2017</v>
      </c>
      <c r="R830" s="17">
        <f t="shared" si="979"/>
        <v>0</v>
      </c>
      <c r="S830" s="14">
        <f>VLOOKUP(I830,[1]Lookups!$V$3:$Y$197,4,FALSE)</f>
        <v>0</v>
      </c>
      <c r="T830" s="14" t="str">
        <f>VLOOKUP(E830,[1]Lookups!$H$3:$I$71,2,FALSE)</f>
        <v>2. Seed</v>
      </c>
      <c r="U830" s="14" t="str">
        <f>VLOOKUP(K830,[1]Lookups!$B$3:$C$142,2,FALSE)</f>
        <v>Other Technologies &amp; Information Technology</v>
      </c>
      <c r="V830" s="14">
        <f t="shared" si="921"/>
        <v>2018</v>
      </c>
      <c r="W830" s="14">
        <f t="shared" si="922"/>
        <v>11</v>
      </c>
      <c r="X830" s="14">
        <f>VLOOKUP(W830,[1]Lookups!$P$3:$S$15,2,FALSE)</f>
        <v>4</v>
      </c>
      <c r="Y830" s="16">
        <f>VLOOKUP(W830,[1]Lookups!$P$3:$U$15,3,FALSE)</f>
        <v>2</v>
      </c>
      <c r="Z830" s="16">
        <f t="shared" si="923"/>
        <v>1</v>
      </c>
      <c r="AA830" s="16" t="str">
        <f t="shared" ca="1" si="1092"/>
        <v>Axa Insurance Morocco</v>
      </c>
      <c r="AB830" s="16">
        <f t="shared" si="1092"/>
        <v>0</v>
      </c>
      <c r="AC830" s="16">
        <f t="shared" si="1092"/>
        <v>0</v>
      </c>
      <c r="AD830" s="16">
        <f t="shared" si="1092"/>
        <v>0</v>
      </c>
      <c r="AE830" s="16">
        <f t="shared" si="1092"/>
        <v>0</v>
      </c>
      <c r="AF830" s="16">
        <f t="shared" si="1092"/>
        <v>0</v>
      </c>
      <c r="AG830" s="16">
        <f t="shared" si="1092"/>
        <v>0</v>
      </c>
      <c r="AH830" s="16">
        <f t="shared" si="1092"/>
        <v>0</v>
      </c>
      <c r="AI830" s="16">
        <f t="shared" si="1092"/>
        <v>0</v>
      </c>
      <c r="AJ830" s="16">
        <f t="shared" si="1092"/>
        <v>0</v>
      </c>
      <c r="AK830" s="16">
        <f t="shared" si="1092"/>
        <v>0</v>
      </c>
      <c r="AL830" s="16">
        <f t="shared" si="1092"/>
        <v>0</v>
      </c>
      <c r="AM830" s="16">
        <f t="shared" si="1092"/>
        <v>0</v>
      </c>
      <c r="AN830" s="16">
        <f t="shared" si="1092"/>
        <v>0</v>
      </c>
      <c r="AO830" s="16">
        <f t="shared" si="1092"/>
        <v>0</v>
      </c>
      <c r="AP830" s="10"/>
      <c r="AQ830" s="10"/>
      <c r="AR830" s="10"/>
      <c r="AS830" s="10" t="str">
        <f t="shared" ref="AS830" ca="1" si="1095">IFERROR(__xludf.DUMMYFUNCTION("split(F723,"","",true,true)"),"Axa Insurance Morocco")</f>
        <v>Axa Insurance Morocco</v>
      </c>
      <c r="AT830" s="10"/>
      <c r="AU830" s="10"/>
      <c r="AV830" s="10"/>
      <c r="AW830" s="10"/>
      <c r="AX830" s="10"/>
      <c r="AY830" s="10"/>
      <c r="AZ830" s="10"/>
      <c r="BA830" s="10"/>
      <c r="BB830" s="10"/>
      <c r="BC830" s="10"/>
      <c r="BD830" s="10"/>
      <c r="BE830" s="10"/>
      <c r="BF830" s="10"/>
      <c r="BG830" s="10"/>
      <c r="BH830" s="10"/>
      <c r="BI830" s="10"/>
      <c r="BJ830" s="10"/>
      <c r="BK830" s="10"/>
      <c r="BM830" s="10"/>
    </row>
    <row r="831" spans="1:65" ht="12.75">
      <c r="A831" s="18">
        <v>43433</v>
      </c>
      <c r="B831" s="14" t="s">
        <v>1797</v>
      </c>
      <c r="C831" s="19">
        <v>720000</v>
      </c>
      <c r="D831" s="19"/>
      <c r="E831" s="14" t="s">
        <v>45</v>
      </c>
      <c r="F831" s="14" t="s">
        <v>1798</v>
      </c>
      <c r="G831" s="27" t="s">
        <v>1799</v>
      </c>
      <c r="H831" s="14" t="str">
        <f t="array" ref="H831">IFERROR(INDEX([1]Companies!$G:$G,MATCH(B831,[1]Companies!$A:$A,0)),"")</f>
        <v>South Africa</v>
      </c>
      <c r="I831" s="14" t="str">
        <f t="shared" si="974"/>
        <v>South Africa</v>
      </c>
      <c r="J831" s="14" t="str">
        <f t="array" ref="J831">IFERROR(INDEX([1]Companies!$Y:$Y,MATCH(B831,[1]Companies!$A:$A,0)),"")</f>
        <v>eSports</v>
      </c>
      <c r="K831" s="14" t="str">
        <f t="array" ref="K831">IFERROR(INDEX([1]Companies!$X:$X,MATCH(B831,[1]Companies!$A:$A,0)),"")</f>
        <v>Media &amp; Entertainment</v>
      </c>
      <c r="L831" s="14" t="str">
        <f>VLOOKUP(B831,[1]Companies!$A$1:$C$5243,1,FALSE)</f>
        <v>Mettlestate</v>
      </c>
      <c r="M831" s="15">
        <f t="shared" si="975"/>
        <v>0.9</v>
      </c>
      <c r="N831" s="10" t="str">
        <f t="shared" si="976"/>
        <v>43433Mettlestate720000</v>
      </c>
      <c r="O831" s="14" t="str">
        <f t="shared" si="1017"/>
        <v/>
      </c>
      <c r="P831" s="14">
        <f t="shared" si="978"/>
        <v>1</v>
      </c>
      <c r="Q831" s="14">
        <f t="array" ref="Q831">IFERROR(INDEX([1]Companies!$D:$D,MATCH(B831,[1]Companies!$A:$A,0)),"")</f>
        <v>2016</v>
      </c>
      <c r="R831" s="17">
        <f t="shared" si="979"/>
        <v>720000</v>
      </c>
      <c r="S831" s="14">
        <f>VLOOKUP(I831,[1]Lookups!$V$3:$Y$197,4,FALSE)</f>
        <v>0</v>
      </c>
      <c r="T831" s="14" t="str">
        <f>VLOOKUP(E831,[1]Lookups!$H$3:$I$71,2,FALSE)</f>
        <v>2. Seed</v>
      </c>
      <c r="U831" s="14" t="str">
        <f>VLOOKUP(K831,[1]Lookups!$B$3:$C$142,2,FALSE)</f>
        <v>Media &amp; Entertainment</v>
      </c>
      <c r="V831" s="14">
        <f t="shared" si="921"/>
        <v>2018</v>
      </c>
      <c r="W831" s="14">
        <f t="shared" si="922"/>
        <v>11</v>
      </c>
      <c r="X831" s="14">
        <f>VLOOKUP(W831,[1]Lookups!$P$3:$S$15,2,FALSE)</f>
        <v>4</v>
      </c>
      <c r="Y831" s="16">
        <f>VLOOKUP(W831,[1]Lookups!$P$3:$U$15,3,FALSE)</f>
        <v>2</v>
      </c>
      <c r="Z831" s="16">
        <f t="shared" si="923"/>
        <v>1</v>
      </c>
      <c r="AA831" s="16" t="str">
        <f t="shared" ca="1" si="1092"/>
        <v>Axa Insurance Morocco</v>
      </c>
      <c r="AB831" s="16">
        <f t="shared" si="1092"/>
        <v>0</v>
      </c>
      <c r="AC831" s="16">
        <f t="shared" si="1092"/>
        <v>0</v>
      </c>
      <c r="AD831" s="16">
        <f t="shared" si="1092"/>
        <v>0</v>
      </c>
      <c r="AE831" s="16">
        <f t="shared" si="1092"/>
        <v>0</v>
      </c>
      <c r="AF831" s="16">
        <f t="shared" si="1092"/>
        <v>0</v>
      </c>
      <c r="AG831" s="16">
        <f t="shared" si="1092"/>
        <v>0</v>
      </c>
      <c r="AH831" s="16">
        <f t="shared" si="1092"/>
        <v>0</v>
      </c>
      <c r="AI831" s="16">
        <f t="shared" si="1092"/>
        <v>0</v>
      </c>
      <c r="AJ831" s="16">
        <f t="shared" si="1092"/>
        <v>0</v>
      </c>
      <c r="AK831" s="16">
        <f t="shared" si="1092"/>
        <v>0</v>
      </c>
      <c r="AL831" s="16">
        <f t="shared" si="1092"/>
        <v>0</v>
      </c>
      <c r="AM831" s="16">
        <f t="shared" si="1092"/>
        <v>0</v>
      </c>
      <c r="AN831" s="16">
        <f t="shared" si="1092"/>
        <v>0</v>
      </c>
      <c r="AO831" s="16">
        <f t="shared" si="1092"/>
        <v>0</v>
      </c>
      <c r="AP831" s="10"/>
      <c r="AQ831" s="10"/>
      <c r="AR831" s="10"/>
      <c r="AS831" s="10" t="str">
        <f t="shared" ref="AS831" ca="1" si="1096">IFERROR(__xludf.DUMMYFUNCTION("split(F723,"","",true,true)"),"Axa Insurance Morocco")</f>
        <v>Axa Insurance Morocco</v>
      </c>
      <c r="AT831" s="10"/>
      <c r="AU831" s="10"/>
      <c r="AV831" s="10"/>
      <c r="AW831" s="10"/>
      <c r="AX831" s="10"/>
      <c r="AY831" s="10"/>
      <c r="AZ831" s="10"/>
      <c r="BA831" s="10"/>
      <c r="BB831" s="10"/>
      <c r="BC831" s="10"/>
      <c r="BD831" s="10"/>
      <c r="BE831" s="10"/>
      <c r="BF831" s="10"/>
      <c r="BG831" s="10"/>
      <c r="BH831" s="10"/>
      <c r="BI831" s="10"/>
      <c r="BJ831" s="10"/>
      <c r="BK831" s="10"/>
      <c r="BM831" s="10"/>
    </row>
    <row r="832" spans="1:65" ht="12.75">
      <c r="A832" s="18">
        <v>43433</v>
      </c>
      <c r="B832" s="14" t="s">
        <v>1800</v>
      </c>
      <c r="C832" s="19">
        <v>250000</v>
      </c>
      <c r="D832" s="19"/>
      <c r="E832" s="14" t="s">
        <v>55</v>
      </c>
      <c r="F832" s="14" t="s">
        <v>1801</v>
      </c>
      <c r="G832" s="27" t="s">
        <v>1802</v>
      </c>
      <c r="H832" s="14" t="str">
        <f t="array" ref="H832">IFERROR(INDEX([1]Companies!$G:$G,MATCH(B832,[1]Companies!$A:$A,0)),"")</f>
        <v>Nigeria</v>
      </c>
      <c r="I832" s="14" t="str">
        <f t="shared" si="974"/>
        <v>Nigeria</v>
      </c>
      <c r="J832" s="14" t="str">
        <f t="array" ref="J832">IFERROR(INDEX([1]Companies!$Y:$Y,MATCH(B832,[1]Companies!$A:$A,0)),"")</f>
        <v>Infomation Technology, Health</v>
      </c>
      <c r="K832" s="14" t="str">
        <f t="array" ref="K832">IFERROR(INDEX([1]Companies!$X:$X,MATCH(B832,[1]Companies!$A:$A,0)),"")</f>
        <v>Healthcare &amp; Pharma</v>
      </c>
      <c r="L832" s="14" t="str">
        <f>VLOOKUP(B832,[1]Companies!$A$1:$C$5243,1,FALSE)</f>
        <v>Helpmum</v>
      </c>
      <c r="M832" s="15">
        <f t="shared" si="975"/>
        <v>0.9</v>
      </c>
      <c r="N832" s="10" t="str">
        <f t="shared" si="976"/>
        <v>43433HelpMum250000</v>
      </c>
      <c r="O832" s="14" t="str">
        <f t="shared" si="1017"/>
        <v/>
      </c>
      <c r="P832" s="14">
        <f t="shared" si="978"/>
        <v>1</v>
      </c>
      <c r="Q832" s="14">
        <f t="array" ref="Q832">IFERROR(INDEX([1]Companies!$D:$D,MATCH(B832,[1]Companies!$A:$A,0)),"")</f>
        <v>2013</v>
      </c>
      <c r="R832" s="17">
        <f t="shared" si="979"/>
        <v>250000</v>
      </c>
      <c r="S832" s="14">
        <f>VLOOKUP(I832,[1]Lookups!$V$3:$Y$197,4,FALSE)</f>
        <v>0</v>
      </c>
      <c r="T832" s="14" t="str">
        <f>VLOOKUP(E832,[1]Lookups!$H$3:$I$71,2,FALSE)</f>
        <v>1. Grant</v>
      </c>
      <c r="U832" s="14" t="str">
        <f>VLOOKUP(K832,[1]Lookups!$B$3:$C$142,2,FALSE)</f>
        <v>Health &amp; Pharmaceuticals</v>
      </c>
      <c r="V832" s="14">
        <f t="shared" si="921"/>
        <v>2018</v>
      </c>
      <c r="W832" s="14">
        <f t="shared" si="922"/>
        <v>11</v>
      </c>
      <c r="X832" s="14">
        <f>VLOOKUP(W832,[1]Lookups!$P$3:$S$15,2,FALSE)</f>
        <v>4</v>
      </c>
      <c r="Y832" s="16">
        <f>VLOOKUP(W832,[1]Lookups!$P$3:$U$15,3,FALSE)</f>
        <v>2</v>
      </c>
      <c r="Z832" s="16">
        <f t="shared" si="923"/>
        <v>1</v>
      </c>
      <c r="AA832" s="16" t="str">
        <f t="shared" ca="1" si="1092"/>
        <v>Axa Insurance Morocco</v>
      </c>
      <c r="AB832" s="16">
        <f t="shared" si="1092"/>
        <v>0</v>
      </c>
      <c r="AC832" s="16">
        <f t="shared" si="1092"/>
        <v>0</v>
      </c>
      <c r="AD832" s="16">
        <f t="shared" si="1092"/>
        <v>0</v>
      </c>
      <c r="AE832" s="16">
        <f t="shared" si="1092"/>
        <v>0</v>
      </c>
      <c r="AF832" s="16">
        <f t="shared" si="1092"/>
        <v>0</v>
      </c>
      <c r="AG832" s="16">
        <f t="shared" si="1092"/>
        <v>0</v>
      </c>
      <c r="AH832" s="16">
        <f t="shared" si="1092"/>
        <v>0</v>
      </c>
      <c r="AI832" s="16">
        <f t="shared" si="1092"/>
        <v>0</v>
      </c>
      <c r="AJ832" s="16">
        <f t="shared" si="1092"/>
        <v>0</v>
      </c>
      <c r="AK832" s="16">
        <f t="shared" si="1092"/>
        <v>0</v>
      </c>
      <c r="AL832" s="16">
        <f t="shared" si="1092"/>
        <v>0</v>
      </c>
      <c r="AM832" s="16">
        <f t="shared" si="1092"/>
        <v>0</v>
      </c>
      <c r="AN832" s="16">
        <f t="shared" si="1092"/>
        <v>0</v>
      </c>
      <c r="AO832" s="16">
        <f t="shared" si="1092"/>
        <v>0</v>
      </c>
      <c r="AP832" s="10"/>
      <c r="AQ832" s="10"/>
      <c r="AR832" s="10"/>
      <c r="AS832" s="10" t="str">
        <f t="shared" ref="AS832" ca="1" si="1097">IFERROR(__xludf.DUMMYFUNCTION("split(F723,"","",true,true)"),"Axa Insurance Morocco")</f>
        <v>Axa Insurance Morocco</v>
      </c>
      <c r="AT832" s="10"/>
      <c r="AU832" s="10"/>
      <c r="AV832" s="10"/>
      <c r="AW832" s="10"/>
      <c r="AX832" s="10"/>
      <c r="AY832" s="10"/>
      <c r="AZ832" s="10"/>
      <c r="BA832" s="10"/>
      <c r="BB832" s="10"/>
      <c r="BC832" s="10"/>
      <c r="BD832" s="10"/>
      <c r="BE832" s="10"/>
      <c r="BF832" s="10"/>
      <c r="BG832" s="10"/>
      <c r="BH832" s="10"/>
      <c r="BI832" s="10"/>
      <c r="BJ832" s="10"/>
      <c r="BK832" s="10"/>
      <c r="BM832" s="10"/>
    </row>
    <row r="833" spans="1:65" ht="12.75">
      <c r="A833" s="18">
        <v>43433</v>
      </c>
      <c r="B833" s="14" t="s">
        <v>1803</v>
      </c>
      <c r="C833" s="19">
        <v>250000</v>
      </c>
      <c r="D833" s="19"/>
      <c r="E833" s="14" t="s">
        <v>55</v>
      </c>
      <c r="F833" s="14" t="s">
        <v>1804</v>
      </c>
      <c r="G833" s="27" t="s">
        <v>1805</v>
      </c>
      <c r="H833" s="14" t="str">
        <f t="array" ref="H833">IFERROR(INDEX([1]Companies!$G:$G,MATCH(B833,[1]Companies!$A:$A,0)),"")</f>
        <v>Kenya</v>
      </c>
      <c r="I833" s="14" t="str">
        <f t="shared" si="974"/>
        <v>Kenya</v>
      </c>
      <c r="J833" s="14" t="str">
        <f t="array" ref="J833">IFERROR(INDEX([1]Companies!$Y:$Y,MATCH(B833,[1]Companies!$A:$A,0)),"")</f>
        <v>Agriculture, Analytics, Big Data, Farming, Internet of Things, Predictive Analytics</v>
      </c>
      <c r="K833" s="14" t="str">
        <f t="array" ref="K833">IFERROR(INDEX([1]Companies!$X:$X,MATCH(B833,[1]Companies!$A:$A,0)),"")</f>
        <v>Agriculture</v>
      </c>
      <c r="L833" s="14" t="str">
        <f>VLOOKUP(B833,[1]Companies!$A$1:$C$5243,1,FALSE)</f>
        <v>Ujuzikilimo Solutions</v>
      </c>
      <c r="M833" s="15">
        <f t="shared" si="975"/>
        <v>0.9</v>
      </c>
      <c r="N833" s="10" t="str">
        <f t="shared" si="976"/>
        <v>43433UjuziKilimo Solutions250000</v>
      </c>
      <c r="O833" s="14" t="str">
        <f t="shared" si="1017"/>
        <v/>
      </c>
      <c r="P833" s="14">
        <f t="shared" si="978"/>
        <v>1</v>
      </c>
      <c r="Q833" s="14">
        <f t="array" ref="Q833">IFERROR(INDEX([1]Companies!$D:$D,MATCH(B833,[1]Companies!$A:$A,0)),"")</f>
        <v>2015</v>
      </c>
      <c r="R833" s="17">
        <f t="shared" si="979"/>
        <v>250000</v>
      </c>
      <c r="S833" s="14">
        <f>VLOOKUP(I833,[1]Lookups!$V$3:$Y$197,4,FALSE)</f>
        <v>0</v>
      </c>
      <c r="T833" s="14" t="str">
        <f>VLOOKUP(E833,[1]Lookups!$H$3:$I$71,2,FALSE)</f>
        <v>1. Grant</v>
      </c>
      <c r="U833" s="14" t="str">
        <f>VLOOKUP(K833,[1]Lookups!$B$3:$C$142,2,FALSE)</f>
        <v>Agriculture</v>
      </c>
      <c r="V833" s="14">
        <f t="shared" si="921"/>
        <v>2018</v>
      </c>
      <c r="W833" s="14">
        <f t="shared" si="922"/>
        <v>11</v>
      </c>
      <c r="X833" s="14">
        <f>VLOOKUP(W833,[1]Lookups!$P$3:$S$15,2,FALSE)</f>
        <v>4</v>
      </c>
      <c r="Y833" s="16">
        <f>VLOOKUP(W833,[1]Lookups!$P$3:$U$15,3,FALSE)</f>
        <v>2</v>
      </c>
      <c r="Z833" s="16">
        <f t="shared" si="923"/>
        <v>1</v>
      </c>
      <c r="AA833" s="16" t="str">
        <f t="shared" ca="1" si="1092"/>
        <v>Axa Insurance Morocco</v>
      </c>
      <c r="AB833" s="16">
        <f t="shared" si="1092"/>
        <v>0</v>
      </c>
      <c r="AC833" s="16">
        <f t="shared" si="1092"/>
        <v>0</v>
      </c>
      <c r="AD833" s="16">
        <f t="shared" si="1092"/>
        <v>0</v>
      </c>
      <c r="AE833" s="16">
        <f t="shared" si="1092"/>
        <v>0</v>
      </c>
      <c r="AF833" s="16">
        <f t="shared" si="1092"/>
        <v>0</v>
      </c>
      <c r="AG833" s="16">
        <f t="shared" si="1092"/>
        <v>0</v>
      </c>
      <c r="AH833" s="16">
        <f t="shared" si="1092"/>
        <v>0</v>
      </c>
      <c r="AI833" s="16">
        <f t="shared" si="1092"/>
        <v>0</v>
      </c>
      <c r="AJ833" s="16">
        <f t="shared" si="1092"/>
        <v>0</v>
      </c>
      <c r="AK833" s="16">
        <f t="shared" si="1092"/>
        <v>0</v>
      </c>
      <c r="AL833" s="16">
        <f t="shared" si="1092"/>
        <v>0</v>
      </c>
      <c r="AM833" s="16">
        <f t="shared" si="1092"/>
        <v>0</v>
      </c>
      <c r="AN833" s="16">
        <f t="shared" si="1092"/>
        <v>0</v>
      </c>
      <c r="AO833" s="16">
        <f t="shared" si="1092"/>
        <v>0</v>
      </c>
      <c r="AP833" s="10"/>
      <c r="AQ833" s="10"/>
      <c r="AR833" s="10"/>
      <c r="AS833" s="10" t="str">
        <f t="shared" ref="AS833" ca="1" si="1098">IFERROR(__xludf.DUMMYFUNCTION("split(F723,"","",true,true)"),"Axa Insurance Morocco")</f>
        <v>Axa Insurance Morocco</v>
      </c>
      <c r="AT833" s="10"/>
      <c r="AU833" s="10"/>
      <c r="AV833" s="10"/>
      <c r="AW833" s="10"/>
      <c r="AX833" s="10"/>
      <c r="AY833" s="10"/>
      <c r="AZ833" s="10"/>
      <c r="BA833" s="10"/>
      <c r="BB833" s="10"/>
      <c r="BC833" s="10"/>
      <c r="BD833" s="10"/>
      <c r="BE833" s="10"/>
      <c r="BF833" s="10"/>
      <c r="BG833" s="10"/>
      <c r="BH833" s="10"/>
      <c r="BI833" s="10"/>
      <c r="BJ833" s="10"/>
      <c r="BK833" s="10"/>
      <c r="BM833" s="10"/>
    </row>
    <row r="834" spans="1:65" ht="12.75">
      <c r="A834" s="18">
        <v>43433</v>
      </c>
      <c r="B834" s="14" t="s">
        <v>1806</v>
      </c>
      <c r="C834" s="19">
        <v>150000</v>
      </c>
      <c r="D834" s="19"/>
      <c r="E834" s="14" t="s">
        <v>45</v>
      </c>
      <c r="F834" s="14" t="s">
        <v>49</v>
      </c>
      <c r="G834" s="27" t="s">
        <v>1807</v>
      </c>
      <c r="H834" s="14" t="str">
        <f t="array" ref="H834">IFERROR(INDEX([1]Companies!$G:$G,MATCH(B834,[1]Companies!$A:$A,0)),"")</f>
        <v>Rwanda</v>
      </c>
      <c r="I834" s="14" t="str">
        <f t="shared" si="974"/>
        <v>Rwanda</v>
      </c>
      <c r="J834" s="14" t="str">
        <f t="array" ref="J834">IFERROR(INDEX([1]Companies!$Y:$Y,MATCH(B834,[1]Companies!$A:$A,0)),"")</f>
        <v>Motorcycles designed</v>
      </c>
      <c r="K834" s="14" t="str">
        <f t="array" ref="K834">IFERROR(INDEX([1]Companies!$X:$X,MATCH(B834,[1]Companies!$A:$A,0)),"")</f>
        <v>Transport &amp; Logistics</v>
      </c>
      <c r="L834" s="14" t="str">
        <f>VLOOKUP(B834,[1]Companies!$A$1:$C$5243,1,FALSE)</f>
        <v>Rwanda Motor Cycle Company</v>
      </c>
      <c r="M834" s="15">
        <f t="shared" si="975"/>
        <v>0.9</v>
      </c>
      <c r="N834" s="10" t="str">
        <f t="shared" si="976"/>
        <v>43433Rwanda Motor Cycle Company150000</v>
      </c>
      <c r="O834" s="14" t="str">
        <f t="shared" si="1017"/>
        <v/>
      </c>
      <c r="P834" s="14">
        <f t="shared" si="978"/>
        <v>1</v>
      </c>
      <c r="Q834" s="14">
        <f t="array" ref="Q834">IFERROR(INDEX([1]Companies!$D:$D,MATCH(B834,[1]Companies!$A:$A,0)),"")</f>
        <v>2017</v>
      </c>
      <c r="R834" s="17">
        <f t="shared" si="979"/>
        <v>150000</v>
      </c>
      <c r="S834" s="14">
        <f>VLOOKUP(I834,[1]Lookups!$V$3:$Y$197,4,FALSE)</f>
        <v>0</v>
      </c>
      <c r="T834" s="14" t="str">
        <f>VLOOKUP(E834,[1]Lookups!$H$3:$I$71,2,FALSE)</f>
        <v>2. Seed</v>
      </c>
      <c r="U834" s="14" t="str">
        <f>VLOOKUP(K834,[1]Lookups!$B$3:$C$142,2,FALSE)</f>
        <v>Transport &amp; Logistics</v>
      </c>
      <c r="V834" s="14">
        <f t="shared" si="921"/>
        <v>2018</v>
      </c>
      <c r="W834" s="14">
        <f t="shared" si="922"/>
        <v>11</v>
      </c>
      <c r="X834" s="14">
        <f>VLOOKUP(W834,[1]Lookups!$P$3:$S$15,2,FALSE)</f>
        <v>4</v>
      </c>
      <c r="Y834" s="16">
        <f>VLOOKUP(W834,[1]Lookups!$P$3:$U$15,3,FALSE)</f>
        <v>2</v>
      </c>
      <c r="Z834" s="16">
        <f t="shared" si="923"/>
        <v>1</v>
      </c>
      <c r="AA834" s="16" t="str">
        <f t="shared" ca="1" si="1092"/>
        <v>Axa Insurance Morocco</v>
      </c>
      <c r="AB834" s="16">
        <f t="shared" si="1092"/>
        <v>0</v>
      </c>
      <c r="AC834" s="16">
        <f t="shared" si="1092"/>
        <v>0</v>
      </c>
      <c r="AD834" s="16">
        <f t="shared" si="1092"/>
        <v>0</v>
      </c>
      <c r="AE834" s="16">
        <f t="shared" si="1092"/>
        <v>0</v>
      </c>
      <c r="AF834" s="16">
        <f t="shared" si="1092"/>
        <v>0</v>
      </c>
      <c r="AG834" s="16">
        <f t="shared" si="1092"/>
        <v>0</v>
      </c>
      <c r="AH834" s="16">
        <f t="shared" si="1092"/>
        <v>0</v>
      </c>
      <c r="AI834" s="16">
        <f t="shared" si="1092"/>
        <v>0</v>
      </c>
      <c r="AJ834" s="16">
        <f t="shared" si="1092"/>
        <v>0</v>
      </c>
      <c r="AK834" s="16">
        <f t="shared" si="1092"/>
        <v>0</v>
      </c>
      <c r="AL834" s="16">
        <f t="shared" si="1092"/>
        <v>0</v>
      </c>
      <c r="AM834" s="16">
        <f t="shared" si="1092"/>
        <v>0</v>
      </c>
      <c r="AN834" s="16">
        <f t="shared" si="1092"/>
        <v>0</v>
      </c>
      <c r="AO834" s="16">
        <f t="shared" si="1092"/>
        <v>0</v>
      </c>
      <c r="AP834" s="10"/>
      <c r="AQ834" s="10"/>
      <c r="AR834" s="10"/>
      <c r="AS834" s="10" t="str">
        <f t="shared" ref="AS834" ca="1" si="1099">IFERROR(__xludf.DUMMYFUNCTION("split(F723,"","",true,true)"),"Axa Insurance Morocco")</f>
        <v>Axa Insurance Morocco</v>
      </c>
      <c r="AT834" s="10"/>
      <c r="AU834" s="10"/>
      <c r="AV834" s="10"/>
      <c r="AW834" s="10"/>
      <c r="AX834" s="10"/>
      <c r="AY834" s="10"/>
      <c r="AZ834" s="10"/>
      <c r="BA834" s="10"/>
      <c r="BB834" s="10"/>
      <c r="BC834" s="10"/>
      <c r="BD834" s="10"/>
      <c r="BE834" s="10"/>
      <c r="BF834" s="10"/>
      <c r="BG834" s="10"/>
      <c r="BH834" s="10"/>
      <c r="BI834" s="10"/>
      <c r="BJ834" s="10"/>
      <c r="BK834" s="10"/>
      <c r="BM834" s="10"/>
    </row>
    <row r="835" spans="1:65" ht="12.75">
      <c r="A835" s="18">
        <v>43433</v>
      </c>
      <c r="B835" s="14" t="s">
        <v>1343</v>
      </c>
      <c r="C835" s="19">
        <v>125000</v>
      </c>
      <c r="D835" s="19"/>
      <c r="E835" s="14" t="s">
        <v>55</v>
      </c>
      <c r="F835" s="14" t="s">
        <v>1801</v>
      </c>
      <c r="G835" s="27" t="s">
        <v>1802</v>
      </c>
      <c r="H835" s="14" t="str">
        <f t="array" ref="H835">IFERROR(INDEX([1]Companies!$G:$G,MATCH(B835,[1]Companies!$A:$A,0)),"")</f>
        <v>Nigeria</v>
      </c>
      <c r="I835" s="14" t="str">
        <f t="shared" si="974"/>
        <v>Nigeria</v>
      </c>
      <c r="J835" s="14" t="str">
        <f t="array" ref="J835">IFERROR(INDEX([1]Companies!$Y:$Y,MATCH(B835,[1]Companies!$A:$A,0)),"")</f>
        <v>Software Engineering, Software Development, and IT Professionals</v>
      </c>
      <c r="K835" s="14" t="str">
        <f t="array" ref="K835">IFERROR(INDEX([1]Companies!$X:$X,MATCH(B835,[1]Companies!$A:$A,0)),"")</f>
        <v>Education</v>
      </c>
      <c r="L835" s="14" t="str">
        <f>VLOOKUP(B835,[1]Companies!$A$1:$C$5243,1,FALSE)</f>
        <v>LearnFactory Nigeria</v>
      </c>
      <c r="M835" s="15">
        <f t="shared" si="975"/>
        <v>0.9</v>
      </c>
      <c r="N835" s="10" t="str">
        <f t="shared" si="976"/>
        <v>43433LearnFactory Nigeria125000</v>
      </c>
      <c r="O835" s="14" t="str">
        <f t="shared" si="1017"/>
        <v/>
      </c>
      <c r="P835" s="14">
        <f t="shared" si="978"/>
        <v>1</v>
      </c>
      <c r="Q835" s="14">
        <f t="array" ref="Q835">IFERROR(INDEX([1]Companies!$D:$D,MATCH(B835,[1]Companies!$A:$A,0)),"")</f>
        <v>2015</v>
      </c>
      <c r="R835" s="17">
        <f t="shared" si="979"/>
        <v>165000</v>
      </c>
      <c r="S835" s="14">
        <f>VLOOKUP(I835,[1]Lookups!$V$3:$Y$197,4,FALSE)</f>
        <v>0</v>
      </c>
      <c r="T835" s="14" t="str">
        <f>VLOOKUP(E835,[1]Lookups!$H$3:$I$71,2,FALSE)</f>
        <v>1. Grant</v>
      </c>
      <c r="U835" s="14" t="str">
        <f>VLOOKUP(K835,[1]Lookups!$B$3:$C$142,2,FALSE)</f>
        <v>Education</v>
      </c>
      <c r="V835" s="14">
        <f t="shared" si="921"/>
        <v>2018</v>
      </c>
      <c r="W835" s="14">
        <f t="shared" si="922"/>
        <v>11</v>
      </c>
      <c r="X835" s="14">
        <f>VLOOKUP(W835,[1]Lookups!$P$3:$S$15,2,FALSE)</f>
        <v>4</v>
      </c>
      <c r="Y835" s="16">
        <f>VLOOKUP(W835,[1]Lookups!$P$3:$U$15,3,FALSE)</f>
        <v>2</v>
      </c>
      <c r="Z835" s="16">
        <f t="shared" si="923"/>
        <v>1</v>
      </c>
      <c r="AA835" s="16" t="str">
        <f t="shared" ca="1" si="1092"/>
        <v>Axa Insurance Morocco</v>
      </c>
      <c r="AB835" s="16">
        <f t="shared" si="1092"/>
        <v>0</v>
      </c>
      <c r="AC835" s="16">
        <f t="shared" si="1092"/>
        <v>0</v>
      </c>
      <c r="AD835" s="16">
        <f t="shared" si="1092"/>
        <v>0</v>
      </c>
      <c r="AE835" s="16">
        <f t="shared" si="1092"/>
        <v>0</v>
      </c>
      <c r="AF835" s="16">
        <f t="shared" si="1092"/>
        <v>0</v>
      </c>
      <c r="AG835" s="16">
        <f t="shared" si="1092"/>
        <v>0</v>
      </c>
      <c r="AH835" s="16">
        <f t="shared" si="1092"/>
        <v>0</v>
      </c>
      <c r="AI835" s="16">
        <f t="shared" si="1092"/>
        <v>0</v>
      </c>
      <c r="AJ835" s="16">
        <f t="shared" si="1092"/>
        <v>0</v>
      </c>
      <c r="AK835" s="16">
        <f t="shared" si="1092"/>
        <v>0</v>
      </c>
      <c r="AL835" s="16">
        <f t="shared" si="1092"/>
        <v>0</v>
      </c>
      <c r="AM835" s="16">
        <f t="shared" si="1092"/>
        <v>0</v>
      </c>
      <c r="AN835" s="16">
        <f t="shared" si="1092"/>
        <v>0</v>
      </c>
      <c r="AO835" s="16">
        <f t="shared" si="1092"/>
        <v>0</v>
      </c>
      <c r="AP835" s="10"/>
      <c r="AQ835" s="10"/>
      <c r="AR835" s="10"/>
      <c r="AS835" s="10" t="str">
        <f t="shared" ref="AS835" ca="1" si="1100">IFERROR(__xludf.DUMMYFUNCTION("split(F723,"","",true,true)"),"Axa Insurance Morocco")</f>
        <v>Axa Insurance Morocco</v>
      </c>
      <c r="AT835" s="10"/>
      <c r="AU835" s="10"/>
      <c r="AV835" s="10"/>
      <c r="AW835" s="10"/>
      <c r="AX835" s="10"/>
      <c r="AY835" s="10"/>
      <c r="AZ835" s="10"/>
      <c r="BA835" s="10"/>
      <c r="BB835" s="10"/>
      <c r="BC835" s="10"/>
      <c r="BD835" s="10"/>
      <c r="BE835" s="10"/>
      <c r="BF835" s="10"/>
      <c r="BG835" s="10"/>
      <c r="BH835" s="10"/>
      <c r="BI835" s="10"/>
      <c r="BJ835" s="10"/>
      <c r="BK835" s="10"/>
      <c r="BM835" s="10"/>
    </row>
    <row r="836" spans="1:65" ht="12.75">
      <c r="A836" s="18">
        <v>43433</v>
      </c>
      <c r="B836" s="14" t="s">
        <v>1808</v>
      </c>
      <c r="C836" s="19">
        <v>125000</v>
      </c>
      <c r="D836" s="19"/>
      <c r="E836" s="14" t="s">
        <v>55</v>
      </c>
      <c r="F836" s="14" t="s">
        <v>1804</v>
      </c>
      <c r="G836" s="27" t="s">
        <v>1805</v>
      </c>
      <c r="H836" s="14" t="str">
        <f t="array" ref="H836">IFERROR(INDEX([1]Companies!$G:$G,MATCH(B836,[1]Companies!$A:$A,0)),"")</f>
        <v>Kenya</v>
      </c>
      <c r="I836" s="14" t="str">
        <f t="shared" si="974"/>
        <v>Kenya</v>
      </c>
      <c r="J836" s="14" t="str">
        <f t="array" ref="J836">IFERROR(INDEX([1]Companies!$Y:$Y,MATCH(B836,[1]Companies!$A:$A,0)),"")</f>
        <v>E-Learning, EdTech, Mobile, Mobile Apps</v>
      </c>
      <c r="K836" s="14" t="str">
        <f t="array" ref="K836">IFERROR(INDEX([1]Companies!$X:$X,MATCH(B836,[1]Companies!$A:$A,0)),"")</f>
        <v>Education</v>
      </c>
      <c r="L836" s="14" t="str">
        <f>VLOOKUP(B836,[1]Companies!$A$1:$C$5243,1,FALSE)</f>
        <v>M-Shule</v>
      </c>
      <c r="M836" s="15">
        <f t="shared" si="975"/>
        <v>0.9</v>
      </c>
      <c r="N836" s="10" t="str">
        <f t="shared" si="976"/>
        <v>43433M-Shule125000</v>
      </c>
      <c r="O836" s="14" t="str">
        <f t="shared" si="1017"/>
        <v/>
      </c>
      <c r="P836" s="14">
        <f t="shared" si="978"/>
        <v>1</v>
      </c>
      <c r="Q836" s="14">
        <f t="array" ref="Q836">IFERROR(INDEX([1]Companies!$D:$D,MATCH(B836,[1]Companies!$A:$A,0)),"")</f>
        <v>2016</v>
      </c>
      <c r="R836" s="17">
        <f t="shared" si="979"/>
        <v>125000</v>
      </c>
      <c r="S836" s="14">
        <f>VLOOKUP(I836,[1]Lookups!$V$3:$Y$197,4,FALSE)</f>
        <v>0</v>
      </c>
      <c r="T836" s="14" t="str">
        <f>VLOOKUP(E836,[1]Lookups!$H$3:$I$71,2,FALSE)</f>
        <v>1. Grant</v>
      </c>
      <c r="U836" s="14" t="str">
        <f>VLOOKUP(K836,[1]Lookups!$B$3:$C$142,2,FALSE)</f>
        <v>Education</v>
      </c>
      <c r="V836" s="14">
        <f t="shared" si="921"/>
        <v>2018</v>
      </c>
      <c r="W836" s="14">
        <f t="shared" si="922"/>
        <v>11</v>
      </c>
      <c r="X836" s="14">
        <f>VLOOKUP(W836,[1]Lookups!$P$3:$S$15,2,FALSE)</f>
        <v>4</v>
      </c>
      <c r="Y836" s="16">
        <f>VLOOKUP(W836,[1]Lookups!$P$3:$U$15,3,FALSE)</f>
        <v>2</v>
      </c>
      <c r="Z836" s="16">
        <f t="shared" si="923"/>
        <v>1</v>
      </c>
      <c r="AA836" s="16" t="str">
        <f t="shared" ca="1" si="1092"/>
        <v>Axa Insurance Morocco</v>
      </c>
      <c r="AB836" s="16">
        <f t="shared" si="1092"/>
        <v>0</v>
      </c>
      <c r="AC836" s="16">
        <f t="shared" si="1092"/>
        <v>0</v>
      </c>
      <c r="AD836" s="16">
        <f t="shared" si="1092"/>
        <v>0</v>
      </c>
      <c r="AE836" s="16">
        <f t="shared" si="1092"/>
        <v>0</v>
      </c>
      <c r="AF836" s="16">
        <f t="shared" si="1092"/>
        <v>0</v>
      </c>
      <c r="AG836" s="16">
        <f t="shared" si="1092"/>
        <v>0</v>
      </c>
      <c r="AH836" s="16">
        <f t="shared" si="1092"/>
        <v>0</v>
      </c>
      <c r="AI836" s="16">
        <f t="shared" si="1092"/>
        <v>0</v>
      </c>
      <c r="AJ836" s="16">
        <f t="shared" si="1092"/>
        <v>0</v>
      </c>
      <c r="AK836" s="16">
        <f t="shared" si="1092"/>
        <v>0</v>
      </c>
      <c r="AL836" s="16">
        <f t="shared" si="1092"/>
        <v>0</v>
      </c>
      <c r="AM836" s="16">
        <f t="shared" si="1092"/>
        <v>0</v>
      </c>
      <c r="AN836" s="16">
        <f t="shared" si="1092"/>
        <v>0</v>
      </c>
      <c r="AO836" s="16">
        <f t="shared" si="1092"/>
        <v>0</v>
      </c>
      <c r="AP836" s="10"/>
      <c r="AQ836" s="10"/>
      <c r="AR836" s="10"/>
      <c r="AS836" s="10" t="str">
        <f t="shared" ref="AS836" ca="1" si="1101">IFERROR(__xludf.DUMMYFUNCTION("split(F723,"","",true,true)"),"Axa Insurance Morocco")</f>
        <v>Axa Insurance Morocco</v>
      </c>
      <c r="AT836" s="10"/>
      <c r="AU836" s="10"/>
      <c r="AV836" s="10"/>
      <c r="AW836" s="10"/>
      <c r="AX836" s="10"/>
      <c r="AY836" s="10"/>
      <c r="AZ836" s="10"/>
      <c r="BA836" s="10"/>
      <c r="BB836" s="10"/>
      <c r="BC836" s="10"/>
      <c r="BD836" s="10"/>
      <c r="BE836" s="10"/>
      <c r="BF836" s="10"/>
      <c r="BG836" s="10"/>
      <c r="BH836" s="10"/>
      <c r="BI836" s="10"/>
      <c r="BJ836" s="10"/>
      <c r="BK836" s="10"/>
      <c r="BM836" s="10"/>
    </row>
    <row r="837" spans="1:65" ht="12.75">
      <c r="A837" s="18">
        <v>43433</v>
      </c>
      <c r="B837" s="14" t="s">
        <v>1809</v>
      </c>
      <c r="C837" s="19">
        <v>125000</v>
      </c>
      <c r="D837" s="19"/>
      <c r="E837" s="14" t="s">
        <v>55</v>
      </c>
      <c r="F837" s="14" t="s">
        <v>1804</v>
      </c>
      <c r="G837" s="27" t="s">
        <v>1805</v>
      </c>
      <c r="H837" s="14" t="str">
        <f t="array" ref="H837">IFERROR(INDEX([1]Companies!$G:$G,MATCH(B837,[1]Companies!$A:$A,0)),"")</f>
        <v>Kenya</v>
      </c>
      <c r="I837" s="14" t="str">
        <f t="shared" si="974"/>
        <v>Kenya</v>
      </c>
      <c r="J837" s="14" t="str">
        <f t="array" ref="J837">IFERROR(INDEX([1]Companies!$Y:$Y,MATCH(B837,[1]Companies!$A:$A,0)),"")</f>
        <v>AgTech</v>
      </c>
      <c r="K837" s="14" t="str">
        <f t="array" ref="K837">IFERROR(INDEX([1]Companies!$X:$X,MATCH(B837,[1]Companies!$A:$A,0)),"")</f>
        <v>Agriculture</v>
      </c>
      <c r="L837" s="14" t="str">
        <f>VLOOKUP(B837,[1]Companies!$A$1:$C$5243,1,FALSE)</f>
        <v>Sauti East Africa</v>
      </c>
      <c r="M837" s="15">
        <f t="shared" si="975"/>
        <v>0.9</v>
      </c>
      <c r="N837" s="10" t="str">
        <f t="shared" si="976"/>
        <v>43433Sauti East Africa125000</v>
      </c>
      <c r="O837" s="14" t="str">
        <f t="shared" si="1017"/>
        <v/>
      </c>
      <c r="P837" s="14">
        <f t="shared" si="978"/>
        <v>1</v>
      </c>
      <c r="Q837" s="14">
        <f t="array" ref="Q837">IFERROR(INDEX([1]Companies!$D:$D,MATCH(B837,[1]Companies!$A:$A,0)),"")</f>
        <v>2016</v>
      </c>
      <c r="R837" s="17">
        <f t="shared" si="979"/>
        <v>125000</v>
      </c>
      <c r="S837" s="14">
        <f>VLOOKUP(I837,[1]Lookups!$V$3:$Y$197,4,FALSE)</f>
        <v>0</v>
      </c>
      <c r="T837" s="14" t="str">
        <f>VLOOKUP(E837,[1]Lookups!$H$3:$I$71,2,FALSE)</f>
        <v>1. Grant</v>
      </c>
      <c r="U837" s="14" t="str">
        <f>VLOOKUP(K837,[1]Lookups!$B$3:$C$142,2,FALSE)</f>
        <v>Agriculture</v>
      </c>
      <c r="V837" s="14">
        <f t="shared" si="921"/>
        <v>2018</v>
      </c>
      <c r="W837" s="14">
        <f t="shared" si="922"/>
        <v>11</v>
      </c>
      <c r="X837" s="14">
        <f>VLOOKUP(W837,[1]Lookups!$P$3:$S$15,2,FALSE)</f>
        <v>4</v>
      </c>
      <c r="Y837" s="16">
        <f>VLOOKUP(W837,[1]Lookups!$P$3:$U$15,3,FALSE)</f>
        <v>2</v>
      </c>
      <c r="Z837" s="16">
        <f t="shared" si="923"/>
        <v>1</v>
      </c>
      <c r="AA837" s="16" t="str">
        <f t="shared" ca="1" si="1092"/>
        <v>Axa Insurance Morocco</v>
      </c>
      <c r="AB837" s="16">
        <f t="shared" si="1092"/>
        <v>0</v>
      </c>
      <c r="AC837" s="16">
        <f t="shared" si="1092"/>
        <v>0</v>
      </c>
      <c r="AD837" s="16">
        <f t="shared" si="1092"/>
        <v>0</v>
      </c>
      <c r="AE837" s="16">
        <f t="shared" si="1092"/>
        <v>0</v>
      </c>
      <c r="AF837" s="16">
        <f t="shared" si="1092"/>
        <v>0</v>
      </c>
      <c r="AG837" s="16">
        <f t="shared" si="1092"/>
        <v>0</v>
      </c>
      <c r="AH837" s="16">
        <f t="shared" si="1092"/>
        <v>0</v>
      </c>
      <c r="AI837" s="16">
        <f t="shared" si="1092"/>
        <v>0</v>
      </c>
      <c r="AJ837" s="16">
        <f t="shared" si="1092"/>
        <v>0</v>
      </c>
      <c r="AK837" s="16">
        <f t="shared" si="1092"/>
        <v>0</v>
      </c>
      <c r="AL837" s="16">
        <f t="shared" si="1092"/>
        <v>0</v>
      </c>
      <c r="AM837" s="16">
        <f t="shared" si="1092"/>
        <v>0</v>
      </c>
      <c r="AN837" s="16">
        <f t="shared" si="1092"/>
        <v>0</v>
      </c>
      <c r="AO837" s="16">
        <f t="shared" si="1092"/>
        <v>0</v>
      </c>
      <c r="AP837" s="10"/>
      <c r="AQ837" s="10"/>
      <c r="AR837" s="10"/>
      <c r="AS837" s="10" t="str">
        <f t="shared" ref="AS837" ca="1" si="1102">IFERROR(__xludf.DUMMYFUNCTION("split(F723,"","",true,true)"),"Axa Insurance Morocco")</f>
        <v>Axa Insurance Morocco</v>
      </c>
      <c r="AT837" s="10"/>
      <c r="AU837" s="10"/>
      <c r="AV837" s="10"/>
      <c r="AW837" s="10"/>
      <c r="AX837" s="10"/>
      <c r="AY837" s="10"/>
      <c r="AZ837" s="10"/>
      <c r="BA837" s="10"/>
      <c r="BB837" s="10"/>
      <c r="BC837" s="10"/>
      <c r="BD837" s="10"/>
      <c r="BE837" s="10"/>
      <c r="BF837" s="10"/>
      <c r="BG837" s="10"/>
      <c r="BH837" s="10"/>
      <c r="BI837" s="10"/>
      <c r="BJ837" s="10"/>
      <c r="BK837" s="10"/>
      <c r="BM837" s="10"/>
    </row>
    <row r="838" spans="1:65" ht="12.75">
      <c r="A838" s="18">
        <v>43433</v>
      </c>
      <c r="B838" s="14" t="s">
        <v>1810</v>
      </c>
      <c r="C838" s="19">
        <v>125000</v>
      </c>
      <c r="D838" s="19"/>
      <c r="E838" s="14" t="s">
        <v>55</v>
      </c>
      <c r="F838" s="14" t="s">
        <v>1801</v>
      </c>
      <c r="G838" s="27" t="s">
        <v>1802</v>
      </c>
      <c r="H838" s="14" t="str">
        <f t="array" ref="H838">IFERROR(INDEX([1]Companies!$G:$G,MATCH(B838,[1]Companies!$A:$A,0)),"")</f>
        <v>Nigeria</v>
      </c>
      <c r="I838" s="14" t="str">
        <f t="shared" si="974"/>
        <v>Nigeria</v>
      </c>
      <c r="J838" s="14" t="str">
        <f t="array" ref="J838">IFERROR(INDEX([1]Companies!$Y:$Y,MATCH(B838,[1]Companies!$A:$A,0)),"")</f>
        <v>Agriculture · Software · Veterinarian</v>
      </c>
      <c r="K838" s="14" t="str">
        <f t="array" ref="K838">IFERROR(INDEX([1]Companies!$X:$X,MATCH(B838,[1]Companies!$A:$A,0)),"")</f>
        <v>Software</v>
      </c>
      <c r="L838" s="14" t="str">
        <f>VLOOKUP(B838,[1]Companies!$A$1:$C$5243,1,FALSE)</f>
        <v>Vetsark</v>
      </c>
      <c r="M838" s="15">
        <f t="shared" si="975"/>
        <v>0.9</v>
      </c>
      <c r="N838" s="10" t="str">
        <f t="shared" si="976"/>
        <v>43433VetSark125000</v>
      </c>
      <c r="O838" s="14" t="str">
        <f t="shared" si="1017"/>
        <v/>
      </c>
      <c r="P838" s="14">
        <f t="shared" si="978"/>
        <v>1</v>
      </c>
      <c r="Q838" s="14">
        <f t="array" ref="Q838">IFERROR(INDEX([1]Companies!$D:$D,MATCH(B838,[1]Companies!$A:$A,0)),"")</f>
        <v>2018</v>
      </c>
      <c r="R838" s="17">
        <f t="shared" si="979"/>
        <v>125000</v>
      </c>
      <c r="S838" s="14">
        <f>VLOOKUP(I838,[1]Lookups!$V$3:$Y$197,4,FALSE)</f>
        <v>0</v>
      </c>
      <c r="T838" s="14" t="str">
        <f>VLOOKUP(E838,[1]Lookups!$H$3:$I$71,2,FALSE)</f>
        <v>1. Grant</v>
      </c>
      <c r="U838" s="14" t="str">
        <f>VLOOKUP(K838,[1]Lookups!$B$3:$C$142,2,FALSE)</f>
        <v>Other Technologies &amp; Information Technology</v>
      </c>
      <c r="V838" s="14">
        <f t="shared" si="921"/>
        <v>2018</v>
      </c>
      <c r="W838" s="14">
        <f t="shared" si="922"/>
        <v>11</v>
      </c>
      <c r="X838" s="14">
        <f>VLOOKUP(W838,[1]Lookups!$P$3:$S$15,2,FALSE)</f>
        <v>4</v>
      </c>
      <c r="Y838" s="16">
        <f>VLOOKUP(W838,[1]Lookups!$P$3:$U$15,3,FALSE)</f>
        <v>2</v>
      </c>
      <c r="Z838" s="16">
        <f t="shared" si="923"/>
        <v>1</v>
      </c>
      <c r="AA838" s="16" t="str">
        <f t="shared" ca="1" si="1092"/>
        <v>Axa Insurance Morocco</v>
      </c>
      <c r="AB838" s="16">
        <f t="shared" si="1092"/>
        <v>0</v>
      </c>
      <c r="AC838" s="16">
        <f t="shared" si="1092"/>
        <v>0</v>
      </c>
      <c r="AD838" s="16">
        <f t="shared" si="1092"/>
        <v>0</v>
      </c>
      <c r="AE838" s="16">
        <f t="shared" si="1092"/>
        <v>0</v>
      </c>
      <c r="AF838" s="16">
        <f t="shared" si="1092"/>
        <v>0</v>
      </c>
      <c r="AG838" s="16">
        <f t="shared" si="1092"/>
        <v>0</v>
      </c>
      <c r="AH838" s="16">
        <f t="shared" si="1092"/>
        <v>0</v>
      </c>
      <c r="AI838" s="16">
        <f t="shared" si="1092"/>
        <v>0</v>
      </c>
      <c r="AJ838" s="16">
        <f t="shared" si="1092"/>
        <v>0</v>
      </c>
      <c r="AK838" s="16">
        <f t="shared" si="1092"/>
        <v>0</v>
      </c>
      <c r="AL838" s="16">
        <f t="shared" si="1092"/>
        <v>0</v>
      </c>
      <c r="AM838" s="16">
        <f t="shared" si="1092"/>
        <v>0</v>
      </c>
      <c r="AN838" s="16">
        <f t="shared" si="1092"/>
        <v>0</v>
      </c>
      <c r="AO838" s="16">
        <f t="shared" si="1092"/>
        <v>0</v>
      </c>
      <c r="AP838" s="10"/>
      <c r="AQ838" s="10"/>
      <c r="AR838" s="10"/>
      <c r="AS838" s="10" t="str">
        <f t="shared" ref="AS838" ca="1" si="1103">IFERROR(__xludf.DUMMYFUNCTION("split(F723,"","",true,true)"),"Axa Insurance Morocco")</f>
        <v>Axa Insurance Morocco</v>
      </c>
      <c r="AT838" s="10"/>
      <c r="AU838" s="10"/>
      <c r="AV838" s="10"/>
      <c r="AW838" s="10"/>
      <c r="AX838" s="10"/>
      <c r="AY838" s="10"/>
      <c r="AZ838" s="10"/>
      <c r="BA838" s="10"/>
      <c r="BB838" s="10"/>
      <c r="BC838" s="10"/>
      <c r="BD838" s="10"/>
      <c r="BE838" s="10"/>
      <c r="BF838" s="10"/>
      <c r="BG838" s="10"/>
      <c r="BH838" s="10"/>
      <c r="BI838" s="10"/>
      <c r="BJ838" s="10"/>
      <c r="BK838" s="10"/>
      <c r="BL838" s="10"/>
      <c r="BM838" s="10"/>
    </row>
    <row r="839" spans="1:65" ht="12.75">
      <c r="A839" s="18">
        <v>43434</v>
      </c>
      <c r="B839" s="14" t="s">
        <v>1293</v>
      </c>
      <c r="C839" s="19">
        <v>25000</v>
      </c>
      <c r="D839" s="19"/>
      <c r="E839" s="14" t="s">
        <v>45</v>
      </c>
      <c r="F839" s="14" t="s">
        <v>1811</v>
      </c>
      <c r="G839" s="27" t="s">
        <v>1812</v>
      </c>
      <c r="H839" s="14" t="str">
        <f t="array" ref="H839">IFERROR(INDEX([1]Companies!$G:$G,MATCH(B839,[1]Companies!$A:$A,0)),"")</f>
        <v>Nigeria</v>
      </c>
      <c r="I839" s="14" t="str">
        <f t="shared" si="974"/>
        <v>Nigeria</v>
      </c>
      <c r="J839" s="14" t="str">
        <f t="array" ref="J839">IFERROR(INDEX([1]Companies!$Y:$Y,MATCH(B839,[1]Companies!$A:$A,0)),"")</f>
        <v>Accounting, Banking, Financial Services, Cloud Computing</v>
      </c>
      <c r="K839" s="14" t="str">
        <f t="array" ref="K839">IFERROR(INDEX([1]Companies!$X:$X,MATCH(B839,[1]Companies!$A:$A,0)),"")</f>
        <v>Financial Services</v>
      </c>
      <c r="L839" s="14" t="str">
        <f>VLOOKUP(B839,[1]Companies!$A$1:$C$5243,1,FALSE)</f>
        <v>Accounteer</v>
      </c>
      <c r="M839" s="15">
        <f t="shared" si="975"/>
        <v>0.9</v>
      </c>
      <c r="N839" s="10" t="str">
        <f t="shared" si="976"/>
        <v>43434Accounteer25000</v>
      </c>
      <c r="O839" s="14" t="str">
        <f t="shared" si="1017"/>
        <v/>
      </c>
      <c r="P839" s="14">
        <f t="shared" si="978"/>
        <v>1</v>
      </c>
      <c r="Q839" s="14">
        <f t="array" ref="Q839">IFERROR(INDEX([1]Companies!$D:$D,MATCH(B839,[1]Companies!$A:$A,0)),"")</f>
        <v>2015</v>
      </c>
      <c r="R839" s="17">
        <f t="shared" si="979"/>
        <v>75000</v>
      </c>
      <c r="S839" s="14">
        <f>VLOOKUP(I839,[1]Lookups!$V$3:$Y$197,4,FALSE)</f>
        <v>0</v>
      </c>
      <c r="T839" s="14" t="str">
        <f>VLOOKUP(E839,[1]Lookups!$H$3:$I$71,2,FALSE)</f>
        <v>2. Seed</v>
      </c>
      <c r="U839" s="14" t="str">
        <f>VLOOKUP(K839,[1]Lookups!$B$3:$C$142,2,FALSE)</f>
        <v>Financial Services</v>
      </c>
      <c r="V839" s="14">
        <f t="shared" si="921"/>
        <v>2018</v>
      </c>
      <c r="W839" s="14">
        <f t="shared" si="922"/>
        <v>11</v>
      </c>
      <c r="X839" s="14">
        <f>VLOOKUP(W839,[1]Lookups!$P$3:$S$15,2,FALSE)</f>
        <v>4</v>
      </c>
      <c r="Y839" s="16">
        <f>VLOOKUP(W839,[1]Lookups!$P$3:$U$15,3,FALSE)</f>
        <v>2</v>
      </c>
      <c r="Z839" s="16">
        <f t="shared" si="923"/>
        <v>1</v>
      </c>
      <c r="AA839" s="16" t="str">
        <f t="shared" ca="1" si="1092"/>
        <v>Axa Insurance Morocco</v>
      </c>
      <c r="AB839" s="16">
        <f t="shared" si="1092"/>
        <v>0</v>
      </c>
      <c r="AC839" s="16">
        <f t="shared" si="1092"/>
        <v>0</v>
      </c>
      <c r="AD839" s="16">
        <f t="shared" si="1092"/>
        <v>0</v>
      </c>
      <c r="AE839" s="16">
        <f t="shared" si="1092"/>
        <v>0</v>
      </c>
      <c r="AF839" s="16">
        <f t="shared" si="1092"/>
        <v>0</v>
      </c>
      <c r="AG839" s="16">
        <f t="shared" si="1092"/>
        <v>0</v>
      </c>
      <c r="AH839" s="16">
        <f t="shared" si="1092"/>
        <v>0</v>
      </c>
      <c r="AI839" s="16">
        <f t="shared" si="1092"/>
        <v>0</v>
      </c>
      <c r="AJ839" s="16">
        <f t="shared" si="1092"/>
        <v>0</v>
      </c>
      <c r="AK839" s="16">
        <f t="shared" si="1092"/>
        <v>0</v>
      </c>
      <c r="AL839" s="16">
        <f t="shared" si="1092"/>
        <v>0</v>
      </c>
      <c r="AM839" s="16">
        <f t="shared" si="1092"/>
        <v>0</v>
      </c>
      <c r="AN839" s="16">
        <f t="shared" si="1092"/>
        <v>0</v>
      </c>
      <c r="AO839" s="16">
        <f t="shared" si="1092"/>
        <v>0</v>
      </c>
      <c r="AP839" s="10"/>
      <c r="AQ839" s="10"/>
      <c r="AR839" s="10"/>
      <c r="AS839" s="10" t="str">
        <f t="shared" ref="AS839" ca="1" si="1104">IFERROR(__xludf.DUMMYFUNCTION("split(F723,"","",true,true)"),"Axa Insurance Morocco")</f>
        <v>Axa Insurance Morocco</v>
      </c>
      <c r="AT839" s="10"/>
      <c r="AU839" s="10"/>
      <c r="AV839" s="10"/>
      <c r="AW839" s="10"/>
      <c r="AX839" s="10"/>
      <c r="AY839" s="10"/>
      <c r="AZ839" s="10"/>
      <c r="BA839" s="10"/>
      <c r="BB839" s="10"/>
      <c r="BC839" s="10"/>
      <c r="BD839" s="10"/>
      <c r="BE839" s="10"/>
      <c r="BF839" s="10"/>
      <c r="BG839" s="10"/>
      <c r="BH839" s="10"/>
      <c r="BI839" s="10"/>
      <c r="BJ839" s="10"/>
      <c r="BK839" s="10"/>
      <c r="BM839" s="10"/>
    </row>
    <row r="840" spans="1:65" ht="12.75">
      <c r="A840" s="18">
        <v>43434</v>
      </c>
      <c r="B840" s="14" t="s">
        <v>1813</v>
      </c>
      <c r="C840" s="19">
        <v>25000</v>
      </c>
      <c r="D840" s="19"/>
      <c r="E840" s="14" t="s">
        <v>45</v>
      </c>
      <c r="F840" s="14" t="s">
        <v>1811</v>
      </c>
      <c r="G840" s="27" t="s">
        <v>1812</v>
      </c>
      <c r="H840" s="14" t="str">
        <f t="array" ref="H840">IFERROR(INDEX([1]Companies!$G:$G,MATCH(B840,[1]Companies!$A:$A,0)),"")</f>
        <v>Nigeria</v>
      </c>
      <c r="I840" s="14" t="str">
        <f t="shared" si="974"/>
        <v>Nigeria</v>
      </c>
      <c r="J840" s="14" t="str">
        <f t="array" ref="J840">IFERROR(INDEX([1]Companies!$Y:$Y,MATCH(B840,[1]Companies!$A:$A,0)),"")</f>
        <v>finance, E-commerce, Sales, and Procurement</v>
      </c>
      <c r="K840" s="14" t="str">
        <f t="array" ref="K840">IFERROR(INDEX([1]Companies!$X:$X,MATCH(B840,[1]Companies!$A:$A,0)),"")</f>
        <v>Financial Services</v>
      </c>
      <c r="L840" s="14" t="str">
        <f>VLOOKUP(B840,[1]Companies!$A$1:$C$5243,1,FALSE)</f>
        <v>Kolopay</v>
      </c>
      <c r="M840" s="15">
        <f t="shared" si="975"/>
        <v>0.9</v>
      </c>
      <c r="N840" s="10" t="str">
        <f t="shared" si="976"/>
        <v>43434KoloPay25000</v>
      </c>
      <c r="O840" s="14" t="str">
        <f t="shared" si="1017"/>
        <v/>
      </c>
      <c r="P840" s="14">
        <f t="shared" si="978"/>
        <v>1</v>
      </c>
      <c r="Q840" s="14">
        <f t="array" ref="Q840">IFERROR(INDEX([1]Companies!$D:$D,MATCH(B840,[1]Companies!$A:$A,0)),"")</f>
        <v>2017</v>
      </c>
      <c r="R840" s="17">
        <f t="shared" si="979"/>
        <v>25000</v>
      </c>
      <c r="S840" s="14">
        <f>VLOOKUP(I840,[1]Lookups!$V$3:$Y$197,4,FALSE)</f>
        <v>0</v>
      </c>
      <c r="T840" s="14" t="str">
        <f>VLOOKUP(E840,[1]Lookups!$H$3:$I$71,2,FALSE)</f>
        <v>2. Seed</v>
      </c>
      <c r="U840" s="14" t="str">
        <f>VLOOKUP(K840,[1]Lookups!$B$3:$C$142,2,FALSE)</f>
        <v>Financial Services</v>
      </c>
      <c r="V840" s="14">
        <f t="shared" si="921"/>
        <v>2018</v>
      </c>
      <c r="W840" s="14">
        <f t="shared" si="922"/>
        <v>11</v>
      </c>
      <c r="X840" s="14">
        <f>VLOOKUP(W840,[1]Lookups!$P$3:$S$15,2,FALSE)</f>
        <v>4</v>
      </c>
      <c r="Y840" s="16">
        <f>VLOOKUP(W840,[1]Lookups!$P$3:$U$15,3,FALSE)</f>
        <v>2</v>
      </c>
      <c r="Z840" s="16">
        <f t="shared" si="923"/>
        <v>1</v>
      </c>
      <c r="AA840" s="16" t="str">
        <f t="shared" ca="1" si="1092"/>
        <v>Axa Insurance Morocco</v>
      </c>
      <c r="AB840" s="16">
        <f t="shared" si="1092"/>
        <v>0</v>
      </c>
      <c r="AC840" s="16">
        <f t="shared" si="1092"/>
        <v>0</v>
      </c>
      <c r="AD840" s="16">
        <f t="shared" si="1092"/>
        <v>0</v>
      </c>
      <c r="AE840" s="16">
        <f t="shared" si="1092"/>
        <v>0</v>
      </c>
      <c r="AF840" s="16">
        <f t="shared" si="1092"/>
        <v>0</v>
      </c>
      <c r="AG840" s="16">
        <f t="shared" si="1092"/>
        <v>0</v>
      </c>
      <c r="AH840" s="16">
        <f t="shared" si="1092"/>
        <v>0</v>
      </c>
      <c r="AI840" s="16">
        <f t="shared" si="1092"/>
        <v>0</v>
      </c>
      <c r="AJ840" s="16">
        <f t="shared" si="1092"/>
        <v>0</v>
      </c>
      <c r="AK840" s="16">
        <f t="shared" si="1092"/>
        <v>0</v>
      </c>
      <c r="AL840" s="16">
        <f t="shared" si="1092"/>
        <v>0</v>
      </c>
      <c r="AM840" s="16">
        <f t="shared" si="1092"/>
        <v>0</v>
      </c>
      <c r="AN840" s="16">
        <f t="shared" si="1092"/>
        <v>0</v>
      </c>
      <c r="AO840" s="16">
        <f t="shared" si="1092"/>
        <v>0</v>
      </c>
      <c r="AP840" s="10"/>
      <c r="AQ840" s="10"/>
      <c r="AR840" s="10"/>
      <c r="AS840" s="10" t="str">
        <f t="shared" ref="AS840" ca="1" si="1105">IFERROR(__xludf.DUMMYFUNCTION("split(F723,"","",true,true)"),"Axa Insurance Morocco")</f>
        <v>Axa Insurance Morocco</v>
      </c>
      <c r="AT840" s="10"/>
      <c r="AU840" s="10"/>
      <c r="AV840" s="10"/>
      <c r="AW840" s="10"/>
      <c r="AX840" s="10"/>
      <c r="AY840" s="10"/>
      <c r="AZ840" s="10"/>
      <c r="BA840" s="10"/>
      <c r="BB840" s="10"/>
      <c r="BC840" s="10"/>
      <c r="BD840" s="10"/>
      <c r="BE840" s="10"/>
      <c r="BF840" s="10"/>
      <c r="BG840" s="10"/>
      <c r="BH840" s="10"/>
      <c r="BI840" s="10"/>
      <c r="BJ840" s="10"/>
      <c r="BK840" s="10"/>
      <c r="BM840" s="10"/>
    </row>
    <row r="841" spans="1:65" ht="12.75">
      <c r="A841" s="18">
        <v>43434</v>
      </c>
      <c r="B841" s="14" t="s">
        <v>1814</v>
      </c>
      <c r="C841" s="19">
        <v>25000</v>
      </c>
      <c r="D841" s="19"/>
      <c r="E841" s="14" t="s">
        <v>45</v>
      </c>
      <c r="F841" s="14" t="s">
        <v>1811</v>
      </c>
      <c r="G841" s="27" t="s">
        <v>1812</v>
      </c>
      <c r="H841" s="14" t="str">
        <f t="array" ref="H841">IFERROR(INDEX([1]Companies!$G:$G,MATCH(B841,[1]Companies!$A:$A,0)),"")</f>
        <v>Nigeria</v>
      </c>
      <c r="I841" s="14" t="str">
        <f t="shared" si="974"/>
        <v>Nigeria</v>
      </c>
      <c r="J841" s="14" t="str">
        <f t="array" ref="J841">IFERROR(INDEX([1]Companies!$Y:$Y,MATCH(B841,[1]Companies!$A:$A,0)),"")</f>
        <v>Clean Energy</v>
      </c>
      <c r="K841" s="14" t="str">
        <f t="array" ref="K841">IFERROR(INDEX([1]Companies!$X:$X,MATCH(B841,[1]Companies!$A:$A,0)),"")</f>
        <v>Resource &amp; Energy</v>
      </c>
      <c r="L841" s="14" t="str">
        <f>VLOOKUP(B841,[1]Companies!$A$1:$C$5243,1,FALSE)</f>
        <v>Powercube</v>
      </c>
      <c r="M841" s="15">
        <f t="shared" si="975"/>
        <v>0.9</v>
      </c>
      <c r="N841" s="10" t="str">
        <f t="shared" si="976"/>
        <v>43434PowerCube25000</v>
      </c>
      <c r="O841" s="14" t="str">
        <f t="shared" si="1017"/>
        <v/>
      </c>
      <c r="P841" s="14">
        <f t="shared" si="978"/>
        <v>1</v>
      </c>
      <c r="Q841" s="14">
        <f t="array" ref="Q841">IFERROR(INDEX([1]Companies!$D:$D,MATCH(B841,[1]Companies!$A:$A,0)),"")</f>
        <v>2017</v>
      </c>
      <c r="R841" s="17">
        <f t="shared" si="979"/>
        <v>25000</v>
      </c>
      <c r="S841" s="14">
        <f>VLOOKUP(I841,[1]Lookups!$V$3:$Y$197,4,FALSE)</f>
        <v>0</v>
      </c>
      <c r="T841" s="14" t="str">
        <f>VLOOKUP(E841,[1]Lookups!$H$3:$I$71,2,FALSE)</f>
        <v>2. Seed</v>
      </c>
      <c r="U841" s="14" t="str">
        <f>VLOOKUP(K841,[1]Lookups!$B$3:$C$142,2,FALSE)</f>
        <v>Energy &amp; Resources</v>
      </c>
      <c r="V841" s="14">
        <f t="shared" si="921"/>
        <v>2018</v>
      </c>
      <c r="W841" s="14">
        <f t="shared" si="922"/>
        <v>11</v>
      </c>
      <c r="X841" s="14">
        <f>VLOOKUP(W841,[1]Lookups!$P$3:$S$15,2,FALSE)</f>
        <v>4</v>
      </c>
      <c r="Y841" s="16">
        <f>VLOOKUP(W841,[1]Lookups!$P$3:$U$15,3,FALSE)</f>
        <v>2</v>
      </c>
      <c r="Z841" s="16">
        <f t="shared" si="923"/>
        <v>1</v>
      </c>
      <c r="AA841" s="16" t="str">
        <f t="shared" ca="1" si="1092"/>
        <v>Axa Insurance Morocco</v>
      </c>
      <c r="AB841" s="16">
        <f t="shared" si="1092"/>
        <v>0</v>
      </c>
      <c r="AC841" s="16">
        <f t="shared" si="1092"/>
        <v>0</v>
      </c>
      <c r="AD841" s="16">
        <f t="shared" si="1092"/>
        <v>0</v>
      </c>
      <c r="AE841" s="16">
        <f t="shared" si="1092"/>
        <v>0</v>
      </c>
      <c r="AF841" s="16">
        <f t="shared" si="1092"/>
        <v>0</v>
      </c>
      <c r="AG841" s="16">
        <f t="shared" si="1092"/>
        <v>0</v>
      </c>
      <c r="AH841" s="16">
        <f t="shared" si="1092"/>
        <v>0</v>
      </c>
      <c r="AI841" s="16">
        <f t="shared" si="1092"/>
        <v>0</v>
      </c>
      <c r="AJ841" s="16">
        <f t="shared" si="1092"/>
        <v>0</v>
      </c>
      <c r="AK841" s="16">
        <f t="shared" si="1092"/>
        <v>0</v>
      </c>
      <c r="AL841" s="16">
        <f t="shared" si="1092"/>
        <v>0</v>
      </c>
      <c r="AM841" s="16">
        <f t="shared" si="1092"/>
        <v>0</v>
      </c>
      <c r="AN841" s="16">
        <f t="shared" si="1092"/>
        <v>0</v>
      </c>
      <c r="AO841" s="16">
        <f t="shared" si="1092"/>
        <v>0</v>
      </c>
      <c r="AP841" s="10"/>
      <c r="AQ841" s="10"/>
      <c r="AR841" s="10"/>
      <c r="AS841" s="10" t="str">
        <f t="shared" ref="AS841" ca="1" si="1106">IFERROR(__xludf.DUMMYFUNCTION("split(F723,"","",true,true)"),"Axa Insurance Morocco")</f>
        <v>Axa Insurance Morocco</v>
      </c>
      <c r="AT841" s="10"/>
      <c r="AU841" s="10"/>
      <c r="AV841" s="10"/>
      <c r="AW841" s="10"/>
      <c r="AX841" s="10"/>
      <c r="AY841" s="10"/>
      <c r="AZ841" s="10"/>
      <c r="BA841" s="10"/>
      <c r="BB841" s="10"/>
      <c r="BC841" s="10"/>
      <c r="BD841" s="10"/>
      <c r="BE841" s="10"/>
      <c r="BF841" s="10"/>
      <c r="BG841" s="10"/>
      <c r="BH841" s="10"/>
      <c r="BI841" s="10"/>
      <c r="BJ841" s="10"/>
      <c r="BK841" s="10"/>
      <c r="BM841" s="10"/>
    </row>
    <row r="842" spans="1:65" ht="12.75">
      <c r="A842" s="18">
        <v>43434</v>
      </c>
      <c r="B842" s="14" t="s">
        <v>1815</v>
      </c>
      <c r="C842" s="19">
        <v>25000</v>
      </c>
      <c r="D842" s="19"/>
      <c r="E842" s="14" t="s">
        <v>45</v>
      </c>
      <c r="F842" s="14" t="s">
        <v>1811</v>
      </c>
      <c r="G842" s="27" t="s">
        <v>1812</v>
      </c>
      <c r="H842" s="14" t="str">
        <f t="array" ref="H842">IFERROR(INDEX([1]Companies!$G:$G,MATCH(B842,[1]Companies!$A:$A,0)),"")</f>
        <v>Nigeria</v>
      </c>
      <c r="I842" s="14" t="str">
        <f t="shared" si="974"/>
        <v>Nigeria</v>
      </c>
      <c r="J842" s="14" t="str">
        <f t="array" ref="J842">IFERROR(INDEX([1]Companies!$Y:$Y,MATCH(B842,[1]Companies!$A:$A,0)),"")</f>
        <v>Information Technology</v>
      </c>
      <c r="K842" s="14" t="str">
        <f t="array" ref="K842">IFERROR(INDEX([1]Companies!$X:$X,MATCH(B842,[1]Companies!$A:$A,0)),"")</f>
        <v>E-Commerce &amp; Retail</v>
      </c>
      <c r="L842" s="14" t="str">
        <f>VLOOKUP(B842,[1]Companies!$A$1:$C$5243,1,FALSE)</f>
        <v>Tradebuza</v>
      </c>
      <c r="M842" s="15">
        <f t="shared" si="975"/>
        <v>0.9</v>
      </c>
      <c r="N842" s="10" t="str">
        <f t="shared" si="976"/>
        <v>43434TradeBuza25000</v>
      </c>
      <c r="O842" s="14" t="str">
        <f t="shared" si="1017"/>
        <v/>
      </c>
      <c r="P842" s="14">
        <f t="shared" si="978"/>
        <v>1</v>
      </c>
      <c r="Q842" s="14">
        <f t="array" ref="Q842">IFERROR(INDEX([1]Companies!$D:$D,MATCH(B842,[1]Companies!$A:$A,0)),"")</f>
        <v>2018</v>
      </c>
      <c r="R842" s="17">
        <f t="shared" si="979"/>
        <v>25000</v>
      </c>
      <c r="S842" s="14">
        <f>VLOOKUP(I842,[1]Lookups!$V$3:$Y$197,4,FALSE)</f>
        <v>0</v>
      </c>
      <c r="T842" s="14" t="str">
        <f>VLOOKUP(E842,[1]Lookups!$H$3:$I$71,2,FALSE)</f>
        <v>2. Seed</v>
      </c>
      <c r="U842" s="14" t="str">
        <f>VLOOKUP(K842,[1]Lookups!$B$3:$C$142,2,FALSE)</f>
        <v>E-commerce &amp; Retail</v>
      </c>
      <c r="V842" s="14">
        <f t="shared" si="921"/>
        <v>2018</v>
      </c>
      <c r="W842" s="14">
        <f t="shared" si="922"/>
        <v>11</v>
      </c>
      <c r="X842" s="14">
        <f>VLOOKUP(W842,[1]Lookups!$P$3:$S$15,2,FALSE)</f>
        <v>4</v>
      </c>
      <c r="Y842" s="16">
        <f>VLOOKUP(W842,[1]Lookups!$P$3:$U$15,3,FALSE)</f>
        <v>2</v>
      </c>
      <c r="Z842" s="16">
        <f t="shared" si="923"/>
        <v>1</v>
      </c>
      <c r="AA842" s="16" t="str">
        <f t="shared" ca="1" si="1092"/>
        <v>Axa Insurance Morocco</v>
      </c>
      <c r="AB842" s="16">
        <f t="shared" si="1092"/>
        <v>0</v>
      </c>
      <c r="AC842" s="16">
        <f t="shared" si="1092"/>
        <v>0</v>
      </c>
      <c r="AD842" s="16">
        <f t="shared" si="1092"/>
        <v>0</v>
      </c>
      <c r="AE842" s="16">
        <f t="shared" si="1092"/>
        <v>0</v>
      </c>
      <c r="AF842" s="16">
        <f t="shared" si="1092"/>
        <v>0</v>
      </c>
      <c r="AG842" s="16">
        <f t="shared" si="1092"/>
        <v>0</v>
      </c>
      <c r="AH842" s="16">
        <f t="shared" si="1092"/>
        <v>0</v>
      </c>
      <c r="AI842" s="16">
        <f t="shared" si="1092"/>
        <v>0</v>
      </c>
      <c r="AJ842" s="16">
        <f t="shared" si="1092"/>
        <v>0</v>
      </c>
      <c r="AK842" s="16">
        <f t="shared" si="1092"/>
        <v>0</v>
      </c>
      <c r="AL842" s="16">
        <f t="shared" si="1092"/>
        <v>0</v>
      </c>
      <c r="AM842" s="16">
        <f t="shared" si="1092"/>
        <v>0</v>
      </c>
      <c r="AN842" s="16">
        <f t="shared" si="1092"/>
        <v>0</v>
      </c>
      <c r="AO842" s="16">
        <f t="shared" si="1092"/>
        <v>0</v>
      </c>
      <c r="AP842" s="10"/>
      <c r="AQ842" s="10"/>
      <c r="AR842" s="10"/>
      <c r="AS842" s="10" t="str">
        <f t="shared" ref="AS842" ca="1" si="1107">IFERROR(__xludf.DUMMYFUNCTION("split(F723,"","",true,true)"),"Axa Insurance Morocco")</f>
        <v>Axa Insurance Morocco</v>
      </c>
      <c r="AT842" s="10"/>
      <c r="AU842" s="10"/>
      <c r="AV842" s="10"/>
      <c r="AW842" s="10"/>
      <c r="AX842" s="10"/>
      <c r="AY842" s="10"/>
      <c r="AZ842" s="10"/>
      <c r="BA842" s="10"/>
      <c r="BB842" s="10"/>
      <c r="BC842" s="10"/>
      <c r="BD842" s="10"/>
      <c r="BE842" s="10"/>
      <c r="BF842" s="10"/>
      <c r="BG842" s="10"/>
      <c r="BH842" s="10"/>
      <c r="BI842" s="10"/>
      <c r="BJ842" s="10"/>
      <c r="BK842" s="10"/>
      <c r="BM842" s="10"/>
    </row>
    <row r="843" spans="1:65" ht="12.75">
      <c r="A843" s="18">
        <v>43435</v>
      </c>
      <c r="B843" s="14" t="s">
        <v>1816</v>
      </c>
      <c r="C843" s="19">
        <v>10000</v>
      </c>
      <c r="D843" s="19"/>
      <c r="E843" s="14" t="s">
        <v>234</v>
      </c>
      <c r="F843" s="14" t="s">
        <v>49</v>
      </c>
      <c r="G843" s="21" t="s">
        <v>1817</v>
      </c>
      <c r="H843" s="14" t="str">
        <f t="array" ref="H843">IFERROR(INDEX([1]Companies!$G:$G,MATCH(B843,[1]Companies!$A:$A,0)),"")</f>
        <v>Nigeria</v>
      </c>
      <c r="I843" s="14" t="str">
        <f t="shared" si="974"/>
        <v>Nigeria</v>
      </c>
      <c r="J843" s="14" t="str">
        <f t="array" ref="J843">IFERROR(INDEX([1]Companies!$Y:$Y,MATCH(B843,[1]Companies!$A:$A,0)),"")</f>
        <v>3D Technology, Advertising, Brand Marketing, Enterprise Software, Information Technology, Personal Branding, Product Design, Software, UX Design, Virtual Reality</v>
      </c>
      <c r="K843" s="14" t="str">
        <f t="array" ref="K843">IFERROR(INDEX([1]Companies!$X:$X,MATCH(B843,[1]Companies!$A:$A,0)),"")</f>
        <v>Media &amp; Entertainment</v>
      </c>
      <c r="L843" s="14" t="str">
        <f>VLOOKUP(B843,[1]Companies!$A$1:$C$5243,1,FALSE)</f>
        <v>Spurbuddy</v>
      </c>
      <c r="M843" s="15">
        <f t="shared" si="975"/>
        <v>0.9</v>
      </c>
      <c r="N843" s="10" t="str">
        <f t="shared" si="976"/>
        <v>43435Spurbuddy10000</v>
      </c>
      <c r="O843" s="14" t="str">
        <f t="shared" si="1017"/>
        <v/>
      </c>
      <c r="P843" s="14">
        <f t="shared" si="978"/>
        <v>1</v>
      </c>
      <c r="Q843" s="14">
        <f t="array" ref="Q843">IFERROR(INDEX([1]Companies!$D:$D,MATCH(B843,[1]Companies!$A:$A,0)),"")</f>
        <v>2018</v>
      </c>
      <c r="R843" s="17">
        <f t="shared" si="979"/>
        <v>10000</v>
      </c>
      <c r="S843" s="14">
        <f>VLOOKUP(I843,[1]Lookups!$V$3:$Y$197,4,FALSE)</f>
        <v>0</v>
      </c>
      <c r="T843" s="14" t="str">
        <f>VLOOKUP(E843,[1]Lookups!$H$3:$I$71,2,FALSE)</f>
        <v>2. Seed</v>
      </c>
      <c r="U843" s="14" t="str">
        <f>VLOOKUP(K843,[1]Lookups!$B$3:$C$142,2,FALSE)</f>
        <v>Media &amp; Entertainment</v>
      </c>
      <c r="V843" s="14">
        <f t="shared" si="921"/>
        <v>2018</v>
      </c>
      <c r="W843" s="14">
        <f t="shared" si="922"/>
        <v>12</v>
      </c>
      <c r="X843" s="14">
        <f>VLOOKUP(W843,[1]Lookups!$P$3:$S$15,2,FALSE)</f>
        <v>4</v>
      </c>
      <c r="Y843" s="16">
        <f>VLOOKUP(W843,[1]Lookups!$P$3:$U$15,3,FALSE)</f>
        <v>2</v>
      </c>
      <c r="Z843" s="16">
        <f t="shared" si="923"/>
        <v>1</v>
      </c>
      <c r="AA843" s="16" t="str">
        <f t="shared" ca="1" si="1092"/>
        <v>Axa Insurance Morocco</v>
      </c>
      <c r="AB843" s="16">
        <f t="shared" si="1092"/>
        <v>0</v>
      </c>
      <c r="AC843" s="16">
        <f t="shared" si="1092"/>
        <v>0</v>
      </c>
      <c r="AD843" s="16">
        <f t="shared" si="1092"/>
        <v>0</v>
      </c>
      <c r="AE843" s="16">
        <f t="shared" si="1092"/>
        <v>0</v>
      </c>
      <c r="AF843" s="16">
        <f t="shared" si="1092"/>
        <v>0</v>
      </c>
      <c r="AG843" s="16">
        <f t="shared" si="1092"/>
        <v>0</v>
      </c>
      <c r="AH843" s="16">
        <f t="shared" si="1092"/>
        <v>0</v>
      </c>
      <c r="AI843" s="16">
        <f t="shared" si="1092"/>
        <v>0</v>
      </c>
      <c r="AJ843" s="16">
        <f t="shared" si="1092"/>
        <v>0</v>
      </c>
      <c r="AK843" s="16">
        <f t="shared" si="1092"/>
        <v>0</v>
      </c>
      <c r="AL843" s="16">
        <f t="shared" si="1092"/>
        <v>0</v>
      </c>
      <c r="AM843" s="16">
        <f t="shared" si="1092"/>
        <v>0</v>
      </c>
      <c r="AN843" s="16">
        <f t="shared" si="1092"/>
        <v>0</v>
      </c>
      <c r="AO843" s="16">
        <f t="shared" si="1092"/>
        <v>0</v>
      </c>
      <c r="AP843" s="10"/>
      <c r="AQ843" s="10"/>
      <c r="AR843" s="10"/>
      <c r="AS843" s="10" t="str">
        <f t="shared" ref="AS843" ca="1" si="1108">IFERROR(__xludf.DUMMYFUNCTION("split(F723,"","",true,true)"),"Axa Insurance Morocco")</f>
        <v>Axa Insurance Morocco</v>
      </c>
      <c r="AT843" s="10"/>
      <c r="AU843" s="10"/>
      <c r="AV843" s="10"/>
      <c r="AW843" s="10"/>
      <c r="AX843" s="10"/>
      <c r="AY843" s="10"/>
      <c r="AZ843" s="10"/>
      <c r="BA843" s="10"/>
      <c r="BB843" s="10"/>
      <c r="BC843" s="10"/>
      <c r="BD843" s="10"/>
      <c r="BE843" s="10"/>
      <c r="BF843" s="10"/>
      <c r="BG843" s="10"/>
      <c r="BH843" s="10"/>
      <c r="BI843" s="10"/>
      <c r="BJ843" s="10"/>
      <c r="BK843" s="10"/>
      <c r="BM843" s="10"/>
    </row>
    <row r="844" spans="1:65" ht="12.75">
      <c r="A844" s="18">
        <v>43435</v>
      </c>
      <c r="B844" s="14" t="s">
        <v>1818</v>
      </c>
      <c r="C844" s="19">
        <v>2132</v>
      </c>
      <c r="D844" s="19"/>
      <c r="E844" s="14" t="s">
        <v>234</v>
      </c>
      <c r="F844" s="14" t="s">
        <v>1819</v>
      </c>
      <c r="G844" s="21" t="s">
        <v>1820</v>
      </c>
      <c r="H844" s="14" t="str">
        <f t="array" ref="H844">IFERROR(INDEX([1]Companies!$G:$G,MATCH(B844,[1]Companies!$A:$A,0)),"")</f>
        <v>South Africa</v>
      </c>
      <c r="I844" s="14" t="str">
        <f t="shared" si="974"/>
        <v>South Africa</v>
      </c>
      <c r="J844" s="14" t="str">
        <f t="array" ref="J844">IFERROR(INDEX([1]Companies!$Y:$Y,MATCH(B844,[1]Companies!$A:$A,0)),"")</f>
        <v>Retail</v>
      </c>
      <c r="K844" s="14" t="str">
        <f t="array" ref="K844">IFERROR(INDEX([1]Companies!$X:$X,MATCH(B844,[1]Companies!$A:$A,0)),"")</f>
        <v>E-Commerce &amp; Retail</v>
      </c>
      <c r="L844" s="14" t="str">
        <f>VLOOKUP(B844,[1]Companies!$A$1:$C$5243,1,FALSE)</f>
        <v>Bridgeur</v>
      </c>
      <c r="M844" s="15">
        <f t="shared" si="975"/>
        <v>0.9</v>
      </c>
      <c r="N844" s="10" t="str">
        <f t="shared" si="976"/>
        <v>43435Bridgeur2132</v>
      </c>
      <c r="O844" s="14" t="str">
        <f t="shared" si="1017"/>
        <v/>
      </c>
      <c r="P844" s="14">
        <f t="shared" si="978"/>
        <v>1</v>
      </c>
      <c r="Q844" s="14">
        <f t="array" ref="Q844">IFERROR(INDEX([1]Companies!$D:$D,MATCH(B844,[1]Companies!$A:$A,0)),"")</f>
        <v>2018</v>
      </c>
      <c r="R844" s="17">
        <f t="shared" si="979"/>
        <v>2132</v>
      </c>
      <c r="S844" s="14">
        <f>VLOOKUP(I844,[1]Lookups!$V$3:$Y$197,4,FALSE)</f>
        <v>0</v>
      </c>
      <c r="T844" s="14" t="str">
        <f>VLOOKUP(E844,[1]Lookups!$H$3:$I$71,2,FALSE)</f>
        <v>2. Seed</v>
      </c>
      <c r="U844" s="14" t="str">
        <f>VLOOKUP(K844,[1]Lookups!$B$3:$C$142,2,FALSE)</f>
        <v>E-commerce &amp; Retail</v>
      </c>
      <c r="V844" s="14">
        <f t="shared" si="921"/>
        <v>2018</v>
      </c>
      <c r="W844" s="14">
        <f t="shared" si="922"/>
        <v>12</v>
      </c>
      <c r="X844" s="14">
        <f>VLOOKUP(W844,[1]Lookups!$P$3:$S$15,2,FALSE)</f>
        <v>4</v>
      </c>
      <c r="Y844" s="16">
        <f>VLOOKUP(W844,[1]Lookups!$P$3:$U$15,3,FALSE)</f>
        <v>2</v>
      </c>
      <c r="Z844" s="16">
        <f t="shared" si="923"/>
        <v>1</v>
      </c>
      <c r="AA844" s="16" t="str">
        <f t="shared" ref="AA844:AO859" ca="1" si="1109">AS844</f>
        <v>Axa Insurance Morocco</v>
      </c>
      <c r="AB844" s="16">
        <f t="shared" si="1109"/>
        <v>0</v>
      </c>
      <c r="AC844" s="16">
        <f t="shared" si="1109"/>
        <v>0</v>
      </c>
      <c r="AD844" s="16">
        <f t="shared" si="1109"/>
        <v>0</v>
      </c>
      <c r="AE844" s="16">
        <f t="shared" si="1109"/>
        <v>0</v>
      </c>
      <c r="AF844" s="16">
        <f t="shared" si="1109"/>
        <v>0</v>
      </c>
      <c r="AG844" s="16">
        <f t="shared" si="1109"/>
        <v>0</v>
      </c>
      <c r="AH844" s="16">
        <f t="shared" si="1109"/>
        <v>0</v>
      </c>
      <c r="AI844" s="16">
        <f t="shared" si="1109"/>
        <v>0</v>
      </c>
      <c r="AJ844" s="16">
        <f t="shared" si="1109"/>
        <v>0</v>
      </c>
      <c r="AK844" s="16">
        <f t="shared" si="1109"/>
        <v>0</v>
      </c>
      <c r="AL844" s="16">
        <f t="shared" si="1109"/>
        <v>0</v>
      </c>
      <c r="AM844" s="16">
        <f t="shared" si="1109"/>
        <v>0</v>
      </c>
      <c r="AN844" s="16">
        <f t="shared" si="1109"/>
        <v>0</v>
      </c>
      <c r="AO844" s="16">
        <f t="shared" si="1109"/>
        <v>0</v>
      </c>
      <c r="AP844" s="10"/>
      <c r="AQ844" s="10"/>
      <c r="AR844" s="10"/>
      <c r="AS844" s="10" t="str">
        <f t="shared" ref="AS844" ca="1" si="1110">IFERROR(__xludf.DUMMYFUNCTION("split(F723,"","",true,true)"),"Axa Insurance Morocco")</f>
        <v>Axa Insurance Morocco</v>
      </c>
      <c r="AT844" s="10"/>
      <c r="AU844" s="10"/>
      <c r="AV844" s="10"/>
      <c r="AW844" s="10"/>
      <c r="AX844" s="10"/>
      <c r="AY844" s="10"/>
      <c r="AZ844" s="10"/>
      <c r="BA844" s="10"/>
      <c r="BB844" s="10"/>
      <c r="BC844" s="10"/>
      <c r="BD844" s="10"/>
      <c r="BE844" s="10"/>
      <c r="BF844" s="10"/>
      <c r="BG844" s="10"/>
      <c r="BH844" s="10"/>
      <c r="BI844" s="10"/>
      <c r="BJ844" s="10"/>
      <c r="BK844" s="10"/>
      <c r="BM844" s="10"/>
    </row>
    <row r="845" spans="1:65" ht="12.75">
      <c r="A845" s="18">
        <v>43436</v>
      </c>
      <c r="B845" s="14" t="s">
        <v>1821</v>
      </c>
      <c r="C845" s="19">
        <v>3424</v>
      </c>
      <c r="D845" s="19"/>
      <c r="E845" s="14" t="s">
        <v>234</v>
      </c>
      <c r="F845" s="14" t="s">
        <v>49</v>
      </c>
      <c r="G845" s="21" t="s">
        <v>1822</v>
      </c>
      <c r="H845" s="14" t="str">
        <f t="array" ref="H845">IFERROR(INDEX([1]Companies!$G:$G,MATCH(B845,[1]Companies!$A:$A,0)),"")</f>
        <v>Nigeria</v>
      </c>
      <c r="I845" s="14" t="str">
        <f t="shared" si="974"/>
        <v>Nigeria</v>
      </c>
      <c r="J845" s="14" t="str">
        <f t="array" ref="J845">IFERROR(INDEX([1]Companies!$Y:$Y,MATCH(B845,[1]Companies!$A:$A,0)),"")</f>
        <v>Artificial Intelligence, Big Data, Machine Learning, Security</v>
      </c>
      <c r="K845" s="14" t="str">
        <f t="array" ref="K845">IFERROR(INDEX([1]Companies!$X:$X,MATCH(B845,[1]Companies!$A:$A,0)),"")</f>
        <v>Information Technology</v>
      </c>
      <c r="L845" s="14" t="str">
        <f>VLOOKUP(B845,[1]Companies!$A$1:$C$5243,1,FALSE)</f>
        <v>Numbers</v>
      </c>
      <c r="M845" s="15">
        <f t="shared" si="975"/>
        <v>0.9</v>
      </c>
      <c r="N845" s="10" t="str">
        <f t="shared" si="976"/>
        <v>43436Numbers3424</v>
      </c>
      <c r="O845" s="14" t="str">
        <f t="shared" si="1017"/>
        <v/>
      </c>
      <c r="P845" s="14">
        <f t="shared" si="978"/>
        <v>1</v>
      </c>
      <c r="Q845" s="14">
        <f t="array" ref="Q845">IFERROR(INDEX([1]Companies!$D:$D,MATCH(B845,[1]Companies!$A:$A,0)),"")</f>
        <v>2018</v>
      </c>
      <c r="R845" s="17">
        <f t="shared" si="979"/>
        <v>3424</v>
      </c>
      <c r="S845" s="14">
        <f>VLOOKUP(I845,[1]Lookups!$V$3:$Y$197,4,FALSE)</f>
        <v>0</v>
      </c>
      <c r="T845" s="14" t="str">
        <f>VLOOKUP(E845,[1]Lookups!$H$3:$I$71,2,FALSE)</f>
        <v>2. Seed</v>
      </c>
      <c r="U845" s="14" t="str">
        <f>VLOOKUP(K845,[1]Lookups!$B$3:$C$142,2,FALSE)</f>
        <v>Other Technologies &amp; Information Technology</v>
      </c>
      <c r="V845" s="14">
        <f t="shared" si="921"/>
        <v>2018</v>
      </c>
      <c r="W845" s="14">
        <f t="shared" si="922"/>
        <v>12</v>
      </c>
      <c r="X845" s="14">
        <f>VLOOKUP(W845,[1]Lookups!$P$3:$S$15,2,FALSE)</f>
        <v>4</v>
      </c>
      <c r="Y845" s="16">
        <f>VLOOKUP(W845,[1]Lookups!$P$3:$U$15,3,FALSE)</f>
        <v>2</v>
      </c>
      <c r="Z845" s="16">
        <f t="shared" si="923"/>
        <v>1</v>
      </c>
      <c r="AA845" s="16" t="str">
        <f t="shared" ca="1" si="1109"/>
        <v>Axa Insurance Morocco</v>
      </c>
      <c r="AB845" s="16">
        <f t="shared" si="1109"/>
        <v>0</v>
      </c>
      <c r="AC845" s="16">
        <f t="shared" si="1109"/>
        <v>0</v>
      </c>
      <c r="AD845" s="16">
        <f t="shared" si="1109"/>
        <v>0</v>
      </c>
      <c r="AE845" s="16">
        <f t="shared" si="1109"/>
        <v>0</v>
      </c>
      <c r="AF845" s="16">
        <f t="shared" si="1109"/>
        <v>0</v>
      </c>
      <c r="AG845" s="16">
        <f t="shared" si="1109"/>
        <v>0</v>
      </c>
      <c r="AH845" s="16">
        <f t="shared" si="1109"/>
        <v>0</v>
      </c>
      <c r="AI845" s="16">
        <f t="shared" si="1109"/>
        <v>0</v>
      </c>
      <c r="AJ845" s="16">
        <f t="shared" si="1109"/>
        <v>0</v>
      </c>
      <c r="AK845" s="16">
        <f t="shared" si="1109"/>
        <v>0</v>
      </c>
      <c r="AL845" s="16">
        <f t="shared" si="1109"/>
        <v>0</v>
      </c>
      <c r="AM845" s="16">
        <f t="shared" si="1109"/>
        <v>0</v>
      </c>
      <c r="AN845" s="16">
        <f t="shared" si="1109"/>
        <v>0</v>
      </c>
      <c r="AO845" s="16">
        <f t="shared" si="1109"/>
        <v>0</v>
      </c>
      <c r="AP845" s="10"/>
      <c r="AQ845" s="10"/>
      <c r="AR845" s="10"/>
      <c r="AS845" s="10" t="str">
        <f t="shared" ref="AS845" ca="1" si="1111">IFERROR(__xludf.DUMMYFUNCTION("split(F723,"","",true,true)"),"Axa Insurance Morocco")</f>
        <v>Axa Insurance Morocco</v>
      </c>
      <c r="AT845" s="10"/>
      <c r="AU845" s="10"/>
      <c r="AV845" s="10"/>
      <c r="AW845" s="10"/>
      <c r="AX845" s="10"/>
      <c r="AY845" s="10"/>
      <c r="AZ845" s="10"/>
      <c r="BA845" s="10"/>
      <c r="BB845" s="10"/>
      <c r="BC845" s="10"/>
      <c r="BD845" s="10"/>
      <c r="BE845" s="10"/>
      <c r="BF845" s="10"/>
      <c r="BG845" s="10"/>
      <c r="BH845" s="10"/>
      <c r="BI845" s="10"/>
      <c r="BJ845" s="10"/>
      <c r="BK845" s="10"/>
      <c r="BM845" s="10"/>
    </row>
    <row r="846" spans="1:65" ht="12.75">
      <c r="A846" s="18">
        <v>43437</v>
      </c>
      <c r="B846" s="14" t="s">
        <v>904</v>
      </c>
      <c r="C846" s="19">
        <v>4384000</v>
      </c>
      <c r="D846" s="19"/>
      <c r="E846" s="14" t="s">
        <v>69</v>
      </c>
      <c r="F846" s="14" t="s">
        <v>1823</v>
      </c>
      <c r="G846" s="27" t="s">
        <v>1824</v>
      </c>
      <c r="H846" s="14" t="str">
        <f t="array" ref="H846">IFERROR(INDEX([1]Companies!$G:$G,MATCH(B846,[1]Companies!$A:$A,0)),"")</f>
        <v>Egypt</v>
      </c>
      <c r="I846" s="14" t="str">
        <f t="shared" si="974"/>
        <v>Egypt</v>
      </c>
      <c r="J846" s="14" t="str">
        <f t="array" ref="J846">IFERROR(INDEX([1]Companies!$Y:$Y,MATCH(B846,[1]Companies!$A:$A,0)),"")</f>
        <v>Logistics, Ride Sharing, Sharing Economy, Transportation</v>
      </c>
      <c r="K846" s="14" t="str">
        <f t="array" ref="K846">IFERROR(INDEX([1]Companies!$X:$X,MATCH(B846,[1]Companies!$A:$A,0)),"")</f>
        <v>Transport &amp; Logistics</v>
      </c>
      <c r="L846" s="14" t="str">
        <f>VLOOKUP(B846,[1]Companies!$A$1:$C$5243,1,FALSE)</f>
        <v>Halan</v>
      </c>
      <c r="M846" s="15">
        <f t="shared" si="975"/>
        <v>0.9</v>
      </c>
      <c r="N846" s="10" t="str">
        <f t="shared" si="976"/>
        <v>43437Halan4384000</v>
      </c>
      <c r="O846" s="14" t="str">
        <f t="shared" si="1017"/>
        <v/>
      </c>
      <c r="P846" s="14">
        <f t="shared" si="978"/>
        <v>1</v>
      </c>
      <c r="Q846" s="14">
        <f t="array" ref="Q846">IFERROR(INDEX([1]Companies!$D:$D,MATCH(B846,[1]Companies!$A:$A,0)),"")</f>
        <v>2017</v>
      </c>
      <c r="R846" s="17">
        <f t="shared" si="979"/>
        <v>6909000</v>
      </c>
      <c r="S846" s="14">
        <f>VLOOKUP(I846,[1]Lookups!$V$3:$Y$197,4,FALSE)</f>
        <v>0</v>
      </c>
      <c r="T846" s="14" t="str">
        <f>VLOOKUP(E846,[1]Lookups!$H$3:$I$71,2,FALSE)</f>
        <v>3. Early Venture</v>
      </c>
      <c r="U846" s="14" t="str">
        <f>VLOOKUP(K846,[1]Lookups!$B$3:$C$142,2,FALSE)</f>
        <v>Transport &amp; Logistics</v>
      </c>
      <c r="V846" s="14">
        <f t="shared" si="921"/>
        <v>2018</v>
      </c>
      <c r="W846" s="14">
        <f t="shared" si="922"/>
        <v>12</v>
      </c>
      <c r="X846" s="14">
        <f>VLOOKUP(W846,[1]Lookups!$P$3:$S$15,2,FALSE)</f>
        <v>4</v>
      </c>
      <c r="Y846" s="16">
        <f>VLOOKUP(W846,[1]Lookups!$P$3:$U$15,3,FALSE)</f>
        <v>2</v>
      </c>
      <c r="Z846" s="16">
        <f t="shared" si="923"/>
        <v>2</v>
      </c>
      <c r="AA846" s="16" t="str">
        <f t="shared" ca="1" si="1109"/>
        <v>Axa Insurance Morocco</v>
      </c>
      <c r="AB846" s="16" t="str">
        <f t="shared" ca="1" si="1109"/>
        <v xml:space="preserve"> Algebra Ventures</v>
      </c>
      <c r="AC846" s="16">
        <f t="shared" si="1109"/>
        <v>0</v>
      </c>
      <c r="AD846" s="16">
        <f t="shared" si="1109"/>
        <v>0</v>
      </c>
      <c r="AE846" s="16">
        <f t="shared" si="1109"/>
        <v>0</v>
      </c>
      <c r="AF846" s="16">
        <f t="shared" si="1109"/>
        <v>0</v>
      </c>
      <c r="AG846" s="16">
        <f t="shared" si="1109"/>
        <v>0</v>
      </c>
      <c r="AH846" s="16">
        <f t="shared" si="1109"/>
        <v>0</v>
      </c>
      <c r="AI846" s="16">
        <f t="shared" si="1109"/>
        <v>0</v>
      </c>
      <c r="AJ846" s="16">
        <f t="shared" si="1109"/>
        <v>0</v>
      </c>
      <c r="AK846" s="16">
        <f t="shared" si="1109"/>
        <v>0</v>
      </c>
      <c r="AL846" s="16">
        <f t="shared" si="1109"/>
        <v>0</v>
      </c>
      <c r="AM846" s="16">
        <f t="shared" si="1109"/>
        <v>0</v>
      </c>
      <c r="AN846" s="16">
        <f t="shared" si="1109"/>
        <v>0</v>
      </c>
      <c r="AO846" s="16">
        <f t="shared" si="1109"/>
        <v>0</v>
      </c>
      <c r="AP846" s="10"/>
      <c r="AQ846" s="10"/>
      <c r="AR846" s="10"/>
      <c r="AS846" s="10" t="str">
        <f t="shared" ref="AS846" ca="1" si="1112">IFERROR(__xludf.DUMMYFUNCTION("split(F723,"","",true,true)"),"Axa Insurance Morocco")</f>
        <v>Axa Insurance Morocco</v>
      </c>
      <c r="AT846" s="10" t="str">
        <f ca="1">IFERROR(__xludf.DUMMYFUNCTION("""COMPUTED_VALUE""")," Algebra Ventures")</f>
        <v xml:space="preserve"> Algebra Ventures</v>
      </c>
      <c r="AU846" s="10"/>
      <c r="AV846" s="10"/>
      <c r="AW846" s="10"/>
      <c r="AX846" s="10"/>
      <c r="AY846" s="10"/>
      <c r="AZ846" s="10"/>
      <c r="BA846" s="10"/>
      <c r="BB846" s="10"/>
      <c r="BC846" s="10"/>
      <c r="BD846" s="10"/>
      <c r="BE846" s="10"/>
      <c r="BF846" s="10"/>
      <c r="BG846" s="10"/>
      <c r="BH846" s="10"/>
      <c r="BI846" s="10"/>
      <c r="BJ846" s="10"/>
      <c r="BK846" s="10"/>
      <c r="BM846" s="10"/>
    </row>
    <row r="847" spans="1:65" ht="12.75">
      <c r="A847" s="18">
        <v>43438</v>
      </c>
      <c r="B847" s="14" t="s">
        <v>829</v>
      </c>
      <c r="C847" s="19">
        <v>2200000</v>
      </c>
      <c r="D847" s="19"/>
      <c r="E847" s="14" t="s">
        <v>69</v>
      </c>
      <c r="F847" s="14" t="s">
        <v>1825</v>
      </c>
      <c r="G847" s="27" t="s">
        <v>1826</v>
      </c>
      <c r="H847" s="14" t="str">
        <f t="array" ref="H847">IFERROR(INDEX([1]Companies!$G:$G,MATCH(B847,[1]Companies!$A:$A,0)),"")</f>
        <v>South Africa</v>
      </c>
      <c r="I847" s="14" t="str">
        <f t="shared" si="974"/>
        <v>South Africa</v>
      </c>
      <c r="J847" s="14" t="str">
        <f t="array" ref="J847">IFERROR(INDEX([1]Companies!$Y:$Y,MATCH(B847,[1]Companies!$A:$A,0)),"")</f>
        <v>Financial Services, Information Technology, Insurance</v>
      </c>
      <c r="K847" s="14" t="str">
        <f t="array" ref="K847">IFERROR(INDEX([1]Companies!$X:$X,MATCH(B847,[1]Companies!$A:$A,0)),"")</f>
        <v>Financial Services</v>
      </c>
      <c r="L847" s="14" t="str">
        <f>VLOOKUP(B847,[1]Companies!$A$1:$C$5243,1,FALSE)</f>
        <v>Naked Insurance</v>
      </c>
      <c r="M847" s="15">
        <f t="shared" si="975"/>
        <v>0.9</v>
      </c>
      <c r="N847" s="10" t="str">
        <f t="shared" si="976"/>
        <v>43438Naked Insurance2200000</v>
      </c>
      <c r="O847" s="14" t="str">
        <f t="shared" si="1017"/>
        <v/>
      </c>
      <c r="P847" s="14">
        <f t="shared" si="978"/>
        <v>1</v>
      </c>
      <c r="Q847" s="14">
        <f t="array" ref="Q847">IFERROR(INDEX([1]Companies!$D:$D,MATCH(B847,[1]Companies!$A:$A,0)),"")</f>
        <v>2016</v>
      </c>
      <c r="R847" s="17">
        <f t="shared" si="979"/>
        <v>3600000</v>
      </c>
      <c r="S847" s="14">
        <f>VLOOKUP(I847,[1]Lookups!$V$3:$Y$197,4,FALSE)</f>
        <v>0</v>
      </c>
      <c r="T847" s="14" t="str">
        <f>VLOOKUP(E847,[1]Lookups!$H$3:$I$71,2,FALSE)</f>
        <v>3. Early Venture</v>
      </c>
      <c r="U847" s="14" t="str">
        <f>VLOOKUP(K847,[1]Lookups!$B$3:$C$142,2,FALSE)</f>
        <v>Financial Services</v>
      </c>
      <c r="V847" s="14">
        <f t="shared" si="921"/>
        <v>2018</v>
      </c>
      <c r="W847" s="14">
        <f t="shared" si="922"/>
        <v>12</v>
      </c>
      <c r="X847" s="14">
        <f>VLOOKUP(W847,[1]Lookups!$P$3:$S$15,2,FALSE)</f>
        <v>4</v>
      </c>
      <c r="Y847" s="16">
        <f>VLOOKUP(W847,[1]Lookups!$P$3:$U$15,3,FALSE)</f>
        <v>2</v>
      </c>
      <c r="Z847" s="16">
        <f t="shared" si="923"/>
        <v>2</v>
      </c>
      <c r="AA847" s="16" t="str">
        <f t="shared" ca="1" si="1109"/>
        <v>Axa Insurance Morocco</v>
      </c>
      <c r="AB847" s="16" t="str">
        <f t="shared" ca="1" si="1109"/>
        <v xml:space="preserve"> Hollard Insurance</v>
      </c>
      <c r="AC847" s="16">
        <f t="shared" si="1109"/>
        <v>0</v>
      </c>
      <c r="AD847" s="16">
        <f t="shared" si="1109"/>
        <v>0</v>
      </c>
      <c r="AE847" s="16">
        <f t="shared" si="1109"/>
        <v>0</v>
      </c>
      <c r="AF847" s="16">
        <f t="shared" si="1109"/>
        <v>0</v>
      </c>
      <c r="AG847" s="16">
        <f t="shared" si="1109"/>
        <v>0</v>
      </c>
      <c r="AH847" s="16">
        <f t="shared" si="1109"/>
        <v>0</v>
      </c>
      <c r="AI847" s="16">
        <f t="shared" si="1109"/>
        <v>0</v>
      </c>
      <c r="AJ847" s="16">
        <f t="shared" si="1109"/>
        <v>0</v>
      </c>
      <c r="AK847" s="16">
        <f t="shared" si="1109"/>
        <v>0</v>
      </c>
      <c r="AL847" s="16">
        <f t="shared" si="1109"/>
        <v>0</v>
      </c>
      <c r="AM847" s="16">
        <f t="shared" si="1109"/>
        <v>0</v>
      </c>
      <c r="AN847" s="16">
        <f t="shared" si="1109"/>
        <v>0</v>
      </c>
      <c r="AO847" s="16">
        <f t="shared" si="1109"/>
        <v>0</v>
      </c>
      <c r="AP847" s="10"/>
      <c r="AQ847" s="10"/>
      <c r="AR847" s="10"/>
      <c r="AS847" s="10" t="str">
        <f t="shared" ref="AS847" ca="1" si="1113">IFERROR(__xludf.DUMMYFUNCTION("split(F723,"","",true,true)"),"Axa Insurance Morocco")</f>
        <v>Axa Insurance Morocco</v>
      </c>
      <c r="AT847" s="10" t="str">
        <f ca="1">IFERROR(__xludf.DUMMYFUNCTION("""COMPUTED_VALUE""")," Hollard Insurance")</f>
        <v xml:space="preserve"> Hollard Insurance</v>
      </c>
      <c r="AU847" s="10"/>
      <c r="AV847" s="10"/>
      <c r="AW847" s="10"/>
      <c r="AX847" s="10"/>
      <c r="AY847" s="10"/>
      <c r="AZ847" s="10"/>
      <c r="BA847" s="10"/>
      <c r="BB847" s="10"/>
      <c r="BC847" s="10"/>
      <c r="BD847" s="10"/>
      <c r="BE847" s="10"/>
      <c r="BF847" s="10"/>
      <c r="BG847" s="10"/>
      <c r="BH847" s="10"/>
      <c r="BI847" s="10"/>
      <c r="BJ847" s="10"/>
      <c r="BK847" s="10"/>
      <c r="BM847" s="10"/>
    </row>
    <row r="848" spans="1:65" ht="12.75">
      <c r="A848" s="18">
        <v>43439</v>
      </c>
      <c r="B848" s="14" t="s">
        <v>1441</v>
      </c>
      <c r="C848" s="19" t="s">
        <v>49</v>
      </c>
      <c r="D848" s="19"/>
      <c r="E848" s="14" t="s">
        <v>69</v>
      </c>
      <c r="F848" s="14" t="s">
        <v>1827</v>
      </c>
      <c r="G848" s="27" t="s">
        <v>1828</v>
      </c>
      <c r="H848" s="14" t="str">
        <f t="array" ref="H848">IFERROR(INDEX([1]Companies!$G:$G,MATCH(B848,[1]Companies!$A:$A,0)),"")</f>
        <v>Kenya</v>
      </c>
      <c r="I848" s="14" t="str">
        <f t="shared" si="974"/>
        <v>Kenya</v>
      </c>
      <c r="J848" s="14" t="str">
        <f t="array" ref="J848">IFERROR(INDEX([1]Companies!$Y:$Y,MATCH(B848,[1]Companies!$A:$A,0)),"")</f>
        <v>Finance, Financial Services, Fintech, p2P lending</v>
      </c>
      <c r="K848" s="14" t="str">
        <f t="array" ref="K848">IFERROR(INDEX([1]Companies!$X:$X,MATCH(B848,[1]Companies!$A:$A,0)),"")</f>
        <v>Financial Services</v>
      </c>
      <c r="L848" s="14" t="str">
        <f>VLOOKUP(B848,[1]Companies!$A$1:$C$5243,1,FALSE)</f>
        <v>Pezesha</v>
      </c>
      <c r="M848" s="15">
        <f t="shared" si="975"/>
        <v>0.9</v>
      </c>
      <c r="N848" s="10" t="str">
        <f t="shared" si="976"/>
        <v>43439PezeshaUndisclosed</v>
      </c>
      <c r="O848" s="14" t="str">
        <f t="shared" si="1017"/>
        <v/>
      </c>
      <c r="P848" s="14">
        <f t="shared" si="978"/>
        <v>0</v>
      </c>
      <c r="Q848" s="14">
        <f t="array" ref="Q848">IFERROR(INDEX([1]Companies!$D:$D,MATCH(B848,[1]Companies!$A:$A,0)),"")</f>
        <v>2016</v>
      </c>
      <c r="R848" s="17">
        <f t="shared" si="979"/>
        <v>550000</v>
      </c>
      <c r="S848" s="14">
        <f>VLOOKUP(I848,[1]Lookups!$V$3:$Y$197,4,FALSE)</f>
        <v>0</v>
      </c>
      <c r="T848" s="14" t="str">
        <f>VLOOKUP(E848,[1]Lookups!$H$3:$I$71,2,FALSE)</f>
        <v>3. Early Venture</v>
      </c>
      <c r="U848" s="14" t="str">
        <f>VLOOKUP(K848,[1]Lookups!$B$3:$C$142,2,FALSE)</f>
        <v>Financial Services</v>
      </c>
      <c r="V848" s="14">
        <f t="shared" si="921"/>
        <v>2018</v>
      </c>
      <c r="W848" s="14">
        <f t="shared" si="922"/>
        <v>12</v>
      </c>
      <c r="X848" s="14">
        <f>VLOOKUP(W848,[1]Lookups!$P$3:$S$15,2,FALSE)</f>
        <v>4</v>
      </c>
      <c r="Y848" s="16">
        <f>VLOOKUP(W848,[1]Lookups!$P$3:$U$15,3,FALSE)</f>
        <v>2</v>
      </c>
      <c r="Z848" s="16">
        <f t="shared" si="923"/>
        <v>1</v>
      </c>
      <c r="AA848" s="16" t="str">
        <f t="shared" ca="1" si="1109"/>
        <v>Axa Insurance Morocco</v>
      </c>
      <c r="AB848" s="16">
        <f t="shared" si="1109"/>
        <v>0</v>
      </c>
      <c r="AC848" s="16">
        <f t="shared" si="1109"/>
        <v>0</v>
      </c>
      <c r="AD848" s="16">
        <f t="shared" si="1109"/>
        <v>0</v>
      </c>
      <c r="AE848" s="16">
        <f t="shared" si="1109"/>
        <v>0</v>
      </c>
      <c r="AF848" s="16">
        <f t="shared" si="1109"/>
        <v>0</v>
      </c>
      <c r="AG848" s="16">
        <f t="shared" si="1109"/>
        <v>0</v>
      </c>
      <c r="AH848" s="16">
        <f t="shared" si="1109"/>
        <v>0</v>
      </c>
      <c r="AI848" s="16">
        <f t="shared" si="1109"/>
        <v>0</v>
      </c>
      <c r="AJ848" s="16">
        <f t="shared" si="1109"/>
        <v>0</v>
      </c>
      <c r="AK848" s="16">
        <f t="shared" si="1109"/>
        <v>0</v>
      </c>
      <c r="AL848" s="16">
        <f t="shared" si="1109"/>
        <v>0</v>
      </c>
      <c r="AM848" s="16">
        <f t="shared" si="1109"/>
        <v>0</v>
      </c>
      <c r="AN848" s="16">
        <f t="shared" si="1109"/>
        <v>0</v>
      </c>
      <c r="AO848" s="16">
        <f t="shared" si="1109"/>
        <v>0</v>
      </c>
      <c r="AP848" s="10"/>
      <c r="AQ848" s="10"/>
      <c r="AR848" s="10"/>
      <c r="AS848" s="10" t="str">
        <f t="shared" ref="AS848" ca="1" si="1114">IFERROR(__xludf.DUMMYFUNCTION("split(F723,"","",true,true)"),"Axa Insurance Morocco")</f>
        <v>Axa Insurance Morocco</v>
      </c>
      <c r="AT848" s="10"/>
      <c r="AU848" s="10"/>
      <c r="AV848" s="10"/>
      <c r="AW848" s="10"/>
      <c r="AX848" s="10"/>
      <c r="AY848" s="10"/>
      <c r="AZ848" s="10"/>
      <c r="BA848" s="10"/>
      <c r="BB848" s="10"/>
      <c r="BC848" s="10"/>
      <c r="BD848" s="10"/>
      <c r="BE848" s="10"/>
      <c r="BF848" s="10"/>
      <c r="BG848" s="10"/>
      <c r="BH848" s="10"/>
      <c r="BI848" s="10"/>
      <c r="BJ848" s="10"/>
      <c r="BK848" s="10"/>
      <c r="BM848" s="10"/>
    </row>
    <row r="849" spans="1:65" ht="12.75">
      <c r="A849" s="18">
        <v>43440</v>
      </c>
      <c r="B849" s="14" t="s">
        <v>824</v>
      </c>
      <c r="C849" s="19" t="s">
        <v>49</v>
      </c>
      <c r="D849" s="19"/>
      <c r="E849" s="14" t="s">
        <v>45</v>
      </c>
      <c r="F849" s="14" t="s">
        <v>1829</v>
      </c>
      <c r="G849" s="27" t="s">
        <v>1830</v>
      </c>
      <c r="H849" s="14" t="str">
        <f t="array" ref="H849">IFERROR(INDEX([1]Companies!$G:$G,MATCH(B849,[1]Companies!$A:$A,0)),"")</f>
        <v>Egypt</v>
      </c>
      <c r="I849" s="14" t="str">
        <f t="shared" si="974"/>
        <v>Egypt</v>
      </c>
      <c r="J849" s="14" t="str">
        <f t="array" ref="J849">IFERROR(INDEX([1]Companies!$Y:$Y,MATCH(B849,[1]Companies!$A:$A,0)),"")</f>
        <v>Mobile Apps, Software, Transportation</v>
      </c>
      <c r="K849" s="14" t="str">
        <f t="array" ref="K849">IFERROR(INDEX([1]Companies!$X:$X,MATCH(B849,[1]Companies!$A:$A,0)),"")</f>
        <v>Transport &amp; Logistics</v>
      </c>
      <c r="L849" s="14" t="str">
        <f>VLOOKUP(B849,[1]Companies!$A$1:$C$5243,1,FALSE)</f>
        <v>Buseet</v>
      </c>
      <c r="M849" s="15">
        <f t="shared" si="975"/>
        <v>0.9</v>
      </c>
      <c r="N849" s="10" t="str">
        <f t="shared" si="976"/>
        <v>43440BuseetUndisclosed</v>
      </c>
      <c r="O849" s="14" t="str">
        <f t="shared" si="1017"/>
        <v/>
      </c>
      <c r="P849" s="14">
        <f t="shared" si="978"/>
        <v>0</v>
      </c>
      <c r="Q849" s="14">
        <f t="array" ref="Q849">IFERROR(INDEX([1]Companies!$D:$D,MATCH(B849,[1]Companies!$A:$A,0)),"")</f>
        <v>2016</v>
      </c>
      <c r="R849" s="17">
        <f t="shared" si="979"/>
        <v>417000</v>
      </c>
      <c r="S849" s="14">
        <f>VLOOKUP(I849,[1]Lookups!$V$3:$Y$197,4,FALSE)</f>
        <v>0</v>
      </c>
      <c r="T849" s="14" t="str">
        <f>VLOOKUP(E849,[1]Lookups!$H$3:$I$71,2,FALSE)</f>
        <v>2. Seed</v>
      </c>
      <c r="U849" s="14" t="str">
        <f>VLOOKUP(K849,[1]Lookups!$B$3:$C$142,2,FALSE)</f>
        <v>Transport &amp; Logistics</v>
      </c>
      <c r="V849" s="14">
        <f t="shared" si="921"/>
        <v>2018</v>
      </c>
      <c r="W849" s="14">
        <f t="shared" si="922"/>
        <v>12</v>
      </c>
      <c r="X849" s="14">
        <f>VLOOKUP(W849,[1]Lookups!$P$3:$S$15,2,FALSE)</f>
        <v>4</v>
      </c>
      <c r="Y849" s="16">
        <f>VLOOKUP(W849,[1]Lookups!$P$3:$U$15,3,FALSE)</f>
        <v>2</v>
      </c>
      <c r="Z849" s="16">
        <f t="shared" si="923"/>
        <v>1</v>
      </c>
      <c r="AA849" s="16" t="str">
        <f t="shared" ca="1" si="1109"/>
        <v>Axa Insurance Morocco</v>
      </c>
      <c r="AB849" s="16">
        <f t="shared" si="1109"/>
        <v>0</v>
      </c>
      <c r="AC849" s="16">
        <f t="shared" si="1109"/>
        <v>0</v>
      </c>
      <c r="AD849" s="16">
        <f t="shared" si="1109"/>
        <v>0</v>
      </c>
      <c r="AE849" s="16">
        <f t="shared" si="1109"/>
        <v>0</v>
      </c>
      <c r="AF849" s="16">
        <f t="shared" si="1109"/>
        <v>0</v>
      </c>
      <c r="AG849" s="16">
        <f t="shared" si="1109"/>
        <v>0</v>
      </c>
      <c r="AH849" s="16">
        <f t="shared" si="1109"/>
        <v>0</v>
      </c>
      <c r="AI849" s="16">
        <f t="shared" si="1109"/>
        <v>0</v>
      </c>
      <c r="AJ849" s="16">
        <f t="shared" si="1109"/>
        <v>0</v>
      </c>
      <c r="AK849" s="16">
        <f t="shared" si="1109"/>
        <v>0</v>
      </c>
      <c r="AL849" s="16">
        <f t="shared" si="1109"/>
        <v>0</v>
      </c>
      <c r="AM849" s="16">
        <f t="shared" si="1109"/>
        <v>0</v>
      </c>
      <c r="AN849" s="16">
        <f t="shared" si="1109"/>
        <v>0</v>
      </c>
      <c r="AO849" s="16">
        <f t="shared" si="1109"/>
        <v>0</v>
      </c>
      <c r="AP849" s="10"/>
      <c r="AQ849" s="10"/>
      <c r="AR849" s="10"/>
      <c r="AS849" s="10" t="str">
        <f t="shared" ref="AS849" ca="1" si="1115">IFERROR(__xludf.DUMMYFUNCTION("split(F723,"","",true,true)"),"Axa Insurance Morocco")</f>
        <v>Axa Insurance Morocco</v>
      </c>
      <c r="AT849" s="10"/>
      <c r="AU849" s="10"/>
      <c r="AV849" s="10"/>
      <c r="AW849" s="10"/>
      <c r="AX849" s="10"/>
      <c r="AY849" s="10"/>
      <c r="AZ849" s="10"/>
      <c r="BA849" s="10"/>
      <c r="BB849" s="10"/>
      <c r="BC849" s="10"/>
      <c r="BD849" s="10"/>
      <c r="BE849" s="10"/>
      <c r="BF849" s="10"/>
      <c r="BG849" s="10"/>
      <c r="BH849" s="10"/>
      <c r="BI849" s="10"/>
      <c r="BJ849" s="10"/>
      <c r="BK849" s="10"/>
      <c r="BM849" s="10"/>
    </row>
    <row r="850" spans="1:65" ht="12.75">
      <c r="A850" s="18">
        <v>43440</v>
      </c>
      <c r="B850" s="14" t="s">
        <v>445</v>
      </c>
      <c r="C850" s="19">
        <v>3000000</v>
      </c>
      <c r="D850" s="19"/>
      <c r="E850" s="14" t="s">
        <v>69</v>
      </c>
      <c r="F850" s="14" t="s">
        <v>1831</v>
      </c>
      <c r="G850" s="27" t="s">
        <v>1832</v>
      </c>
      <c r="H850" s="14" t="str">
        <f t="array" ref="H850">IFERROR(INDEX([1]Companies!$G:$G,MATCH(B850,[1]Companies!$A:$A,0)),"")</f>
        <v>South Africa</v>
      </c>
      <c r="I850" s="14" t="str">
        <f t="shared" si="974"/>
        <v>South Africa</v>
      </c>
      <c r="J850" s="14" t="str">
        <f t="array" ref="J850">IFERROR(INDEX([1]Companies!$Y:$Y,MATCH(B850,[1]Companies!$A:$A,0)),"")</f>
        <v>Load Balancing, Development, Linux, ADC, Application Delivery Controller, Load Balancer, WAF, Web Accelerator, Devops, Application Delivery, and SAAS</v>
      </c>
      <c r="K850" s="14" t="str">
        <f t="array" ref="K850">IFERROR(INDEX([1]Companies!$X:$X,MATCH(B850,[1]Companies!$A:$A,0)),"")</f>
        <v>Information Technology</v>
      </c>
      <c r="L850" s="14" t="str">
        <f>VLOOKUP(B850,[1]Companies!$A$1:$C$5243,1,FALSE)</f>
        <v>Snapt</v>
      </c>
      <c r="M850" s="15">
        <f t="shared" si="975"/>
        <v>0.9</v>
      </c>
      <c r="N850" s="10" t="str">
        <f t="shared" si="976"/>
        <v>43440Snapt3000000</v>
      </c>
      <c r="O850" s="14" t="str">
        <f t="shared" si="1017"/>
        <v/>
      </c>
      <c r="P850" s="14">
        <f t="shared" si="978"/>
        <v>1</v>
      </c>
      <c r="Q850" s="14">
        <f t="array" ref="Q850">IFERROR(INDEX([1]Companies!$D:$D,MATCH(B850,[1]Companies!$A:$A,0)),"")</f>
        <v>2012</v>
      </c>
      <c r="R850" s="17">
        <f t="shared" si="979"/>
        <v>4000000</v>
      </c>
      <c r="S850" s="14">
        <f>VLOOKUP(I850,[1]Lookups!$V$3:$Y$197,4,FALSE)</f>
        <v>0</v>
      </c>
      <c r="T850" s="14" t="str">
        <f>VLOOKUP(E850,[1]Lookups!$H$3:$I$71,2,FALSE)</f>
        <v>3. Early Venture</v>
      </c>
      <c r="U850" s="14" t="str">
        <f>VLOOKUP(K850,[1]Lookups!$B$3:$C$142,2,FALSE)</f>
        <v>Other Technologies &amp; Information Technology</v>
      </c>
      <c r="V850" s="14">
        <f t="shared" si="921"/>
        <v>2018</v>
      </c>
      <c r="W850" s="14">
        <f t="shared" si="922"/>
        <v>12</v>
      </c>
      <c r="X850" s="14">
        <f>VLOOKUP(W850,[1]Lookups!$P$3:$S$15,2,FALSE)</f>
        <v>4</v>
      </c>
      <c r="Y850" s="16">
        <f>VLOOKUP(W850,[1]Lookups!$P$3:$U$15,3,FALSE)</f>
        <v>2</v>
      </c>
      <c r="Z850" s="16">
        <f t="shared" si="923"/>
        <v>3</v>
      </c>
      <c r="AA850" s="16" t="str">
        <f t="shared" ca="1" si="1109"/>
        <v>Axa Insurance Morocco</v>
      </c>
      <c r="AB850" s="16" t="str">
        <f t="shared" ca="1" si="1109"/>
        <v xml:space="preserve"> Sanari Capital</v>
      </c>
      <c r="AC850" s="16" t="str">
        <f t="shared" ca="1" si="1109"/>
        <v xml:space="preserve"> Convergence Partners</v>
      </c>
      <c r="AD850" s="16">
        <f t="shared" si="1109"/>
        <v>0</v>
      </c>
      <c r="AE850" s="16">
        <f t="shared" si="1109"/>
        <v>0</v>
      </c>
      <c r="AF850" s="16">
        <f t="shared" si="1109"/>
        <v>0</v>
      </c>
      <c r="AG850" s="16">
        <f t="shared" si="1109"/>
        <v>0</v>
      </c>
      <c r="AH850" s="16">
        <f t="shared" si="1109"/>
        <v>0</v>
      </c>
      <c r="AI850" s="16">
        <f t="shared" si="1109"/>
        <v>0</v>
      </c>
      <c r="AJ850" s="16">
        <f t="shared" si="1109"/>
        <v>0</v>
      </c>
      <c r="AK850" s="16">
        <f t="shared" si="1109"/>
        <v>0</v>
      </c>
      <c r="AL850" s="16">
        <f t="shared" si="1109"/>
        <v>0</v>
      </c>
      <c r="AM850" s="16">
        <f t="shared" si="1109"/>
        <v>0</v>
      </c>
      <c r="AN850" s="16">
        <f t="shared" si="1109"/>
        <v>0</v>
      </c>
      <c r="AO850" s="16">
        <f t="shared" si="1109"/>
        <v>0</v>
      </c>
      <c r="AP850" s="10"/>
      <c r="AQ850" s="10"/>
      <c r="AR850" s="10"/>
      <c r="AS850" s="10" t="str">
        <f t="shared" ref="AS850" ca="1" si="1116">IFERROR(__xludf.DUMMYFUNCTION("split(F723,"","",true,true)"),"Axa Insurance Morocco")</f>
        <v>Axa Insurance Morocco</v>
      </c>
      <c r="AT850" s="10" t="str">
        <f ca="1">IFERROR(__xludf.DUMMYFUNCTION("""COMPUTED_VALUE""")," Sanari Capital")</f>
        <v xml:space="preserve"> Sanari Capital</v>
      </c>
      <c r="AU850" s="10" t="str">
        <f ca="1">IFERROR(__xludf.DUMMYFUNCTION("""COMPUTED_VALUE""")," Convergence Partners")</f>
        <v xml:space="preserve"> Convergence Partners</v>
      </c>
      <c r="AV850" s="10"/>
      <c r="AW850" s="10"/>
      <c r="AX850" s="10"/>
      <c r="AY850" s="10"/>
      <c r="AZ850" s="10"/>
      <c r="BA850" s="10"/>
      <c r="BB850" s="10"/>
      <c r="BC850" s="10"/>
      <c r="BD850" s="10"/>
      <c r="BE850" s="10"/>
      <c r="BF850" s="10"/>
      <c r="BG850" s="10"/>
      <c r="BH850" s="10"/>
      <c r="BI850" s="10"/>
      <c r="BJ850" s="10"/>
      <c r="BK850" s="10"/>
      <c r="BM850" s="10"/>
    </row>
    <row r="851" spans="1:65" ht="12.75">
      <c r="A851" s="18">
        <v>43441</v>
      </c>
      <c r="B851" s="14" t="s">
        <v>1305</v>
      </c>
      <c r="C851" s="19">
        <v>6000000</v>
      </c>
      <c r="D851" s="19"/>
      <c r="E851" s="14" t="s">
        <v>69</v>
      </c>
      <c r="F851" s="14" t="s">
        <v>1833</v>
      </c>
      <c r="G851" s="27" t="s">
        <v>1834</v>
      </c>
      <c r="H851" s="14" t="str">
        <f t="array" ref="H851">IFERROR(INDEX([1]Companies!$G:$G,MATCH(B851,[1]Companies!$A:$A,0)),"")</f>
        <v>Nigeria</v>
      </c>
      <c r="I851" s="14" t="str">
        <f t="shared" si="974"/>
        <v>Nigeria</v>
      </c>
      <c r="J851" s="14" t="str">
        <f t="array" ref="J851">IFERROR(INDEX([1]Companies!$Y:$Y,MATCH(B851,[1]Companies!$A:$A,0)),"")</f>
        <v>SMEs export/import solution, E-commerce Supply Chain, Mail/Parcel, Office/Home Moving, Haulage, Air Freight, Project Cargo, Sea Freight, Agribusiness</v>
      </c>
      <c r="K851" s="14" t="str">
        <f t="array" ref="K851">IFERROR(INDEX([1]Companies!$X:$X,MATCH(B851,[1]Companies!$A:$A,0)),"")</f>
        <v>Transport &amp; Logistics</v>
      </c>
      <c r="L851" s="14" t="str">
        <f>VLOOKUP(B851,[1]Companies!$A$1:$C$5243,1,FALSE)</f>
        <v>Kobo360</v>
      </c>
      <c r="M851" s="15">
        <f t="shared" si="975"/>
        <v>0.9</v>
      </c>
      <c r="N851" s="10" t="str">
        <f t="shared" si="976"/>
        <v>43441Kobo3606000000</v>
      </c>
      <c r="O851" s="14" t="str">
        <f t="shared" si="1017"/>
        <v/>
      </c>
      <c r="P851" s="14">
        <f t="shared" si="978"/>
        <v>1</v>
      </c>
      <c r="Q851" s="14">
        <f t="array" ref="Q851">IFERROR(INDEX([1]Companies!$D:$D,MATCH(B851,[1]Companies!$A:$A,0)),"")</f>
        <v>2017</v>
      </c>
      <c r="R851" s="17">
        <f t="shared" si="979"/>
        <v>37320000</v>
      </c>
      <c r="S851" s="14">
        <f>VLOOKUP(I851,[1]Lookups!$V$3:$Y$197,4,FALSE)</f>
        <v>0</v>
      </c>
      <c r="T851" s="14" t="str">
        <f>VLOOKUP(E851,[1]Lookups!$H$3:$I$71,2,FALSE)</f>
        <v>3. Early Venture</v>
      </c>
      <c r="U851" s="14" t="str">
        <f>VLOOKUP(K851,[1]Lookups!$B$3:$C$142,2,FALSE)</f>
        <v>Transport &amp; Logistics</v>
      </c>
      <c r="V851" s="14">
        <f t="shared" si="921"/>
        <v>2018</v>
      </c>
      <c r="W851" s="14">
        <f t="shared" si="922"/>
        <v>12</v>
      </c>
      <c r="X851" s="14">
        <f>VLOOKUP(W851,[1]Lookups!$P$3:$S$15,2,FALSE)</f>
        <v>4</v>
      </c>
      <c r="Y851" s="16">
        <f>VLOOKUP(W851,[1]Lookups!$P$3:$U$15,3,FALSE)</f>
        <v>2</v>
      </c>
      <c r="Z851" s="16">
        <f t="shared" si="923"/>
        <v>3</v>
      </c>
      <c r="AA851" s="16" t="str">
        <f t="shared" ca="1" si="1109"/>
        <v>Axa Insurance Morocco</v>
      </c>
      <c r="AB851" s="16" t="str">
        <f t="shared" ca="1" si="1109"/>
        <v xml:space="preserve"> Y Combinator</v>
      </c>
      <c r="AC851" s="16" t="str">
        <f t="shared" ca="1" si="1109"/>
        <v xml:space="preserve"> TLcom Capital Partners</v>
      </c>
      <c r="AD851" s="16">
        <f t="shared" si="1109"/>
        <v>0</v>
      </c>
      <c r="AE851" s="16">
        <f t="shared" si="1109"/>
        <v>0</v>
      </c>
      <c r="AF851" s="16">
        <f t="shared" si="1109"/>
        <v>0</v>
      </c>
      <c r="AG851" s="16">
        <f t="shared" si="1109"/>
        <v>0</v>
      </c>
      <c r="AH851" s="16">
        <f t="shared" si="1109"/>
        <v>0</v>
      </c>
      <c r="AI851" s="16">
        <f t="shared" si="1109"/>
        <v>0</v>
      </c>
      <c r="AJ851" s="16">
        <f t="shared" si="1109"/>
        <v>0</v>
      </c>
      <c r="AK851" s="16">
        <f t="shared" si="1109"/>
        <v>0</v>
      </c>
      <c r="AL851" s="16">
        <f t="shared" si="1109"/>
        <v>0</v>
      </c>
      <c r="AM851" s="16">
        <f t="shared" si="1109"/>
        <v>0</v>
      </c>
      <c r="AN851" s="16">
        <f t="shared" si="1109"/>
        <v>0</v>
      </c>
      <c r="AO851" s="16">
        <f t="shared" si="1109"/>
        <v>0</v>
      </c>
      <c r="AP851" s="10"/>
      <c r="AQ851" s="10"/>
      <c r="AR851" s="10"/>
      <c r="AS851" s="10" t="str">
        <f t="shared" ref="AS851" ca="1" si="1117">IFERROR(__xludf.DUMMYFUNCTION("split(F723,"","",true,true)"),"Axa Insurance Morocco")</f>
        <v>Axa Insurance Morocco</v>
      </c>
      <c r="AT851" s="10" t="str">
        <f ca="1">IFERROR(__xludf.DUMMYFUNCTION("""COMPUTED_VALUE""")," Y Combinator")</f>
        <v xml:space="preserve"> Y Combinator</v>
      </c>
      <c r="AU851" s="10" t="str">
        <f ca="1">IFERROR(__xludf.DUMMYFUNCTION("""COMPUTED_VALUE""")," TLcom Capital Partners")</f>
        <v xml:space="preserve"> TLcom Capital Partners</v>
      </c>
      <c r="AV851" s="10"/>
      <c r="AW851" s="10"/>
      <c r="AX851" s="10"/>
      <c r="AY851" s="10"/>
      <c r="AZ851" s="10"/>
      <c r="BA851" s="10"/>
      <c r="BB851" s="10"/>
      <c r="BC851" s="10"/>
      <c r="BD851" s="10"/>
      <c r="BE851" s="10"/>
      <c r="BF851" s="10"/>
      <c r="BG851" s="10"/>
      <c r="BH851" s="10"/>
      <c r="BI851" s="10"/>
      <c r="BJ851" s="10"/>
      <c r="BK851" s="10"/>
      <c r="BM851" s="10"/>
    </row>
    <row r="852" spans="1:65" ht="12.75">
      <c r="A852" s="18">
        <v>43441</v>
      </c>
      <c r="B852" s="14" t="s">
        <v>222</v>
      </c>
      <c r="C852" s="19">
        <v>1000000</v>
      </c>
      <c r="D852" s="19"/>
      <c r="E852" s="14" t="s">
        <v>84</v>
      </c>
      <c r="F852" s="14" t="s">
        <v>1835</v>
      </c>
      <c r="G852" s="13" t="s">
        <v>1836</v>
      </c>
      <c r="H852" s="14" t="str">
        <f t="array" ref="H852">IFERROR(INDEX([1]Companies!$G:$G,MATCH(B852,[1]Companies!$A:$A,0)),"")</f>
        <v>Egypt</v>
      </c>
      <c r="I852" s="14" t="str">
        <f t="shared" si="974"/>
        <v>Egypt</v>
      </c>
      <c r="J852" s="14" t="str">
        <f t="array" ref="J852">IFERROR(INDEX([1]Companies!$Y:$Y,MATCH(B852,[1]Companies!$A:$A,0)),"")</f>
        <v>Healthcare, Internet, Marketplace, Medical, Paas, Saas</v>
      </c>
      <c r="K852" s="14" t="str">
        <f t="array" ref="K852">IFERROR(INDEX([1]Companies!$X:$X,MATCH(B852,[1]Companies!$A:$A,0)),"")</f>
        <v>Healthcare &amp; Pharma</v>
      </c>
      <c r="L852" s="14" t="str">
        <f>VLOOKUP(B852,[1]Companies!$A$1:$C$5243,1,FALSE)</f>
        <v>Vezeeta</v>
      </c>
      <c r="M852" s="15">
        <f t="shared" si="975"/>
        <v>0.9</v>
      </c>
      <c r="N852" s="10" t="str">
        <f t="shared" si="976"/>
        <v>43441Vezeeta1000000</v>
      </c>
      <c r="O852" s="14" t="str">
        <f t="shared" si="1017"/>
        <v/>
      </c>
      <c r="P852" s="14">
        <f t="shared" si="978"/>
        <v>1</v>
      </c>
      <c r="Q852" s="14">
        <f t="array" ref="Q852">IFERROR(INDEX([1]Companies!$D:$D,MATCH(B852,[1]Companies!$A:$A,0)),"")</f>
        <v>2012</v>
      </c>
      <c r="R852" s="17">
        <f t="shared" si="979"/>
        <v>23500000</v>
      </c>
      <c r="S852" s="14">
        <f>VLOOKUP(I852,[1]Lookups!$V$3:$Y$197,4,FALSE)</f>
        <v>0</v>
      </c>
      <c r="T852" s="14" t="str">
        <f>VLOOKUP(E852,[1]Lookups!$H$3:$I$71,2,FALSE)</f>
        <v>4. Late Venture</v>
      </c>
      <c r="U852" s="14" t="str">
        <f>VLOOKUP(K852,[1]Lookups!$B$3:$C$142,2,FALSE)</f>
        <v>Health &amp; Pharmaceuticals</v>
      </c>
      <c r="V852" s="14">
        <f t="shared" si="921"/>
        <v>2018</v>
      </c>
      <c r="W852" s="14">
        <f t="shared" si="922"/>
        <v>12</v>
      </c>
      <c r="X852" s="14">
        <f>VLOOKUP(W852,[1]Lookups!$P$3:$S$15,2,FALSE)</f>
        <v>4</v>
      </c>
      <c r="Y852" s="16">
        <f>VLOOKUP(W852,[1]Lookups!$P$3:$U$15,3,FALSE)</f>
        <v>2</v>
      </c>
      <c r="Z852" s="16">
        <f t="shared" si="923"/>
        <v>1</v>
      </c>
      <c r="AA852" s="16" t="str">
        <f t="shared" ca="1" si="1109"/>
        <v>Axa Insurance Morocco</v>
      </c>
      <c r="AB852" s="16">
        <f t="shared" si="1109"/>
        <v>0</v>
      </c>
      <c r="AC852" s="16">
        <f t="shared" si="1109"/>
        <v>0</v>
      </c>
      <c r="AD852" s="16">
        <f t="shared" si="1109"/>
        <v>0</v>
      </c>
      <c r="AE852" s="16">
        <f t="shared" si="1109"/>
        <v>0</v>
      </c>
      <c r="AF852" s="16">
        <f t="shared" si="1109"/>
        <v>0</v>
      </c>
      <c r="AG852" s="16">
        <f t="shared" si="1109"/>
        <v>0</v>
      </c>
      <c r="AH852" s="16">
        <f t="shared" si="1109"/>
        <v>0</v>
      </c>
      <c r="AI852" s="16">
        <f t="shared" si="1109"/>
        <v>0</v>
      </c>
      <c r="AJ852" s="16">
        <f t="shared" si="1109"/>
        <v>0</v>
      </c>
      <c r="AK852" s="16">
        <f t="shared" si="1109"/>
        <v>0</v>
      </c>
      <c r="AL852" s="16">
        <f t="shared" si="1109"/>
        <v>0</v>
      </c>
      <c r="AM852" s="16">
        <f t="shared" si="1109"/>
        <v>0</v>
      </c>
      <c r="AN852" s="16">
        <f t="shared" si="1109"/>
        <v>0</v>
      </c>
      <c r="AO852" s="16">
        <f t="shared" si="1109"/>
        <v>0</v>
      </c>
      <c r="AP852" s="10"/>
      <c r="AQ852" s="10"/>
      <c r="AR852" s="10"/>
      <c r="AS852" s="10" t="str">
        <f t="shared" ref="AS852" ca="1" si="1118">IFERROR(__xludf.DUMMYFUNCTION("split(F723,"","",true,true)"),"Axa Insurance Morocco")</f>
        <v>Axa Insurance Morocco</v>
      </c>
      <c r="AT852" s="10"/>
      <c r="AU852" s="10"/>
      <c r="AV852" s="10"/>
      <c r="AW852" s="10"/>
      <c r="AX852" s="10"/>
      <c r="AY852" s="10"/>
      <c r="AZ852" s="10"/>
      <c r="BA852" s="10"/>
      <c r="BB852" s="10"/>
      <c r="BC852" s="10"/>
      <c r="BD852" s="10"/>
      <c r="BE852" s="10"/>
      <c r="BF852" s="10"/>
      <c r="BG852" s="10"/>
      <c r="BH852" s="10"/>
      <c r="BI852" s="10"/>
      <c r="BJ852" s="10"/>
      <c r="BK852" s="10"/>
      <c r="BM852" s="10"/>
    </row>
    <row r="853" spans="1:65" ht="12.75">
      <c r="A853" s="18">
        <v>43441</v>
      </c>
      <c r="B853" s="14" t="s">
        <v>1837</v>
      </c>
      <c r="C853" s="19">
        <v>46000</v>
      </c>
      <c r="D853" s="19"/>
      <c r="E853" s="14" t="s">
        <v>55</v>
      </c>
      <c r="F853" s="14" t="s">
        <v>1838</v>
      </c>
      <c r="G853" s="27" t="s">
        <v>1839</v>
      </c>
      <c r="H853" s="14" t="str">
        <f t="array" ref="H853">IFERROR(INDEX([1]Companies!$G:$G,MATCH(B853,[1]Companies!$A:$A,0)),"")</f>
        <v>South Africa</v>
      </c>
      <c r="I853" s="14" t="str">
        <f t="shared" si="974"/>
        <v>South Africa</v>
      </c>
      <c r="J853" s="14" t="str">
        <f t="array" ref="J853">IFERROR(INDEX([1]Companies!$Y:$Y,MATCH(B853,[1]Companies!$A:$A,0)),"")</f>
        <v>Energy, Information Technology</v>
      </c>
      <c r="K853" s="14" t="str">
        <f t="array" ref="K853">IFERROR(INDEX([1]Companies!$X:$X,MATCH(B853,[1]Companies!$A:$A,0)),"")</f>
        <v>Energy &amp; Environment Resources</v>
      </c>
      <c r="L853" s="14" t="str">
        <f>VLOOKUP(B853,[1]Companies!$A$1:$C$5243,1,FALSE)</f>
        <v>Energy Shift</v>
      </c>
      <c r="M853" s="15">
        <f t="shared" si="975"/>
        <v>0.9</v>
      </c>
      <c r="N853" s="10" t="str">
        <f t="shared" si="976"/>
        <v>43441Energy Shift46000</v>
      </c>
      <c r="O853" s="14" t="str">
        <f t="shared" si="1017"/>
        <v/>
      </c>
      <c r="P853" s="14">
        <f t="shared" si="978"/>
        <v>1</v>
      </c>
      <c r="Q853" s="14">
        <f t="array" ref="Q853">IFERROR(INDEX([1]Companies!$D:$D,MATCH(B853,[1]Companies!$A:$A,0)),"")</f>
        <v>2009</v>
      </c>
      <c r="R853" s="17">
        <f t="shared" si="979"/>
        <v>46000</v>
      </c>
      <c r="S853" s="14">
        <f>VLOOKUP(I853,[1]Lookups!$V$3:$Y$197,4,FALSE)</f>
        <v>0</v>
      </c>
      <c r="T853" s="14" t="str">
        <f>VLOOKUP(E853,[1]Lookups!$H$3:$I$71,2,FALSE)</f>
        <v>1. Grant</v>
      </c>
      <c r="U853" s="14" t="e">
        <f>VLOOKUP(K853,[1]Lookups!$B$3:$C$142,2,FALSE)</f>
        <v>#N/A</v>
      </c>
      <c r="V853" s="14">
        <f t="shared" si="921"/>
        <v>2018</v>
      </c>
      <c r="W853" s="14">
        <f t="shared" si="922"/>
        <v>12</v>
      </c>
      <c r="X853" s="14">
        <f>VLOOKUP(W853,[1]Lookups!$P$3:$S$15,2,FALSE)</f>
        <v>4</v>
      </c>
      <c r="Y853" s="16">
        <f>VLOOKUP(W853,[1]Lookups!$P$3:$U$15,3,FALSE)</f>
        <v>2</v>
      </c>
      <c r="Z853" s="16">
        <f t="shared" si="923"/>
        <v>1</v>
      </c>
      <c r="AA853" s="16" t="str">
        <f t="shared" ca="1" si="1109"/>
        <v>Axa Insurance Morocco</v>
      </c>
      <c r="AB853" s="16">
        <f t="shared" si="1109"/>
        <v>0</v>
      </c>
      <c r="AC853" s="16">
        <f t="shared" si="1109"/>
        <v>0</v>
      </c>
      <c r="AD853" s="16">
        <f t="shared" si="1109"/>
        <v>0</v>
      </c>
      <c r="AE853" s="16">
        <f t="shared" si="1109"/>
        <v>0</v>
      </c>
      <c r="AF853" s="16">
        <f t="shared" si="1109"/>
        <v>0</v>
      </c>
      <c r="AG853" s="16">
        <f t="shared" si="1109"/>
        <v>0</v>
      </c>
      <c r="AH853" s="16">
        <f t="shared" si="1109"/>
        <v>0</v>
      </c>
      <c r="AI853" s="16">
        <f t="shared" si="1109"/>
        <v>0</v>
      </c>
      <c r="AJ853" s="16">
        <f t="shared" si="1109"/>
        <v>0</v>
      </c>
      <c r="AK853" s="16">
        <f t="shared" si="1109"/>
        <v>0</v>
      </c>
      <c r="AL853" s="16">
        <f t="shared" si="1109"/>
        <v>0</v>
      </c>
      <c r="AM853" s="16">
        <f t="shared" si="1109"/>
        <v>0</v>
      </c>
      <c r="AN853" s="16">
        <f t="shared" si="1109"/>
        <v>0</v>
      </c>
      <c r="AO853" s="16">
        <f t="shared" si="1109"/>
        <v>0</v>
      </c>
      <c r="AP853" s="10"/>
      <c r="AQ853" s="10"/>
      <c r="AR853" s="10"/>
      <c r="AS853" s="10" t="str">
        <f t="shared" ref="AS853" ca="1" si="1119">IFERROR(__xludf.DUMMYFUNCTION("split(F723,"","",true,true)"),"Axa Insurance Morocco")</f>
        <v>Axa Insurance Morocco</v>
      </c>
      <c r="AT853" s="10"/>
      <c r="AU853" s="10"/>
      <c r="AV853" s="10"/>
      <c r="AW853" s="10"/>
      <c r="AX853" s="10"/>
      <c r="AY853" s="10"/>
      <c r="AZ853" s="10"/>
      <c r="BA853" s="10"/>
      <c r="BB853" s="10"/>
      <c r="BC853" s="10"/>
      <c r="BD853" s="10"/>
      <c r="BE853" s="10"/>
      <c r="BF853" s="10"/>
      <c r="BG853" s="10"/>
      <c r="BH853" s="10"/>
      <c r="BI853" s="10"/>
      <c r="BJ853" s="10"/>
      <c r="BK853" s="10"/>
      <c r="BM853" s="10"/>
    </row>
    <row r="854" spans="1:65" ht="12.75">
      <c r="A854" s="18">
        <v>43441</v>
      </c>
      <c r="B854" s="14" t="s">
        <v>1840</v>
      </c>
      <c r="C854" s="19">
        <v>45000</v>
      </c>
      <c r="D854" s="19"/>
      <c r="E854" s="14" t="s">
        <v>55</v>
      </c>
      <c r="F854" s="14" t="s">
        <v>1838</v>
      </c>
      <c r="G854" s="27" t="s">
        <v>1839</v>
      </c>
      <c r="H854" s="14" t="str">
        <f t="array" ref="H854">IFERROR(INDEX([1]Companies!$G:$G,MATCH(B854,[1]Companies!$A:$A,0)),"")</f>
        <v>South Africa</v>
      </c>
      <c r="I854" s="14" t="str">
        <f t="shared" si="974"/>
        <v>South Africa</v>
      </c>
      <c r="J854" s="14" t="str">
        <f t="array" ref="J854">IFERROR(INDEX([1]Companies!$Y:$Y,MATCH(B854,[1]Companies!$A:$A,0)),"")</f>
        <v>Renewable Energy</v>
      </c>
      <c r="K854" s="14" t="str">
        <f t="array" ref="K854">IFERROR(INDEX([1]Companies!$X:$X,MATCH(B854,[1]Companies!$A:$A,0)),"")</f>
        <v>Oil &amp; Energy</v>
      </c>
      <c r="L854" s="14" t="str">
        <f>VLOOKUP(B854,[1]Companies!$A$1:$C$5243,1,FALSE)</f>
        <v>Global Energy</v>
      </c>
      <c r="M854" s="15">
        <f t="shared" si="975"/>
        <v>0.9</v>
      </c>
      <c r="N854" s="10" t="str">
        <f t="shared" si="976"/>
        <v>43441Global Energy45000</v>
      </c>
      <c r="O854" s="14" t="str">
        <f t="shared" si="1017"/>
        <v/>
      </c>
      <c r="P854" s="14">
        <f t="shared" si="978"/>
        <v>1</v>
      </c>
      <c r="Q854" s="14">
        <f t="array" ref="Q854">IFERROR(INDEX([1]Companies!$D:$D,MATCH(B854,[1]Companies!$A:$A,0)),"")</f>
        <v>2005</v>
      </c>
      <c r="R854" s="17">
        <f t="shared" si="979"/>
        <v>45000</v>
      </c>
      <c r="S854" s="14">
        <f>VLOOKUP(I854,[1]Lookups!$V$3:$Y$197,4,FALSE)</f>
        <v>0</v>
      </c>
      <c r="T854" s="14" t="str">
        <f>VLOOKUP(E854,[1]Lookups!$H$3:$I$71,2,FALSE)</f>
        <v>1. Grant</v>
      </c>
      <c r="U854" s="14" t="e">
        <f>VLOOKUP(K854,[1]Lookups!$B$3:$C$142,2,FALSE)</f>
        <v>#N/A</v>
      </c>
      <c r="V854" s="14">
        <f t="shared" si="921"/>
        <v>2018</v>
      </c>
      <c r="W854" s="14">
        <f t="shared" si="922"/>
        <v>12</v>
      </c>
      <c r="X854" s="14">
        <f>VLOOKUP(W854,[1]Lookups!$P$3:$S$15,2,FALSE)</f>
        <v>4</v>
      </c>
      <c r="Y854" s="16">
        <f>VLOOKUP(W854,[1]Lookups!$P$3:$U$15,3,FALSE)</f>
        <v>2</v>
      </c>
      <c r="Z854" s="16">
        <f t="shared" si="923"/>
        <v>1</v>
      </c>
      <c r="AA854" s="16" t="str">
        <f t="shared" ca="1" si="1109"/>
        <v>Axa Insurance Morocco</v>
      </c>
      <c r="AB854" s="16">
        <f t="shared" si="1109"/>
        <v>0</v>
      </c>
      <c r="AC854" s="16">
        <f t="shared" si="1109"/>
        <v>0</v>
      </c>
      <c r="AD854" s="16">
        <f t="shared" si="1109"/>
        <v>0</v>
      </c>
      <c r="AE854" s="16">
        <f t="shared" si="1109"/>
        <v>0</v>
      </c>
      <c r="AF854" s="16">
        <f t="shared" si="1109"/>
        <v>0</v>
      </c>
      <c r="AG854" s="16">
        <f t="shared" si="1109"/>
        <v>0</v>
      </c>
      <c r="AH854" s="16">
        <f t="shared" si="1109"/>
        <v>0</v>
      </c>
      <c r="AI854" s="16">
        <f t="shared" si="1109"/>
        <v>0</v>
      </c>
      <c r="AJ854" s="16">
        <f t="shared" si="1109"/>
        <v>0</v>
      </c>
      <c r="AK854" s="16">
        <f t="shared" si="1109"/>
        <v>0</v>
      </c>
      <c r="AL854" s="16">
        <f t="shared" si="1109"/>
        <v>0</v>
      </c>
      <c r="AM854" s="16">
        <f t="shared" si="1109"/>
        <v>0</v>
      </c>
      <c r="AN854" s="16">
        <f t="shared" si="1109"/>
        <v>0</v>
      </c>
      <c r="AO854" s="16">
        <f t="shared" si="1109"/>
        <v>0</v>
      </c>
      <c r="AP854" s="10"/>
      <c r="AQ854" s="10"/>
      <c r="AR854" s="10"/>
      <c r="AS854" s="10" t="str">
        <f t="shared" ref="AS854" ca="1" si="1120">IFERROR(__xludf.DUMMYFUNCTION("split(F723,"","",true,true)"),"Axa Insurance Morocco")</f>
        <v>Axa Insurance Morocco</v>
      </c>
      <c r="AT854" s="10"/>
      <c r="AU854" s="10"/>
      <c r="AV854" s="10"/>
      <c r="AW854" s="10"/>
      <c r="AX854" s="10"/>
      <c r="AY854" s="10"/>
      <c r="AZ854" s="10"/>
      <c r="BA854" s="10"/>
      <c r="BB854" s="10"/>
      <c r="BC854" s="10"/>
      <c r="BD854" s="10"/>
      <c r="BE854" s="10"/>
      <c r="BF854" s="10"/>
      <c r="BG854" s="10"/>
      <c r="BH854" s="10"/>
      <c r="BI854" s="10"/>
      <c r="BJ854" s="10"/>
      <c r="BK854" s="10"/>
      <c r="BM854" s="10"/>
    </row>
    <row r="855" spans="1:65" ht="12.75">
      <c r="A855" s="18">
        <v>43441</v>
      </c>
      <c r="B855" s="14" t="s">
        <v>1841</v>
      </c>
      <c r="C855" s="19">
        <v>45000</v>
      </c>
      <c r="D855" s="19"/>
      <c r="E855" s="14" t="s">
        <v>55</v>
      </c>
      <c r="F855" s="14" t="s">
        <v>1838</v>
      </c>
      <c r="G855" s="27" t="s">
        <v>1839</v>
      </c>
      <c r="H855" s="14" t="str">
        <f t="array" ref="H855">IFERROR(INDEX([1]Companies!$G:$G,MATCH(B855,[1]Companies!$A:$A,0)),"")</f>
        <v>South Africa</v>
      </c>
      <c r="I855" s="14" t="str">
        <f t="shared" si="974"/>
        <v>South Africa</v>
      </c>
      <c r="J855" s="14" t="str">
        <f t="array" ref="J855">IFERROR(INDEX([1]Companies!$Y:$Y,MATCH(B855,[1]Companies!$A:$A,0)),"")</f>
        <v>Information Technology, Security</v>
      </c>
      <c r="K855" s="14" t="str">
        <f t="array" ref="K855">IFERROR(INDEX([1]Companies!$X:$X,MATCH(B855,[1]Companies!$A:$A,0)),"")</f>
        <v>Information Technology</v>
      </c>
      <c r="L855" s="14" t="str">
        <f>VLOOKUP(B855,[1]Companies!$A$1:$C$5243,1,FALSE)</f>
        <v>Jonga</v>
      </c>
      <c r="M855" s="15">
        <f t="shared" si="975"/>
        <v>0.9</v>
      </c>
      <c r="N855" s="10" t="str">
        <f t="shared" si="976"/>
        <v>43441Jonga45000</v>
      </c>
      <c r="O855" s="14" t="str">
        <f t="shared" si="1017"/>
        <v/>
      </c>
      <c r="P855" s="14">
        <f t="shared" si="978"/>
        <v>1</v>
      </c>
      <c r="Q855" s="14">
        <f t="array" ref="Q855">IFERROR(INDEX([1]Companies!$D:$D,MATCH(B855,[1]Companies!$A:$A,0)),"")</f>
        <v>2015</v>
      </c>
      <c r="R855" s="17">
        <f t="shared" si="979"/>
        <v>152000</v>
      </c>
      <c r="S855" s="14">
        <f>VLOOKUP(I855,[1]Lookups!$V$3:$Y$197,4,FALSE)</f>
        <v>0</v>
      </c>
      <c r="T855" s="14" t="str">
        <f>VLOOKUP(E855,[1]Lookups!$H$3:$I$71,2,FALSE)</f>
        <v>1. Grant</v>
      </c>
      <c r="U855" s="14" t="str">
        <f>VLOOKUP(K855,[1]Lookups!$B$3:$C$142,2,FALSE)</f>
        <v>Other Technologies &amp; Information Technology</v>
      </c>
      <c r="V855" s="14">
        <f t="shared" si="921"/>
        <v>2018</v>
      </c>
      <c r="W855" s="14">
        <f t="shared" si="922"/>
        <v>12</v>
      </c>
      <c r="X855" s="14">
        <f>VLOOKUP(W855,[1]Lookups!$P$3:$S$15,2,FALSE)</f>
        <v>4</v>
      </c>
      <c r="Y855" s="16">
        <f>VLOOKUP(W855,[1]Lookups!$P$3:$U$15,3,FALSE)</f>
        <v>2</v>
      </c>
      <c r="Z855" s="16">
        <f t="shared" si="923"/>
        <v>1</v>
      </c>
      <c r="AA855" s="16" t="str">
        <f t="shared" ca="1" si="1109"/>
        <v>Axa Insurance Morocco</v>
      </c>
      <c r="AB855" s="16">
        <f t="shared" si="1109"/>
        <v>0</v>
      </c>
      <c r="AC855" s="16">
        <f t="shared" si="1109"/>
        <v>0</v>
      </c>
      <c r="AD855" s="16">
        <f t="shared" si="1109"/>
        <v>0</v>
      </c>
      <c r="AE855" s="16">
        <f t="shared" si="1109"/>
        <v>0</v>
      </c>
      <c r="AF855" s="16">
        <f t="shared" si="1109"/>
        <v>0</v>
      </c>
      <c r="AG855" s="16">
        <f t="shared" si="1109"/>
        <v>0</v>
      </c>
      <c r="AH855" s="16">
        <f t="shared" si="1109"/>
        <v>0</v>
      </c>
      <c r="AI855" s="16">
        <f t="shared" si="1109"/>
        <v>0</v>
      </c>
      <c r="AJ855" s="16">
        <f t="shared" si="1109"/>
        <v>0</v>
      </c>
      <c r="AK855" s="16">
        <f t="shared" si="1109"/>
        <v>0</v>
      </c>
      <c r="AL855" s="16">
        <f t="shared" si="1109"/>
        <v>0</v>
      </c>
      <c r="AM855" s="16">
        <f t="shared" si="1109"/>
        <v>0</v>
      </c>
      <c r="AN855" s="16">
        <f t="shared" si="1109"/>
        <v>0</v>
      </c>
      <c r="AO855" s="16">
        <f t="shared" si="1109"/>
        <v>0</v>
      </c>
      <c r="AP855" s="10"/>
      <c r="AQ855" s="10"/>
      <c r="AR855" s="10"/>
      <c r="AS855" s="10" t="str">
        <f t="shared" ref="AS855" ca="1" si="1121">IFERROR(__xludf.DUMMYFUNCTION("split(F723,"","",true,true)"),"Axa Insurance Morocco")</f>
        <v>Axa Insurance Morocco</v>
      </c>
      <c r="AT855" s="10"/>
      <c r="AU855" s="10"/>
      <c r="AV855" s="10"/>
      <c r="AW855" s="10"/>
      <c r="AX855" s="10"/>
      <c r="AY855" s="10"/>
      <c r="AZ855" s="10"/>
      <c r="BA855" s="10"/>
      <c r="BB855" s="10"/>
      <c r="BC855" s="10"/>
      <c r="BD855" s="10"/>
      <c r="BE855" s="10"/>
      <c r="BF855" s="10"/>
      <c r="BG855" s="10"/>
      <c r="BH855" s="10"/>
      <c r="BI855" s="10"/>
      <c r="BJ855" s="10"/>
      <c r="BK855" s="10"/>
      <c r="BM855" s="10"/>
    </row>
    <row r="856" spans="1:65" ht="12.75">
      <c r="A856" s="18">
        <v>43441</v>
      </c>
      <c r="B856" s="14" t="s">
        <v>1842</v>
      </c>
      <c r="C856" s="19">
        <v>41000</v>
      </c>
      <c r="D856" s="19"/>
      <c r="E856" s="14" t="s">
        <v>55</v>
      </c>
      <c r="F856" s="14" t="s">
        <v>1838</v>
      </c>
      <c r="G856" s="27" t="s">
        <v>1839</v>
      </c>
      <c r="H856" s="14" t="str">
        <f t="array" ref="H856">IFERROR(INDEX([1]Companies!$G:$G,MATCH(B856,[1]Companies!$A:$A,0)),"")</f>
        <v>South Africa</v>
      </c>
      <c r="I856" s="14" t="str">
        <f t="shared" si="974"/>
        <v>South Africa</v>
      </c>
      <c r="J856" s="14" t="str">
        <f t="array" ref="J856">IFERROR(INDEX([1]Companies!$Y:$Y,MATCH(B856,[1]Companies!$A:$A,0)),"")</f>
        <v>Health Care</v>
      </c>
      <c r="K856" s="14" t="str">
        <f t="array" ref="K856">IFERROR(INDEX([1]Companies!$X:$X,MATCH(B856,[1]Companies!$A:$A,0)),"")</f>
        <v>Healthcare &amp; Pharma</v>
      </c>
      <c r="L856" s="14" t="str">
        <f>VLOOKUP(B856,[1]Companies!$A$1:$C$5243,1,FALSE)</f>
        <v>Attri Orthopaedics</v>
      </c>
      <c r="M856" s="15">
        <f t="shared" si="975"/>
        <v>0.9</v>
      </c>
      <c r="N856" s="10" t="str">
        <f t="shared" si="976"/>
        <v>43441ATTRI Orthopaedics41000</v>
      </c>
      <c r="O856" s="14" t="str">
        <f t="shared" si="1017"/>
        <v/>
      </c>
      <c r="P856" s="14">
        <f t="shared" si="978"/>
        <v>1</v>
      </c>
      <c r="Q856" s="14">
        <f t="array" ref="Q856">IFERROR(INDEX([1]Companies!$D:$D,MATCH(B856,[1]Companies!$A:$A,0)),"")</f>
        <v>2012</v>
      </c>
      <c r="R856" s="17">
        <f t="shared" si="979"/>
        <v>41000</v>
      </c>
      <c r="S856" s="14">
        <f>VLOOKUP(I856,[1]Lookups!$V$3:$Y$197,4,FALSE)</f>
        <v>0</v>
      </c>
      <c r="T856" s="14" t="str">
        <f>VLOOKUP(E856,[1]Lookups!$H$3:$I$71,2,FALSE)</f>
        <v>1. Grant</v>
      </c>
      <c r="U856" s="14" t="str">
        <f>VLOOKUP(K856,[1]Lookups!$B$3:$C$142,2,FALSE)</f>
        <v>Health &amp; Pharmaceuticals</v>
      </c>
      <c r="V856" s="14">
        <f t="shared" si="921"/>
        <v>2018</v>
      </c>
      <c r="W856" s="14">
        <f t="shared" si="922"/>
        <v>12</v>
      </c>
      <c r="X856" s="14">
        <f>VLOOKUP(W856,[1]Lookups!$P$3:$S$15,2,FALSE)</f>
        <v>4</v>
      </c>
      <c r="Y856" s="16">
        <f>VLOOKUP(W856,[1]Lookups!$P$3:$U$15,3,FALSE)</f>
        <v>2</v>
      </c>
      <c r="Z856" s="16">
        <f t="shared" si="923"/>
        <v>1</v>
      </c>
      <c r="AA856" s="16" t="str">
        <f t="shared" ca="1" si="1109"/>
        <v>Axa Insurance Morocco</v>
      </c>
      <c r="AB856" s="16">
        <f t="shared" si="1109"/>
        <v>0</v>
      </c>
      <c r="AC856" s="16">
        <f t="shared" si="1109"/>
        <v>0</v>
      </c>
      <c r="AD856" s="16">
        <f t="shared" si="1109"/>
        <v>0</v>
      </c>
      <c r="AE856" s="16">
        <f t="shared" si="1109"/>
        <v>0</v>
      </c>
      <c r="AF856" s="16">
        <f t="shared" si="1109"/>
        <v>0</v>
      </c>
      <c r="AG856" s="16">
        <f t="shared" si="1109"/>
        <v>0</v>
      </c>
      <c r="AH856" s="16">
        <f t="shared" si="1109"/>
        <v>0</v>
      </c>
      <c r="AI856" s="16">
        <f t="shared" si="1109"/>
        <v>0</v>
      </c>
      <c r="AJ856" s="16">
        <f t="shared" si="1109"/>
        <v>0</v>
      </c>
      <c r="AK856" s="16">
        <f t="shared" si="1109"/>
        <v>0</v>
      </c>
      <c r="AL856" s="16">
        <f t="shared" si="1109"/>
        <v>0</v>
      </c>
      <c r="AM856" s="16">
        <f t="shared" si="1109"/>
        <v>0</v>
      </c>
      <c r="AN856" s="16">
        <f t="shared" si="1109"/>
        <v>0</v>
      </c>
      <c r="AO856" s="16">
        <f t="shared" si="1109"/>
        <v>0</v>
      </c>
      <c r="AP856" s="10"/>
      <c r="AQ856" s="10"/>
      <c r="AR856" s="10"/>
      <c r="AS856" s="10" t="str">
        <f t="shared" ref="AS856" ca="1" si="1122">IFERROR(__xludf.DUMMYFUNCTION("split(F723,"","",true,true)"),"Axa Insurance Morocco")</f>
        <v>Axa Insurance Morocco</v>
      </c>
      <c r="AT856" s="10"/>
      <c r="AU856" s="10"/>
      <c r="AV856" s="10"/>
      <c r="AW856" s="10"/>
      <c r="AX856" s="10"/>
      <c r="AY856" s="10"/>
      <c r="AZ856" s="10"/>
      <c r="BA856" s="10"/>
      <c r="BB856" s="10"/>
      <c r="BC856" s="10"/>
      <c r="BD856" s="10"/>
      <c r="BE856" s="10"/>
      <c r="BF856" s="10"/>
      <c r="BG856" s="10"/>
      <c r="BH856" s="10"/>
      <c r="BI856" s="10"/>
      <c r="BJ856" s="10"/>
      <c r="BK856" s="10"/>
      <c r="BM856" s="10"/>
    </row>
    <row r="857" spans="1:65" ht="12.75">
      <c r="A857" s="18">
        <v>43443</v>
      </c>
      <c r="B857" s="14" t="s">
        <v>1843</v>
      </c>
      <c r="C857" s="19" t="s">
        <v>49</v>
      </c>
      <c r="D857" s="19"/>
      <c r="E857" s="14" t="s">
        <v>45</v>
      </c>
      <c r="F857" s="14" t="s">
        <v>1844</v>
      </c>
      <c r="G857" s="27" t="s">
        <v>1845</v>
      </c>
      <c r="H857" s="14" t="str">
        <f t="array" ref="H857">IFERROR(INDEX([1]Companies!$G:$G,MATCH(B857,[1]Companies!$A:$A,0)),"")</f>
        <v>Egypt</v>
      </c>
      <c r="I857" s="14" t="str">
        <f t="shared" si="974"/>
        <v>Egypt</v>
      </c>
      <c r="J857" s="14" t="str">
        <f t="array" ref="J857">IFERROR(INDEX([1]Companies!$Y:$Y,MATCH(B857,[1]Companies!$A:$A,0)),"")</f>
        <v>Career Planning, Education, Recruiting, Social Media, Sports</v>
      </c>
      <c r="K857" s="14" t="str">
        <f t="array" ref="K857">IFERROR(INDEX([1]Companies!$X:$X,MATCH(B857,[1]Companies!$A:$A,0)),"")</f>
        <v>Nonprofit Organization Management</v>
      </c>
      <c r="L857" s="14" t="str">
        <f>VLOOKUP(B857,[1]Companies!$A$1:$C$5243,1,FALSE)</f>
        <v>RiseUp</v>
      </c>
      <c r="M857" s="15">
        <f t="shared" si="975"/>
        <v>0.9</v>
      </c>
      <c r="N857" s="10" t="str">
        <f t="shared" si="976"/>
        <v>43443RiseUpUndisclosed</v>
      </c>
      <c r="O857" s="14" t="str">
        <f t="shared" si="1017"/>
        <v>Duplicated</v>
      </c>
      <c r="P857" s="14">
        <f t="shared" si="978"/>
        <v>0</v>
      </c>
      <c r="Q857" s="14">
        <f t="array" ref="Q857">IFERROR(INDEX([1]Companies!$D:$D,MATCH(B857,[1]Companies!$A:$A,0)),"")</f>
        <v>2014</v>
      </c>
      <c r="R857" s="17">
        <f t="shared" si="979"/>
        <v>0</v>
      </c>
      <c r="S857" s="14">
        <f>VLOOKUP(I857,[1]Lookups!$V$3:$Y$197,4,FALSE)</f>
        <v>0</v>
      </c>
      <c r="T857" s="14" t="str">
        <f>VLOOKUP(E857,[1]Lookups!$H$3:$I$71,2,FALSE)</f>
        <v>2. Seed</v>
      </c>
      <c r="U857" s="14" t="e">
        <f>VLOOKUP(K857,[1]Lookups!$B$3:$C$142,2,FALSE)</f>
        <v>#N/A</v>
      </c>
      <c r="V857" s="14">
        <f t="shared" si="921"/>
        <v>2018</v>
      </c>
      <c r="W857" s="14">
        <f t="shared" si="922"/>
        <v>12</v>
      </c>
      <c r="X857" s="14">
        <f>VLOOKUP(W857,[1]Lookups!$P$3:$S$15,2,FALSE)</f>
        <v>4</v>
      </c>
      <c r="Y857" s="16">
        <f>VLOOKUP(W857,[1]Lookups!$P$3:$U$15,3,FALSE)</f>
        <v>2</v>
      </c>
      <c r="Z857" s="16">
        <f t="shared" si="923"/>
        <v>4</v>
      </c>
      <c r="AA857" s="16" t="str">
        <f t="shared" ca="1" si="1109"/>
        <v>Axa Insurance Morocco</v>
      </c>
      <c r="AB857" s="16" t="str">
        <f t="shared" ca="1" si="1109"/>
        <v xml:space="preserve"> 500 Startups</v>
      </c>
      <c r="AC857" s="16" t="str">
        <f t="shared" ca="1" si="1109"/>
        <v xml:space="preserve"> Kamelizer</v>
      </c>
      <c r="AD857" s="16" t="str">
        <f t="shared" ca="1" si="1109"/>
        <v xml:space="preserve"> Enara Capital</v>
      </c>
      <c r="AE857" s="16">
        <f t="shared" si="1109"/>
        <v>0</v>
      </c>
      <c r="AF857" s="16">
        <f t="shared" si="1109"/>
        <v>0</v>
      </c>
      <c r="AG857" s="16">
        <f t="shared" si="1109"/>
        <v>0</v>
      </c>
      <c r="AH857" s="16">
        <f t="shared" si="1109"/>
        <v>0</v>
      </c>
      <c r="AI857" s="16">
        <f t="shared" si="1109"/>
        <v>0</v>
      </c>
      <c r="AJ857" s="16">
        <f t="shared" si="1109"/>
        <v>0</v>
      </c>
      <c r="AK857" s="16">
        <f t="shared" si="1109"/>
        <v>0</v>
      </c>
      <c r="AL857" s="16">
        <f t="shared" si="1109"/>
        <v>0</v>
      </c>
      <c r="AM857" s="16">
        <f t="shared" si="1109"/>
        <v>0</v>
      </c>
      <c r="AN857" s="16">
        <f t="shared" si="1109"/>
        <v>0</v>
      </c>
      <c r="AO857" s="16">
        <f t="shared" si="1109"/>
        <v>0</v>
      </c>
      <c r="AP857" s="10"/>
      <c r="AQ857" s="10"/>
      <c r="AR857" s="10"/>
      <c r="AS857" s="10" t="str">
        <f t="shared" ref="AS857" ca="1" si="1123">IFERROR(__xludf.DUMMYFUNCTION("split(F723,"","",true,true)"),"Axa Insurance Morocco")</f>
        <v>Axa Insurance Morocco</v>
      </c>
      <c r="AT857" s="10" t="str">
        <f ca="1">IFERROR(__xludf.DUMMYFUNCTION("""COMPUTED_VALUE""")," 500 Startups")</f>
        <v xml:space="preserve"> 500 Startups</v>
      </c>
      <c r="AU857" s="10" t="str">
        <f ca="1">IFERROR(__xludf.DUMMYFUNCTION("""COMPUTED_VALUE""")," Kamelizer")</f>
        <v xml:space="preserve"> Kamelizer</v>
      </c>
      <c r="AV857" s="10" t="str">
        <f ca="1">IFERROR(__xludf.DUMMYFUNCTION("""COMPUTED_VALUE""")," Enara Capital")</f>
        <v xml:space="preserve"> Enara Capital</v>
      </c>
      <c r="AW857" s="10"/>
      <c r="AX857" s="10"/>
      <c r="AY857" s="10"/>
      <c r="AZ857" s="10"/>
      <c r="BA857" s="10"/>
      <c r="BB857" s="10"/>
      <c r="BC857" s="10"/>
      <c r="BD857" s="10"/>
      <c r="BE857" s="10"/>
      <c r="BF857" s="10"/>
      <c r="BG857" s="10"/>
      <c r="BH857" s="10"/>
      <c r="BI857" s="10"/>
      <c r="BJ857" s="10"/>
      <c r="BK857" s="10"/>
      <c r="BM857" s="10"/>
    </row>
    <row r="858" spans="1:65" ht="12.75">
      <c r="A858" s="9">
        <v>43443</v>
      </c>
      <c r="B858" s="10" t="s">
        <v>1843</v>
      </c>
      <c r="C858" s="11" t="s">
        <v>49</v>
      </c>
      <c r="D858" s="12"/>
      <c r="E858" s="10" t="s">
        <v>45</v>
      </c>
      <c r="F858" s="10" t="s">
        <v>1846</v>
      </c>
      <c r="G858" s="13" t="s">
        <v>1845</v>
      </c>
      <c r="H858" s="14" t="str">
        <f t="array" ref="H858">IFERROR(INDEX([1]Companies!$G:$G,MATCH(B858,[1]Companies!$A:$A,0)),"")</f>
        <v>Egypt</v>
      </c>
      <c r="I858" s="14" t="str">
        <f t="shared" si="974"/>
        <v>Egypt</v>
      </c>
      <c r="J858" s="14" t="str">
        <f t="array" ref="J858">IFERROR(INDEX([1]Companies!$Y:$Y,MATCH(B858,[1]Companies!$A:$A,0)),"")</f>
        <v>Career Planning, Education, Recruiting, Social Media, Sports</v>
      </c>
      <c r="K858" s="14" t="str">
        <f t="array" ref="K858">IFERROR(INDEX([1]Companies!$X:$X,MATCH(B858,[1]Companies!$A:$A,0)),"")</f>
        <v>Nonprofit Organization Management</v>
      </c>
      <c r="L858" s="14" t="str">
        <f>VLOOKUP(B858,[1]Companies!$A$1:$C$5243,1,FALSE)</f>
        <v>RiseUp</v>
      </c>
      <c r="M858" s="15">
        <f t="shared" si="975"/>
        <v>0.9</v>
      </c>
      <c r="N858" s="10" t="str">
        <f t="shared" si="976"/>
        <v>43443RiseUpUndisclosed</v>
      </c>
      <c r="O858" s="14" t="str">
        <f t="shared" si="1017"/>
        <v>Duplicated</v>
      </c>
      <c r="P858" s="14">
        <f t="shared" si="978"/>
        <v>0</v>
      </c>
      <c r="Q858" s="14">
        <f t="array" ref="Q858">IFERROR(INDEX([1]Companies!$D:$D,MATCH(B858,[1]Companies!$A:$A,0)),"")</f>
        <v>2014</v>
      </c>
      <c r="R858" s="17">
        <f t="shared" si="979"/>
        <v>0</v>
      </c>
      <c r="S858" s="14">
        <f>VLOOKUP(I858,[1]Lookups!$V$3:$Y$197,4,FALSE)</f>
        <v>0</v>
      </c>
      <c r="T858" s="14" t="str">
        <f>VLOOKUP(E858,[1]Lookups!$H$3:$I$71,2,FALSE)</f>
        <v>2. Seed</v>
      </c>
      <c r="U858" s="14" t="e">
        <f>VLOOKUP(K858,[1]Lookups!$B$3:$C$142,2,FALSE)</f>
        <v>#N/A</v>
      </c>
      <c r="V858" s="14">
        <f t="shared" si="921"/>
        <v>2018</v>
      </c>
      <c r="W858" s="14">
        <f t="shared" si="922"/>
        <v>12</v>
      </c>
      <c r="X858" s="14">
        <f>VLOOKUP(W858,[1]Lookups!$P$3:$S$15,2,FALSE)</f>
        <v>4</v>
      </c>
      <c r="Y858" s="16">
        <f>VLOOKUP(W858,[1]Lookups!$P$3:$U$15,3,FALSE)</f>
        <v>2</v>
      </c>
      <c r="Z858" s="16">
        <f t="shared" si="923"/>
        <v>4</v>
      </c>
      <c r="AA858" s="16" t="str">
        <f t="shared" ca="1" si="1109"/>
        <v>Axa Insurance Morocco</v>
      </c>
      <c r="AB858" s="16" t="str">
        <f t="shared" ca="1" si="1109"/>
        <v xml:space="preserve"> 500 Startups</v>
      </c>
      <c r="AC858" s="16" t="str">
        <f t="shared" ca="1" si="1109"/>
        <v xml:space="preserve"> Enara Capital</v>
      </c>
      <c r="AD858" s="16" t="str">
        <f t="shared" ca="1" si="1109"/>
        <v xml:space="preserve"> Kamelizer</v>
      </c>
      <c r="AE858" s="16">
        <f t="shared" si="1109"/>
        <v>0</v>
      </c>
      <c r="AF858" s="16">
        <f t="shared" si="1109"/>
        <v>0</v>
      </c>
      <c r="AG858" s="16">
        <f t="shared" si="1109"/>
        <v>0</v>
      </c>
      <c r="AH858" s="16">
        <f t="shared" si="1109"/>
        <v>0</v>
      </c>
      <c r="AI858" s="16">
        <f t="shared" si="1109"/>
        <v>0</v>
      </c>
      <c r="AJ858" s="16">
        <f t="shared" si="1109"/>
        <v>0</v>
      </c>
      <c r="AK858" s="16">
        <f t="shared" si="1109"/>
        <v>0</v>
      </c>
      <c r="AL858" s="16">
        <f t="shared" si="1109"/>
        <v>0</v>
      </c>
      <c r="AM858" s="16">
        <f t="shared" si="1109"/>
        <v>0</v>
      </c>
      <c r="AN858" s="16">
        <f t="shared" si="1109"/>
        <v>0</v>
      </c>
      <c r="AO858" s="16">
        <f t="shared" si="1109"/>
        <v>0</v>
      </c>
      <c r="AP858" s="10"/>
      <c r="AQ858" s="10"/>
      <c r="AR858" s="10"/>
      <c r="AS858" s="10" t="str">
        <f t="shared" ref="AS858" ca="1" si="1124">IFERROR(__xludf.DUMMYFUNCTION("split(F723,"","",true,true)"),"Axa Insurance Morocco")</f>
        <v>Axa Insurance Morocco</v>
      </c>
      <c r="AT858" s="10" t="str">
        <f ca="1">IFERROR(__xludf.DUMMYFUNCTION("""COMPUTED_VALUE""")," 500 Startups")</f>
        <v xml:space="preserve"> 500 Startups</v>
      </c>
      <c r="AU858" s="10" t="str">
        <f ca="1">IFERROR(__xludf.DUMMYFUNCTION("""COMPUTED_VALUE""")," Enara Capital")</f>
        <v xml:space="preserve"> Enara Capital</v>
      </c>
      <c r="AV858" s="10" t="str">
        <f ca="1">IFERROR(__xludf.DUMMYFUNCTION("""COMPUTED_VALUE""")," Kamelizer")</f>
        <v xml:space="preserve"> Kamelizer</v>
      </c>
      <c r="AW858" s="10"/>
      <c r="AX858" s="10"/>
      <c r="AY858" s="10"/>
      <c r="AZ858" s="10"/>
      <c r="BA858" s="10"/>
      <c r="BB858" s="10"/>
      <c r="BC858" s="10"/>
      <c r="BD858" s="10"/>
      <c r="BE858" s="10"/>
      <c r="BF858" s="10"/>
      <c r="BG858" s="10"/>
      <c r="BH858" s="10"/>
      <c r="BI858" s="10"/>
      <c r="BJ858" s="10"/>
      <c r="BK858" s="10"/>
      <c r="BM858" s="10"/>
    </row>
    <row r="859" spans="1:65" ht="12.75">
      <c r="A859" s="9">
        <v>43444</v>
      </c>
      <c r="B859" s="10" t="s">
        <v>191</v>
      </c>
      <c r="C859" s="11">
        <v>1000000</v>
      </c>
      <c r="D859" s="12"/>
      <c r="E859" s="10" t="s">
        <v>45</v>
      </c>
      <c r="F859" s="10" t="s">
        <v>1847</v>
      </c>
      <c r="G859" s="13" t="s">
        <v>1848</v>
      </c>
      <c r="H859" s="14" t="str">
        <f t="array" ref="H859">IFERROR(INDEX([1]Companies!$G:$G,MATCH(B859,[1]Companies!$A:$A,0)),"")</f>
        <v>Egypt</v>
      </c>
      <c r="I859" s="14" t="str">
        <f t="shared" si="974"/>
        <v>Egypt</v>
      </c>
      <c r="J859" s="14" t="str">
        <f t="array" ref="J859">IFERROR(INDEX([1]Companies!$Y:$Y,MATCH(B859,[1]Companies!$A:$A,0)),"")</f>
        <v>Biopharma, Biotechnology, Life Science</v>
      </c>
      <c r="K859" s="14" t="str">
        <f t="array" ref="K859">IFERROR(INDEX([1]Companies!$X:$X,MATCH(B859,[1]Companies!$A:$A,0)),"")</f>
        <v>Healthcare &amp; Pharma</v>
      </c>
      <c r="L859" s="14" t="str">
        <f>VLOOKUP(B859,[1]Companies!$A$1:$C$5243,1,FALSE)</f>
        <v>Nawah Scientific</v>
      </c>
      <c r="M859" s="15">
        <f t="shared" si="975"/>
        <v>0.9</v>
      </c>
      <c r="N859" s="10" t="str">
        <f t="shared" si="976"/>
        <v>43444Nawah Scientific1000000</v>
      </c>
      <c r="O859" s="14" t="str">
        <f t="shared" si="1017"/>
        <v/>
      </c>
      <c r="P859" s="14">
        <f t="shared" si="978"/>
        <v>1</v>
      </c>
      <c r="Q859" s="14">
        <f t="array" ref="Q859">IFERROR(INDEX([1]Companies!$D:$D,MATCH(B859,[1]Companies!$A:$A,0)),"")</f>
        <v>2014</v>
      </c>
      <c r="R859" s="17">
        <f t="shared" si="979"/>
        <v>2150000</v>
      </c>
      <c r="S859" s="14">
        <f>VLOOKUP(I859,[1]Lookups!$V$3:$Y$197,4,FALSE)</f>
        <v>0</v>
      </c>
      <c r="T859" s="14" t="str">
        <f>VLOOKUP(E859,[1]Lookups!$H$3:$I$71,2,FALSE)</f>
        <v>2. Seed</v>
      </c>
      <c r="U859" s="14" t="str">
        <f>VLOOKUP(K859,[1]Lookups!$B$3:$C$142,2,FALSE)</f>
        <v>Health &amp; Pharmaceuticals</v>
      </c>
      <c r="V859" s="14">
        <f t="shared" si="921"/>
        <v>2018</v>
      </c>
      <c r="W859" s="14">
        <f t="shared" si="922"/>
        <v>12</v>
      </c>
      <c r="X859" s="14">
        <f>VLOOKUP(W859,[1]Lookups!$P$3:$S$15,2,FALSE)</f>
        <v>4</v>
      </c>
      <c r="Y859" s="16">
        <f>VLOOKUP(W859,[1]Lookups!$P$3:$U$15,3,FALSE)</f>
        <v>2</v>
      </c>
      <c r="Z859" s="16">
        <f t="shared" si="923"/>
        <v>5</v>
      </c>
      <c r="AA859" s="16" t="str">
        <f t="shared" ca="1" si="1109"/>
        <v>Axa Insurance Morocco</v>
      </c>
      <c r="AB859" s="16" t="str">
        <f t="shared" ca="1" si="1109"/>
        <v xml:space="preserve"> Egypt Ventures</v>
      </c>
      <c r="AC859" s="16" t="str">
        <f t="shared" ca="1" si="1109"/>
        <v xml:space="preserve"> 500 Startups</v>
      </c>
      <c r="AD859" s="16" t="str">
        <f t="shared" ca="1" si="1109"/>
        <v xml:space="preserve"> Endure Capital</v>
      </c>
      <c r="AE859" s="16" t="str">
        <f t="shared" ca="1" si="1109"/>
        <v xml:space="preserve"> Alex Angels</v>
      </c>
      <c r="AF859" s="16">
        <f t="shared" si="1109"/>
        <v>0</v>
      </c>
      <c r="AG859" s="16">
        <f t="shared" si="1109"/>
        <v>0</v>
      </c>
      <c r="AH859" s="16">
        <f t="shared" si="1109"/>
        <v>0</v>
      </c>
      <c r="AI859" s="16">
        <f t="shared" si="1109"/>
        <v>0</v>
      </c>
      <c r="AJ859" s="16">
        <f t="shared" si="1109"/>
        <v>0</v>
      </c>
      <c r="AK859" s="16">
        <f t="shared" si="1109"/>
        <v>0</v>
      </c>
      <c r="AL859" s="16">
        <f t="shared" si="1109"/>
        <v>0</v>
      </c>
      <c r="AM859" s="16">
        <f t="shared" si="1109"/>
        <v>0</v>
      </c>
      <c r="AN859" s="16">
        <f t="shared" si="1109"/>
        <v>0</v>
      </c>
      <c r="AO859" s="16">
        <f t="shared" si="1109"/>
        <v>0</v>
      </c>
      <c r="AP859" s="10"/>
      <c r="AQ859" s="10"/>
      <c r="AR859" s="10"/>
      <c r="AS859" s="10" t="str">
        <f t="shared" ref="AS859" ca="1" si="1125">IFERROR(__xludf.DUMMYFUNCTION("split(F723,"","",true,true)"),"Axa Insurance Morocco")</f>
        <v>Axa Insurance Morocco</v>
      </c>
      <c r="AT859" s="10" t="str">
        <f ca="1">IFERROR(__xludf.DUMMYFUNCTION("""COMPUTED_VALUE""")," Egypt Ventures")</f>
        <v xml:space="preserve"> Egypt Ventures</v>
      </c>
      <c r="AU859" s="10" t="str">
        <f ca="1">IFERROR(__xludf.DUMMYFUNCTION("""COMPUTED_VALUE""")," 500 Startups")</f>
        <v xml:space="preserve"> 500 Startups</v>
      </c>
      <c r="AV859" s="10" t="str">
        <f ca="1">IFERROR(__xludf.DUMMYFUNCTION("""COMPUTED_VALUE""")," Endure Capital")</f>
        <v xml:space="preserve"> Endure Capital</v>
      </c>
      <c r="AW859" s="10" t="str">
        <f ca="1">IFERROR(__xludf.DUMMYFUNCTION("""COMPUTED_VALUE""")," Alex Angels")</f>
        <v xml:space="preserve"> Alex Angels</v>
      </c>
      <c r="AX859" s="10"/>
      <c r="AY859" s="10"/>
      <c r="AZ859" s="10"/>
      <c r="BA859" s="10"/>
      <c r="BB859" s="10"/>
      <c r="BC859" s="10"/>
      <c r="BD859" s="10"/>
      <c r="BE859" s="10"/>
      <c r="BF859" s="10"/>
      <c r="BG859" s="10"/>
      <c r="BH859" s="10"/>
      <c r="BI859" s="10"/>
      <c r="BJ859" s="10"/>
      <c r="BK859" s="10"/>
      <c r="BM859" s="10"/>
    </row>
    <row r="860" spans="1:65" ht="12.75">
      <c r="A860" s="18">
        <v>43444</v>
      </c>
      <c r="B860" s="14" t="s">
        <v>1849</v>
      </c>
      <c r="C860" s="19">
        <v>100000</v>
      </c>
      <c r="D860" s="19"/>
      <c r="E860" s="14" t="s">
        <v>55</v>
      </c>
      <c r="F860" s="14" t="s">
        <v>1850</v>
      </c>
      <c r="G860" s="27" t="s">
        <v>1851</v>
      </c>
      <c r="H860" s="14" t="str">
        <f t="array" ref="H860">IFERROR(INDEX([1]Companies!$G:$G,MATCH(B860,[1]Companies!$A:$A,0)),"")</f>
        <v>Tunisia</v>
      </c>
      <c r="I860" s="14" t="str">
        <f t="shared" si="974"/>
        <v>Tunisia</v>
      </c>
      <c r="J860" s="14" t="str">
        <f t="array" ref="J860">IFERROR(INDEX([1]Companies!$Y:$Y,MATCH(B860,[1]Companies!$A:$A,0)),"")</f>
        <v>Open source, collaboration tool, Social network, CRM, and IT security</v>
      </c>
      <c r="K860" s="14" t="str">
        <f t="array" ref="K860">IFERROR(INDEX([1]Companies!$X:$X,MATCH(B860,[1]Companies!$A:$A,0)),"")</f>
        <v>Information Technology</v>
      </c>
      <c r="L860" s="14" t="str">
        <f>VLOOKUP(B860,[1]Companies!$A$1:$C$5243,1,FALSE)</f>
        <v>Utopixar</v>
      </c>
      <c r="M860" s="15">
        <f t="shared" si="975"/>
        <v>0.9</v>
      </c>
      <c r="N860" s="10" t="str">
        <f t="shared" si="976"/>
        <v>43444Utopixar100000</v>
      </c>
      <c r="O860" s="14" t="str">
        <f t="shared" si="1017"/>
        <v/>
      </c>
      <c r="P860" s="14">
        <f t="shared" si="978"/>
        <v>1</v>
      </c>
      <c r="Q860" s="14">
        <f t="array" ref="Q860">IFERROR(INDEX([1]Companies!$D:$D,MATCH(B860,[1]Companies!$A:$A,0)),"")</f>
        <v>2013</v>
      </c>
      <c r="R860" s="17">
        <f t="shared" si="979"/>
        <v>100000</v>
      </c>
      <c r="S860" s="14">
        <f>VLOOKUP(I860,[1]Lookups!$V$3:$Y$197,4,FALSE)</f>
        <v>0</v>
      </c>
      <c r="T860" s="14" t="str">
        <f>VLOOKUP(E860,[1]Lookups!$H$3:$I$71,2,FALSE)</f>
        <v>1. Grant</v>
      </c>
      <c r="U860" s="14" t="str">
        <f>VLOOKUP(K860,[1]Lookups!$B$3:$C$142,2,FALSE)</f>
        <v>Other Technologies &amp; Information Technology</v>
      </c>
      <c r="V860" s="14">
        <f t="shared" si="921"/>
        <v>2018</v>
      </c>
      <c r="W860" s="14">
        <f t="shared" si="922"/>
        <v>12</v>
      </c>
      <c r="X860" s="14">
        <f>VLOOKUP(W860,[1]Lookups!$P$3:$S$15,2,FALSE)</f>
        <v>4</v>
      </c>
      <c r="Y860" s="16">
        <f>VLOOKUP(W860,[1]Lookups!$P$3:$U$15,3,FALSE)</f>
        <v>2</v>
      </c>
      <c r="Z860" s="16">
        <f t="shared" si="923"/>
        <v>1</v>
      </c>
      <c r="AA860" s="16" t="str">
        <f t="shared" ref="AA860:AO875" ca="1" si="1126">AS860</f>
        <v>Axa Insurance Morocco</v>
      </c>
      <c r="AB860" s="16">
        <f t="shared" si="1126"/>
        <v>0</v>
      </c>
      <c r="AC860" s="16">
        <f t="shared" si="1126"/>
        <v>0</v>
      </c>
      <c r="AD860" s="16">
        <f t="shared" si="1126"/>
        <v>0</v>
      </c>
      <c r="AE860" s="16">
        <f t="shared" si="1126"/>
        <v>0</v>
      </c>
      <c r="AF860" s="16">
        <f t="shared" si="1126"/>
        <v>0</v>
      </c>
      <c r="AG860" s="16">
        <f t="shared" si="1126"/>
        <v>0</v>
      </c>
      <c r="AH860" s="16">
        <f t="shared" si="1126"/>
        <v>0</v>
      </c>
      <c r="AI860" s="16">
        <f t="shared" si="1126"/>
        <v>0</v>
      </c>
      <c r="AJ860" s="16">
        <f t="shared" si="1126"/>
        <v>0</v>
      </c>
      <c r="AK860" s="16">
        <f t="shared" si="1126"/>
        <v>0</v>
      </c>
      <c r="AL860" s="16">
        <f t="shared" si="1126"/>
        <v>0</v>
      </c>
      <c r="AM860" s="16">
        <f t="shared" si="1126"/>
        <v>0</v>
      </c>
      <c r="AN860" s="16">
        <f t="shared" si="1126"/>
        <v>0</v>
      </c>
      <c r="AO860" s="16">
        <f t="shared" si="1126"/>
        <v>0</v>
      </c>
      <c r="AP860" s="10"/>
      <c r="AQ860" s="10"/>
      <c r="AR860" s="10"/>
      <c r="AS860" s="10" t="str">
        <f t="shared" ref="AS860:AS861" ca="1" si="1127">IFERROR(__xludf.DUMMYFUNCTION("split(F723,"","",true,true)"),"Axa Insurance Morocco")</f>
        <v>Axa Insurance Morocco</v>
      </c>
      <c r="AT860" s="10"/>
      <c r="AU860" s="10"/>
      <c r="AV860" s="10"/>
      <c r="AW860" s="10"/>
      <c r="AX860" s="10"/>
      <c r="AY860" s="10"/>
      <c r="AZ860" s="10"/>
      <c r="BA860" s="10"/>
      <c r="BB860" s="10"/>
      <c r="BC860" s="10"/>
      <c r="BD860" s="10"/>
      <c r="BE860" s="10"/>
      <c r="BF860" s="10"/>
      <c r="BG860" s="10"/>
      <c r="BH860" s="10"/>
      <c r="BI860" s="10"/>
      <c r="BJ860" s="10"/>
      <c r="BK860" s="10"/>
      <c r="BM860" s="10"/>
    </row>
    <row r="861" spans="1:65" ht="12.75">
      <c r="A861" s="9">
        <v>43444</v>
      </c>
      <c r="B861" s="10" t="s">
        <v>1852</v>
      </c>
      <c r="C861" s="11">
        <v>1000</v>
      </c>
      <c r="D861" s="12"/>
      <c r="E861" s="10" t="s">
        <v>234</v>
      </c>
      <c r="F861" s="10" t="s">
        <v>49</v>
      </c>
      <c r="G861" s="10" t="s">
        <v>1852</v>
      </c>
      <c r="H861" s="14"/>
      <c r="I861" s="14"/>
      <c r="J861" s="14"/>
      <c r="K861" s="14"/>
      <c r="L861" s="14"/>
      <c r="M861" s="15"/>
      <c r="N861" s="10"/>
      <c r="O861" s="14"/>
      <c r="P861" s="14"/>
      <c r="Q861" s="14"/>
      <c r="R861" s="14"/>
      <c r="S861" s="14"/>
      <c r="T861" s="14"/>
      <c r="U861" s="14"/>
      <c r="V861" s="14">
        <f t="shared" si="921"/>
        <v>2018</v>
      </c>
      <c r="W861" s="14">
        <f t="shared" si="922"/>
        <v>12</v>
      </c>
      <c r="X861" s="14">
        <f>VLOOKUP(W861,[1]Lookups!$P$3:$S$15,2,FALSE)</f>
        <v>4</v>
      </c>
      <c r="Y861" s="16">
        <f>VLOOKUP(W861,[1]Lookups!$P$3:$U$15,3,FALSE)</f>
        <v>2</v>
      </c>
      <c r="Z861" s="16">
        <f t="shared" si="923"/>
        <v>1</v>
      </c>
      <c r="AA861" s="16" t="str">
        <f t="shared" ca="1" si="1126"/>
        <v>Axa Insurance Morocco</v>
      </c>
      <c r="AB861" s="16">
        <f t="shared" si="1126"/>
        <v>0</v>
      </c>
      <c r="AC861" s="16">
        <f t="shared" si="1126"/>
        <v>0</v>
      </c>
      <c r="AD861" s="16">
        <f t="shared" si="1126"/>
        <v>0</v>
      </c>
      <c r="AE861" s="16">
        <f t="shared" si="1126"/>
        <v>0</v>
      </c>
      <c r="AF861" s="16">
        <f t="shared" si="1126"/>
        <v>0</v>
      </c>
      <c r="AG861" s="16">
        <f t="shared" si="1126"/>
        <v>0</v>
      </c>
      <c r="AH861" s="16">
        <f t="shared" si="1126"/>
        <v>0</v>
      </c>
      <c r="AI861" s="16">
        <f t="shared" si="1126"/>
        <v>0</v>
      </c>
      <c r="AJ861" s="16">
        <f t="shared" si="1126"/>
        <v>0</v>
      </c>
      <c r="AK861" s="16">
        <f t="shared" si="1126"/>
        <v>0</v>
      </c>
      <c r="AL861" s="16">
        <f t="shared" si="1126"/>
        <v>0</v>
      </c>
      <c r="AM861" s="16">
        <f t="shared" si="1126"/>
        <v>0</v>
      </c>
      <c r="AN861" s="16">
        <f t="shared" si="1126"/>
        <v>0</v>
      </c>
      <c r="AO861" s="16">
        <f t="shared" si="1126"/>
        <v>0</v>
      </c>
      <c r="AP861" s="10"/>
      <c r="AQ861" s="10"/>
      <c r="AR861" s="10"/>
      <c r="AS861" s="10" t="str">
        <f t="shared" ca="1" si="1127"/>
        <v>Axa Insurance Morocco</v>
      </c>
      <c r="AT861" s="10"/>
      <c r="AU861" s="10"/>
      <c r="AV861" s="10"/>
      <c r="AW861" s="10"/>
      <c r="AX861" s="10"/>
      <c r="AY861" s="10"/>
      <c r="AZ861" s="10"/>
      <c r="BA861" s="10"/>
      <c r="BB861" s="10"/>
      <c r="BC861" s="10"/>
      <c r="BD861" s="10"/>
      <c r="BE861" s="10"/>
      <c r="BF861" s="10"/>
      <c r="BG861" s="10"/>
      <c r="BH861" s="10"/>
      <c r="BI861" s="10"/>
      <c r="BJ861" s="10"/>
      <c r="BK861" s="10"/>
      <c r="BM861" s="10"/>
    </row>
    <row r="862" spans="1:65" ht="12.75">
      <c r="A862" s="18">
        <v>43445</v>
      </c>
      <c r="B862" s="14" t="s">
        <v>186</v>
      </c>
      <c r="C862" s="19">
        <v>32500000</v>
      </c>
      <c r="D862" s="19"/>
      <c r="E862" s="10" t="s">
        <v>91</v>
      </c>
      <c r="F862" s="14" t="s">
        <v>1853</v>
      </c>
      <c r="G862" s="27" t="s">
        <v>1854</v>
      </c>
      <c r="H862" s="14" t="str">
        <f t="array" ref="H862">IFERROR(INDEX([1]Companies!$G:$G,MATCH(B862,[1]Companies!$A:$A,0)),"")</f>
        <v>Tanzania</v>
      </c>
      <c r="I862" s="14" t="str">
        <f t="shared" ref="I862:I864" si="1128">IF(LEN(TRIM(H862))-LEN(SUBSTITUTE(TRIM(H862),",","")) &gt; 0,TRIM(RIGHT(H862,LEN(H862)-FIND(",",H862))),H862)</f>
        <v>Tanzania</v>
      </c>
      <c r="J862" s="14" t="str">
        <f t="array" ref="J862">IFERROR(INDEX([1]Companies!$Y:$Y,MATCH(B862,[1]Companies!$A:$A,0)),"")</f>
        <v>Electrical Distribution, Energy, Renewable Energy, Solar</v>
      </c>
      <c r="K862" s="14" t="str">
        <f t="array" ref="K862">IFERROR(INDEX([1]Companies!$X:$X,MATCH(B862,[1]Companies!$A:$A,0)),"")</f>
        <v>Energy &amp; Environment Resources</v>
      </c>
      <c r="L862" s="14" t="str">
        <f>VLOOKUP(B862,[1]Companies!$A$1:$C$5243,1,FALSE)</f>
        <v xml:space="preserve">Zola Electric </v>
      </c>
      <c r="M862" s="15">
        <f t="shared" ref="M862:M864" si="1129">COUNTA(B862:K862)/(COUNTBLANK(B862:K862) + COUNTA(B862:K862))</f>
        <v>0.9</v>
      </c>
      <c r="N862" s="10" t="str">
        <f t="shared" ref="N862:N864" si="1130">CONCATENATE(A862,B862,C862)</f>
        <v>43445Zola Electric 32500000</v>
      </c>
      <c r="O862" s="14" t="str">
        <f t="shared" ref="O862:O864" si="1131">IF(A862 = "","",IF(COUNTIF(N:N,CONCATENATE(A862,B862,C862))&gt;1,"Duplicated",""))</f>
        <v/>
      </c>
      <c r="P862" s="14">
        <f t="shared" ref="P862:P864" si="1132">IF(C862="Undisclosed",0,1)</f>
        <v>1</v>
      </c>
      <c r="Q862" s="14">
        <f t="array" ref="Q862">IFERROR(INDEX([1]Companies!$D:$D,MATCH(B862,[1]Companies!$A:$A,0)),"")</f>
        <v>2011</v>
      </c>
      <c r="R862" s="17">
        <f t="shared" ref="R862:R864" si="1133">SUMIF(B:B,B862,C:C)</f>
        <v>165500000</v>
      </c>
      <c r="S862" s="14">
        <f>VLOOKUP(I862,[1]Lookups!$V$3:$Y$197,4,FALSE)</f>
        <v>0</v>
      </c>
      <c r="T862" s="14" t="str">
        <f>VLOOKUP(E862,[1]Lookups!$H$3:$I$71,2,FALSE)</f>
        <v>5. Debt Financing</v>
      </c>
      <c r="U862" s="14" t="e">
        <f>VLOOKUP(K862,[1]Lookups!$B$3:$C$142,2,FALSE)</f>
        <v>#N/A</v>
      </c>
      <c r="V862" s="14">
        <f t="shared" si="921"/>
        <v>2018</v>
      </c>
      <c r="W862" s="14">
        <f t="shared" si="922"/>
        <v>12</v>
      </c>
      <c r="X862" s="14">
        <f>VLOOKUP(W862,[1]Lookups!$P$3:$S$15,2,FALSE)</f>
        <v>4</v>
      </c>
      <c r="Y862" s="16">
        <f>VLOOKUP(W862,[1]Lookups!$P$3:$U$15,3,FALSE)</f>
        <v>2</v>
      </c>
      <c r="Z862" s="16">
        <f t="shared" si="923"/>
        <v>2</v>
      </c>
      <c r="AA862" s="16" t="str">
        <f t="shared" ca="1" si="1126"/>
        <v>Axa Insurance Morocco</v>
      </c>
      <c r="AB862" s="16" t="str">
        <f t="shared" ca="1" si="1126"/>
        <v xml:space="preserve"> Symbiotics</v>
      </c>
      <c r="AC862" s="16">
        <f t="shared" si="1126"/>
        <v>0</v>
      </c>
      <c r="AD862" s="16">
        <f t="shared" si="1126"/>
        <v>0</v>
      </c>
      <c r="AE862" s="16">
        <f t="shared" si="1126"/>
        <v>0</v>
      </c>
      <c r="AF862" s="16">
        <f t="shared" si="1126"/>
        <v>0</v>
      </c>
      <c r="AG862" s="16">
        <f t="shared" si="1126"/>
        <v>0</v>
      </c>
      <c r="AH862" s="16">
        <f t="shared" si="1126"/>
        <v>0</v>
      </c>
      <c r="AI862" s="16">
        <f t="shared" si="1126"/>
        <v>0</v>
      </c>
      <c r="AJ862" s="16">
        <f t="shared" si="1126"/>
        <v>0</v>
      </c>
      <c r="AK862" s="16">
        <f t="shared" si="1126"/>
        <v>0</v>
      </c>
      <c r="AL862" s="16">
        <f t="shared" si="1126"/>
        <v>0</v>
      </c>
      <c r="AM862" s="16">
        <f t="shared" si="1126"/>
        <v>0</v>
      </c>
      <c r="AN862" s="16">
        <f t="shared" si="1126"/>
        <v>0</v>
      </c>
      <c r="AO862" s="16">
        <f t="shared" si="1126"/>
        <v>0</v>
      </c>
      <c r="AP862" s="10"/>
      <c r="AQ862" s="10"/>
      <c r="AR862" s="10"/>
      <c r="AS862" s="10" t="str">
        <f t="shared" ref="AS862" ca="1" si="1134">IFERROR(__xludf.DUMMYFUNCTION("split(F723,"","",true,true)"),"Axa Insurance Morocco")</f>
        <v>Axa Insurance Morocco</v>
      </c>
      <c r="AT862" s="10" t="str">
        <f ca="1">IFERROR(__xludf.DUMMYFUNCTION("""COMPUTED_VALUE""")," Symbiotics")</f>
        <v xml:space="preserve"> Symbiotics</v>
      </c>
      <c r="AU862" s="10"/>
      <c r="AV862" s="10"/>
      <c r="AW862" s="10"/>
      <c r="AX862" s="10"/>
      <c r="AY862" s="10"/>
      <c r="AZ862" s="10"/>
      <c r="BA862" s="10"/>
      <c r="BB862" s="10"/>
      <c r="BC862" s="10"/>
      <c r="BD862" s="10"/>
      <c r="BE862" s="10"/>
      <c r="BF862" s="10"/>
      <c r="BG862" s="10"/>
      <c r="BH862" s="10"/>
      <c r="BI862" s="10"/>
      <c r="BJ862" s="10"/>
      <c r="BK862" s="10"/>
      <c r="BM862" s="10"/>
    </row>
    <row r="863" spans="1:65" ht="12.75">
      <c r="A863" s="18">
        <v>43445</v>
      </c>
      <c r="B863" s="14" t="s">
        <v>1097</v>
      </c>
      <c r="C863" s="19">
        <v>150000</v>
      </c>
      <c r="D863" s="19"/>
      <c r="E863" s="14" t="s">
        <v>45</v>
      </c>
      <c r="F863" s="14" t="s">
        <v>305</v>
      </c>
      <c r="G863" s="27" t="s">
        <v>1855</v>
      </c>
      <c r="H863" s="14" t="str">
        <f t="array" ref="H863">IFERROR(INDEX([1]Companies!$G:$G,MATCH(B863,[1]Companies!$A:$A,0)),"")</f>
        <v>Tanzania</v>
      </c>
      <c r="I863" s="14" t="str">
        <f t="shared" si="1128"/>
        <v>Tanzania</v>
      </c>
      <c r="J863" s="14" t="str">
        <f t="array" ref="J863">IFERROR(INDEX([1]Companies!$Y:$Y,MATCH(B863,[1]Companies!$A:$A,0)),"")</f>
        <v>Financial Inclusion, Digital Financial Services, Mobile Money, and Fintech</v>
      </c>
      <c r="K863" s="14" t="str">
        <f t="array" ref="K863">IFERROR(INDEX([1]Companies!$X:$X,MATCH(B863,[1]Companies!$A:$A,0)),"")</f>
        <v>Financial Services</v>
      </c>
      <c r="L863" s="14" t="str">
        <f>VLOOKUP(B863,[1]Companies!$A$1:$C$5243,1,FALSE)</f>
        <v>Nala</v>
      </c>
      <c r="M863" s="15">
        <f t="shared" si="1129"/>
        <v>0.9</v>
      </c>
      <c r="N863" s="10" t="str">
        <f t="shared" si="1130"/>
        <v>43445Nala150000</v>
      </c>
      <c r="O863" s="14" t="str">
        <f t="shared" si="1131"/>
        <v/>
      </c>
      <c r="P863" s="14">
        <f t="shared" si="1132"/>
        <v>1</v>
      </c>
      <c r="Q863" s="14">
        <f t="array" ref="Q863">IFERROR(INDEX([1]Companies!$D:$D,MATCH(B863,[1]Companies!$A:$A,0)),"")</f>
        <v>2017</v>
      </c>
      <c r="R863" s="17">
        <f t="shared" si="1133"/>
        <v>420000</v>
      </c>
      <c r="S863" s="14">
        <f>VLOOKUP(I863,[1]Lookups!$V$3:$Y$197,4,FALSE)</f>
        <v>0</v>
      </c>
      <c r="T863" s="14" t="str">
        <f>VLOOKUP(E863,[1]Lookups!$H$3:$I$71,2,FALSE)</f>
        <v>2. Seed</v>
      </c>
      <c r="U863" s="14" t="str">
        <f>VLOOKUP(K863,[1]Lookups!$B$3:$C$142,2,FALSE)</f>
        <v>Financial Services</v>
      </c>
      <c r="V863" s="14">
        <f t="shared" si="921"/>
        <v>2018</v>
      </c>
      <c r="W863" s="14">
        <f t="shared" si="922"/>
        <v>12</v>
      </c>
      <c r="X863" s="14">
        <f>VLOOKUP(W863,[1]Lookups!$P$3:$S$15,2,FALSE)</f>
        <v>4</v>
      </c>
      <c r="Y863" s="16">
        <f>VLOOKUP(W863,[1]Lookups!$P$3:$U$15,3,FALSE)</f>
        <v>2</v>
      </c>
      <c r="Z863" s="16">
        <f t="shared" si="923"/>
        <v>1</v>
      </c>
      <c r="AA863" s="16" t="str">
        <f t="shared" ca="1" si="1126"/>
        <v>Axa Insurance Morocco</v>
      </c>
      <c r="AB863" s="16">
        <f t="shared" si="1126"/>
        <v>0</v>
      </c>
      <c r="AC863" s="16">
        <f t="shared" si="1126"/>
        <v>0</v>
      </c>
      <c r="AD863" s="16">
        <f t="shared" si="1126"/>
        <v>0</v>
      </c>
      <c r="AE863" s="16">
        <f t="shared" si="1126"/>
        <v>0</v>
      </c>
      <c r="AF863" s="16">
        <f t="shared" si="1126"/>
        <v>0</v>
      </c>
      <c r="AG863" s="16">
        <f t="shared" si="1126"/>
        <v>0</v>
      </c>
      <c r="AH863" s="16">
        <f t="shared" si="1126"/>
        <v>0</v>
      </c>
      <c r="AI863" s="16">
        <f t="shared" si="1126"/>
        <v>0</v>
      </c>
      <c r="AJ863" s="16">
        <f t="shared" si="1126"/>
        <v>0</v>
      </c>
      <c r="AK863" s="16">
        <f t="shared" si="1126"/>
        <v>0</v>
      </c>
      <c r="AL863" s="16">
        <f t="shared" si="1126"/>
        <v>0</v>
      </c>
      <c r="AM863" s="16">
        <f t="shared" si="1126"/>
        <v>0</v>
      </c>
      <c r="AN863" s="16">
        <f t="shared" si="1126"/>
        <v>0</v>
      </c>
      <c r="AO863" s="16">
        <f t="shared" si="1126"/>
        <v>0</v>
      </c>
      <c r="AP863" s="10"/>
      <c r="AQ863" s="10"/>
      <c r="AR863" s="10"/>
      <c r="AS863" s="10" t="str">
        <f t="shared" ref="AS863" ca="1" si="1135">IFERROR(__xludf.DUMMYFUNCTION("split(F723,"","",true,true)"),"Axa Insurance Morocco")</f>
        <v>Axa Insurance Morocco</v>
      </c>
      <c r="AT863" s="10"/>
      <c r="AU863" s="10"/>
      <c r="AV863" s="10"/>
      <c r="AW863" s="10"/>
      <c r="AX863" s="10"/>
      <c r="AY863" s="10"/>
      <c r="AZ863" s="10"/>
      <c r="BA863" s="10"/>
      <c r="BB863" s="10"/>
      <c r="BC863" s="10"/>
      <c r="BD863" s="10"/>
      <c r="BE863" s="10"/>
      <c r="BF863" s="10"/>
      <c r="BG863" s="10"/>
      <c r="BH863" s="10"/>
      <c r="BI863" s="10"/>
      <c r="BJ863" s="10"/>
      <c r="BK863" s="10"/>
      <c r="BM863" s="10"/>
    </row>
    <row r="864" spans="1:65" ht="12.75">
      <c r="A864" s="18">
        <v>43445</v>
      </c>
      <c r="B864" s="14" t="s">
        <v>1856</v>
      </c>
      <c r="C864" s="19">
        <v>25000</v>
      </c>
      <c r="D864" s="19"/>
      <c r="E864" s="14" t="s">
        <v>55</v>
      </c>
      <c r="F864" s="14" t="s">
        <v>1857</v>
      </c>
      <c r="G864" s="27" t="s">
        <v>1858</v>
      </c>
      <c r="H864" s="14" t="str">
        <f t="array" ref="H864">IFERROR(INDEX([1]Companies!$G:$G,MATCH(B864,[1]Companies!$A:$A,0)),"")</f>
        <v>Uganda</v>
      </c>
      <c r="I864" s="14" t="str">
        <f t="shared" si="1128"/>
        <v>Uganda</v>
      </c>
      <c r="J864" s="14" t="str">
        <f t="array" ref="J864">IFERROR(INDEX([1]Companies!$Y:$Y,MATCH(B864,[1]Companies!$A:$A,0)),"")</f>
        <v>Manufacturing, Medical Device</v>
      </c>
      <c r="K864" s="14" t="str">
        <f t="array" ref="K864">IFERROR(INDEX([1]Companies!$X:$X,MATCH(B864,[1]Companies!$A:$A,0)),"")</f>
        <v>Healthcare &amp; Pharma</v>
      </c>
      <c r="L864" s="14" t="str">
        <f>VLOOKUP(B864,[1]Companies!$A$1:$C$5243,1,FALSE)</f>
        <v>M-Scan</v>
      </c>
      <c r="M864" s="15">
        <f t="shared" si="1129"/>
        <v>0.9</v>
      </c>
      <c r="N864" s="10" t="str">
        <f t="shared" si="1130"/>
        <v>43445M-SCAN25000</v>
      </c>
      <c r="O864" s="14" t="str">
        <f t="shared" si="1131"/>
        <v/>
      </c>
      <c r="P864" s="14">
        <f t="shared" si="1132"/>
        <v>1</v>
      </c>
      <c r="Q864" s="14">
        <f t="array" ref="Q864">IFERROR(INDEX([1]Companies!$D:$D,MATCH(B864,[1]Companies!$A:$A,0)),"")</f>
        <v>2017</v>
      </c>
      <c r="R864" s="17">
        <f t="shared" si="1133"/>
        <v>75000</v>
      </c>
      <c r="S864" s="14">
        <f>VLOOKUP(I864,[1]Lookups!$V$3:$Y$197,4,FALSE)</f>
        <v>0</v>
      </c>
      <c r="T864" s="14" t="str">
        <f>VLOOKUP(E864,[1]Lookups!$H$3:$I$71,2,FALSE)</f>
        <v>1. Grant</v>
      </c>
      <c r="U864" s="14" t="str">
        <f>VLOOKUP(K864,[1]Lookups!$B$3:$C$142,2,FALSE)</f>
        <v>Health &amp; Pharmaceuticals</v>
      </c>
      <c r="V864" s="14">
        <f t="shared" si="921"/>
        <v>2018</v>
      </c>
      <c r="W864" s="14">
        <f t="shared" si="922"/>
        <v>12</v>
      </c>
      <c r="X864" s="14">
        <f>VLOOKUP(W864,[1]Lookups!$P$3:$S$15,2,FALSE)</f>
        <v>4</v>
      </c>
      <c r="Y864" s="16">
        <f>VLOOKUP(W864,[1]Lookups!$P$3:$U$15,3,FALSE)</f>
        <v>2</v>
      </c>
      <c r="Z864" s="16">
        <f t="shared" si="923"/>
        <v>1</v>
      </c>
      <c r="AA864" s="16" t="str">
        <f t="shared" ca="1" si="1126"/>
        <v>Axa Insurance Morocco</v>
      </c>
      <c r="AB864" s="16">
        <f t="shared" si="1126"/>
        <v>0</v>
      </c>
      <c r="AC864" s="16">
        <f t="shared" si="1126"/>
        <v>0</v>
      </c>
      <c r="AD864" s="16">
        <f t="shared" si="1126"/>
        <v>0</v>
      </c>
      <c r="AE864" s="16">
        <f t="shared" si="1126"/>
        <v>0</v>
      </c>
      <c r="AF864" s="16">
        <f t="shared" si="1126"/>
        <v>0</v>
      </c>
      <c r="AG864" s="16">
        <f t="shared" si="1126"/>
        <v>0</v>
      </c>
      <c r="AH864" s="16">
        <f t="shared" si="1126"/>
        <v>0</v>
      </c>
      <c r="AI864" s="16">
        <f t="shared" si="1126"/>
        <v>0</v>
      </c>
      <c r="AJ864" s="16">
        <f t="shared" si="1126"/>
        <v>0</v>
      </c>
      <c r="AK864" s="16">
        <f t="shared" si="1126"/>
        <v>0</v>
      </c>
      <c r="AL864" s="16">
        <f t="shared" si="1126"/>
        <v>0</v>
      </c>
      <c r="AM864" s="16">
        <f t="shared" si="1126"/>
        <v>0</v>
      </c>
      <c r="AN864" s="16">
        <f t="shared" si="1126"/>
        <v>0</v>
      </c>
      <c r="AO864" s="16">
        <f t="shared" si="1126"/>
        <v>0</v>
      </c>
      <c r="AP864" s="10"/>
      <c r="AQ864" s="10"/>
      <c r="AR864" s="10"/>
      <c r="AS864" s="10" t="str">
        <f t="shared" ref="AS864" ca="1" si="1136">IFERROR(__xludf.DUMMYFUNCTION("split(F723,"","",true,true)"),"Axa Insurance Morocco")</f>
        <v>Axa Insurance Morocco</v>
      </c>
      <c r="AT864" s="10"/>
      <c r="AU864" s="10"/>
      <c r="AV864" s="10"/>
      <c r="AW864" s="10"/>
      <c r="AX864" s="10"/>
      <c r="AY864" s="10"/>
      <c r="AZ864" s="10"/>
      <c r="BA864" s="10"/>
      <c r="BB864" s="10"/>
      <c r="BC864" s="10"/>
      <c r="BD864" s="10"/>
      <c r="BE864" s="10"/>
      <c r="BF864" s="10"/>
      <c r="BG864" s="10"/>
      <c r="BH864" s="10"/>
      <c r="BI864" s="10"/>
      <c r="BJ864" s="10"/>
      <c r="BK864" s="10"/>
      <c r="BM864" s="10"/>
    </row>
    <row r="865" spans="1:65" ht="12.75">
      <c r="A865" s="9">
        <v>43445</v>
      </c>
      <c r="B865" s="10" t="s">
        <v>1097</v>
      </c>
      <c r="C865" s="11">
        <v>150000</v>
      </c>
      <c r="D865" s="12"/>
      <c r="E865" s="10" t="s">
        <v>45</v>
      </c>
      <c r="F865" s="10" t="s">
        <v>305</v>
      </c>
      <c r="G865" s="13" t="s">
        <v>1859</v>
      </c>
      <c r="H865" s="14"/>
      <c r="I865" s="14"/>
      <c r="J865" s="14"/>
      <c r="K865" s="14"/>
      <c r="L865" s="14"/>
      <c r="M865" s="15"/>
      <c r="N865" s="10"/>
      <c r="O865" s="14"/>
      <c r="P865" s="14"/>
      <c r="Q865" s="14"/>
      <c r="R865" s="14"/>
      <c r="S865" s="14"/>
      <c r="T865" s="14"/>
      <c r="U865" s="14"/>
      <c r="V865" s="14">
        <f t="shared" si="921"/>
        <v>2018</v>
      </c>
      <c r="W865" s="14">
        <f t="shared" si="922"/>
        <v>12</v>
      </c>
      <c r="X865" s="14">
        <f>VLOOKUP(W865,[1]Lookups!$P$3:$S$15,2,FALSE)</f>
        <v>4</v>
      </c>
      <c r="Y865" s="16">
        <f>VLOOKUP(W865,[1]Lookups!$P$3:$U$15,3,FALSE)</f>
        <v>2</v>
      </c>
      <c r="Z865" s="16">
        <f t="shared" si="923"/>
        <v>1</v>
      </c>
      <c r="AA865" s="16" t="str">
        <f t="shared" ca="1" si="1126"/>
        <v>#REF!</v>
      </c>
      <c r="AB865" s="16">
        <f t="shared" si="1126"/>
        <v>0</v>
      </c>
      <c r="AC865" s="16">
        <f t="shared" si="1126"/>
        <v>0</v>
      </c>
      <c r="AD865" s="16">
        <f t="shared" si="1126"/>
        <v>0</v>
      </c>
      <c r="AE865" s="16">
        <f t="shared" si="1126"/>
        <v>0</v>
      </c>
      <c r="AF865" s="16">
        <f t="shared" si="1126"/>
        <v>0</v>
      </c>
      <c r="AG865" s="16">
        <f t="shared" si="1126"/>
        <v>0</v>
      </c>
      <c r="AH865" s="16">
        <f t="shared" si="1126"/>
        <v>0</v>
      </c>
      <c r="AI865" s="16">
        <f t="shared" si="1126"/>
        <v>0</v>
      </c>
      <c r="AJ865" s="16">
        <f t="shared" si="1126"/>
        <v>0</v>
      </c>
      <c r="AK865" s="16">
        <f t="shared" si="1126"/>
        <v>0</v>
      </c>
      <c r="AL865" s="16">
        <f t="shared" si="1126"/>
        <v>0</v>
      </c>
      <c r="AM865" s="16">
        <f t="shared" si="1126"/>
        <v>0</v>
      </c>
      <c r="AN865" s="16">
        <f t="shared" si="1126"/>
        <v>0</v>
      </c>
      <c r="AO865" s="16">
        <f t="shared" si="1126"/>
        <v>0</v>
      </c>
      <c r="AP865" s="10"/>
      <c r="AQ865" s="10"/>
      <c r="AR865" s="10"/>
      <c r="AS865" s="10" t="str">
        <f ca="1">IFERROR(__xludf.DUMMYFUNCTION("split(#REF!,"","",true,true)"),"#REF!")</f>
        <v>#REF!</v>
      </c>
      <c r="AT865" s="10"/>
      <c r="AU865" s="10"/>
      <c r="AV865" s="10"/>
      <c r="AW865" s="10"/>
      <c r="AX865" s="10"/>
      <c r="AY865" s="10"/>
      <c r="AZ865" s="10"/>
      <c r="BA865" s="10"/>
      <c r="BB865" s="10"/>
      <c r="BC865" s="10"/>
      <c r="BD865" s="10"/>
      <c r="BE865" s="10"/>
      <c r="BF865" s="10"/>
      <c r="BG865" s="10"/>
      <c r="BH865" s="10"/>
      <c r="BI865" s="10"/>
      <c r="BJ865" s="10"/>
      <c r="BK865" s="10"/>
      <c r="BM865" s="10"/>
    </row>
    <row r="866" spans="1:65" ht="12.75">
      <c r="A866" s="18">
        <v>43446</v>
      </c>
      <c r="B866" s="14" t="s">
        <v>166</v>
      </c>
      <c r="C866" s="19">
        <v>12500000</v>
      </c>
      <c r="D866" s="19"/>
      <c r="E866" s="14" t="s">
        <v>112</v>
      </c>
      <c r="F866" s="14" t="s">
        <v>1860</v>
      </c>
      <c r="G866" s="27" t="s">
        <v>1861</v>
      </c>
      <c r="H866" s="14" t="str">
        <f t="array" ref="H866">IFERROR(INDEX([1]Companies!$G:$G,MATCH(B866,[1]Companies!$A:$A,0)),"")</f>
        <v>South Africa</v>
      </c>
      <c r="I866" s="14" t="str">
        <f t="shared" ref="I866:I876" si="1137">IF(LEN(TRIM(H866))-LEN(SUBSTITUTE(TRIM(H866),",","")) &gt; 0,TRIM(RIGHT(H866,LEN(H866)-FIND(",",H866))),H866)</f>
        <v>South Africa</v>
      </c>
      <c r="J866" s="14" t="str">
        <f t="array" ref="J866">IFERROR(INDEX([1]Companies!$Y:$Y,MATCH(B866,[1]Companies!$A:$A,0)),"")</f>
        <v>Technology, Mobile Money, Big Data, Digital Financial Services, Mobile Financial Services, Financial Technology</v>
      </c>
      <c r="K866" s="14" t="str">
        <f t="array" ref="K866">IFERROR(INDEX([1]Companies!$X:$X,MATCH(B866,[1]Companies!$A:$A,0)),"")</f>
        <v>Financial Services</v>
      </c>
      <c r="L866" s="14" t="str">
        <f>VLOOKUP(B866,[1]Companies!$A$1:$C$5243,1,FALSE)</f>
        <v>Jumo</v>
      </c>
      <c r="M866" s="15">
        <f t="shared" ref="M866:M876" si="1138">COUNTA(B866:K866)/(COUNTBLANK(B866:K866) + COUNTA(B866:K866))</f>
        <v>0.9</v>
      </c>
      <c r="N866" s="10" t="str">
        <f t="shared" ref="N866:N876" si="1139">CONCATENATE(A866,B866,C866)</f>
        <v>43446Jumo12500000</v>
      </c>
      <c r="O866" s="14" t="str">
        <f t="shared" ref="O866:O876" si="1140">IF(A866 = "","",IF(COUNTIF(N:N,CONCATENATE(A866,B866,C866))&gt;1,"Duplicated",""))</f>
        <v/>
      </c>
      <c r="P866" s="14">
        <f t="shared" ref="P866:P876" si="1141">IF(C866="Undisclosed",0,1)</f>
        <v>1</v>
      </c>
      <c r="Q866" s="14">
        <f t="array" ref="Q866">IFERROR(INDEX([1]Companies!$D:$D,MATCH(B866,[1]Companies!$A:$A,0)),"")</f>
        <v>2014</v>
      </c>
      <c r="R866" s="17">
        <f t="shared" ref="R866:R876" si="1142">SUMIF(B:B,B866,C:C)</f>
        <v>91700000</v>
      </c>
      <c r="S866" s="14">
        <f>VLOOKUP(I866,[1]Lookups!$V$3:$Y$197,4,FALSE)</f>
        <v>0</v>
      </c>
      <c r="T866" s="14" t="str">
        <f>VLOOKUP(E866,[1]Lookups!$H$3:$I$71,2,FALSE)</f>
        <v>3. Early Venture</v>
      </c>
      <c r="U866" s="14" t="str">
        <f>VLOOKUP(K866,[1]Lookups!$B$3:$C$142,2,FALSE)</f>
        <v>Financial Services</v>
      </c>
      <c r="V866" s="14">
        <f t="shared" si="921"/>
        <v>2018</v>
      </c>
      <c r="W866" s="14">
        <f t="shared" si="922"/>
        <v>12</v>
      </c>
      <c r="X866" s="14">
        <f>VLOOKUP(W866,[1]Lookups!$P$3:$S$15,2,FALSE)</f>
        <v>4</v>
      </c>
      <c r="Y866" s="16">
        <f>VLOOKUP(W866,[1]Lookups!$P$3:$U$15,3,FALSE)</f>
        <v>2</v>
      </c>
      <c r="Z866" s="16">
        <f t="shared" si="923"/>
        <v>1</v>
      </c>
      <c r="AA866" s="16" t="str">
        <f t="shared" ca="1" si="1126"/>
        <v>Odey Asset Management</v>
      </c>
      <c r="AB866" s="16">
        <f t="shared" si="1126"/>
        <v>0</v>
      </c>
      <c r="AC866" s="16">
        <f t="shared" si="1126"/>
        <v>0</v>
      </c>
      <c r="AD866" s="16">
        <f t="shared" si="1126"/>
        <v>0</v>
      </c>
      <c r="AE866" s="16">
        <f t="shared" si="1126"/>
        <v>0</v>
      </c>
      <c r="AF866" s="16">
        <f t="shared" si="1126"/>
        <v>0</v>
      </c>
      <c r="AG866" s="16">
        <f t="shared" si="1126"/>
        <v>0</v>
      </c>
      <c r="AH866" s="16">
        <f t="shared" si="1126"/>
        <v>0</v>
      </c>
      <c r="AI866" s="16">
        <f t="shared" si="1126"/>
        <v>0</v>
      </c>
      <c r="AJ866" s="16">
        <f t="shared" si="1126"/>
        <v>0</v>
      </c>
      <c r="AK866" s="16">
        <f t="shared" si="1126"/>
        <v>0</v>
      </c>
      <c r="AL866" s="16">
        <f t="shared" si="1126"/>
        <v>0</v>
      </c>
      <c r="AM866" s="16">
        <f t="shared" si="1126"/>
        <v>0</v>
      </c>
      <c r="AN866" s="16">
        <f t="shared" si="1126"/>
        <v>0</v>
      </c>
      <c r="AO866" s="16">
        <f t="shared" si="1126"/>
        <v>0</v>
      </c>
      <c r="AP866" s="10"/>
      <c r="AQ866" s="10"/>
      <c r="AR866" s="10"/>
      <c r="AS866" s="10" t="str">
        <f t="shared" ref="AS866" ca="1" si="1143">IFERROR(__xludf.DUMMYFUNCTION("split(F866,"","",true,true)"),"Odey Asset Management")</f>
        <v>Odey Asset Management</v>
      </c>
      <c r="AT866" s="10"/>
      <c r="AU866" s="10"/>
      <c r="AV866" s="10"/>
      <c r="AW866" s="10"/>
      <c r="AX866" s="10"/>
      <c r="AY866" s="10"/>
      <c r="AZ866" s="10"/>
      <c r="BA866" s="10"/>
      <c r="BB866" s="10"/>
      <c r="BC866" s="10"/>
      <c r="BD866" s="10"/>
      <c r="BE866" s="10"/>
      <c r="BF866" s="10"/>
      <c r="BG866" s="10"/>
      <c r="BH866" s="10"/>
      <c r="BI866" s="10"/>
      <c r="BJ866" s="10"/>
      <c r="BK866" s="10"/>
      <c r="BM866" s="10"/>
    </row>
    <row r="867" spans="1:65" ht="12.75">
      <c r="A867" s="18">
        <v>43446</v>
      </c>
      <c r="B867" s="14" t="s">
        <v>1862</v>
      </c>
      <c r="C867" s="19">
        <v>180000</v>
      </c>
      <c r="D867" s="19"/>
      <c r="E867" s="14" t="s">
        <v>45</v>
      </c>
      <c r="F867" s="14" t="s">
        <v>1863</v>
      </c>
      <c r="G867" s="27" t="s">
        <v>1864</v>
      </c>
      <c r="H867" s="14" t="str">
        <f t="array" ref="H867">IFERROR(INDEX([1]Companies!$G:$G,MATCH(B867,[1]Companies!$A:$A,0)),"")</f>
        <v>Egypt</v>
      </c>
      <c r="I867" s="14" t="str">
        <f t="shared" si="1137"/>
        <v>Egypt</v>
      </c>
      <c r="J867" s="14" t="str">
        <f t="array" ref="J867">IFERROR(INDEX([1]Companies!$Y:$Y,MATCH(B867,[1]Companies!$A:$A,0)),"")</f>
        <v>advertising, technology, and startups</v>
      </c>
      <c r="K867" s="14" t="str">
        <f t="array" ref="K867">IFERROR(INDEX([1]Companies!$X:$X,MATCH(B867,[1]Companies!$A:$A,0)),"")</f>
        <v>Information Technology</v>
      </c>
      <c r="L867" s="14" t="str">
        <f>VLOOKUP(B867,[1]Companies!$A$1:$C$5243,1,FALSE)</f>
        <v>Wasla Browser</v>
      </c>
      <c r="M867" s="15">
        <f t="shared" si="1138"/>
        <v>0.9</v>
      </c>
      <c r="N867" s="10" t="str">
        <f t="shared" si="1139"/>
        <v>43446Wasla Browser180000</v>
      </c>
      <c r="O867" s="14" t="str">
        <f t="shared" si="1140"/>
        <v/>
      </c>
      <c r="P867" s="14">
        <f t="shared" si="1141"/>
        <v>1</v>
      </c>
      <c r="Q867" s="14">
        <f t="array" ref="Q867">IFERROR(INDEX([1]Companies!$D:$D,MATCH(B867,[1]Companies!$A:$A,0)),"")</f>
        <v>2018</v>
      </c>
      <c r="R867" s="17">
        <f t="shared" si="1142"/>
        <v>180000</v>
      </c>
      <c r="S867" s="14">
        <f>VLOOKUP(I867,[1]Lookups!$V$3:$Y$197,4,FALSE)</f>
        <v>0</v>
      </c>
      <c r="T867" s="14" t="str">
        <f>VLOOKUP(E867,[1]Lookups!$H$3:$I$71,2,FALSE)</f>
        <v>2. Seed</v>
      </c>
      <c r="U867" s="14" t="str">
        <f>VLOOKUP(K867,[1]Lookups!$B$3:$C$142,2,FALSE)</f>
        <v>Other Technologies &amp; Information Technology</v>
      </c>
      <c r="V867" s="14">
        <f t="shared" si="921"/>
        <v>2018</v>
      </c>
      <c r="W867" s="14">
        <f t="shared" si="922"/>
        <v>12</v>
      </c>
      <c r="X867" s="14">
        <f>VLOOKUP(W867,[1]Lookups!$P$3:$S$15,2,FALSE)</f>
        <v>4</v>
      </c>
      <c r="Y867" s="16">
        <f>VLOOKUP(W867,[1]Lookups!$P$3:$U$15,3,FALSE)</f>
        <v>2</v>
      </c>
      <c r="Z867" s="16">
        <f t="shared" si="923"/>
        <v>1</v>
      </c>
      <c r="AA867" s="16" t="str">
        <f t="shared" ca="1" si="1126"/>
        <v>Odey Asset Management</v>
      </c>
      <c r="AB867" s="16">
        <f t="shared" si="1126"/>
        <v>0</v>
      </c>
      <c r="AC867" s="16">
        <f t="shared" si="1126"/>
        <v>0</v>
      </c>
      <c r="AD867" s="16">
        <f t="shared" si="1126"/>
        <v>0</v>
      </c>
      <c r="AE867" s="16">
        <f t="shared" si="1126"/>
        <v>0</v>
      </c>
      <c r="AF867" s="16">
        <f t="shared" si="1126"/>
        <v>0</v>
      </c>
      <c r="AG867" s="16">
        <f t="shared" si="1126"/>
        <v>0</v>
      </c>
      <c r="AH867" s="16">
        <f t="shared" si="1126"/>
        <v>0</v>
      </c>
      <c r="AI867" s="16">
        <f t="shared" si="1126"/>
        <v>0</v>
      </c>
      <c r="AJ867" s="16">
        <f t="shared" si="1126"/>
        <v>0</v>
      </c>
      <c r="AK867" s="16">
        <f t="shared" si="1126"/>
        <v>0</v>
      </c>
      <c r="AL867" s="16">
        <f t="shared" si="1126"/>
        <v>0</v>
      </c>
      <c r="AM867" s="16">
        <f t="shared" si="1126"/>
        <v>0</v>
      </c>
      <c r="AN867" s="16">
        <f t="shared" si="1126"/>
        <v>0</v>
      </c>
      <c r="AO867" s="16">
        <f t="shared" si="1126"/>
        <v>0</v>
      </c>
      <c r="AP867" s="10"/>
      <c r="AQ867" s="10"/>
      <c r="AR867" s="10"/>
      <c r="AS867" s="10" t="str">
        <f t="shared" ref="AS867" ca="1" si="1144">IFERROR(__xludf.DUMMYFUNCTION("split(F866,"","",true,true)"),"Odey Asset Management")</f>
        <v>Odey Asset Management</v>
      </c>
      <c r="AT867" s="10"/>
      <c r="AU867" s="10"/>
      <c r="AV867" s="10"/>
      <c r="AW867" s="10"/>
      <c r="AX867" s="10"/>
      <c r="AY867" s="10"/>
      <c r="AZ867" s="10"/>
      <c r="BA867" s="10"/>
      <c r="BB867" s="10"/>
      <c r="BC867" s="10"/>
      <c r="BD867" s="10"/>
      <c r="BE867" s="10"/>
      <c r="BF867" s="10"/>
      <c r="BG867" s="10"/>
      <c r="BH867" s="10"/>
      <c r="BI867" s="10"/>
      <c r="BJ867" s="10"/>
      <c r="BK867" s="10"/>
      <c r="BM867" s="10"/>
    </row>
    <row r="868" spans="1:65" ht="12.75">
      <c r="A868" s="18">
        <v>43446</v>
      </c>
      <c r="B868" s="14" t="s">
        <v>1865</v>
      </c>
      <c r="C868" s="19">
        <v>150000</v>
      </c>
      <c r="D868" s="19"/>
      <c r="E868" s="14" t="s">
        <v>55</v>
      </c>
      <c r="F868" s="14" t="s">
        <v>1866</v>
      </c>
      <c r="G868" s="27" t="s">
        <v>1867</v>
      </c>
      <c r="H868" s="14" t="str">
        <f t="array" ref="H868">IFERROR(INDEX([1]Companies!$G:$G,MATCH(B868,[1]Companies!$A:$A,0)),"")</f>
        <v>Namibia</v>
      </c>
      <c r="I868" s="14" t="str">
        <f t="shared" si="1137"/>
        <v>Namibia</v>
      </c>
      <c r="J868" s="14" t="str">
        <f t="array" ref="J868">IFERROR(INDEX([1]Companies!$Y:$Y,MATCH(B868,[1]Companies!$A:$A,0)),"")</f>
        <v>Fitness, Wellness</v>
      </c>
      <c r="K868" s="14" t="str">
        <f t="array" ref="K868">IFERROR(INDEX([1]Companies!$X:$X,MATCH(B868,[1]Companies!$A:$A,0)),"")</f>
        <v>Education</v>
      </c>
      <c r="L868" s="14" t="str">
        <f>VLOOKUP(B868,[1]Companies!$A$1:$C$5243,1,FALSE)</f>
        <v>Pulse PerfectFit Studio</v>
      </c>
      <c r="M868" s="15">
        <f t="shared" si="1138"/>
        <v>0.9</v>
      </c>
      <c r="N868" s="10" t="str">
        <f t="shared" si="1139"/>
        <v>43446Pulse PerfectFit Studio150000</v>
      </c>
      <c r="O868" s="14" t="str">
        <f t="shared" si="1140"/>
        <v/>
      </c>
      <c r="P868" s="14">
        <f t="shared" si="1141"/>
        <v>1</v>
      </c>
      <c r="Q868" s="14">
        <f t="array" ref="Q868">IFERROR(INDEX([1]Companies!$D:$D,MATCH(B868,[1]Companies!$A:$A,0)),"")</f>
        <v>2013</v>
      </c>
      <c r="R868" s="17">
        <f t="shared" si="1142"/>
        <v>150000</v>
      </c>
      <c r="S868" s="14">
        <f>VLOOKUP(I868,[1]Lookups!$V$3:$Y$197,4,FALSE)</f>
        <v>0</v>
      </c>
      <c r="T868" s="14" t="str">
        <f>VLOOKUP(E868,[1]Lookups!$H$3:$I$71,2,FALSE)</f>
        <v>1. Grant</v>
      </c>
      <c r="U868" s="14" t="str">
        <f>VLOOKUP(K868,[1]Lookups!$B$3:$C$142,2,FALSE)</f>
        <v>Education</v>
      </c>
      <c r="V868" s="14">
        <f t="shared" si="921"/>
        <v>2018</v>
      </c>
      <c r="W868" s="14">
        <f t="shared" si="922"/>
        <v>12</v>
      </c>
      <c r="X868" s="14">
        <f>VLOOKUP(W868,[1]Lookups!$P$3:$S$15,2,FALSE)</f>
        <v>4</v>
      </c>
      <c r="Y868" s="16">
        <f>VLOOKUP(W868,[1]Lookups!$P$3:$U$15,3,FALSE)</f>
        <v>2</v>
      </c>
      <c r="Z868" s="16">
        <f t="shared" si="923"/>
        <v>1</v>
      </c>
      <c r="AA868" s="16" t="str">
        <f t="shared" ca="1" si="1126"/>
        <v>Odey Asset Management</v>
      </c>
      <c r="AB868" s="16">
        <f t="shared" si="1126"/>
        <v>0</v>
      </c>
      <c r="AC868" s="16">
        <f t="shared" si="1126"/>
        <v>0</v>
      </c>
      <c r="AD868" s="16">
        <f t="shared" si="1126"/>
        <v>0</v>
      </c>
      <c r="AE868" s="16">
        <f t="shared" si="1126"/>
        <v>0</v>
      </c>
      <c r="AF868" s="16">
        <f t="shared" si="1126"/>
        <v>0</v>
      </c>
      <c r="AG868" s="16">
        <f t="shared" si="1126"/>
        <v>0</v>
      </c>
      <c r="AH868" s="16">
        <f t="shared" si="1126"/>
        <v>0</v>
      </c>
      <c r="AI868" s="16">
        <f t="shared" si="1126"/>
        <v>0</v>
      </c>
      <c r="AJ868" s="16">
        <f t="shared" si="1126"/>
        <v>0</v>
      </c>
      <c r="AK868" s="16">
        <f t="shared" si="1126"/>
        <v>0</v>
      </c>
      <c r="AL868" s="16">
        <f t="shared" si="1126"/>
        <v>0</v>
      </c>
      <c r="AM868" s="16">
        <f t="shared" si="1126"/>
        <v>0</v>
      </c>
      <c r="AN868" s="16">
        <f t="shared" si="1126"/>
        <v>0</v>
      </c>
      <c r="AO868" s="16">
        <f t="shared" si="1126"/>
        <v>0</v>
      </c>
      <c r="AP868" s="10"/>
      <c r="AQ868" s="10"/>
      <c r="AR868" s="10"/>
      <c r="AS868" s="10" t="str">
        <f t="shared" ref="AS868" ca="1" si="1145">IFERROR(__xludf.DUMMYFUNCTION("split(F866,"","",true,true)"),"Odey Asset Management")</f>
        <v>Odey Asset Management</v>
      </c>
      <c r="AT868" s="10"/>
      <c r="AU868" s="10"/>
      <c r="AV868" s="10"/>
      <c r="AW868" s="10"/>
      <c r="AX868" s="10"/>
      <c r="AY868" s="10"/>
      <c r="AZ868" s="10"/>
      <c r="BA868" s="10"/>
      <c r="BB868" s="10"/>
      <c r="BC868" s="10"/>
      <c r="BD868" s="10"/>
      <c r="BE868" s="10"/>
      <c r="BF868" s="10"/>
      <c r="BG868" s="10"/>
      <c r="BH868" s="10"/>
      <c r="BI868" s="10"/>
      <c r="BJ868" s="10"/>
      <c r="BK868" s="10"/>
      <c r="BM868" s="10"/>
    </row>
    <row r="869" spans="1:65" ht="12.75">
      <c r="A869" s="18">
        <v>43446</v>
      </c>
      <c r="B869" s="14" t="s">
        <v>1868</v>
      </c>
      <c r="C869" s="19">
        <v>150000</v>
      </c>
      <c r="D869" s="19"/>
      <c r="E869" s="14" t="s">
        <v>55</v>
      </c>
      <c r="F869" s="14" t="s">
        <v>1866</v>
      </c>
      <c r="G869" s="27" t="s">
        <v>1867</v>
      </c>
      <c r="H869" s="14" t="str">
        <f t="array" ref="H869">IFERROR(INDEX([1]Companies!$G:$G,MATCH(B869,[1]Companies!$A:$A,0)),"")</f>
        <v>South Africa</v>
      </c>
      <c r="I869" s="14" t="str">
        <f t="shared" si="1137"/>
        <v>South Africa</v>
      </c>
      <c r="J869" s="14" t="str">
        <f t="array" ref="J869">IFERROR(INDEX([1]Companies!$Y:$Y,MATCH(B869,[1]Companies!$A:$A,0)),"")</f>
        <v>Energy and water services</v>
      </c>
      <c r="K869" s="14" t="str">
        <f t="array" ref="K869">IFERROR(INDEX([1]Companies!$X:$X,MATCH(B869,[1]Companies!$A:$A,0)),"")</f>
        <v>Energy &amp; Environment Resources</v>
      </c>
      <c r="L869" s="14" t="str">
        <f>VLOOKUP(B869,[1]Companies!$A$1:$C$5243,1,FALSE)</f>
        <v>Plentify</v>
      </c>
      <c r="M869" s="15">
        <f t="shared" si="1138"/>
        <v>0.9</v>
      </c>
      <c r="N869" s="10" t="str">
        <f t="shared" si="1139"/>
        <v>43446Plentify150000</v>
      </c>
      <c r="O869" s="14" t="str">
        <f t="shared" si="1140"/>
        <v/>
      </c>
      <c r="P869" s="14">
        <f t="shared" si="1141"/>
        <v>1</v>
      </c>
      <c r="Q869" s="14">
        <f t="array" ref="Q869">IFERROR(INDEX([1]Companies!$D:$D,MATCH(B869,[1]Companies!$A:$A,0)),"")</f>
        <v>2017</v>
      </c>
      <c r="R869" s="17">
        <f t="shared" si="1142"/>
        <v>150000</v>
      </c>
      <c r="S869" s="14">
        <f>VLOOKUP(I869,[1]Lookups!$V$3:$Y$197,4,FALSE)</f>
        <v>0</v>
      </c>
      <c r="T869" s="14" t="str">
        <f>VLOOKUP(E869,[1]Lookups!$H$3:$I$71,2,FALSE)</f>
        <v>1. Grant</v>
      </c>
      <c r="U869" s="14" t="e">
        <f>VLOOKUP(K869,[1]Lookups!$B$3:$C$142,2,FALSE)</f>
        <v>#N/A</v>
      </c>
      <c r="V869" s="14">
        <f t="shared" si="921"/>
        <v>2018</v>
      </c>
      <c r="W869" s="14">
        <f t="shared" si="922"/>
        <v>12</v>
      </c>
      <c r="X869" s="14">
        <f>VLOOKUP(W869,[1]Lookups!$P$3:$S$15,2,FALSE)</f>
        <v>4</v>
      </c>
      <c r="Y869" s="16">
        <f>VLOOKUP(W869,[1]Lookups!$P$3:$U$15,3,FALSE)</f>
        <v>2</v>
      </c>
      <c r="Z869" s="16">
        <f t="shared" si="923"/>
        <v>1</v>
      </c>
      <c r="AA869" s="16" t="str">
        <f t="shared" ca="1" si="1126"/>
        <v>Odey Asset Management</v>
      </c>
      <c r="AB869" s="16">
        <f t="shared" si="1126"/>
        <v>0</v>
      </c>
      <c r="AC869" s="16">
        <f t="shared" si="1126"/>
        <v>0</v>
      </c>
      <c r="AD869" s="16">
        <f t="shared" si="1126"/>
        <v>0</v>
      </c>
      <c r="AE869" s="16">
        <f t="shared" si="1126"/>
        <v>0</v>
      </c>
      <c r="AF869" s="16">
        <f t="shared" si="1126"/>
        <v>0</v>
      </c>
      <c r="AG869" s="16">
        <f t="shared" si="1126"/>
        <v>0</v>
      </c>
      <c r="AH869" s="16">
        <f t="shared" si="1126"/>
        <v>0</v>
      </c>
      <c r="AI869" s="16">
        <f t="shared" si="1126"/>
        <v>0</v>
      </c>
      <c r="AJ869" s="16">
        <f t="shared" si="1126"/>
        <v>0</v>
      </c>
      <c r="AK869" s="16">
        <f t="shared" si="1126"/>
        <v>0</v>
      </c>
      <c r="AL869" s="16">
        <f t="shared" si="1126"/>
        <v>0</v>
      </c>
      <c r="AM869" s="16">
        <f t="shared" si="1126"/>
        <v>0</v>
      </c>
      <c r="AN869" s="16">
        <f t="shared" si="1126"/>
        <v>0</v>
      </c>
      <c r="AO869" s="16">
        <f t="shared" si="1126"/>
        <v>0</v>
      </c>
      <c r="AP869" s="10"/>
      <c r="AQ869" s="10"/>
      <c r="AR869" s="10"/>
      <c r="AS869" s="10" t="str">
        <f t="shared" ref="AS869" ca="1" si="1146">IFERROR(__xludf.DUMMYFUNCTION("split(F866,"","",true,true)"),"Odey Asset Management")</f>
        <v>Odey Asset Management</v>
      </c>
      <c r="AT869" s="10"/>
      <c r="AU869" s="10"/>
      <c r="AV869" s="10"/>
      <c r="AW869" s="10"/>
      <c r="AX869" s="10"/>
      <c r="AY869" s="10"/>
      <c r="AZ869" s="10"/>
      <c r="BA869" s="10"/>
      <c r="BB869" s="10"/>
      <c r="BC869" s="10"/>
      <c r="BD869" s="10"/>
      <c r="BE869" s="10"/>
      <c r="BF869" s="10"/>
      <c r="BG869" s="10"/>
      <c r="BH869" s="10"/>
      <c r="BI869" s="10"/>
      <c r="BJ869" s="10"/>
      <c r="BK869" s="10"/>
      <c r="BM869" s="10"/>
    </row>
    <row r="870" spans="1:65" ht="12.75">
      <c r="A870" s="18">
        <v>43446</v>
      </c>
      <c r="B870" s="14" t="s">
        <v>1869</v>
      </c>
      <c r="C870" s="19">
        <v>100000</v>
      </c>
      <c r="D870" s="19"/>
      <c r="E870" s="14" t="s">
        <v>55</v>
      </c>
      <c r="F870" s="14" t="s">
        <v>1866</v>
      </c>
      <c r="G870" s="27" t="s">
        <v>1867</v>
      </c>
      <c r="H870" s="14" t="str">
        <f t="array" ref="H870">IFERROR(INDEX([1]Companies!$G:$G,MATCH(B870,[1]Companies!$A:$A,0)),"")</f>
        <v>Senegal</v>
      </c>
      <c r="I870" s="14" t="str">
        <f t="shared" si="1137"/>
        <v>Senegal</v>
      </c>
      <c r="J870" s="14" t="str">
        <f t="array" ref="J870">IFERROR(INDEX([1]Companies!$Y:$Y,MATCH(B870,[1]Companies!$A:$A,0)),"")</f>
        <v>Internet</v>
      </c>
      <c r="K870" s="14" t="str">
        <f t="array" ref="K870">IFERROR(INDEX([1]Companies!$X:$X,MATCH(B870,[1]Companies!$A:$A,0)),"")</f>
        <v>E-Commerce &amp; Retail</v>
      </c>
      <c r="L870" s="14" t="str">
        <f>VLOOKUP(B870,[1]Companies!$A$1:$C$5243,1,FALSE)</f>
        <v>Sooretul</v>
      </c>
      <c r="M870" s="15">
        <f t="shared" si="1138"/>
        <v>0.9</v>
      </c>
      <c r="N870" s="10" t="str">
        <f t="shared" si="1139"/>
        <v>43446Sooretul100000</v>
      </c>
      <c r="O870" s="14" t="str">
        <f t="shared" si="1140"/>
        <v/>
      </c>
      <c r="P870" s="14">
        <f t="shared" si="1141"/>
        <v>1</v>
      </c>
      <c r="Q870" s="14">
        <f t="array" ref="Q870">IFERROR(INDEX([1]Companies!$D:$D,MATCH(B870,[1]Companies!$A:$A,0)),"")</f>
        <v>2018</v>
      </c>
      <c r="R870" s="17">
        <f t="shared" si="1142"/>
        <v>100000</v>
      </c>
      <c r="S870" s="14">
        <f>VLOOKUP(I870,[1]Lookups!$V$3:$Y$197,4,FALSE)</f>
        <v>0</v>
      </c>
      <c r="T870" s="14" t="str">
        <f>VLOOKUP(E870,[1]Lookups!$H$3:$I$71,2,FALSE)</f>
        <v>1. Grant</v>
      </c>
      <c r="U870" s="14" t="str">
        <f>VLOOKUP(K870,[1]Lookups!$B$3:$C$142,2,FALSE)</f>
        <v>E-commerce &amp; Retail</v>
      </c>
      <c r="V870" s="14">
        <f t="shared" si="921"/>
        <v>2018</v>
      </c>
      <c r="W870" s="14">
        <f t="shared" si="922"/>
        <v>12</v>
      </c>
      <c r="X870" s="14">
        <f>VLOOKUP(W870,[1]Lookups!$P$3:$S$15,2,FALSE)</f>
        <v>4</v>
      </c>
      <c r="Y870" s="16">
        <f>VLOOKUP(W870,[1]Lookups!$P$3:$U$15,3,FALSE)</f>
        <v>2</v>
      </c>
      <c r="Z870" s="16">
        <f t="shared" si="923"/>
        <v>1</v>
      </c>
      <c r="AA870" s="16" t="str">
        <f t="shared" ca="1" si="1126"/>
        <v>Odey Asset Management</v>
      </c>
      <c r="AB870" s="16">
        <f t="shared" si="1126"/>
        <v>0</v>
      </c>
      <c r="AC870" s="16">
        <f t="shared" si="1126"/>
        <v>0</v>
      </c>
      <c r="AD870" s="16">
        <f t="shared" si="1126"/>
        <v>0</v>
      </c>
      <c r="AE870" s="16">
        <f t="shared" si="1126"/>
        <v>0</v>
      </c>
      <c r="AF870" s="16">
        <f t="shared" si="1126"/>
        <v>0</v>
      </c>
      <c r="AG870" s="16">
        <f t="shared" si="1126"/>
        <v>0</v>
      </c>
      <c r="AH870" s="16">
        <f t="shared" si="1126"/>
        <v>0</v>
      </c>
      <c r="AI870" s="16">
        <f t="shared" si="1126"/>
        <v>0</v>
      </c>
      <c r="AJ870" s="16">
        <f t="shared" si="1126"/>
        <v>0</v>
      </c>
      <c r="AK870" s="16">
        <f t="shared" si="1126"/>
        <v>0</v>
      </c>
      <c r="AL870" s="16">
        <f t="shared" si="1126"/>
        <v>0</v>
      </c>
      <c r="AM870" s="16">
        <f t="shared" si="1126"/>
        <v>0</v>
      </c>
      <c r="AN870" s="16">
        <f t="shared" si="1126"/>
        <v>0</v>
      </c>
      <c r="AO870" s="16">
        <f t="shared" si="1126"/>
        <v>0</v>
      </c>
      <c r="AP870" s="10"/>
      <c r="AQ870" s="10"/>
      <c r="AR870" s="10"/>
      <c r="AS870" s="10" t="str">
        <f t="shared" ref="AS870" ca="1" si="1147">IFERROR(__xludf.DUMMYFUNCTION("split(F866,"","",true,true)"),"Odey Asset Management")</f>
        <v>Odey Asset Management</v>
      </c>
      <c r="AT870" s="10"/>
      <c r="AU870" s="10"/>
      <c r="AV870" s="10"/>
      <c r="AW870" s="10"/>
      <c r="AX870" s="10"/>
      <c r="AY870" s="10"/>
      <c r="AZ870" s="10"/>
      <c r="BA870" s="10"/>
      <c r="BB870" s="10"/>
      <c r="BC870" s="10"/>
      <c r="BD870" s="10"/>
      <c r="BE870" s="10"/>
      <c r="BF870" s="10"/>
      <c r="BG870" s="10"/>
      <c r="BH870" s="10"/>
      <c r="BI870" s="10"/>
      <c r="BJ870" s="10"/>
      <c r="BK870" s="10"/>
      <c r="BM870" s="10"/>
    </row>
    <row r="871" spans="1:65" ht="12.75">
      <c r="A871" s="18">
        <v>43446</v>
      </c>
      <c r="B871" s="14" t="s">
        <v>1870</v>
      </c>
      <c r="C871" s="19">
        <v>100000</v>
      </c>
      <c r="D871" s="19"/>
      <c r="E871" s="14" t="s">
        <v>55</v>
      </c>
      <c r="F871" s="14" t="s">
        <v>1866</v>
      </c>
      <c r="G871" s="27" t="s">
        <v>1867</v>
      </c>
      <c r="H871" s="14" t="str">
        <f t="array" ref="H871">IFERROR(INDEX([1]Companies!$G:$G,MATCH(B871,[1]Companies!$A:$A,0)),"")</f>
        <v>Uganda</v>
      </c>
      <c r="I871" s="14" t="str">
        <f t="shared" si="1137"/>
        <v>Uganda</v>
      </c>
      <c r="J871" s="14" t="str">
        <f t="array" ref="J871">IFERROR(INDEX([1]Companies!$Y:$Y,MATCH(B871,[1]Companies!$A:$A,0)),"")</f>
        <v>Transportation/Trucking/Railroad</v>
      </c>
      <c r="K871" s="14" t="str">
        <f t="array" ref="K871">IFERROR(INDEX([1]Companies!$X:$X,MATCH(B871,[1]Companies!$A:$A,0)),"")</f>
        <v>Transport &amp; Logistics</v>
      </c>
      <c r="L871" s="14" t="str">
        <f>VLOOKUP(B871,[1]Companies!$A$1:$C$5243,1,FALSE)</f>
        <v>Ugabus</v>
      </c>
      <c r="M871" s="15">
        <f t="shared" si="1138"/>
        <v>0.9</v>
      </c>
      <c r="N871" s="10" t="str">
        <f t="shared" si="1139"/>
        <v>43446Ugabus100000</v>
      </c>
      <c r="O871" s="14" t="str">
        <f t="shared" si="1140"/>
        <v/>
      </c>
      <c r="P871" s="14">
        <f t="shared" si="1141"/>
        <v>1</v>
      </c>
      <c r="Q871" s="14">
        <f t="array" ref="Q871">IFERROR(INDEX([1]Companies!$D:$D,MATCH(B871,[1]Companies!$A:$A,0)),"")</f>
        <v>2016</v>
      </c>
      <c r="R871" s="17">
        <f t="shared" si="1142"/>
        <v>100000</v>
      </c>
      <c r="S871" s="14">
        <f>VLOOKUP(I871,[1]Lookups!$V$3:$Y$197,4,FALSE)</f>
        <v>0</v>
      </c>
      <c r="T871" s="14" t="str">
        <f>VLOOKUP(E871,[1]Lookups!$H$3:$I$71,2,FALSE)</f>
        <v>1. Grant</v>
      </c>
      <c r="U871" s="14" t="str">
        <f>VLOOKUP(K871,[1]Lookups!$B$3:$C$142,2,FALSE)</f>
        <v>Transport &amp; Logistics</v>
      </c>
      <c r="V871" s="14">
        <f t="shared" si="921"/>
        <v>2018</v>
      </c>
      <c r="W871" s="14">
        <f t="shared" si="922"/>
        <v>12</v>
      </c>
      <c r="X871" s="14">
        <f>VLOOKUP(W871,[1]Lookups!$P$3:$S$15,2,FALSE)</f>
        <v>4</v>
      </c>
      <c r="Y871" s="16">
        <f>VLOOKUP(W871,[1]Lookups!$P$3:$U$15,3,FALSE)</f>
        <v>2</v>
      </c>
      <c r="Z871" s="16">
        <f t="shared" si="923"/>
        <v>1</v>
      </c>
      <c r="AA871" s="16" t="str">
        <f t="shared" ca="1" si="1126"/>
        <v>Odey Asset Management</v>
      </c>
      <c r="AB871" s="16">
        <f t="shared" si="1126"/>
        <v>0</v>
      </c>
      <c r="AC871" s="16">
        <f t="shared" si="1126"/>
        <v>0</v>
      </c>
      <c r="AD871" s="16">
        <f t="shared" si="1126"/>
        <v>0</v>
      </c>
      <c r="AE871" s="16">
        <f t="shared" si="1126"/>
        <v>0</v>
      </c>
      <c r="AF871" s="16">
        <f t="shared" si="1126"/>
        <v>0</v>
      </c>
      <c r="AG871" s="16">
        <f t="shared" si="1126"/>
        <v>0</v>
      </c>
      <c r="AH871" s="16">
        <f t="shared" si="1126"/>
        <v>0</v>
      </c>
      <c r="AI871" s="16">
        <f t="shared" si="1126"/>
        <v>0</v>
      </c>
      <c r="AJ871" s="16">
        <f t="shared" si="1126"/>
        <v>0</v>
      </c>
      <c r="AK871" s="16">
        <f t="shared" si="1126"/>
        <v>0</v>
      </c>
      <c r="AL871" s="16">
        <f t="shared" si="1126"/>
        <v>0</v>
      </c>
      <c r="AM871" s="16">
        <f t="shared" si="1126"/>
        <v>0</v>
      </c>
      <c r="AN871" s="16">
        <f t="shared" si="1126"/>
        <v>0</v>
      </c>
      <c r="AO871" s="16">
        <f t="shared" si="1126"/>
        <v>0</v>
      </c>
      <c r="AP871" s="10"/>
      <c r="AQ871" s="10"/>
      <c r="AR871" s="10"/>
      <c r="AS871" s="10" t="str">
        <f t="shared" ref="AS871" ca="1" si="1148">IFERROR(__xludf.DUMMYFUNCTION("split(F866,"","",true,true)"),"Odey Asset Management")</f>
        <v>Odey Asset Management</v>
      </c>
      <c r="AT871" s="10"/>
      <c r="AU871" s="10"/>
      <c r="AV871" s="10"/>
      <c r="AW871" s="10"/>
      <c r="AX871" s="10"/>
      <c r="AY871" s="10"/>
      <c r="AZ871" s="10"/>
      <c r="BA871" s="10"/>
      <c r="BB871" s="10"/>
      <c r="BC871" s="10"/>
      <c r="BD871" s="10"/>
      <c r="BE871" s="10"/>
      <c r="BF871" s="10"/>
      <c r="BG871" s="10"/>
      <c r="BH871" s="10"/>
      <c r="BI871" s="10"/>
      <c r="BJ871" s="10"/>
      <c r="BK871" s="10"/>
      <c r="BM871" s="10"/>
    </row>
    <row r="872" spans="1:65" ht="12.75">
      <c r="A872" s="18">
        <v>43446</v>
      </c>
      <c r="B872" s="14" t="s">
        <v>1327</v>
      </c>
      <c r="C872" s="19">
        <v>50000</v>
      </c>
      <c r="D872" s="19"/>
      <c r="E872" s="14" t="s">
        <v>45</v>
      </c>
      <c r="F872" s="14" t="s">
        <v>49</v>
      </c>
      <c r="G872" s="21" t="s">
        <v>1871</v>
      </c>
      <c r="H872" s="14" t="str">
        <f t="array" ref="H872">IFERROR(INDEX([1]Companies!$G:$G,MATCH(B872,[1]Companies!$A:$A,0)),"")</f>
        <v>Nigeria</v>
      </c>
      <c r="I872" s="14" t="str">
        <f t="shared" si="1137"/>
        <v>Nigeria</v>
      </c>
      <c r="J872" s="14" t="str">
        <f t="array" ref="J872">IFERROR(INDEX([1]Companies!$Y:$Y,MATCH(B872,[1]Companies!$A:$A,0)),"")</f>
        <v>Delivery Services, Location Based Services, Logistics</v>
      </c>
      <c r="K872" s="14" t="str">
        <f t="array" ref="K872">IFERROR(INDEX([1]Companies!$X:$X,MATCH(B872,[1]Companies!$A:$A,0)),"")</f>
        <v>Transport &amp; Logistics</v>
      </c>
      <c r="L872" s="14" t="str">
        <f>VLOOKUP(B872,[1]Companies!$A$1:$C$5243,1,FALSE)</f>
        <v>Africa Delivery Technologies Ltd</v>
      </c>
      <c r="M872" s="15">
        <f t="shared" si="1138"/>
        <v>0.9</v>
      </c>
      <c r="N872" s="10" t="str">
        <f t="shared" si="1139"/>
        <v>43446Africa Delivery Technologies Ltd50000</v>
      </c>
      <c r="O872" s="14" t="str">
        <f t="shared" si="1140"/>
        <v/>
      </c>
      <c r="P872" s="14">
        <f t="shared" si="1141"/>
        <v>1</v>
      </c>
      <c r="Q872" s="14">
        <f t="array" ref="Q872">IFERROR(INDEX([1]Companies!$D:$D,MATCH(B872,[1]Companies!$A:$A,0)),"")</f>
        <v>2018</v>
      </c>
      <c r="R872" s="17">
        <f t="shared" si="1142"/>
        <v>560000</v>
      </c>
      <c r="S872" s="14">
        <f>VLOOKUP(I872,[1]Lookups!$V$3:$Y$197,4,FALSE)</f>
        <v>0</v>
      </c>
      <c r="T872" s="14" t="str">
        <f>VLOOKUP(E872,[1]Lookups!$H$3:$I$71,2,FALSE)</f>
        <v>2. Seed</v>
      </c>
      <c r="U872" s="14" t="str">
        <f>VLOOKUP(K872,[1]Lookups!$B$3:$C$142,2,FALSE)</f>
        <v>Transport &amp; Logistics</v>
      </c>
      <c r="V872" s="14">
        <f t="shared" si="921"/>
        <v>2018</v>
      </c>
      <c r="W872" s="14">
        <f t="shared" si="922"/>
        <v>12</v>
      </c>
      <c r="X872" s="14">
        <f>VLOOKUP(W872,[1]Lookups!$P$3:$S$15,2,FALSE)</f>
        <v>4</v>
      </c>
      <c r="Y872" s="16">
        <f>VLOOKUP(W872,[1]Lookups!$P$3:$U$15,3,FALSE)</f>
        <v>2</v>
      </c>
      <c r="Z872" s="16">
        <f t="shared" si="923"/>
        <v>1</v>
      </c>
      <c r="AA872" s="16" t="str">
        <f t="shared" ca="1" si="1126"/>
        <v>Odey Asset Management</v>
      </c>
      <c r="AB872" s="16">
        <f t="shared" si="1126"/>
        <v>0</v>
      </c>
      <c r="AC872" s="16">
        <f t="shared" si="1126"/>
        <v>0</v>
      </c>
      <c r="AD872" s="16">
        <f t="shared" si="1126"/>
        <v>0</v>
      </c>
      <c r="AE872" s="16">
        <f t="shared" si="1126"/>
        <v>0</v>
      </c>
      <c r="AF872" s="16">
        <f t="shared" si="1126"/>
        <v>0</v>
      </c>
      <c r="AG872" s="16">
        <f t="shared" si="1126"/>
        <v>0</v>
      </c>
      <c r="AH872" s="16">
        <f t="shared" si="1126"/>
        <v>0</v>
      </c>
      <c r="AI872" s="16">
        <f t="shared" si="1126"/>
        <v>0</v>
      </c>
      <c r="AJ872" s="16">
        <f t="shared" si="1126"/>
        <v>0</v>
      </c>
      <c r="AK872" s="16">
        <f t="shared" si="1126"/>
        <v>0</v>
      </c>
      <c r="AL872" s="16">
        <f t="shared" si="1126"/>
        <v>0</v>
      </c>
      <c r="AM872" s="16">
        <f t="shared" si="1126"/>
        <v>0</v>
      </c>
      <c r="AN872" s="16">
        <f t="shared" si="1126"/>
        <v>0</v>
      </c>
      <c r="AO872" s="16">
        <f t="shared" si="1126"/>
        <v>0</v>
      </c>
      <c r="AP872" s="10"/>
      <c r="AQ872" s="10"/>
      <c r="AR872" s="10"/>
      <c r="AS872" s="10" t="str">
        <f t="shared" ref="AS872" ca="1" si="1149">IFERROR(__xludf.DUMMYFUNCTION("split(F866,"","",true,true)"),"Odey Asset Management")</f>
        <v>Odey Asset Management</v>
      </c>
      <c r="AT872" s="10"/>
      <c r="AU872" s="10"/>
      <c r="AV872" s="10"/>
      <c r="AW872" s="10"/>
      <c r="AX872" s="10"/>
      <c r="AY872" s="10"/>
      <c r="AZ872" s="10"/>
      <c r="BA872" s="10"/>
      <c r="BB872" s="10"/>
      <c r="BC872" s="10"/>
      <c r="BD872" s="10"/>
      <c r="BE872" s="10"/>
      <c r="BF872" s="10"/>
      <c r="BG872" s="10"/>
      <c r="BH872" s="10"/>
      <c r="BI872" s="10"/>
      <c r="BJ872" s="10"/>
      <c r="BK872" s="10"/>
      <c r="BM872" s="10"/>
    </row>
    <row r="873" spans="1:65" ht="12.75">
      <c r="A873" s="18">
        <v>43446</v>
      </c>
      <c r="B873" s="14" t="s">
        <v>1872</v>
      </c>
      <c r="C873" s="19">
        <v>50000</v>
      </c>
      <c r="D873" s="19"/>
      <c r="E873" s="14" t="s">
        <v>55</v>
      </c>
      <c r="F873" s="14" t="s">
        <v>1866</v>
      </c>
      <c r="G873" s="27" t="s">
        <v>1867</v>
      </c>
      <c r="H873" s="14">
        <f t="array" ref="H873">IFERROR(INDEX([1]Companies!$G:$G,MATCH(B873,[1]Companies!$A:$A,0)),"")</f>
        <v>0</v>
      </c>
      <c r="I873" s="14">
        <f t="shared" si="1137"/>
        <v>0</v>
      </c>
      <c r="J873" s="14" t="str">
        <f t="array" ref="J873">IFERROR(INDEX([1]Companies!$Y:$Y,MATCH(B873,[1]Companies!$A:$A,0)),"")</f>
        <v>Information Technology and Services</v>
      </c>
      <c r="K873" s="14" t="str">
        <f t="array" ref="K873">IFERROR(INDEX([1]Companies!$X:$X,MATCH(B873,[1]Companies!$A:$A,0)),"")</f>
        <v>Service Dépannage</v>
      </c>
      <c r="L873" s="14" t="str">
        <f>VLOOKUP(B873,[1]Companies!$A$1:$C$5243,1,FALSE)</f>
        <v>Mon Artisan</v>
      </c>
      <c r="M873" s="15">
        <f t="shared" si="1138"/>
        <v>0.9</v>
      </c>
      <c r="N873" s="10" t="str">
        <f t="shared" si="1139"/>
        <v>43446Mon Artisan50000</v>
      </c>
      <c r="O873" s="14" t="str">
        <f t="shared" si="1140"/>
        <v/>
      </c>
      <c r="P873" s="14">
        <f t="shared" si="1141"/>
        <v>1</v>
      </c>
      <c r="Q873" s="14">
        <f t="array" ref="Q873">IFERROR(INDEX([1]Companies!$D:$D,MATCH(B873,[1]Companies!$A:$A,0)),"")</f>
        <v>2017</v>
      </c>
      <c r="R873" s="17">
        <f t="shared" si="1142"/>
        <v>50000</v>
      </c>
      <c r="S873" s="14" t="e">
        <f>VLOOKUP(I873,[1]Lookups!$V$3:$Y$197,4,FALSE)</f>
        <v>#N/A</v>
      </c>
      <c r="T873" s="14" t="str">
        <f>VLOOKUP(E873,[1]Lookups!$H$3:$I$71,2,FALSE)</f>
        <v>1. Grant</v>
      </c>
      <c r="U873" s="14" t="e">
        <f>VLOOKUP(K873,[1]Lookups!$B$3:$C$142,2,FALSE)</f>
        <v>#N/A</v>
      </c>
      <c r="V873" s="14">
        <f t="shared" si="921"/>
        <v>2018</v>
      </c>
      <c r="W873" s="14">
        <f t="shared" si="922"/>
        <v>12</v>
      </c>
      <c r="X873" s="14">
        <f>VLOOKUP(W873,[1]Lookups!$P$3:$S$15,2,FALSE)</f>
        <v>4</v>
      </c>
      <c r="Y873" s="16">
        <f>VLOOKUP(W873,[1]Lookups!$P$3:$U$15,3,FALSE)</f>
        <v>2</v>
      </c>
      <c r="Z873" s="16">
        <f t="shared" si="923"/>
        <v>1</v>
      </c>
      <c r="AA873" s="16" t="str">
        <f t="shared" ca="1" si="1126"/>
        <v>Odey Asset Management</v>
      </c>
      <c r="AB873" s="16">
        <f t="shared" si="1126"/>
        <v>0</v>
      </c>
      <c r="AC873" s="16">
        <f t="shared" si="1126"/>
        <v>0</v>
      </c>
      <c r="AD873" s="16">
        <f t="shared" si="1126"/>
        <v>0</v>
      </c>
      <c r="AE873" s="16">
        <f t="shared" si="1126"/>
        <v>0</v>
      </c>
      <c r="AF873" s="16">
        <f t="shared" si="1126"/>
        <v>0</v>
      </c>
      <c r="AG873" s="16">
        <f t="shared" si="1126"/>
        <v>0</v>
      </c>
      <c r="AH873" s="16">
        <f t="shared" si="1126"/>
        <v>0</v>
      </c>
      <c r="AI873" s="16">
        <f t="shared" si="1126"/>
        <v>0</v>
      </c>
      <c r="AJ873" s="16">
        <f t="shared" si="1126"/>
        <v>0</v>
      </c>
      <c r="AK873" s="16">
        <f t="shared" si="1126"/>
        <v>0</v>
      </c>
      <c r="AL873" s="16">
        <f t="shared" si="1126"/>
        <v>0</v>
      </c>
      <c r="AM873" s="16">
        <f t="shared" si="1126"/>
        <v>0</v>
      </c>
      <c r="AN873" s="16">
        <f t="shared" si="1126"/>
        <v>0</v>
      </c>
      <c r="AO873" s="16">
        <f t="shared" si="1126"/>
        <v>0</v>
      </c>
      <c r="AP873" s="10"/>
      <c r="AQ873" s="10"/>
      <c r="AR873" s="10"/>
      <c r="AS873" s="10" t="str">
        <f t="shared" ref="AS873" ca="1" si="1150">IFERROR(__xludf.DUMMYFUNCTION("split(F866,"","",true,true)"),"Odey Asset Management")</f>
        <v>Odey Asset Management</v>
      </c>
      <c r="AT873" s="10"/>
      <c r="AU873" s="10"/>
      <c r="AV873" s="10"/>
      <c r="AW873" s="10"/>
      <c r="AX873" s="10"/>
      <c r="AY873" s="10"/>
      <c r="AZ873" s="10"/>
      <c r="BA873" s="10"/>
      <c r="BB873" s="10"/>
      <c r="BC873" s="10"/>
      <c r="BD873" s="10"/>
      <c r="BE873" s="10"/>
      <c r="BF873" s="10"/>
      <c r="BG873" s="10"/>
      <c r="BH873" s="10"/>
      <c r="BI873" s="10"/>
      <c r="BJ873" s="10"/>
      <c r="BK873" s="10"/>
      <c r="BM873" s="10"/>
    </row>
    <row r="874" spans="1:65" ht="12.75">
      <c r="A874" s="18">
        <v>43446</v>
      </c>
      <c r="B874" s="14" t="s">
        <v>1873</v>
      </c>
      <c r="C874" s="19">
        <v>25000</v>
      </c>
      <c r="D874" s="19"/>
      <c r="E874" s="14" t="s">
        <v>55</v>
      </c>
      <c r="F874" s="14" t="s">
        <v>1866</v>
      </c>
      <c r="G874" s="27" t="s">
        <v>1867</v>
      </c>
      <c r="H874" s="14" t="str">
        <f t="array" ref="H874">IFERROR(INDEX([1]Companies!$G:$G,MATCH(B874,[1]Companies!$A:$A,0)),"")</f>
        <v>France</v>
      </c>
      <c r="I874" s="14" t="str">
        <f t="shared" si="1137"/>
        <v>France</v>
      </c>
      <c r="J874" s="14" t="str">
        <f t="array" ref="J874">IFERROR(INDEX([1]Companies!$Y:$Y,MATCH(B874,[1]Companies!$A:$A,0)),"")</f>
        <v>Health, Wellness and Fitness</v>
      </c>
      <c r="K874" s="14" t="str">
        <f t="array" ref="K874">IFERROR(INDEX([1]Companies!$X:$X,MATCH(B874,[1]Companies!$A:$A,0)),"")</f>
        <v>Healthcare &amp; Pharma</v>
      </c>
      <c r="L874" s="14" t="str">
        <f>VLOOKUP(B874,[1]Companies!$A$1:$C$5243,1,FALSE)</f>
        <v>Medtrucks</v>
      </c>
      <c r="M874" s="15">
        <f t="shared" si="1138"/>
        <v>0.9</v>
      </c>
      <c r="N874" s="10" t="str">
        <f t="shared" si="1139"/>
        <v>43446Medtrucks25000</v>
      </c>
      <c r="O874" s="14" t="str">
        <f t="shared" si="1140"/>
        <v/>
      </c>
      <c r="P874" s="14">
        <f t="shared" si="1141"/>
        <v>1</v>
      </c>
      <c r="Q874" s="14">
        <f t="array" ref="Q874">IFERROR(INDEX([1]Companies!$D:$D,MATCH(B874,[1]Companies!$A:$A,0)),"")</f>
        <v>2017</v>
      </c>
      <c r="R874" s="17">
        <f t="shared" si="1142"/>
        <v>25000</v>
      </c>
      <c r="S874" s="14">
        <f>VLOOKUP(I874,[1]Lookups!$V$3:$Y$197,4,FALSE)</f>
        <v>1</v>
      </c>
      <c r="T874" s="14" t="str">
        <f>VLOOKUP(E874,[1]Lookups!$H$3:$I$71,2,FALSE)</f>
        <v>1. Grant</v>
      </c>
      <c r="U874" s="14" t="str">
        <f>VLOOKUP(K874,[1]Lookups!$B$3:$C$142,2,FALSE)</f>
        <v>Health &amp; Pharmaceuticals</v>
      </c>
      <c r="V874" s="14">
        <f t="shared" si="921"/>
        <v>2018</v>
      </c>
      <c r="W874" s="14">
        <f t="shared" si="922"/>
        <v>12</v>
      </c>
      <c r="X874" s="14">
        <f>VLOOKUP(W874,[1]Lookups!$P$3:$S$15,2,FALSE)</f>
        <v>4</v>
      </c>
      <c r="Y874" s="16">
        <f>VLOOKUP(W874,[1]Lookups!$P$3:$U$15,3,FALSE)</f>
        <v>2</v>
      </c>
      <c r="Z874" s="16">
        <f t="shared" si="923"/>
        <v>1</v>
      </c>
      <c r="AA874" s="16" t="str">
        <f t="shared" ca="1" si="1126"/>
        <v>Odey Asset Management</v>
      </c>
      <c r="AB874" s="16">
        <f t="shared" si="1126"/>
        <v>0</v>
      </c>
      <c r="AC874" s="16">
        <f t="shared" si="1126"/>
        <v>0</v>
      </c>
      <c r="AD874" s="16">
        <f t="shared" si="1126"/>
        <v>0</v>
      </c>
      <c r="AE874" s="16">
        <f t="shared" si="1126"/>
        <v>0</v>
      </c>
      <c r="AF874" s="16">
        <f t="shared" si="1126"/>
        <v>0</v>
      </c>
      <c r="AG874" s="16">
        <f t="shared" si="1126"/>
        <v>0</v>
      </c>
      <c r="AH874" s="16">
        <f t="shared" si="1126"/>
        <v>0</v>
      </c>
      <c r="AI874" s="16">
        <f t="shared" si="1126"/>
        <v>0</v>
      </c>
      <c r="AJ874" s="16">
        <f t="shared" si="1126"/>
        <v>0</v>
      </c>
      <c r="AK874" s="16">
        <f t="shared" si="1126"/>
        <v>0</v>
      </c>
      <c r="AL874" s="16">
        <f t="shared" si="1126"/>
        <v>0</v>
      </c>
      <c r="AM874" s="16">
        <f t="shared" si="1126"/>
        <v>0</v>
      </c>
      <c r="AN874" s="16">
        <f t="shared" si="1126"/>
        <v>0</v>
      </c>
      <c r="AO874" s="16">
        <f t="shared" si="1126"/>
        <v>0</v>
      </c>
      <c r="AP874" s="10"/>
      <c r="AQ874" s="10"/>
      <c r="AR874" s="10"/>
      <c r="AS874" s="10" t="str">
        <f t="shared" ref="AS874" ca="1" si="1151">IFERROR(__xludf.DUMMYFUNCTION("split(F866,"","",true,true)"),"Odey Asset Management")</f>
        <v>Odey Asset Management</v>
      </c>
      <c r="AT874" s="10"/>
      <c r="AU874" s="10"/>
      <c r="AV874" s="10"/>
      <c r="AW874" s="10"/>
      <c r="AX874" s="10"/>
      <c r="AY874" s="10"/>
      <c r="AZ874" s="10"/>
      <c r="BA874" s="10"/>
      <c r="BB874" s="10"/>
      <c r="BC874" s="10"/>
      <c r="BD874" s="10"/>
      <c r="BE874" s="10"/>
      <c r="BF874" s="10"/>
      <c r="BG874" s="10"/>
      <c r="BH874" s="10"/>
      <c r="BI874" s="10"/>
      <c r="BJ874" s="10"/>
      <c r="BK874" s="10"/>
      <c r="BM874" s="10"/>
    </row>
    <row r="875" spans="1:65" ht="12.75">
      <c r="A875" s="18">
        <v>43446</v>
      </c>
      <c r="B875" s="14" t="s">
        <v>1874</v>
      </c>
      <c r="C875" s="19">
        <v>25000</v>
      </c>
      <c r="D875" s="19"/>
      <c r="E875" s="14" t="s">
        <v>55</v>
      </c>
      <c r="F875" s="14" t="s">
        <v>1866</v>
      </c>
      <c r="G875" s="27" t="s">
        <v>1867</v>
      </c>
      <c r="H875" s="14" t="str">
        <f t="array" ref="H875">IFERROR(INDEX([1]Companies!$G:$G,MATCH(B875,[1]Companies!$A:$A,0)),"")</f>
        <v>United States of America</v>
      </c>
      <c r="I875" s="14" t="str">
        <f t="shared" si="1137"/>
        <v>United States of America</v>
      </c>
      <c r="J875" s="14" t="str">
        <f t="array" ref="J875">IFERROR(INDEX([1]Companies!$Y:$Y,MATCH(B875,[1]Companies!$A:$A,0)),"")</f>
        <v>Renewables &amp; Environment</v>
      </c>
      <c r="K875" s="14" t="str">
        <f t="array" ref="K875">IFERROR(INDEX([1]Companies!$X:$X,MATCH(B875,[1]Companies!$A:$A,0)),"")</f>
        <v>Energy &amp; Environment Resources</v>
      </c>
      <c r="L875" s="14" t="str">
        <f>VLOOKUP(B875,[1]Companies!$A$1:$C$5243,1,FALSE)</f>
        <v>Green Tech Africa</v>
      </c>
      <c r="M875" s="15">
        <f t="shared" si="1138"/>
        <v>0.9</v>
      </c>
      <c r="N875" s="10" t="str">
        <f t="shared" si="1139"/>
        <v>43446Green Tech Africa25000</v>
      </c>
      <c r="O875" s="14" t="str">
        <f t="shared" si="1140"/>
        <v/>
      </c>
      <c r="P875" s="14">
        <f t="shared" si="1141"/>
        <v>1</v>
      </c>
      <c r="Q875" s="14">
        <f t="array" ref="Q875">IFERROR(INDEX([1]Companies!$D:$D,MATCH(B875,[1]Companies!$A:$A,0)),"")</f>
        <v>2015</v>
      </c>
      <c r="R875" s="17">
        <f t="shared" si="1142"/>
        <v>25000</v>
      </c>
      <c r="S875" s="14">
        <f>VLOOKUP(I875,[1]Lookups!$V$3:$Y$197,4,FALSE)</f>
        <v>1</v>
      </c>
      <c r="T875" s="14" t="str">
        <f>VLOOKUP(E875,[1]Lookups!$H$3:$I$71,2,FALSE)</f>
        <v>1. Grant</v>
      </c>
      <c r="U875" s="14" t="e">
        <f>VLOOKUP(K875,[1]Lookups!$B$3:$C$142,2,FALSE)</f>
        <v>#N/A</v>
      </c>
      <c r="V875" s="14">
        <f t="shared" si="921"/>
        <v>2018</v>
      </c>
      <c r="W875" s="14">
        <f t="shared" si="922"/>
        <v>12</v>
      </c>
      <c r="X875" s="14">
        <f>VLOOKUP(W875,[1]Lookups!$P$3:$S$15,2,FALSE)</f>
        <v>4</v>
      </c>
      <c r="Y875" s="16">
        <f>VLOOKUP(W875,[1]Lookups!$P$3:$U$15,3,FALSE)</f>
        <v>2</v>
      </c>
      <c r="Z875" s="16">
        <f t="shared" si="923"/>
        <v>1</v>
      </c>
      <c r="AA875" s="16" t="str">
        <f t="shared" ca="1" si="1126"/>
        <v>Odey Asset Management</v>
      </c>
      <c r="AB875" s="16">
        <f t="shared" si="1126"/>
        <v>0</v>
      </c>
      <c r="AC875" s="16">
        <f t="shared" si="1126"/>
        <v>0</v>
      </c>
      <c r="AD875" s="16">
        <f t="shared" si="1126"/>
        <v>0</v>
      </c>
      <c r="AE875" s="16">
        <f t="shared" si="1126"/>
        <v>0</v>
      </c>
      <c r="AF875" s="16">
        <f t="shared" si="1126"/>
        <v>0</v>
      </c>
      <c r="AG875" s="16">
        <f t="shared" si="1126"/>
        <v>0</v>
      </c>
      <c r="AH875" s="16">
        <f t="shared" si="1126"/>
        <v>0</v>
      </c>
      <c r="AI875" s="16">
        <f t="shared" si="1126"/>
        <v>0</v>
      </c>
      <c r="AJ875" s="16">
        <f t="shared" si="1126"/>
        <v>0</v>
      </c>
      <c r="AK875" s="16">
        <f t="shared" si="1126"/>
        <v>0</v>
      </c>
      <c r="AL875" s="16">
        <f t="shared" si="1126"/>
        <v>0</v>
      </c>
      <c r="AM875" s="16">
        <f t="shared" si="1126"/>
        <v>0</v>
      </c>
      <c r="AN875" s="16">
        <f t="shared" si="1126"/>
        <v>0</v>
      </c>
      <c r="AO875" s="16">
        <f t="shared" si="1126"/>
        <v>0</v>
      </c>
      <c r="AP875" s="10"/>
      <c r="AQ875" s="10"/>
      <c r="AR875" s="10"/>
      <c r="AS875" s="10" t="str">
        <f t="shared" ref="AS875" ca="1" si="1152">IFERROR(__xludf.DUMMYFUNCTION("split(F866,"","",true,true)"),"Odey Asset Management")</f>
        <v>Odey Asset Management</v>
      </c>
      <c r="AT875" s="10"/>
      <c r="AU875" s="10"/>
      <c r="AV875" s="10"/>
      <c r="AW875" s="10"/>
      <c r="AX875" s="10"/>
      <c r="AY875" s="10"/>
      <c r="AZ875" s="10"/>
      <c r="BA875" s="10"/>
      <c r="BB875" s="10"/>
      <c r="BC875" s="10"/>
      <c r="BD875" s="10"/>
      <c r="BE875" s="10"/>
      <c r="BF875" s="10"/>
      <c r="BG875" s="10"/>
      <c r="BH875" s="10"/>
      <c r="BI875" s="10"/>
      <c r="BJ875" s="10"/>
      <c r="BK875" s="10"/>
      <c r="BL875" s="10"/>
      <c r="BM875" s="10"/>
    </row>
    <row r="876" spans="1:65" ht="12.75">
      <c r="A876" s="18">
        <v>43446</v>
      </c>
      <c r="B876" s="14" t="s">
        <v>1875</v>
      </c>
      <c r="C876" s="19">
        <v>25000</v>
      </c>
      <c r="D876" s="19"/>
      <c r="E876" s="14" t="s">
        <v>55</v>
      </c>
      <c r="F876" s="14" t="s">
        <v>1866</v>
      </c>
      <c r="G876" s="27" t="s">
        <v>1867</v>
      </c>
      <c r="H876" s="14" t="str">
        <f t="array" ref="H876">IFERROR(INDEX([1]Companies!$G:$G,MATCH(B876,[1]Companies!$A:$A,0)),"")</f>
        <v>Ghana</v>
      </c>
      <c r="I876" s="14" t="str">
        <f t="shared" si="1137"/>
        <v>Ghana</v>
      </c>
      <c r="J876" s="14" t="str">
        <f t="array" ref="J876">IFERROR(INDEX([1]Companies!$Y:$Y,MATCH(B876,[1]Companies!$A:$A,0)),"")</f>
        <v>Audio, Audiobooks, EBooks, Media and Entertainment</v>
      </c>
      <c r="K876" s="14" t="str">
        <f t="array" ref="K876">IFERROR(INDEX([1]Companies!$X:$X,MATCH(B876,[1]Companies!$A:$A,0)),"")</f>
        <v>Education</v>
      </c>
      <c r="L876" s="14" t="str">
        <f>VLOOKUP(B876,[1]Companies!$A$1:$C$5243,1,FALSE)</f>
        <v>Akoobooks Audio</v>
      </c>
      <c r="M876" s="15">
        <f t="shared" si="1138"/>
        <v>0.9</v>
      </c>
      <c r="N876" s="10" t="str">
        <f t="shared" si="1139"/>
        <v>43446AkooBooks Audio25000</v>
      </c>
      <c r="O876" s="14" t="str">
        <f t="shared" si="1140"/>
        <v/>
      </c>
      <c r="P876" s="14">
        <f t="shared" si="1141"/>
        <v>1</v>
      </c>
      <c r="Q876" s="14">
        <f t="array" ref="Q876">IFERROR(INDEX([1]Companies!$D:$D,MATCH(B876,[1]Companies!$A:$A,0)),"")</f>
        <v>2017</v>
      </c>
      <c r="R876" s="17">
        <f t="shared" si="1142"/>
        <v>25000</v>
      </c>
      <c r="S876" s="14">
        <f>VLOOKUP(I876,[1]Lookups!$V$3:$Y$197,4,FALSE)</f>
        <v>0</v>
      </c>
      <c r="T876" s="14" t="str">
        <f>VLOOKUP(E876,[1]Lookups!$H$3:$I$71,2,FALSE)</f>
        <v>1. Grant</v>
      </c>
      <c r="U876" s="14" t="str">
        <f>VLOOKUP(K876,[1]Lookups!$B$3:$C$142,2,FALSE)</f>
        <v>Education</v>
      </c>
      <c r="V876" s="14">
        <f t="shared" si="921"/>
        <v>2018</v>
      </c>
      <c r="W876" s="14">
        <f t="shared" si="922"/>
        <v>12</v>
      </c>
      <c r="X876" s="14">
        <f>VLOOKUP(W876,[1]Lookups!$P$3:$S$15,2,FALSE)</f>
        <v>4</v>
      </c>
      <c r="Y876" s="16">
        <f>VLOOKUP(W876,[1]Lookups!$P$3:$U$15,3,FALSE)</f>
        <v>2</v>
      </c>
      <c r="Z876" s="16">
        <f t="shared" si="923"/>
        <v>1</v>
      </c>
      <c r="AA876" s="16" t="str">
        <f t="shared" ref="AA876:AO876" ca="1" si="1153">AS876</f>
        <v>Odey Asset Management</v>
      </c>
      <c r="AB876" s="16">
        <f t="shared" si="1153"/>
        <v>0</v>
      </c>
      <c r="AC876" s="16">
        <f t="shared" si="1153"/>
        <v>0</v>
      </c>
      <c r="AD876" s="16">
        <f t="shared" si="1153"/>
        <v>0</v>
      </c>
      <c r="AE876" s="16">
        <f t="shared" si="1153"/>
        <v>0</v>
      </c>
      <c r="AF876" s="16">
        <f t="shared" si="1153"/>
        <v>0</v>
      </c>
      <c r="AG876" s="16">
        <f t="shared" si="1153"/>
        <v>0</v>
      </c>
      <c r="AH876" s="16">
        <f t="shared" si="1153"/>
        <v>0</v>
      </c>
      <c r="AI876" s="16">
        <f t="shared" si="1153"/>
        <v>0</v>
      </c>
      <c r="AJ876" s="16">
        <f t="shared" si="1153"/>
        <v>0</v>
      </c>
      <c r="AK876" s="16">
        <f t="shared" si="1153"/>
        <v>0</v>
      </c>
      <c r="AL876" s="16">
        <f t="shared" si="1153"/>
        <v>0</v>
      </c>
      <c r="AM876" s="16">
        <f t="shared" si="1153"/>
        <v>0</v>
      </c>
      <c r="AN876" s="16">
        <f t="shared" si="1153"/>
        <v>0</v>
      </c>
      <c r="AO876" s="16">
        <f t="shared" si="1153"/>
        <v>0</v>
      </c>
      <c r="AP876" s="10"/>
      <c r="AQ876" s="10"/>
      <c r="AR876" s="10"/>
      <c r="AS876" s="10" t="str">
        <f t="shared" ref="AS876" ca="1" si="1154">IFERROR(__xludf.DUMMYFUNCTION("split(F866,"","",true,true)"),"Odey Asset Management")</f>
        <v>Odey Asset Management</v>
      </c>
      <c r="AT876" s="10"/>
      <c r="AU876" s="10"/>
      <c r="AV876" s="10"/>
      <c r="AW876" s="10"/>
      <c r="AX876" s="10"/>
      <c r="AY876" s="10"/>
      <c r="AZ876" s="10"/>
      <c r="BA876" s="10"/>
      <c r="BB876" s="10"/>
      <c r="BC876" s="10"/>
      <c r="BD876" s="10"/>
      <c r="BE876" s="10"/>
      <c r="BF876" s="10"/>
      <c r="BG876" s="10"/>
      <c r="BH876" s="10"/>
      <c r="BI876" s="10"/>
      <c r="BJ876" s="10"/>
      <c r="BK876" s="10"/>
      <c r="BM876" s="10"/>
    </row>
    <row r="877" spans="1:65" ht="12.75">
      <c r="A877" s="18">
        <v>43447</v>
      </c>
      <c r="B877" s="14" t="s">
        <v>1876</v>
      </c>
      <c r="C877" s="19">
        <v>900000</v>
      </c>
      <c r="D877" s="19"/>
      <c r="E877" s="14" t="s">
        <v>45</v>
      </c>
      <c r="F877" s="14" t="s">
        <v>1877</v>
      </c>
      <c r="G877" s="13" t="s">
        <v>1878</v>
      </c>
      <c r="H877" s="14"/>
      <c r="I877" s="14"/>
      <c r="J877" s="14"/>
      <c r="K877" s="14"/>
      <c r="L877" s="14"/>
      <c r="M877" s="15"/>
      <c r="N877" s="10"/>
      <c r="O877" s="14"/>
      <c r="P877" s="14"/>
      <c r="Q877" s="14"/>
      <c r="R877" s="17"/>
      <c r="S877" s="14"/>
      <c r="T877" s="14"/>
      <c r="U877" s="14"/>
      <c r="V877" s="14">
        <f t="shared" si="921"/>
        <v>2018</v>
      </c>
      <c r="W877" s="14">
        <f t="shared" si="922"/>
        <v>12</v>
      </c>
      <c r="X877" s="14">
        <f>VLOOKUP(W877,[1]Lookups!$P$3:$S$15,2,FALSE)</f>
        <v>4</v>
      </c>
      <c r="Y877" s="16">
        <f>VLOOKUP(W877,[1]Lookups!$P$3:$U$15,3,FALSE)</f>
        <v>2</v>
      </c>
      <c r="Z877" s="16">
        <f t="shared" si="923"/>
        <v>1</v>
      </c>
      <c r="AA877" s="16"/>
      <c r="AB877" s="16"/>
      <c r="AC877" s="16"/>
      <c r="AD877" s="16"/>
      <c r="AE877" s="16"/>
      <c r="AF877" s="16"/>
      <c r="AG877" s="16"/>
      <c r="AH877" s="16"/>
      <c r="AI877" s="16"/>
      <c r="AJ877" s="16"/>
      <c r="AK877" s="16"/>
      <c r="AL877" s="16"/>
      <c r="AM877" s="16"/>
      <c r="AN877" s="16"/>
      <c r="AO877" s="16"/>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M877" s="10"/>
    </row>
    <row r="878" spans="1:65" ht="12.75">
      <c r="A878" s="18">
        <v>43447</v>
      </c>
      <c r="B878" s="14" t="s">
        <v>442</v>
      </c>
      <c r="C878" s="19">
        <v>4500000</v>
      </c>
      <c r="D878" s="19"/>
      <c r="E878" s="14" t="s">
        <v>69</v>
      </c>
      <c r="F878" s="14" t="s">
        <v>1879</v>
      </c>
      <c r="G878" s="27" t="s">
        <v>1880</v>
      </c>
      <c r="H878" s="14" t="str">
        <f t="array" ref="H878">IFERROR(INDEX([1]Companies!$G:$G,MATCH(B878,[1]Companies!$A:$A,0)),"")</f>
        <v>Tunisia</v>
      </c>
      <c r="I878" s="14" t="str">
        <f t="shared" ref="I878:I949" si="1155">IF(LEN(TRIM(H878))-LEN(SUBSTITUTE(TRIM(H878),",","")) &gt; 0,TRIM(RIGHT(H878,LEN(H878)-FIND(",",H878))),H878)</f>
        <v>Tunisia</v>
      </c>
      <c r="J878" s="14" t="str">
        <f t="array" ref="J878">IFERROR(INDEX([1]Companies!$Y:$Y,MATCH(B878,[1]Companies!$A:$A,0)),"")</f>
        <v>Accounting, Financial Services, Mobile Apps, FInance Management</v>
      </c>
      <c r="K878" s="14" t="str">
        <f t="array" ref="K878">IFERROR(INDEX([1]Companies!$X:$X,MATCH(B878,[1]Companies!$A:$A,0)),"")</f>
        <v>Financial Services</v>
      </c>
      <c r="L878" s="14" t="str">
        <f>VLOOKUP(B878,[1]Companies!$A$1:$C$5243,1,FALSE)</f>
        <v>Expensya</v>
      </c>
      <c r="M878" s="15">
        <f t="shared" ref="M878:M923" si="1156">COUNTA(B878:K878)/(COUNTBLANK(B878:K878) + COUNTA(B878:K878))</f>
        <v>0.9</v>
      </c>
      <c r="N878" s="10" t="str">
        <f t="shared" ref="N878:N923" si="1157">CONCATENATE(A878,B878,C878)</f>
        <v>43447Expensya4500000</v>
      </c>
      <c r="O878" s="14" t="str">
        <f t="shared" ref="O878:O923" si="1158">IF(A878 = "","",IF(COUNTIF(N:N,CONCATENATE(A878,B878,C878))&gt;1,"Duplicated",""))</f>
        <v/>
      </c>
      <c r="P878" s="14">
        <f t="shared" ref="P878:P923" si="1159">IF(C878="Undisclosed",0,1)</f>
        <v>1</v>
      </c>
      <c r="Q878" s="14">
        <f t="array" ref="Q878">IFERROR(INDEX([1]Companies!$D:$D,MATCH(B878,[1]Companies!$A:$A,0)),"")</f>
        <v>2014</v>
      </c>
      <c r="R878" s="17">
        <f t="shared" ref="R878:R923" si="1160">SUMIF(B:B,B878,C:C)</f>
        <v>4500000</v>
      </c>
      <c r="S878" s="14">
        <f>VLOOKUP(I878,[1]Lookups!$V$3:$Y$197,4,FALSE)</f>
        <v>0</v>
      </c>
      <c r="T878" s="14" t="str">
        <f>VLOOKUP(E878,[1]Lookups!$H$3:$I$71,2,FALSE)</f>
        <v>3. Early Venture</v>
      </c>
      <c r="U878" s="14" t="str">
        <f>VLOOKUP(K878,[1]Lookups!$B$3:$C$142,2,FALSE)</f>
        <v>Financial Services</v>
      </c>
      <c r="V878" s="14">
        <f t="shared" si="921"/>
        <v>2018</v>
      </c>
      <c r="W878" s="14">
        <f t="shared" si="922"/>
        <v>12</v>
      </c>
      <c r="X878" s="14">
        <f>VLOOKUP(W878,[1]Lookups!$P$3:$S$15,2,FALSE)</f>
        <v>4</v>
      </c>
      <c r="Y878" s="16">
        <f>VLOOKUP(W878,[1]Lookups!$P$3:$U$15,3,FALSE)</f>
        <v>2</v>
      </c>
      <c r="Z878" s="16">
        <f t="shared" si="923"/>
        <v>2</v>
      </c>
      <c r="AA878" s="16" t="str">
        <f t="shared" ref="AA878:AO893" ca="1" si="1161">AS878</f>
        <v>ISAI</v>
      </c>
      <c r="AB878" s="16" t="str">
        <f t="shared" ca="1" si="1161"/>
        <v xml:space="preserve">  Seventure Partners</v>
      </c>
      <c r="AC878" s="16">
        <f t="shared" si="1161"/>
        <v>0</v>
      </c>
      <c r="AD878" s="16">
        <f t="shared" si="1161"/>
        <v>0</v>
      </c>
      <c r="AE878" s="16">
        <f t="shared" si="1161"/>
        <v>0</v>
      </c>
      <c r="AF878" s="16">
        <f t="shared" si="1161"/>
        <v>0</v>
      </c>
      <c r="AG878" s="16">
        <f t="shared" si="1161"/>
        <v>0</v>
      </c>
      <c r="AH878" s="16">
        <f t="shared" si="1161"/>
        <v>0</v>
      </c>
      <c r="AI878" s="16">
        <f t="shared" si="1161"/>
        <v>0</v>
      </c>
      <c r="AJ878" s="16">
        <f t="shared" si="1161"/>
        <v>0</v>
      </c>
      <c r="AK878" s="16">
        <f t="shared" si="1161"/>
        <v>0</v>
      </c>
      <c r="AL878" s="16">
        <f t="shared" si="1161"/>
        <v>0</v>
      </c>
      <c r="AM878" s="16">
        <f t="shared" si="1161"/>
        <v>0</v>
      </c>
      <c r="AN878" s="16">
        <f t="shared" si="1161"/>
        <v>0</v>
      </c>
      <c r="AO878" s="16">
        <f t="shared" si="1161"/>
        <v>0</v>
      </c>
      <c r="AP878" s="10"/>
      <c r="AQ878" s="10"/>
      <c r="AR878" s="10"/>
      <c r="AS878" s="10" t="str">
        <f t="shared" ref="AS878" ca="1" si="1162">IFERROR(__xludf.DUMMYFUNCTION("split(F878,"","",true,true)"),"ISAI")</f>
        <v>ISAI</v>
      </c>
      <c r="AT878" s="10" t="str">
        <f ca="1">IFERROR(__xludf.DUMMYFUNCTION("""COMPUTED_VALUE"""),"  Seventure Partners")</f>
        <v xml:space="preserve">  Seventure Partners</v>
      </c>
      <c r="AU878" s="10"/>
      <c r="AV878" s="10"/>
      <c r="AW878" s="10"/>
      <c r="AX878" s="10"/>
      <c r="AY878" s="10"/>
      <c r="AZ878" s="10"/>
      <c r="BA878" s="10"/>
      <c r="BB878" s="10"/>
      <c r="BC878" s="10"/>
      <c r="BD878" s="10"/>
      <c r="BE878" s="10"/>
      <c r="BF878" s="10"/>
      <c r="BG878" s="10"/>
      <c r="BH878" s="10"/>
      <c r="BI878" s="10"/>
      <c r="BJ878" s="10"/>
      <c r="BK878" s="10"/>
      <c r="BM878" s="10"/>
    </row>
    <row r="879" spans="1:65" ht="12.75">
      <c r="A879" s="18">
        <v>43447</v>
      </c>
      <c r="B879" s="14" t="s">
        <v>604</v>
      </c>
      <c r="C879" s="19">
        <v>1600000</v>
      </c>
      <c r="D879" s="19"/>
      <c r="E879" s="14" t="s">
        <v>45</v>
      </c>
      <c r="F879" s="14" t="s">
        <v>1881</v>
      </c>
      <c r="G879" s="27" t="s">
        <v>1882</v>
      </c>
      <c r="H879" s="14" t="str">
        <f t="array" ref="H879">IFERROR(INDEX([1]Companies!$G:$G,MATCH(B879,[1]Companies!$A:$A,0)),"")</f>
        <v>Rwanda</v>
      </c>
      <c r="I879" s="14" t="str">
        <f t="shared" si="1155"/>
        <v>Rwanda</v>
      </c>
      <c r="J879" s="14" t="str">
        <f t="array" ref="J879">IFERROR(INDEX([1]Companies!$Y:$Y,MATCH(B879,[1]Companies!$A:$A,0)),"")</f>
        <v>Renewables &amp; Environment</v>
      </c>
      <c r="K879" s="14" t="str">
        <f t="array" ref="K879">IFERROR(INDEX([1]Companies!$X:$X,MATCH(B879,[1]Companies!$A:$A,0)),"")</f>
        <v>Energy &amp; Environment Resources</v>
      </c>
      <c r="L879" s="14" t="str">
        <f>VLOOKUP(B879,[1]Companies!$A$1:$C$5243,1,FALSE)</f>
        <v>OffGridBox</v>
      </c>
      <c r="M879" s="15">
        <f t="shared" si="1156"/>
        <v>0.9</v>
      </c>
      <c r="N879" s="10" t="str">
        <f t="shared" si="1157"/>
        <v>43447OffGridBox1600000</v>
      </c>
      <c r="O879" s="14" t="str">
        <f t="shared" si="1158"/>
        <v/>
      </c>
      <c r="P879" s="14">
        <f t="shared" si="1159"/>
        <v>1</v>
      </c>
      <c r="Q879" s="14">
        <f t="array" ref="Q879">IFERROR(INDEX([1]Companies!$D:$D,MATCH(B879,[1]Companies!$A:$A,0)),"")</f>
        <v>2016</v>
      </c>
      <c r="R879" s="17">
        <f t="shared" si="1160"/>
        <v>3705000</v>
      </c>
      <c r="S879" s="14">
        <f>VLOOKUP(I879,[1]Lookups!$V$3:$Y$197,4,FALSE)</f>
        <v>0</v>
      </c>
      <c r="T879" s="14" t="str">
        <f>VLOOKUP(E879,[1]Lookups!$H$3:$I$71,2,FALSE)</f>
        <v>2. Seed</v>
      </c>
      <c r="U879" s="14" t="e">
        <f>VLOOKUP(K879,[1]Lookups!$B$3:$C$142,2,FALSE)</f>
        <v>#N/A</v>
      </c>
      <c r="V879" s="14">
        <f t="shared" si="921"/>
        <v>2018</v>
      </c>
      <c r="W879" s="14">
        <f t="shared" si="922"/>
        <v>12</v>
      </c>
      <c r="X879" s="14">
        <f>VLOOKUP(W879,[1]Lookups!$P$3:$S$15,2,FALSE)</f>
        <v>4</v>
      </c>
      <c r="Y879" s="16">
        <f>VLOOKUP(W879,[1]Lookups!$P$3:$U$15,3,FALSE)</f>
        <v>2</v>
      </c>
      <c r="Z879" s="16">
        <f t="shared" si="923"/>
        <v>3</v>
      </c>
      <c r="AA879" s="16" t="str">
        <f t="shared" ca="1" si="1161"/>
        <v>ISAI</v>
      </c>
      <c r="AB879" s="16" t="str">
        <f t="shared" ca="1" si="1161"/>
        <v xml:space="preserve"> Good Energies Foundations</v>
      </c>
      <c r="AC879" s="16" t="str">
        <f t="shared" ca="1" si="1161"/>
        <v xml:space="preserve"> Banque Populaire du Rwanda</v>
      </c>
      <c r="AD879" s="16">
        <f t="shared" si="1161"/>
        <v>0</v>
      </c>
      <c r="AE879" s="16">
        <f t="shared" si="1161"/>
        <v>0</v>
      </c>
      <c r="AF879" s="16">
        <f t="shared" si="1161"/>
        <v>0</v>
      </c>
      <c r="AG879" s="16">
        <f t="shared" si="1161"/>
        <v>0</v>
      </c>
      <c r="AH879" s="16">
        <f t="shared" si="1161"/>
        <v>0</v>
      </c>
      <c r="AI879" s="16">
        <f t="shared" si="1161"/>
        <v>0</v>
      </c>
      <c r="AJ879" s="16">
        <f t="shared" si="1161"/>
        <v>0</v>
      </c>
      <c r="AK879" s="16">
        <f t="shared" si="1161"/>
        <v>0</v>
      </c>
      <c r="AL879" s="16">
        <f t="shared" si="1161"/>
        <v>0</v>
      </c>
      <c r="AM879" s="16">
        <f t="shared" si="1161"/>
        <v>0</v>
      </c>
      <c r="AN879" s="16">
        <f t="shared" si="1161"/>
        <v>0</v>
      </c>
      <c r="AO879" s="16">
        <f t="shared" si="1161"/>
        <v>0</v>
      </c>
      <c r="AP879" s="10"/>
      <c r="AQ879" s="10"/>
      <c r="AR879" s="10"/>
      <c r="AS879" s="10" t="str">
        <f t="shared" ref="AS879" ca="1" si="1163">IFERROR(__xludf.DUMMYFUNCTION("split(F878,"","",true,true)"),"ISAI")</f>
        <v>ISAI</v>
      </c>
      <c r="AT879" s="10" t="str">
        <f ca="1">IFERROR(__xludf.DUMMYFUNCTION("""COMPUTED_VALUE""")," Good Energies Foundations")</f>
        <v xml:space="preserve"> Good Energies Foundations</v>
      </c>
      <c r="AU879" s="10" t="str">
        <f ca="1">IFERROR(__xludf.DUMMYFUNCTION("""COMPUTED_VALUE""")," Banque Populaire du Rwanda")</f>
        <v xml:space="preserve"> Banque Populaire du Rwanda</v>
      </c>
      <c r="AV879" s="10"/>
      <c r="AW879" s="10"/>
      <c r="AX879" s="10"/>
      <c r="AY879" s="10"/>
      <c r="AZ879" s="10"/>
      <c r="BA879" s="10"/>
      <c r="BB879" s="10"/>
      <c r="BC879" s="10"/>
      <c r="BD879" s="10"/>
      <c r="BE879" s="10"/>
      <c r="BF879" s="10"/>
      <c r="BG879" s="10"/>
      <c r="BH879" s="10"/>
      <c r="BI879" s="10"/>
      <c r="BJ879" s="10"/>
      <c r="BK879" s="10"/>
      <c r="BM879" s="10"/>
    </row>
    <row r="880" spans="1:65" ht="12.75">
      <c r="A880" s="18">
        <v>43448</v>
      </c>
      <c r="B880" s="14" t="s">
        <v>1883</v>
      </c>
      <c r="C880" s="19">
        <v>1050000</v>
      </c>
      <c r="D880" s="19"/>
      <c r="E880" s="14" t="s">
        <v>45</v>
      </c>
      <c r="F880" s="14" t="s">
        <v>1884</v>
      </c>
      <c r="G880" s="27" t="s">
        <v>1885</v>
      </c>
      <c r="H880" s="14" t="str">
        <f t="array" ref="H880">IFERROR(INDEX([1]Companies!$G:$G,MATCH(B880,[1]Companies!$A:$A,0)),"")</f>
        <v>Zambia</v>
      </c>
      <c r="I880" s="14" t="str">
        <f t="shared" si="1155"/>
        <v>Zambia</v>
      </c>
      <c r="J880" s="14" t="str">
        <f t="array" ref="J880">IFERROR(INDEX([1]Companies!$Y:$Y,MATCH(B880,[1]Companies!$A:$A,0)),"")</f>
        <v>Asset Financing, Pay As You Go Solar, Farm Machinery</v>
      </c>
      <c r="K880" s="14" t="str">
        <f t="array" ref="K880">IFERROR(INDEX([1]Companies!$X:$X,MATCH(B880,[1]Companies!$A:$A,0)),"")</f>
        <v>Agriculture</v>
      </c>
      <c r="L880" s="14" t="str">
        <f>VLOOKUP(B880,[1]Companies!$A$1:$C$5243,1,FALSE)</f>
        <v>Rent To Own Africa</v>
      </c>
      <c r="M880" s="15">
        <f t="shared" si="1156"/>
        <v>0.9</v>
      </c>
      <c r="N880" s="10" t="str">
        <f t="shared" si="1157"/>
        <v>43448Rent To Own Africa1050000</v>
      </c>
      <c r="O880" s="14" t="str">
        <f t="shared" si="1158"/>
        <v/>
      </c>
      <c r="P880" s="14">
        <f t="shared" si="1159"/>
        <v>1</v>
      </c>
      <c r="Q880" s="14">
        <f t="array" ref="Q880">IFERROR(INDEX([1]Companies!$D:$D,MATCH(B880,[1]Companies!$A:$A,0)),"")</f>
        <v>2010</v>
      </c>
      <c r="R880" s="17">
        <f t="shared" si="1160"/>
        <v>2170000</v>
      </c>
      <c r="S880" s="14">
        <f>VLOOKUP(I880,[1]Lookups!$V$3:$Y$197,4,FALSE)</f>
        <v>0</v>
      </c>
      <c r="T880" s="14" t="str">
        <f>VLOOKUP(E880,[1]Lookups!$H$3:$I$71,2,FALSE)</f>
        <v>2. Seed</v>
      </c>
      <c r="U880" s="14" t="str">
        <f>VLOOKUP(K880,[1]Lookups!$B$3:$C$142,2,FALSE)</f>
        <v>Agriculture</v>
      </c>
      <c r="V880" s="14">
        <f t="shared" si="921"/>
        <v>2018</v>
      </c>
      <c r="W880" s="14">
        <f t="shared" si="922"/>
        <v>12</v>
      </c>
      <c r="X880" s="14">
        <f>VLOOKUP(W880,[1]Lookups!$P$3:$S$15,2,FALSE)</f>
        <v>4</v>
      </c>
      <c r="Y880" s="16">
        <f>VLOOKUP(W880,[1]Lookups!$P$3:$U$15,3,FALSE)</f>
        <v>2</v>
      </c>
      <c r="Z880" s="16">
        <f t="shared" si="923"/>
        <v>3</v>
      </c>
      <c r="AA880" s="16" t="str">
        <f t="shared" ca="1" si="1161"/>
        <v>ISAI</v>
      </c>
      <c r="AB880" s="16" t="str">
        <f t="shared" ca="1" si="1161"/>
        <v xml:space="preserve"> Small Foundation </v>
      </c>
      <c r="AC880" s="16" t="str">
        <f t="shared" ca="1" si="1161"/>
        <v xml:space="preserve"> Jordan Engineering</v>
      </c>
      <c r="AD880" s="16">
        <f t="shared" si="1161"/>
        <v>0</v>
      </c>
      <c r="AE880" s="16">
        <f t="shared" si="1161"/>
        <v>0</v>
      </c>
      <c r="AF880" s="16">
        <f t="shared" si="1161"/>
        <v>0</v>
      </c>
      <c r="AG880" s="16">
        <f t="shared" si="1161"/>
        <v>0</v>
      </c>
      <c r="AH880" s="16">
        <f t="shared" si="1161"/>
        <v>0</v>
      </c>
      <c r="AI880" s="16">
        <f t="shared" si="1161"/>
        <v>0</v>
      </c>
      <c r="AJ880" s="16">
        <f t="shared" si="1161"/>
        <v>0</v>
      </c>
      <c r="AK880" s="16">
        <f t="shared" si="1161"/>
        <v>0</v>
      </c>
      <c r="AL880" s="16">
        <f t="shared" si="1161"/>
        <v>0</v>
      </c>
      <c r="AM880" s="16">
        <f t="shared" si="1161"/>
        <v>0</v>
      </c>
      <c r="AN880" s="16">
        <f t="shared" si="1161"/>
        <v>0</v>
      </c>
      <c r="AO880" s="16">
        <f t="shared" si="1161"/>
        <v>0</v>
      </c>
      <c r="AP880" s="10"/>
      <c r="AQ880" s="10"/>
      <c r="AR880" s="10"/>
      <c r="AS880" s="10" t="str">
        <f t="shared" ref="AS880" ca="1" si="1164">IFERROR(__xludf.DUMMYFUNCTION("split(F878,"","",true,true)"),"ISAI")</f>
        <v>ISAI</v>
      </c>
      <c r="AT880" s="10" t="str">
        <f ca="1">IFERROR(__xludf.DUMMYFUNCTION("""COMPUTED_VALUE""")," Small Foundation ")</f>
        <v xml:space="preserve"> Small Foundation </v>
      </c>
      <c r="AU880" s="10" t="str">
        <f ca="1">IFERROR(__xludf.DUMMYFUNCTION("""COMPUTED_VALUE""")," Jordan Engineering")</f>
        <v xml:space="preserve"> Jordan Engineering</v>
      </c>
      <c r="AV880" s="10"/>
      <c r="AW880" s="10"/>
      <c r="AX880" s="10"/>
      <c r="AY880" s="10"/>
      <c r="AZ880" s="10"/>
      <c r="BA880" s="10"/>
      <c r="BB880" s="10"/>
      <c r="BC880" s="10"/>
      <c r="BD880" s="10"/>
      <c r="BE880" s="10"/>
      <c r="BF880" s="10"/>
      <c r="BG880" s="10"/>
      <c r="BH880" s="10"/>
      <c r="BI880" s="10"/>
      <c r="BJ880" s="10"/>
      <c r="BK880" s="10"/>
      <c r="BM880" s="10"/>
    </row>
    <row r="881" spans="1:65" ht="12.75">
      <c r="A881" s="18">
        <v>43448</v>
      </c>
      <c r="B881" s="14" t="s">
        <v>1100</v>
      </c>
      <c r="C881" s="19">
        <v>650000</v>
      </c>
      <c r="D881" s="19"/>
      <c r="E881" s="14" t="s">
        <v>45</v>
      </c>
      <c r="F881" s="14" t="s">
        <v>1886</v>
      </c>
      <c r="G881" s="27" t="s">
        <v>1887</v>
      </c>
      <c r="H881" s="14" t="str">
        <f t="array" ref="H881">IFERROR(INDEX([1]Companies!$G:$G,MATCH(B881,[1]Companies!$A:$A,0)),"")</f>
        <v>Ghana</v>
      </c>
      <c r="I881" s="14" t="str">
        <f t="shared" si="1155"/>
        <v>Ghana</v>
      </c>
      <c r="J881" s="14" t="str">
        <f t="array" ref="J881">IFERROR(INDEX([1]Companies!$Y:$Y,MATCH(B881,[1]Companies!$A:$A,0)),"")</f>
        <v>Farmers Market, Logistics, Software</v>
      </c>
      <c r="K881" s="14" t="str">
        <f t="array" ref="K881">IFERROR(INDEX([1]Companies!$X:$X,MATCH(B881,[1]Companies!$A:$A,0)),"")</f>
        <v>Agriculture</v>
      </c>
      <c r="L881" s="14" t="str">
        <f>VLOOKUP(B881,[1]Companies!$A$1:$C$5243,1,FALSE)</f>
        <v>AgroCenta</v>
      </c>
      <c r="M881" s="15">
        <f t="shared" si="1156"/>
        <v>0.9</v>
      </c>
      <c r="N881" s="10" t="str">
        <f t="shared" si="1157"/>
        <v>43448AgroCenta650000</v>
      </c>
      <c r="O881" s="14" t="str">
        <f t="shared" si="1158"/>
        <v/>
      </c>
      <c r="P881" s="14">
        <f t="shared" si="1159"/>
        <v>1</v>
      </c>
      <c r="Q881" s="14">
        <f t="array" ref="Q881">IFERROR(INDEX([1]Companies!$D:$D,MATCH(B881,[1]Companies!$A:$A,0)),"")</f>
        <v>2016</v>
      </c>
      <c r="R881" s="17">
        <f t="shared" si="1160"/>
        <v>1150000</v>
      </c>
      <c r="S881" s="14">
        <f>VLOOKUP(I881,[1]Lookups!$V$3:$Y$197,4,FALSE)</f>
        <v>0</v>
      </c>
      <c r="T881" s="14" t="str">
        <f>VLOOKUP(E881,[1]Lookups!$H$3:$I$71,2,FALSE)</f>
        <v>2. Seed</v>
      </c>
      <c r="U881" s="14" t="str">
        <f>VLOOKUP(K881,[1]Lookups!$B$3:$C$142,2,FALSE)</f>
        <v>Agriculture</v>
      </c>
      <c r="V881" s="14">
        <f t="shared" si="921"/>
        <v>2018</v>
      </c>
      <c r="W881" s="14">
        <f t="shared" si="922"/>
        <v>12</v>
      </c>
      <c r="X881" s="14">
        <f>VLOOKUP(W881,[1]Lookups!$P$3:$S$15,2,FALSE)</f>
        <v>4</v>
      </c>
      <c r="Y881" s="16">
        <f>VLOOKUP(W881,[1]Lookups!$P$3:$U$15,3,FALSE)</f>
        <v>2</v>
      </c>
      <c r="Z881" s="16">
        <f t="shared" si="923"/>
        <v>2</v>
      </c>
      <c r="AA881" s="16" t="str">
        <f t="shared" ca="1" si="1161"/>
        <v>ISAI</v>
      </c>
      <c r="AB881" s="16" t="str">
        <f t="shared" ca="1" si="1161"/>
        <v xml:space="preserve"> Seedstars</v>
      </c>
      <c r="AC881" s="16">
        <f t="shared" si="1161"/>
        <v>0</v>
      </c>
      <c r="AD881" s="16">
        <f t="shared" si="1161"/>
        <v>0</v>
      </c>
      <c r="AE881" s="16">
        <f t="shared" si="1161"/>
        <v>0</v>
      </c>
      <c r="AF881" s="16">
        <f t="shared" si="1161"/>
        <v>0</v>
      </c>
      <c r="AG881" s="16">
        <f t="shared" si="1161"/>
        <v>0</v>
      </c>
      <c r="AH881" s="16">
        <f t="shared" si="1161"/>
        <v>0</v>
      </c>
      <c r="AI881" s="16">
        <f t="shared" si="1161"/>
        <v>0</v>
      </c>
      <c r="AJ881" s="16">
        <f t="shared" si="1161"/>
        <v>0</v>
      </c>
      <c r="AK881" s="16">
        <f t="shared" si="1161"/>
        <v>0</v>
      </c>
      <c r="AL881" s="16">
        <f t="shared" si="1161"/>
        <v>0</v>
      </c>
      <c r="AM881" s="16">
        <f t="shared" si="1161"/>
        <v>0</v>
      </c>
      <c r="AN881" s="16">
        <f t="shared" si="1161"/>
        <v>0</v>
      </c>
      <c r="AO881" s="16">
        <f t="shared" si="1161"/>
        <v>0</v>
      </c>
      <c r="AP881" s="10"/>
      <c r="AQ881" s="10"/>
      <c r="AR881" s="10"/>
      <c r="AS881" s="10" t="str">
        <f t="shared" ref="AS881" ca="1" si="1165">IFERROR(__xludf.DUMMYFUNCTION("split(F878,"","",true,true)"),"ISAI")</f>
        <v>ISAI</v>
      </c>
      <c r="AT881" s="10" t="str">
        <f ca="1">IFERROR(__xludf.DUMMYFUNCTION("""COMPUTED_VALUE""")," Seedstars")</f>
        <v xml:space="preserve"> Seedstars</v>
      </c>
      <c r="AU881" s="10"/>
      <c r="AV881" s="10"/>
      <c r="AW881" s="10"/>
      <c r="AX881" s="10"/>
      <c r="AY881" s="10"/>
      <c r="AZ881" s="10"/>
      <c r="BA881" s="10"/>
      <c r="BB881" s="10"/>
      <c r="BC881" s="10"/>
      <c r="BD881" s="10"/>
      <c r="BE881" s="10"/>
      <c r="BF881" s="10"/>
      <c r="BG881" s="10"/>
      <c r="BH881" s="10"/>
      <c r="BI881" s="10"/>
      <c r="BJ881" s="10"/>
      <c r="BK881" s="10"/>
      <c r="BM881" s="10"/>
    </row>
    <row r="882" spans="1:65" ht="12.75">
      <c r="A882" s="18">
        <v>43449</v>
      </c>
      <c r="B882" s="14" t="s">
        <v>298</v>
      </c>
      <c r="C882" s="19">
        <v>2500000</v>
      </c>
      <c r="D882" s="22"/>
      <c r="E882" s="14" t="s">
        <v>112</v>
      </c>
      <c r="F882" s="14" t="s">
        <v>1888</v>
      </c>
      <c r="G882" s="13" t="s">
        <v>1889</v>
      </c>
      <c r="H882" s="14" t="str">
        <f t="array" ref="H882">IFERROR(INDEX([1]Companies!$G:$G,MATCH(B882,[1]Companies!$A:$A,0)),"")</f>
        <v>South Africa</v>
      </c>
      <c r="I882" s="14" t="str">
        <f t="shared" si="1155"/>
        <v>South Africa</v>
      </c>
      <c r="J882" s="14" t="str">
        <f t="array" ref="J882">IFERROR(INDEX([1]Companies!$Y:$Y,MATCH(B882,[1]Companies!$A:$A,0)),"")</f>
        <v>Banking, FinTech, Incubators</v>
      </c>
      <c r="K882" s="14" t="str">
        <f t="array" ref="K882">IFERROR(INDEX([1]Companies!$X:$X,MATCH(B882,[1]Companies!$A:$A,0)),"")</f>
        <v>Financial Services</v>
      </c>
      <c r="L882" s="14" t="str">
        <f>VLOOKUP(B882,[1]Companies!$A$1:$C$5243,1,FALSE)</f>
        <v>Fintec Labs</v>
      </c>
      <c r="M882" s="15">
        <f t="shared" si="1156"/>
        <v>0.9</v>
      </c>
      <c r="N882" s="10" t="str">
        <f t="shared" si="1157"/>
        <v>43449Fintec Labs2500000</v>
      </c>
      <c r="O882" s="14" t="str">
        <f t="shared" si="1158"/>
        <v/>
      </c>
      <c r="P882" s="14">
        <f t="shared" si="1159"/>
        <v>1</v>
      </c>
      <c r="Q882" s="14">
        <f t="array" ref="Q882">IFERROR(INDEX([1]Companies!$D:$D,MATCH(B882,[1]Companies!$A:$A,0)),"")</f>
        <v>2015</v>
      </c>
      <c r="R882" s="17">
        <f t="shared" si="1160"/>
        <v>6397000</v>
      </c>
      <c r="S882" s="14">
        <f>VLOOKUP(I882,[1]Lookups!$V$3:$Y$197,4,FALSE)</f>
        <v>0</v>
      </c>
      <c r="T882" s="14" t="str">
        <f>VLOOKUP(E882,[1]Lookups!$H$3:$I$71,2,FALSE)</f>
        <v>3. Early Venture</v>
      </c>
      <c r="U882" s="14" t="str">
        <f>VLOOKUP(K882,[1]Lookups!$B$3:$C$142,2,FALSE)</f>
        <v>Financial Services</v>
      </c>
      <c r="V882" s="14">
        <f t="shared" si="921"/>
        <v>2018</v>
      </c>
      <c r="W882" s="14">
        <f t="shared" si="922"/>
        <v>12</v>
      </c>
      <c r="X882" s="14">
        <f>VLOOKUP(W882,[1]Lookups!$P$3:$S$15,2,FALSE)</f>
        <v>4</v>
      </c>
      <c r="Y882" s="16">
        <f>VLOOKUP(W882,[1]Lookups!$P$3:$U$15,3,FALSE)</f>
        <v>2</v>
      </c>
      <c r="Z882" s="16">
        <f t="shared" si="923"/>
        <v>1</v>
      </c>
      <c r="AA882" s="16" t="str">
        <f t="shared" ca="1" si="1161"/>
        <v>ISAI</v>
      </c>
      <c r="AB882" s="16">
        <f t="shared" si="1161"/>
        <v>0</v>
      </c>
      <c r="AC882" s="16">
        <f t="shared" si="1161"/>
        <v>0</v>
      </c>
      <c r="AD882" s="16">
        <f t="shared" si="1161"/>
        <v>0</v>
      </c>
      <c r="AE882" s="16">
        <f t="shared" si="1161"/>
        <v>0</v>
      </c>
      <c r="AF882" s="16">
        <f t="shared" si="1161"/>
        <v>0</v>
      </c>
      <c r="AG882" s="16">
        <f t="shared" si="1161"/>
        <v>0</v>
      </c>
      <c r="AH882" s="16">
        <f t="shared" si="1161"/>
        <v>0</v>
      </c>
      <c r="AI882" s="16">
        <f t="shared" si="1161"/>
        <v>0</v>
      </c>
      <c r="AJ882" s="16">
        <f t="shared" si="1161"/>
        <v>0</v>
      </c>
      <c r="AK882" s="16">
        <f t="shared" si="1161"/>
        <v>0</v>
      </c>
      <c r="AL882" s="16">
        <f t="shared" si="1161"/>
        <v>0</v>
      </c>
      <c r="AM882" s="16">
        <f t="shared" si="1161"/>
        <v>0</v>
      </c>
      <c r="AN882" s="16">
        <f t="shared" si="1161"/>
        <v>0</v>
      </c>
      <c r="AO882" s="16">
        <f t="shared" si="1161"/>
        <v>0</v>
      </c>
      <c r="AP882" s="10"/>
      <c r="AQ882" s="10"/>
      <c r="AR882" s="10"/>
      <c r="AS882" s="10" t="str">
        <f t="shared" ref="AS882" ca="1" si="1166">IFERROR(__xludf.DUMMYFUNCTION("split(F878,"","",true,true)"),"ISAI")</f>
        <v>ISAI</v>
      </c>
      <c r="AT882" s="10"/>
      <c r="AU882" s="10"/>
      <c r="AV882" s="10"/>
      <c r="AW882" s="10"/>
      <c r="AX882" s="10"/>
      <c r="AY882" s="10"/>
      <c r="AZ882" s="10"/>
      <c r="BA882" s="10"/>
      <c r="BB882" s="10"/>
      <c r="BC882" s="10"/>
      <c r="BD882" s="10"/>
      <c r="BE882" s="10"/>
      <c r="BF882" s="10"/>
      <c r="BG882" s="10"/>
      <c r="BH882" s="10"/>
      <c r="BI882" s="10"/>
      <c r="BJ882" s="10"/>
      <c r="BK882" s="10"/>
      <c r="BM882" s="10"/>
    </row>
    <row r="883" spans="1:65" ht="12.75">
      <c r="A883" s="18">
        <v>43449</v>
      </c>
      <c r="B883" s="14" t="s">
        <v>298</v>
      </c>
      <c r="C883" s="19">
        <v>2100000</v>
      </c>
      <c r="D883" s="22"/>
      <c r="E883" s="14" t="s">
        <v>55</v>
      </c>
      <c r="F883" s="14" t="s">
        <v>1890</v>
      </c>
      <c r="G883" s="21" t="s">
        <v>1891</v>
      </c>
      <c r="H883" s="14" t="str">
        <f t="array" ref="H883">IFERROR(INDEX([1]Companies!$G:$G,MATCH(B883,[1]Companies!$A:$A,0)),"")</f>
        <v>South Africa</v>
      </c>
      <c r="I883" s="14" t="str">
        <f t="shared" si="1155"/>
        <v>South Africa</v>
      </c>
      <c r="J883" s="14" t="str">
        <f t="array" ref="J883">IFERROR(INDEX([1]Companies!$Y:$Y,MATCH(B883,[1]Companies!$A:$A,0)),"")</f>
        <v>Banking, FinTech, Incubators</v>
      </c>
      <c r="K883" s="14" t="str">
        <f t="array" ref="K883">IFERROR(INDEX([1]Companies!$X:$X,MATCH(B883,[1]Companies!$A:$A,0)),"")</f>
        <v>Financial Services</v>
      </c>
      <c r="L883" s="14" t="str">
        <f>VLOOKUP(B883,[1]Companies!$A$1:$C$5243,1,FALSE)</f>
        <v>Fintec Labs</v>
      </c>
      <c r="M883" s="15">
        <f t="shared" si="1156"/>
        <v>0.9</v>
      </c>
      <c r="N883" s="10" t="str">
        <f t="shared" si="1157"/>
        <v>43449Fintec Labs2100000</v>
      </c>
      <c r="O883" s="14" t="str">
        <f t="shared" si="1158"/>
        <v/>
      </c>
      <c r="P883" s="14">
        <f t="shared" si="1159"/>
        <v>1</v>
      </c>
      <c r="Q883" s="14">
        <f t="array" ref="Q883">IFERROR(INDEX([1]Companies!$D:$D,MATCH(B883,[1]Companies!$A:$A,0)),"")</f>
        <v>2015</v>
      </c>
      <c r="R883" s="17">
        <f t="shared" si="1160"/>
        <v>6397000</v>
      </c>
      <c r="S883" s="14">
        <f>VLOOKUP(I883,[1]Lookups!$V$3:$Y$197,4,FALSE)</f>
        <v>0</v>
      </c>
      <c r="T883" s="14" t="str">
        <f>VLOOKUP(E883,[1]Lookups!$H$3:$I$71,2,FALSE)</f>
        <v>1. Grant</v>
      </c>
      <c r="U883" s="14" t="str">
        <f>VLOOKUP(K883,[1]Lookups!$B$3:$C$142,2,FALSE)</f>
        <v>Financial Services</v>
      </c>
      <c r="V883" s="14">
        <f t="shared" si="921"/>
        <v>2018</v>
      </c>
      <c r="W883" s="14">
        <f t="shared" si="922"/>
        <v>12</v>
      </c>
      <c r="X883" s="14">
        <f>VLOOKUP(W883,[1]Lookups!$P$3:$S$15,2,FALSE)</f>
        <v>4</v>
      </c>
      <c r="Y883" s="16">
        <f>VLOOKUP(W883,[1]Lookups!$P$3:$U$15,3,FALSE)</f>
        <v>2</v>
      </c>
      <c r="Z883" s="16">
        <f t="shared" si="923"/>
        <v>1</v>
      </c>
      <c r="AA883" s="16" t="str">
        <f t="shared" ca="1" si="1161"/>
        <v>ISAI</v>
      </c>
      <c r="AB883" s="16">
        <f t="shared" si="1161"/>
        <v>0</v>
      </c>
      <c r="AC883" s="16">
        <f t="shared" si="1161"/>
        <v>0</v>
      </c>
      <c r="AD883" s="16">
        <f t="shared" si="1161"/>
        <v>0</v>
      </c>
      <c r="AE883" s="16">
        <f t="shared" si="1161"/>
        <v>0</v>
      </c>
      <c r="AF883" s="16">
        <f t="shared" si="1161"/>
        <v>0</v>
      </c>
      <c r="AG883" s="16">
        <f t="shared" si="1161"/>
        <v>0</v>
      </c>
      <c r="AH883" s="16">
        <f t="shared" si="1161"/>
        <v>0</v>
      </c>
      <c r="AI883" s="16">
        <f t="shared" si="1161"/>
        <v>0</v>
      </c>
      <c r="AJ883" s="16">
        <f t="shared" si="1161"/>
        <v>0</v>
      </c>
      <c r="AK883" s="16">
        <f t="shared" si="1161"/>
        <v>0</v>
      </c>
      <c r="AL883" s="16">
        <f t="shared" si="1161"/>
        <v>0</v>
      </c>
      <c r="AM883" s="16">
        <f t="shared" si="1161"/>
        <v>0</v>
      </c>
      <c r="AN883" s="16">
        <f t="shared" si="1161"/>
        <v>0</v>
      </c>
      <c r="AO883" s="16">
        <f t="shared" si="1161"/>
        <v>0</v>
      </c>
      <c r="AP883" s="10"/>
      <c r="AQ883" s="10"/>
      <c r="AR883" s="10"/>
      <c r="AS883" s="10" t="str">
        <f t="shared" ref="AS883" ca="1" si="1167">IFERROR(__xludf.DUMMYFUNCTION("split(F878,"","",true,true)"),"ISAI")</f>
        <v>ISAI</v>
      </c>
      <c r="AT883" s="10"/>
      <c r="AU883" s="10"/>
      <c r="AV883" s="10"/>
      <c r="AW883" s="10"/>
      <c r="AX883" s="10"/>
      <c r="AY883" s="10"/>
      <c r="AZ883" s="10"/>
      <c r="BA883" s="10"/>
      <c r="BB883" s="10"/>
      <c r="BC883" s="10"/>
      <c r="BD883" s="10"/>
      <c r="BE883" s="10"/>
      <c r="BF883" s="10"/>
      <c r="BG883" s="10"/>
      <c r="BH883" s="10"/>
      <c r="BI883" s="10"/>
      <c r="BJ883" s="10"/>
      <c r="BK883" s="10"/>
      <c r="BM883" s="10"/>
    </row>
    <row r="884" spans="1:65" ht="12.75">
      <c r="A884" s="18">
        <v>43449</v>
      </c>
      <c r="B884" s="14" t="s">
        <v>1892</v>
      </c>
      <c r="C884" s="19">
        <v>126480</v>
      </c>
      <c r="D884" s="19"/>
      <c r="E884" s="14" t="s">
        <v>55</v>
      </c>
      <c r="F884" s="14" t="s">
        <v>49</v>
      </c>
      <c r="G884" s="21" t="s">
        <v>1893</v>
      </c>
      <c r="H884" s="14" t="str">
        <f t="array" ref="H884">IFERROR(INDEX([1]Companies!$G:$G,MATCH(B884,[1]Companies!$A:$A,0)),"")</f>
        <v>Ethiopia</v>
      </c>
      <c r="I884" s="14" t="str">
        <f t="shared" si="1155"/>
        <v>Ethiopia</v>
      </c>
      <c r="J884" s="14" t="str">
        <f t="array" ref="J884">IFERROR(INDEX([1]Companies!$Y:$Y,MATCH(B884,[1]Companies!$A:$A,0)),"")</f>
        <v>Home Services, Talent, Labour</v>
      </c>
      <c r="K884" s="14" t="str">
        <f t="array" ref="K884">IFERROR(INDEX([1]Companies!$X:$X,MATCH(B884,[1]Companies!$A:$A,0)),"")</f>
        <v>Commercial &amp; Professional Services</v>
      </c>
      <c r="L884" s="14" t="str">
        <f>VLOOKUP(B884,[1]Companies!$A$1:$C$5243,1,FALSE)</f>
        <v>Taskmoby</v>
      </c>
      <c r="M884" s="15">
        <f t="shared" si="1156"/>
        <v>0.9</v>
      </c>
      <c r="N884" s="10" t="str">
        <f t="shared" si="1157"/>
        <v>43449TaskMoby126480</v>
      </c>
      <c r="O884" s="14" t="str">
        <f t="shared" si="1158"/>
        <v/>
      </c>
      <c r="P884" s="14">
        <f t="shared" si="1159"/>
        <v>1</v>
      </c>
      <c r="Q884" s="14">
        <f t="array" ref="Q884">IFERROR(INDEX([1]Companies!$D:$D,MATCH(B884,[1]Companies!$A:$A,0)),"")</f>
        <v>2016</v>
      </c>
      <c r="R884" s="17">
        <f t="shared" si="1160"/>
        <v>126480</v>
      </c>
      <c r="S884" s="14">
        <f>VLOOKUP(I884,[1]Lookups!$V$3:$Y$197,4,FALSE)</f>
        <v>0</v>
      </c>
      <c r="T884" s="14" t="str">
        <f>VLOOKUP(E884,[1]Lookups!$H$3:$I$71,2,FALSE)</f>
        <v>1. Grant</v>
      </c>
      <c r="U884" s="14" t="str">
        <f>VLOOKUP(K884,[1]Lookups!$B$3:$C$142,2,FALSE)</f>
        <v>Other Technologies &amp; Information Technology</v>
      </c>
      <c r="V884" s="14">
        <f t="shared" si="921"/>
        <v>2018</v>
      </c>
      <c r="W884" s="14">
        <f t="shared" si="922"/>
        <v>12</v>
      </c>
      <c r="X884" s="14">
        <f>VLOOKUP(W884,[1]Lookups!$P$3:$S$15,2,FALSE)</f>
        <v>4</v>
      </c>
      <c r="Y884" s="16">
        <f>VLOOKUP(W884,[1]Lookups!$P$3:$U$15,3,FALSE)</f>
        <v>2</v>
      </c>
      <c r="Z884" s="16">
        <f t="shared" si="923"/>
        <v>1</v>
      </c>
      <c r="AA884" s="16" t="str">
        <f t="shared" ca="1" si="1161"/>
        <v>ISAI</v>
      </c>
      <c r="AB884" s="16">
        <f t="shared" si="1161"/>
        <v>0</v>
      </c>
      <c r="AC884" s="16">
        <f t="shared" si="1161"/>
        <v>0</v>
      </c>
      <c r="AD884" s="16">
        <f t="shared" si="1161"/>
        <v>0</v>
      </c>
      <c r="AE884" s="16">
        <f t="shared" si="1161"/>
        <v>0</v>
      </c>
      <c r="AF884" s="16">
        <f t="shared" si="1161"/>
        <v>0</v>
      </c>
      <c r="AG884" s="16">
        <f t="shared" si="1161"/>
        <v>0</v>
      </c>
      <c r="AH884" s="16">
        <f t="shared" si="1161"/>
        <v>0</v>
      </c>
      <c r="AI884" s="16">
        <f t="shared" si="1161"/>
        <v>0</v>
      </c>
      <c r="AJ884" s="16">
        <f t="shared" si="1161"/>
        <v>0</v>
      </c>
      <c r="AK884" s="16">
        <f t="shared" si="1161"/>
        <v>0</v>
      </c>
      <c r="AL884" s="16">
        <f t="shared" si="1161"/>
        <v>0</v>
      </c>
      <c r="AM884" s="16">
        <f t="shared" si="1161"/>
        <v>0</v>
      </c>
      <c r="AN884" s="16">
        <f t="shared" si="1161"/>
        <v>0</v>
      </c>
      <c r="AO884" s="16">
        <f t="shared" si="1161"/>
        <v>0</v>
      </c>
      <c r="AP884" s="10"/>
      <c r="AQ884" s="10"/>
      <c r="AR884" s="10"/>
      <c r="AS884" s="10" t="str">
        <f t="shared" ref="AS884" ca="1" si="1168">IFERROR(__xludf.DUMMYFUNCTION("split(F878,"","",true,true)"),"ISAI")</f>
        <v>ISAI</v>
      </c>
      <c r="AT884" s="10"/>
      <c r="AU884" s="10"/>
      <c r="AV884" s="10"/>
      <c r="AW884" s="10"/>
      <c r="AX884" s="10"/>
      <c r="AY884" s="10"/>
      <c r="AZ884" s="10"/>
      <c r="BA884" s="10"/>
      <c r="BB884" s="10"/>
      <c r="BC884" s="10"/>
      <c r="BD884" s="10"/>
      <c r="BE884" s="10"/>
      <c r="BF884" s="10"/>
      <c r="BG884" s="10"/>
      <c r="BH884" s="10"/>
      <c r="BI884" s="10"/>
      <c r="BJ884" s="10"/>
      <c r="BK884" s="10"/>
      <c r="BM884" s="10"/>
    </row>
    <row r="885" spans="1:65" ht="12.75">
      <c r="A885" s="18">
        <v>43450</v>
      </c>
      <c r="B885" s="14" t="s">
        <v>1007</v>
      </c>
      <c r="C885" s="19">
        <v>100000</v>
      </c>
      <c r="D885" s="19"/>
      <c r="E885" s="14" t="s">
        <v>55</v>
      </c>
      <c r="F885" s="14" t="s">
        <v>49</v>
      </c>
      <c r="G885" s="14" t="s">
        <v>1460</v>
      </c>
      <c r="H885" s="14" t="str">
        <f t="array" ref="H885">IFERROR(INDEX([1]Companies!$G:$G,MATCH(B885,[1]Companies!$A:$A,0)),"")</f>
        <v>Ethiopia</v>
      </c>
      <c r="I885" s="14" t="str">
        <f t="shared" si="1155"/>
        <v>Ethiopia</v>
      </c>
      <c r="J885" s="14" t="str">
        <f t="array" ref="J885">IFERROR(INDEX([1]Companies!$Y:$Y,MATCH(B885,[1]Companies!$A:$A,0)),"")</f>
        <v>Computer Software</v>
      </c>
      <c r="K885" s="14" t="str">
        <f t="array" ref="K885">IFERROR(INDEX([1]Companies!$X:$X,MATCH(B885,[1]Companies!$A:$A,0)),"")</f>
        <v>Emerging Technologies</v>
      </c>
      <c r="L885" s="14" t="str">
        <f>VLOOKUP(B885,[1]Companies!$A$1:$C$5243,1,FALSE)</f>
        <v>icog Labs</v>
      </c>
      <c r="M885" s="15">
        <f t="shared" si="1156"/>
        <v>0.9</v>
      </c>
      <c r="N885" s="10" t="str">
        <f t="shared" si="1157"/>
        <v>43450iCog Labs100000</v>
      </c>
      <c r="O885" s="14" t="str">
        <f t="shared" si="1158"/>
        <v/>
      </c>
      <c r="P885" s="14">
        <f t="shared" si="1159"/>
        <v>1</v>
      </c>
      <c r="Q885" s="14">
        <f t="array" ref="Q885">IFERROR(INDEX([1]Companies!$D:$D,MATCH(B885,[1]Companies!$A:$A,0)),"")</f>
        <v>2012</v>
      </c>
      <c r="R885" s="17">
        <f t="shared" si="1160"/>
        <v>200000</v>
      </c>
      <c r="S885" s="14">
        <f>VLOOKUP(I885,[1]Lookups!$V$3:$Y$197,4,FALSE)</f>
        <v>0</v>
      </c>
      <c r="T885" s="14" t="str">
        <f>VLOOKUP(E885,[1]Lookups!$H$3:$I$71,2,FALSE)</f>
        <v>1. Grant</v>
      </c>
      <c r="U885" s="14" t="str">
        <f>VLOOKUP(K885,[1]Lookups!$B$3:$C$142,2,FALSE)</f>
        <v>Emerging Technologies</v>
      </c>
      <c r="V885" s="14">
        <f t="shared" si="921"/>
        <v>2018</v>
      </c>
      <c r="W885" s="14">
        <f t="shared" si="922"/>
        <v>12</v>
      </c>
      <c r="X885" s="14">
        <f>VLOOKUP(W885,[1]Lookups!$P$3:$S$15,2,FALSE)</f>
        <v>4</v>
      </c>
      <c r="Y885" s="16">
        <f>VLOOKUP(W885,[1]Lookups!$P$3:$U$15,3,FALSE)</f>
        <v>2</v>
      </c>
      <c r="Z885" s="16">
        <f t="shared" si="923"/>
        <v>1</v>
      </c>
      <c r="AA885" s="16" t="str">
        <f t="shared" ca="1" si="1161"/>
        <v>ISAI</v>
      </c>
      <c r="AB885" s="16">
        <f t="shared" si="1161"/>
        <v>0</v>
      </c>
      <c r="AC885" s="16">
        <f t="shared" si="1161"/>
        <v>0</v>
      </c>
      <c r="AD885" s="16">
        <f t="shared" si="1161"/>
        <v>0</v>
      </c>
      <c r="AE885" s="16">
        <f t="shared" si="1161"/>
        <v>0</v>
      </c>
      <c r="AF885" s="16">
        <f t="shared" si="1161"/>
        <v>0</v>
      </c>
      <c r="AG885" s="16">
        <f t="shared" si="1161"/>
        <v>0</v>
      </c>
      <c r="AH885" s="16">
        <f t="shared" si="1161"/>
        <v>0</v>
      </c>
      <c r="AI885" s="16">
        <f t="shared" si="1161"/>
        <v>0</v>
      </c>
      <c r="AJ885" s="16">
        <f t="shared" si="1161"/>
        <v>0</v>
      </c>
      <c r="AK885" s="16">
        <f t="shared" si="1161"/>
        <v>0</v>
      </c>
      <c r="AL885" s="16">
        <f t="shared" si="1161"/>
        <v>0</v>
      </c>
      <c r="AM885" s="16">
        <f t="shared" si="1161"/>
        <v>0</v>
      </c>
      <c r="AN885" s="16">
        <f t="shared" si="1161"/>
        <v>0</v>
      </c>
      <c r="AO885" s="16">
        <f t="shared" si="1161"/>
        <v>0</v>
      </c>
      <c r="AP885" s="10"/>
      <c r="AQ885" s="10"/>
      <c r="AR885" s="10"/>
      <c r="AS885" s="10" t="str">
        <f t="shared" ref="AS885" ca="1" si="1169">IFERROR(__xludf.DUMMYFUNCTION("split(F878,"","",true,true)"),"ISAI")</f>
        <v>ISAI</v>
      </c>
      <c r="AT885" s="10"/>
      <c r="AU885" s="10"/>
      <c r="AV885" s="10"/>
      <c r="AW885" s="10"/>
      <c r="AX885" s="10"/>
      <c r="AY885" s="10"/>
      <c r="AZ885" s="10"/>
      <c r="BA885" s="10"/>
      <c r="BB885" s="10"/>
      <c r="BC885" s="10"/>
      <c r="BD885" s="10"/>
      <c r="BE885" s="10"/>
      <c r="BF885" s="10"/>
      <c r="BG885" s="10"/>
      <c r="BH885" s="10"/>
      <c r="BI885" s="10"/>
      <c r="BJ885" s="10"/>
      <c r="BK885" s="10"/>
      <c r="BM885" s="10"/>
    </row>
    <row r="886" spans="1:65" ht="12.75">
      <c r="A886" s="18">
        <v>43451</v>
      </c>
      <c r="B886" s="14" t="s">
        <v>1286</v>
      </c>
      <c r="C886" s="19" t="s">
        <v>49</v>
      </c>
      <c r="D886" s="19"/>
      <c r="E886" s="14" t="s">
        <v>45</v>
      </c>
      <c r="F886" s="14" t="s">
        <v>49</v>
      </c>
      <c r="G886" s="27" t="s">
        <v>1894</v>
      </c>
      <c r="H886" s="14" t="str">
        <f t="array" ref="H886">IFERROR(INDEX([1]Companies!$G:$G,MATCH(B886,[1]Companies!$A:$A,0)),"")</f>
        <v>South Africa</v>
      </c>
      <c r="I886" s="14" t="str">
        <f t="shared" si="1155"/>
        <v>South Africa</v>
      </c>
      <c r="J886" s="14" t="str">
        <f t="array" ref="J886">IFERROR(INDEX([1]Companies!$Y:$Y,MATCH(B886,[1]Companies!$A:$A,0)),"")</f>
        <v>Data Center Automation, Digital Media, Digital Signage, Industrial Automation</v>
      </c>
      <c r="K886" s="14" t="str">
        <f t="array" ref="K886">IFERROR(INDEX([1]Companies!$X:$X,MATCH(B886,[1]Companies!$A:$A,0)),"")</f>
        <v>Real estate</v>
      </c>
      <c r="L886" s="14" t="str">
        <f>VLOOKUP(B886,[1]Companies!$A$1:$C$5243,1,FALSE)</f>
        <v>Houseme</v>
      </c>
      <c r="M886" s="15">
        <f t="shared" si="1156"/>
        <v>0.9</v>
      </c>
      <c r="N886" s="10" t="str">
        <f t="shared" si="1157"/>
        <v>43451HouseMeUndisclosed</v>
      </c>
      <c r="O886" s="14" t="str">
        <f t="shared" si="1158"/>
        <v/>
      </c>
      <c r="P886" s="14">
        <f t="shared" si="1159"/>
        <v>0</v>
      </c>
      <c r="Q886" s="14">
        <f t="array" ref="Q886">IFERROR(INDEX([1]Companies!$D:$D,MATCH(B886,[1]Companies!$A:$A,0)),"")</f>
        <v>2016</v>
      </c>
      <c r="R886" s="17">
        <f t="shared" si="1160"/>
        <v>0</v>
      </c>
      <c r="S886" s="14">
        <f>VLOOKUP(I886,[1]Lookups!$V$3:$Y$197,4,FALSE)</f>
        <v>0</v>
      </c>
      <c r="T886" s="14" t="str">
        <f>VLOOKUP(E886,[1]Lookups!$H$3:$I$71,2,FALSE)</f>
        <v>2. Seed</v>
      </c>
      <c r="U886" s="14" t="str">
        <f>VLOOKUP(K886,[1]Lookups!$B$3:$C$142,2,FALSE)</f>
        <v>Construction &amp; Real Estate</v>
      </c>
      <c r="V886" s="14">
        <f t="shared" si="921"/>
        <v>2018</v>
      </c>
      <c r="W886" s="14">
        <f t="shared" si="922"/>
        <v>12</v>
      </c>
      <c r="X886" s="14">
        <f>VLOOKUP(W886,[1]Lookups!$P$3:$S$15,2,FALSE)</f>
        <v>4</v>
      </c>
      <c r="Y886" s="16">
        <f>VLOOKUP(W886,[1]Lookups!$P$3:$U$15,3,FALSE)</f>
        <v>2</v>
      </c>
      <c r="Z886" s="16">
        <f t="shared" si="923"/>
        <v>1</v>
      </c>
      <c r="AA886" s="16" t="str">
        <f t="shared" ca="1" si="1161"/>
        <v>ISAI</v>
      </c>
      <c r="AB886" s="16">
        <f t="shared" si="1161"/>
        <v>0</v>
      </c>
      <c r="AC886" s="16">
        <f t="shared" si="1161"/>
        <v>0</v>
      </c>
      <c r="AD886" s="16">
        <f t="shared" si="1161"/>
        <v>0</v>
      </c>
      <c r="AE886" s="16">
        <f t="shared" si="1161"/>
        <v>0</v>
      </c>
      <c r="AF886" s="16">
        <f t="shared" si="1161"/>
        <v>0</v>
      </c>
      <c r="AG886" s="16">
        <f t="shared" si="1161"/>
        <v>0</v>
      </c>
      <c r="AH886" s="16">
        <f t="shared" si="1161"/>
        <v>0</v>
      </c>
      <c r="AI886" s="16">
        <f t="shared" si="1161"/>
        <v>0</v>
      </c>
      <c r="AJ886" s="16">
        <f t="shared" si="1161"/>
        <v>0</v>
      </c>
      <c r="AK886" s="16">
        <f t="shared" si="1161"/>
        <v>0</v>
      </c>
      <c r="AL886" s="16">
        <f t="shared" si="1161"/>
        <v>0</v>
      </c>
      <c r="AM886" s="16">
        <f t="shared" si="1161"/>
        <v>0</v>
      </c>
      <c r="AN886" s="16">
        <f t="shared" si="1161"/>
        <v>0</v>
      </c>
      <c r="AO886" s="16">
        <f t="shared" si="1161"/>
        <v>0</v>
      </c>
      <c r="AP886" s="10"/>
      <c r="AQ886" s="10"/>
      <c r="AR886" s="10"/>
      <c r="AS886" s="10" t="str">
        <f t="shared" ref="AS886" ca="1" si="1170">IFERROR(__xludf.DUMMYFUNCTION("split(F878,"","",true,true)"),"ISAI")</f>
        <v>ISAI</v>
      </c>
      <c r="AT886" s="10"/>
      <c r="AU886" s="10"/>
      <c r="AV886" s="10"/>
      <c r="AW886" s="10"/>
      <c r="AX886" s="10"/>
      <c r="AY886" s="10"/>
      <c r="AZ886" s="10"/>
      <c r="BA886" s="10"/>
      <c r="BB886" s="10"/>
      <c r="BC886" s="10"/>
      <c r="BD886" s="10"/>
      <c r="BE886" s="10"/>
      <c r="BF886" s="10"/>
      <c r="BG886" s="10"/>
      <c r="BH886" s="10"/>
      <c r="BI886" s="10"/>
      <c r="BJ886" s="10"/>
      <c r="BK886" s="10"/>
      <c r="BM886" s="10"/>
    </row>
    <row r="887" spans="1:65" ht="12.75">
      <c r="A887" s="18">
        <v>43451</v>
      </c>
      <c r="B887" s="14" t="s">
        <v>1895</v>
      </c>
      <c r="C887" s="19">
        <v>2400000</v>
      </c>
      <c r="D887" s="19"/>
      <c r="E887" s="14" t="s">
        <v>69</v>
      </c>
      <c r="F887" s="14" t="s">
        <v>49</v>
      </c>
      <c r="G887" s="27" t="s">
        <v>1896</v>
      </c>
      <c r="H887" s="14" t="str">
        <f t="array" ref="H887">IFERROR(INDEX([1]Companies!$G:$G,MATCH(B887,[1]Companies!$A:$A,0)),"")</f>
        <v>Tanzania</v>
      </c>
      <c r="I887" s="14" t="str">
        <f t="shared" si="1155"/>
        <v>Tanzania</v>
      </c>
      <c r="J887" s="14" t="str">
        <f t="array" ref="J887">IFERROR(INDEX([1]Companies!$Y:$Y,MATCH(B887,[1]Companies!$A:$A,0)),"")</f>
        <v>Information Technology</v>
      </c>
      <c r="K887" s="14" t="str">
        <f t="array" ref="K887">IFERROR(INDEX([1]Companies!$X:$X,MATCH(B887,[1]Companies!$A:$A,0)),"")</f>
        <v>Information Technology</v>
      </c>
      <c r="L887" s="14" t="str">
        <f>VLOOKUP(B887,[1]Companies!$A$1:$C$5243,1,FALSE)</f>
        <v>Somaapps</v>
      </c>
      <c r="M887" s="15">
        <f t="shared" si="1156"/>
        <v>0.9</v>
      </c>
      <c r="N887" s="10" t="str">
        <f t="shared" si="1157"/>
        <v>43451SomaApps2400000</v>
      </c>
      <c r="O887" s="14" t="str">
        <f t="shared" si="1158"/>
        <v/>
      </c>
      <c r="P887" s="14">
        <f t="shared" si="1159"/>
        <v>1</v>
      </c>
      <c r="Q887" s="14">
        <f t="array" ref="Q887">IFERROR(INDEX([1]Companies!$D:$D,MATCH(B887,[1]Companies!$A:$A,0)),"")</f>
        <v>2016</v>
      </c>
      <c r="R887" s="17">
        <f t="shared" si="1160"/>
        <v>2400000</v>
      </c>
      <c r="S887" s="14">
        <f>VLOOKUP(I887,[1]Lookups!$V$3:$Y$197,4,FALSE)</f>
        <v>0</v>
      </c>
      <c r="T887" s="14" t="str">
        <f>VLOOKUP(E887,[1]Lookups!$H$3:$I$71,2,FALSE)</f>
        <v>3. Early Venture</v>
      </c>
      <c r="U887" s="14" t="str">
        <f>VLOOKUP(K887,[1]Lookups!$B$3:$C$142,2,FALSE)</f>
        <v>Other Technologies &amp; Information Technology</v>
      </c>
      <c r="V887" s="14">
        <f t="shared" si="921"/>
        <v>2018</v>
      </c>
      <c r="W887" s="14">
        <f t="shared" si="922"/>
        <v>12</v>
      </c>
      <c r="X887" s="14">
        <f>VLOOKUP(W887,[1]Lookups!$P$3:$S$15,2,FALSE)</f>
        <v>4</v>
      </c>
      <c r="Y887" s="16">
        <f>VLOOKUP(W887,[1]Lookups!$P$3:$U$15,3,FALSE)</f>
        <v>2</v>
      </c>
      <c r="Z887" s="16">
        <f t="shared" si="923"/>
        <v>1</v>
      </c>
      <c r="AA887" s="16" t="str">
        <f t="shared" ca="1" si="1161"/>
        <v>ISAI</v>
      </c>
      <c r="AB887" s="16">
        <f t="shared" si="1161"/>
        <v>0</v>
      </c>
      <c r="AC887" s="16">
        <f t="shared" si="1161"/>
        <v>0</v>
      </c>
      <c r="AD887" s="16">
        <f t="shared" si="1161"/>
        <v>0</v>
      </c>
      <c r="AE887" s="16">
        <f t="shared" si="1161"/>
        <v>0</v>
      </c>
      <c r="AF887" s="16">
        <f t="shared" si="1161"/>
        <v>0</v>
      </c>
      <c r="AG887" s="16">
        <f t="shared" si="1161"/>
        <v>0</v>
      </c>
      <c r="AH887" s="16">
        <f t="shared" si="1161"/>
        <v>0</v>
      </c>
      <c r="AI887" s="16">
        <f t="shared" si="1161"/>
        <v>0</v>
      </c>
      <c r="AJ887" s="16">
        <f t="shared" si="1161"/>
        <v>0</v>
      </c>
      <c r="AK887" s="16">
        <f t="shared" si="1161"/>
        <v>0</v>
      </c>
      <c r="AL887" s="16">
        <f t="shared" si="1161"/>
        <v>0</v>
      </c>
      <c r="AM887" s="16">
        <f t="shared" si="1161"/>
        <v>0</v>
      </c>
      <c r="AN887" s="16">
        <f t="shared" si="1161"/>
        <v>0</v>
      </c>
      <c r="AO887" s="16">
        <f t="shared" si="1161"/>
        <v>0</v>
      </c>
      <c r="AP887" s="10"/>
      <c r="AQ887" s="10"/>
      <c r="AR887" s="10"/>
      <c r="AS887" s="10" t="str">
        <f t="shared" ref="AS887" ca="1" si="1171">IFERROR(__xludf.DUMMYFUNCTION("split(F878,"","",true,true)"),"ISAI")</f>
        <v>ISAI</v>
      </c>
      <c r="AT887" s="10"/>
      <c r="AU887" s="10"/>
      <c r="AV887" s="10"/>
      <c r="AW887" s="10"/>
      <c r="AX887" s="10"/>
      <c r="AY887" s="10"/>
      <c r="AZ887" s="10"/>
      <c r="BA887" s="10"/>
      <c r="BB887" s="10"/>
      <c r="BC887" s="10"/>
      <c r="BD887" s="10"/>
      <c r="BE887" s="10"/>
      <c r="BF887" s="10"/>
      <c r="BG887" s="10"/>
      <c r="BH887" s="10"/>
      <c r="BI887" s="10"/>
      <c r="BJ887" s="10"/>
      <c r="BK887" s="10"/>
      <c r="BM887" s="10"/>
    </row>
    <row r="888" spans="1:65" ht="12.75">
      <c r="A888" s="18">
        <v>43451</v>
      </c>
      <c r="B888" s="14" t="s">
        <v>1897</v>
      </c>
      <c r="C888" s="19">
        <v>2777</v>
      </c>
      <c r="D888" s="19"/>
      <c r="E888" s="14" t="s">
        <v>234</v>
      </c>
      <c r="F888" s="14" t="s">
        <v>49</v>
      </c>
      <c r="G888" s="21" t="s">
        <v>1898</v>
      </c>
      <c r="H888" s="14" t="str">
        <f t="array" ref="H888">IFERROR(INDEX([1]Companies!$G:$G,MATCH(B888,[1]Companies!$A:$A,0)),"")</f>
        <v>Nigeria</v>
      </c>
      <c r="I888" s="14" t="str">
        <f t="shared" si="1155"/>
        <v>Nigeria</v>
      </c>
      <c r="J888" s="14" t="str">
        <f t="array" ref="J888">IFERROR(INDEX([1]Companies!$Y:$Y,MATCH(B888,[1]Companies!$A:$A,0)),"")</f>
        <v>CleanTech, Information Technology, Renewable Energy, Solar</v>
      </c>
      <c r="K888" s="14" t="str">
        <f t="array" ref="K888">IFERROR(INDEX([1]Companies!$X:$X,MATCH(B888,[1]Companies!$A:$A,0)),"")</f>
        <v>Renewables &amp; Environment</v>
      </c>
      <c r="L888" s="14" t="str">
        <f>VLOOKUP(B888,[1]Companies!$A$1:$C$5243,1,FALSE)</f>
        <v>Newdigit</v>
      </c>
      <c r="M888" s="15">
        <f t="shared" si="1156"/>
        <v>0.9</v>
      </c>
      <c r="N888" s="10" t="str">
        <f t="shared" si="1157"/>
        <v>43451Newdigit2777</v>
      </c>
      <c r="O888" s="14" t="str">
        <f t="shared" si="1158"/>
        <v/>
      </c>
      <c r="P888" s="14">
        <f t="shared" si="1159"/>
        <v>1</v>
      </c>
      <c r="Q888" s="14">
        <f t="array" ref="Q888">IFERROR(INDEX([1]Companies!$D:$D,MATCH(B888,[1]Companies!$A:$A,0)),"")</f>
        <v>2018</v>
      </c>
      <c r="R888" s="17">
        <f t="shared" si="1160"/>
        <v>2777</v>
      </c>
      <c r="S888" s="14">
        <f>VLOOKUP(I888,[1]Lookups!$V$3:$Y$197,4,FALSE)</f>
        <v>0</v>
      </c>
      <c r="T888" s="14" t="str">
        <f>VLOOKUP(E888,[1]Lookups!$H$3:$I$71,2,FALSE)</f>
        <v>2. Seed</v>
      </c>
      <c r="U888" s="14" t="str">
        <f>VLOOKUP(K888,[1]Lookups!$B$3:$C$142,2,FALSE)</f>
        <v>Energy &amp; Resources</v>
      </c>
      <c r="V888" s="14">
        <f t="shared" si="921"/>
        <v>2018</v>
      </c>
      <c r="W888" s="14">
        <f t="shared" si="922"/>
        <v>12</v>
      </c>
      <c r="X888" s="14">
        <f>VLOOKUP(W888,[1]Lookups!$P$3:$S$15,2,FALSE)</f>
        <v>4</v>
      </c>
      <c r="Y888" s="16">
        <f>VLOOKUP(W888,[1]Lookups!$P$3:$U$15,3,FALSE)</f>
        <v>2</v>
      </c>
      <c r="Z888" s="16">
        <f t="shared" si="923"/>
        <v>1</v>
      </c>
      <c r="AA888" s="16" t="str">
        <f t="shared" ca="1" si="1161"/>
        <v>ISAI</v>
      </c>
      <c r="AB888" s="16">
        <f t="shared" si="1161"/>
        <v>0</v>
      </c>
      <c r="AC888" s="16">
        <f t="shared" si="1161"/>
        <v>0</v>
      </c>
      <c r="AD888" s="16">
        <f t="shared" si="1161"/>
        <v>0</v>
      </c>
      <c r="AE888" s="16">
        <f t="shared" si="1161"/>
        <v>0</v>
      </c>
      <c r="AF888" s="16">
        <f t="shared" si="1161"/>
        <v>0</v>
      </c>
      <c r="AG888" s="16">
        <f t="shared" si="1161"/>
        <v>0</v>
      </c>
      <c r="AH888" s="16">
        <f t="shared" si="1161"/>
        <v>0</v>
      </c>
      <c r="AI888" s="16">
        <f t="shared" si="1161"/>
        <v>0</v>
      </c>
      <c r="AJ888" s="16">
        <f t="shared" si="1161"/>
        <v>0</v>
      </c>
      <c r="AK888" s="16">
        <f t="shared" si="1161"/>
        <v>0</v>
      </c>
      <c r="AL888" s="16">
        <f t="shared" si="1161"/>
        <v>0</v>
      </c>
      <c r="AM888" s="16">
        <f t="shared" si="1161"/>
        <v>0</v>
      </c>
      <c r="AN888" s="16">
        <f t="shared" si="1161"/>
        <v>0</v>
      </c>
      <c r="AO888" s="16">
        <f t="shared" si="1161"/>
        <v>0</v>
      </c>
      <c r="AP888" s="10"/>
      <c r="AQ888" s="10"/>
      <c r="AR888" s="10"/>
      <c r="AS888" s="10" t="str">
        <f t="shared" ref="AS888" ca="1" si="1172">IFERROR(__xludf.DUMMYFUNCTION("split(F878,"","",true,true)"),"ISAI")</f>
        <v>ISAI</v>
      </c>
      <c r="AT888" s="10"/>
      <c r="AU888" s="10"/>
      <c r="AV888" s="10"/>
      <c r="AW888" s="10"/>
      <c r="AX888" s="10"/>
      <c r="AY888" s="10"/>
      <c r="AZ888" s="10"/>
      <c r="BA888" s="10"/>
      <c r="BB888" s="10"/>
      <c r="BC888" s="10"/>
      <c r="BD888" s="10"/>
      <c r="BE888" s="10"/>
      <c r="BF888" s="10"/>
      <c r="BG888" s="10"/>
      <c r="BH888" s="10"/>
      <c r="BI888" s="10"/>
      <c r="BJ888" s="10"/>
      <c r="BK888" s="10"/>
      <c r="BM888" s="10"/>
    </row>
    <row r="889" spans="1:65" ht="12.75">
      <c r="A889" s="18">
        <v>43452</v>
      </c>
      <c r="B889" s="14" t="s">
        <v>68</v>
      </c>
      <c r="C889" s="19" t="s">
        <v>49</v>
      </c>
      <c r="D889" s="22"/>
      <c r="E889" s="10" t="s">
        <v>653</v>
      </c>
      <c r="F889" s="14" t="s">
        <v>1899</v>
      </c>
      <c r="G889" s="27" t="s">
        <v>1900</v>
      </c>
      <c r="H889" s="14" t="str">
        <f t="array" ref="H889">IFERROR(INDEX([1]Companies!$G:$G,MATCH(B889,[1]Companies!$A:$A,0)),"")</f>
        <v>Kenya</v>
      </c>
      <c r="I889" s="14" t="str">
        <f t="shared" si="1155"/>
        <v>Kenya</v>
      </c>
      <c r="J889" s="14" t="str">
        <f t="array" ref="J889">IFERROR(INDEX([1]Companies!$Y:$Y,MATCH(B889,[1]Companies!$A:$A,0)),"")</f>
        <v>Energy, Financial Services, Mobile</v>
      </c>
      <c r="K889" s="14" t="str">
        <f t="array" ref="K889">IFERROR(INDEX([1]Companies!$X:$X,MATCH(B889,[1]Companies!$A:$A,0)),"")</f>
        <v>Energy &amp; Environment Resources</v>
      </c>
      <c r="L889" s="14" t="str">
        <f>VLOOKUP(B889,[1]Companies!$A$1:$C$5243,1,FALSE)</f>
        <v>M-Kopa</v>
      </c>
      <c r="M889" s="15">
        <f t="shared" si="1156"/>
        <v>0.9</v>
      </c>
      <c r="N889" s="10" t="str">
        <f t="shared" si="1157"/>
        <v>43452M-KOPAUndisclosed</v>
      </c>
      <c r="O889" s="14" t="str">
        <f t="shared" si="1158"/>
        <v/>
      </c>
      <c r="P889" s="14">
        <f t="shared" si="1159"/>
        <v>0</v>
      </c>
      <c r="Q889" s="14">
        <f t="array" ref="Q889">IFERROR(INDEX([1]Companies!$D:$D,MATCH(B889,[1]Companies!$A:$A,0)),"")</f>
        <v>2011</v>
      </c>
      <c r="R889" s="17">
        <f t="shared" si="1160"/>
        <v>161800000</v>
      </c>
      <c r="S889" s="14">
        <f>VLOOKUP(I889,[1]Lookups!$V$3:$Y$197,4,FALSE)</f>
        <v>0</v>
      </c>
      <c r="T889" s="14" t="str">
        <f>VLOOKUP(E889,[1]Lookups!$H$3:$I$71,2,FALSE)</f>
        <v>4. Late Venture</v>
      </c>
      <c r="U889" s="14" t="e">
        <f>VLOOKUP(K889,[1]Lookups!$B$3:$C$142,2,FALSE)</f>
        <v>#N/A</v>
      </c>
      <c r="V889" s="14">
        <f t="shared" si="921"/>
        <v>2018</v>
      </c>
      <c r="W889" s="14">
        <f t="shared" si="922"/>
        <v>12</v>
      </c>
      <c r="X889" s="14">
        <f>VLOOKUP(W889,[1]Lookups!$P$3:$S$15,2,FALSE)</f>
        <v>4</v>
      </c>
      <c r="Y889" s="16">
        <f>VLOOKUP(W889,[1]Lookups!$P$3:$U$15,3,FALSE)</f>
        <v>2</v>
      </c>
      <c r="Z889" s="16">
        <f t="shared" si="923"/>
        <v>1</v>
      </c>
      <c r="AA889" s="16" t="str">
        <f t="shared" ca="1" si="1161"/>
        <v>ISAI</v>
      </c>
      <c r="AB889" s="16">
        <f t="shared" si="1161"/>
        <v>0</v>
      </c>
      <c r="AC889" s="16">
        <f t="shared" si="1161"/>
        <v>0</v>
      </c>
      <c r="AD889" s="16">
        <f t="shared" si="1161"/>
        <v>0</v>
      </c>
      <c r="AE889" s="16">
        <f t="shared" si="1161"/>
        <v>0</v>
      </c>
      <c r="AF889" s="16">
        <f t="shared" si="1161"/>
        <v>0</v>
      </c>
      <c r="AG889" s="16">
        <f t="shared" si="1161"/>
        <v>0</v>
      </c>
      <c r="AH889" s="16">
        <f t="shared" si="1161"/>
        <v>0</v>
      </c>
      <c r="AI889" s="16">
        <f t="shared" si="1161"/>
        <v>0</v>
      </c>
      <c r="AJ889" s="16">
        <f t="shared" si="1161"/>
        <v>0</v>
      </c>
      <c r="AK889" s="16">
        <f t="shared" si="1161"/>
        <v>0</v>
      </c>
      <c r="AL889" s="16">
        <f t="shared" si="1161"/>
        <v>0</v>
      </c>
      <c r="AM889" s="16">
        <f t="shared" si="1161"/>
        <v>0</v>
      </c>
      <c r="AN889" s="16">
        <f t="shared" si="1161"/>
        <v>0</v>
      </c>
      <c r="AO889" s="16">
        <f t="shared" si="1161"/>
        <v>0</v>
      </c>
      <c r="AP889" s="10"/>
      <c r="AQ889" s="10"/>
      <c r="AR889" s="10"/>
      <c r="AS889" s="10" t="str">
        <f t="shared" ref="AS889" ca="1" si="1173">IFERROR(__xludf.DUMMYFUNCTION("split(F878,"","",true,true)"),"ISAI")</f>
        <v>ISAI</v>
      </c>
      <c r="AT889" s="10"/>
      <c r="AU889" s="10"/>
      <c r="AV889" s="10"/>
      <c r="AW889" s="10"/>
      <c r="AX889" s="10"/>
      <c r="AY889" s="10"/>
      <c r="AZ889" s="10"/>
      <c r="BA889" s="10"/>
      <c r="BB889" s="10"/>
      <c r="BC889" s="10"/>
      <c r="BD889" s="10"/>
      <c r="BE889" s="10"/>
      <c r="BF889" s="10"/>
      <c r="BG889" s="10"/>
      <c r="BH889" s="10"/>
      <c r="BI889" s="10"/>
      <c r="BJ889" s="10"/>
      <c r="BK889" s="10"/>
      <c r="BM889" s="10"/>
    </row>
    <row r="890" spans="1:65" ht="12.75">
      <c r="A890" s="18">
        <v>43452</v>
      </c>
      <c r="B890" s="14" t="s">
        <v>78</v>
      </c>
      <c r="C890" s="19">
        <v>84400000</v>
      </c>
      <c r="D890" s="22"/>
      <c r="E890" s="10" t="s">
        <v>830</v>
      </c>
      <c r="F890" s="14" t="s">
        <v>1901</v>
      </c>
      <c r="G890" s="27" t="s">
        <v>1902</v>
      </c>
      <c r="H890" s="14" t="str">
        <f t="array" ref="H890">IFERROR(INDEX([1]Companies!$G:$G,MATCH(B890,[1]Companies!$A:$A,0)),"")</f>
        <v>Nigeria</v>
      </c>
      <c r="I890" s="14" t="str">
        <f t="shared" si="1155"/>
        <v>Nigeria</v>
      </c>
      <c r="J890" s="14" t="str">
        <f t="array" ref="J890">IFERROR(INDEX([1]Companies!$Y:$Y,MATCH(B890,[1]Companies!$A:$A,0)),"")</f>
        <v>E-Commerce, Internet, Shopping Online</v>
      </c>
      <c r="K890" s="14" t="str">
        <f t="array" ref="K890">IFERROR(INDEX([1]Companies!$X:$X,MATCH(B890,[1]Companies!$A:$A,0)),"")</f>
        <v>E-Commerce &amp; Retail</v>
      </c>
      <c r="L890" s="14" t="str">
        <f>VLOOKUP(B890,[1]Companies!$A$1:$C$5243,1,FALSE)</f>
        <v>Jumia Group</v>
      </c>
      <c r="M890" s="15">
        <f t="shared" si="1156"/>
        <v>0.9</v>
      </c>
      <c r="N890" s="10" t="str">
        <f t="shared" si="1157"/>
        <v>43452Jumia Group84400000</v>
      </c>
      <c r="O890" s="14" t="str">
        <f t="shared" si="1158"/>
        <v/>
      </c>
      <c r="P890" s="14">
        <f t="shared" si="1159"/>
        <v>1</v>
      </c>
      <c r="Q890" s="14">
        <f t="array" ref="Q890">IFERROR(INDEX([1]Companies!$D:$D,MATCH(B890,[1]Companies!$A:$A,0)),"")</f>
        <v>2012</v>
      </c>
      <c r="R890" s="17">
        <f t="shared" si="1160"/>
        <v>885400000</v>
      </c>
      <c r="S890" s="14">
        <f>VLOOKUP(I890,[1]Lookups!$V$3:$Y$197,4,FALSE)</f>
        <v>0</v>
      </c>
      <c r="T890" s="14" t="str">
        <f>VLOOKUP(E890,[1]Lookups!$H$3:$I$71,2,FALSE)</f>
        <v>4. Late Venture</v>
      </c>
      <c r="U890" s="14" t="str">
        <f>VLOOKUP(K890,[1]Lookups!$B$3:$C$142,2,FALSE)</f>
        <v>E-commerce &amp; Retail</v>
      </c>
      <c r="V890" s="14">
        <f t="shared" si="921"/>
        <v>2018</v>
      </c>
      <c r="W890" s="14">
        <f t="shared" si="922"/>
        <v>12</v>
      </c>
      <c r="X890" s="14">
        <f>VLOOKUP(W890,[1]Lookups!$P$3:$S$15,2,FALSE)</f>
        <v>4</v>
      </c>
      <c r="Y890" s="16">
        <f>VLOOKUP(W890,[1]Lookups!$P$3:$U$15,3,FALSE)</f>
        <v>2</v>
      </c>
      <c r="Z890" s="16">
        <f t="shared" si="923"/>
        <v>1</v>
      </c>
      <c r="AA890" s="16" t="str">
        <f t="shared" ca="1" si="1161"/>
        <v>ISAI</v>
      </c>
      <c r="AB890" s="16">
        <f t="shared" si="1161"/>
        <v>0</v>
      </c>
      <c r="AC890" s="16">
        <f t="shared" si="1161"/>
        <v>0</v>
      </c>
      <c r="AD890" s="16">
        <f t="shared" si="1161"/>
        <v>0</v>
      </c>
      <c r="AE890" s="16">
        <f t="shared" si="1161"/>
        <v>0</v>
      </c>
      <c r="AF890" s="16">
        <f t="shared" si="1161"/>
        <v>0</v>
      </c>
      <c r="AG890" s="16">
        <f t="shared" si="1161"/>
        <v>0</v>
      </c>
      <c r="AH890" s="16">
        <f t="shared" si="1161"/>
        <v>0</v>
      </c>
      <c r="AI890" s="16">
        <f t="shared" si="1161"/>
        <v>0</v>
      </c>
      <c r="AJ890" s="16">
        <f t="shared" si="1161"/>
        <v>0</v>
      </c>
      <c r="AK890" s="16">
        <f t="shared" si="1161"/>
        <v>0</v>
      </c>
      <c r="AL890" s="16">
        <f t="shared" si="1161"/>
        <v>0</v>
      </c>
      <c r="AM890" s="16">
        <f t="shared" si="1161"/>
        <v>0</v>
      </c>
      <c r="AN890" s="16">
        <f t="shared" si="1161"/>
        <v>0</v>
      </c>
      <c r="AO890" s="16">
        <f t="shared" si="1161"/>
        <v>0</v>
      </c>
      <c r="AP890" s="10"/>
      <c r="AQ890" s="10"/>
      <c r="AR890" s="10"/>
      <c r="AS890" s="10" t="str">
        <f t="shared" ref="AS890" ca="1" si="1174">IFERROR(__xludf.DUMMYFUNCTION("split(F878,"","",true,true)"),"ISAI")</f>
        <v>ISAI</v>
      </c>
      <c r="AT890" s="10"/>
      <c r="AU890" s="10"/>
      <c r="AV890" s="10"/>
      <c r="AW890" s="10"/>
      <c r="AX890" s="10"/>
      <c r="AY890" s="10"/>
      <c r="AZ890" s="10"/>
      <c r="BA890" s="10"/>
      <c r="BB890" s="10"/>
      <c r="BC890" s="10"/>
      <c r="BD890" s="10"/>
      <c r="BE890" s="10"/>
      <c r="BF890" s="10"/>
      <c r="BG890" s="10"/>
      <c r="BH890" s="10"/>
      <c r="BI890" s="10"/>
      <c r="BJ890" s="10"/>
      <c r="BK890" s="10"/>
      <c r="BM890" s="10"/>
    </row>
    <row r="891" spans="1:65" ht="12.75">
      <c r="A891" s="9">
        <v>43452</v>
      </c>
      <c r="B891" s="10" t="s">
        <v>183</v>
      </c>
      <c r="C891" s="11">
        <v>41000000</v>
      </c>
      <c r="D891" s="12"/>
      <c r="E891" s="10" t="s">
        <v>328</v>
      </c>
      <c r="F891" s="10" t="s">
        <v>1903</v>
      </c>
      <c r="G891" s="13" t="s">
        <v>1904</v>
      </c>
      <c r="H891" s="14" t="str">
        <f t="array" ref="H891">IFERROR(INDEX([1]Companies!$G:$G,MATCH(B891,[1]Companies!$A:$A,0)),"")</f>
        <v>Kenya</v>
      </c>
      <c r="I891" s="14" t="str">
        <f t="shared" si="1155"/>
        <v>Kenya</v>
      </c>
      <c r="J891" s="14" t="str">
        <f t="array" ref="J891">IFERROR(INDEX([1]Companies!$Y:$Y,MATCH(B891,[1]Companies!$A:$A,0)),"")</f>
        <v>Energy, Renewable Energy, Solar</v>
      </c>
      <c r="K891" s="14" t="str">
        <f t="array" ref="K891">IFERROR(INDEX([1]Companies!$X:$X,MATCH(B891,[1]Companies!$A:$A,0)),"")</f>
        <v>Energy &amp; Environment Resources</v>
      </c>
      <c r="L891" s="14" t="str">
        <f>VLOOKUP(B891,[1]Companies!$A$1:$C$5243,1,FALSE)</f>
        <v>d.light</v>
      </c>
      <c r="M891" s="15">
        <f t="shared" si="1156"/>
        <v>0.9</v>
      </c>
      <c r="N891" s="10" t="str">
        <f t="shared" si="1157"/>
        <v>43452d.light41000000</v>
      </c>
      <c r="O891" s="14" t="str">
        <f t="shared" si="1158"/>
        <v/>
      </c>
      <c r="P891" s="14">
        <f t="shared" si="1159"/>
        <v>1</v>
      </c>
      <c r="Q891" s="14">
        <f t="array" ref="Q891">IFERROR(INDEX([1]Companies!$D:$D,MATCH(B891,[1]Companies!$A:$A,0)),"")</f>
        <v>2007</v>
      </c>
      <c r="R891" s="17">
        <f t="shared" si="1160"/>
        <v>167500000</v>
      </c>
      <c r="S891" s="14">
        <f>VLOOKUP(I891,[1]Lookups!$V$3:$Y$197,4,FALSE)</f>
        <v>0</v>
      </c>
      <c r="T891" s="14" t="str">
        <f>VLOOKUP(E891,[1]Lookups!$H$3:$I$71,2,FALSE)</f>
        <v>4. Late Venture</v>
      </c>
      <c r="U891" s="14" t="e">
        <f>VLOOKUP(K891,[1]Lookups!$B$3:$C$142,2,FALSE)</f>
        <v>#N/A</v>
      </c>
      <c r="V891" s="14">
        <f t="shared" si="921"/>
        <v>2018</v>
      </c>
      <c r="W891" s="14">
        <f t="shared" si="922"/>
        <v>12</v>
      </c>
      <c r="X891" s="14">
        <f>VLOOKUP(W891,[1]Lookups!$P$3:$S$15,2,FALSE)</f>
        <v>4</v>
      </c>
      <c r="Y891" s="16">
        <f>VLOOKUP(W891,[1]Lookups!$P$3:$U$15,3,FALSE)</f>
        <v>2</v>
      </c>
      <c r="Z891" s="16">
        <f t="shared" si="923"/>
        <v>4</v>
      </c>
      <c r="AA891" s="16" t="str">
        <f t="shared" ca="1" si="1161"/>
        <v>ISAI</v>
      </c>
      <c r="AB891" s="16" t="str">
        <f t="shared" ca="1" si="1161"/>
        <v xml:space="preserve"> FMO</v>
      </c>
      <c r="AC891" s="16" t="str">
        <f t="shared" ca="1" si="1161"/>
        <v xml:space="preserve"> Swedfund International</v>
      </c>
      <c r="AD891" s="16" t="str">
        <f t="shared" ca="1" si="1161"/>
        <v xml:space="preserve"> Inspired Evolution Investment Management</v>
      </c>
      <c r="AE891" s="16">
        <f t="shared" si="1161"/>
        <v>0</v>
      </c>
      <c r="AF891" s="16">
        <f t="shared" si="1161"/>
        <v>0</v>
      </c>
      <c r="AG891" s="16">
        <f t="shared" si="1161"/>
        <v>0</v>
      </c>
      <c r="AH891" s="16">
        <f t="shared" si="1161"/>
        <v>0</v>
      </c>
      <c r="AI891" s="16">
        <f t="shared" si="1161"/>
        <v>0</v>
      </c>
      <c r="AJ891" s="16">
        <f t="shared" si="1161"/>
        <v>0</v>
      </c>
      <c r="AK891" s="16">
        <f t="shared" si="1161"/>
        <v>0</v>
      </c>
      <c r="AL891" s="16">
        <f t="shared" si="1161"/>
        <v>0</v>
      </c>
      <c r="AM891" s="16">
        <f t="shared" si="1161"/>
        <v>0</v>
      </c>
      <c r="AN891" s="16">
        <f t="shared" si="1161"/>
        <v>0</v>
      </c>
      <c r="AO891" s="16">
        <f t="shared" si="1161"/>
        <v>0</v>
      </c>
      <c r="AP891" s="10"/>
      <c r="AQ891" s="10"/>
      <c r="AR891" s="10"/>
      <c r="AS891" s="10" t="str">
        <f t="shared" ref="AS891" ca="1" si="1175">IFERROR(__xludf.DUMMYFUNCTION("split(F878,"","",true,true)"),"ISAI")</f>
        <v>ISAI</v>
      </c>
      <c r="AT891" s="10" t="str">
        <f ca="1">IFERROR(__xludf.DUMMYFUNCTION("""COMPUTED_VALUE""")," FMO")</f>
        <v xml:space="preserve"> FMO</v>
      </c>
      <c r="AU891" s="10" t="str">
        <f ca="1">IFERROR(__xludf.DUMMYFUNCTION("""COMPUTED_VALUE""")," Swedfund International")</f>
        <v xml:space="preserve"> Swedfund International</v>
      </c>
      <c r="AV891" s="10" t="str">
        <f ca="1">IFERROR(__xludf.DUMMYFUNCTION("""COMPUTED_VALUE""")," Inspired Evolution Investment Management")</f>
        <v xml:space="preserve"> Inspired Evolution Investment Management</v>
      </c>
      <c r="AW891" s="10"/>
      <c r="AX891" s="10"/>
      <c r="AY891" s="10"/>
      <c r="AZ891" s="10"/>
      <c r="BA891" s="10"/>
      <c r="BB891" s="10"/>
      <c r="BC891" s="10"/>
      <c r="BD891" s="10"/>
      <c r="BE891" s="10"/>
      <c r="BF891" s="10"/>
      <c r="BG891" s="10"/>
      <c r="BH891" s="10"/>
      <c r="BI891" s="10"/>
      <c r="BJ891" s="10"/>
      <c r="BK891" s="10"/>
      <c r="BM891" s="10"/>
    </row>
    <row r="892" spans="1:65" ht="12.75">
      <c r="A892" s="18">
        <v>43452</v>
      </c>
      <c r="B892" s="14" t="s">
        <v>1280</v>
      </c>
      <c r="C892" s="19">
        <v>50000</v>
      </c>
      <c r="D892" s="35"/>
      <c r="E892" s="14" t="s">
        <v>45</v>
      </c>
      <c r="F892" s="14" t="s">
        <v>1905</v>
      </c>
      <c r="G892" s="27" t="s">
        <v>1906</v>
      </c>
      <c r="H892" s="14" t="str">
        <f t="array" ref="H892">IFERROR(INDEX([1]Companies!$G:$G,MATCH(B892,[1]Companies!$A:$A,0)),"")</f>
        <v>Nigeria</v>
      </c>
      <c r="I892" s="14" t="str">
        <f t="shared" si="1155"/>
        <v>Nigeria</v>
      </c>
      <c r="J892" s="14" t="str">
        <f t="array" ref="J892">IFERROR(INDEX([1]Companies!$Y:$Y,MATCH(B892,[1]Companies!$A:$A,0)),"")</f>
        <v>Personal Finance, Wealth Management, Savings</v>
      </c>
      <c r="K892" s="14" t="str">
        <f t="array" ref="K892">IFERROR(INDEX([1]Companies!$X:$X,MATCH(B892,[1]Companies!$A:$A,0)),"")</f>
        <v>Financial Services</v>
      </c>
      <c r="L892" s="14" t="str">
        <f>VLOOKUP(B892,[1]Companies!$A$1:$C$5243,1,FALSE)</f>
        <v>Cowrywise</v>
      </c>
      <c r="M892" s="15">
        <f t="shared" si="1156"/>
        <v>0.9</v>
      </c>
      <c r="N892" s="10" t="str">
        <f t="shared" si="1157"/>
        <v>43452CowryWise50000</v>
      </c>
      <c r="O892" s="14" t="str">
        <f t="shared" si="1158"/>
        <v/>
      </c>
      <c r="P892" s="14">
        <f t="shared" si="1159"/>
        <v>1</v>
      </c>
      <c r="Q892" s="14">
        <f t="array" ref="Q892">IFERROR(INDEX([1]Companies!$D:$D,MATCH(B892,[1]Companies!$A:$A,0)),"")</f>
        <v>2017</v>
      </c>
      <c r="R892" s="17">
        <f t="shared" si="1160"/>
        <v>185000</v>
      </c>
      <c r="S892" s="14">
        <f>VLOOKUP(I892,[1]Lookups!$V$3:$Y$197,4,FALSE)</f>
        <v>0</v>
      </c>
      <c r="T892" s="14" t="str">
        <f>VLOOKUP(E892,[1]Lookups!$H$3:$I$71,2,FALSE)</f>
        <v>2. Seed</v>
      </c>
      <c r="U892" s="14" t="str">
        <f>VLOOKUP(K892,[1]Lookups!$B$3:$C$142,2,FALSE)</f>
        <v>Financial Services</v>
      </c>
      <c r="V892" s="14">
        <f t="shared" si="921"/>
        <v>2018</v>
      </c>
      <c r="W892" s="14">
        <f t="shared" si="922"/>
        <v>12</v>
      </c>
      <c r="X892" s="14">
        <f>VLOOKUP(W892,[1]Lookups!$P$3:$S$15,2,FALSE)</f>
        <v>4</v>
      </c>
      <c r="Y892" s="16">
        <f>VLOOKUP(W892,[1]Lookups!$P$3:$U$15,3,FALSE)</f>
        <v>2</v>
      </c>
      <c r="Z892" s="16">
        <f t="shared" si="923"/>
        <v>1</v>
      </c>
      <c r="AA892" s="16" t="str">
        <f t="shared" ca="1" si="1161"/>
        <v>ISAI</v>
      </c>
      <c r="AB892" s="16">
        <f t="shared" si="1161"/>
        <v>0</v>
      </c>
      <c r="AC892" s="16">
        <f t="shared" si="1161"/>
        <v>0</v>
      </c>
      <c r="AD892" s="16">
        <f t="shared" si="1161"/>
        <v>0</v>
      </c>
      <c r="AE892" s="16">
        <f t="shared" si="1161"/>
        <v>0</v>
      </c>
      <c r="AF892" s="16">
        <f t="shared" si="1161"/>
        <v>0</v>
      </c>
      <c r="AG892" s="16">
        <f t="shared" si="1161"/>
        <v>0</v>
      </c>
      <c r="AH892" s="16">
        <f t="shared" si="1161"/>
        <v>0</v>
      </c>
      <c r="AI892" s="16">
        <f t="shared" si="1161"/>
        <v>0</v>
      </c>
      <c r="AJ892" s="16">
        <f t="shared" si="1161"/>
        <v>0</v>
      </c>
      <c r="AK892" s="16">
        <f t="shared" si="1161"/>
        <v>0</v>
      </c>
      <c r="AL892" s="16">
        <f t="shared" si="1161"/>
        <v>0</v>
      </c>
      <c r="AM892" s="16">
        <f t="shared" si="1161"/>
        <v>0</v>
      </c>
      <c r="AN892" s="16">
        <f t="shared" si="1161"/>
        <v>0</v>
      </c>
      <c r="AO892" s="16">
        <f t="shared" si="1161"/>
        <v>0</v>
      </c>
      <c r="AP892" s="10"/>
      <c r="AQ892" s="10"/>
      <c r="AR892" s="10"/>
      <c r="AS892" s="10" t="str">
        <f t="shared" ref="AS892" ca="1" si="1176">IFERROR(__xludf.DUMMYFUNCTION("split(F878,"","",true,true)"),"ISAI")</f>
        <v>ISAI</v>
      </c>
      <c r="AT892" s="10"/>
      <c r="AU892" s="10"/>
      <c r="AV892" s="10"/>
      <c r="AW892" s="10"/>
      <c r="AX892" s="10"/>
      <c r="AY892" s="10"/>
      <c r="AZ892" s="10"/>
      <c r="BA892" s="10"/>
      <c r="BB892" s="10"/>
      <c r="BC892" s="10"/>
      <c r="BD892" s="10"/>
      <c r="BE892" s="10"/>
      <c r="BF892" s="10"/>
      <c r="BG892" s="10"/>
      <c r="BH892" s="10"/>
      <c r="BI892" s="10"/>
      <c r="BJ892" s="10"/>
      <c r="BK892" s="10"/>
      <c r="BM892" s="10"/>
    </row>
    <row r="893" spans="1:65" ht="12.75">
      <c r="A893" s="18">
        <v>43453</v>
      </c>
      <c r="B893" s="14" t="s">
        <v>1907</v>
      </c>
      <c r="C893" s="19">
        <v>1158000</v>
      </c>
      <c r="D893" s="19"/>
      <c r="E893" s="14" t="s">
        <v>55</v>
      </c>
      <c r="F893" s="14" t="s">
        <v>1701</v>
      </c>
      <c r="G893" s="27" t="s">
        <v>1908</v>
      </c>
      <c r="H893" s="14" t="str">
        <f t="array" ref="H893">IFERROR(INDEX([1]Companies!$G:$G,MATCH(B893,[1]Companies!$A:$A,0)),"")</f>
        <v>Kenya</v>
      </c>
      <c r="I893" s="14" t="str">
        <f t="shared" si="1155"/>
        <v>Kenya</v>
      </c>
      <c r="J893" s="14" t="str">
        <f t="array" ref="J893">IFERROR(INDEX([1]Companies!$Y:$Y,MATCH(B893,[1]Companies!$A:$A,0)),"")</f>
        <v>Insurance, FinTech, Agriculture</v>
      </c>
      <c r="K893" s="14" t="str">
        <f t="array" ref="K893">IFERROR(INDEX([1]Companies!$X:$X,MATCH(B893,[1]Companies!$A:$A,0)),"")</f>
        <v>Agriculture</v>
      </c>
      <c r="L893" s="14" t="str">
        <f>VLOOKUP(B893,[1]Companies!$A$1:$C$5243,1,FALSE)</f>
        <v>Pula</v>
      </c>
      <c r="M893" s="15">
        <f t="shared" si="1156"/>
        <v>0.9</v>
      </c>
      <c r="N893" s="10" t="str">
        <f t="shared" si="1157"/>
        <v>43453Pula1158000</v>
      </c>
      <c r="O893" s="14" t="str">
        <f t="shared" si="1158"/>
        <v/>
      </c>
      <c r="P893" s="14">
        <f t="shared" si="1159"/>
        <v>1</v>
      </c>
      <c r="Q893" s="14">
        <f t="array" ref="Q893">IFERROR(INDEX([1]Companies!$D:$D,MATCH(B893,[1]Companies!$A:$A,0)),"")</f>
        <v>2014</v>
      </c>
      <c r="R893" s="17">
        <f t="shared" si="1160"/>
        <v>1158000</v>
      </c>
      <c r="S893" s="14">
        <f>VLOOKUP(I893,[1]Lookups!$V$3:$Y$197,4,FALSE)</f>
        <v>0</v>
      </c>
      <c r="T893" s="14" t="str">
        <f>VLOOKUP(E893,[1]Lookups!$H$3:$I$71,2,FALSE)</f>
        <v>1. Grant</v>
      </c>
      <c r="U893" s="14" t="str">
        <f>VLOOKUP(K893,[1]Lookups!$B$3:$C$142,2,FALSE)</f>
        <v>Agriculture</v>
      </c>
      <c r="V893" s="14">
        <f t="shared" si="921"/>
        <v>2018</v>
      </c>
      <c r="W893" s="14">
        <f t="shared" si="922"/>
        <v>12</v>
      </c>
      <c r="X893" s="14">
        <f>VLOOKUP(W893,[1]Lookups!$P$3:$S$15,2,FALSE)</f>
        <v>4</v>
      </c>
      <c r="Y893" s="16">
        <f>VLOOKUP(W893,[1]Lookups!$P$3:$U$15,3,FALSE)</f>
        <v>2</v>
      </c>
      <c r="Z893" s="16">
        <f t="shared" si="923"/>
        <v>1</v>
      </c>
      <c r="AA893" s="16" t="str">
        <f t="shared" ca="1" si="1161"/>
        <v>ISAI</v>
      </c>
      <c r="AB893" s="16">
        <f t="shared" si="1161"/>
        <v>0</v>
      </c>
      <c r="AC893" s="16">
        <f t="shared" si="1161"/>
        <v>0</v>
      </c>
      <c r="AD893" s="16">
        <f t="shared" si="1161"/>
        <v>0</v>
      </c>
      <c r="AE893" s="16">
        <f t="shared" si="1161"/>
        <v>0</v>
      </c>
      <c r="AF893" s="16">
        <f t="shared" si="1161"/>
        <v>0</v>
      </c>
      <c r="AG893" s="16">
        <f t="shared" si="1161"/>
        <v>0</v>
      </c>
      <c r="AH893" s="16">
        <f t="shared" si="1161"/>
        <v>0</v>
      </c>
      <c r="AI893" s="16">
        <f t="shared" si="1161"/>
        <v>0</v>
      </c>
      <c r="AJ893" s="16">
        <f t="shared" si="1161"/>
        <v>0</v>
      </c>
      <c r="AK893" s="16">
        <f t="shared" si="1161"/>
        <v>0</v>
      </c>
      <c r="AL893" s="16">
        <f t="shared" si="1161"/>
        <v>0</v>
      </c>
      <c r="AM893" s="16">
        <f t="shared" si="1161"/>
        <v>0</v>
      </c>
      <c r="AN893" s="16">
        <f t="shared" si="1161"/>
        <v>0</v>
      </c>
      <c r="AO893" s="16">
        <f t="shared" si="1161"/>
        <v>0</v>
      </c>
      <c r="AP893" s="10"/>
      <c r="AQ893" s="10"/>
      <c r="AR893" s="10"/>
      <c r="AS893" s="10" t="str">
        <f t="shared" ref="AS893" ca="1" si="1177">IFERROR(__xludf.DUMMYFUNCTION("split(F878,"","",true,true)"),"ISAI")</f>
        <v>ISAI</v>
      </c>
      <c r="AT893" s="23"/>
      <c r="AU893" s="23"/>
      <c r="AV893" s="23"/>
      <c r="AW893" s="23"/>
      <c r="AX893" s="23"/>
      <c r="AY893" s="23"/>
      <c r="AZ893" s="23"/>
      <c r="BA893" s="23"/>
      <c r="BB893" s="23"/>
      <c r="BC893" s="23"/>
      <c r="BD893" s="23"/>
      <c r="BE893" s="23"/>
      <c r="BF893" s="23"/>
      <c r="BG893" s="23"/>
      <c r="BH893" s="23"/>
      <c r="BI893" s="23"/>
      <c r="BJ893" s="23"/>
      <c r="BK893" s="23"/>
      <c r="BM893" s="23"/>
    </row>
    <row r="894" spans="1:65" ht="12.75">
      <c r="A894" s="18">
        <v>43453</v>
      </c>
      <c r="B894" s="14" t="s">
        <v>1909</v>
      </c>
      <c r="C894" s="19">
        <v>800000</v>
      </c>
      <c r="D894" s="19"/>
      <c r="E894" s="14" t="s">
        <v>55</v>
      </c>
      <c r="F894" s="14" t="s">
        <v>1701</v>
      </c>
      <c r="G894" s="27" t="s">
        <v>1908</v>
      </c>
      <c r="H894" s="14">
        <f t="array" ref="H894">IFERROR(INDEX([1]Companies!$G:$G,MATCH(B894,[1]Companies!$A:$A,0)),"")</f>
        <v>0</v>
      </c>
      <c r="I894" s="14">
        <f t="shared" si="1155"/>
        <v>0</v>
      </c>
      <c r="J894" s="14" t="str">
        <f t="array" ref="J894">IFERROR(INDEX([1]Companies!$Y:$Y,MATCH(B894,[1]Companies!$A:$A,0)),"")</f>
        <v>Agriculture, AgTech, Farming, Tea</v>
      </c>
      <c r="K894" s="14" t="str">
        <f t="array" ref="K894">IFERROR(INDEX([1]Companies!$X:$X,MATCH(B894,[1]Companies!$A:$A,0)),"")</f>
        <v>Agriculture</v>
      </c>
      <c r="L894" s="14" t="str">
        <f>VLOOKUP(B894,[1]Companies!$A$1:$C$5243,1,FALSE)</f>
        <v>Prothem Usine</v>
      </c>
      <c r="M894" s="15">
        <f t="shared" si="1156"/>
        <v>0.9</v>
      </c>
      <c r="N894" s="10" t="str">
        <f t="shared" si="1157"/>
        <v>43453Prothem Usine800000</v>
      </c>
      <c r="O894" s="14" t="str">
        <f t="shared" si="1158"/>
        <v/>
      </c>
      <c r="P894" s="14">
        <f t="shared" si="1159"/>
        <v>1</v>
      </c>
      <c r="Q894" s="14">
        <f t="array" ref="Q894">IFERROR(INDEX([1]Companies!$D:$D,MATCH(B894,[1]Companies!$A:$A,0)),"")</f>
        <v>2006</v>
      </c>
      <c r="R894" s="17">
        <f t="shared" si="1160"/>
        <v>800000</v>
      </c>
      <c r="S894" s="14" t="e">
        <f>VLOOKUP(I894,[1]Lookups!$V$3:$Y$197,4,FALSE)</f>
        <v>#N/A</v>
      </c>
      <c r="T894" s="14" t="str">
        <f>VLOOKUP(E894,[1]Lookups!$H$3:$I$71,2,FALSE)</f>
        <v>1. Grant</v>
      </c>
      <c r="U894" s="14" t="str">
        <f>VLOOKUP(K894,[1]Lookups!$B$3:$C$142,2,FALSE)</f>
        <v>Agriculture</v>
      </c>
      <c r="V894" s="14">
        <f t="shared" si="921"/>
        <v>2018</v>
      </c>
      <c r="W894" s="14">
        <f t="shared" si="922"/>
        <v>12</v>
      </c>
      <c r="X894" s="14">
        <f>VLOOKUP(W894,[1]Lookups!$P$3:$S$15,2,FALSE)</f>
        <v>4</v>
      </c>
      <c r="Y894" s="16">
        <f>VLOOKUP(W894,[1]Lookups!$P$3:$U$15,3,FALSE)</f>
        <v>2</v>
      </c>
      <c r="Z894" s="16">
        <f t="shared" si="923"/>
        <v>1</v>
      </c>
      <c r="AA894" s="16" t="str">
        <f t="shared" ref="AA894:AO909" ca="1" si="1178">AS894</f>
        <v>ISAI</v>
      </c>
      <c r="AB894" s="16">
        <f t="shared" si="1178"/>
        <v>0</v>
      </c>
      <c r="AC894" s="16">
        <f t="shared" si="1178"/>
        <v>0</v>
      </c>
      <c r="AD894" s="16">
        <f t="shared" si="1178"/>
        <v>0</v>
      </c>
      <c r="AE894" s="16">
        <f t="shared" si="1178"/>
        <v>0</v>
      </c>
      <c r="AF894" s="16">
        <f t="shared" si="1178"/>
        <v>0</v>
      </c>
      <c r="AG894" s="16">
        <f t="shared" si="1178"/>
        <v>0</v>
      </c>
      <c r="AH894" s="16">
        <f t="shared" si="1178"/>
        <v>0</v>
      </c>
      <c r="AI894" s="16">
        <f t="shared" si="1178"/>
        <v>0</v>
      </c>
      <c r="AJ894" s="16">
        <f t="shared" si="1178"/>
        <v>0</v>
      </c>
      <c r="AK894" s="16">
        <f t="shared" si="1178"/>
        <v>0</v>
      </c>
      <c r="AL894" s="16">
        <f t="shared" si="1178"/>
        <v>0</v>
      </c>
      <c r="AM894" s="16">
        <f t="shared" si="1178"/>
        <v>0</v>
      </c>
      <c r="AN894" s="16">
        <f t="shared" si="1178"/>
        <v>0</v>
      </c>
      <c r="AO894" s="16">
        <f t="shared" si="1178"/>
        <v>0</v>
      </c>
      <c r="AP894" s="10"/>
      <c r="AQ894" s="10"/>
      <c r="AR894" s="10"/>
      <c r="AS894" s="10" t="str">
        <f t="shared" ref="AS894" ca="1" si="1179">IFERROR(__xludf.DUMMYFUNCTION("split(F878,"","",true,true)"),"ISAI")</f>
        <v>ISAI</v>
      </c>
      <c r="AT894" s="10"/>
      <c r="AU894" s="10"/>
      <c r="AV894" s="10"/>
      <c r="AW894" s="10"/>
      <c r="AX894" s="10"/>
      <c r="AY894" s="10"/>
      <c r="AZ894" s="10"/>
      <c r="BA894" s="10"/>
      <c r="BB894" s="10"/>
      <c r="BC894" s="10"/>
      <c r="BD894" s="10"/>
      <c r="BE894" s="10"/>
      <c r="BF894" s="10"/>
      <c r="BG894" s="10"/>
      <c r="BH894" s="10"/>
      <c r="BI894" s="10"/>
      <c r="BJ894" s="10"/>
      <c r="BK894" s="10"/>
      <c r="BM894" s="10"/>
    </row>
    <row r="895" spans="1:65" ht="12.75">
      <c r="A895" s="18">
        <v>43453</v>
      </c>
      <c r="B895" s="14" t="s">
        <v>1910</v>
      </c>
      <c r="C895" s="19">
        <v>800000</v>
      </c>
      <c r="D895" s="19"/>
      <c r="E895" s="14" t="s">
        <v>55</v>
      </c>
      <c r="F895" s="14" t="s">
        <v>1701</v>
      </c>
      <c r="G895" s="27" t="s">
        <v>1908</v>
      </c>
      <c r="H895" s="14" t="str">
        <f t="array" ref="H895">IFERROR(INDEX([1]Companies!$G:$G,MATCH(B895,[1]Companies!$A:$A,0)),"")</f>
        <v/>
      </c>
      <c r="I895" s="14" t="str">
        <f t="shared" si="1155"/>
        <v/>
      </c>
      <c r="J895" s="14" t="str">
        <f t="array" ref="J895">IFERROR(INDEX([1]Companies!$Y:$Y,MATCH(B895,[1]Companies!$A:$A,0)),"")</f>
        <v/>
      </c>
      <c r="K895" s="14" t="str">
        <f t="array" ref="K895">IFERROR(INDEX([1]Companies!$X:$X,MATCH(B895,[1]Companies!$A:$A,0)),"")</f>
        <v/>
      </c>
      <c r="L895" s="14" t="e">
        <f>VLOOKUP(B895,[1]Companies!$A$1:$C$5243,1,FALSE)</f>
        <v>#N/A</v>
      </c>
      <c r="M895" s="15">
        <f t="shared" si="1156"/>
        <v>0.6428571428571429</v>
      </c>
      <c r="N895" s="10" t="str">
        <f t="shared" si="1157"/>
        <v>43453Enviu BV Limited800000</v>
      </c>
      <c r="O895" s="14" t="str">
        <f t="shared" si="1158"/>
        <v/>
      </c>
      <c r="P895" s="14">
        <f t="shared" si="1159"/>
        <v>1</v>
      </c>
      <c r="Q895" s="14" t="str">
        <f t="array" ref="Q895">IFERROR(INDEX([1]Companies!$D:$D,MATCH(B895,[1]Companies!$A:$A,0)),"")</f>
        <v/>
      </c>
      <c r="R895" s="17">
        <f t="shared" si="1160"/>
        <v>800000</v>
      </c>
      <c r="S895" s="14" t="e">
        <f>VLOOKUP(I895,[1]Lookups!$V$3:$Y$197,4,FALSE)</f>
        <v>#N/A</v>
      </c>
      <c r="T895" s="14" t="str">
        <f>VLOOKUP(E895,[1]Lookups!$H$3:$I$71,2,FALSE)</f>
        <v>1. Grant</v>
      </c>
      <c r="U895" s="14" t="e">
        <f>VLOOKUP(K895,[1]Lookups!$B$3:$C$142,2,FALSE)</f>
        <v>#N/A</v>
      </c>
      <c r="V895" s="14">
        <f t="shared" si="921"/>
        <v>2018</v>
      </c>
      <c r="W895" s="14">
        <f t="shared" si="922"/>
        <v>12</v>
      </c>
      <c r="X895" s="14">
        <f>VLOOKUP(W895,[1]Lookups!$P$3:$S$15,2,FALSE)</f>
        <v>4</v>
      </c>
      <c r="Y895" s="16">
        <f>VLOOKUP(W895,[1]Lookups!$P$3:$U$15,3,FALSE)</f>
        <v>2</v>
      </c>
      <c r="Z895" s="16">
        <f t="shared" si="923"/>
        <v>1</v>
      </c>
      <c r="AA895" s="16" t="str">
        <f t="shared" ca="1" si="1178"/>
        <v>ISAI</v>
      </c>
      <c r="AB895" s="16">
        <f t="shared" si="1178"/>
        <v>0</v>
      </c>
      <c r="AC895" s="16">
        <f t="shared" si="1178"/>
        <v>0</v>
      </c>
      <c r="AD895" s="16">
        <f t="shared" si="1178"/>
        <v>0</v>
      </c>
      <c r="AE895" s="16">
        <f t="shared" si="1178"/>
        <v>0</v>
      </c>
      <c r="AF895" s="16">
        <f t="shared" si="1178"/>
        <v>0</v>
      </c>
      <c r="AG895" s="16">
        <f t="shared" si="1178"/>
        <v>0</v>
      </c>
      <c r="AH895" s="16">
        <f t="shared" si="1178"/>
        <v>0</v>
      </c>
      <c r="AI895" s="16">
        <f t="shared" si="1178"/>
        <v>0</v>
      </c>
      <c r="AJ895" s="16">
        <f t="shared" si="1178"/>
        <v>0</v>
      </c>
      <c r="AK895" s="16">
        <f t="shared" si="1178"/>
        <v>0</v>
      </c>
      <c r="AL895" s="16">
        <f t="shared" si="1178"/>
        <v>0</v>
      </c>
      <c r="AM895" s="16">
        <f t="shared" si="1178"/>
        <v>0</v>
      </c>
      <c r="AN895" s="16">
        <f t="shared" si="1178"/>
        <v>0</v>
      </c>
      <c r="AO895" s="16">
        <f t="shared" si="1178"/>
        <v>0</v>
      </c>
      <c r="AP895" s="10"/>
      <c r="AQ895" s="10"/>
      <c r="AR895" s="10"/>
      <c r="AS895" s="10" t="str">
        <f t="shared" ref="AS895" ca="1" si="1180">IFERROR(__xludf.DUMMYFUNCTION("split(F878,"","",true,true)"),"ISAI")</f>
        <v>ISAI</v>
      </c>
      <c r="AT895" s="10"/>
      <c r="AU895" s="10"/>
      <c r="AV895" s="10"/>
      <c r="AW895" s="10"/>
      <c r="AX895" s="10"/>
      <c r="AY895" s="10"/>
      <c r="AZ895" s="10"/>
      <c r="BA895" s="10"/>
      <c r="BB895" s="10"/>
      <c r="BC895" s="10"/>
      <c r="BD895" s="10"/>
      <c r="BE895" s="10"/>
      <c r="BF895" s="10"/>
      <c r="BG895" s="10"/>
      <c r="BH895" s="10"/>
      <c r="BI895" s="10"/>
      <c r="BJ895" s="10"/>
      <c r="BK895" s="10"/>
      <c r="BM895" s="10"/>
    </row>
    <row r="896" spans="1:65" ht="12.75">
      <c r="A896" s="18">
        <v>43453</v>
      </c>
      <c r="B896" s="14" t="s">
        <v>771</v>
      </c>
      <c r="C896" s="19">
        <v>12000</v>
      </c>
      <c r="D896" s="19"/>
      <c r="E896" s="14" t="s">
        <v>234</v>
      </c>
      <c r="F896" s="14" t="s">
        <v>1911</v>
      </c>
      <c r="G896" s="27" t="s">
        <v>1912</v>
      </c>
      <c r="H896" s="14" t="str">
        <f t="array" ref="H896">IFERROR(INDEX([1]Companies!$G:$G,MATCH(B896,[1]Companies!$A:$A,0)),"")</f>
        <v>Uganda</v>
      </c>
      <c r="I896" s="14" t="str">
        <f t="shared" si="1155"/>
        <v>Uganda</v>
      </c>
      <c r="J896" s="14" t="str">
        <f t="array" ref="J896">IFERROR(INDEX([1]Companies!$Y:$Y,MATCH(B896,[1]Companies!$A:$A,0)),"")</f>
        <v>Blockchain, Cryptocurrency, FinTech, InsurTech, Mobile Payments</v>
      </c>
      <c r="K896" s="14" t="str">
        <f t="array" ref="K896">IFERROR(INDEX([1]Companies!$X:$X,MATCH(B896,[1]Companies!$A:$A,0)),"")</f>
        <v>Financial Services</v>
      </c>
      <c r="L896" s="14" t="str">
        <f>VLOOKUP(B896,[1]Companies!$A$1:$C$5243,1,FALSE)</f>
        <v>Eversend</v>
      </c>
      <c r="M896" s="15">
        <f t="shared" si="1156"/>
        <v>0.9</v>
      </c>
      <c r="N896" s="10" t="str">
        <f t="shared" si="1157"/>
        <v>43453Eversend12000</v>
      </c>
      <c r="O896" s="14" t="str">
        <f t="shared" si="1158"/>
        <v/>
      </c>
      <c r="P896" s="14">
        <f t="shared" si="1159"/>
        <v>1</v>
      </c>
      <c r="Q896" s="14">
        <f t="array" ref="Q896">IFERROR(INDEX([1]Companies!$D:$D,MATCH(B896,[1]Companies!$A:$A,0)),"")</f>
        <v>2017</v>
      </c>
      <c r="R896" s="17">
        <f t="shared" si="1160"/>
        <v>255000</v>
      </c>
      <c r="S896" s="14">
        <f>VLOOKUP(I896,[1]Lookups!$V$3:$Y$197,4,FALSE)</f>
        <v>0</v>
      </c>
      <c r="T896" s="14" t="str">
        <f>VLOOKUP(E896,[1]Lookups!$H$3:$I$71,2,FALSE)</f>
        <v>2. Seed</v>
      </c>
      <c r="U896" s="14" t="str">
        <f>VLOOKUP(K896,[1]Lookups!$B$3:$C$142,2,FALSE)</f>
        <v>Financial Services</v>
      </c>
      <c r="V896" s="14">
        <f t="shared" si="921"/>
        <v>2018</v>
      </c>
      <c r="W896" s="14">
        <f t="shared" si="922"/>
        <v>12</v>
      </c>
      <c r="X896" s="14">
        <f>VLOOKUP(W896,[1]Lookups!$P$3:$S$15,2,FALSE)</f>
        <v>4</v>
      </c>
      <c r="Y896" s="16">
        <f>VLOOKUP(W896,[1]Lookups!$P$3:$U$15,3,FALSE)</f>
        <v>2</v>
      </c>
      <c r="Z896" s="16">
        <f t="shared" si="923"/>
        <v>1</v>
      </c>
      <c r="AA896" s="16" t="str">
        <f t="shared" ca="1" si="1178"/>
        <v>ISAI</v>
      </c>
      <c r="AB896" s="16">
        <f t="shared" si="1178"/>
        <v>0</v>
      </c>
      <c r="AC896" s="16">
        <f t="shared" si="1178"/>
        <v>0</v>
      </c>
      <c r="AD896" s="16">
        <f t="shared" si="1178"/>
        <v>0</v>
      </c>
      <c r="AE896" s="16">
        <f t="shared" si="1178"/>
        <v>0</v>
      </c>
      <c r="AF896" s="16">
        <f t="shared" si="1178"/>
        <v>0</v>
      </c>
      <c r="AG896" s="16">
        <f t="shared" si="1178"/>
        <v>0</v>
      </c>
      <c r="AH896" s="16">
        <f t="shared" si="1178"/>
        <v>0</v>
      </c>
      <c r="AI896" s="16">
        <f t="shared" si="1178"/>
        <v>0</v>
      </c>
      <c r="AJ896" s="16">
        <f t="shared" si="1178"/>
        <v>0</v>
      </c>
      <c r="AK896" s="16">
        <f t="shared" si="1178"/>
        <v>0</v>
      </c>
      <c r="AL896" s="16">
        <f t="shared" si="1178"/>
        <v>0</v>
      </c>
      <c r="AM896" s="16">
        <f t="shared" si="1178"/>
        <v>0</v>
      </c>
      <c r="AN896" s="16">
        <f t="shared" si="1178"/>
        <v>0</v>
      </c>
      <c r="AO896" s="16">
        <f t="shared" si="1178"/>
        <v>0</v>
      </c>
      <c r="AP896" s="10"/>
      <c r="AQ896" s="10"/>
      <c r="AR896" s="10"/>
      <c r="AS896" s="10" t="str">
        <f t="shared" ref="AS896" ca="1" si="1181">IFERROR(__xludf.DUMMYFUNCTION("split(F878,"","",true,true)"),"ISAI")</f>
        <v>ISAI</v>
      </c>
      <c r="AT896" s="23"/>
      <c r="AU896" s="23"/>
      <c r="AV896" s="23"/>
      <c r="AW896" s="23"/>
      <c r="AX896" s="23"/>
      <c r="AY896" s="23"/>
      <c r="AZ896" s="23"/>
      <c r="BA896" s="23"/>
      <c r="BB896" s="23"/>
      <c r="BC896" s="23"/>
      <c r="BD896" s="23"/>
      <c r="BE896" s="23"/>
      <c r="BF896" s="23"/>
      <c r="BG896" s="23"/>
      <c r="BH896" s="23"/>
      <c r="BI896" s="23"/>
      <c r="BJ896" s="23"/>
      <c r="BK896" s="23"/>
      <c r="BM896" s="23"/>
    </row>
    <row r="897" spans="1:65" ht="12.75">
      <c r="A897" s="18">
        <v>43454</v>
      </c>
      <c r="B897" s="14" t="s">
        <v>1913</v>
      </c>
      <c r="C897" s="19">
        <v>40000000</v>
      </c>
      <c r="D897" s="19"/>
      <c r="E897" s="14" t="s">
        <v>51</v>
      </c>
      <c r="F897" s="14" t="s">
        <v>1914</v>
      </c>
      <c r="G897" s="27" t="s">
        <v>1915</v>
      </c>
      <c r="H897" s="14" t="str">
        <f t="array" ref="H897">IFERROR(INDEX([1]Companies!$G:$G,MATCH(B897,[1]Companies!$A:$A,0)),"")</f>
        <v>Nigeria</v>
      </c>
      <c r="I897" s="14" t="str">
        <f t="shared" si="1155"/>
        <v>Nigeria</v>
      </c>
      <c r="J897" s="14" t="str">
        <f t="array" ref="J897">IFERROR(INDEX([1]Companies!$Y:$Y,MATCH(B897,[1]Companies!$A:$A,0)),"")</f>
        <v>Travel and Leisure</v>
      </c>
      <c r="K897" s="14" t="str">
        <f t="array" ref="K897">IFERROR(INDEX([1]Companies!$X:$X,MATCH(B897,[1]Companies!$A:$A,0)),"")</f>
        <v>Travel &amp; Leisure</v>
      </c>
      <c r="L897" s="14" t="str">
        <f>VLOOKUP(B897,[1]Companies!$A$1:$C$5243,1,FALSE)</f>
        <v>Wakanow</v>
      </c>
      <c r="M897" s="15">
        <f t="shared" si="1156"/>
        <v>0.9</v>
      </c>
      <c r="N897" s="10" t="str">
        <f t="shared" si="1157"/>
        <v>43454Wakanow40000000</v>
      </c>
      <c r="O897" s="14" t="str">
        <f t="shared" si="1158"/>
        <v/>
      </c>
      <c r="P897" s="14">
        <f t="shared" si="1159"/>
        <v>1</v>
      </c>
      <c r="Q897" s="14">
        <f t="array" ref="Q897">IFERROR(INDEX([1]Companies!$D:$D,MATCH(B897,[1]Companies!$A:$A,0)),"")</f>
        <v>2008</v>
      </c>
      <c r="R897" s="17">
        <f t="shared" si="1160"/>
        <v>40000000</v>
      </c>
      <c r="S897" s="14">
        <f>VLOOKUP(I897,[1]Lookups!$V$3:$Y$197,4,FALSE)</f>
        <v>0</v>
      </c>
      <c r="T897" s="14" t="str">
        <f>VLOOKUP(E897,[1]Lookups!$H$3:$I$71,2,FALSE)</f>
        <v>6. Private Equity</v>
      </c>
      <c r="U897" s="14" t="str">
        <f>VLOOKUP(K897,[1]Lookups!$B$3:$C$142,2,FALSE)</f>
        <v>Travel &amp; Leisure</v>
      </c>
      <c r="V897" s="14">
        <f t="shared" si="921"/>
        <v>2018</v>
      </c>
      <c r="W897" s="14">
        <f t="shared" si="922"/>
        <v>12</v>
      </c>
      <c r="X897" s="14">
        <f>VLOOKUP(W897,[1]Lookups!$P$3:$S$15,2,FALSE)</f>
        <v>4</v>
      </c>
      <c r="Y897" s="16">
        <f>VLOOKUP(W897,[1]Lookups!$P$3:$U$15,3,FALSE)</f>
        <v>2</v>
      </c>
      <c r="Z897" s="16">
        <f t="shared" si="923"/>
        <v>1</v>
      </c>
      <c r="AA897" s="16" t="str">
        <f t="shared" ca="1" si="1178"/>
        <v>ISAI</v>
      </c>
      <c r="AB897" s="16">
        <f t="shared" si="1178"/>
        <v>0</v>
      </c>
      <c r="AC897" s="16">
        <f t="shared" si="1178"/>
        <v>0</v>
      </c>
      <c r="AD897" s="16">
        <f t="shared" si="1178"/>
        <v>0</v>
      </c>
      <c r="AE897" s="16">
        <f t="shared" si="1178"/>
        <v>0</v>
      </c>
      <c r="AF897" s="16">
        <f t="shared" si="1178"/>
        <v>0</v>
      </c>
      <c r="AG897" s="16">
        <f t="shared" si="1178"/>
        <v>0</v>
      </c>
      <c r="AH897" s="16">
        <f t="shared" si="1178"/>
        <v>0</v>
      </c>
      <c r="AI897" s="16">
        <f t="shared" si="1178"/>
        <v>0</v>
      </c>
      <c r="AJ897" s="16">
        <f t="shared" si="1178"/>
        <v>0</v>
      </c>
      <c r="AK897" s="16">
        <f t="shared" si="1178"/>
        <v>0</v>
      </c>
      <c r="AL897" s="16">
        <f t="shared" si="1178"/>
        <v>0</v>
      </c>
      <c r="AM897" s="16">
        <f t="shared" si="1178"/>
        <v>0</v>
      </c>
      <c r="AN897" s="16">
        <f t="shared" si="1178"/>
        <v>0</v>
      </c>
      <c r="AO897" s="16">
        <f t="shared" si="1178"/>
        <v>0</v>
      </c>
      <c r="AP897" s="10"/>
      <c r="AQ897" s="10"/>
      <c r="AR897" s="10"/>
      <c r="AS897" s="10" t="str">
        <f t="shared" ref="AS897" ca="1" si="1182">IFERROR(__xludf.DUMMYFUNCTION("split(F878,"","",true,true)"),"ISAI")</f>
        <v>ISAI</v>
      </c>
      <c r="AT897" s="10"/>
      <c r="AU897" s="10"/>
      <c r="AV897" s="10"/>
      <c r="AW897" s="10"/>
      <c r="AX897" s="10"/>
      <c r="AY897" s="10"/>
      <c r="AZ897" s="10"/>
      <c r="BA897" s="10"/>
      <c r="BB897" s="10"/>
      <c r="BC897" s="10"/>
      <c r="BD897" s="10"/>
      <c r="BE897" s="10"/>
      <c r="BF897" s="10"/>
      <c r="BG897" s="10"/>
      <c r="BH897" s="10"/>
      <c r="BI897" s="10"/>
      <c r="BJ897" s="10"/>
      <c r="BK897" s="10"/>
      <c r="BM897" s="10"/>
    </row>
    <row r="898" spans="1:65" ht="12.75">
      <c r="A898" s="18">
        <v>43454</v>
      </c>
      <c r="B898" s="14" t="s">
        <v>1916</v>
      </c>
      <c r="C898" s="19">
        <v>40000</v>
      </c>
      <c r="D898" s="19"/>
      <c r="E898" s="14" t="s">
        <v>55</v>
      </c>
      <c r="F898" s="14" t="s">
        <v>1083</v>
      </c>
      <c r="G898" s="27" t="s">
        <v>1917</v>
      </c>
      <c r="H898" s="14" t="str">
        <f t="array" ref="H898">IFERROR(INDEX([1]Companies!$G:$G,MATCH(B898,[1]Companies!$A:$A,0)),"")</f>
        <v>Kenya</v>
      </c>
      <c r="I898" s="14" t="str">
        <f t="shared" si="1155"/>
        <v>Kenya</v>
      </c>
      <c r="J898" s="14" t="str">
        <f t="array" ref="J898">IFERROR(INDEX([1]Companies!$Y:$Y,MATCH(B898,[1]Companies!$A:$A,0)),"")</f>
        <v>Information Technology, Software</v>
      </c>
      <c r="K898" s="14" t="str">
        <f t="array" ref="K898">IFERROR(INDEX([1]Companies!$X:$X,MATCH(B898,[1]Companies!$A:$A,0)),"")</f>
        <v>Healthcare &amp; Pharma</v>
      </c>
      <c r="L898" s="14" t="str">
        <f>VLOOKUP(B898,[1]Companies!$A$1:$C$5243,1,FALSE)</f>
        <v>Maisha Meds</v>
      </c>
      <c r="M898" s="15">
        <f t="shared" si="1156"/>
        <v>0.9</v>
      </c>
      <c r="N898" s="10" t="str">
        <f t="shared" si="1157"/>
        <v>43454Maisha Meds40000</v>
      </c>
      <c r="O898" s="14" t="str">
        <f t="shared" si="1158"/>
        <v/>
      </c>
      <c r="P898" s="14">
        <f t="shared" si="1159"/>
        <v>1</v>
      </c>
      <c r="Q898" s="14">
        <f t="array" ref="Q898">IFERROR(INDEX([1]Companies!$D:$D,MATCH(B898,[1]Companies!$A:$A,0)),"")</f>
        <v>2016</v>
      </c>
      <c r="R898" s="17">
        <f t="shared" si="1160"/>
        <v>40000</v>
      </c>
      <c r="S898" s="14">
        <f>VLOOKUP(I898,[1]Lookups!$V$3:$Y$197,4,FALSE)</f>
        <v>0</v>
      </c>
      <c r="T898" s="14" t="str">
        <f>VLOOKUP(E898,[1]Lookups!$H$3:$I$71,2,FALSE)</f>
        <v>1. Grant</v>
      </c>
      <c r="U898" s="14" t="str">
        <f>VLOOKUP(K898,[1]Lookups!$B$3:$C$142,2,FALSE)</f>
        <v>Health &amp; Pharmaceuticals</v>
      </c>
      <c r="V898" s="14">
        <f t="shared" si="921"/>
        <v>2018</v>
      </c>
      <c r="W898" s="14">
        <f t="shared" si="922"/>
        <v>12</v>
      </c>
      <c r="X898" s="14">
        <f>VLOOKUP(W898,[1]Lookups!$P$3:$S$15,2,FALSE)</f>
        <v>4</v>
      </c>
      <c r="Y898" s="16">
        <f>VLOOKUP(W898,[1]Lookups!$P$3:$U$15,3,FALSE)</f>
        <v>2</v>
      </c>
      <c r="Z898" s="16">
        <f t="shared" si="923"/>
        <v>1</v>
      </c>
      <c r="AA898" s="16" t="str">
        <f t="shared" ca="1" si="1178"/>
        <v>ISAI</v>
      </c>
      <c r="AB898" s="16">
        <f t="shared" si="1178"/>
        <v>0</v>
      </c>
      <c r="AC898" s="16">
        <f t="shared" si="1178"/>
        <v>0</v>
      </c>
      <c r="AD898" s="16">
        <f t="shared" si="1178"/>
        <v>0</v>
      </c>
      <c r="AE898" s="16">
        <f t="shared" si="1178"/>
        <v>0</v>
      </c>
      <c r="AF898" s="16">
        <f t="shared" si="1178"/>
        <v>0</v>
      </c>
      <c r="AG898" s="16">
        <f t="shared" si="1178"/>
        <v>0</v>
      </c>
      <c r="AH898" s="16">
        <f t="shared" si="1178"/>
        <v>0</v>
      </c>
      <c r="AI898" s="16">
        <f t="shared" si="1178"/>
        <v>0</v>
      </c>
      <c r="AJ898" s="16">
        <f t="shared" si="1178"/>
        <v>0</v>
      </c>
      <c r="AK898" s="16">
        <f t="shared" si="1178"/>
        <v>0</v>
      </c>
      <c r="AL898" s="16">
        <f t="shared" si="1178"/>
        <v>0</v>
      </c>
      <c r="AM898" s="16">
        <f t="shared" si="1178"/>
        <v>0</v>
      </c>
      <c r="AN898" s="16">
        <f t="shared" si="1178"/>
        <v>0</v>
      </c>
      <c r="AO898" s="16">
        <f t="shared" si="1178"/>
        <v>0</v>
      </c>
      <c r="AP898" s="10"/>
      <c r="AQ898" s="10"/>
      <c r="AR898" s="10"/>
      <c r="AS898" s="10" t="str">
        <f t="shared" ref="AS898" ca="1" si="1183">IFERROR(__xludf.DUMMYFUNCTION("split(F878,"","",true,true)"),"ISAI")</f>
        <v>ISAI</v>
      </c>
      <c r="AT898" s="10"/>
      <c r="AU898" s="10"/>
      <c r="AV898" s="10"/>
      <c r="AW898" s="10"/>
      <c r="AX898" s="10"/>
      <c r="AY898" s="10"/>
      <c r="AZ898" s="10"/>
      <c r="BA898" s="10"/>
      <c r="BB898" s="10"/>
      <c r="BC898" s="10"/>
      <c r="BD898" s="10"/>
      <c r="BE898" s="10"/>
      <c r="BF898" s="10"/>
      <c r="BG898" s="10"/>
      <c r="BH898" s="10"/>
      <c r="BI898" s="10"/>
      <c r="BJ898" s="10"/>
      <c r="BK898" s="10"/>
      <c r="BM898" s="10"/>
    </row>
    <row r="899" spans="1:65" ht="12.75">
      <c r="A899" s="18">
        <v>43454</v>
      </c>
      <c r="B899" s="14" t="s">
        <v>1918</v>
      </c>
      <c r="C899" s="19">
        <v>40000</v>
      </c>
      <c r="D899" s="19"/>
      <c r="E899" s="14" t="s">
        <v>55</v>
      </c>
      <c r="F899" s="14" t="s">
        <v>1083</v>
      </c>
      <c r="G899" s="27" t="s">
        <v>1917</v>
      </c>
      <c r="H899" s="14" t="str">
        <f t="array" ref="H899">IFERROR(INDEX([1]Companies!$G:$G,MATCH(B899,[1]Companies!$A:$A,0)),"")</f>
        <v>Kenya</v>
      </c>
      <c r="I899" s="14" t="str">
        <f t="shared" si="1155"/>
        <v>Kenya</v>
      </c>
      <c r="J899" s="14" t="str">
        <f t="array" ref="J899">IFERROR(INDEX([1]Companies!$Y:$Y,MATCH(B899,[1]Companies!$A:$A,0)),"")</f>
        <v>Health, Information Technology, FinTech</v>
      </c>
      <c r="K899" s="14" t="str">
        <f t="array" ref="K899">IFERROR(INDEX([1]Companies!$X:$X,MATCH(B899,[1]Companies!$A:$A,0)),"")</f>
        <v>Financial Services</v>
      </c>
      <c r="L899" s="14" t="str">
        <f>VLOOKUP(B899,[1]Companies!$A$1:$C$5243,1,FALSE)</f>
        <v>Turaco</v>
      </c>
      <c r="M899" s="15">
        <f t="shared" si="1156"/>
        <v>0.9</v>
      </c>
      <c r="N899" s="10" t="str">
        <f t="shared" si="1157"/>
        <v>43454Turaco40000</v>
      </c>
      <c r="O899" s="14" t="str">
        <f t="shared" si="1158"/>
        <v/>
      </c>
      <c r="P899" s="14">
        <f t="shared" si="1159"/>
        <v>1</v>
      </c>
      <c r="Q899" s="14">
        <f t="array" ref="Q899">IFERROR(INDEX([1]Companies!$D:$D,MATCH(B899,[1]Companies!$A:$A,0)),"")</f>
        <v>2018</v>
      </c>
      <c r="R899" s="17">
        <f t="shared" si="1160"/>
        <v>100000</v>
      </c>
      <c r="S899" s="14">
        <f>VLOOKUP(I899,[1]Lookups!$V$3:$Y$197,4,FALSE)</f>
        <v>0</v>
      </c>
      <c r="T899" s="14" t="str">
        <f>VLOOKUP(E899,[1]Lookups!$H$3:$I$71,2,FALSE)</f>
        <v>1. Grant</v>
      </c>
      <c r="U899" s="14" t="str">
        <f>VLOOKUP(K899,[1]Lookups!$B$3:$C$142,2,FALSE)</f>
        <v>Financial Services</v>
      </c>
      <c r="V899" s="14">
        <f t="shared" si="921"/>
        <v>2018</v>
      </c>
      <c r="W899" s="14">
        <f t="shared" si="922"/>
        <v>12</v>
      </c>
      <c r="X899" s="14">
        <f>VLOOKUP(W899,[1]Lookups!$P$3:$S$15,2,FALSE)</f>
        <v>4</v>
      </c>
      <c r="Y899" s="16">
        <f>VLOOKUP(W899,[1]Lookups!$P$3:$U$15,3,FALSE)</f>
        <v>2</v>
      </c>
      <c r="Z899" s="16">
        <f t="shared" si="923"/>
        <v>1</v>
      </c>
      <c r="AA899" s="16" t="str">
        <f t="shared" ca="1" si="1178"/>
        <v>ISAI</v>
      </c>
      <c r="AB899" s="16">
        <f t="shared" si="1178"/>
        <v>0</v>
      </c>
      <c r="AC899" s="16">
        <f t="shared" si="1178"/>
        <v>0</v>
      </c>
      <c r="AD899" s="16">
        <f t="shared" si="1178"/>
        <v>0</v>
      </c>
      <c r="AE899" s="16">
        <f t="shared" si="1178"/>
        <v>0</v>
      </c>
      <c r="AF899" s="16">
        <f t="shared" si="1178"/>
        <v>0</v>
      </c>
      <c r="AG899" s="16">
        <f t="shared" si="1178"/>
        <v>0</v>
      </c>
      <c r="AH899" s="16">
        <f t="shared" si="1178"/>
        <v>0</v>
      </c>
      <c r="AI899" s="16">
        <f t="shared" si="1178"/>
        <v>0</v>
      </c>
      <c r="AJ899" s="16">
        <f t="shared" si="1178"/>
        <v>0</v>
      </c>
      <c r="AK899" s="16">
        <f t="shared" si="1178"/>
        <v>0</v>
      </c>
      <c r="AL899" s="16">
        <f t="shared" si="1178"/>
        <v>0</v>
      </c>
      <c r="AM899" s="16">
        <f t="shared" si="1178"/>
        <v>0</v>
      </c>
      <c r="AN899" s="16">
        <f t="shared" si="1178"/>
        <v>0</v>
      </c>
      <c r="AO899" s="16">
        <f t="shared" si="1178"/>
        <v>0</v>
      </c>
      <c r="AP899" s="10"/>
      <c r="AQ899" s="10"/>
      <c r="AR899" s="10"/>
      <c r="AS899" s="10" t="str">
        <f t="shared" ref="AS899" ca="1" si="1184">IFERROR(__xludf.DUMMYFUNCTION("split(F878,"","",true,true)"),"ISAI")</f>
        <v>ISAI</v>
      </c>
      <c r="AT899" s="10"/>
      <c r="AU899" s="10"/>
      <c r="AV899" s="10"/>
      <c r="AW899" s="10"/>
      <c r="AX899" s="10"/>
      <c r="AY899" s="10"/>
      <c r="AZ899" s="10"/>
      <c r="BA899" s="10"/>
      <c r="BB899" s="10"/>
      <c r="BC899" s="10"/>
      <c r="BD899" s="10"/>
      <c r="BE899" s="10"/>
      <c r="BF899" s="10"/>
      <c r="BG899" s="10"/>
      <c r="BH899" s="10"/>
      <c r="BI899" s="10"/>
      <c r="BJ899" s="10"/>
      <c r="BK899" s="10"/>
      <c r="BM899" s="10"/>
    </row>
    <row r="900" spans="1:65" ht="12.75">
      <c r="A900" s="18">
        <v>43455</v>
      </c>
      <c r="B900" s="14" t="s">
        <v>1919</v>
      </c>
      <c r="C900" s="19" t="s">
        <v>49</v>
      </c>
      <c r="D900" s="22"/>
      <c r="E900" s="14" t="s">
        <v>45</v>
      </c>
      <c r="F900" s="14" t="s">
        <v>1920</v>
      </c>
      <c r="G900" s="27" t="s">
        <v>1921</v>
      </c>
      <c r="H900" s="14" t="str">
        <f t="array" ref="H900">IFERROR(INDEX([1]Companies!$G:$G,MATCH(B900,[1]Companies!$A:$A,0)),"")</f>
        <v>Kenya</v>
      </c>
      <c r="I900" s="14" t="str">
        <f t="shared" si="1155"/>
        <v>Kenya</v>
      </c>
      <c r="J900" s="14" t="str">
        <f t="array" ref="J900">IFERROR(INDEX([1]Companies!$Y:$Y,MATCH(B900,[1]Companies!$A:$A,0)),"")</f>
        <v>Artificial Intelligence, Blockchain, IaaS, Information Services, Information Technology, Machine Learning, Sharing Economy</v>
      </c>
      <c r="K900" s="14" t="str">
        <f t="array" ref="K900">IFERROR(INDEX([1]Companies!$X:$X,MATCH(B900,[1]Companies!$A:$A,0)),"")</f>
        <v>Emerging Technologies</v>
      </c>
      <c r="L900" s="14" t="str">
        <f>VLOOKUP(B900,[1]Companies!$A$1:$C$5243,1,FALSE)</f>
        <v>Utu Technologies</v>
      </c>
      <c r="M900" s="15">
        <f t="shared" si="1156"/>
        <v>0.9</v>
      </c>
      <c r="N900" s="10" t="str">
        <f t="shared" si="1157"/>
        <v>43455UTU TechnologiesUndisclosed</v>
      </c>
      <c r="O900" s="14" t="str">
        <f t="shared" si="1158"/>
        <v/>
      </c>
      <c r="P900" s="14">
        <f t="shared" si="1159"/>
        <v>0</v>
      </c>
      <c r="Q900" s="14">
        <f t="array" ref="Q900">IFERROR(INDEX([1]Companies!$D:$D,MATCH(B900,[1]Companies!$A:$A,0)),"")</f>
        <v>2017</v>
      </c>
      <c r="R900" s="17">
        <f t="shared" si="1160"/>
        <v>250000</v>
      </c>
      <c r="S900" s="14">
        <f>VLOOKUP(I900,[1]Lookups!$V$3:$Y$197,4,FALSE)</f>
        <v>0</v>
      </c>
      <c r="T900" s="14" t="str">
        <f>VLOOKUP(E900,[1]Lookups!$H$3:$I$71,2,FALSE)</f>
        <v>2. Seed</v>
      </c>
      <c r="U900" s="14" t="str">
        <f>VLOOKUP(K900,[1]Lookups!$B$3:$C$142,2,FALSE)</f>
        <v>Emerging Technologies</v>
      </c>
      <c r="V900" s="14">
        <f t="shared" si="921"/>
        <v>2018</v>
      </c>
      <c r="W900" s="14">
        <f t="shared" si="922"/>
        <v>12</v>
      </c>
      <c r="X900" s="14">
        <f>VLOOKUP(W900,[1]Lookups!$P$3:$S$15,2,FALSE)</f>
        <v>4</v>
      </c>
      <c r="Y900" s="16">
        <f>VLOOKUP(W900,[1]Lookups!$P$3:$U$15,3,FALSE)</f>
        <v>2</v>
      </c>
      <c r="Z900" s="16">
        <f t="shared" si="923"/>
        <v>1</v>
      </c>
      <c r="AA900" s="16" t="str">
        <f t="shared" ca="1" si="1178"/>
        <v>ISAI</v>
      </c>
      <c r="AB900" s="16">
        <f t="shared" si="1178"/>
        <v>0</v>
      </c>
      <c r="AC900" s="16">
        <f t="shared" si="1178"/>
        <v>0</v>
      </c>
      <c r="AD900" s="16">
        <f t="shared" si="1178"/>
        <v>0</v>
      </c>
      <c r="AE900" s="16">
        <f t="shared" si="1178"/>
        <v>0</v>
      </c>
      <c r="AF900" s="16">
        <f t="shared" si="1178"/>
        <v>0</v>
      </c>
      <c r="AG900" s="16">
        <f t="shared" si="1178"/>
        <v>0</v>
      </c>
      <c r="AH900" s="16">
        <f t="shared" si="1178"/>
        <v>0</v>
      </c>
      <c r="AI900" s="16">
        <f t="shared" si="1178"/>
        <v>0</v>
      </c>
      <c r="AJ900" s="16">
        <f t="shared" si="1178"/>
        <v>0</v>
      </c>
      <c r="AK900" s="16">
        <f t="shared" si="1178"/>
        <v>0</v>
      </c>
      <c r="AL900" s="16">
        <f t="shared" si="1178"/>
        <v>0</v>
      </c>
      <c r="AM900" s="16">
        <f t="shared" si="1178"/>
        <v>0</v>
      </c>
      <c r="AN900" s="16">
        <f t="shared" si="1178"/>
        <v>0</v>
      </c>
      <c r="AO900" s="16">
        <f t="shared" si="1178"/>
        <v>0</v>
      </c>
      <c r="AP900" s="10"/>
      <c r="AQ900" s="10"/>
      <c r="AR900" s="10"/>
      <c r="AS900" s="10" t="str">
        <f t="shared" ref="AS900" ca="1" si="1185">IFERROR(__xludf.DUMMYFUNCTION("split(F878,"","",true,true)"),"ISAI")</f>
        <v>ISAI</v>
      </c>
      <c r="AT900" s="25"/>
      <c r="AU900" s="25"/>
      <c r="AV900" s="25"/>
      <c r="AW900" s="25"/>
      <c r="AX900" s="25"/>
      <c r="AY900" s="25"/>
      <c r="AZ900" s="25"/>
      <c r="BA900" s="25"/>
      <c r="BB900" s="25"/>
      <c r="BC900" s="25"/>
      <c r="BD900" s="25"/>
      <c r="BE900" s="25"/>
      <c r="BF900" s="25"/>
      <c r="BG900" s="25"/>
      <c r="BH900" s="25"/>
      <c r="BI900" s="25"/>
      <c r="BJ900" s="25"/>
      <c r="BK900" s="25"/>
      <c r="BM900" s="25"/>
    </row>
    <row r="901" spans="1:65" ht="12.75">
      <c r="A901" s="18">
        <v>43456</v>
      </c>
      <c r="B901" s="14" t="s">
        <v>1922</v>
      </c>
      <c r="C901" s="19">
        <v>450000</v>
      </c>
      <c r="D901" s="19"/>
      <c r="E901" s="14" t="s">
        <v>45</v>
      </c>
      <c r="F901" s="14" t="s">
        <v>1923</v>
      </c>
      <c r="G901" s="27" t="s">
        <v>1924</v>
      </c>
      <c r="H901" s="14" t="str">
        <f t="array" ref="H901">IFERROR(INDEX([1]Companies!$G:$G,MATCH(B901,[1]Companies!$A:$A,0)),"")</f>
        <v>Egypt</v>
      </c>
      <c r="I901" s="14" t="str">
        <f t="shared" si="1155"/>
        <v>Egypt</v>
      </c>
      <c r="J901" s="14" t="str">
        <f t="array" ref="J901">IFERROR(INDEX([1]Companies!$Y:$Y,MATCH(B901,[1]Companies!$A:$A,0)),"")</f>
        <v>Beauty, Information Technology and services</v>
      </c>
      <c r="K901" s="14" t="str">
        <f t="array" ref="K901">IFERROR(INDEX([1]Companies!$X:$X,MATCH(B901,[1]Companies!$A:$A,0)),"")</f>
        <v>Healthcare &amp; Pharma</v>
      </c>
      <c r="L901" s="14" t="str">
        <f>VLOOKUP(B901,[1]Companies!$A$1:$C$5243,1,FALSE)</f>
        <v>Vetcode</v>
      </c>
      <c r="M901" s="15">
        <f t="shared" si="1156"/>
        <v>0.9</v>
      </c>
      <c r="N901" s="10" t="str">
        <f t="shared" si="1157"/>
        <v>43456VetCode450000</v>
      </c>
      <c r="O901" s="14" t="str">
        <f t="shared" si="1158"/>
        <v/>
      </c>
      <c r="P901" s="14">
        <f t="shared" si="1159"/>
        <v>1</v>
      </c>
      <c r="Q901" s="14">
        <f t="array" ref="Q901">IFERROR(INDEX([1]Companies!$D:$D,MATCH(B901,[1]Companies!$A:$A,0)),"")</f>
        <v>2018</v>
      </c>
      <c r="R901" s="17">
        <f t="shared" si="1160"/>
        <v>450000</v>
      </c>
      <c r="S901" s="14">
        <f>VLOOKUP(I901,[1]Lookups!$V$3:$Y$197,4,FALSE)</f>
        <v>0</v>
      </c>
      <c r="T901" s="14" t="str">
        <f>VLOOKUP(E901,[1]Lookups!$H$3:$I$71,2,FALSE)</f>
        <v>2. Seed</v>
      </c>
      <c r="U901" s="14" t="str">
        <f>VLOOKUP(K901,[1]Lookups!$B$3:$C$142,2,FALSE)</f>
        <v>Health &amp; Pharmaceuticals</v>
      </c>
      <c r="V901" s="14">
        <f t="shared" si="921"/>
        <v>2018</v>
      </c>
      <c r="W901" s="14">
        <f t="shared" si="922"/>
        <v>12</v>
      </c>
      <c r="X901" s="14">
        <f>VLOOKUP(W901,[1]Lookups!$P$3:$S$15,2,FALSE)</f>
        <v>4</v>
      </c>
      <c r="Y901" s="16">
        <f>VLOOKUP(W901,[1]Lookups!$P$3:$U$15,3,FALSE)</f>
        <v>2</v>
      </c>
      <c r="Z901" s="16">
        <f t="shared" si="923"/>
        <v>1</v>
      </c>
      <c r="AA901" s="16" t="str">
        <f t="shared" ca="1" si="1178"/>
        <v>ISAI</v>
      </c>
      <c r="AB901" s="16">
        <f t="shared" si="1178"/>
        <v>0</v>
      </c>
      <c r="AC901" s="16">
        <f t="shared" si="1178"/>
        <v>0</v>
      </c>
      <c r="AD901" s="16">
        <f t="shared" si="1178"/>
        <v>0</v>
      </c>
      <c r="AE901" s="16">
        <f t="shared" si="1178"/>
        <v>0</v>
      </c>
      <c r="AF901" s="16">
        <f t="shared" si="1178"/>
        <v>0</v>
      </c>
      <c r="AG901" s="16">
        <f t="shared" si="1178"/>
        <v>0</v>
      </c>
      <c r="AH901" s="16">
        <f t="shared" si="1178"/>
        <v>0</v>
      </c>
      <c r="AI901" s="16">
        <f t="shared" si="1178"/>
        <v>0</v>
      </c>
      <c r="AJ901" s="16">
        <f t="shared" si="1178"/>
        <v>0</v>
      </c>
      <c r="AK901" s="16">
        <f t="shared" si="1178"/>
        <v>0</v>
      </c>
      <c r="AL901" s="16">
        <f t="shared" si="1178"/>
        <v>0</v>
      </c>
      <c r="AM901" s="16">
        <f t="shared" si="1178"/>
        <v>0</v>
      </c>
      <c r="AN901" s="16">
        <f t="shared" si="1178"/>
        <v>0</v>
      </c>
      <c r="AO901" s="16">
        <f t="shared" si="1178"/>
        <v>0</v>
      </c>
      <c r="AP901" s="10"/>
      <c r="AQ901" s="10"/>
      <c r="AR901" s="10"/>
      <c r="AS901" s="10" t="str">
        <f t="shared" ref="AS901" ca="1" si="1186">IFERROR(__xludf.DUMMYFUNCTION("split(F878,"","",true,true)"),"ISAI")</f>
        <v>ISAI</v>
      </c>
      <c r="AT901" s="10"/>
      <c r="AU901" s="10"/>
      <c r="AV901" s="10"/>
      <c r="AW901" s="10"/>
      <c r="AX901" s="10"/>
      <c r="AY901" s="10"/>
      <c r="AZ901" s="10"/>
      <c r="BA901" s="10"/>
      <c r="BB901" s="10"/>
      <c r="BC901" s="10"/>
      <c r="BD901" s="10"/>
      <c r="BE901" s="10"/>
      <c r="BF901" s="10"/>
      <c r="BG901" s="10"/>
      <c r="BH901" s="10"/>
      <c r="BI901" s="10"/>
      <c r="BJ901" s="10"/>
      <c r="BK901" s="10"/>
      <c r="BM901" s="10"/>
    </row>
    <row r="902" spans="1:65" ht="12.75">
      <c r="A902" s="18">
        <v>43460</v>
      </c>
      <c r="B902" s="14" t="s">
        <v>1623</v>
      </c>
      <c r="C902" s="19">
        <v>400000</v>
      </c>
      <c r="D902" s="19"/>
      <c r="E902" s="14" t="s">
        <v>45</v>
      </c>
      <c r="F902" s="14" t="s">
        <v>1925</v>
      </c>
      <c r="G902" s="27" t="s">
        <v>1896</v>
      </c>
      <c r="H902" s="14" t="str">
        <f t="array" ref="H902">IFERROR(INDEX([1]Companies!$G:$G,MATCH(B902,[1]Companies!$A:$A,0)),"")</f>
        <v>Rwanda</v>
      </c>
      <c r="I902" s="14" t="str">
        <f t="shared" si="1155"/>
        <v>Rwanda</v>
      </c>
      <c r="J902" s="14" t="str">
        <f t="array" ref="J902">IFERROR(INDEX([1]Companies!$Y:$Y,MATCH(B902,[1]Companies!$A:$A,0)),"")</f>
        <v>Factoring, Working Capital, Fintech</v>
      </c>
      <c r="K902" s="14" t="str">
        <f t="array" ref="K902">IFERROR(INDEX([1]Companies!$X:$X,MATCH(B902,[1]Companies!$A:$A,0)),"")</f>
        <v>Financial Services</v>
      </c>
      <c r="L902" s="14" t="str">
        <f>VLOOKUP(B902,[1]Companies!$A$1:$C$5243,1,FALSE)</f>
        <v>Benefactors</v>
      </c>
      <c r="M902" s="15">
        <f t="shared" si="1156"/>
        <v>0.9</v>
      </c>
      <c r="N902" s="10" t="str">
        <f t="shared" si="1157"/>
        <v>43460BeneFactors400000</v>
      </c>
      <c r="O902" s="14" t="str">
        <f t="shared" si="1158"/>
        <v/>
      </c>
      <c r="P902" s="14">
        <f t="shared" si="1159"/>
        <v>1</v>
      </c>
      <c r="Q902" s="14">
        <f t="array" ref="Q902">IFERROR(INDEX([1]Companies!$D:$D,MATCH(B902,[1]Companies!$A:$A,0)),"")</f>
        <v>2017</v>
      </c>
      <c r="R902" s="17">
        <f t="shared" si="1160"/>
        <v>550000</v>
      </c>
      <c r="S902" s="14">
        <f>VLOOKUP(I902,[1]Lookups!$V$3:$Y$197,4,FALSE)</f>
        <v>0</v>
      </c>
      <c r="T902" s="14" t="str">
        <f>VLOOKUP(E902,[1]Lookups!$H$3:$I$71,2,FALSE)</f>
        <v>2. Seed</v>
      </c>
      <c r="U902" s="14" t="str">
        <f>VLOOKUP(K902,[1]Lookups!$B$3:$C$142,2,FALSE)</f>
        <v>Financial Services</v>
      </c>
      <c r="V902" s="14">
        <f t="shared" si="921"/>
        <v>2018</v>
      </c>
      <c r="W902" s="14">
        <f t="shared" si="922"/>
        <v>12</v>
      </c>
      <c r="X902" s="14">
        <f>VLOOKUP(W902,[1]Lookups!$P$3:$S$15,2,FALSE)</f>
        <v>4</v>
      </c>
      <c r="Y902" s="16">
        <f>VLOOKUP(W902,[1]Lookups!$P$3:$U$15,3,FALSE)</f>
        <v>2</v>
      </c>
      <c r="Z902" s="16">
        <f t="shared" si="923"/>
        <v>3</v>
      </c>
      <c r="AA902" s="16" t="str">
        <f t="shared" ca="1" si="1178"/>
        <v>ISAI</v>
      </c>
      <c r="AB902" s="16" t="str">
        <f t="shared" ca="1" si="1178"/>
        <v xml:space="preserve"> Silverback Capital</v>
      </c>
      <c r="AC902" s="16" t="str">
        <f t="shared" ca="1" si="1178"/>
        <v xml:space="preserve"> NISK Capital</v>
      </c>
      <c r="AD902" s="16">
        <f t="shared" si="1178"/>
        <v>0</v>
      </c>
      <c r="AE902" s="16">
        <f t="shared" si="1178"/>
        <v>0</v>
      </c>
      <c r="AF902" s="16">
        <f t="shared" si="1178"/>
        <v>0</v>
      </c>
      <c r="AG902" s="16">
        <f t="shared" si="1178"/>
        <v>0</v>
      </c>
      <c r="AH902" s="16">
        <f t="shared" si="1178"/>
        <v>0</v>
      </c>
      <c r="AI902" s="16">
        <f t="shared" si="1178"/>
        <v>0</v>
      </c>
      <c r="AJ902" s="16">
        <f t="shared" si="1178"/>
        <v>0</v>
      </c>
      <c r="AK902" s="16">
        <f t="shared" si="1178"/>
        <v>0</v>
      </c>
      <c r="AL902" s="16">
        <f t="shared" si="1178"/>
        <v>0</v>
      </c>
      <c r="AM902" s="16">
        <f t="shared" si="1178"/>
        <v>0</v>
      </c>
      <c r="AN902" s="16">
        <f t="shared" si="1178"/>
        <v>0</v>
      </c>
      <c r="AO902" s="16">
        <f t="shared" si="1178"/>
        <v>0</v>
      </c>
      <c r="AP902" s="10"/>
      <c r="AQ902" s="10"/>
      <c r="AR902" s="10"/>
      <c r="AS902" s="10" t="str">
        <f t="shared" ref="AS902" ca="1" si="1187">IFERROR(__xludf.DUMMYFUNCTION("split(F878,"","",true,true)"),"ISAI")</f>
        <v>ISAI</v>
      </c>
      <c r="AT902" s="25" t="str">
        <f ca="1">IFERROR(__xludf.DUMMYFUNCTION("""COMPUTED_VALUE""")," Silverback Capital")</f>
        <v xml:space="preserve"> Silverback Capital</v>
      </c>
      <c r="AU902" s="25" t="str">
        <f ca="1">IFERROR(__xludf.DUMMYFUNCTION("""COMPUTED_VALUE""")," NISK Capital")</f>
        <v xml:space="preserve"> NISK Capital</v>
      </c>
      <c r="AV902" s="25"/>
      <c r="AW902" s="25"/>
      <c r="AX902" s="25"/>
      <c r="AY902" s="25"/>
      <c r="AZ902" s="25"/>
      <c r="BA902" s="25"/>
      <c r="BB902" s="25"/>
      <c r="BC902" s="25"/>
      <c r="BD902" s="25"/>
      <c r="BE902" s="25"/>
      <c r="BF902" s="25"/>
      <c r="BG902" s="25"/>
      <c r="BH902" s="25"/>
      <c r="BI902" s="25"/>
      <c r="BJ902" s="25"/>
      <c r="BK902" s="25"/>
      <c r="BM902" s="25"/>
    </row>
    <row r="903" spans="1:65" ht="12.75">
      <c r="A903" s="18">
        <v>43461</v>
      </c>
      <c r="B903" s="14" t="s">
        <v>1926</v>
      </c>
      <c r="C903" s="19">
        <v>4000000</v>
      </c>
      <c r="D903" s="19"/>
      <c r="E903" s="14" t="s">
        <v>69</v>
      </c>
      <c r="F903" s="14" t="s">
        <v>49</v>
      </c>
      <c r="G903" s="21" t="s">
        <v>1927</v>
      </c>
      <c r="H903" s="14" t="str">
        <f t="array" ref="H903">IFERROR(INDEX([1]Companies!$G:$G,MATCH(B903,[1]Companies!$A:$A,0)),"")</f>
        <v>Egypt</v>
      </c>
      <c r="I903" s="14" t="str">
        <f t="shared" si="1155"/>
        <v>Egypt</v>
      </c>
      <c r="J903" s="14" t="str">
        <f t="array" ref="J903">IFERROR(INDEX([1]Companies!$Y:$Y,MATCH(B903,[1]Companies!$A:$A,0)),"")</f>
        <v>Street Food, Vendor</v>
      </c>
      <c r="K903" s="14" t="str">
        <f t="array" ref="K903">IFERROR(INDEX([1]Companies!$X:$X,MATCH(B903,[1]Companies!$A:$A,0)),"")</f>
        <v>E-Commerce &amp; Retail</v>
      </c>
      <c r="L903" s="14" t="str">
        <f>VLOOKUP(B903,[1]Companies!$A$1:$C$5243,1,FALSE)</f>
        <v>Zooba Eats</v>
      </c>
      <c r="M903" s="15">
        <f t="shared" si="1156"/>
        <v>0.9</v>
      </c>
      <c r="N903" s="10" t="str">
        <f t="shared" si="1157"/>
        <v>43461Zooba Eats4000000</v>
      </c>
      <c r="O903" s="14" t="str">
        <f t="shared" si="1158"/>
        <v/>
      </c>
      <c r="P903" s="14">
        <f t="shared" si="1159"/>
        <v>1</v>
      </c>
      <c r="Q903" s="14">
        <f t="array" ref="Q903">IFERROR(INDEX([1]Companies!$D:$D,MATCH(B903,[1]Companies!$A:$A,0)),"")</f>
        <v>2012</v>
      </c>
      <c r="R903" s="17">
        <f t="shared" si="1160"/>
        <v>4000000</v>
      </c>
      <c r="S903" s="14">
        <f>VLOOKUP(I903,[1]Lookups!$V$3:$Y$197,4,FALSE)</f>
        <v>0</v>
      </c>
      <c r="T903" s="14" t="str">
        <f>VLOOKUP(E903,[1]Lookups!$H$3:$I$71,2,FALSE)</f>
        <v>3. Early Venture</v>
      </c>
      <c r="U903" s="14" t="str">
        <f>VLOOKUP(K903,[1]Lookups!$B$3:$C$142,2,FALSE)</f>
        <v>E-commerce &amp; Retail</v>
      </c>
      <c r="V903" s="14">
        <f t="shared" si="921"/>
        <v>2018</v>
      </c>
      <c r="W903" s="14">
        <f t="shared" si="922"/>
        <v>12</v>
      </c>
      <c r="X903" s="14">
        <f>VLOOKUP(W903,[1]Lookups!$P$3:$S$15,2,FALSE)</f>
        <v>4</v>
      </c>
      <c r="Y903" s="16">
        <f>VLOOKUP(W903,[1]Lookups!$P$3:$U$15,3,FALSE)</f>
        <v>2</v>
      </c>
      <c r="Z903" s="16">
        <f t="shared" si="923"/>
        <v>1</v>
      </c>
      <c r="AA903" s="16" t="str">
        <f t="shared" ca="1" si="1178"/>
        <v>ISAI</v>
      </c>
      <c r="AB903" s="16">
        <f t="shared" si="1178"/>
        <v>0</v>
      </c>
      <c r="AC903" s="16">
        <f t="shared" si="1178"/>
        <v>0</v>
      </c>
      <c r="AD903" s="16">
        <f t="shared" si="1178"/>
        <v>0</v>
      </c>
      <c r="AE903" s="16">
        <f t="shared" si="1178"/>
        <v>0</v>
      </c>
      <c r="AF903" s="16">
        <f t="shared" si="1178"/>
        <v>0</v>
      </c>
      <c r="AG903" s="16">
        <f t="shared" si="1178"/>
        <v>0</v>
      </c>
      <c r="AH903" s="16">
        <f t="shared" si="1178"/>
        <v>0</v>
      </c>
      <c r="AI903" s="16">
        <f t="shared" si="1178"/>
        <v>0</v>
      </c>
      <c r="AJ903" s="16">
        <f t="shared" si="1178"/>
        <v>0</v>
      </c>
      <c r="AK903" s="16">
        <f t="shared" si="1178"/>
        <v>0</v>
      </c>
      <c r="AL903" s="16">
        <f t="shared" si="1178"/>
        <v>0</v>
      </c>
      <c r="AM903" s="16">
        <f t="shared" si="1178"/>
        <v>0</v>
      </c>
      <c r="AN903" s="16">
        <f t="shared" si="1178"/>
        <v>0</v>
      </c>
      <c r="AO903" s="16">
        <f t="shared" si="1178"/>
        <v>0</v>
      </c>
      <c r="AP903" s="10"/>
      <c r="AQ903" s="10"/>
      <c r="AR903" s="10"/>
      <c r="AS903" s="10" t="str">
        <f t="shared" ref="AS903" ca="1" si="1188">IFERROR(__xludf.DUMMYFUNCTION("split(F878,"","",true,true)"),"ISAI")</f>
        <v>ISAI</v>
      </c>
      <c r="AT903" s="10"/>
      <c r="AU903" s="10"/>
      <c r="AV903" s="10"/>
      <c r="AW903" s="10"/>
      <c r="AX903" s="10"/>
      <c r="AY903" s="10"/>
      <c r="AZ903" s="10"/>
      <c r="BA903" s="10"/>
      <c r="BB903" s="10"/>
      <c r="BC903" s="10"/>
      <c r="BD903" s="10"/>
      <c r="BE903" s="10"/>
      <c r="BF903" s="10"/>
      <c r="BG903" s="10"/>
      <c r="BH903" s="10"/>
      <c r="BI903" s="10"/>
      <c r="BJ903" s="10"/>
      <c r="BK903" s="10"/>
      <c r="BM903" s="10"/>
    </row>
    <row r="904" spans="1:65" ht="12.75">
      <c r="A904" s="18">
        <v>43464</v>
      </c>
      <c r="B904" s="14" t="s">
        <v>1928</v>
      </c>
      <c r="C904" s="19" t="s">
        <v>49</v>
      </c>
      <c r="D904" s="22"/>
      <c r="E904" s="14" t="s">
        <v>69</v>
      </c>
      <c r="F904" s="14" t="s">
        <v>49</v>
      </c>
      <c r="G904" s="21" t="s">
        <v>1929</v>
      </c>
      <c r="H904" s="14" t="str">
        <f t="array" ref="H904">IFERROR(INDEX([1]Companies!$G:$G,MATCH(B904,[1]Companies!$A:$A,0)),"")</f>
        <v>Ethiopia</v>
      </c>
      <c r="I904" s="14" t="str">
        <f t="shared" si="1155"/>
        <v>Ethiopia</v>
      </c>
      <c r="J904" s="14" t="str">
        <f t="array" ref="J904">IFERROR(INDEX([1]Companies!$Y:$Y,MATCH(B904,[1]Companies!$A:$A,0)),"")</f>
        <v>Consulting, Software</v>
      </c>
      <c r="K904" s="14" t="str">
        <f t="array" ref="K904">IFERROR(INDEX([1]Companies!$X:$X,MATCH(B904,[1]Companies!$A:$A,0)),"")</f>
        <v>Information Technology</v>
      </c>
      <c r="L904" s="14" t="str">
        <f>VLOOKUP(B904,[1]Companies!$A$1:$C$5243,1,FALSE)</f>
        <v>Zaytech</v>
      </c>
      <c r="M904" s="15">
        <f t="shared" si="1156"/>
        <v>0.9</v>
      </c>
      <c r="N904" s="10" t="str">
        <f t="shared" si="1157"/>
        <v>43464ZaytechUndisclosed</v>
      </c>
      <c r="O904" s="14" t="str">
        <f t="shared" si="1158"/>
        <v/>
      </c>
      <c r="P904" s="14">
        <f t="shared" si="1159"/>
        <v>0</v>
      </c>
      <c r="Q904" s="14">
        <f t="array" ref="Q904">IFERROR(INDEX([1]Companies!$D:$D,MATCH(B904,[1]Companies!$A:$A,0)),"")</f>
        <v>2018</v>
      </c>
      <c r="R904" s="17">
        <f t="shared" si="1160"/>
        <v>0</v>
      </c>
      <c r="S904" s="14">
        <f>VLOOKUP(I904,[1]Lookups!$V$3:$Y$197,4,FALSE)</f>
        <v>0</v>
      </c>
      <c r="T904" s="14" t="str">
        <f>VLOOKUP(E904,[1]Lookups!$H$3:$I$71,2,FALSE)</f>
        <v>3. Early Venture</v>
      </c>
      <c r="U904" s="14" t="str">
        <f>VLOOKUP(K904,[1]Lookups!$B$3:$C$142,2,FALSE)</f>
        <v>Other Technologies &amp; Information Technology</v>
      </c>
      <c r="V904" s="14">
        <f t="shared" si="921"/>
        <v>2018</v>
      </c>
      <c r="W904" s="14">
        <f t="shared" si="922"/>
        <v>12</v>
      </c>
      <c r="X904" s="14">
        <f>VLOOKUP(W904,[1]Lookups!$P$3:$S$15,2,FALSE)</f>
        <v>4</v>
      </c>
      <c r="Y904" s="16">
        <f>VLOOKUP(W904,[1]Lookups!$P$3:$U$15,3,FALSE)</f>
        <v>2</v>
      </c>
      <c r="Z904" s="16">
        <f t="shared" si="923"/>
        <v>1</v>
      </c>
      <c r="AA904" s="16" t="str">
        <f t="shared" ca="1" si="1178"/>
        <v>ISAI</v>
      </c>
      <c r="AB904" s="16">
        <f t="shared" si="1178"/>
        <v>0</v>
      </c>
      <c r="AC904" s="16">
        <f t="shared" si="1178"/>
        <v>0</v>
      </c>
      <c r="AD904" s="16">
        <f t="shared" si="1178"/>
        <v>0</v>
      </c>
      <c r="AE904" s="16">
        <f t="shared" si="1178"/>
        <v>0</v>
      </c>
      <c r="AF904" s="16">
        <f t="shared" si="1178"/>
        <v>0</v>
      </c>
      <c r="AG904" s="16">
        <f t="shared" si="1178"/>
        <v>0</v>
      </c>
      <c r="AH904" s="16">
        <f t="shared" si="1178"/>
        <v>0</v>
      </c>
      <c r="AI904" s="16">
        <f t="shared" si="1178"/>
        <v>0</v>
      </c>
      <c r="AJ904" s="16">
        <f t="shared" si="1178"/>
        <v>0</v>
      </c>
      <c r="AK904" s="16">
        <f t="shared" si="1178"/>
        <v>0</v>
      </c>
      <c r="AL904" s="16">
        <f t="shared" si="1178"/>
        <v>0</v>
      </c>
      <c r="AM904" s="16">
        <f t="shared" si="1178"/>
        <v>0</v>
      </c>
      <c r="AN904" s="16">
        <f t="shared" si="1178"/>
        <v>0</v>
      </c>
      <c r="AO904" s="16">
        <f t="shared" si="1178"/>
        <v>0</v>
      </c>
      <c r="AP904" s="10"/>
      <c r="AQ904" s="10"/>
      <c r="AR904" s="10"/>
      <c r="AS904" s="10" t="str">
        <f t="shared" ref="AS904" ca="1" si="1189">IFERROR(__xludf.DUMMYFUNCTION("split(F878,"","",true,true)"),"ISAI")</f>
        <v>ISAI</v>
      </c>
      <c r="AT904" s="10"/>
      <c r="AU904" s="10"/>
      <c r="AV904" s="10"/>
      <c r="AW904" s="10"/>
      <c r="AX904" s="10"/>
      <c r="AY904" s="10"/>
      <c r="AZ904" s="10"/>
      <c r="BA904" s="10"/>
      <c r="BB904" s="10"/>
      <c r="BC904" s="10"/>
      <c r="BD904" s="10"/>
      <c r="BE904" s="10"/>
      <c r="BF904" s="10"/>
      <c r="BG904" s="10"/>
      <c r="BH904" s="10"/>
      <c r="BI904" s="10"/>
      <c r="BJ904" s="10"/>
      <c r="BK904" s="10"/>
      <c r="BM904" s="10"/>
    </row>
    <row r="905" spans="1:65" ht="12.75">
      <c r="A905" s="18">
        <v>43466</v>
      </c>
      <c r="B905" s="14" t="s">
        <v>1930</v>
      </c>
      <c r="C905" s="19" t="s">
        <v>49</v>
      </c>
      <c r="D905" s="22"/>
      <c r="E905" s="14" t="s">
        <v>45</v>
      </c>
      <c r="F905" s="14" t="s">
        <v>49</v>
      </c>
      <c r="G905" s="21" t="s">
        <v>1931</v>
      </c>
      <c r="H905" s="14" t="str">
        <f t="array" ref="H905">IFERROR(INDEX([1]Companies!$G:$G,MATCH(B905,[1]Companies!$A:$A,0)),"")</f>
        <v>Angola</v>
      </c>
      <c r="I905" s="14" t="str">
        <f t="shared" si="1155"/>
        <v>Angola</v>
      </c>
      <c r="J905" s="14" t="str">
        <f t="array" ref="J905">IFERROR(INDEX([1]Companies!$Y:$Y,MATCH(B905,[1]Companies!$A:$A,0)),"")</f>
        <v>Customer Service, Home Services, Professional Services, Service Industry</v>
      </c>
      <c r="K905" s="14" t="str">
        <f t="array" ref="K905">IFERROR(INDEX([1]Companies!$X:$X,MATCH(B905,[1]Companies!$A:$A,0)),"")</f>
        <v>Recruitment</v>
      </c>
      <c r="L905" s="14" t="str">
        <f>VLOOKUP(B905,[1]Companies!$A$1:$C$5243,1,FALSE)</f>
        <v>Bumba</v>
      </c>
      <c r="M905" s="15">
        <f t="shared" si="1156"/>
        <v>0.9</v>
      </c>
      <c r="N905" s="10" t="str">
        <f t="shared" si="1157"/>
        <v>43466BumbaUndisclosed</v>
      </c>
      <c r="O905" s="14" t="str">
        <f t="shared" si="1158"/>
        <v/>
      </c>
      <c r="P905" s="14">
        <f t="shared" si="1159"/>
        <v>0</v>
      </c>
      <c r="Q905" s="14">
        <f t="array" ref="Q905">IFERROR(INDEX([1]Companies!$D:$D,MATCH(B905,[1]Companies!$A:$A,0)),"")</f>
        <v>2019</v>
      </c>
      <c r="R905" s="17">
        <f t="shared" si="1160"/>
        <v>0</v>
      </c>
      <c r="S905" s="14">
        <f>VLOOKUP(I905,[1]Lookups!$V$3:$Y$197,4,FALSE)</f>
        <v>0</v>
      </c>
      <c r="T905" s="14" t="str">
        <f>VLOOKUP(E905,[1]Lookups!$H$3:$I$71,2,FALSE)</f>
        <v>2. Seed</v>
      </c>
      <c r="U905" s="14" t="str">
        <f>VLOOKUP(K905,[1]Lookups!$B$3:$C$142,2,FALSE)</f>
        <v>Employment, Talent &amp; Labour</v>
      </c>
      <c r="V905" s="14">
        <f t="shared" si="921"/>
        <v>2019</v>
      </c>
      <c r="W905" s="14">
        <f t="shared" si="922"/>
        <v>1</v>
      </c>
      <c r="X905" s="14">
        <f>VLOOKUP(W905,[1]Lookups!$P$3:$S$15,2,FALSE)</f>
        <v>1</v>
      </c>
      <c r="Y905" s="16">
        <f>VLOOKUP(W905,[1]Lookups!$P$3:$U$15,3,FALSE)</f>
        <v>1</v>
      </c>
      <c r="Z905" s="16">
        <f t="shared" si="923"/>
        <v>1</v>
      </c>
      <c r="AA905" s="16" t="str">
        <f t="shared" ca="1" si="1178"/>
        <v>ISAI</v>
      </c>
      <c r="AB905" s="16">
        <f t="shared" si="1178"/>
        <v>0</v>
      </c>
      <c r="AC905" s="16">
        <f t="shared" si="1178"/>
        <v>0</v>
      </c>
      <c r="AD905" s="16">
        <f t="shared" si="1178"/>
        <v>0</v>
      </c>
      <c r="AE905" s="16">
        <f t="shared" si="1178"/>
        <v>0</v>
      </c>
      <c r="AF905" s="16">
        <f t="shared" si="1178"/>
        <v>0</v>
      </c>
      <c r="AG905" s="16">
        <f t="shared" si="1178"/>
        <v>0</v>
      </c>
      <c r="AH905" s="16">
        <f t="shared" si="1178"/>
        <v>0</v>
      </c>
      <c r="AI905" s="16">
        <f t="shared" si="1178"/>
        <v>0</v>
      </c>
      <c r="AJ905" s="16">
        <f t="shared" si="1178"/>
        <v>0</v>
      </c>
      <c r="AK905" s="16">
        <f t="shared" si="1178"/>
        <v>0</v>
      </c>
      <c r="AL905" s="16">
        <f t="shared" si="1178"/>
        <v>0</v>
      </c>
      <c r="AM905" s="16">
        <f t="shared" si="1178"/>
        <v>0</v>
      </c>
      <c r="AN905" s="16">
        <f t="shared" si="1178"/>
        <v>0</v>
      </c>
      <c r="AO905" s="16">
        <f t="shared" si="1178"/>
        <v>0</v>
      </c>
      <c r="AP905" s="10"/>
      <c r="AQ905" s="10"/>
      <c r="AR905" s="10"/>
      <c r="AS905" s="10" t="str">
        <f t="shared" ref="AS905" ca="1" si="1190">IFERROR(__xludf.DUMMYFUNCTION("split(F878,"","",true,true)"),"ISAI")</f>
        <v>ISAI</v>
      </c>
      <c r="AT905" s="10"/>
      <c r="AU905" s="10"/>
      <c r="AV905" s="10"/>
      <c r="AW905" s="10"/>
      <c r="AX905" s="10"/>
      <c r="AY905" s="10"/>
      <c r="AZ905" s="10"/>
      <c r="BA905" s="10"/>
      <c r="BB905" s="10"/>
      <c r="BC905" s="10"/>
      <c r="BD905" s="10"/>
      <c r="BE905" s="10"/>
      <c r="BF905" s="10"/>
      <c r="BG905" s="10"/>
      <c r="BH905" s="10"/>
      <c r="BI905" s="10"/>
      <c r="BJ905" s="10"/>
      <c r="BK905" s="10"/>
      <c r="BM905" s="10"/>
    </row>
    <row r="906" spans="1:65" ht="12.75">
      <c r="A906" s="18">
        <v>43466</v>
      </c>
      <c r="B906" s="14" t="s">
        <v>172</v>
      </c>
      <c r="C906" s="19">
        <v>215000</v>
      </c>
      <c r="D906" s="19"/>
      <c r="E906" s="14" t="s">
        <v>55</v>
      </c>
      <c r="F906" s="14" t="s">
        <v>1932</v>
      </c>
      <c r="G906" s="21" t="s">
        <v>1933</v>
      </c>
      <c r="H906" s="14" t="str">
        <f t="array" ref="H906">IFERROR(INDEX([1]Companies!$G:$G,MATCH(B906,[1]Companies!$A:$A,0)),"")</f>
        <v>Rwanda</v>
      </c>
      <c r="I906" s="14" t="str">
        <f t="shared" si="1155"/>
        <v>Rwanda</v>
      </c>
      <c r="J906" s="14" t="str">
        <f t="array" ref="J906">IFERROR(INDEX([1]Companies!$Y:$Y,MATCH(B906,[1]Companies!$A:$A,0)),"")</f>
        <v>Automotive, Electric Vehicle, Emerging Markets, Transportation</v>
      </c>
      <c r="K906" s="14" t="str">
        <f t="array" ref="K906">IFERROR(INDEX([1]Companies!$X:$X,MATCH(B906,[1]Companies!$A:$A,0)),"")</f>
        <v>Automotive</v>
      </c>
      <c r="L906" s="14" t="str">
        <f>VLOOKUP(B906,[1]Companies!$A$1:$C$5243,1,FALSE)</f>
        <v>Ampersand Electric Motorcycles</v>
      </c>
      <c r="M906" s="15">
        <f t="shared" si="1156"/>
        <v>0.9</v>
      </c>
      <c r="N906" s="10" t="str">
        <f t="shared" si="1157"/>
        <v>43466Ampersand Electric Motorcycles215000</v>
      </c>
      <c r="O906" s="14" t="str">
        <f t="shared" si="1158"/>
        <v/>
      </c>
      <c r="P906" s="14">
        <f t="shared" si="1159"/>
        <v>1</v>
      </c>
      <c r="Q906" s="14">
        <f t="array" ref="Q906">IFERROR(INDEX([1]Companies!$D:$D,MATCH(B906,[1]Companies!$A:$A,0)),"")</f>
        <v>2014</v>
      </c>
      <c r="R906" s="17">
        <f t="shared" si="1160"/>
        <v>905400</v>
      </c>
      <c r="S906" s="14">
        <f>VLOOKUP(I906,[1]Lookups!$V$3:$Y$197,4,FALSE)</f>
        <v>0</v>
      </c>
      <c r="T906" s="14" t="str">
        <f>VLOOKUP(E906,[1]Lookups!$H$3:$I$71,2,FALSE)</f>
        <v>1. Grant</v>
      </c>
      <c r="U906" s="14" t="str">
        <f>VLOOKUP(K906,[1]Lookups!$B$3:$C$142,2,FALSE)</f>
        <v>Emerging Technologies</v>
      </c>
      <c r="V906" s="14">
        <f t="shared" si="921"/>
        <v>2019</v>
      </c>
      <c r="W906" s="14">
        <f t="shared" si="922"/>
        <v>1</v>
      </c>
      <c r="X906" s="14">
        <f>VLOOKUP(W906,[1]Lookups!$P$3:$S$15,2,FALSE)</f>
        <v>1</v>
      </c>
      <c r="Y906" s="16">
        <f>VLOOKUP(W906,[1]Lookups!$P$3:$U$15,3,FALSE)</f>
        <v>1</v>
      </c>
      <c r="Z906" s="16">
        <f t="shared" si="923"/>
        <v>1</v>
      </c>
      <c r="AA906" s="16" t="str">
        <f t="shared" ca="1" si="1178"/>
        <v>ISAI</v>
      </c>
      <c r="AB906" s="16">
        <f t="shared" si="1178"/>
        <v>0</v>
      </c>
      <c r="AC906" s="16">
        <f t="shared" si="1178"/>
        <v>0</v>
      </c>
      <c r="AD906" s="16">
        <f t="shared" si="1178"/>
        <v>0</v>
      </c>
      <c r="AE906" s="16">
        <f t="shared" si="1178"/>
        <v>0</v>
      </c>
      <c r="AF906" s="16">
        <f t="shared" si="1178"/>
        <v>0</v>
      </c>
      <c r="AG906" s="16">
        <f t="shared" si="1178"/>
        <v>0</v>
      </c>
      <c r="AH906" s="16">
        <f t="shared" si="1178"/>
        <v>0</v>
      </c>
      <c r="AI906" s="16">
        <f t="shared" si="1178"/>
        <v>0</v>
      </c>
      <c r="AJ906" s="16">
        <f t="shared" si="1178"/>
        <v>0</v>
      </c>
      <c r="AK906" s="16">
        <f t="shared" si="1178"/>
        <v>0</v>
      </c>
      <c r="AL906" s="16">
        <f t="shared" si="1178"/>
        <v>0</v>
      </c>
      <c r="AM906" s="16">
        <f t="shared" si="1178"/>
        <v>0</v>
      </c>
      <c r="AN906" s="16">
        <f t="shared" si="1178"/>
        <v>0</v>
      </c>
      <c r="AO906" s="16">
        <f t="shared" si="1178"/>
        <v>0</v>
      </c>
      <c r="AP906" s="10"/>
      <c r="AQ906" s="10"/>
      <c r="AR906" s="10"/>
      <c r="AS906" s="10" t="str">
        <f t="shared" ref="AS906" ca="1" si="1191">IFERROR(__xludf.DUMMYFUNCTION("split(F878,"","",true,true)"),"ISAI")</f>
        <v>ISAI</v>
      </c>
      <c r="AT906" s="10"/>
      <c r="AU906" s="10"/>
      <c r="AV906" s="10"/>
      <c r="AW906" s="10"/>
      <c r="AX906" s="10"/>
      <c r="AY906" s="10"/>
      <c r="AZ906" s="10"/>
      <c r="BA906" s="10"/>
      <c r="BB906" s="10"/>
      <c r="BC906" s="10"/>
      <c r="BD906" s="10"/>
      <c r="BE906" s="10"/>
      <c r="BF906" s="10"/>
      <c r="BG906" s="10"/>
      <c r="BH906" s="10"/>
      <c r="BI906" s="10"/>
      <c r="BJ906" s="10"/>
      <c r="BK906" s="10"/>
      <c r="BM906" s="10"/>
    </row>
    <row r="907" spans="1:65" ht="12.75">
      <c r="A907" s="18">
        <v>43466</v>
      </c>
      <c r="B907" s="14" t="s">
        <v>1934</v>
      </c>
      <c r="C907" s="19">
        <v>50000</v>
      </c>
      <c r="D907" s="19"/>
      <c r="E907" s="14" t="s">
        <v>234</v>
      </c>
      <c r="F907" s="14" t="s">
        <v>49</v>
      </c>
      <c r="G907" s="21" t="s">
        <v>1935</v>
      </c>
      <c r="H907" s="14" t="str">
        <f t="array" ref="H907">IFERROR(INDEX([1]Companies!$G:$G,MATCH(B907,[1]Companies!$A:$A,0)),"")</f>
        <v>Egypt</v>
      </c>
      <c r="I907" s="14" t="str">
        <f t="shared" si="1155"/>
        <v>Egypt</v>
      </c>
      <c r="J907" s="14" t="str">
        <f t="array" ref="J907">IFERROR(INDEX([1]Companies!$Y:$Y,MATCH(B907,[1]Companies!$A:$A,0)),"")</f>
        <v>Blockchain, FinTech, Mobile Payments</v>
      </c>
      <c r="K907" s="14" t="str">
        <f t="array" ref="K907">IFERROR(INDEX([1]Companies!$X:$X,MATCH(B907,[1]Companies!$A:$A,0)),"")</f>
        <v>Financial Services</v>
      </c>
      <c r="L907" s="14" t="str">
        <f>VLOOKUP(B907,[1]Companies!$A$1:$C$5243,1,FALSE)</f>
        <v>IDF3</v>
      </c>
      <c r="M907" s="15">
        <f t="shared" si="1156"/>
        <v>0.9</v>
      </c>
      <c r="N907" s="10" t="str">
        <f t="shared" si="1157"/>
        <v>43466IDF350000</v>
      </c>
      <c r="O907" s="14" t="str">
        <f t="shared" si="1158"/>
        <v/>
      </c>
      <c r="P907" s="14">
        <f t="shared" si="1159"/>
        <v>1</v>
      </c>
      <c r="Q907" s="14">
        <f t="array" ref="Q907">IFERROR(INDEX([1]Companies!$D:$D,MATCH(B907,[1]Companies!$A:$A,0)),"")</f>
        <v>2019</v>
      </c>
      <c r="R907" s="17">
        <f t="shared" si="1160"/>
        <v>50000</v>
      </c>
      <c r="S907" s="14">
        <f>VLOOKUP(I907,[1]Lookups!$V$3:$Y$197,4,FALSE)</f>
        <v>0</v>
      </c>
      <c r="T907" s="14" t="str">
        <f>VLOOKUP(E907,[1]Lookups!$H$3:$I$71,2,FALSE)</f>
        <v>2. Seed</v>
      </c>
      <c r="U907" s="14" t="str">
        <f>VLOOKUP(K907,[1]Lookups!$B$3:$C$142,2,FALSE)</f>
        <v>Financial Services</v>
      </c>
      <c r="V907" s="14">
        <f t="shared" si="921"/>
        <v>2019</v>
      </c>
      <c r="W907" s="14">
        <f t="shared" si="922"/>
        <v>1</v>
      </c>
      <c r="X907" s="14">
        <f>VLOOKUP(W907,[1]Lookups!$P$3:$S$15,2,FALSE)</f>
        <v>1</v>
      </c>
      <c r="Y907" s="16">
        <f>VLOOKUP(W907,[1]Lookups!$P$3:$U$15,3,FALSE)</f>
        <v>1</v>
      </c>
      <c r="Z907" s="16">
        <f t="shared" si="923"/>
        <v>1</v>
      </c>
      <c r="AA907" s="16" t="str">
        <f t="shared" ca="1" si="1178"/>
        <v>ISAI</v>
      </c>
      <c r="AB907" s="16">
        <f t="shared" si="1178"/>
        <v>0</v>
      </c>
      <c r="AC907" s="16">
        <f t="shared" si="1178"/>
        <v>0</v>
      </c>
      <c r="AD907" s="16">
        <f t="shared" si="1178"/>
        <v>0</v>
      </c>
      <c r="AE907" s="16">
        <f t="shared" si="1178"/>
        <v>0</v>
      </c>
      <c r="AF907" s="16">
        <f t="shared" si="1178"/>
        <v>0</v>
      </c>
      <c r="AG907" s="16">
        <f t="shared" si="1178"/>
        <v>0</v>
      </c>
      <c r="AH907" s="16">
        <f t="shared" si="1178"/>
        <v>0</v>
      </c>
      <c r="AI907" s="16">
        <f t="shared" si="1178"/>
        <v>0</v>
      </c>
      <c r="AJ907" s="16">
        <f t="shared" si="1178"/>
        <v>0</v>
      </c>
      <c r="AK907" s="16">
        <f t="shared" si="1178"/>
        <v>0</v>
      </c>
      <c r="AL907" s="16">
        <f t="shared" si="1178"/>
        <v>0</v>
      </c>
      <c r="AM907" s="16">
        <f t="shared" si="1178"/>
        <v>0</v>
      </c>
      <c r="AN907" s="16">
        <f t="shared" si="1178"/>
        <v>0</v>
      </c>
      <c r="AO907" s="16">
        <f t="shared" si="1178"/>
        <v>0</v>
      </c>
      <c r="AP907" s="10"/>
      <c r="AQ907" s="10"/>
      <c r="AR907" s="10"/>
      <c r="AS907" s="10" t="str">
        <f t="shared" ref="AS907" ca="1" si="1192">IFERROR(__xludf.DUMMYFUNCTION("split(F878,"","",true,true)"),"ISAI")</f>
        <v>ISAI</v>
      </c>
      <c r="AT907" s="10"/>
      <c r="AU907" s="10"/>
      <c r="AV907" s="10"/>
      <c r="AW907" s="10"/>
      <c r="AX907" s="10"/>
      <c r="AY907" s="10"/>
      <c r="AZ907" s="10"/>
      <c r="BA907" s="10"/>
      <c r="BB907" s="10"/>
      <c r="BC907" s="10"/>
      <c r="BD907" s="10"/>
      <c r="BE907" s="10"/>
      <c r="BF907" s="10"/>
      <c r="BG907" s="10"/>
      <c r="BH907" s="10"/>
      <c r="BI907" s="10"/>
      <c r="BJ907" s="10"/>
      <c r="BK907" s="10"/>
      <c r="BM907" s="10"/>
    </row>
    <row r="908" spans="1:65" ht="12.75">
      <c r="A908" s="18">
        <v>43466</v>
      </c>
      <c r="B908" s="14" t="s">
        <v>1614</v>
      </c>
      <c r="C908" s="19">
        <v>28000</v>
      </c>
      <c r="D908" s="19"/>
      <c r="E908" s="14" t="s">
        <v>234</v>
      </c>
      <c r="F908" s="14" t="s">
        <v>1525</v>
      </c>
      <c r="G908" s="21" t="s">
        <v>1936</v>
      </c>
      <c r="H908" s="14" t="str">
        <f t="array" ref="H908">IFERROR(INDEX([1]Companies!$G:$G,MATCH(B908,[1]Companies!$A:$A,0)),"")</f>
        <v>Egypt</v>
      </c>
      <c r="I908" s="14" t="str">
        <f t="shared" si="1155"/>
        <v>Egypt</v>
      </c>
      <c r="J908" s="14" t="str">
        <f t="array" ref="J908">IFERROR(INDEX([1]Companies!$Y:$Y,MATCH(B908,[1]Companies!$A:$A,0)),"")</f>
        <v>Automotive, Mobile Apps, Subscription Service</v>
      </c>
      <c r="K908" s="14" t="str">
        <f t="array" ref="K908">IFERROR(INDEX([1]Companies!$X:$X,MATCH(B908,[1]Companies!$A:$A,0)),"")</f>
        <v>Other Technologies &amp; Information Technology</v>
      </c>
      <c r="L908" s="14" t="str">
        <f>VLOOKUP(B908,[1]Companies!$A$1:$C$5243,1,FALSE)</f>
        <v>MAYDAY</v>
      </c>
      <c r="M908" s="15">
        <f t="shared" si="1156"/>
        <v>0.9</v>
      </c>
      <c r="N908" s="10" t="str">
        <f t="shared" si="1157"/>
        <v>43466MAYDAY28000</v>
      </c>
      <c r="O908" s="14" t="str">
        <f t="shared" si="1158"/>
        <v/>
      </c>
      <c r="P908" s="14">
        <f t="shared" si="1159"/>
        <v>1</v>
      </c>
      <c r="Q908" s="14">
        <f t="array" ref="Q908">IFERROR(INDEX([1]Companies!$D:$D,MATCH(B908,[1]Companies!$A:$A,0)),"")</f>
        <v>2018</v>
      </c>
      <c r="R908" s="17">
        <f t="shared" si="1160"/>
        <v>48000</v>
      </c>
      <c r="S908" s="14">
        <f>VLOOKUP(I908,[1]Lookups!$V$3:$Y$197,4,FALSE)</f>
        <v>0</v>
      </c>
      <c r="T908" s="14" t="str">
        <f>VLOOKUP(E908,[1]Lookups!$H$3:$I$71,2,FALSE)</f>
        <v>2. Seed</v>
      </c>
      <c r="U908" s="14" t="str">
        <f>VLOOKUP(K908,[1]Lookups!$B$3:$C$142,2,FALSE)</f>
        <v>Other Technologies &amp; Information Technology</v>
      </c>
      <c r="V908" s="14">
        <f t="shared" si="921"/>
        <v>2019</v>
      </c>
      <c r="W908" s="14">
        <f t="shared" si="922"/>
        <v>1</v>
      </c>
      <c r="X908" s="14">
        <f>VLOOKUP(W908,[1]Lookups!$P$3:$S$15,2,FALSE)</f>
        <v>1</v>
      </c>
      <c r="Y908" s="16">
        <f>VLOOKUP(W908,[1]Lookups!$P$3:$U$15,3,FALSE)</f>
        <v>1</v>
      </c>
      <c r="Z908" s="16">
        <f t="shared" si="923"/>
        <v>1</v>
      </c>
      <c r="AA908" s="16" t="str">
        <f t="shared" ca="1" si="1178"/>
        <v>ISAI</v>
      </c>
      <c r="AB908" s="16">
        <f t="shared" si="1178"/>
        <v>0</v>
      </c>
      <c r="AC908" s="16">
        <f t="shared" si="1178"/>
        <v>0</v>
      </c>
      <c r="AD908" s="16">
        <f t="shared" si="1178"/>
        <v>0</v>
      </c>
      <c r="AE908" s="16">
        <f t="shared" si="1178"/>
        <v>0</v>
      </c>
      <c r="AF908" s="16">
        <f t="shared" si="1178"/>
        <v>0</v>
      </c>
      <c r="AG908" s="16">
        <f t="shared" si="1178"/>
        <v>0</v>
      </c>
      <c r="AH908" s="16">
        <f t="shared" si="1178"/>
        <v>0</v>
      </c>
      <c r="AI908" s="16">
        <f t="shared" si="1178"/>
        <v>0</v>
      </c>
      <c r="AJ908" s="16">
        <f t="shared" si="1178"/>
        <v>0</v>
      </c>
      <c r="AK908" s="16">
        <f t="shared" si="1178"/>
        <v>0</v>
      </c>
      <c r="AL908" s="16">
        <f t="shared" si="1178"/>
        <v>0</v>
      </c>
      <c r="AM908" s="16">
        <f t="shared" si="1178"/>
        <v>0</v>
      </c>
      <c r="AN908" s="16">
        <f t="shared" si="1178"/>
        <v>0</v>
      </c>
      <c r="AO908" s="16">
        <f t="shared" si="1178"/>
        <v>0</v>
      </c>
      <c r="AP908" s="10"/>
      <c r="AQ908" s="10"/>
      <c r="AR908" s="10"/>
      <c r="AS908" s="10" t="str">
        <f t="shared" ref="AS908" ca="1" si="1193">IFERROR(__xludf.DUMMYFUNCTION("split(F878,"","",true,true)"),"ISAI")</f>
        <v>ISAI</v>
      </c>
      <c r="AT908" s="10"/>
      <c r="AU908" s="10"/>
      <c r="AV908" s="10"/>
      <c r="AW908" s="10"/>
      <c r="AX908" s="10"/>
      <c r="AY908" s="10"/>
      <c r="AZ908" s="10"/>
      <c r="BA908" s="10"/>
      <c r="BB908" s="10"/>
      <c r="BC908" s="10"/>
      <c r="BD908" s="10"/>
      <c r="BE908" s="10"/>
      <c r="BF908" s="10"/>
      <c r="BG908" s="10"/>
      <c r="BH908" s="10"/>
      <c r="BI908" s="10"/>
      <c r="BJ908" s="10"/>
      <c r="BK908" s="10"/>
      <c r="BM908" s="10"/>
    </row>
    <row r="909" spans="1:65" ht="12.75">
      <c r="A909" s="18">
        <v>43473</v>
      </c>
      <c r="B909" s="14" t="s">
        <v>1937</v>
      </c>
      <c r="C909" s="19">
        <v>50100000</v>
      </c>
      <c r="D909" s="19"/>
      <c r="E909" s="14" t="s">
        <v>51</v>
      </c>
      <c r="F909" s="14" t="s">
        <v>1938</v>
      </c>
      <c r="G909" s="21" t="s">
        <v>1939</v>
      </c>
      <c r="H909" s="14" t="str">
        <f t="array" ref="H909">IFERROR(INDEX([1]Companies!$G:$G,MATCH(B909,[1]Companies!$A:$A,0)),"")</f>
        <v/>
      </c>
      <c r="I909" s="14" t="str">
        <f t="shared" si="1155"/>
        <v/>
      </c>
      <c r="J909" s="14" t="str">
        <f t="array" ref="J909">IFERROR(INDEX([1]Companies!$Y:$Y,MATCH(B909,[1]Companies!$A:$A,0)),"")</f>
        <v/>
      </c>
      <c r="K909" s="14" t="str">
        <f t="array" ref="K909">IFERROR(INDEX([1]Companies!$X:$X,MATCH(B909,[1]Companies!$A:$A,0)),"")</f>
        <v/>
      </c>
      <c r="L909" s="14" t="e">
        <f>VLOOKUP(B909,[1]Companies!$A$1:$C$5243,1,FALSE)</f>
        <v>#N/A</v>
      </c>
      <c r="M909" s="15">
        <f t="shared" si="1156"/>
        <v>0.6428571428571429</v>
      </c>
      <c r="N909" s="10" t="str">
        <f t="shared" si="1157"/>
        <v>43473Prime Bank50100000</v>
      </c>
      <c r="O909" s="14" t="str">
        <f t="shared" si="1158"/>
        <v/>
      </c>
      <c r="P909" s="14">
        <f t="shared" si="1159"/>
        <v>1</v>
      </c>
      <c r="Q909" s="14" t="str">
        <f t="array" ref="Q909">IFERROR(INDEX([1]Companies!$D:$D,MATCH(B909,[1]Companies!$A:$A,0)),"")</f>
        <v/>
      </c>
      <c r="R909" s="17">
        <f t="shared" si="1160"/>
        <v>50100000</v>
      </c>
      <c r="S909" s="14" t="e">
        <f>VLOOKUP(I909,[1]Lookups!$V$3:$Y$197,4,FALSE)</f>
        <v>#N/A</v>
      </c>
      <c r="T909" s="14" t="str">
        <f>VLOOKUP(E909,[1]Lookups!$H$3:$I$71,2,FALSE)</f>
        <v>6. Private Equity</v>
      </c>
      <c r="U909" s="14" t="e">
        <f>VLOOKUP(K909,[1]Lookups!$B$3:$C$142,2,FALSE)</f>
        <v>#N/A</v>
      </c>
      <c r="V909" s="14">
        <f t="shared" si="921"/>
        <v>2019</v>
      </c>
      <c r="W909" s="14">
        <f t="shared" si="922"/>
        <v>1</v>
      </c>
      <c r="X909" s="14">
        <f>VLOOKUP(W909,[1]Lookups!$P$3:$S$15,2,FALSE)</f>
        <v>1</v>
      </c>
      <c r="Y909" s="16">
        <f>VLOOKUP(W909,[1]Lookups!$P$3:$U$15,3,FALSE)</f>
        <v>1</v>
      </c>
      <c r="Z909" s="16">
        <f t="shared" si="923"/>
        <v>2</v>
      </c>
      <c r="AA909" s="16" t="str">
        <f t="shared" ca="1" si="1178"/>
        <v>ISAI</v>
      </c>
      <c r="AB909" s="16" t="str">
        <f t="shared" ca="1" si="1178"/>
        <v xml:space="preserve"> Catalyst Princinpal Partners</v>
      </c>
      <c r="AC909" s="16">
        <f t="shared" si="1178"/>
        <v>0</v>
      </c>
      <c r="AD909" s="16">
        <f t="shared" si="1178"/>
        <v>0</v>
      </c>
      <c r="AE909" s="16">
        <f t="shared" si="1178"/>
        <v>0</v>
      </c>
      <c r="AF909" s="16">
        <f t="shared" si="1178"/>
        <v>0</v>
      </c>
      <c r="AG909" s="16">
        <f t="shared" si="1178"/>
        <v>0</v>
      </c>
      <c r="AH909" s="16">
        <f t="shared" si="1178"/>
        <v>0</v>
      </c>
      <c r="AI909" s="16">
        <f t="shared" si="1178"/>
        <v>0</v>
      </c>
      <c r="AJ909" s="16">
        <f t="shared" si="1178"/>
        <v>0</v>
      </c>
      <c r="AK909" s="16">
        <f t="shared" si="1178"/>
        <v>0</v>
      </c>
      <c r="AL909" s="16">
        <f t="shared" si="1178"/>
        <v>0</v>
      </c>
      <c r="AM909" s="16">
        <f t="shared" si="1178"/>
        <v>0</v>
      </c>
      <c r="AN909" s="16">
        <f t="shared" si="1178"/>
        <v>0</v>
      </c>
      <c r="AO909" s="16">
        <f t="shared" si="1178"/>
        <v>0</v>
      </c>
      <c r="AP909" s="10"/>
      <c r="AQ909" s="10"/>
      <c r="AR909" s="10"/>
      <c r="AS909" s="10" t="str">
        <f t="shared" ref="AS909" ca="1" si="1194">IFERROR(__xludf.DUMMYFUNCTION("split(F878,"","",true,true)"),"ISAI")</f>
        <v>ISAI</v>
      </c>
      <c r="AT909" s="10" t="str">
        <f ca="1">IFERROR(__xludf.DUMMYFUNCTION("""COMPUTED_VALUE""")," Catalyst Princinpal Partners")</f>
        <v xml:space="preserve"> Catalyst Princinpal Partners</v>
      </c>
      <c r="AU909" s="10"/>
      <c r="AV909" s="10"/>
      <c r="AW909" s="10"/>
      <c r="AX909" s="10"/>
      <c r="AY909" s="10"/>
      <c r="AZ909" s="10"/>
      <c r="BA909" s="10"/>
      <c r="BB909" s="10"/>
      <c r="BC909" s="10"/>
      <c r="BD909" s="10"/>
      <c r="BE909" s="10"/>
      <c r="BF909" s="10"/>
      <c r="BG909" s="10"/>
      <c r="BH909" s="10"/>
      <c r="BI909" s="10"/>
      <c r="BJ909" s="10"/>
      <c r="BK909" s="10"/>
      <c r="BM909" s="10"/>
    </row>
    <row r="910" spans="1:65" ht="12.75">
      <c r="A910" s="18">
        <v>43473</v>
      </c>
      <c r="B910" s="14" t="s">
        <v>436</v>
      </c>
      <c r="C910" s="19">
        <v>9000000</v>
      </c>
      <c r="D910" s="19"/>
      <c r="E910" s="10" t="s">
        <v>91</v>
      </c>
      <c r="F910" s="14" t="s">
        <v>1940</v>
      </c>
      <c r="G910" s="21" t="s">
        <v>1941</v>
      </c>
      <c r="H910" s="14" t="str">
        <f t="array" ref="H910">IFERROR(INDEX([1]Companies!$G:$G,MATCH(B910,[1]Companies!$A:$A,0)),"")</f>
        <v>Uganda</v>
      </c>
      <c r="I910" s="14" t="str">
        <f t="shared" si="1155"/>
        <v>Uganda</v>
      </c>
      <c r="J910" s="14" t="str">
        <f t="array" ref="J910">IFERROR(INDEX([1]Companies!$Y:$Y,MATCH(B910,[1]Companies!$A:$A,0)),"")</f>
        <v>Solar PV (Solar Home Systems), Rural Off-grid markets in Africa, Financing, and Distribution</v>
      </c>
      <c r="K910" s="14" t="str">
        <f t="array" ref="K910">IFERROR(INDEX([1]Companies!$X:$X,MATCH(B910,[1]Companies!$A:$A,0)),"")</f>
        <v>Energy &amp; Environment Resources</v>
      </c>
      <c r="L910" s="14" t="str">
        <f>VLOOKUP(B910,[1]Companies!$A$1:$C$5243,1,FALSE)</f>
        <v>Solarnow</v>
      </c>
      <c r="M910" s="15">
        <f t="shared" si="1156"/>
        <v>0.9</v>
      </c>
      <c r="N910" s="10" t="str">
        <f t="shared" si="1157"/>
        <v>43473SolarNow9000000</v>
      </c>
      <c r="O910" s="14" t="str">
        <f t="shared" si="1158"/>
        <v/>
      </c>
      <c r="P910" s="14">
        <f t="shared" si="1159"/>
        <v>1</v>
      </c>
      <c r="Q910" s="14">
        <f t="array" ref="Q910">IFERROR(INDEX([1]Companies!$D:$D,MATCH(B910,[1]Companies!$A:$A,0)),"")</f>
        <v>2011</v>
      </c>
      <c r="R910" s="17">
        <f t="shared" si="1160"/>
        <v>17740000</v>
      </c>
      <c r="S910" s="14">
        <f>VLOOKUP(I910,[1]Lookups!$V$3:$Y$197,4,FALSE)</f>
        <v>0</v>
      </c>
      <c r="T910" s="14" t="str">
        <f>VLOOKUP(E910,[1]Lookups!$H$3:$I$71,2,FALSE)</f>
        <v>5. Debt Financing</v>
      </c>
      <c r="U910" s="14" t="e">
        <f>VLOOKUP(K910,[1]Lookups!$B$3:$C$142,2,FALSE)</f>
        <v>#N/A</v>
      </c>
      <c r="V910" s="14">
        <f t="shared" si="921"/>
        <v>2019</v>
      </c>
      <c r="W910" s="14">
        <f t="shared" si="922"/>
        <v>1</v>
      </c>
      <c r="X910" s="14">
        <f>VLOOKUP(W910,[1]Lookups!$P$3:$S$15,2,FALSE)</f>
        <v>1</v>
      </c>
      <c r="Y910" s="16">
        <f>VLOOKUP(W910,[1]Lookups!$P$3:$U$15,3,FALSE)</f>
        <v>1</v>
      </c>
      <c r="Z910" s="16">
        <f t="shared" si="923"/>
        <v>3</v>
      </c>
      <c r="AA910" s="16" t="str">
        <f t="shared" ref="AA910:AO923" ca="1" si="1195">AS910</f>
        <v>ISAI</v>
      </c>
      <c r="AB910" s="16" t="str">
        <f t="shared" ca="1" si="1195"/>
        <v xml:space="preserve"> Oikocredit International</v>
      </c>
      <c r="AC910" s="16" t="str">
        <f t="shared" ca="1" si="1195"/>
        <v xml:space="preserve"> ResponsAbility</v>
      </c>
      <c r="AD910" s="16">
        <f t="shared" si="1195"/>
        <v>0</v>
      </c>
      <c r="AE910" s="16">
        <f t="shared" si="1195"/>
        <v>0</v>
      </c>
      <c r="AF910" s="16">
        <f t="shared" si="1195"/>
        <v>0</v>
      </c>
      <c r="AG910" s="16">
        <f t="shared" si="1195"/>
        <v>0</v>
      </c>
      <c r="AH910" s="16">
        <f t="shared" si="1195"/>
        <v>0</v>
      </c>
      <c r="AI910" s="16">
        <f t="shared" si="1195"/>
        <v>0</v>
      </c>
      <c r="AJ910" s="16">
        <f t="shared" si="1195"/>
        <v>0</v>
      </c>
      <c r="AK910" s="16">
        <f t="shared" si="1195"/>
        <v>0</v>
      </c>
      <c r="AL910" s="16">
        <f t="shared" si="1195"/>
        <v>0</v>
      </c>
      <c r="AM910" s="16">
        <f t="shared" si="1195"/>
        <v>0</v>
      </c>
      <c r="AN910" s="16">
        <f t="shared" si="1195"/>
        <v>0</v>
      </c>
      <c r="AO910" s="16">
        <f t="shared" si="1195"/>
        <v>0</v>
      </c>
      <c r="AP910" s="10"/>
      <c r="AQ910" s="10"/>
      <c r="AR910" s="10"/>
      <c r="AS910" s="10" t="str">
        <f t="shared" ref="AS910" ca="1" si="1196">IFERROR(__xludf.DUMMYFUNCTION("split(F878,"","",true,true)"),"ISAI")</f>
        <v>ISAI</v>
      </c>
      <c r="AT910" s="10" t="str">
        <f ca="1">IFERROR(__xludf.DUMMYFUNCTION("""COMPUTED_VALUE""")," Oikocredit International")</f>
        <v xml:space="preserve"> Oikocredit International</v>
      </c>
      <c r="AU910" s="10" t="str">
        <f ca="1">IFERROR(__xludf.DUMMYFUNCTION("""COMPUTED_VALUE""")," ResponsAbility")</f>
        <v xml:space="preserve"> ResponsAbility</v>
      </c>
      <c r="AV910" s="10"/>
      <c r="AW910" s="10"/>
      <c r="AX910" s="10"/>
      <c r="AY910" s="10"/>
      <c r="AZ910" s="10"/>
      <c r="BA910" s="10"/>
      <c r="BB910" s="10"/>
      <c r="BC910" s="10"/>
      <c r="BD910" s="10"/>
      <c r="BE910" s="10"/>
      <c r="BF910" s="10"/>
      <c r="BG910" s="10"/>
      <c r="BH910" s="10"/>
      <c r="BI910" s="10"/>
      <c r="BJ910" s="10"/>
      <c r="BK910" s="10"/>
      <c r="BM910" s="10"/>
    </row>
    <row r="911" spans="1:65" ht="12.75">
      <c r="A911" s="18">
        <v>43473</v>
      </c>
      <c r="B911" s="14" t="s">
        <v>1942</v>
      </c>
      <c r="C911" s="19">
        <v>20000</v>
      </c>
      <c r="D911" s="19"/>
      <c r="E911" s="14" t="s">
        <v>45</v>
      </c>
      <c r="F911" s="14" t="s">
        <v>1943</v>
      </c>
      <c r="G911" s="21" t="s">
        <v>1944</v>
      </c>
      <c r="H911" s="14" t="str">
        <f t="array" ref="H911">IFERROR(INDEX([1]Companies!$G:$G,MATCH(B911,[1]Companies!$A:$A,0)),"")</f>
        <v>Egypt</v>
      </c>
      <c r="I911" s="14" t="str">
        <f t="shared" si="1155"/>
        <v>Egypt</v>
      </c>
      <c r="J911" s="14" t="str">
        <f t="array" ref="J911">IFERROR(INDEX([1]Companies!$Y:$Y,MATCH(B911,[1]Companies!$A:$A,0)),"")</f>
        <v>Advertising, Brand Marketing, Consulting, Digital Media, Education, Information Technology, Internet, News, Public Relations, Publishing</v>
      </c>
      <c r="K911" s="14" t="str">
        <f t="array" ref="K911">IFERROR(INDEX([1]Companies!$X:$X,MATCH(B911,[1]Companies!$A:$A,0)),"")</f>
        <v>Media &amp; Entertainment</v>
      </c>
      <c r="L911" s="14" t="str">
        <f>VLOOKUP(B911,[1]Companies!$A$1:$C$5243,1,FALSE)</f>
        <v>Digital Boom</v>
      </c>
      <c r="M911" s="15">
        <f t="shared" si="1156"/>
        <v>0.9</v>
      </c>
      <c r="N911" s="10" t="str">
        <f t="shared" si="1157"/>
        <v>43473Digital Boom20000</v>
      </c>
      <c r="O911" s="14" t="str">
        <f t="shared" si="1158"/>
        <v/>
      </c>
      <c r="P911" s="14">
        <f t="shared" si="1159"/>
        <v>1</v>
      </c>
      <c r="Q911" s="14">
        <f t="array" ref="Q911">IFERROR(INDEX([1]Companies!$D:$D,MATCH(B911,[1]Companies!$A:$A,0)),"")</f>
        <v>2014</v>
      </c>
      <c r="R911" s="17">
        <f t="shared" si="1160"/>
        <v>20000</v>
      </c>
      <c r="S911" s="14">
        <f>VLOOKUP(I911,[1]Lookups!$V$3:$Y$197,4,FALSE)</f>
        <v>0</v>
      </c>
      <c r="T911" s="14" t="str">
        <f>VLOOKUP(E911,[1]Lookups!$H$3:$I$71,2,FALSE)</f>
        <v>2. Seed</v>
      </c>
      <c r="U911" s="14" t="str">
        <f>VLOOKUP(K911,[1]Lookups!$B$3:$C$142,2,FALSE)</f>
        <v>Media &amp; Entertainment</v>
      </c>
      <c r="V911" s="14">
        <f t="shared" si="921"/>
        <v>2019</v>
      </c>
      <c r="W911" s="14">
        <f t="shared" si="922"/>
        <v>1</v>
      </c>
      <c r="X911" s="14">
        <f>VLOOKUP(W911,[1]Lookups!$P$3:$S$15,2,FALSE)</f>
        <v>1</v>
      </c>
      <c r="Y911" s="16">
        <f>VLOOKUP(W911,[1]Lookups!$P$3:$U$15,3,FALSE)</f>
        <v>1</v>
      </c>
      <c r="Z911" s="16">
        <f t="shared" si="923"/>
        <v>1</v>
      </c>
      <c r="AA911" s="16" t="str">
        <f t="shared" ca="1" si="1195"/>
        <v>ISAI</v>
      </c>
      <c r="AB911" s="16">
        <f t="shared" si="1195"/>
        <v>0</v>
      </c>
      <c r="AC911" s="16">
        <f t="shared" si="1195"/>
        <v>0</v>
      </c>
      <c r="AD911" s="16">
        <f t="shared" si="1195"/>
        <v>0</v>
      </c>
      <c r="AE911" s="16">
        <f t="shared" si="1195"/>
        <v>0</v>
      </c>
      <c r="AF911" s="16">
        <f t="shared" si="1195"/>
        <v>0</v>
      </c>
      <c r="AG911" s="16">
        <f t="shared" si="1195"/>
        <v>0</v>
      </c>
      <c r="AH911" s="16">
        <f t="shared" si="1195"/>
        <v>0</v>
      </c>
      <c r="AI911" s="16">
        <f t="shared" si="1195"/>
        <v>0</v>
      </c>
      <c r="AJ911" s="16">
        <f t="shared" si="1195"/>
        <v>0</v>
      </c>
      <c r="AK911" s="16">
        <f t="shared" si="1195"/>
        <v>0</v>
      </c>
      <c r="AL911" s="16">
        <f t="shared" si="1195"/>
        <v>0</v>
      </c>
      <c r="AM911" s="16">
        <f t="shared" si="1195"/>
        <v>0</v>
      </c>
      <c r="AN911" s="16">
        <f t="shared" si="1195"/>
        <v>0</v>
      </c>
      <c r="AO911" s="16">
        <f t="shared" si="1195"/>
        <v>0</v>
      </c>
      <c r="AP911" s="10"/>
      <c r="AQ911" s="10"/>
      <c r="AR911" s="10"/>
      <c r="AS911" s="10" t="str">
        <f t="shared" ref="AS911" ca="1" si="1197">IFERROR(__xludf.DUMMYFUNCTION("split(F878,"","",true,true)"),"ISAI")</f>
        <v>ISAI</v>
      </c>
      <c r="AT911" s="10"/>
      <c r="AU911" s="10"/>
      <c r="AV911" s="10"/>
      <c r="AW911" s="10"/>
      <c r="AX911" s="10"/>
      <c r="AY911" s="10"/>
      <c r="AZ911" s="10"/>
      <c r="BA911" s="10"/>
      <c r="BB911" s="10"/>
      <c r="BC911" s="10"/>
      <c r="BD911" s="10"/>
      <c r="BE911" s="10"/>
      <c r="BF911" s="10"/>
      <c r="BG911" s="10"/>
      <c r="BH911" s="10"/>
      <c r="BI911" s="10"/>
      <c r="BJ911" s="10"/>
      <c r="BK911" s="10"/>
      <c r="BM911" s="10"/>
    </row>
    <row r="912" spans="1:65" ht="12.75">
      <c r="A912" s="18">
        <v>43475</v>
      </c>
      <c r="B912" s="14" t="s">
        <v>1945</v>
      </c>
      <c r="C912" s="19" t="s">
        <v>49</v>
      </c>
      <c r="D912" s="22"/>
      <c r="E912" s="14" t="s">
        <v>51</v>
      </c>
      <c r="F912" s="14" t="s">
        <v>1946</v>
      </c>
      <c r="G912" s="21" t="s">
        <v>1947</v>
      </c>
      <c r="H912" s="14" t="str">
        <f t="array" ref="H912">IFERROR(INDEX([1]Companies!$G:$G,MATCH(B912,[1]Companies!$A:$A,0)),"")</f>
        <v>Kenya</v>
      </c>
      <c r="I912" s="14" t="str">
        <f t="shared" si="1155"/>
        <v>Kenya</v>
      </c>
      <c r="J912" s="14" t="str">
        <f t="array" ref="J912">IFERROR(INDEX([1]Companies!$Y:$Y,MATCH(B912,[1]Companies!$A:$A,0)),"")</f>
        <v>Banking, Financial Services, FinTech</v>
      </c>
      <c r="K912" s="14" t="str">
        <f t="array" ref="K912">IFERROR(INDEX([1]Companies!$X:$X,MATCH(B912,[1]Companies!$A:$A,0)),"")</f>
        <v>Financial Services</v>
      </c>
      <c r="L912" s="14" t="str">
        <f>VLOOKUP(B912,[1]Companies!$A$1:$C$5243,1,FALSE)</f>
        <v>Musoni</v>
      </c>
      <c r="M912" s="15">
        <f t="shared" si="1156"/>
        <v>0.9</v>
      </c>
      <c r="N912" s="10" t="str">
        <f t="shared" si="1157"/>
        <v>43475MusoniUndisclosed</v>
      </c>
      <c r="O912" s="14" t="str">
        <f t="shared" si="1158"/>
        <v/>
      </c>
      <c r="P912" s="14">
        <f t="shared" si="1159"/>
        <v>0</v>
      </c>
      <c r="Q912" s="14">
        <f t="array" ref="Q912">IFERROR(INDEX([1]Companies!$D:$D,MATCH(B912,[1]Companies!$A:$A,0)),"")</f>
        <v>2013</v>
      </c>
      <c r="R912" s="17">
        <f t="shared" si="1160"/>
        <v>0</v>
      </c>
      <c r="S912" s="14">
        <f>VLOOKUP(I912,[1]Lookups!$V$3:$Y$197,4,FALSE)</f>
        <v>0</v>
      </c>
      <c r="T912" s="14" t="str">
        <f>VLOOKUP(E912,[1]Lookups!$H$3:$I$71,2,FALSE)</f>
        <v>6. Private Equity</v>
      </c>
      <c r="U912" s="14" t="str">
        <f>VLOOKUP(K912,[1]Lookups!$B$3:$C$142,2,FALSE)</f>
        <v>Financial Services</v>
      </c>
      <c r="V912" s="14">
        <f t="shared" si="921"/>
        <v>2019</v>
      </c>
      <c r="W912" s="14">
        <f t="shared" si="922"/>
        <v>1</v>
      </c>
      <c r="X912" s="14">
        <f>VLOOKUP(W912,[1]Lookups!$P$3:$S$15,2,FALSE)</f>
        <v>1</v>
      </c>
      <c r="Y912" s="16">
        <f>VLOOKUP(W912,[1]Lookups!$P$3:$U$15,3,FALSE)</f>
        <v>1</v>
      </c>
      <c r="Z912" s="16">
        <f t="shared" si="923"/>
        <v>1</v>
      </c>
      <c r="AA912" s="16" t="str">
        <f t="shared" ca="1" si="1195"/>
        <v>ISAI</v>
      </c>
      <c r="AB912" s="16">
        <f t="shared" si="1195"/>
        <v>0</v>
      </c>
      <c r="AC912" s="16">
        <f t="shared" si="1195"/>
        <v>0</v>
      </c>
      <c r="AD912" s="16">
        <f t="shared" si="1195"/>
        <v>0</v>
      </c>
      <c r="AE912" s="16">
        <f t="shared" si="1195"/>
        <v>0</v>
      </c>
      <c r="AF912" s="16">
        <f t="shared" si="1195"/>
        <v>0</v>
      </c>
      <c r="AG912" s="16">
        <f t="shared" si="1195"/>
        <v>0</v>
      </c>
      <c r="AH912" s="16">
        <f t="shared" si="1195"/>
        <v>0</v>
      </c>
      <c r="AI912" s="16">
        <f t="shared" si="1195"/>
        <v>0</v>
      </c>
      <c r="AJ912" s="16">
        <f t="shared" si="1195"/>
        <v>0</v>
      </c>
      <c r="AK912" s="16">
        <f t="shared" si="1195"/>
        <v>0</v>
      </c>
      <c r="AL912" s="16">
        <f t="shared" si="1195"/>
        <v>0</v>
      </c>
      <c r="AM912" s="16">
        <f t="shared" si="1195"/>
        <v>0</v>
      </c>
      <c r="AN912" s="16">
        <f t="shared" si="1195"/>
        <v>0</v>
      </c>
      <c r="AO912" s="16">
        <f t="shared" si="1195"/>
        <v>0</v>
      </c>
      <c r="AP912" s="10"/>
      <c r="AQ912" s="10"/>
      <c r="AR912" s="10"/>
      <c r="AS912" s="10" t="str">
        <f t="shared" ref="AS912" ca="1" si="1198">IFERROR(__xludf.DUMMYFUNCTION("split(F878,"","",true,true)"),"ISAI")</f>
        <v>ISAI</v>
      </c>
      <c r="AT912" s="10"/>
      <c r="AU912" s="10"/>
      <c r="AV912" s="10"/>
      <c r="AW912" s="10"/>
      <c r="AX912" s="10"/>
      <c r="AY912" s="10"/>
      <c r="AZ912" s="10"/>
      <c r="BA912" s="10"/>
      <c r="BB912" s="10"/>
      <c r="BC912" s="10"/>
      <c r="BD912" s="10"/>
      <c r="BE912" s="10"/>
      <c r="BF912" s="10"/>
      <c r="BG912" s="10"/>
      <c r="BH912" s="10"/>
      <c r="BI912" s="10"/>
      <c r="BJ912" s="10"/>
      <c r="BK912" s="10"/>
      <c r="BM912" s="10"/>
    </row>
    <row r="913" spans="1:65" ht="12.75">
      <c r="A913" s="18">
        <v>43475</v>
      </c>
      <c r="B913" s="14" t="s">
        <v>312</v>
      </c>
      <c r="C913" s="19">
        <v>1850000</v>
      </c>
      <c r="D913" s="19"/>
      <c r="E913" s="14" t="s">
        <v>69</v>
      </c>
      <c r="F913" s="14" t="s">
        <v>1948</v>
      </c>
      <c r="G913" s="21" t="s">
        <v>1949</v>
      </c>
      <c r="H913" s="14" t="str">
        <f t="array" ref="H913">IFERROR(INDEX([1]Companies!$G:$G,MATCH(B913,[1]Companies!$A:$A,0)),"")</f>
        <v>South Africa</v>
      </c>
      <c r="I913" s="14" t="str">
        <f t="shared" si="1155"/>
        <v>South Africa</v>
      </c>
      <c r="J913" s="14" t="str">
        <f t="array" ref="J913">IFERROR(INDEX([1]Companies!$Y:$Y,MATCH(B913,[1]Companies!$A:$A,0)),"")</f>
        <v>Public Transport Data, Professional Services</v>
      </c>
      <c r="K913" s="14" t="str">
        <f t="array" ref="K913">IFERROR(INDEX([1]Companies!$X:$X,MATCH(B913,[1]Companies!$A:$A,0)),"")</f>
        <v>Transport &amp; Logistics</v>
      </c>
      <c r="L913" s="14" t="str">
        <f>VLOOKUP(B913,[1]Companies!$A$1:$C$5243,1,FALSE)</f>
        <v>WhereIsMyTransport</v>
      </c>
      <c r="M913" s="15">
        <f t="shared" si="1156"/>
        <v>0.9</v>
      </c>
      <c r="N913" s="10" t="str">
        <f t="shared" si="1157"/>
        <v>43475WhereIsMyTransport1850000</v>
      </c>
      <c r="O913" s="14" t="str">
        <f t="shared" si="1158"/>
        <v/>
      </c>
      <c r="P913" s="14">
        <f t="shared" si="1159"/>
        <v>1</v>
      </c>
      <c r="Q913" s="14">
        <f t="array" ref="Q913">IFERROR(INDEX([1]Companies!$D:$D,MATCH(B913,[1]Companies!$A:$A,0)),"")</f>
        <v>2015</v>
      </c>
      <c r="R913" s="17">
        <f t="shared" si="1160"/>
        <v>5770000</v>
      </c>
      <c r="S913" s="14">
        <f>VLOOKUP(I913,[1]Lookups!$V$3:$Y$197,4,FALSE)</f>
        <v>0</v>
      </c>
      <c r="T913" s="14" t="str">
        <f>VLOOKUP(E913,[1]Lookups!$H$3:$I$71,2,FALSE)</f>
        <v>3. Early Venture</v>
      </c>
      <c r="U913" s="14" t="str">
        <f>VLOOKUP(K913,[1]Lookups!$B$3:$C$142,2,FALSE)</f>
        <v>Transport &amp; Logistics</v>
      </c>
      <c r="V913" s="14">
        <f t="shared" si="921"/>
        <v>2019</v>
      </c>
      <c r="W913" s="14">
        <f t="shared" si="922"/>
        <v>1</v>
      </c>
      <c r="X913" s="14">
        <f>VLOOKUP(W913,[1]Lookups!$P$3:$S$15,2,FALSE)</f>
        <v>1</v>
      </c>
      <c r="Y913" s="16">
        <f>VLOOKUP(W913,[1]Lookups!$P$3:$U$15,3,FALSE)</f>
        <v>1</v>
      </c>
      <c r="Z913" s="16">
        <f t="shared" si="923"/>
        <v>2</v>
      </c>
      <c r="AA913" s="16" t="str">
        <f t="shared" ca="1" si="1195"/>
        <v>ISAI</v>
      </c>
      <c r="AB913" s="16" t="str">
        <f t="shared" ca="1" si="1195"/>
        <v xml:space="preserve"> Liil Ventures</v>
      </c>
      <c r="AC913" s="16">
        <f t="shared" si="1195"/>
        <v>0</v>
      </c>
      <c r="AD913" s="16">
        <f t="shared" si="1195"/>
        <v>0</v>
      </c>
      <c r="AE913" s="16">
        <f t="shared" si="1195"/>
        <v>0</v>
      </c>
      <c r="AF913" s="16">
        <f t="shared" si="1195"/>
        <v>0</v>
      </c>
      <c r="AG913" s="16">
        <f t="shared" si="1195"/>
        <v>0</v>
      </c>
      <c r="AH913" s="16">
        <f t="shared" si="1195"/>
        <v>0</v>
      </c>
      <c r="AI913" s="16">
        <f t="shared" si="1195"/>
        <v>0</v>
      </c>
      <c r="AJ913" s="16">
        <f t="shared" si="1195"/>
        <v>0</v>
      </c>
      <c r="AK913" s="16">
        <f t="shared" si="1195"/>
        <v>0</v>
      </c>
      <c r="AL913" s="16">
        <f t="shared" si="1195"/>
        <v>0</v>
      </c>
      <c r="AM913" s="16">
        <f t="shared" si="1195"/>
        <v>0</v>
      </c>
      <c r="AN913" s="16">
        <f t="shared" si="1195"/>
        <v>0</v>
      </c>
      <c r="AO913" s="16">
        <f t="shared" si="1195"/>
        <v>0</v>
      </c>
      <c r="AP913" s="10"/>
      <c r="AQ913" s="10"/>
      <c r="AR913" s="10"/>
      <c r="AS913" s="10" t="str">
        <f t="shared" ref="AS913" ca="1" si="1199">IFERROR(__xludf.DUMMYFUNCTION("split(F878,"","",true,true)"),"ISAI")</f>
        <v>ISAI</v>
      </c>
      <c r="AT913" s="10" t="str">
        <f ca="1">IFERROR(__xludf.DUMMYFUNCTION("""COMPUTED_VALUE""")," Liil Ventures")</f>
        <v xml:space="preserve"> Liil Ventures</v>
      </c>
      <c r="AU913" s="10"/>
      <c r="AV913" s="10"/>
      <c r="AW913" s="10"/>
      <c r="AX913" s="10"/>
      <c r="AY913" s="10"/>
      <c r="AZ913" s="10"/>
      <c r="BA913" s="10"/>
      <c r="BB913" s="10"/>
      <c r="BC913" s="10"/>
      <c r="BD913" s="10"/>
      <c r="BE913" s="10"/>
      <c r="BF913" s="10"/>
      <c r="BG913" s="10"/>
      <c r="BH913" s="10"/>
      <c r="BI913" s="10"/>
      <c r="BJ913" s="10"/>
      <c r="BK913" s="10"/>
      <c r="BM913" s="10"/>
    </row>
    <row r="914" spans="1:65" ht="12.75">
      <c r="A914" s="18">
        <v>43479</v>
      </c>
      <c r="B914" s="14" t="s">
        <v>1950</v>
      </c>
      <c r="C914" s="19">
        <v>31000000</v>
      </c>
      <c r="D914" s="19"/>
      <c r="E914" s="14" t="s">
        <v>51</v>
      </c>
      <c r="F914" s="14" t="s">
        <v>1951</v>
      </c>
      <c r="G914" s="21" t="s">
        <v>1952</v>
      </c>
      <c r="H914" s="14" t="str">
        <f t="array" ref="H914">IFERROR(INDEX([1]Companies!$G:$G,MATCH(B914,[1]Companies!$A:$A,0)),"")</f>
        <v>United Kingdom</v>
      </c>
      <c r="I914" s="14" t="str">
        <f t="shared" si="1155"/>
        <v>United Kingdom</v>
      </c>
      <c r="J914" s="14" t="str">
        <f t="array" ref="J914">IFERROR(INDEX([1]Companies!$Y:$Y,MATCH(B914,[1]Companies!$A:$A,0)),"")</f>
        <v>Electrical Distribution, Energy, Energy Management, Manufacturing, Product Design, Renewable Energy, Solar</v>
      </c>
      <c r="K914" s="14" t="str">
        <f t="array" ref="K914">IFERROR(INDEX([1]Companies!$X:$X,MATCH(B914,[1]Companies!$A:$A,0)),"")</f>
        <v>Energy &amp; Environment Resources</v>
      </c>
      <c r="L914" s="14" t="str">
        <f>VLOOKUP(B914,[1]Companies!$A$1:$C$5243,1,FALSE)</f>
        <v>Bboxx</v>
      </c>
      <c r="M914" s="15">
        <f t="shared" si="1156"/>
        <v>0.9</v>
      </c>
      <c r="N914" s="10" t="str">
        <f t="shared" si="1157"/>
        <v>43479Bboxx31000000</v>
      </c>
      <c r="O914" s="14" t="str">
        <f t="shared" si="1158"/>
        <v/>
      </c>
      <c r="P914" s="14">
        <f t="shared" si="1159"/>
        <v>1</v>
      </c>
      <c r="Q914" s="14">
        <f t="array" ref="Q914">IFERROR(INDEX([1]Companies!$D:$D,MATCH(B914,[1]Companies!$A:$A,0)),"")</f>
        <v>2010</v>
      </c>
      <c r="R914" s="17">
        <f t="shared" si="1160"/>
        <v>120700000</v>
      </c>
      <c r="S914" s="14">
        <f>VLOOKUP(I914,[1]Lookups!$V$3:$Y$197,4,FALSE)</f>
        <v>1</v>
      </c>
      <c r="T914" s="14" t="str">
        <f>VLOOKUP(E914,[1]Lookups!$H$3:$I$71,2,FALSE)</f>
        <v>6. Private Equity</v>
      </c>
      <c r="U914" s="14" t="e">
        <f>VLOOKUP(K914,[1]Lookups!$B$3:$C$142,2,FALSE)</f>
        <v>#N/A</v>
      </c>
      <c r="V914" s="14">
        <f t="shared" si="921"/>
        <v>2019</v>
      </c>
      <c r="W914" s="14">
        <f t="shared" si="922"/>
        <v>1</v>
      </c>
      <c r="X914" s="14">
        <f>VLOOKUP(W914,[1]Lookups!$P$3:$S$15,2,FALSE)</f>
        <v>1</v>
      </c>
      <c r="Y914" s="16">
        <f>VLOOKUP(W914,[1]Lookups!$P$3:$U$15,3,FALSE)</f>
        <v>1</v>
      </c>
      <c r="Z914" s="16">
        <f t="shared" si="923"/>
        <v>1</v>
      </c>
      <c r="AA914" s="16" t="str">
        <f t="shared" ca="1" si="1195"/>
        <v>ISAI</v>
      </c>
      <c r="AB914" s="16">
        <f t="shared" si="1195"/>
        <v>0</v>
      </c>
      <c r="AC914" s="16">
        <f t="shared" si="1195"/>
        <v>0</v>
      </c>
      <c r="AD914" s="16">
        <f t="shared" si="1195"/>
        <v>0</v>
      </c>
      <c r="AE914" s="16">
        <f t="shared" si="1195"/>
        <v>0</v>
      </c>
      <c r="AF914" s="16">
        <f t="shared" si="1195"/>
        <v>0</v>
      </c>
      <c r="AG914" s="16">
        <f t="shared" si="1195"/>
        <v>0</v>
      </c>
      <c r="AH914" s="16">
        <f t="shared" si="1195"/>
        <v>0</v>
      </c>
      <c r="AI914" s="16">
        <f t="shared" si="1195"/>
        <v>0</v>
      </c>
      <c r="AJ914" s="16">
        <f t="shared" si="1195"/>
        <v>0</v>
      </c>
      <c r="AK914" s="16">
        <f t="shared" si="1195"/>
        <v>0</v>
      </c>
      <c r="AL914" s="16">
        <f t="shared" si="1195"/>
        <v>0</v>
      </c>
      <c r="AM914" s="16">
        <f t="shared" si="1195"/>
        <v>0</v>
      </c>
      <c r="AN914" s="16">
        <f t="shared" si="1195"/>
        <v>0</v>
      </c>
      <c r="AO914" s="16">
        <f t="shared" si="1195"/>
        <v>0</v>
      </c>
      <c r="AP914" s="10"/>
      <c r="AQ914" s="10"/>
      <c r="AR914" s="10"/>
      <c r="AS914" s="10" t="str">
        <f t="shared" ref="AS914" ca="1" si="1200">IFERROR(__xludf.DUMMYFUNCTION("split(F878,"","",true,true)"),"ISAI")</f>
        <v>ISAI</v>
      </c>
      <c r="AT914" s="10"/>
      <c r="AU914" s="10"/>
      <c r="AV914" s="10"/>
      <c r="AW914" s="10"/>
      <c r="AX914" s="10"/>
      <c r="AY914" s="10"/>
      <c r="AZ914" s="10"/>
      <c r="BA914" s="10"/>
      <c r="BB914" s="10"/>
      <c r="BC914" s="10"/>
      <c r="BD914" s="10"/>
      <c r="BE914" s="10"/>
      <c r="BF914" s="10"/>
      <c r="BG914" s="10"/>
      <c r="BH914" s="10"/>
      <c r="BI914" s="10"/>
      <c r="BJ914" s="10"/>
      <c r="BK914" s="10"/>
      <c r="BM914" s="10"/>
    </row>
    <row r="915" spans="1:65" ht="12.75">
      <c r="A915" s="18">
        <v>43479</v>
      </c>
      <c r="B915" s="14" t="s">
        <v>617</v>
      </c>
      <c r="C915" s="19">
        <v>550000</v>
      </c>
      <c r="D915" s="19"/>
      <c r="E915" s="14" t="s">
        <v>45</v>
      </c>
      <c r="F915" s="14" t="s">
        <v>952</v>
      </c>
      <c r="G915" s="21" t="s">
        <v>1953</v>
      </c>
      <c r="H915" s="14" t="str">
        <f t="array" ref="H915">IFERROR(INDEX([1]Companies!$G:$G,MATCH(B915,[1]Companies!$A:$A,0)),"")</f>
        <v>Ivory Coast</v>
      </c>
      <c r="I915" s="14" t="str">
        <f t="shared" si="1155"/>
        <v>Ivory Coast</v>
      </c>
      <c r="J915" s="14" t="str">
        <f t="array" ref="J915">IFERROR(INDEX([1]Companies!$Y:$Y,MATCH(B915,[1]Companies!$A:$A,0)),"")</f>
        <v>Art, E-Commerce, Fashion, Handmade</v>
      </c>
      <c r="K915" s="14" t="str">
        <f t="array" ref="K915">IFERROR(INDEX([1]Companies!$X:$X,MATCH(B915,[1]Companies!$A:$A,0)),"")</f>
        <v>E-Commerce &amp; Retail</v>
      </c>
      <c r="L915" s="14" t="str">
        <f>VLOOKUP(B915,[1]Companies!$A$1:$C$5243,1,FALSE)</f>
        <v>Afrikrea</v>
      </c>
      <c r="M915" s="15">
        <f t="shared" si="1156"/>
        <v>0.9</v>
      </c>
      <c r="N915" s="10" t="str">
        <f t="shared" si="1157"/>
        <v>43479Afrikrea550000</v>
      </c>
      <c r="O915" s="14" t="str">
        <f t="shared" si="1158"/>
        <v/>
      </c>
      <c r="P915" s="14">
        <f t="shared" si="1159"/>
        <v>1</v>
      </c>
      <c r="Q915" s="14">
        <f t="array" ref="Q915">IFERROR(INDEX([1]Companies!$D:$D,MATCH(B915,[1]Companies!$A:$A,0)),"")</f>
        <v>2012</v>
      </c>
      <c r="R915" s="17">
        <f t="shared" si="1160"/>
        <v>1069000</v>
      </c>
      <c r="S915" s="14">
        <f>VLOOKUP(I915,[1]Lookups!$V$3:$Y$197,4,FALSE)</f>
        <v>0</v>
      </c>
      <c r="T915" s="14" t="str">
        <f>VLOOKUP(E915,[1]Lookups!$H$3:$I$71,2,FALSE)</f>
        <v>2. Seed</v>
      </c>
      <c r="U915" s="14" t="str">
        <f>VLOOKUP(K915,[1]Lookups!$B$3:$C$142,2,FALSE)</f>
        <v>E-commerce &amp; Retail</v>
      </c>
      <c r="V915" s="14">
        <f t="shared" si="921"/>
        <v>2019</v>
      </c>
      <c r="W915" s="14">
        <f t="shared" si="922"/>
        <v>1</v>
      </c>
      <c r="X915" s="14">
        <f>VLOOKUP(W915,[1]Lookups!$P$3:$S$15,2,FALSE)</f>
        <v>1</v>
      </c>
      <c r="Y915" s="16">
        <f>VLOOKUP(W915,[1]Lookups!$P$3:$U$15,3,FALSE)</f>
        <v>1</v>
      </c>
      <c r="Z915" s="16">
        <f t="shared" si="923"/>
        <v>1</v>
      </c>
      <c r="AA915" s="16" t="str">
        <f t="shared" ca="1" si="1195"/>
        <v>ISAI</v>
      </c>
      <c r="AB915" s="16">
        <f t="shared" si="1195"/>
        <v>0</v>
      </c>
      <c r="AC915" s="16">
        <f t="shared" si="1195"/>
        <v>0</v>
      </c>
      <c r="AD915" s="16">
        <f t="shared" si="1195"/>
        <v>0</v>
      </c>
      <c r="AE915" s="16">
        <f t="shared" si="1195"/>
        <v>0</v>
      </c>
      <c r="AF915" s="16">
        <f t="shared" si="1195"/>
        <v>0</v>
      </c>
      <c r="AG915" s="16">
        <f t="shared" si="1195"/>
        <v>0</v>
      </c>
      <c r="AH915" s="16">
        <f t="shared" si="1195"/>
        <v>0</v>
      </c>
      <c r="AI915" s="16">
        <f t="shared" si="1195"/>
        <v>0</v>
      </c>
      <c r="AJ915" s="16">
        <f t="shared" si="1195"/>
        <v>0</v>
      </c>
      <c r="AK915" s="16">
        <f t="shared" si="1195"/>
        <v>0</v>
      </c>
      <c r="AL915" s="16">
        <f t="shared" si="1195"/>
        <v>0</v>
      </c>
      <c r="AM915" s="16">
        <f t="shared" si="1195"/>
        <v>0</v>
      </c>
      <c r="AN915" s="16">
        <f t="shared" si="1195"/>
        <v>0</v>
      </c>
      <c r="AO915" s="16">
        <f t="shared" si="1195"/>
        <v>0</v>
      </c>
      <c r="AP915" s="10"/>
      <c r="AQ915" s="10"/>
      <c r="AR915" s="10"/>
      <c r="AS915" s="10" t="str">
        <f t="shared" ref="AS915" ca="1" si="1201">IFERROR(__xludf.DUMMYFUNCTION("split(F878,"","",true,true)"),"ISAI")</f>
        <v>ISAI</v>
      </c>
      <c r="AT915" s="10"/>
      <c r="AU915" s="10"/>
      <c r="AV915" s="10"/>
      <c r="AW915" s="10"/>
      <c r="AX915" s="10"/>
      <c r="AY915" s="10"/>
      <c r="AZ915" s="10"/>
      <c r="BA915" s="10"/>
      <c r="BB915" s="10"/>
      <c r="BC915" s="10"/>
      <c r="BD915" s="10"/>
      <c r="BE915" s="10"/>
      <c r="BF915" s="10"/>
      <c r="BG915" s="10"/>
      <c r="BH915" s="10"/>
      <c r="BI915" s="10"/>
      <c r="BJ915" s="10"/>
      <c r="BK915" s="10"/>
      <c r="BM915" s="10"/>
    </row>
    <row r="916" spans="1:65" ht="12.75">
      <c r="A916" s="18">
        <v>43480</v>
      </c>
      <c r="B916" s="14" t="s">
        <v>951</v>
      </c>
      <c r="C916" s="19">
        <v>470000</v>
      </c>
      <c r="D916" s="19"/>
      <c r="E916" s="14" t="s">
        <v>45</v>
      </c>
      <c r="F916" s="14" t="s">
        <v>952</v>
      </c>
      <c r="G916" s="21" t="s">
        <v>1954</v>
      </c>
      <c r="H916" s="14" t="str">
        <f t="array" ref="H916">IFERROR(INDEX([1]Companies!$G:$G,MATCH(B916,[1]Companies!$A:$A,0)),"")</f>
        <v>Ivory Coast</v>
      </c>
      <c r="I916" s="14" t="str">
        <f t="shared" si="1155"/>
        <v>Ivory Coast</v>
      </c>
      <c r="J916" s="14" t="str">
        <f t="array" ref="J916">IFERROR(INDEX([1]Companies!$Y:$Y,MATCH(B916,[1]Companies!$A:$A,0)),"")</f>
        <v>E-Commerce, Internet, Transportation</v>
      </c>
      <c r="K916" s="14" t="str">
        <f t="array" ref="K916">IFERROR(INDEX([1]Companies!$X:$X,MATCH(B916,[1]Companies!$A:$A,0)),"")</f>
        <v>Transport &amp; Logistics</v>
      </c>
      <c r="L916" s="14" t="str">
        <f>VLOOKUP(B916,[1]Companies!$A$1:$C$5243,1,FALSE)</f>
        <v xml:space="preserve">Kamtar </v>
      </c>
      <c r="M916" s="15">
        <f t="shared" si="1156"/>
        <v>0.9</v>
      </c>
      <c r="N916" s="10" t="str">
        <f t="shared" si="1157"/>
        <v>43480Kamtar 470000</v>
      </c>
      <c r="O916" s="14" t="str">
        <f t="shared" si="1158"/>
        <v/>
      </c>
      <c r="P916" s="14">
        <f t="shared" si="1159"/>
        <v>1</v>
      </c>
      <c r="Q916" s="14">
        <f t="array" ref="Q916">IFERROR(INDEX([1]Companies!$D:$D,MATCH(B916,[1]Companies!$A:$A,0)),"")</f>
        <v>2018</v>
      </c>
      <c r="R916" s="17">
        <f t="shared" si="1160"/>
        <v>697000</v>
      </c>
      <c r="S916" s="14">
        <f>VLOOKUP(I916,[1]Lookups!$V$3:$Y$197,4,FALSE)</f>
        <v>0</v>
      </c>
      <c r="T916" s="14" t="str">
        <f>VLOOKUP(E916,[1]Lookups!$H$3:$I$71,2,FALSE)</f>
        <v>2. Seed</v>
      </c>
      <c r="U916" s="14" t="str">
        <f>VLOOKUP(K916,[1]Lookups!$B$3:$C$142,2,FALSE)</f>
        <v>Transport &amp; Logistics</v>
      </c>
      <c r="V916" s="14">
        <f t="shared" si="921"/>
        <v>2019</v>
      </c>
      <c r="W916" s="14">
        <f t="shared" si="922"/>
        <v>1</v>
      </c>
      <c r="X916" s="14">
        <f>VLOOKUP(W916,[1]Lookups!$P$3:$S$15,2,FALSE)</f>
        <v>1</v>
      </c>
      <c r="Y916" s="16">
        <f>VLOOKUP(W916,[1]Lookups!$P$3:$U$15,3,FALSE)</f>
        <v>1</v>
      </c>
      <c r="Z916" s="16">
        <f t="shared" si="923"/>
        <v>1</v>
      </c>
      <c r="AA916" s="16" t="str">
        <f t="shared" ca="1" si="1195"/>
        <v>ISAI</v>
      </c>
      <c r="AB916" s="16">
        <f t="shared" si="1195"/>
        <v>0</v>
      </c>
      <c r="AC916" s="16">
        <f t="shared" si="1195"/>
        <v>0</v>
      </c>
      <c r="AD916" s="16">
        <f t="shared" si="1195"/>
        <v>0</v>
      </c>
      <c r="AE916" s="16">
        <f t="shared" si="1195"/>
        <v>0</v>
      </c>
      <c r="AF916" s="16">
        <f t="shared" si="1195"/>
        <v>0</v>
      </c>
      <c r="AG916" s="16">
        <f t="shared" si="1195"/>
        <v>0</v>
      </c>
      <c r="AH916" s="16">
        <f t="shared" si="1195"/>
        <v>0</v>
      </c>
      <c r="AI916" s="16">
        <f t="shared" si="1195"/>
        <v>0</v>
      </c>
      <c r="AJ916" s="16">
        <f t="shared" si="1195"/>
        <v>0</v>
      </c>
      <c r="AK916" s="16">
        <f t="shared" si="1195"/>
        <v>0</v>
      </c>
      <c r="AL916" s="16">
        <f t="shared" si="1195"/>
        <v>0</v>
      </c>
      <c r="AM916" s="16">
        <f t="shared" si="1195"/>
        <v>0</v>
      </c>
      <c r="AN916" s="16">
        <f t="shared" si="1195"/>
        <v>0</v>
      </c>
      <c r="AO916" s="16">
        <f t="shared" si="1195"/>
        <v>0</v>
      </c>
      <c r="AP916" s="10"/>
      <c r="AQ916" s="10"/>
      <c r="AR916" s="10"/>
      <c r="AS916" s="10" t="str">
        <f t="shared" ref="AS916" ca="1" si="1202">IFERROR(__xludf.DUMMYFUNCTION("split(F878,"","",true,true)"),"ISAI")</f>
        <v>ISAI</v>
      </c>
      <c r="AT916" s="10"/>
      <c r="AU916" s="10"/>
      <c r="AV916" s="10"/>
      <c r="AW916" s="10"/>
      <c r="AX916" s="10"/>
      <c r="AY916" s="10"/>
      <c r="AZ916" s="10"/>
      <c r="BA916" s="10"/>
      <c r="BB916" s="10"/>
      <c r="BC916" s="10"/>
      <c r="BD916" s="10"/>
      <c r="BE916" s="10"/>
      <c r="BF916" s="10"/>
      <c r="BG916" s="10"/>
      <c r="BH916" s="10"/>
      <c r="BI916" s="10"/>
      <c r="BJ916" s="10"/>
      <c r="BK916" s="10"/>
      <c r="BM916" s="10"/>
    </row>
    <row r="917" spans="1:65" ht="12.75">
      <c r="A917" s="18">
        <v>43480</v>
      </c>
      <c r="B917" s="14" t="s">
        <v>1955</v>
      </c>
      <c r="C917" s="19">
        <v>35300</v>
      </c>
      <c r="D917" s="19"/>
      <c r="E917" s="14" t="s">
        <v>45</v>
      </c>
      <c r="F917" s="14" t="s">
        <v>1956</v>
      </c>
      <c r="G917" s="21" t="s">
        <v>1957</v>
      </c>
      <c r="H917" s="14" t="str">
        <f t="array" ref="H917">IFERROR(INDEX([1]Companies!$G:$G,MATCH(B917,[1]Companies!$A:$A,0)),"")</f>
        <v>South Africa</v>
      </c>
      <c r="I917" s="14" t="str">
        <f t="shared" si="1155"/>
        <v>South Africa</v>
      </c>
      <c r="J917" s="14" t="str">
        <f t="array" ref="J917">IFERROR(INDEX([1]Companies!$Y:$Y,MATCH(B917,[1]Companies!$A:$A,0)),"")</f>
        <v>Blockchain, Financial Services, FinTech, Information Technology</v>
      </c>
      <c r="K917" s="14" t="str">
        <f t="array" ref="K917">IFERROR(INDEX([1]Companies!$X:$X,MATCH(B917,[1]Companies!$A:$A,0)),"")</f>
        <v>Financial Services</v>
      </c>
      <c r="L917" s="14" t="str">
        <f>VLOOKUP(B917,[1]Companies!$A$1:$C$5243,1,FALSE)</f>
        <v>Vollar</v>
      </c>
      <c r="M917" s="15">
        <f t="shared" si="1156"/>
        <v>0.9</v>
      </c>
      <c r="N917" s="10" t="str">
        <f t="shared" si="1157"/>
        <v>43480Vollar35300</v>
      </c>
      <c r="O917" s="14" t="str">
        <f t="shared" si="1158"/>
        <v/>
      </c>
      <c r="P917" s="14">
        <f t="shared" si="1159"/>
        <v>1</v>
      </c>
      <c r="Q917" s="14">
        <f t="array" ref="Q917">IFERROR(INDEX([1]Companies!$D:$D,MATCH(B917,[1]Companies!$A:$A,0)),"")</f>
        <v>2018</v>
      </c>
      <c r="R917" s="17">
        <f t="shared" si="1160"/>
        <v>35300</v>
      </c>
      <c r="S917" s="14">
        <f>VLOOKUP(I917,[1]Lookups!$V$3:$Y$197,4,FALSE)</f>
        <v>0</v>
      </c>
      <c r="T917" s="14" t="str">
        <f>VLOOKUP(E917,[1]Lookups!$H$3:$I$71,2,FALSE)</f>
        <v>2. Seed</v>
      </c>
      <c r="U917" s="14" t="str">
        <f>VLOOKUP(K917,[1]Lookups!$B$3:$C$142,2,FALSE)</f>
        <v>Financial Services</v>
      </c>
      <c r="V917" s="14">
        <f t="shared" si="921"/>
        <v>2019</v>
      </c>
      <c r="W917" s="14">
        <f t="shared" si="922"/>
        <v>1</v>
      </c>
      <c r="X917" s="14">
        <f>VLOOKUP(W917,[1]Lookups!$P$3:$S$15,2,FALSE)</f>
        <v>1</v>
      </c>
      <c r="Y917" s="16">
        <f>VLOOKUP(W917,[1]Lookups!$P$3:$U$15,3,FALSE)</f>
        <v>1</v>
      </c>
      <c r="Z917" s="16">
        <f t="shared" si="923"/>
        <v>1</v>
      </c>
      <c r="AA917" s="16" t="str">
        <f t="shared" ca="1" si="1195"/>
        <v>ISAI</v>
      </c>
      <c r="AB917" s="16">
        <f t="shared" si="1195"/>
        <v>0</v>
      </c>
      <c r="AC917" s="16">
        <f t="shared" si="1195"/>
        <v>0</v>
      </c>
      <c r="AD917" s="16">
        <f t="shared" si="1195"/>
        <v>0</v>
      </c>
      <c r="AE917" s="16">
        <f t="shared" si="1195"/>
        <v>0</v>
      </c>
      <c r="AF917" s="16">
        <f t="shared" si="1195"/>
        <v>0</v>
      </c>
      <c r="AG917" s="16">
        <f t="shared" si="1195"/>
        <v>0</v>
      </c>
      <c r="AH917" s="16">
        <f t="shared" si="1195"/>
        <v>0</v>
      </c>
      <c r="AI917" s="16">
        <f t="shared" si="1195"/>
        <v>0</v>
      </c>
      <c r="AJ917" s="16">
        <f t="shared" si="1195"/>
        <v>0</v>
      </c>
      <c r="AK917" s="16">
        <f t="shared" si="1195"/>
        <v>0</v>
      </c>
      <c r="AL917" s="16">
        <f t="shared" si="1195"/>
        <v>0</v>
      </c>
      <c r="AM917" s="16">
        <f t="shared" si="1195"/>
        <v>0</v>
      </c>
      <c r="AN917" s="16">
        <f t="shared" si="1195"/>
        <v>0</v>
      </c>
      <c r="AO917" s="16">
        <f t="shared" si="1195"/>
        <v>0</v>
      </c>
      <c r="AP917" s="10"/>
      <c r="AQ917" s="10"/>
      <c r="AR917" s="10"/>
      <c r="AS917" s="10" t="str">
        <f t="shared" ref="AS917" ca="1" si="1203">IFERROR(__xludf.DUMMYFUNCTION("split(F878,"","",true,true)"),"ISAI")</f>
        <v>ISAI</v>
      </c>
      <c r="AT917" s="10"/>
      <c r="AU917" s="10"/>
      <c r="AV917" s="10"/>
      <c r="AW917" s="10"/>
      <c r="AX917" s="10"/>
      <c r="AY917" s="10"/>
      <c r="AZ917" s="10"/>
      <c r="BA917" s="10"/>
      <c r="BB917" s="10"/>
      <c r="BC917" s="10"/>
      <c r="BD917" s="10"/>
      <c r="BE917" s="10"/>
      <c r="BF917" s="10"/>
      <c r="BG917" s="10"/>
      <c r="BH917" s="10"/>
      <c r="BI917" s="10"/>
      <c r="BJ917" s="10"/>
      <c r="BK917" s="10"/>
      <c r="BM917" s="10"/>
    </row>
    <row r="918" spans="1:65" ht="12.75">
      <c r="A918" s="9">
        <v>43482</v>
      </c>
      <c r="B918" s="10" t="s">
        <v>563</v>
      </c>
      <c r="C918" s="11" t="s">
        <v>49</v>
      </c>
      <c r="D918" s="12"/>
      <c r="E918" s="10" t="s">
        <v>45</v>
      </c>
      <c r="F918" s="10" t="s">
        <v>49</v>
      </c>
      <c r="G918" s="13" t="s">
        <v>1958</v>
      </c>
      <c r="H918" s="14" t="str">
        <f t="array" ref="H918">IFERROR(INDEX([1]Companies!$G:$G,MATCH(B918,[1]Companies!$A:$A,0)),"")</f>
        <v>Ethiopia</v>
      </c>
      <c r="I918" s="14" t="str">
        <f t="shared" si="1155"/>
        <v>Ethiopia</v>
      </c>
      <c r="J918" s="14" t="str">
        <f t="array" ref="J918">IFERROR(INDEX([1]Companies!$Y:$Y,MATCH(B918,[1]Companies!$A:$A,0)),"")</f>
        <v>Apps, Internet, Travel</v>
      </c>
      <c r="K918" s="14" t="str">
        <f t="array" ref="K918">IFERROR(INDEX([1]Companies!$X:$X,MATCH(B918,[1]Companies!$A:$A,0)),"")</f>
        <v>Information Technology</v>
      </c>
      <c r="L918" s="14" t="str">
        <f>VLOOKUP(B918,[1]Companies!$A$1:$C$5243,1,FALSE)</f>
        <v>ZayRide</v>
      </c>
      <c r="M918" s="15">
        <f t="shared" si="1156"/>
        <v>0.9</v>
      </c>
      <c r="N918" s="10" t="str">
        <f t="shared" si="1157"/>
        <v>43482ZayRideUndisclosed</v>
      </c>
      <c r="O918" s="14" t="str">
        <f t="shared" si="1158"/>
        <v/>
      </c>
      <c r="P918" s="14">
        <f t="shared" si="1159"/>
        <v>0</v>
      </c>
      <c r="Q918" s="14">
        <f t="array" ref="Q918">IFERROR(INDEX([1]Companies!$D:$D,MATCH(B918,[1]Companies!$A:$A,0)),"")</f>
        <v>2015</v>
      </c>
      <c r="R918" s="17">
        <f t="shared" si="1160"/>
        <v>100000</v>
      </c>
      <c r="S918" s="14">
        <f>VLOOKUP(I918,[1]Lookups!$V$3:$Y$197,4,FALSE)</f>
        <v>0</v>
      </c>
      <c r="T918" s="14" t="str">
        <f>VLOOKUP(E918,[1]Lookups!$H$3:$I$71,2,FALSE)</f>
        <v>2. Seed</v>
      </c>
      <c r="U918" s="14" t="str">
        <f>VLOOKUP(K918,[1]Lookups!$B$3:$C$142,2,FALSE)</f>
        <v>Other Technologies &amp; Information Technology</v>
      </c>
      <c r="V918" s="14">
        <f t="shared" si="921"/>
        <v>2019</v>
      </c>
      <c r="W918" s="14">
        <f t="shared" si="922"/>
        <v>1</v>
      </c>
      <c r="X918" s="14">
        <f>VLOOKUP(W918,[1]Lookups!$P$3:$S$15,2,FALSE)</f>
        <v>1</v>
      </c>
      <c r="Y918" s="16">
        <f>VLOOKUP(W918,[1]Lookups!$P$3:$U$15,3,FALSE)</f>
        <v>1</v>
      </c>
      <c r="Z918" s="16">
        <f t="shared" si="923"/>
        <v>1</v>
      </c>
      <c r="AA918" s="16" t="str">
        <f t="shared" ca="1" si="1195"/>
        <v>ISAI</v>
      </c>
      <c r="AB918" s="16">
        <f t="shared" si="1195"/>
        <v>0</v>
      </c>
      <c r="AC918" s="16">
        <f t="shared" si="1195"/>
        <v>0</v>
      </c>
      <c r="AD918" s="16">
        <f t="shared" si="1195"/>
        <v>0</v>
      </c>
      <c r="AE918" s="16">
        <f t="shared" si="1195"/>
        <v>0</v>
      </c>
      <c r="AF918" s="16">
        <f t="shared" si="1195"/>
        <v>0</v>
      </c>
      <c r="AG918" s="16">
        <f t="shared" si="1195"/>
        <v>0</v>
      </c>
      <c r="AH918" s="16">
        <f t="shared" si="1195"/>
        <v>0</v>
      </c>
      <c r="AI918" s="16">
        <f t="shared" si="1195"/>
        <v>0</v>
      </c>
      <c r="AJ918" s="16">
        <f t="shared" si="1195"/>
        <v>0</v>
      </c>
      <c r="AK918" s="16">
        <f t="shared" si="1195"/>
        <v>0</v>
      </c>
      <c r="AL918" s="16">
        <f t="shared" si="1195"/>
        <v>0</v>
      </c>
      <c r="AM918" s="16">
        <f t="shared" si="1195"/>
        <v>0</v>
      </c>
      <c r="AN918" s="16">
        <f t="shared" si="1195"/>
        <v>0</v>
      </c>
      <c r="AO918" s="16">
        <f t="shared" si="1195"/>
        <v>0</v>
      </c>
      <c r="AP918" s="10"/>
      <c r="AQ918" s="10"/>
      <c r="AR918" s="10"/>
      <c r="AS918" s="10" t="str">
        <f t="shared" ref="AS918" ca="1" si="1204">IFERROR(__xludf.DUMMYFUNCTION("split(F878,"","",true,true)"),"ISAI")</f>
        <v>ISAI</v>
      </c>
      <c r="AT918" s="10"/>
      <c r="AU918" s="10"/>
      <c r="AV918" s="10"/>
      <c r="AW918" s="10"/>
      <c r="AX918" s="10"/>
      <c r="AY918" s="10"/>
      <c r="AZ918" s="10"/>
      <c r="BA918" s="10"/>
      <c r="BB918" s="10"/>
      <c r="BC918" s="10"/>
      <c r="BD918" s="10"/>
      <c r="BE918" s="10"/>
      <c r="BF918" s="10"/>
      <c r="BG918" s="10"/>
      <c r="BH918" s="10"/>
      <c r="BI918" s="10"/>
      <c r="BJ918" s="10"/>
      <c r="BK918" s="10"/>
      <c r="BM918" s="10"/>
    </row>
    <row r="919" spans="1:65" ht="12.75">
      <c r="A919" s="18">
        <v>43482</v>
      </c>
      <c r="B919" s="14" t="s">
        <v>1959</v>
      </c>
      <c r="C919" s="19">
        <v>2000000</v>
      </c>
      <c r="D919" s="19"/>
      <c r="E919" s="10" t="s">
        <v>91</v>
      </c>
      <c r="F919" s="14" t="s">
        <v>1960</v>
      </c>
      <c r="G919" s="21" t="s">
        <v>1961</v>
      </c>
      <c r="H919" s="14" t="str">
        <f t="array" ref="H919">IFERROR(INDEX([1]Companies!$G:$G,MATCH(B919,[1]Companies!$A:$A,0)),"")</f>
        <v>South Africa</v>
      </c>
      <c r="I919" s="14" t="str">
        <f t="shared" si="1155"/>
        <v>South Africa</v>
      </c>
      <c r="J919" s="14" t="str">
        <f t="array" ref="J919">IFERROR(INDEX([1]Companies!$Y:$Y,MATCH(B919,[1]Companies!$A:$A,0)),"")</f>
        <v>Solar products, Distribution in emerging markets, Product design, and After sales support</v>
      </c>
      <c r="K919" s="14" t="str">
        <f t="array" ref="K919">IFERROR(INDEX([1]Companies!$X:$X,MATCH(B919,[1]Companies!$A:$A,0)),"")</f>
        <v>Energy &amp; Environment Resources</v>
      </c>
      <c r="L919" s="14" t="str">
        <f>VLOOKUP(B919,[1]Companies!$A$1:$C$5243,1,FALSE)</f>
        <v>Solarworks!</v>
      </c>
      <c r="M919" s="15">
        <f t="shared" si="1156"/>
        <v>0.9</v>
      </c>
      <c r="N919" s="10" t="str">
        <f t="shared" si="1157"/>
        <v>43482SolarWorks!2000000</v>
      </c>
      <c r="O919" s="14" t="str">
        <f t="shared" si="1158"/>
        <v/>
      </c>
      <c r="P919" s="14">
        <f t="shared" si="1159"/>
        <v>1</v>
      </c>
      <c r="Q919" s="14">
        <f t="array" ref="Q919">IFERROR(INDEX([1]Companies!$D:$D,MATCH(B919,[1]Companies!$A:$A,0)),"")</f>
        <v>2007</v>
      </c>
      <c r="R919" s="17">
        <f t="shared" si="1160"/>
        <v>4270000</v>
      </c>
      <c r="S919" s="14">
        <f>VLOOKUP(I919,[1]Lookups!$V$3:$Y$197,4,FALSE)</f>
        <v>0</v>
      </c>
      <c r="T919" s="14" t="str">
        <f>VLOOKUP(E919,[1]Lookups!$H$3:$I$71,2,FALSE)</f>
        <v>5. Debt Financing</v>
      </c>
      <c r="U919" s="14" t="e">
        <f>VLOOKUP(K919,[1]Lookups!$B$3:$C$142,2,FALSE)</f>
        <v>#N/A</v>
      </c>
      <c r="V919" s="14">
        <f t="shared" si="921"/>
        <v>2019</v>
      </c>
      <c r="W919" s="14">
        <f t="shared" si="922"/>
        <v>1</v>
      </c>
      <c r="X919" s="14">
        <f>VLOOKUP(W919,[1]Lookups!$P$3:$S$15,2,FALSE)</f>
        <v>1</v>
      </c>
      <c r="Y919" s="16">
        <f>VLOOKUP(W919,[1]Lookups!$P$3:$U$15,3,FALSE)</f>
        <v>1</v>
      </c>
      <c r="Z919" s="16">
        <f t="shared" si="923"/>
        <v>2</v>
      </c>
      <c r="AA919" s="16" t="str">
        <f t="shared" ca="1" si="1195"/>
        <v>ISAI</v>
      </c>
      <c r="AB919" s="16" t="str">
        <f t="shared" ca="1" si="1195"/>
        <v xml:space="preserve"> MFX Solutions</v>
      </c>
      <c r="AC919" s="16">
        <f t="shared" si="1195"/>
        <v>0</v>
      </c>
      <c r="AD919" s="16">
        <f t="shared" si="1195"/>
        <v>0</v>
      </c>
      <c r="AE919" s="16">
        <f t="shared" si="1195"/>
        <v>0</v>
      </c>
      <c r="AF919" s="16">
        <f t="shared" si="1195"/>
        <v>0</v>
      </c>
      <c r="AG919" s="16">
        <f t="shared" si="1195"/>
        <v>0</v>
      </c>
      <c r="AH919" s="16">
        <f t="shared" si="1195"/>
        <v>0</v>
      </c>
      <c r="AI919" s="16">
        <f t="shared" si="1195"/>
        <v>0</v>
      </c>
      <c r="AJ919" s="16">
        <f t="shared" si="1195"/>
        <v>0</v>
      </c>
      <c r="AK919" s="16">
        <f t="shared" si="1195"/>
        <v>0</v>
      </c>
      <c r="AL919" s="16">
        <f t="shared" si="1195"/>
        <v>0</v>
      </c>
      <c r="AM919" s="16">
        <f t="shared" si="1195"/>
        <v>0</v>
      </c>
      <c r="AN919" s="16">
        <f t="shared" si="1195"/>
        <v>0</v>
      </c>
      <c r="AO919" s="16">
        <f t="shared" si="1195"/>
        <v>0</v>
      </c>
      <c r="AP919" s="10"/>
      <c r="AQ919" s="10"/>
      <c r="AR919" s="10"/>
      <c r="AS919" s="10" t="str">
        <f t="shared" ref="AS919" ca="1" si="1205">IFERROR(__xludf.DUMMYFUNCTION("split(F878,"","",true,true)"),"ISAI")</f>
        <v>ISAI</v>
      </c>
      <c r="AT919" s="10" t="str">
        <f ca="1">IFERROR(__xludf.DUMMYFUNCTION("""COMPUTED_VALUE""")," MFX Solutions")</f>
        <v xml:space="preserve"> MFX Solutions</v>
      </c>
      <c r="AU919" s="10"/>
      <c r="AV919" s="10"/>
      <c r="AW919" s="10"/>
      <c r="AX919" s="10"/>
      <c r="AY919" s="10"/>
      <c r="AZ919" s="10"/>
      <c r="BA919" s="10"/>
      <c r="BB919" s="10"/>
      <c r="BC919" s="10"/>
      <c r="BD919" s="10"/>
      <c r="BE919" s="10"/>
      <c r="BF919" s="10"/>
      <c r="BG919" s="10"/>
      <c r="BH919" s="10"/>
      <c r="BI919" s="10"/>
      <c r="BJ919" s="10"/>
      <c r="BK919" s="10"/>
      <c r="BM919" s="10"/>
    </row>
    <row r="920" spans="1:65" ht="12.75">
      <c r="A920" s="18">
        <v>43482</v>
      </c>
      <c r="B920" s="14" t="s">
        <v>336</v>
      </c>
      <c r="C920" s="19">
        <v>1475000</v>
      </c>
      <c r="D920" s="19"/>
      <c r="E920" s="10" t="s">
        <v>91</v>
      </c>
      <c r="F920" s="14" t="s">
        <v>1962</v>
      </c>
      <c r="G920" s="13" t="s">
        <v>1963</v>
      </c>
      <c r="H920" s="14" t="str">
        <f t="array" ref="H920">IFERROR(INDEX([1]Companies!$G:$G,MATCH(B920,[1]Companies!$A:$A,0)),"")</f>
        <v>Kenya</v>
      </c>
      <c r="I920" s="14" t="str">
        <f t="shared" si="1155"/>
        <v>Kenya</v>
      </c>
      <c r="J920" s="14" t="str">
        <f t="array" ref="J920">IFERROR(INDEX([1]Companies!$Y:$Y,MATCH(B920,[1]Companies!$A:$A,0)),"")</f>
        <v>Health Care, mHealth, Wellness</v>
      </c>
      <c r="K920" s="14" t="str">
        <f t="array" ref="K920">IFERROR(INDEX([1]Companies!$X:$X,MATCH(B920,[1]Companies!$A:$A,0)),"")</f>
        <v>Financial Services</v>
      </c>
      <c r="L920" s="14" t="str">
        <f>VLOOKUP(B920,[1]Companies!$A$1:$C$5243,1,FALSE)</f>
        <v>M-Tiba</v>
      </c>
      <c r="M920" s="15">
        <f t="shared" si="1156"/>
        <v>0.9</v>
      </c>
      <c r="N920" s="10" t="str">
        <f t="shared" si="1157"/>
        <v>43482M-Tiba1475000</v>
      </c>
      <c r="O920" s="14" t="str">
        <f t="shared" si="1158"/>
        <v/>
      </c>
      <c r="P920" s="14">
        <f t="shared" si="1159"/>
        <v>1</v>
      </c>
      <c r="Q920" s="14">
        <f t="array" ref="Q920">IFERROR(INDEX([1]Companies!$D:$D,MATCH(B920,[1]Companies!$A:$A,0)),"")</f>
        <v>2016</v>
      </c>
      <c r="R920" s="17">
        <f t="shared" si="1160"/>
        <v>2975000</v>
      </c>
      <c r="S920" s="14">
        <f>VLOOKUP(I920,[1]Lookups!$V$3:$Y$197,4,FALSE)</f>
        <v>0</v>
      </c>
      <c r="T920" s="14" t="str">
        <f>VLOOKUP(E920,[1]Lookups!$H$3:$I$71,2,FALSE)</f>
        <v>5. Debt Financing</v>
      </c>
      <c r="U920" s="14" t="str">
        <f>VLOOKUP(K920,[1]Lookups!$B$3:$C$142,2,FALSE)</f>
        <v>Financial Services</v>
      </c>
      <c r="V920" s="14">
        <f t="shared" si="921"/>
        <v>2019</v>
      </c>
      <c r="W920" s="14">
        <f t="shared" si="922"/>
        <v>1</v>
      </c>
      <c r="X920" s="14">
        <f>VLOOKUP(W920,[1]Lookups!$P$3:$S$15,2,FALSE)</f>
        <v>1</v>
      </c>
      <c r="Y920" s="16">
        <f>VLOOKUP(W920,[1]Lookups!$P$3:$U$15,3,FALSE)</f>
        <v>1</v>
      </c>
      <c r="Z920" s="16">
        <f t="shared" si="923"/>
        <v>1</v>
      </c>
      <c r="AA920" s="16" t="str">
        <f t="shared" ca="1" si="1195"/>
        <v>ISAI</v>
      </c>
      <c r="AB920" s="16">
        <f t="shared" si="1195"/>
        <v>0</v>
      </c>
      <c r="AC920" s="16">
        <f t="shared" si="1195"/>
        <v>0</v>
      </c>
      <c r="AD920" s="16">
        <f t="shared" si="1195"/>
        <v>0</v>
      </c>
      <c r="AE920" s="16">
        <f t="shared" si="1195"/>
        <v>0</v>
      </c>
      <c r="AF920" s="16">
        <f t="shared" si="1195"/>
        <v>0</v>
      </c>
      <c r="AG920" s="16">
        <f t="shared" si="1195"/>
        <v>0</v>
      </c>
      <c r="AH920" s="16">
        <f t="shared" si="1195"/>
        <v>0</v>
      </c>
      <c r="AI920" s="16">
        <f t="shared" si="1195"/>
        <v>0</v>
      </c>
      <c r="AJ920" s="16">
        <f t="shared" si="1195"/>
        <v>0</v>
      </c>
      <c r="AK920" s="16">
        <f t="shared" si="1195"/>
        <v>0</v>
      </c>
      <c r="AL920" s="16">
        <f t="shared" si="1195"/>
        <v>0</v>
      </c>
      <c r="AM920" s="16">
        <f t="shared" si="1195"/>
        <v>0</v>
      </c>
      <c r="AN920" s="16">
        <f t="shared" si="1195"/>
        <v>0</v>
      </c>
      <c r="AO920" s="16">
        <f t="shared" si="1195"/>
        <v>0</v>
      </c>
      <c r="AP920" s="10"/>
      <c r="AQ920" s="10"/>
      <c r="AR920" s="10"/>
      <c r="AS920" s="10" t="str">
        <f t="shared" ref="AS920" ca="1" si="1206">IFERROR(__xludf.DUMMYFUNCTION("split(F878,"","",true,true)"),"ISAI")</f>
        <v>ISAI</v>
      </c>
      <c r="AT920" s="10"/>
      <c r="AU920" s="10"/>
      <c r="AV920" s="10"/>
      <c r="AW920" s="10"/>
      <c r="AX920" s="10"/>
      <c r="AY920" s="10"/>
      <c r="AZ920" s="10"/>
      <c r="BA920" s="10"/>
      <c r="BB920" s="10"/>
      <c r="BC920" s="10"/>
      <c r="BD920" s="10"/>
      <c r="BE920" s="10"/>
      <c r="BF920" s="10"/>
      <c r="BG920" s="10"/>
      <c r="BH920" s="10"/>
      <c r="BI920" s="10"/>
      <c r="BJ920" s="10"/>
      <c r="BK920" s="10"/>
      <c r="BM920" s="10"/>
    </row>
    <row r="921" spans="1:65" ht="12.75">
      <c r="A921" s="9">
        <v>43482</v>
      </c>
      <c r="B921" s="10" t="s">
        <v>103</v>
      </c>
      <c r="C921" s="11">
        <v>500000</v>
      </c>
      <c r="D921" s="12"/>
      <c r="E921" s="10" t="s">
        <v>112</v>
      </c>
      <c r="F921" s="10" t="s">
        <v>1964</v>
      </c>
      <c r="G921" s="13" t="s">
        <v>1965</v>
      </c>
      <c r="H921" s="14" t="str">
        <f t="array" ref="H921">IFERROR(INDEX([1]Companies!$G:$G,MATCH(B921,[1]Companies!$A:$A,0)),"")</f>
        <v>Egypt</v>
      </c>
      <c r="I921" s="14" t="str">
        <f t="shared" si="1155"/>
        <v>Egypt</v>
      </c>
      <c r="J921" s="14" t="str">
        <f t="array" ref="J921">IFERROR(INDEX([1]Companies!$Y:$Y,MATCH(B921,[1]Companies!$A:$A,0)),"")</f>
        <v>E-Commerce, Information Technology, Price Comparison</v>
      </c>
      <c r="K921" s="14" t="str">
        <f t="array" ref="K921">IFERROR(INDEX([1]Companies!$X:$X,MATCH(B921,[1]Companies!$A:$A,0)),"")</f>
        <v>Information Technology</v>
      </c>
      <c r="L921" s="14" t="str">
        <f>VLOOKUP(B921,[1]Companies!$A$1:$C$5243,1,FALSE)</f>
        <v>Bkam</v>
      </c>
      <c r="M921" s="15">
        <f t="shared" si="1156"/>
        <v>0.9</v>
      </c>
      <c r="N921" s="10" t="str">
        <f t="shared" si="1157"/>
        <v>43482Bkam500000</v>
      </c>
      <c r="O921" s="14" t="str">
        <f t="shared" si="1158"/>
        <v/>
      </c>
      <c r="P921" s="14">
        <f t="shared" si="1159"/>
        <v>1</v>
      </c>
      <c r="Q921" s="14">
        <f t="array" ref="Q921">IFERROR(INDEX([1]Companies!$D:$D,MATCH(B921,[1]Companies!$A:$A,0)),"")</f>
        <v>2012</v>
      </c>
      <c r="R921" s="17">
        <f t="shared" si="1160"/>
        <v>500000</v>
      </c>
      <c r="S921" s="14">
        <f>VLOOKUP(I921,[1]Lookups!$V$3:$Y$197,4,FALSE)</f>
        <v>0</v>
      </c>
      <c r="T921" s="14" t="str">
        <f>VLOOKUP(E921,[1]Lookups!$H$3:$I$71,2,FALSE)</f>
        <v>3. Early Venture</v>
      </c>
      <c r="U921" s="14" t="str">
        <f>VLOOKUP(K921,[1]Lookups!$B$3:$C$142,2,FALSE)</f>
        <v>Other Technologies &amp; Information Technology</v>
      </c>
      <c r="V921" s="14">
        <f t="shared" si="921"/>
        <v>2019</v>
      </c>
      <c r="W921" s="14">
        <f t="shared" si="922"/>
        <v>1</v>
      </c>
      <c r="X921" s="14">
        <f>VLOOKUP(W921,[1]Lookups!$P$3:$S$15,2,FALSE)</f>
        <v>1</v>
      </c>
      <c r="Y921" s="16">
        <f>VLOOKUP(W921,[1]Lookups!$P$3:$U$15,3,FALSE)</f>
        <v>1</v>
      </c>
      <c r="Z921" s="16">
        <f t="shared" si="923"/>
        <v>3</v>
      </c>
      <c r="AA921" s="16" t="str">
        <f t="shared" ca="1" si="1195"/>
        <v>ISAI</v>
      </c>
      <c r="AB921" s="16" t="str">
        <f t="shared" ca="1" si="1195"/>
        <v xml:space="preserve"> Jabbar Internet Group</v>
      </c>
      <c r="AC921" s="16" t="str">
        <f t="shared" ca="1" si="1195"/>
        <v xml:space="preserve"> ACE &amp; Company</v>
      </c>
      <c r="AD921" s="16">
        <f t="shared" si="1195"/>
        <v>0</v>
      </c>
      <c r="AE921" s="16">
        <f t="shared" si="1195"/>
        <v>0</v>
      </c>
      <c r="AF921" s="16">
        <f t="shared" si="1195"/>
        <v>0</v>
      </c>
      <c r="AG921" s="16">
        <f t="shared" si="1195"/>
        <v>0</v>
      </c>
      <c r="AH921" s="16">
        <f t="shared" si="1195"/>
        <v>0</v>
      </c>
      <c r="AI921" s="16">
        <f t="shared" si="1195"/>
        <v>0</v>
      </c>
      <c r="AJ921" s="16">
        <f t="shared" si="1195"/>
        <v>0</v>
      </c>
      <c r="AK921" s="16">
        <f t="shared" si="1195"/>
        <v>0</v>
      </c>
      <c r="AL921" s="16">
        <f t="shared" si="1195"/>
        <v>0</v>
      </c>
      <c r="AM921" s="16">
        <f t="shared" si="1195"/>
        <v>0</v>
      </c>
      <c r="AN921" s="16">
        <f t="shared" si="1195"/>
        <v>0</v>
      </c>
      <c r="AO921" s="16">
        <f t="shared" si="1195"/>
        <v>0</v>
      </c>
      <c r="AP921" s="10"/>
      <c r="AQ921" s="10"/>
      <c r="AR921" s="10"/>
      <c r="AS921" s="10" t="str">
        <f t="shared" ref="AS921" ca="1" si="1207">IFERROR(__xludf.DUMMYFUNCTION("split(F878,"","",true,true)"),"ISAI")</f>
        <v>ISAI</v>
      </c>
      <c r="AT921" s="10" t="str">
        <f ca="1">IFERROR(__xludf.DUMMYFUNCTION("""COMPUTED_VALUE""")," Jabbar Internet Group")</f>
        <v xml:space="preserve"> Jabbar Internet Group</v>
      </c>
      <c r="AU921" s="10" t="str">
        <f ca="1">IFERROR(__xludf.DUMMYFUNCTION("""COMPUTED_VALUE""")," ACE &amp; Company")</f>
        <v xml:space="preserve"> ACE &amp; Company</v>
      </c>
      <c r="AV921" s="10"/>
      <c r="AW921" s="10"/>
      <c r="AX921" s="10"/>
      <c r="AY921" s="10"/>
      <c r="AZ921" s="10"/>
      <c r="BA921" s="10"/>
      <c r="BB921" s="10"/>
      <c r="BC921" s="10"/>
      <c r="BD921" s="10"/>
      <c r="BE921" s="10"/>
      <c r="BF921" s="10"/>
      <c r="BG921" s="10"/>
      <c r="BH921" s="10"/>
      <c r="BI921" s="10"/>
      <c r="BJ921" s="10"/>
      <c r="BK921" s="10"/>
      <c r="BM921" s="10"/>
    </row>
    <row r="922" spans="1:65" ht="12.75">
      <c r="A922" s="18">
        <v>43483</v>
      </c>
      <c r="B922" s="14" t="s">
        <v>1966</v>
      </c>
      <c r="C922" s="19">
        <v>1000000</v>
      </c>
      <c r="D922" s="19"/>
      <c r="E922" s="14" t="s">
        <v>45</v>
      </c>
      <c r="F922" s="14" t="s">
        <v>952</v>
      </c>
      <c r="G922" s="21" t="s">
        <v>1967</v>
      </c>
      <c r="H922" s="14" t="str">
        <f t="array" ref="H922">IFERROR(INDEX([1]Companies!$G:$G,MATCH(B922,[1]Companies!$A:$A,0)),"")</f>
        <v>Senegal</v>
      </c>
      <c r="I922" s="14" t="str">
        <f t="shared" si="1155"/>
        <v>Senegal</v>
      </c>
      <c r="J922" s="14" t="str">
        <f t="array" ref="J922">IFERROR(INDEX([1]Companies!$Y:$Y,MATCH(B922,[1]Companies!$A:$A,0)),"")</f>
        <v>Consulting, Human Resources, Social Recruiting</v>
      </c>
      <c r="K922" s="14" t="str">
        <f t="array" ref="K922">IFERROR(INDEX([1]Companies!$X:$X,MATCH(B922,[1]Companies!$A:$A,0)),"")</f>
        <v>Recruitment</v>
      </c>
      <c r="L922" s="14" t="str">
        <f>VLOOKUP(B922,[1]Companies!$A$1:$C$5243,1,FALSE)</f>
        <v>Talent2Africa</v>
      </c>
      <c r="M922" s="15">
        <f t="shared" si="1156"/>
        <v>0.9</v>
      </c>
      <c r="N922" s="10" t="str">
        <f t="shared" si="1157"/>
        <v>43483Talent2Africa1000000</v>
      </c>
      <c r="O922" s="14" t="str">
        <f t="shared" si="1158"/>
        <v/>
      </c>
      <c r="P922" s="14">
        <f t="shared" si="1159"/>
        <v>1</v>
      </c>
      <c r="Q922" s="14">
        <f t="array" ref="Q922">IFERROR(INDEX([1]Companies!$D:$D,MATCH(B922,[1]Companies!$A:$A,0)),"")</f>
        <v>2016</v>
      </c>
      <c r="R922" s="17">
        <f t="shared" si="1160"/>
        <v>1000000</v>
      </c>
      <c r="S922" s="14">
        <f>VLOOKUP(I922,[1]Lookups!$V$3:$Y$197,4,FALSE)</f>
        <v>0</v>
      </c>
      <c r="T922" s="14" t="str">
        <f>VLOOKUP(E922,[1]Lookups!$H$3:$I$71,2,FALSE)</f>
        <v>2. Seed</v>
      </c>
      <c r="U922" s="14" t="str">
        <f>VLOOKUP(K922,[1]Lookups!$B$3:$C$142,2,FALSE)</f>
        <v>Employment, Talent &amp; Labour</v>
      </c>
      <c r="V922" s="14">
        <f t="shared" si="921"/>
        <v>2019</v>
      </c>
      <c r="W922" s="14">
        <f t="shared" si="922"/>
        <v>1</v>
      </c>
      <c r="X922" s="14">
        <f>VLOOKUP(W922,[1]Lookups!$P$3:$S$15,2,FALSE)</f>
        <v>1</v>
      </c>
      <c r="Y922" s="16">
        <f>VLOOKUP(W922,[1]Lookups!$P$3:$U$15,3,FALSE)</f>
        <v>1</v>
      </c>
      <c r="Z922" s="16">
        <f t="shared" si="923"/>
        <v>1</v>
      </c>
      <c r="AA922" s="16" t="str">
        <f t="shared" ca="1" si="1195"/>
        <v>ISAI</v>
      </c>
      <c r="AB922" s="16">
        <f t="shared" si="1195"/>
        <v>0</v>
      </c>
      <c r="AC922" s="16">
        <f t="shared" si="1195"/>
        <v>0</v>
      </c>
      <c r="AD922" s="16">
        <f t="shared" si="1195"/>
        <v>0</v>
      </c>
      <c r="AE922" s="16">
        <f t="shared" si="1195"/>
        <v>0</v>
      </c>
      <c r="AF922" s="16">
        <f t="shared" si="1195"/>
        <v>0</v>
      </c>
      <c r="AG922" s="16">
        <f t="shared" si="1195"/>
        <v>0</v>
      </c>
      <c r="AH922" s="16">
        <f t="shared" si="1195"/>
        <v>0</v>
      </c>
      <c r="AI922" s="16">
        <f t="shared" si="1195"/>
        <v>0</v>
      </c>
      <c r="AJ922" s="16">
        <f t="shared" si="1195"/>
        <v>0</v>
      </c>
      <c r="AK922" s="16">
        <f t="shared" si="1195"/>
        <v>0</v>
      </c>
      <c r="AL922" s="16">
        <f t="shared" si="1195"/>
        <v>0</v>
      </c>
      <c r="AM922" s="16">
        <f t="shared" si="1195"/>
        <v>0</v>
      </c>
      <c r="AN922" s="16">
        <f t="shared" si="1195"/>
        <v>0</v>
      </c>
      <c r="AO922" s="16">
        <f t="shared" si="1195"/>
        <v>0</v>
      </c>
      <c r="AP922" s="10"/>
      <c r="AQ922" s="10"/>
      <c r="AR922" s="10"/>
      <c r="AS922" s="10" t="str">
        <f t="shared" ref="AS922" ca="1" si="1208">IFERROR(__xludf.DUMMYFUNCTION("split(F878,"","",true,true)"),"ISAI")</f>
        <v>ISAI</v>
      </c>
      <c r="AT922" s="10"/>
      <c r="AU922" s="10"/>
      <c r="AV922" s="10"/>
      <c r="AW922" s="10"/>
      <c r="AX922" s="10"/>
      <c r="AY922" s="10"/>
      <c r="AZ922" s="10"/>
      <c r="BA922" s="10"/>
      <c r="BB922" s="10"/>
      <c r="BC922" s="10"/>
      <c r="BD922" s="10"/>
      <c r="BE922" s="10"/>
      <c r="BF922" s="10"/>
      <c r="BG922" s="10"/>
      <c r="BH922" s="10"/>
      <c r="BI922" s="10"/>
      <c r="BJ922" s="10"/>
      <c r="BK922" s="10"/>
      <c r="BM922" s="10"/>
    </row>
    <row r="923" spans="1:65" ht="12.75">
      <c r="A923" s="18">
        <v>43484</v>
      </c>
      <c r="B923" s="14" t="s">
        <v>1372</v>
      </c>
      <c r="C923" s="19">
        <v>300000</v>
      </c>
      <c r="D923" s="19"/>
      <c r="E923" s="14" t="s">
        <v>564</v>
      </c>
      <c r="F923" s="14" t="s">
        <v>49</v>
      </c>
      <c r="G923" s="21" t="s">
        <v>1968</v>
      </c>
      <c r="H923" s="14" t="str">
        <f t="array" ref="H923">IFERROR(INDEX([1]Companies!$G:$G,MATCH(B923,[1]Companies!$A:$A,0)),"")</f>
        <v>Uganda</v>
      </c>
      <c r="I923" s="14" t="str">
        <f t="shared" si="1155"/>
        <v>Uganda</v>
      </c>
      <c r="J923" s="14" t="str">
        <f t="array" ref="J923">IFERROR(INDEX([1]Companies!$Y:$Y,MATCH(B923,[1]Companies!$A:$A,0)),"")</f>
        <v>Baby, Crowdfunding, Health Care, Medical Device, Wearables</v>
      </c>
      <c r="K923" s="14" t="str">
        <f t="array" ref="K923">IFERROR(INDEX([1]Companies!$X:$X,MATCH(B923,[1]Companies!$A:$A,0)),"")</f>
        <v>Healthcare &amp; Pharma</v>
      </c>
      <c r="L923" s="14" t="str">
        <f>VLOOKUP(B923,[1]Companies!$A$1:$C$5243,1,FALSE)</f>
        <v>Neopenda</v>
      </c>
      <c r="M923" s="15">
        <f t="shared" si="1156"/>
        <v>0.9</v>
      </c>
      <c r="N923" s="10" t="str">
        <f t="shared" si="1157"/>
        <v>43484Neopenda300000</v>
      </c>
      <c r="O923" s="14" t="str">
        <f t="shared" si="1158"/>
        <v/>
      </c>
      <c r="P923" s="14">
        <f t="shared" si="1159"/>
        <v>1</v>
      </c>
      <c r="Q923" s="14">
        <f t="array" ref="Q923">IFERROR(INDEX([1]Companies!$D:$D,MATCH(B923,[1]Companies!$A:$A,0)),"")</f>
        <v>2015</v>
      </c>
      <c r="R923" s="17">
        <f t="shared" si="1160"/>
        <v>1510000</v>
      </c>
      <c r="S923" s="14">
        <f>VLOOKUP(I923,[1]Lookups!$V$3:$Y$197,4,FALSE)</f>
        <v>0</v>
      </c>
      <c r="T923" s="14" t="str">
        <f>VLOOKUP(E923,[1]Lookups!$H$3:$I$71,2,FALSE)</f>
        <v>7. Offerings</v>
      </c>
      <c r="U923" s="14" t="str">
        <f>VLOOKUP(K923,[1]Lookups!$B$3:$C$142,2,FALSE)</f>
        <v>Health &amp; Pharmaceuticals</v>
      </c>
      <c r="V923" s="14">
        <f t="shared" si="921"/>
        <v>2019</v>
      </c>
      <c r="W923" s="14">
        <f t="shared" si="922"/>
        <v>1</v>
      </c>
      <c r="X923" s="14">
        <f>VLOOKUP(W923,[1]Lookups!$P$3:$S$15,2,FALSE)</f>
        <v>1</v>
      </c>
      <c r="Y923" s="16">
        <f>VLOOKUP(W923,[1]Lookups!$P$3:$U$15,3,FALSE)</f>
        <v>1</v>
      </c>
      <c r="Z923" s="16">
        <f t="shared" si="923"/>
        <v>1</v>
      </c>
      <c r="AA923" s="16" t="str">
        <f t="shared" ca="1" si="1195"/>
        <v>ISAI</v>
      </c>
      <c r="AB923" s="16">
        <f t="shared" si="1195"/>
        <v>0</v>
      </c>
      <c r="AC923" s="16">
        <f t="shared" si="1195"/>
        <v>0</v>
      </c>
      <c r="AD923" s="16">
        <f t="shared" si="1195"/>
        <v>0</v>
      </c>
      <c r="AE923" s="16">
        <f t="shared" si="1195"/>
        <v>0</v>
      </c>
      <c r="AF923" s="16">
        <f t="shared" si="1195"/>
        <v>0</v>
      </c>
      <c r="AG923" s="16">
        <f t="shared" si="1195"/>
        <v>0</v>
      </c>
      <c r="AH923" s="16">
        <f t="shared" si="1195"/>
        <v>0</v>
      </c>
      <c r="AI923" s="16">
        <f t="shared" si="1195"/>
        <v>0</v>
      </c>
      <c r="AJ923" s="16">
        <f t="shared" si="1195"/>
        <v>0</v>
      </c>
      <c r="AK923" s="16">
        <f t="shared" si="1195"/>
        <v>0</v>
      </c>
      <c r="AL923" s="16">
        <f t="shared" si="1195"/>
        <v>0</v>
      </c>
      <c r="AM923" s="16">
        <f t="shared" si="1195"/>
        <v>0</v>
      </c>
      <c r="AN923" s="16">
        <f t="shared" si="1195"/>
        <v>0</v>
      </c>
      <c r="AO923" s="16">
        <f t="shared" si="1195"/>
        <v>0</v>
      </c>
      <c r="AP923" s="10"/>
      <c r="AQ923" s="10"/>
      <c r="AR923" s="10"/>
      <c r="AS923" s="10" t="str">
        <f t="shared" ref="AS923" ca="1" si="1209">IFERROR(__xludf.DUMMYFUNCTION("split(F878,"","",true,true)"),"ISAI")</f>
        <v>ISAI</v>
      </c>
      <c r="AT923" s="23"/>
      <c r="AU923" s="23"/>
      <c r="AV923" s="23"/>
      <c r="AW923" s="23"/>
      <c r="AX923" s="23"/>
      <c r="AY923" s="23"/>
      <c r="AZ923" s="23"/>
      <c r="BA923" s="23"/>
      <c r="BB923" s="23"/>
      <c r="BC923" s="23"/>
      <c r="BD923" s="23"/>
      <c r="BE923" s="23"/>
      <c r="BF923" s="23"/>
      <c r="BG923" s="23"/>
      <c r="BH923" s="23"/>
      <c r="BI923" s="23"/>
      <c r="BJ923" s="23"/>
      <c r="BK923" s="23"/>
      <c r="BM923" s="23"/>
    </row>
    <row r="924" spans="1:65" ht="12.75">
      <c r="A924" s="18">
        <v>43486</v>
      </c>
      <c r="B924" s="14" t="s">
        <v>1733</v>
      </c>
      <c r="C924" s="19" t="s">
        <v>49</v>
      </c>
      <c r="D924" s="22"/>
      <c r="E924" s="14" t="s">
        <v>45</v>
      </c>
      <c r="F924" s="14" t="s">
        <v>1969</v>
      </c>
      <c r="G924" s="13" t="s">
        <v>1970</v>
      </c>
      <c r="H924" s="14" t="str">
        <f t="array" ref="H924">IFERROR(INDEX([1]Companies!$G:$G,MATCH(B924,[1]Companies!$A:$A,0)),"")</f>
        <v>Nigeria</v>
      </c>
      <c r="I924" s="14" t="str">
        <f t="shared" si="1155"/>
        <v>Nigeria</v>
      </c>
      <c r="J924" s="14" t="str">
        <f t="array" ref="J924">IFERROR(INDEX([1]Companies!$Y:$Y,MATCH(B924,[1]Companies!$A:$A,0)),"")</f>
        <v>Bike-Sharing</v>
      </c>
      <c r="K924" s="14" t="str">
        <f t="array" ref="K924">IFERROR(INDEX([1]Companies!$X:$X,MATCH(B924,[1]Companies!$A:$A,0)),"")</f>
        <v>Transport &amp; Logistics</v>
      </c>
      <c r="L924" s="14" t="str">
        <f>VLOOKUP(B924,[1]Companies!$A$1:$C$5243,1,FALSE)</f>
        <v>Awabike</v>
      </c>
      <c r="M924" s="15"/>
      <c r="N924" s="10"/>
      <c r="O924" s="14"/>
      <c r="P924" s="14"/>
      <c r="Q924" s="14"/>
      <c r="R924" s="17"/>
      <c r="S924" s="14"/>
      <c r="T924" s="14"/>
      <c r="U924" s="14"/>
      <c r="V924" s="14">
        <f t="shared" si="921"/>
        <v>2019</v>
      </c>
      <c r="W924" s="14">
        <f t="shared" si="922"/>
        <v>1</v>
      </c>
      <c r="X924" s="14">
        <f>VLOOKUP(W924,[1]Lookups!$P$3:$S$15,2,FALSE)</f>
        <v>1</v>
      </c>
      <c r="Y924" s="16">
        <f>VLOOKUP(W924,[1]Lookups!$P$3:$U$15,3,FALSE)</f>
        <v>1</v>
      </c>
      <c r="Z924" s="16">
        <f t="shared" si="923"/>
        <v>1</v>
      </c>
      <c r="AA924" s="16"/>
      <c r="AB924" s="16"/>
      <c r="AC924" s="16"/>
      <c r="AD924" s="16"/>
      <c r="AE924" s="16"/>
      <c r="AF924" s="16"/>
      <c r="AG924" s="16"/>
      <c r="AH924" s="16"/>
      <c r="AI924" s="16"/>
      <c r="AJ924" s="16"/>
      <c r="AK924" s="16"/>
      <c r="AL924" s="16"/>
      <c r="AM924" s="16"/>
      <c r="AN924" s="16"/>
      <c r="AO924" s="16"/>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M924" s="10"/>
    </row>
    <row r="925" spans="1:65" ht="12.75">
      <c r="A925" s="18">
        <v>43486</v>
      </c>
      <c r="B925" s="14" t="s">
        <v>119</v>
      </c>
      <c r="C925" s="19">
        <v>2000000</v>
      </c>
      <c r="D925" s="19"/>
      <c r="E925" s="14" t="s">
        <v>112</v>
      </c>
      <c r="F925" s="14" t="s">
        <v>1971</v>
      </c>
      <c r="G925" s="21" t="s">
        <v>1972</v>
      </c>
      <c r="H925" s="14" t="str">
        <f t="array" ref="H925">IFERROR(INDEX([1]Companies!$G:$G,MATCH(B925,[1]Companies!$A:$A,0)),"")</f>
        <v>Kenya</v>
      </c>
      <c r="I925" s="14" t="str">
        <f t="shared" si="1155"/>
        <v>Kenya</v>
      </c>
      <c r="J925" s="14" t="str">
        <f t="array" ref="J925">IFERROR(INDEX([1]Companies!$Y:$Y,MATCH(B925,[1]Companies!$A:$A,0)),"")</f>
        <v>Consumer Goods, Delivery, E-Commerce</v>
      </c>
      <c r="K925" s="14" t="str">
        <f t="array" ref="K925">IFERROR(INDEX([1]Companies!$X:$X,MATCH(B925,[1]Companies!$A:$A,0)),"")</f>
        <v>E-Commerce &amp; Retail</v>
      </c>
      <c r="L925" s="14" t="str">
        <f>VLOOKUP(B925,[1]Companies!$A$1:$C$5243,1,FALSE)</f>
        <v>Copia Global</v>
      </c>
      <c r="M925" s="15">
        <f t="shared" ref="M925:M949" si="1210">COUNTA(B925:K925)/(COUNTBLANK(B925:K925) + COUNTA(B925:K925))</f>
        <v>0.9</v>
      </c>
      <c r="N925" s="10" t="str">
        <f t="shared" ref="N925:N949" si="1211">CONCATENATE(A925,B925,C925)</f>
        <v>43486Copia Global2000000</v>
      </c>
      <c r="O925" s="14" t="str">
        <f t="shared" ref="O925:O949" si="1212">IF(A925 = "","",IF(COUNTIF(N:N,CONCATENATE(A925,B925,C925))&gt;1,"Duplicated",""))</f>
        <v/>
      </c>
      <c r="P925" s="14">
        <f t="shared" ref="P925:P949" si="1213">IF(C925="Undisclosed",0,1)</f>
        <v>1</v>
      </c>
      <c r="Q925" s="14">
        <f t="array" ref="Q925">IFERROR(INDEX([1]Companies!$D:$D,MATCH(B925,[1]Companies!$A:$A,0)),"")</f>
        <v>2012</v>
      </c>
      <c r="R925" s="17">
        <f t="shared" ref="R925:R949" si="1214">SUMIF(B:B,B925,C:C)</f>
        <v>22000000</v>
      </c>
      <c r="S925" s="14">
        <f>VLOOKUP(I925,[1]Lookups!$V$3:$Y$197,4,FALSE)</f>
        <v>0</v>
      </c>
      <c r="T925" s="14" t="str">
        <f>VLOOKUP(E925,[1]Lookups!$H$3:$I$71,2,FALSE)</f>
        <v>3. Early Venture</v>
      </c>
      <c r="U925" s="14" t="str">
        <f>VLOOKUP(K925,[1]Lookups!$B$3:$C$142,2,FALSE)</f>
        <v>E-commerce &amp; Retail</v>
      </c>
      <c r="V925" s="14">
        <f t="shared" si="921"/>
        <v>2019</v>
      </c>
      <c r="W925" s="14">
        <f t="shared" si="922"/>
        <v>1</v>
      </c>
      <c r="X925" s="14">
        <f>VLOOKUP(W925,[1]Lookups!$P$3:$S$15,2,FALSE)</f>
        <v>1</v>
      </c>
      <c r="Y925" s="16">
        <f>VLOOKUP(W925,[1]Lookups!$P$3:$U$15,3,FALSE)</f>
        <v>1</v>
      </c>
      <c r="Z925" s="16">
        <f t="shared" si="923"/>
        <v>1</v>
      </c>
      <c r="AA925" s="16" t="str">
        <f t="shared" ref="AA925:AO940" ca="1" si="1215">AS925</f>
        <v>Goodwell Investments</v>
      </c>
      <c r="AB925" s="16">
        <f t="shared" si="1215"/>
        <v>0</v>
      </c>
      <c r="AC925" s="16">
        <f t="shared" si="1215"/>
        <v>0</v>
      </c>
      <c r="AD925" s="16">
        <f t="shared" si="1215"/>
        <v>0</v>
      </c>
      <c r="AE925" s="16">
        <f t="shared" si="1215"/>
        <v>0</v>
      </c>
      <c r="AF925" s="16">
        <f t="shared" si="1215"/>
        <v>0</v>
      </c>
      <c r="AG925" s="16">
        <f t="shared" si="1215"/>
        <v>0</v>
      </c>
      <c r="AH925" s="16">
        <f t="shared" si="1215"/>
        <v>0</v>
      </c>
      <c r="AI925" s="16">
        <f t="shared" si="1215"/>
        <v>0</v>
      </c>
      <c r="AJ925" s="16">
        <f t="shared" si="1215"/>
        <v>0</v>
      </c>
      <c r="AK925" s="16">
        <f t="shared" si="1215"/>
        <v>0</v>
      </c>
      <c r="AL925" s="16">
        <f t="shared" si="1215"/>
        <v>0</v>
      </c>
      <c r="AM925" s="16">
        <f t="shared" si="1215"/>
        <v>0</v>
      </c>
      <c r="AN925" s="16">
        <f t="shared" si="1215"/>
        <v>0</v>
      </c>
      <c r="AO925" s="16">
        <f t="shared" si="1215"/>
        <v>0</v>
      </c>
      <c r="AP925" s="10"/>
      <c r="AQ925" s="10"/>
      <c r="AR925" s="10"/>
      <c r="AS925" s="10" t="str">
        <f t="shared" ref="AS925" ca="1" si="1216">IFERROR(__xludf.DUMMYFUNCTION("split(F925,"","",true,true)"),"Goodwell Investments")</f>
        <v>Goodwell Investments</v>
      </c>
      <c r="AT925" s="10"/>
      <c r="AU925" s="10"/>
      <c r="AV925" s="10"/>
      <c r="AW925" s="10"/>
      <c r="AX925" s="10"/>
      <c r="AY925" s="10"/>
      <c r="AZ925" s="10"/>
      <c r="BA925" s="10"/>
      <c r="BB925" s="10"/>
      <c r="BC925" s="10"/>
      <c r="BD925" s="10"/>
      <c r="BE925" s="10"/>
      <c r="BF925" s="10"/>
      <c r="BG925" s="10"/>
      <c r="BH925" s="10"/>
      <c r="BI925" s="10"/>
      <c r="BJ925" s="10"/>
      <c r="BK925" s="10"/>
      <c r="BM925" s="10"/>
    </row>
    <row r="926" spans="1:65" ht="12.75">
      <c r="A926" s="18">
        <v>43486</v>
      </c>
      <c r="B926" s="21" t="s">
        <v>1973</v>
      </c>
      <c r="C926" s="19">
        <v>660000</v>
      </c>
      <c r="D926" s="19"/>
      <c r="E926" s="14" t="s">
        <v>45</v>
      </c>
      <c r="F926" s="14" t="s">
        <v>1974</v>
      </c>
      <c r="G926" s="21" t="s">
        <v>1975</v>
      </c>
      <c r="H926" s="14" t="str">
        <f t="array" ref="H926">IFERROR(INDEX([1]Companies!$G:$G,MATCH(B926,[1]Companies!$A:$A,0)),"")</f>
        <v>Tunisia</v>
      </c>
      <c r="I926" s="14" t="str">
        <f t="shared" si="1155"/>
        <v>Tunisia</v>
      </c>
      <c r="J926" s="14" t="str">
        <f t="array" ref="J926">IFERROR(INDEX([1]Companies!$Y:$Y,MATCH(B926,[1]Companies!$A:$A,0)),"")</f>
        <v>Health Services, Information Technology</v>
      </c>
      <c r="K926" s="14" t="str">
        <f t="array" ref="K926">IFERROR(INDEX([1]Companies!$X:$X,MATCH(B926,[1]Companies!$A:$A,0)),"")</f>
        <v>Healthcare &amp; Pharma</v>
      </c>
      <c r="L926" s="21" t="str">
        <f>VLOOKUP(B926,[1]Companies!$A$1:$C$5243,1,FALSE)</f>
        <v>Med.Tn</v>
      </c>
      <c r="M926" s="15">
        <f t="shared" si="1210"/>
        <v>0.9</v>
      </c>
      <c r="N926" s="10" t="str">
        <f t="shared" si="1211"/>
        <v>43486Med.tn660000</v>
      </c>
      <c r="O926" s="14" t="str">
        <f t="shared" si="1212"/>
        <v/>
      </c>
      <c r="P926" s="14">
        <f t="shared" si="1213"/>
        <v>1</v>
      </c>
      <c r="Q926" s="14">
        <f t="array" ref="Q926">IFERROR(INDEX([1]Companies!$D:$D,MATCH(B926,[1]Companies!$A:$A,0)),"")</f>
        <v>2016</v>
      </c>
      <c r="R926" s="17">
        <f t="shared" si="1214"/>
        <v>660000</v>
      </c>
      <c r="S926" s="14">
        <f>VLOOKUP(I926,[1]Lookups!$V$3:$Y$197,4,FALSE)</f>
        <v>0</v>
      </c>
      <c r="T926" s="14" t="str">
        <f>VLOOKUP(E926,[1]Lookups!$H$3:$I$71,2,FALSE)</f>
        <v>2. Seed</v>
      </c>
      <c r="U926" s="14" t="str">
        <f>VLOOKUP(K926,[1]Lookups!$B$3:$C$142,2,FALSE)</f>
        <v>Health &amp; Pharmaceuticals</v>
      </c>
      <c r="V926" s="14">
        <f t="shared" si="921"/>
        <v>2019</v>
      </c>
      <c r="W926" s="14">
        <f t="shared" si="922"/>
        <v>1</v>
      </c>
      <c r="X926" s="14">
        <f>VLOOKUP(W926,[1]Lookups!$P$3:$S$15,2,FALSE)</f>
        <v>1</v>
      </c>
      <c r="Y926" s="16">
        <f>VLOOKUP(W926,[1]Lookups!$P$3:$U$15,3,FALSE)</f>
        <v>1</v>
      </c>
      <c r="Z926" s="16">
        <f t="shared" si="923"/>
        <v>1</v>
      </c>
      <c r="AA926" s="16" t="str">
        <f t="shared" ca="1" si="1215"/>
        <v>Goodwell Investments</v>
      </c>
      <c r="AB926" s="16">
        <f t="shared" si="1215"/>
        <v>0</v>
      </c>
      <c r="AC926" s="16">
        <f t="shared" si="1215"/>
        <v>0</v>
      </c>
      <c r="AD926" s="16">
        <f t="shared" si="1215"/>
        <v>0</v>
      </c>
      <c r="AE926" s="16">
        <f t="shared" si="1215"/>
        <v>0</v>
      </c>
      <c r="AF926" s="16">
        <f t="shared" si="1215"/>
        <v>0</v>
      </c>
      <c r="AG926" s="16">
        <f t="shared" si="1215"/>
        <v>0</v>
      </c>
      <c r="AH926" s="16">
        <f t="shared" si="1215"/>
        <v>0</v>
      </c>
      <c r="AI926" s="16">
        <f t="shared" si="1215"/>
        <v>0</v>
      </c>
      <c r="AJ926" s="16">
        <f t="shared" si="1215"/>
        <v>0</v>
      </c>
      <c r="AK926" s="16">
        <f t="shared" si="1215"/>
        <v>0</v>
      </c>
      <c r="AL926" s="16">
        <f t="shared" si="1215"/>
        <v>0</v>
      </c>
      <c r="AM926" s="16">
        <f t="shared" si="1215"/>
        <v>0</v>
      </c>
      <c r="AN926" s="16">
        <f t="shared" si="1215"/>
        <v>0</v>
      </c>
      <c r="AO926" s="16">
        <f t="shared" si="1215"/>
        <v>0</v>
      </c>
      <c r="AP926" s="10"/>
      <c r="AQ926" s="10"/>
      <c r="AR926" s="10"/>
      <c r="AS926" s="10" t="str">
        <f t="shared" ref="AS926" ca="1" si="1217">IFERROR(__xludf.DUMMYFUNCTION("split(F925,"","",true,true)"),"Goodwell Investments")</f>
        <v>Goodwell Investments</v>
      </c>
      <c r="AT926" s="10"/>
      <c r="AU926" s="10"/>
      <c r="AV926" s="10"/>
      <c r="AW926" s="10"/>
      <c r="AX926" s="10"/>
      <c r="AY926" s="10"/>
      <c r="AZ926" s="10"/>
      <c r="BA926" s="10"/>
      <c r="BB926" s="10"/>
      <c r="BC926" s="10"/>
      <c r="BD926" s="10"/>
      <c r="BE926" s="10"/>
      <c r="BF926" s="10"/>
      <c r="BG926" s="10"/>
      <c r="BH926" s="10"/>
      <c r="BI926" s="10"/>
      <c r="BJ926" s="10"/>
      <c r="BK926" s="10"/>
      <c r="BM926" s="10"/>
    </row>
    <row r="927" spans="1:65" ht="12.75">
      <c r="A927" s="18">
        <v>43487</v>
      </c>
      <c r="B927" s="14" t="s">
        <v>1976</v>
      </c>
      <c r="C927" s="19" t="s">
        <v>49</v>
      </c>
      <c r="D927" s="22"/>
      <c r="E927" s="14" t="s">
        <v>69</v>
      </c>
      <c r="F927" s="14" t="s">
        <v>1325</v>
      </c>
      <c r="G927" s="21" t="s">
        <v>1977</v>
      </c>
      <c r="H927" s="14" t="str">
        <f t="array" ref="H927">IFERROR(INDEX([1]Companies!$G:$G,MATCH(B927,[1]Companies!$A:$A,0)),"")</f>
        <v>Kenya</v>
      </c>
      <c r="I927" s="14" t="str">
        <f t="shared" si="1155"/>
        <v>Kenya</v>
      </c>
      <c r="J927" s="14" t="str">
        <f t="array" ref="J927">IFERROR(INDEX([1]Companies!$Y:$Y,MATCH(B927,[1]Companies!$A:$A,0)),"")</f>
        <v>Analytics, Business Intelligence, Data Mining, FinTech, Personal Finance, SaaS</v>
      </c>
      <c r="K927" s="14" t="str">
        <f t="array" ref="K927">IFERROR(INDEX([1]Companies!$X:$X,MATCH(B927,[1]Companies!$A:$A,0)),"")</f>
        <v>Information Technology</v>
      </c>
      <c r="L927" s="14" t="str">
        <f>VLOOKUP(B927,[1]Companies!$A$1:$C$5243,1,FALSE)</f>
        <v>SuperFluids Labs</v>
      </c>
      <c r="M927" s="15">
        <f t="shared" si="1210"/>
        <v>0.9</v>
      </c>
      <c r="N927" s="10" t="str">
        <f t="shared" si="1211"/>
        <v>43487SuperFluids LabsUndisclosed</v>
      </c>
      <c r="O927" s="14" t="str">
        <f t="shared" si="1212"/>
        <v/>
      </c>
      <c r="P927" s="14">
        <f t="shared" si="1213"/>
        <v>0</v>
      </c>
      <c r="Q927" s="14">
        <f t="array" ref="Q927">IFERROR(INDEX([1]Companies!$D:$D,MATCH(B927,[1]Companies!$A:$A,0)),"")</f>
        <v>2015</v>
      </c>
      <c r="R927" s="17">
        <f t="shared" si="1214"/>
        <v>0</v>
      </c>
      <c r="S927" s="14">
        <f>VLOOKUP(I927,[1]Lookups!$V$3:$Y$197,4,FALSE)</f>
        <v>0</v>
      </c>
      <c r="T927" s="14" t="str">
        <f>VLOOKUP(E927,[1]Lookups!$H$3:$I$71,2,FALSE)</f>
        <v>3. Early Venture</v>
      </c>
      <c r="U927" s="14" t="str">
        <f>VLOOKUP(K927,[1]Lookups!$B$3:$C$142,2,FALSE)</f>
        <v>Other Technologies &amp; Information Technology</v>
      </c>
      <c r="V927" s="14">
        <f t="shared" si="921"/>
        <v>2019</v>
      </c>
      <c r="W927" s="14">
        <f t="shared" si="922"/>
        <v>1</v>
      </c>
      <c r="X927" s="14">
        <f>VLOOKUP(W927,[1]Lookups!$P$3:$S$15,2,FALSE)</f>
        <v>1</v>
      </c>
      <c r="Y927" s="16">
        <f>VLOOKUP(W927,[1]Lookups!$P$3:$U$15,3,FALSE)</f>
        <v>1</v>
      </c>
      <c r="Z927" s="16">
        <f t="shared" si="923"/>
        <v>1</v>
      </c>
      <c r="AA927" s="16" t="str">
        <f t="shared" ca="1" si="1215"/>
        <v>Goodwell Investments</v>
      </c>
      <c r="AB927" s="16">
        <f t="shared" si="1215"/>
        <v>0</v>
      </c>
      <c r="AC927" s="16">
        <f t="shared" si="1215"/>
        <v>0</v>
      </c>
      <c r="AD927" s="16">
        <f t="shared" si="1215"/>
        <v>0</v>
      </c>
      <c r="AE927" s="16">
        <f t="shared" si="1215"/>
        <v>0</v>
      </c>
      <c r="AF927" s="16">
        <f t="shared" si="1215"/>
        <v>0</v>
      </c>
      <c r="AG927" s="16">
        <f t="shared" si="1215"/>
        <v>0</v>
      </c>
      <c r="AH927" s="16">
        <f t="shared" si="1215"/>
        <v>0</v>
      </c>
      <c r="AI927" s="16">
        <f t="shared" si="1215"/>
        <v>0</v>
      </c>
      <c r="AJ927" s="16">
        <f t="shared" si="1215"/>
        <v>0</v>
      </c>
      <c r="AK927" s="16">
        <f t="shared" si="1215"/>
        <v>0</v>
      </c>
      <c r="AL927" s="16">
        <f t="shared" si="1215"/>
        <v>0</v>
      </c>
      <c r="AM927" s="16">
        <f t="shared" si="1215"/>
        <v>0</v>
      </c>
      <c r="AN927" s="16">
        <f t="shared" si="1215"/>
        <v>0</v>
      </c>
      <c r="AO927" s="16">
        <f t="shared" si="1215"/>
        <v>0</v>
      </c>
      <c r="AP927" s="10"/>
      <c r="AQ927" s="10"/>
      <c r="AR927" s="10"/>
      <c r="AS927" s="10" t="str">
        <f t="shared" ref="AS927" ca="1" si="1218">IFERROR(__xludf.DUMMYFUNCTION("split(F925,"","",true,true)"),"Goodwell Investments")</f>
        <v>Goodwell Investments</v>
      </c>
      <c r="AT927" s="10"/>
      <c r="AU927" s="10"/>
      <c r="AV927" s="10"/>
      <c r="AW927" s="10"/>
      <c r="AX927" s="10"/>
      <c r="AY927" s="10"/>
      <c r="AZ927" s="10"/>
      <c r="BA927" s="10"/>
      <c r="BB927" s="10"/>
      <c r="BC927" s="10"/>
      <c r="BD927" s="10"/>
      <c r="BE927" s="10"/>
      <c r="BF927" s="10"/>
      <c r="BG927" s="10"/>
      <c r="BH927" s="10"/>
      <c r="BI927" s="10"/>
      <c r="BJ927" s="10"/>
      <c r="BK927" s="10"/>
      <c r="BM927" s="10"/>
    </row>
    <row r="928" spans="1:65" ht="12.75">
      <c r="A928" s="18">
        <v>43487</v>
      </c>
      <c r="B928" s="14" t="s">
        <v>1978</v>
      </c>
      <c r="C928" s="19">
        <v>2065760</v>
      </c>
      <c r="D928" s="19"/>
      <c r="E928" s="14" t="s">
        <v>69</v>
      </c>
      <c r="F928" s="14" t="s">
        <v>1979</v>
      </c>
      <c r="G928" s="21" t="s">
        <v>1980</v>
      </c>
      <c r="H928" s="14" t="str">
        <f t="array" ref="H928">IFERROR(INDEX([1]Companies!$G:$G,MATCH(B928,[1]Companies!$A:$A,0)),"")</f>
        <v>Mauritius</v>
      </c>
      <c r="I928" s="14" t="str">
        <f t="shared" si="1155"/>
        <v>Mauritius</v>
      </c>
      <c r="J928" s="14" t="str">
        <f t="array" ref="J928">IFERROR(INDEX([1]Companies!$Y:$Y,MATCH(B928,[1]Companies!$A:$A,0)),"")</f>
        <v>Executive Search, Board Search, Diversity, Training, Gender Strategy, Recruitment</v>
      </c>
      <c r="K928" s="14" t="str">
        <f t="array" ref="K928">IFERROR(INDEX([1]Companies!$X:$X,MATCH(B928,[1]Companies!$A:$A,0)),"")</f>
        <v>Recruitment</v>
      </c>
      <c r="L928" s="14" t="str">
        <f>VLOOKUP(B928,[1]Companies!$A$1:$C$5243,1,FALSE)</f>
        <v>TheBoardroom Africa</v>
      </c>
      <c r="M928" s="15">
        <f t="shared" si="1210"/>
        <v>0.9</v>
      </c>
      <c r="N928" s="10" t="str">
        <f t="shared" si="1211"/>
        <v>43487TheBoardroom Africa2065760</v>
      </c>
      <c r="O928" s="14" t="str">
        <f t="shared" si="1212"/>
        <v/>
      </c>
      <c r="P928" s="14">
        <f t="shared" si="1213"/>
        <v>1</v>
      </c>
      <c r="Q928" s="14">
        <f t="array" ref="Q928">IFERROR(INDEX([1]Companies!$D:$D,MATCH(B928,[1]Companies!$A:$A,0)),"")</f>
        <v>2016</v>
      </c>
      <c r="R928" s="17">
        <f t="shared" si="1214"/>
        <v>2065760</v>
      </c>
      <c r="S928" s="14">
        <f>VLOOKUP(I928,[1]Lookups!$V$3:$Y$197,4,FALSE)</f>
        <v>0</v>
      </c>
      <c r="T928" s="14" t="str">
        <f>VLOOKUP(E928,[1]Lookups!$H$3:$I$71,2,FALSE)</f>
        <v>3. Early Venture</v>
      </c>
      <c r="U928" s="14" t="str">
        <f>VLOOKUP(K928,[1]Lookups!$B$3:$C$142,2,FALSE)</f>
        <v>Employment, Talent &amp; Labour</v>
      </c>
      <c r="V928" s="14">
        <f t="shared" si="921"/>
        <v>2019</v>
      </c>
      <c r="W928" s="14">
        <f t="shared" si="922"/>
        <v>1</v>
      </c>
      <c r="X928" s="14">
        <f>VLOOKUP(W928,[1]Lookups!$P$3:$S$15,2,FALSE)</f>
        <v>1</v>
      </c>
      <c r="Y928" s="16">
        <f>VLOOKUP(W928,[1]Lookups!$P$3:$U$15,3,FALSE)</f>
        <v>1</v>
      </c>
      <c r="Z928" s="16">
        <f t="shared" si="923"/>
        <v>1</v>
      </c>
      <c r="AA928" s="16" t="str">
        <f t="shared" ca="1" si="1215"/>
        <v>Goodwell Investments</v>
      </c>
      <c r="AB928" s="16">
        <f t="shared" si="1215"/>
        <v>0</v>
      </c>
      <c r="AC928" s="16">
        <f t="shared" si="1215"/>
        <v>0</v>
      </c>
      <c r="AD928" s="16">
        <f t="shared" si="1215"/>
        <v>0</v>
      </c>
      <c r="AE928" s="16">
        <f t="shared" si="1215"/>
        <v>0</v>
      </c>
      <c r="AF928" s="16">
        <f t="shared" si="1215"/>
        <v>0</v>
      </c>
      <c r="AG928" s="16">
        <f t="shared" si="1215"/>
        <v>0</v>
      </c>
      <c r="AH928" s="16">
        <f t="shared" si="1215"/>
        <v>0</v>
      </c>
      <c r="AI928" s="16">
        <f t="shared" si="1215"/>
        <v>0</v>
      </c>
      <c r="AJ928" s="16">
        <f t="shared" si="1215"/>
        <v>0</v>
      </c>
      <c r="AK928" s="16">
        <f t="shared" si="1215"/>
        <v>0</v>
      </c>
      <c r="AL928" s="16">
        <f t="shared" si="1215"/>
        <v>0</v>
      </c>
      <c r="AM928" s="16">
        <f t="shared" si="1215"/>
        <v>0</v>
      </c>
      <c r="AN928" s="16">
        <f t="shared" si="1215"/>
        <v>0</v>
      </c>
      <c r="AO928" s="16">
        <f t="shared" si="1215"/>
        <v>0</v>
      </c>
      <c r="AP928" s="10"/>
      <c r="AQ928" s="10"/>
      <c r="AR928" s="10"/>
      <c r="AS928" s="10" t="str">
        <f t="shared" ref="AS928" ca="1" si="1219">IFERROR(__xludf.DUMMYFUNCTION("split(F925,"","",true,true)"),"Goodwell Investments")</f>
        <v>Goodwell Investments</v>
      </c>
      <c r="AT928" s="10"/>
      <c r="AU928" s="10"/>
      <c r="AV928" s="10"/>
      <c r="AW928" s="10"/>
      <c r="AX928" s="10"/>
      <c r="AY928" s="10"/>
      <c r="AZ928" s="10"/>
      <c r="BA928" s="10"/>
      <c r="BB928" s="10"/>
      <c r="BC928" s="10"/>
      <c r="BD928" s="10"/>
      <c r="BE928" s="10"/>
      <c r="BF928" s="10"/>
      <c r="BG928" s="10"/>
      <c r="BH928" s="10"/>
      <c r="BI928" s="10"/>
      <c r="BJ928" s="10"/>
      <c r="BK928" s="10"/>
      <c r="BM928" s="10"/>
    </row>
    <row r="929" spans="1:65" ht="12.75">
      <c r="A929" s="18">
        <v>43488</v>
      </c>
      <c r="B929" s="14" t="s">
        <v>1174</v>
      </c>
      <c r="C929" s="19" t="s">
        <v>49</v>
      </c>
      <c r="D929" s="22"/>
      <c r="E929" s="14" t="s">
        <v>45</v>
      </c>
      <c r="F929" s="14" t="s">
        <v>1981</v>
      </c>
      <c r="G929" s="21" t="s">
        <v>1982</v>
      </c>
      <c r="H929" s="14" t="str">
        <f t="array" ref="H929">IFERROR(INDEX([1]Companies!$G:$G,MATCH(B929,[1]Companies!$A:$A,0)),"")</f>
        <v>Ghana</v>
      </c>
      <c r="I929" s="14" t="str">
        <f t="shared" si="1155"/>
        <v>Ghana</v>
      </c>
      <c r="J929" s="14" t="str">
        <f t="array" ref="J929">IFERROR(INDEX([1]Companies!$Y:$Y,MATCH(B929,[1]Companies!$A:$A,0)),"")</f>
        <v>Business Development, Micro Lending, Small and Medium Businesses</v>
      </c>
      <c r="K929" s="14" t="str">
        <f t="array" ref="K929">IFERROR(INDEX([1]Companies!$X:$X,MATCH(B929,[1]Companies!$A:$A,0)),"")</f>
        <v>Financial Services</v>
      </c>
      <c r="L929" s="14" t="str">
        <f>VLOOKUP(B929,[1]Companies!$A$1:$C$5243,1,FALSE)</f>
        <v>Nocofio</v>
      </c>
      <c r="M929" s="15">
        <f t="shared" si="1210"/>
        <v>0.9</v>
      </c>
      <c r="N929" s="10" t="str">
        <f t="shared" si="1211"/>
        <v>43488NocofioUndisclosed</v>
      </c>
      <c r="O929" s="14" t="str">
        <f t="shared" si="1212"/>
        <v/>
      </c>
      <c r="P929" s="14">
        <f t="shared" si="1213"/>
        <v>0</v>
      </c>
      <c r="Q929" s="14">
        <f t="array" ref="Q929">IFERROR(INDEX([1]Companies!$D:$D,MATCH(B929,[1]Companies!$A:$A,0)),"")</f>
        <v>2018</v>
      </c>
      <c r="R929" s="17">
        <f t="shared" si="1214"/>
        <v>40000</v>
      </c>
      <c r="S929" s="14">
        <f>VLOOKUP(I929,[1]Lookups!$V$3:$Y$197,4,FALSE)</f>
        <v>0</v>
      </c>
      <c r="T929" s="14" t="str">
        <f>VLOOKUP(E929,[1]Lookups!$H$3:$I$71,2,FALSE)</f>
        <v>2. Seed</v>
      </c>
      <c r="U929" s="14" t="str">
        <f>VLOOKUP(K929,[1]Lookups!$B$3:$C$142,2,FALSE)</f>
        <v>Financial Services</v>
      </c>
      <c r="V929" s="14">
        <f t="shared" si="921"/>
        <v>2019</v>
      </c>
      <c r="W929" s="14">
        <f t="shared" si="922"/>
        <v>1</v>
      </c>
      <c r="X929" s="14">
        <f>VLOOKUP(W929,[1]Lookups!$P$3:$S$15,2,FALSE)</f>
        <v>1</v>
      </c>
      <c r="Y929" s="16">
        <f>VLOOKUP(W929,[1]Lookups!$P$3:$U$15,3,FALSE)</f>
        <v>1</v>
      </c>
      <c r="Z929" s="16">
        <f t="shared" si="923"/>
        <v>1</v>
      </c>
      <c r="AA929" s="16" t="str">
        <f t="shared" ca="1" si="1215"/>
        <v>Goodwell Investments</v>
      </c>
      <c r="AB929" s="16">
        <f t="shared" si="1215"/>
        <v>0</v>
      </c>
      <c r="AC929" s="16">
        <f t="shared" si="1215"/>
        <v>0</v>
      </c>
      <c r="AD929" s="16">
        <f t="shared" si="1215"/>
        <v>0</v>
      </c>
      <c r="AE929" s="16">
        <f t="shared" si="1215"/>
        <v>0</v>
      </c>
      <c r="AF929" s="16">
        <f t="shared" si="1215"/>
        <v>0</v>
      </c>
      <c r="AG929" s="16">
        <f t="shared" si="1215"/>
        <v>0</v>
      </c>
      <c r="AH929" s="16">
        <f t="shared" si="1215"/>
        <v>0</v>
      </c>
      <c r="AI929" s="16">
        <f t="shared" si="1215"/>
        <v>0</v>
      </c>
      <c r="AJ929" s="16">
        <f t="shared" si="1215"/>
        <v>0</v>
      </c>
      <c r="AK929" s="16">
        <f t="shared" si="1215"/>
        <v>0</v>
      </c>
      <c r="AL929" s="16">
        <f t="shared" si="1215"/>
        <v>0</v>
      </c>
      <c r="AM929" s="16">
        <f t="shared" si="1215"/>
        <v>0</v>
      </c>
      <c r="AN929" s="16">
        <f t="shared" si="1215"/>
        <v>0</v>
      </c>
      <c r="AO929" s="16">
        <f t="shared" si="1215"/>
        <v>0</v>
      </c>
      <c r="AP929" s="10"/>
      <c r="AQ929" s="10"/>
      <c r="AR929" s="10"/>
      <c r="AS929" s="10" t="str">
        <f t="shared" ref="AS929" ca="1" si="1220">IFERROR(__xludf.DUMMYFUNCTION("split(F925,"","",true,true)"),"Goodwell Investments")</f>
        <v>Goodwell Investments</v>
      </c>
      <c r="AT929" s="10"/>
      <c r="AU929" s="10"/>
      <c r="AV929" s="10"/>
      <c r="AW929" s="10"/>
      <c r="AX929" s="10"/>
      <c r="AY929" s="10"/>
      <c r="AZ929" s="10"/>
      <c r="BA929" s="10"/>
      <c r="BB929" s="10"/>
      <c r="BC929" s="10"/>
      <c r="BD929" s="10"/>
      <c r="BE929" s="10"/>
      <c r="BF929" s="10"/>
      <c r="BG929" s="10"/>
      <c r="BH929" s="10"/>
      <c r="BI929" s="10"/>
      <c r="BJ929" s="10"/>
      <c r="BK929" s="10"/>
      <c r="BM929" s="10"/>
    </row>
    <row r="930" spans="1:65" ht="12.75">
      <c r="A930" s="18">
        <v>43488</v>
      </c>
      <c r="B930" s="14" t="s">
        <v>219</v>
      </c>
      <c r="C930" s="19">
        <v>100000000</v>
      </c>
      <c r="D930" s="19"/>
      <c r="E930" s="14" t="s">
        <v>161</v>
      </c>
      <c r="F930" s="14" t="s">
        <v>1983</v>
      </c>
      <c r="G930" s="21" t="s">
        <v>1984</v>
      </c>
      <c r="H930" s="14" t="str">
        <f t="array" ref="H930">IFERROR(INDEX([1]Companies!$G:$G,MATCH(B930,[1]Companies!$A:$A,0)),"")</f>
        <v>United States</v>
      </c>
      <c r="I930" s="14" t="str">
        <f t="shared" si="1155"/>
        <v>United States</v>
      </c>
      <c r="J930" s="14" t="str">
        <f t="array" ref="J930">IFERROR(INDEX([1]Companies!$Y:$Y,MATCH(B930,[1]Companies!$A:$A,0)),"")</f>
        <v>Edtech, BPO, Recruitment, Software, Training</v>
      </c>
      <c r="K930" s="14" t="str">
        <f t="array" ref="K930">IFERROR(INDEX([1]Companies!$X:$X,MATCH(B930,[1]Companies!$A:$A,0)),"")</f>
        <v>Commercial &amp; Professional Services</v>
      </c>
      <c r="L930" s="14" t="str">
        <f>VLOOKUP(B930,[1]Companies!$A$1:$C$5243,1,FALSE)</f>
        <v>Andela</v>
      </c>
      <c r="M930" s="15">
        <f t="shared" si="1210"/>
        <v>0.9</v>
      </c>
      <c r="N930" s="10" t="str">
        <f t="shared" si="1211"/>
        <v>43488Andela100000000</v>
      </c>
      <c r="O930" s="14" t="str">
        <f t="shared" si="1212"/>
        <v/>
      </c>
      <c r="P930" s="14">
        <f t="shared" si="1213"/>
        <v>1</v>
      </c>
      <c r="Q930" s="14">
        <f t="array" ref="Q930">IFERROR(INDEX([1]Companies!$D:$D,MATCH(B930,[1]Companies!$A:$A,0)),"")</f>
        <v>2014</v>
      </c>
      <c r="R930" s="17">
        <f t="shared" si="1214"/>
        <v>181000000</v>
      </c>
      <c r="S930" s="14" t="e">
        <f>VLOOKUP(I930,[1]Lookups!$V$3:$Y$197,4,FALSE)</f>
        <v>#N/A</v>
      </c>
      <c r="T930" s="14" t="str">
        <f>VLOOKUP(E930,[1]Lookups!$H$3:$I$71,2,FALSE)</f>
        <v>4. Late Venture</v>
      </c>
      <c r="U930" s="14" t="str">
        <f>VLOOKUP(K930,[1]Lookups!$B$3:$C$142,2,FALSE)</f>
        <v>Other Technologies &amp; Information Technology</v>
      </c>
      <c r="V930" s="14">
        <f t="shared" si="921"/>
        <v>2019</v>
      </c>
      <c r="W930" s="14">
        <f t="shared" si="922"/>
        <v>1</v>
      </c>
      <c r="X930" s="14">
        <f>VLOOKUP(W930,[1]Lookups!$P$3:$S$15,2,FALSE)</f>
        <v>1</v>
      </c>
      <c r="Y930" s="16">
        <f>VLOOKUP(W930,[1]Lookups!$P$3:$U$15,3,FALSE)</f>
        <v>1</v>
      </c>
      <c r="Z930" s="16">
        <f t="shared" si="923"/>
        <v>5</v>
      </c>
      <c r="AA930" s="16" t="str">
        <f t="shared" ca="1" si="1215"/>
        <v>Goodwell Investments</v>
      </c>
      <c r="AB930" s="16" t="str">
        <f t="shared" ca="1" si="1215"/>
        <v xml:space="preserve"> Chan Zuckerberg Initiative</v>
      </c>
      <c r="AC930" s="16" t="str">
        <f t="shared" ca="1" si="1215"/>
        <v xml:space="preserve"> GV</v>
      </c>
      <c r="AD930" s="16" t="str">
        <f t="shared" ca="1" si="1215"/>
        <v xml:space="preserve"> Spark Capital</v>
      </c>
      <c r="AE930" s="16" t="str">
        <f t="shared" ca="1" si="1215"/>
        <v xml:space="preserve"> CRE Venture Capital</v>
      </c>
      <c r="AF930" s="16">
        <f t="shared" si="1215"/>
        <v>0</v>
      </c>
      <c r="AG930" s="16">
        <f t="shared" si="1215"/>
        <v>0</v>
      </c>
      <c r="AH930" s="16">
        <f t="shared" si="1215"/>
        <v>0</v>
      </c>
      <c r="AI930" s="16">
        <f t="shared" si="1215"/>
        <v>0</v>
      </c>
      <c r="AJ930" s="16">
        <f t="shared" si="1215"/>
        <v>0</v>
      </c>
      <c r="AK930" s="16">
        <f t="shared" si="1215"/>
        <v>0</v>
      </c>
      <c r="AL930" s="16">
        <f t="shared" si="1215"/>
        <v>0</v>
      </c>
      <c r="AM930" s="16">
        <f t="shared" si="1215"/>
        <v>0</v>
      </c>
      <c r="AN930" s="16">
        <f t="shared" si="1215"/>
        <v>0</v>
      </c>
      <c r="AO930" s="16">
        <f t="shared" si="1215"/>
        <v>0</v>
      </c>
      <c r="AP930" s="10"/>
      <c r="AQ930" s="10"/>
      <c r="AR930" s="10"/>
      <c r="AS930" s="10" t="str">
        <f t="shared" ref="AS930" ca="1" si="1221">IFERROR(__xludf.DUMMYFUNCTION("split(F925,"","",true,true)"),"Goodwell Investments")</f>
        <v>Goodwell Investments</v>
      </c>
      <c r="AT930" s="10" t="str">
        <f ca="1">IFERROR(__xludf.DUMMYFUNCTION("""COMPUTED_VALUE""")," Chan Zuckerberg Initiative")</f>
        <v xml:space="preserve"> Chan Zuckerberg Initiative</v>
      </c>
      <c r="AU930" s="10" t="str">
        <f ca="1">IFERROR(__xludf.DUMMYFUNCTION("""COMPUTED_VALUE""")," GV")</f>
        <v xml:space="preserve"> GV</v>
      </c>
      <c r="AV930" s="10" t="str">
        <f ca="1">IFERROR(__xludf.DUMMYFUNCTION("""COMPUTED_VALUE""")," Spark Capital")</f>
        <v xml:space="preserve"> Spark Capital</v>
      </c>
      <c r="AW930" s="10" t="str">
        <f ca="1">IFERROR(__xludf.DUMMYFUNCTION("""COMPUTED_VALUE""")," CRE Venture Capital")</f>
        <v xml:space="preserve"> CRE Venture Capital</v>
      </c>
      <c r="AX930" s="10"/>
      <c r="AY930" s="10"/>
      <c r="AZ930" s="10"/>
      <c r="BA930" s="10"/>
      <c r="BB930" s="10"/>
      <c r="BC930" s="10"/>
      <c r="BD930" s="10"/>
      <c r="BE930" s="10"/>
      <c r="BF930" s="10"/>
      <c r="BG930" s="10"/>
      <c r="BH930" s="10"/>
      <c r="BI930" s="10"/>
      <c r="BJ930" s="10"/>
      <c r="BK930" s="10"/>
      <c r="BM930" s="10"/>
    </row>
    <row r="931" spans="1:65" ht="12.75">
      <c r="A931" s="9">
        <v>43489</v>
      </c>
      <c r="B931" s="10" t="s">
        <v>530</v>
      </c>
      <c r="C931" s="11">
        <v>1000000</v>
      </c>
      <c r="D931" s="10"/>
      <c r="E931" s="10" t="s">
        <v>958</v>
      </c>
      <c r="F931" s="10" t="s">
        <v>959</v>
      </c>
      <c r="G931" s="13" t="s">
        <v>1985</v>
      </c>
      <c r="H931" s="14" t="str">
        <f t="array" ref="H931">IFERROR(INDEX([1]Companies!$G:$G,MATCH(B931,[1]Companies!$A:$A,0)),"")</f>
        <v>South Africa</v>
      </c>
      <c r="I931" s="14" t="str">
        <f t="shared" si="1155"/>
        <v>South Africa</v>
      </c>
      <c r="J931" s="14" t="str">
        <f t="array" ref="J931">IFERROR(INDEX([1]Companies!$Y:$Y,MATCH(B931,[1]Companies!$A:$A,0)),"")</f>
        <v>Solar Energy Project Financing, Solar Power, Blockchain, Internet of Things, Ethereum Smart Contracts, Bitcoin</v>
      </c>
      <c r="K931" s="14" t="str">
        <f t="array" ref="K931">IFERROR(INDEX([1]Companies!$X:$X,MATCH(B931,[1]Companies!$A:$A,0)),"")</f>
        <v>Financial Services</v>
      </c>
      <c r="L931" s="14" t="str">
        <f>VLOOKUP(B931,[1]Companies!$A$1:$C$5243,1,FALSE)</f>
        <v xml:space="preserve">The Sun Exchange </v>
      </c>
      <c r="M931" s="15">
        <f t="shared" si="1210"/>
        <v>0.9</v>
      </c>
      <c r="N931" s="10" t="str">
        <f t="shared" si="1211"/>
        <v>43489The Sun Exchange 1000000</v>
      </c>
      <c r="O931" s="14" t="str">
        <f t="shared" si="1212"/>
        <v/>
      </c>
      <c r="P931" s="14">
        <f t="shared" si="1213"/>
        <v>1</v>
      </c>
      <c r="Q931" s="14">
        <f t="array" ref="Q931">IFERROR(INDEX([1]Companies!$D:$D,MATCH(B931,[1]Companies!$A:$A,0)),"")</f>
        <v>2015</v>
      </c>
      <c r="R931" s="17">
        <f t="shared" si="1214"/>
        <v>3920000</v>
      </c>
      <c r="S931" s="14">
        <f>VLOOKUP(I931,[1]Lookups!$V$3:$Y$197,4,FALSE)</f>
        <v>0</v>
      </c>
      <c r="T931" s="14" t="e">
        <f>VLOOKUP(E931,[1]Lookups!$H$3:$I$71,2,FALSE)</f>
        <v>#N/A</v>
      </c>
      <c r="U931" s="14" t="str">
        <f>VLOOKUP(K931,[1]Lookups!$B$3:$C$142,2,FALSE)</f>
        <v>Financial Services</v>
      </c>
      <c r="V931" s="14">
        <f t="shared" si="921"/>
        <v>2019</v>
      </c>
      <c r="W931" s="14">
        <f t="shared" si="922"/>
        <v>1</v>
      </c>
      <c r="X931" s="14">
        <f>VLOOKUP(W931,[1]Lookups!$P$3:$S$15,2,FALSE)</f>
        <v>1</v>
      </c>
      <c r="Y931" s="16">
        <f>VLOOKUP(W931,[1]Lookups!$P$3:$U$15,3,FALSE)</f>
        <v>1</v>
      </c>
      <c r="Z931" s="16">
        <f t="shared" si="923"/>
        <v>1</v>
      </c>
      <c r="AA931" s="16" t="str">
        <f t="shared" ca="1" si="1215"/>
        <v>Goodwell Investments</v>
      </c>
      <c r="AB931" s="16">
        <f t="shared" si="1215"/>
        <v>0</v>
      </c>
      <c r="AC931" s="16">
        <f t="shared" si="1215"/>
        <v>0</v>
      </c>
      <c r="AD931" s="16">
        <f t="shared" si="1215"/>
        <v>0</v>
      </c>
      <c r="AE931" s="16">
        <f t="shared" si="1215"/>
        <v>0</v>
      </c>
      <c r="AF931" s="16">
        <f t="shared" si="1215"/>
        <v>0</v>
      </c>
      <c r="AG931" s="16">
        <f t="shared" si="1215"/>
        <v>0</v>
      </c>
      <c r="AH931" s="16">
        <f t="shared" si="1215"/>
        <v>0</v>
      </c>
      <c r="AI931" s="16">
        <f t="shared" si="1215"/>
        <v>0</v>
      </c>
      <c r="AJ931" s="16">
        <f t="shared" si="1215"/>
        <v>0</v>
      </c>
      <c r="AK931" s="16">
        <f t="shared" si="1215"/>
        <v>0</v>
      </c>
      <c r="AL931" s="16">
        <f t="shared" si="1215"/>
        <v>0</v>
      </c>
      <c r="AM931" s="16">
        <f t="shared" si="1215"/>
        <v>0</v>
      </c>
      <c r="AN931" s="16">
        <f t="shared" si="1215"/>
        <v>0</v>
      </c>
      <c r="AO931" s="16">
        <f t="shared" si="1215"/>
        <v>0</v>
      </c>
      <c r="AP931" s="10"/>
      <c r="AQ931" s="10"/>
      <c r="AR931" s="10"/>
      <c r="AS931" s="10" t="str">
        <f t="shared" ref="AS931" ca="1" si="1222">IFERROR(__xludf.DUMMYFUNCTION("split(F925,"","",true,true)"),"Goodwell Investments")</f>
        <v>Goodwell Investments</v>
      </c>
      <c r="AT931" s="10"/>
      <c r="AU931" s="10"/>
      <c r="AV931" s="10"/>
      <c r="AW931" s="10"/>
      <c r="AX931" s="10"/>
      <c r="AY931" s="10"/>
      <c r="AZ931" s="10"/>
      <c r="BA931" s="10"/>
      <c r="BB931" s="10"/>
      <c r="BC931" s="10"/>
      <c r="BD931" s="10"/>
      <c r="BE931" s="10"/>
      <c r="BF931" s="10"/>
      <c r="BG931" s="10"/>
      <c r="BH931" s="10"/>
      <c r="BI931" s="10"/>
      <c r="BJ931" s="10"/>
      <c r="BK931" s="10"/>
      <c r="BM931" s="10"/>
    </row>
    <row r="932" spans="1:65" ht="12.75">
      <c r="A932" s="18">
        <v>43491</v>
      </c>
      <c r="B932" s="14" t="s">
        <v>1986</v>
      </c>
      <c r="C932" s="19">
        <v>10000</v>
      </c>
      <c r="D932" s="19"/>
      <c r="E932" s="10" t="s">
        <v>55</v>
      </c>
      <c r="F932" s="14" t="s">
        <v>1987</v>
      </c>
      <c r="G932" s="21" t="s">
        <v>1988</v>
      </c>
      <c r="H932" s="14" t="str">
        <f t="array" ref="H932">IFERROR(INDEX([1]Companies!$G:$G,MATCH(B932,[1]Companies!$A:$A,0)),"")</f>
        <v>Nigeria</v>
      </c>
      <c r="I932" s="14" t="str">
        <f t="shared" si="1155"/>
        <v>Nigeria</v>
      </c>
      <c r="J932" s="14" t="str">
        <f t="array" ref="J932">IFERROR(INDEX([1]Companies!$Y:$Y,MATCH(B932,[1]Companies!$A:$A,0)),"")</f>
        <v>Real Estate</v>
      </c>
      <c r="K932" s="14" t="str">
        <f t="array" ref="K932">IFERROR(INDEX([1]Companies!$X:$X,MATCH(B932,[1]Companies!$A:$A,0)),"")</f>
        <v>Real Estate</v>
      </c>
      <c r="L932" s="14" t="str">
        <f>VLOOKUP(B932,[1]Companies!$A$1:$C$5243,1,FALSE)</f>
        <v>Estate Intel</v>
      </c>
      <c r="M932" s="15">
        <f t="shared" si="1210"/>
        <v>0.9</v>
      </c>
      <c r="N932" s="10" t="str">
        <f t="shared" si="1211"/>
        <v>43491Estate Intel10000</v>
      </c>
      <c r="O932" s="14" t="str">
        <f t="shared" si="1212"/>
        <v/>
      </c>
      <c r="P932" s="14">
        <f t="shared" si="1213"/>
        <v>1</v>
      </c>
      <c r="Q932" s="14">
        <f t="array" ref="Q932">IFERROR(INDEX([1]Companies!$D:$D,MATCH(B932,[1]Companies!$A:$A,0)),"")</f>
        <v>2014</v>
      </c>
      <c r="R932" s="17">
        <f t="shared" si="1214"/>
        <v>10000</v>
      </c>
      <c r="S932" s="14">
        <f>VLOOKUP(I932,[1]Lookups!$V$3:$Y$197,4,FALSE)</f>
        <v>0</v>
      </c>
      <c r="T932" s="14" t="str">
        <f>VLOOKUP(E932,[1]Lookups!$H$3:$I$71,2,FALSE)</f>
        <v>1. Grant</v>
      </c>
      <c r="U932" s="14" t="str">
        <f>VLOOKUP(K932,[1]Lookups!$B$3:$C$142,2,FALSE)</f>
        <v>Construction &amp; Real Estate</v>
      </c>
      <c r="V932" s="14">
        <f t="shared" si="921"/>
        <v>2019</v>
      </c>
      <c r="W932" s="14">
        <f t="shared" si="922"/>
        <v>1</v>
      </c>
      <c r="X932" s="14">
        <f>VLOOKUP(W932,[1]Lookups!$P$3:$S$15,2,FALSE)</f>
        <v>1</v>
      </c>
      <c r="Y932" s="16">
        <f>VLOOKUP(W932,[1]Lookups!$P$3:$U$15,3,FALSE)</f>
        <v>1</v>
      </c>
      <c r="Z932" s="16">
        <f t="shared" si="923"/>
        <v>1</v>
      </c>
      <c r="AA932" s="16" t="str">
        <f t="shared" ca="1" si="1215"/>
        <v>Goodwell Investments</v>
      </c>
      <c r="AB932" s="16">
        <f t="shared" si="1215"/>
        <v>0</v>
      </c>
      <c r="AC932" s="16">
        <f t="shared" si="1215"/>
        <v>0</v>
      </c>
      <c r="AD932" s="16">
        <f t="shared" si="1215"/>
        <v>0</v>
      </c>
      <c r="AE932" s="16">
        <f t="shared" si="1215"/>
        <v>0</v>
      </c>
      <c r="AF932" s="16">
        <f t="shared" si="1215"/>
        <v>0</v>
      </c>
      <c r="AG932" s="16">
        <f t="shared" si="1215"/>
        <v>0</v>
      </c>
      <c r="AH932" s="16">
        <f t="shared" si="1215"/>
        <v>0</v>
      </c>
      <c r="AI932" s="16">
        <f t="shared" si="1215"/>
        <v>0</v>
      </c>
      <c r="AJ932" s="16">
        <f t="shared" si="1215"/>
        <v>0</v>
      </c>
      <c r="AK932" s="16">
        <f t="shared" si="1215"/>
        <v>0</v>
      </c>
      <c r="AL932" s="16">
        <f t="shared" si="1215"/>
        <v>0</v>
      </c>
      <c r="AM932" s="16">
        <f t="shared" si="1215"/>
        <v>0</v>
      </c>
      <c r="AN932" s="16">
        <f t="shared" si="1215"/>
        <v>0</v>
      </c>
      <c r="AO932" s="16">
        <f t="shared" si="1215"/>
        <v>0</v>
      </c>
      <c r="AP932" s="10"/>
      <c r="AQ932" s="10"/>
      <c r="AR932" s="10"/>
      <c r="AS932" s="10" t="str">
        <f t="shared" ref="AS932" ca="1" si="1223">IFERROR(__xludf.DUMMYFUNCTION("split(F925,"","",true,true)"),"Goodwell Investments")</f>
        <v>Goodwell Investments</v>
      </c>
      <c r="AT932" s="10"/>
      <c r="AU932" s="10"/>
      <c r="AV932" s="10"/>
      <c r="AW932" s="10"/>
      <c r="AX932" s="10"/>
      <c r="AY932" s="10"/>
      <c r="AZ932" s="10"/>
      <c r="BA932" s="10"/>
      <c r="BB932" s="10"/>
      <c r="BC932" s="10"/>
      <c r="BD932" s="10"/>
      <c r="BE932" s="10"/>
      <c r="BF932" s="10"/>
      <c r="BG932" s="10"/>
      <c r="BH932" s="10"/>
      <c r="BI932" s="10"/>
      <c r="BJ932" s="10"/>
      <c r="BK932" s="10"/>
      <c r="BM932" s="10"/>
    </row>
    <row r="933" spans="1:65" ht="12.75">
      <c r="A933" s="18">
        <v>43492</v>
      </c>
      <c r="B933" s="14" t="s">
        <v>1989</v>
      </c>
      <c r="C933" s="19">
        <v>1000</v>
      </c>
      <c r="D933" s="19"/>
      <c r="E933" s="14" t="s">
        <v>234</v>
      </c>
      <c r="F933" s="14" t="s">
        <v>1990</v>
      </c>
      <c r="G933" s="21" t="s">
        <v>1991</v>
      </c>
      <c r="H933" s="14" t="str">
        <f t="array" ref="H933">IFERROR(INDEX([1]Companies!$G:$G,MATCH(B933,[1]Companies!$A:$A,0)),"")</f>
        <v>Nigeria</v>
      </c>
      <c r="I933" s="14" t="str">
        <f t="shared" si="1155"/>
        <v>Nigeria</v>
      </c>
      <c r="J933" s="14" t="str">
        <f t="array" ref="J933">IFERROR(INDEX([1]Companies!$Y:$Y,MATCH(B933,[1]Companies!$A:$A,0)),"")</f>
        <v>Artificial Intelligence, Facebook, Food Delivery, Messaging, Natural Language Processing, Shopping</v>
      </c>
      <c r="K933" s="14" t="str">
        <f t="array" ref="K933">IFERROR(INDEX([1]Companies!$X:$X,MATCH(B933,[1]Companies!$A:$A,0)),"")</f>
        <v>E-Commerce &amp; Retail</v>
      </c>
      <c r="L933" s="14" t="str">
        <f>VLOOKUP(B933,[1]Companies!$A$1:$C$5243,1,FALSE)</f>
        <v>Provider</v>
      </c>
      <c r="M933" s="15">
        <f t="shared" si="1210"/>
        <v>0.9</v>
      </c>
      <c r="N933" s="10" t="str">
        <f t="shared" si="1211"/>
        <v>43492Provider1000</v>
      </c>
      <c r="O933" s="14" t="str">
        <f t="shared" si="1212"/>
        <v/>
      </c>
      <c r="P933" s="14">
        <f t="shared" si="1213"/>
        <v>1</v>
      </c>
      <c r="Q933" s="14">
        <f t="array" ref="Q933">IFERROR(INDEX([1]Companies!$D:$D,MATCH(B933,[1]Companies!$A:$A,0)),"")</f>
        <v>2019</v>
      </c>
      <c r="R933" s="17">
        <f t="shared" si="1214"/>
        <v>1000</v>
      </c>
      <c r="S933" s="14">
        <f>VLOOKUP(I933,[1]Lookups!$V$3:$Y$197,4,FALSE)</f>
        <v>0</v>
      </c>
      <c r="T933" s="14" t="str">
        <f>VLOOKUP(E933,[1]Lookups!$H$3:$I$71,2,FALSE)</f>
        <v>2. Seed</v>
      </c>
      <c r="U933" s="14" t="str">
        <f>VLOOKUP(K933,[1]Lookups!$B$3:$C$142,2,FALSE)</f>
        <v>E-commerce &amp; Retail</v>
      </c>
      <c r="V933" s="14">
        <f t="shared" si="921"/>
        <v>2019</v>
      </c>
      <c r="W933" s="14">
        <f t="shared" si="922"/>
        <v>1</v>
      </c>
      <c r="X933" s="14">
        <f>VLOOKUP(W933,[1]Lookups!$P$3:$S$15,2,FALSE)</f>
        <v>1</v>
      </c>
      <c r="Y933" s="16">
        <f>VLOOKUP(W933,[1]Lookups!$P$3:$U$15,3,FALSE)</f>
        <v>1</v>
      </c>
      <c r="Z933" s="16">
        <f t="shared" si="923"/>
        <v>1</v>
      </c>
      <c r="AA933" s="16" t="str">
        <f t="shared" ca="1" si="1215"/>
        <v>Goodwell Investments</v>
      </c>
      <c r="AB933" s="16">
        <f t="shared" si="1215"/>
        <v>0</v>
      </c>
      <c r="AC933" s="16">
        <f t="shared" si="1215"/>
        <v>0</v>
      </c>
      <c r="AD933" s="16">
        <f t="shared" si="1215"/>
        <v>0</v>
      </c>
      <c r="AE933" s="16">
        <f t="shared" si="1215"/>
        <v>0</v>
      </c>
      <c r="AF933" s="16">
        <f t="shared" si="1215"/>
        <v>0</v>
      </c>
      <c r="AG933" s="16">
        <f t="shared" si="1215"/>
        <v>0</v>
      </c>
      <c r="AH933" s="16">
        <f t="shared" si="1215"/>
        <v>0</v>
      </c>
      <c r="AI933" s="16">
        <f t="shared" si="1215"/>
        <v>0</v>
      </c>
      <c r="AJ933" s="16">
        <f t="shared" si="1215"/>
        <v>0</v>
      </c>
      <c r="AK933" s="16">
        <f t="shared" si="1215"/>
        <v>0</v>
      </c>
      <c r="AL933" s="16">
        <f t="shared" si="1215"/>
        <v>0</v>
      </c>
      <c r="AM933" s="16">
        <f t="shared" si="1215"/>
        <v>0</v>
      </c>
      <c r="AN933" s="16">
        <f t="shared" si="1215"/>
        <v>0</v>
      </c>
      <c r="AO933" s="16">
        <f t="shared" si="1215"/>
        <v>0</v>
      </c>
      <c r="AP933" s="10"/>
      <c r="AQ933" s="10"/>
      <c r="AR933" s="10"/>
      <c r="AS933" s="10" t="str">
        <f t="shared" ref="AS933" ca="1" si="1224">IFERROR(__xludf.DUMMYFUNCTION("split(F925,"","",true,true)"),"Goodwell Investments")</f>
        <v>Goodwell Investments</v>
      </c>
      <c r="AT933" s="10"/>
      <c r="AU933" s="10"/>
      <c r="AV933" s="10"/>
      <c r="AW933" s="10"/>
      <c r="AX933" s="10"/>
      <c r="AY933" s="10"/>
      <c r="AZ933" s="10"/>
      <c r="BA933" s="10"/>
      <c r="BB933" s="10"/>
      <c r="BC933" s="10"/>
      <c r="BD933" s="10"/>
      <c r="BE933" s="10"/>
      <c r="BF933" s="10"/>
      <c r="BG933" s="10"/>
      <c r="BH933" s="10"/>
      <c r="BI933" s="10"/>
      <c r="BJ933" s="10"/>
      <c r="BK933" s="10"/>
      <c r="BM933" s="10"/>
    </row>
    <row r="934" spans="1:65" ht="12.75">
      <c r="A934" s="18">
        <v>43493</v>
      </c>
      <c r="B934" s="14" t="s">
        <v>1992</v>
      </c>
      <c r="C934" s="19" t="s">
        <v>49</v>
      </c>
      <c r="D934" s="22"/>
      <c r="E934" s="14" t="s">
        <v>45</v>
      </c>
      <c r="F934" s="14" t="s">
        <v>1281</v>
      </c>
      <c r="G934" s="21" t="s">
        <v>1993</v>
      </c>
      <c r="H934" s="14" t="str">
        <f t="array" ref="H934">IFERROR(INDEX([1]Companies!$G:$G,MATCH(B934,[1]Companies!$A:$A,0)),"")</f>
        <v>Nigeria</v>
      </c>
      <c r="I934" s="14" t="str">
        <f t="shared" si="1155"/>
        <v>Nigeria</v>
      </c>
      <c r="J934" s="14" t="str">
        <f t="array" ref="J934">IFERROR(INDEX([1]Companies!$Y:$Y,MATCH(B934,[1]Companies!$A:$A,0)),"")</f>
        <v>Fitness, Health Care, Internet</v>
      </c>
      <c r="K934" s="14" t="str">
        <f t="array" ref="K934">IFERROR(INDEX([1]Companies!$X:$X,MATCH(B934,[1]Companies!$A:$A,0)),"")</f>
        <v>Healthcare &amp; Pharma</v>
      </c>
      <c r="L934" s="14" t="str">
        <f>VLOOKUP(B934,[1]Companies!$A$1:$C$5243,1,FALSE)</f>
        <v>Stack Dx</v>
      </c>
      <c r="M934" s="15">
        <f t="shared" si="1210"/>
        <v>0.9</v>
      </c>
      <c r="N934" s="10" t="str">
        <f t="shared" si="1211"/>
        <v>43493Stack DxUndisclosed</v>
      </c>
      <c r="O934" s="14" t="str">
        <f t="shared" si="1212"/>
        <v/>
      </c>
      <c r="P934" s="14">
        <f t="shared" si="1213"/>
        <v>0</v>
      </c>
      <c r="Q934" s="14">
        <f t="array" ref="Q934">IFERROR(INDEX([1]Companies!$D:$D,MATCH(B934,[1]Companies!$A:$A,0)),"")</f>
        <v>2018</v>
      </c>
      <c r="R934" s="17">
        <f t="shared" si="1214"/>
        <v>0</v>
      </c>
      <c r="S934" s="14">
        <f>VLOOKUP(I934,[1]Lookups!$V$3:$Y$197,4,FALSE)</f>
        <v>0</v>
      </c>
      <c r="T934" s="14" t="str">
        <f>VLOOKUP(E934,[1]Lookups!$H$3:$I$71,2,FALSE)</f>
        <v>2. Seed</v>
      </c>
      <c r="U934" s="14" t="str">
        <f>VLOOKUP(K934,[1]Lookups!$B$3:$C$142,2,FALSE)</f>
        <v>Health &amp; Pharmaceuticals</v>
      </c>
      <c r="V934" s="14">
        <f t="shared" si="921"/>
        <v>2019</v>
      </c>
      <c r="W934" s="14">
        <f t="shared" si="922"/>
        <v>1</v>
      </c>
      <c r="X934" s="14">
        <f>VLOOKUP(W934,[1]Lookups!$P$3:$S$15,2,FALSE)</f>
        <v>1</v>
      </c>
      <c r="Y934" s="16">
        <f>VLOOKUP(W934,[1]Lookups!$P$3:$U$15,3,FALSE)</f>
        <v>1</v>
      </c>
      <c r="Z934" s="16">
        <f t="shared" si="923"/>
        <v>1</v>
      </c>
      <c r="AA934" s="16" t="str">
        <f t="shared" ca="1" si="1215"/>
        <v>Goodwell Investments</v>
      </c>
      <c r="AB934" s="16">
        <f t="shared" si="1215"/>
        <v>0</v>
      </c>
      <c r="AC934" s="16">
        <f t="shared" si="1215"/>
        <v>0</v>
      </c>
      <c r="AD934" s="16">
        <f t="shared" si="1215"/>
        <v>0</v>
      </c>
      <c r="AE934" s="16">
        <f t="shared" si="1215"/>
        <v>0</v>
      </c>
      <c r="AF934" s="16">
        <f t="shared" si="1215"/>
        <v>0</v>
      </c>
      <c r="AG934" s="16">
        <f t="shared" si="1215"/>
        <v>0</v>
      </c>
      <c r="AH934" s="16">
        <f t="shared" si="1215"/>
        <v>0</v>
      </c>
      <c r="AI934" s="16">
        <f t="shared" si="1215"/>
        <v>0</v>
      </c>
      <c r="AJ934" s="16">
        <f t="shared" si="1215"/>
        <v>0</v>
      </c>
      <c r="AK934" s="16">
        <f t="shared" si="1215"/>
        <v>0</v>
      </c>
      <c r="AL934" s="16">
        <f t="shared" si="1215"/>
        <v>0</v>
      </c>
      <c r="AM934" s="16">
        <f t="shared" si="1215"/>
        <v>0</v>
      </c>
      <c r="AN934" s="16">
        <f t="shared" si="1215"/>
        <v>0</v>
      </c>
      <c r="AO934" s="16">
        <f t="shared" si="1215"/>
        <v>0</v>
      </c>
      <c r="AP934" s="10"/>
      <c r="AQ934" s="10"/>
      <c r="AR934" s="10"/>
      <c r="AS934" s="10" t="str">
        <f t="shared" ref="AS934" ca="1" si="1225">IFERROR(__xludf.DUMMYFUNCTION("split(F925,"","",true,true)"),"Goodwell Investments")</f>
        <v>Goodwell Investments</v>
      </c>
      <c r="AT934" s="10"/>
      <c r="AU934" s="10"/>
      <c r="AV934" s="10"/>
      <c r="AW934" s="10"/>
      <c r="AX934" s="10"/>
      <c r="AY934" s="10"/>
      <c r="AZ934" s="10"/>
      <c r="BA934" s="10"/>
      <c r="BB934" s="10"/>
      <c r="BC934" s="10"/>
      <c r="BD934" s="10"/>
      <c r="BE934" s="10"/>
      <c r="BF934" s="10"/>
      <c r="BG934" s="10"/>
      <c r="BH934" s="10"/>
      <c r="BI934" s="10"/>
      <c r="BJ934" s="10"/>
      <c r="BK934" s="10"/>
      <c r="BM934" s="10"/>
    </row>
    <row r="935" spans="1:65" ht="12.75">
      <c r="A935" s="18">
        <v>43493</v>
      </c>
      <c r="B935" s="14" t="s">
        <v>1994</v>
      </c>
      <c r="C935" s="19">
        <v>1500000</v>
      </c>
      <c r="D935" s="19"/>
      <c r="E935" s="14" t="s">
        <v>69</v>
      </c>
      <c r="F935" s="14" t="s">
        <v>855</v>
      </c>
      <c r="G935" s="21" t="s">
        <v>1995</v>
      </c>
      <c r="H935" s="14" t="str">
        <f t="array" ref="H935">IFERROR(INDEX([1]Companies!$G:$G,MATCH(B935,[1]Companies!$A:$A,0)),"")</f>
        <v>South Africa</v>
      </c>
      <c r="I935" s="14" t="str">
        <f t="shared" si="1155"/>
        <v>South Africa</v>
      </c>
      <c r="J935" s="14" t="str">
        <f t="array" ref="J935">IFERROR(INDEX([1]Companies!$Y:$Y,MATCH(B935,[1]Companies!$A:$A,0)),"")</f>
        <v>Property, Tenant</v>
      </c>
      <c r="K935" s="14" t="str">
        <f t="array" ref="K935">IFERROR(INDEX([1]Companies!$X:$X,MATCH(B935,[1]Companies!$A:$A,0)),"")</f>
        <v>Real Estate</v>
      </c>
      <c r="L935" s="14" t="str">
        <f>VLOOKUP(B935,[1]Companies!$A$1:$C$5243,1,FALSE)</f>
        <v>Flow</v>
      </c>
      <c r="M935" s="15">
        <f t="shared" si="1210"/>
        <v>0.9</v>
      </c>
      <c r="N935" s="10" t="str">
        <f t="shared" si="1211"/>
        <v>43493Flow1500000</v>
      </c>
      <c r="O935" s="14" t="str">
        <f t="shared" si="1212"/>
        <v/>
      </c>
      <c r="P935" s="14">
        <f t="shared" si="1213"/>
        <v>1</v>
      </c>
      <c r="Q935" s="14">
        <f t="array" ref="Q935">IFERROR(INDEX([1]Companies!$D:$D,MATCH(B935,[1]Companies!$A:$A,0)),"")</f>
        <v>2017</v>
      </c>
      <c r="R935" s="17">
        <f t="shared" si="1214"/>
        <v>1500000</v>
      </c>
      <c r="S935" s="14">
        <f>VLOOKUP(I935,[1]Lookups!$V$3:$Y$197,4,FALSE)</f>
        <v>0</v>
      </c>
      <c r="T935" s="14" t="str">
        <f>VLOOKUP(E935,[1]Lookups!$H$3:$I$71,2,FALSE)</f>
        <v>3. Early Venture</v>
      </c>
      <c r="U935" s="14" t="str">
        <f>VLOOKUP(K935,[1]Lookups!$B$3:$C$142,2,FALSE)</f>
        <v>Construction &amp; Real Estate</v>
      </c>
      <c r="V935" s="14">
        <f t="shared" si="921"/>
        <v>2019</v>
      </c>
      <c r="W935" s="14">
        <f t="shared" si="922"/>
        <v>1</v>
      </c>
      <c r="X935" s="14">
        <f>VLOOKUP(W935,[1]Lookups!$P$3:$S$15,2,FALSE)</f>
        <v>1</v>
      </c>
      <c r="Y935" s="16">
        <f>VLOOKUP(W935,[1]Lookups!$P$3:$U$15,3,FALSE)</f>
        <v>1</v>
      </c>
      <c r="Z935" s="16">
        <f t="shared" si="923"/>
        <v>1</v>
      </c>
      <c r="AA935" s="16" t="str">
        <f t="shared" ca="1" si="1215"/>
        <v>Goodwell Investments</v>
      </c>
      <c r="AB935" s="16">
        <f t="shared" si="1215"/>
        <v>0</v>
      </c>
      <c r="AC935" s="16">
        <f t="shared" si="1215"/>
        <v>0</v>
      </c>
      <c r="AD935" s="16">
        <f t="shared" si="1215"/>
        <v>0</v>
      </c>
      <c r="AE935" s="16">
        <f t="shared" si="1215"/>
        <v>0</v>
      </c>
      <c r="AF935" s="16">
        <f t="shared" si="1215"/>
        <v>0</v>
      </c>
      <c r="AG935" s="16">
        <f t="shared" si="1215"/>
        <v>0</v>
      </c>
      <c r="AH935" s="16">
        <f t="shared" si="1215"/>
        <v>0</v>
      </c>
      <c r="AI935" s="16">
        <f t="shared" si="1215"/>
        <v>0</v>
      </c>
      <c r="AJ935" s="16">
        <f t="shared" si="1215"/>
        <v>0</v>
      </c>
      <c r="AK935" s="16">
        <f t="shared" si="1215"/>
        <v>0</v>
      </c>
      <c r="AL935" s="16">
        <f t="shared" si="1215"/>
        <v>0</v>
      </c>
      <c r="AM935" s="16">
        <f t="shared" si="1215"/>
        <v>0</v>
      </c>
      <c r="AN935" s="16">
        <f t="shared" si="1215"/>
        <v>0</v>
      </c>
      <c r="AO935" s="16">
        <f t="shared" si="1215"/>
        <v>0</v>
      </c>
      <c r="AP935" s="10"/>
      <c r="AQ935" s="10"/>
      <c r="AR935" s="10"/>
      <c r="AS935" s="10" t="str">
        <f t="shared" ref="AS935" ca="1" si="1226">IFERROR(__xludf.DUMMYFUNCTION("split(F925,"","",true,true)"),"Goodwell Investments")</f>
        <v>Goodwell Investments</v>
      </c>
      <c r="AT935" s="10"/>
      <c r="AU935" s="10"/>
      <c r="AV935" s="10"/>
      <c r="AW935" s="10"/>
      <c r="AX935" s="10"/>
      <c r="AY935" s="10"/>
      <c r="AZ935" s="10"/>
      <c r="BA935" s="10"/>
      <c r="BB935" s="10"/>
      <c r="BC935" s="10"/>
      <c r="BD935" s="10"/>
      <c r="BE935" s="10"/>
      <c r="BF935" s="10"/>
      <c r="BG935" s="10"/>
      <c r="BH935" s="10"/>
      <c r="BI935" s="10"/>
      <c r="BJ935" s="10"/>
      <c r="BK935" s="10"/>
      <c r="BM935" s="10"/>
    </row>
    <row r="936" spans="1:65" ht="12.75">
      <c r="A936" s="18">
        <v>43494</v>
      </c>
      <c r="B936" s="14" t="s">
        <v>786</v>
      </c>
      <c r="C936" s="19">
        <v>2000000</v>
      </c>
      <c r="D936" s="19"/>
      <c r="E936" s="14" t="s">
        <v>69</v>
      </c>
      <c r="F936" s="14" t="s">
        <v>1996</v>
      </c>
      <c r="G936" s="21" t="s">
        <v>1997</v>
      </c>
      <c r="H936" s="14" t="str">
        <f t="array" ref="H936">IFERROR(INDEX([1]Companies!$G:$G,MATCH(B936,[1]Companies!$A:$A,0)),"")</f>
        <v>Kenya</v>
      </c>
      <c r="I936" s="14" t="str">
        <f t="shared" si="1155"/>
        <v>Kenya</v>
      </c>
      <c r="J936" s="14" t="str">
        <f t="array" ref="J936">IFERROR(INDEX([1]Companies!$Y:$Y,MATCH(B936,[1]Companies!$A:$A,0)),"")</f>
        <v>Recruiting, Talent, Hiring, Human Resources, Applicant Screening</v>
      </c>
      <c r="K936" s="14" t="str">
        <f t="array" ref="K936">IFERROR(INDEX([1]Companies!$X:$X,MATCH(B936,[1]Companies!$A:$A,0)),"")</f>
        <v>Recruitment</v>
      </c>
      <c r="L936" s="14" t="str">
        <f>VLOOKUP(B936,[1]Companies!$A$1:$C$5243,1,FALSE)</f>
        <v>Shortlist</v>
      </c>
      <c r="M936" s="15">
        <f t="shared" si="1210"/>
        <v>0.9</v>
      </c>
      <c r="N936" s="10" t="str">
        <f t="shared" si="1211"/>
        <v>43494Shortlist2000000</v>
      </c>
      <c r="O936" s="14" t="str">
        <f t="shared" si="1212"/>
        <v/>
      </c>
      <c r="P936" s="14">
        <f t="shared" si="1213"/>
        <v>1</v>
      </c>
      <c r="Q936" s="14">
        <f t="array" ref="Q936">IFERROR(INDEX([1]Companies!$D:$D,MATCH(B936,[1]Companies!$A:$A,0)),"")</f>
        <v>2016</v>
      </c>
      <c r="R936" s="17">
        <f t="shared" si="1214"/>
        <v>3000000</v>
      </c>
      <c r="S936" s="14">
        <f>VLOOKUP(I936,[1]Lookups!$V$3:$Y$197,4,FALSE)</f>
        <v>0</v>
      </c>
      <c r="T936" s="14" t="str">
        <f>VLOOKUP(E936,[1]Lookups!$H$3:$I$71,2,FALSE)</f>
        <v>3. Early Venture</v>
      </c>
      <c r="U936" s="14" t="str">
        <f>VLOOKUP(K936,[1]Lookups!$B$3:$C$142,2,FALSE)</f>
        <v>Employment, Talent &amp; Labour</v>
      </c>
      <c r="V936" s="14">
        <f t="shared" si="921"/>
        <v>2019</v>
      </c>
      <c r="W936" s="14">
        <f t="shared" si="922"/>
        <v>1</v>
      </c>
      <c r="X936" s="14">
        <f>VLOOKUP(W936,[1]Lookups!$P$3:$S$15,2,FALSE)</f>
        <v>1</v>
      </c>
      <c r="Y936" s="16">
        <f>VLOOKUP(W936,[1]Lookups!$P$3:$U$15,3,FALSE)</f>
        <v>1</v>
      </c>
      <c r="Z936" s="16">
        <f t="shared" si="923"/>
        <v>3</v>
      </c>
      <c r="AA936" s="16" t="str">
        <f t="shared" ca="1" si="1215"/>
        <v>Goodwell Investments</v>
      </c>
      <c r="AB936" s="16" t="str">
        <f t="shared" ca="1" si="1215"/>
        <v xml:space="preserve"> Compass Venture Capital</v>
      </c>
      <c r="AC936" s="16" t="str">
        <f t="shared" ca="1" si="1215"/>
        <v xml:space="preserve"> Zephyr Acorn</v>
      </c>
      <c r="AD936" s="16">
        <f t="shared" si="1215"/>
        <v>0</v>
      </c>
      <c r="AE936" s="16">
        <f t="shared" si="1215"/>
        <v>0</v>
      </c>
      <c r="AF936" s="16">
        <f t="shared" si="1215"/>
        <v>0</v>
      </c>
      <c r="AG936" s="16">
        <f t="shared" si="1215"/>
        <v>0</v>
      </c>
      <c r="AH936" s="16">
        <f t="shared" si="1215"/>
        <v>0</v>
      </c>
      <c r="AI936" s="16">
        <f t="shared" si="1215"/>
        <v>0</v>
      </c>
      <c r="AJ936" s="16">
        <f t="shared" si="1215"/>
        <v>0</v>
      </c>
      <c r="AK936" s="16">
        <f t="shared" si="1215"/>
        <v>0</v>
      </c>
      <c r="AL936" s="16">
        <f t="shared" si="1215"/>
        <v>0</v>
      </c>
      <c r="AM936" s="16">
        <f t="shared" si="1215"/>
        <v>0</v>
      </c>
      <c r="AN936" s="16">
        <f t="shared" si="1215"/>
        <v>0</v>
      </c>
      <c r="AO936" s="16">
        <f t="shared" si="1215"/>
        <v>0</v>
      </c>
      <c r="AP936" s="10"/>
      <c r="AQ936" s="10"/>
      <c r="AR936" s="10"/>
      <c r="AS936" s="10" t="str">
        <f t="shared" ref="AS936" ca="1" si="1227">IFERROR(__xludf.DUMMYFUNCTION("split(F925,"","",true,true)"),"Goodwell Investments")</f>
        <v>Goodwell Investments</v>
      </c>
      <c r="AT936" s="10" t="str">
        <f ca="1">IFERROR(__xludf.DUMMYFUNCTION("""COMPUTED_VALUE""")," Compass Venture Capital")</f>
        <v xml:space="preserve"> Compass Venture Capital</v>
      </c>
      <c r="AU936" s="10" t="str">
        <f ca="1">IFERROR(__xludf.DUMMYFUNCTION("""COMPUTED_VALUE""")," Zephyr Acorn")</f>
        <v xml:space="preserve"> Zephyr Acorn</v>
      </c>
      <c r="AV936" s="10"/>
      <c r="AW936" s="10"/>
      <c r="AX936" s="10"/>
      <c r="AY936" s="10"/>
      <c r="AZ936" s="10"/>
      <c r="BA936" s="10"/>
      <c r="BB936" s="10"/>
      <c r="BC936" s="10"/>
      <c r="BD936" s="10"/>
      <c r="BE936" s="10"/>
      <c r="BF936" s="10"/>
      <c r="BG936" s="10"/>
      <c r="BH936" s="10"/>
      <c r="BI936" s="10"/>
      <c r="BJ936" s="10"/>
      <c r="BK936" s="10"/>
      <c r="BM936" s="10"/>
    </row>
    <row r="937" spans="1:65" ht="12.75">
      <c r="A937" s="18">
        <v>43495</v>
      </c>
      <c r="B937" s="14" t="s">
        <v>1998</v>
      </c>
      <c r="C937" s="19" t="s">
        <v>49</v>
      </c>
      <c r="D937" s="22"/>
      <c r="E937" s="10" t="s">
        <v>51</v>
      </c>
      <c r="F937" s="14" t="s">
        <v>1999</v>
      </c>
      <c r="G937" s="21" t="s">
        <v>2000</v>
      </c>
      <c r="H937" s="14" t="str">
        <f t="array" ref="H937">IFERROR(INDEX([1]Companies!$G:$G,MATCH(B937,[1]Companies!$A:$A,0)),"")</f>
        <v>Nigeria</v>
      </c>
      <c r="I937" s="14" t="str">
        <f t="shared" si="1155"/>
        <v>Nigeria</v>
      </c>
      <c r="J937" s="14" t="str">
        <f t="array" ref="J937">IFERROR(INDEX([1]Companies!$Y:$Y,MATCH(B937,[1]Companies!$A:$A,0)),"")</f>
        <v>Video</v>
      </c>
      <c r="K937" s="14" t="str">
        <f t="array" ref="K937">IFERROR(INDEX([1]Companies!$X:$X,MATCH(B937,[1]Companies!$A:$A,0)),"")</f>
        <v>Media &amp; Entertainment</v>
      </c>
      <c r="L937" s="14" t="str">
        <f>VLOOKUP(B937,[1]Companies!$A$1:$C$5243,1,FALSE)</f>
        <v>Mavin Records</v>
      </c>
      <c r="M937" s="15">
        <f t="shared" si="1210"/>
        <v>0.9</v>
      </c>
      <c r="N937" s="10" t="str">
        <f t="shared" si="1211"/>
        <v>43495Mavin RecordsUndisclosed</v>
      </c>
      <c r="O937" s="14" t="str">
        <f t="shared" si="1212"/>
        <v/>
      </c>
      <c r="P937" s="14">
        <f t="shared" si="1213"/>
        <v>0</v>
      </c>
      <c r="Q937" s="14">
        <f t="array" ref="Q937">IFERROR(INDEX([1]Companies!$D:$D,MATCH(B937,[1]Companies!$A:$A,0)),"")</f>
        <v>2012</v>
      </c>
      <c r="R937" s="17">
        <f t="shared" si="1214"/>
        <v>0</v>
      </c>
      <c r="S937" s="14">
        <f>VLOOKUP(I937,[1]Lookups!$V$3:$Y$197,4,FALSE)</f>
        <v>0</v>
      </c>
      <c r="T937" s="14" t="str">
        <f>VLOOKUP(E937,[1]Lookups!$H$3:$I$71,2,FALSE)</f>
        <v>6. Private Equity</v>
      </c>
      <c r="U937" s="14" t="str">
        <f>VLOOKUP(K937,[1]Lookups!$B$3:$C$142,2,FALSE)</f>
        <v>Media &amp; Entertainment</v>
      </c>
      <c r="V937" s="14">
        <f t="shared" si="921"/>
        <v>2019</v>
      </c>
      <c r="W937" s="14">
        <f t="shared" si="922"/>
        <v>1</v>
      </c>
      <c r="X937" s="14">
        <f>VLOOKUP(W937,[1]Lookups!$P$3:$S$15,2,FALSE)</f>
        <v>1</v>
      </c>
      <c r="Y937" s="16">
        <f>VLOOKUP(W937,[1]Lookups!$P$3:$U$15,3,FALSE)</f>
        <v>1</v>
      </c>
      <c r="Z937" s="16">
        <f t="shared" si="923"/>
        <v>1</v>
      </c>
      <c r="AA937" s="16" t="str">
        <f t="shared" ca="1" si="1215"/>
        <v>Goodwell Investments</v>
      </c>
      <c r="AB937" s="16">
        <f t="shared" si="1215"/>
        <v>0</v>
      </c>
      <c r="AC937" s="16">
        <f t="shared" si="1215"/>
        <v>0</v>
      </c>
      <c r="AD937" s="16">
        <f t="shared" si="1215"/>
        <v>0</v>
      </c>
      <c r="AE937" s="16">
        <f t="shared" si="1215"/>
        <v>0</v>
      </c>
      <c r="AF937" s="16">
        <f t="shared" si="1215"/>
        <v>0</v>
      </c>
      <c r="AG937" s="16">
        <f t="shared" si="1215"/>
        <v>0</v>
      </c>
      <c r="AH937" s="16">
        <f t="shared" si="1215"/>
        <v>0</v>
      </c>
      <c r="AI937" s="16">
        <f t="shared" si="1215"/>
        <v>0</v>
      </c>
      <c r="AJ937" s="16">
        <f t="shared" si="1215"/>
        <v>0</v>
      </c>
      <c r="AK937" s="16">
        <f t="shared" si="1215"/>
        <v>0</v>
      </c>
      <c r="AL937" s="16">
        <f t="shared" si="1215"/>
        <v>0</v>
      </c>
      <c r="AM937" s="16">
        <f t="shared" si="1215"/>
        <v>0</v>
      </c>
      <c r="AN937" s="16">
        <f t="shared" si="1215"/>
        <v>0</v>
      </c>
      <c r="AO937" s="16">
        <f t="shared" si="1215"/>
        <v>0</v>
      </c>
      <c r="AP937" s="10"/>
      <c r="AQ937" s="10"/>
      <c r="AR937" s="10"/>
      <c r="AS937" s="10" t="str">
        <f t="shared" ref="AS937" ca="1" si="1228">IFERROR(__xludf.DUMMYFUNCTION("split(F925,"","",true,true)"),"Goodwell Investments")</f>
        <v>Goodwell Investments</v>
      </c>
      <c r="AT937" s="10"/>
      <c r="AU937" s="10"/>
      <c r="AV937" s="10"/>
      <c r="AW937" s="10"/>
      <c r="AX937" s="10"/>
      <c r="AY937" s="10"/>
      <c r="AZ937" s="10"/>
      <c r="BA937" s="10"/>
      <c r="BB937" s="10"/>
      <c r="BC937" s="10"/>
      <c r="BD937" s="10"/>
      <c r="BE937" s="10"/>
      <c r="BF937" s="10"/>
      <c r="BG937" s="10"/>
      <c r="BH937" s="10"/>
      <c r="BI937" s="10"/>
      <c r="BJ937" s="10"/>
      <c r="BK937" s="10"/>
      <c r="BM937" s="10"/>
    </row>
    <row r="938" spans="1:65" ht="12.75">
      <c r="A938" s="18">
        <v>43495</v>
      </c>
      <c r="B938" s="14" t="s">
        <v>2001</v>
      </c>
      <c r="C938" s="19">
        <v>200000000</v>
      </c>
      <c r="D938" s="19"/>
      <c r="E938" s="10" t="s">
        <v>51</v>
      </c>
      <c r="F938" s="14" t="s">
        <v>2002</v>
      </c>
      <c r="G938" s="21" t="s">
        <v>2003</v>
      </c>
      <c r="H938" s="14" t="str">
        <f t="array" ref="H938">IFERROR(INDEX([1]Companies!$G:$G,MATCH(B938,[1]Companies!$A:$A,0)),"")</f>
        <v>United Kingdom</v>
      </c>
      <c r="I938" s="14" t="str">
        <f t="shared" si="1155"/>
        <v>United Kingdom</v>
      </c>
      <c r="J938" s="14" t="str">
        <f t="array" ref="J938">IFERROR(INDEX([1]Companies!$Y:$Y,MATCH(B938,[1]Companies!$A:$A,0)),"")</f>
        <v>Mobile, Software, Telecommunications</v>
      </c>
      <c r="K938" s="14" t="str">
        <f t="array" ref="K938">IFERROR(INDEX([1]Companies!$X:$X,MATCH(B938,[1]Companies!$A:$A,0)),"")</f>
        <v>Telecommunications</v>
      </c>
      <c r="L938" s="14" t="str">
        <f>VLOOKUP(B938,[1]Companies!$A$1:$C$5243,1,FALSE)</f>
        <v>Airtel Africa</v>
      </c>
      <c r="M938" s="15">
        <f t="shared" si="1210"/>
        <v>0.9</v>
      </c>
      <c r="N938" s="10" t="str">
        <f t="shared" si="1211"/>
        <v>43495Airtel Africa200000000</v>
      </c>
      <c r="O938" s="14" t="str">
        <f t="shared" si="1212"/>
        <v/>
      </c>
      <c r="P938" s="14">
        <f t="shared" si="1213"/>
        <v>1</v>
      </c>
      <c r="Q938" s="14">
        <f t="array" ref="Q938">IFERROR(INDEX([1]Companies!$D:$D,MATCH(B938,[1]Companies!$A:$A,0)),"")</f>
        <v>2000</v>
      </c>
      <c r="R938" s="17">
        <f t="shared" si="1214"/>
        <v>200000000</v>
      </c>
      <c r="S938" s="14">
        <f>VLOOKUP(I938,[1]Lookups!$V$3:$Y$197,4,FALSE)</f>
        <v>1</v>
      </c>
      <c r="T938" s="14" t="str">
        <f>VLOOKUP(E938,[1]Lookups!$H$3:$I$71,2,FALSE)</f>
        <v>6. Private Equity</v>
      </c>
      <c r="U938" s="14" t="str">
        <f>VLOOKUP(K938,[1]Lookups!$B$3:$C$142,2,FALSE)</f>
        <v>Other Technologies &amp; Information Technology</v>
      </c>
      <c r="V938" s="14">
        <f t="shared" si="921"/>
        <v>2019</v>
      </c>
      <c r="W938" s="14">
        <f t="shared" si="922"/>
        <v>1</v>
      </c>
      <c r="X938" s="14">
        <f>VLOOKUP(W938,[1]Lookups!$P$3:$S$15,2,FALSE)</f>
        <v>1</v>
      </c>
      <c r="Y938" s="16">
        <f>VLOOKUP(W938,[1]Lookups!$P$3:$U$15,3,FALSE)</f>
        <v>1</v>
      </c>
      <c r="Z938" s="16">
        <f t="shared" si="923"/>
        <v>1</v>
      </c>
      <c r="AA938" s="16" t="str">
        <f t="shared" ca="1" si="1215"/>
        <v>Goodwell Investments</v>
      </c>
      <c r="AB938" s="16">
        <f t="shared" si="1215"/>
        <v>0</v>
      </c>
      <c r="AC938" s="16">
        <f t="shared" si="1215"/>
        <v>0</v>
      </c>
      <c r="AD938" s="16">
        <f t="shared" si="1215"/>
        <v>0</v>
      </c>
      <c r="AE938" s="16">
        <f t="shared" si="1215"/>
        <v>0</v>
      </c>
      <c r="AF938" s="16">
        <f t="shared" si="1215"/>
        <v>0</v>
      </c>
      <c r="AG938" s="16">
        <f t="shared" si="1215"/>
        <v>0</v>
      </c>
      <c r="AH938" s="16">
        <f t="shared" si="1215"/>
        <v>0</v>
      </c>
      <c r="AI938" s="16">
        <f t="shared" si="1215"/>
        <v>0</v>
      </c>
      <c r="AJ938" s="16">
        <f t="shared" si="1215"/>
        <v>0</v>
      </c>
      <c r="AK938" s="16">
        <f t="shared" si="1215"/>
        <v>0</v>
      </c>
      <c r="AL938" s="16">
        <f t="shared" si="1215"/>
        <v>0</v>
      </c>
      <c r="AM938" s="16">
        <f t="shared" si="1215"/>
        <v>0</v>
      </c>
      <c r="AN938" s="16">
        <f t="shared" si="1215"/>
        <v>0</v>
      </c>
      <c r="AO938" s="16">
        <f t="shared" si="1215"/>
        <v>0</v>
      </c>
      <c r="AP938" s="10"/>
      <c r="AQ938" s="10"/>
      <c r="AR938" s="10"/>
      <c r="AS938" s="10" t="str">
        <f t="shared" ref="AS938" ca="1" si="1229">IFERROR(__xludf.DUMMYFUNCTION("split(F925,"","",true,true)"),"Goodwell Investments")</f>
        <v>Goodwell Investments</v>
      </c>
      <c r="AT938" s="10"/>
      <c r="AU938" s="10"/>
      <c r="AV938" s="10"/>
      <c r="AW938" s="10"/>
      <c r="AX938" s="10"/>
      <c r="AY938" s="10"/>
      <c r="AZ938" s="10"/>
      <c r="BA938" s="10"/>
      <c r="BB938" s="10"/>
      <c r="BC938" s="10"/>
      <c r="BD938" s="10"/>
      <c r="BE938" s="10"/>
      <c r="BF938" s="10"/>
      <c r="BG938" s="10"/>
      <c r="BH938" s="10"/>
      <c r="BI938" s="10"/>
      <c r="BJ938" s="10"/>
      <c r="BK938" s="10"/>
      <c r="BM938" s="10"/>
    </row>
    <row r="939" spans="1:65" ht="12.75">
      <c r="A939" s="18">
        <v>43496</v>
      </c>
      <c r="B939" s="14" t="s">
        <v>2004</v>
      </c>
      <c r="C939" s="19" t="s">
        <v>49</v>
      </c>
      <c r="D939" s="22"/>
      <c r="E939" s="14" t="s">
        <v>45</v>
      </c>
      <c r="F939" s="14" t="s">
        <v>2005</v>
      </c>
      <c r="G939" s="21" t="s">
        <v>2006</v>
      </c>
      <c r="H939" s="14" t="str">
        <f t="array" ref="H939">IFERROR(INDEX([1]Companies!$G:$G,MATCH(B939,[1]Companies!$A:$A,0)),"")</f>
        <v>South Africa</v>
      </c>
      <c r="I939" s="14" t="str">
        <f t="shared" si="1155"/>
        <v>South Africa</v>
      </c>
      <c r="J939" s="14" t="str">
        <f t="array" ref="J939">IFERROR(INDEX([1]Companies!$Y:$Y,MATCH(B939,[1]Companies!$A:$A,0)),"")</f>
        <v>ERP for professionals, health, construction, professional services, and cinema and television</v>
      </c>
      <c r="K939" s="14" t="str">
        <f t="array" ref="K939">IFERROR(INDEX([1]Companies!$X:$X,MATCH(B939,[1]Companies!$A:$A,0)),"")</f>
        <v>Financial Services</v>
      </c>
      <c r="L939" s="14" t="str">
        <f>VLOOKUP(B939,[1]Companies!$A$1:$C$5243,1,FALSE)</f>
        <v>Ctrl</v>
      </c>
      <c r="M939" s="15">
        <f t="shared" si="1210"/>
        <v>0.9</v>
      </c>
      <c r="N939" s="10" t="str">
        <f t="shared" si="1211"/>
        <v>43496CtrlUndisclosed</v>
      </c>
      <c r="O939" s="14" t="str">
        <f t="shared" si="1212"/>
        <v/>
      </c>
      <c r="P939" s="14">
        <f t="shared" si="1213"/>
        <v>0</v>
      </c>
      <c r="Q939" s="14">
        <f t="array" ref="Q939">IFERROR(INDEX([1]Companies!$D:$D,MATCH(B939,[1]Companies!$A:$A,0)),"")</f>
        <v>2017</v>
      </c>
      <c r="R939" s="17">
        <f t="shared" si="1214"/>
        <v>0</v>
      </c>
      <c r="S939" s="14">
        <f>VLOOKUP(I939,[1]Lookups!$V$3:$Y$197,4,FALSE)</f>
        <v>0</v>
      </c>
      <c r="T939" s="14" t="str">
        <f>VLOOKUP(E939,[1]Lookups!$H$3:$I$71,2,FALSE)</f>
        <v>2. Seed</v>
      </c>
      <c r="U939" s="14" t="str">
        <f>VLOOKUP(K939,[1]Lookups!$B$3:$C$142,2,FALSE)</f>
        <v>Financial Services</v>
      </c>
      <c r="V939" s="14">
        <f t="shared" ref="V939:V1193" si="1230">YEAR(A939)</f>
        <v>2019</v>
      </c>
      <c r="W939" s="14">
        <f t="shared" ref="W939:W1193" si="1231">MONTH(A939)</f>
        <v>1</v>
      </c>
      <c r="X939" s="14">
        <f>VLOOKUP(W939,[1]Lookups!$P$3:$S$15,2,FALSE)</f>
        <v>1</v>
      </c>
      <c r="Y939" s="16">
        <f>VLOOKUP(W939,[1]Lookups!$P$3:$U$15,3,FALSE)</f>
        <v>1</v>
      </c>
      <c r="Z939" s="16">
        <f t="shared" ref="Z939:Z1193" si="1232">LEN(F939)-LEN(SUBSTITUTE(F939,",",""))+1</f>
        <v>1</v>
      </c>
      <c r="AA939" s="16" t="str">
        <f t="shared" ca="1" si="1215"/>
        <v>Goodwell Investments</v>
      </c>
      <c r="AB939" s="16">
        <f t="shared" si="1215"/>
        <v>0</v>
      </c>
      <c r="AC939" s="16">
        <f t="shared" si="1215"/>
        <v>0</v>
      </c>
      <c r="AD939" s="16">
        <f t="shared" si="1215"/>
        <v>0</v>
      </c>
      <c r="AE939" s="16">
        <f t="shared" si="1215"/>
        <v>0</v>
      </c>
      <c r="AF939" s="16">
        <f t="shared" si="1215"/>
        <v>0</v>
      </c>
      <c r="AG939" s="16">
        <f t="shared" si="1215"/>
        <v>0</v>
      </c>
      <c r="AH939" s="16">
        <f t="shared" si="1215"/>
        <v>0</v>
      </c>
      <c r="AI939" s="16">
        <f t="shared" si="1215"/>
        <v>0</v>
      </c>
      <c r="AJ939" s="16">
        <f t="shared" si="1215"/>
        <v>0</v>
      </c>
      <c r="AK939" s="16">
        <f t="shared" si="1215"/>
        <v>0</v>
      </c>
      <c r="AL939" s="16">
        <f t="shared" si="1215"/>
        <v>0</v>
      </c>
      <c r="AM939" s="16">
        <f t="shared" si="1215"/>
        <v>0</v>
      </c>
      <c r="AN939" s="16">
        <f t="shared" si="1215"/>
        <v>0</v>
      </c>
      <c r="AO939" s="16">
        <f t="shared" si="1215"/>
        <v>0</v>
      </c>
      <c r="AP939" s="10"/>
      <c r="AQ939" s="10"/>
      <c r="AR939" s="10"/>
      <c r="AS939" s="10" t="str">
        <f t="shared" ref="AS939" ca="1" si="1233">IFERROR(__xludf.DUMMYFUNCTION("split(F925,"","",true,true)"),"Goodwell Investments")</f>
        <v>Goodwell Investments</v>
      </c>
      <c r="AT939" s="10"/>
      <c r="AU939" s="10"/>
      <c r="AV939" s="10"/>
      <c r="AW939" s="10"/>
      <c r="AX939" s="10"/>
      <c r="AY939" s="10"/>
      <c r="AZ939" s="10"/>
      <c r="BA939" s="10"/>
      <c r="BB939" s="10"/>
      <c r="BC939" s="10"/>
      <c r="BD939" s="10"/>
      <c r="BE939" s="10"/>
      <c r="BF939" s="10"/>
      <c r="BG939" s="10"/>
      <c r="BH939" s="10"/>
      <c r="BI939" s="10"/>
      <c r="BJ939" s="10"/>
      <c r="BK939" s="10"/>
      <c r="BM939" s="10"/>
    </row>
    <row r="940" spans="1:65" ht="12.75">
      <c r="A940" s="18">
        <v>43497</v>
      </c>
      <c r="B940" s="14" t="s">
        <v>2007</v>
      </c>
      <c r="C940" s="19" t="s">
        <v>49</v>
      </c>
      <c r="D940" s="22"/>
      <c r="E940" s="14" t="s">
        <v>45</v>
      </c>
      <c r="F940" s="14" t="s">
        <v>2008</v>
      </c>
      <c r="G940" s="21" t="s">
        <v>2009</v>
      </c>
      <c r="H940" s="14" t="str">
        <f t="array" ref="H940">IFERROR(INDEX([1]Companies!$G:$G,MATCH(B940,[1]Companies!$A:$A,0)),"")</f>
        <v>Egypt</v>
      </c>
      <c r="I940" s="14" t="str">
        <f t="shared" si="1155"/>
        <v>Egypt</v>
      </c>
      <c r="J940" s="14" t="str">
        <f t="array" ref="J940">IFERROR(INDEX([1]Companies!$Y:$Y,MATCH(B940,[1]Companies!$A:$A,0)),"")</f>
        <v>Advertising Platforms, Mobile Advertising, Retail, Retail Technology</v>
      </c>
      <c r="K940" s="14" t="str">
        <f t="array" ref="K940">IFERROR(INDEX([1]Companies!$X:$X,MATCH(B940,[1]Companies!$A:$A,0)),"")</f>
        <v>Media &amp; Entertainment</v>
      </c>
      <c r="L940" s="14" t="str">
        <f>VLOOKUP(B940,[1]Companies!$A$1:$C$5243,1,FALSE)</f>
        <v>Pinoffer</v>
      </c>
      <c r="M940" s="15">
        <f t="shared" si="1210"/>
        <v>0.9</v>
      </c>
      <c r="N940" s="10" t="str">
        <f t="shared" si="1211"/>
        <v>43497PinofferUndisclosed</v>
      </c>
      <c r="O940" s="14" t="str">
        <f t="shared" si="1212"/>
        <v/>
      </c>
      <c r="P940" s="14">
        <f t="shared" si="1213"/>
        <v>0</v>
      </c>
      <c r="Q940" s="14">
        <f t="array" ref="Q940">IFERROR(INDEX([1]Companies!$D:$D,MATCH(B940,[1]Companies!$A:$A,0)),"")</f>
        <v>2019</v>
      </c>
      <c r="R940" s="17">
        <f t="shared" si="1214"/>
        <v>50000</v>
      </c>
      <c r="S940" s="14">
        <f>VLOOKUP(I940,[1]Lookups!$V$3:$Y$197,4,FALSE)</f>
        <v>0</v>
      </c>
      <c r="T940" s="14" t="str">
        <f>VLOOKUP(E940,[1]Lookups!$H$3:$I$71,2,FALSE)</f>
        <v>2. Seed</v>
      </c>
      <c r="U940" s="14" t="str">
        <f>VLOOKUP(K940,[1]Lookups!$B$3:$C$142,2,FALSE)</f>
        <v>Media &amp; Entertainment</v>
      </c>
      <c r="V940" s="14">
        <f t="shared" si="1230"/>
        <v>2019</v>
      </c>
      <c r="W940" s="14">
        <f t="shared" si="1231"/>
        <v>2</v>
      </c>
      <c r="X940" s="14">
        <f>VLOOKUP(W940,[1]Lookups!$P$3:$S$15,2,FALSE)</f>
        <v>1</v>
      </c>
      <c r="Y940" s="16">
        <f>VLOOKUP(W940,[1]Lookups!$P$3:$U$15,3,FALSE)</f>
        <v>1</v>
      </c>
      <c r="Z940" s="16">
        <f t="shared" si="1232"/>
        <v>1</v>
      </c>
      <c r="AA940" s="16" t="str">
        <f t="shared" ca="1" si="1215"/>
        <v>Goodwell Investments</v>
      </c>
      <c r="AB940" s="16">
        <f t="shared" si="1215"/>
        <v>0</v>
      </c>
      <c r="AC940" s="16">
        <f t="shared" si="1215"/>
        <v>0</v>
      </c>
      <c r="AD940" s="16">
        <f t="shared" si="1215"/>
        <v>0</v>
      </c>
      <c r="AE940" s="16">
        <f t="shared" si="1215"/>
        <v>0</v>
      </c>
      <c r="AF940" s="16">
        <f t="shared" si="1215"/>
        <v>0</v>
      </c>
      <c r="AG940" s="16">
        <f t="shared" si="1215"/>
        <v>0</v>
      </c>
      <c r="AH940" s="16">
        <f t="shared" si="1215"/>
        <v>0</v>
      </c>
      <c r="AI940" s="16">
        <f t="shared" si="1215"/>
        <v>0</v>
      </c>
      <c r="AJ940" s="16">
        <f t="shared" si="1215"/>
        <v>0</v>
      </c>
      <c r="AK940" s="16">
        <f t="shared" si="1215"/>
        <v>0</v>
      </c>
      <c r="AL940" s="16">
        <f t="shared" si="1215"/>
        <v>0</v>
      </c>
      <c r="AM940" s="16">
        <f t="shared" si="1215"/>
        <v>0</v>
      </c>
      <c r="AN940" s="16">
        <f t="shared" si="1215"/>
        <v>0</v>
      </c>
      <c r="AO940" s="16">
        <f t="shared" si="1215"/>
        <v>0</v>
      </c>
      <c r="AP940" s="10"/>
      <c r="AQ940" s="10"/>
      <c r="AR940" s="10"/>
      <c r="AS940" s="10" t="str">
        <f t="shared" ref="AS940" ca="1" si="1234">IFERROR(__xludf.DUMMYFUNCTION("split(F925,"","",true,true)"),"Goodwell Investments")</f>
        <v>Goodwell Investments</v>
      </c>
      <c r="AT940" s="10"/>
      <c r="AU940" s="10"/>
      <c r="AV940" s="10"/>
      <c r="AW940" s="10"/>
      <c r="AX940" s="10"/>
      <c r="AY940" s="10"/>
      <c r="AZ940" s="10"/>
      <c r="BA940" s="10"/>
      <c r="BB940" s="10"/>
      <c r="BC940" s="10"/>
      <c r="BD940" s="10"/>
      <c r="BE940" s="10"/>
      <c r="BF940" s="10"/>
      <c r="BG940" s="10"/>
      <c r="BH940" s="10"/>
      <c r="BI940" s="10"/>
      <c r="BJ940" s="10"/>
      <c r="BK940" s="10"/>
      <c r="BM940" s="10"/>
    </row>
    <row r="941" spans="1:65" ht="12.75">
      <c r="A941" s="18">
        <v>43497</v>
      </c>
      <c r="B941" s="14" t="s">
        <v>2010</v>
      </c>
      <c r="C941" s="19" t="s">
        <v>49</v>
      </c>
      <c r="D941" s="22"/>
      <c r="E941" s="14" t="s">
        <v>45</v>
      </c>
      <c r="F941" s="14" t="s">
        <v>2011</v>
      </c>
      <c r="G941" s="21" t="s">
        <v>2012</v>
      </c>
      <c r="H941" s="14" t="str">
        <f t="array" ref="H941">IFERROR(INDEX([1]Companies!$G:$G,MATCH(B941,[1]Companies!$A:$A,0)),"")</f>
        <v>Kenya</v>
      </c>
      <c r="I941" s="14" t="str">
        <f t="shared" si="1155"/>
        <v>Kenya</v>
      </c>
      <c r="J941" s="14" t="str">
        <f t="array" ref="J941">IFERROR(INDEX([1]Companies!$Y:$Y,MATCH(B941,[1]Companies!$A:$A,0)),"")</f>
        <v>Agriculture, Analytics, FinTech, Information Services, Information Technology, Software</v>
      </c>
      <c r="K941" s="14" t="str">
        <f t="array" ref="K941">IFERROR(INDEX([1]Companies!$X:$X,MATCH(B941,[1]Companies!$A:$A,0)),"")</f>
        <v>Financial Services</v>
      </c>
      <c r="L941" s="14" t="str">
        <f>VLOOKUP(B941,[1]Companies!$A$1:$C$5243,1,FALSE)</f>
        <v>Farmdrive</v>
      </c>
      <c r="M941" s="15">
        <f t="shared" si="1210"/>
        <v>0.9</v>
      </c>
      <c r="N941" s="10" t="str">
        <f t="shared" si="1211"/>
        <v>43497FarmDriveUndisclosed</v>
      </c>
      <c r="O941" s="14" t="str">
        <f t="shared" si="1212"/>
        <v/>
      </c>
      <c r="P941" s="14">
        <f t="shared" si="1213"/>
        <v>0</v>
      </c>
      <c r="Q941" s="14">
        <f t="array" ref="Q941">IFERROR(INDEX([1]Companies!$D:$D,MATCH(B941,[1]Companies!$A:$A,0)),"")</f>
        <v>2014</v>
      </c>
      <c r="R941" s="17">
        <f t="shared" si="1214"/>
        <v>0</v>
      </c>
      <c r="S941" s="14">
        <f>VLOOKUP(I941,[1]Lookups!$V$3:$Y$197,4,FALSE)</f>
        <v>0</v>
      </c>
      <c r="T941" s="14" t="str">
        <f>VLOOKUP(E941,[1]Lookups!$H$3:$I$71,2,FALSE)</f>
        <v>2. Seed</v>
      </c>
      <c r="U941" s="14" t="str">
        <f>VLOOKUP(K941,[1]Lookups!$B$3:$C$142,2,FALSE)</f>
        <v>Financial Services</v>
      </c>
      <c r="V941" s="14">
        <f t="shared" si="1230"/>
        <v>2019</v>
      </c>
      <c r="W941" s="14">
        <f t="shared" si="1231"/>
        <v>2</v>
      </c>
      <c r="X941" s="14">
        <f>VLOOKUP(W941,[1]Lookups!$P$3:$S$15,2,FALSE)</f>
        <v>1</v>
      </c>
      <c r="Y941" s="16">
        <f>VLOOKUP(W941,[1]Lookups!$P$3:$U$15,3,FALSE)</f>
        <v>1</v>
      </c>
      <c r="Z941" s="16">
        <f t="shared" si="1232"/>
        <v>5</v>
      </c>
      <c r="AA941" s="16" t="str">
        <f t="shared" ref="AA941:AO956" ca="1" si="1235">AS941</f>
        <v>Goodwell Investments</v>
      </c>
      <c r="AB941" s="16" t="str">
        <f t="shared" ca="1" si="1235"/>
        <v xml:space="preserve"> AK IMPACT INVESTORS</v>
      </c>
      <c r="AC941" s="16" t="str">
        <f t="shared" ca="1" si="1235"/>
        <v xml:space="preserve"> 1 to 4 Foundation</v>
      </c>
      <c r="AD941" s="16" t="str">
        <f t="shared" ca="1" si="1235"/>
        <v xml:space="preserve"> ADAP SEED FUND 2</v>
      </c>
      <c r="AE941" s="16" t="str">
        <f t="shared" ca="1" si="1235"/>
        <v xml:space="preserve"> The Lakes Charitable Foundation</v>
      </c>
      <c r="AF941" s="16">
        <f t="shared" si="1235"/>
        <v>0</v>
      </c>
      <c r="AG941" s="16">
        <f t="shared" si="1235"/>
        <v>0</v>
      </c>
      <c r="AH941" s="16">
        <f t="shared" si="1235"/>
        <v>0</v>
      </c>
      <c r="AI941" s="16">
        <f t="shared" si="1235"/>
        <v>0</v>
      </c>
      <c r="AJ941" s="16">
        <f t="shared" si="1235"/>
        <v>0</v>
      </c>
      <c r="AK941" s="16">
        <f t="shared" si="1235"/>
        <v>0</v>
      </c>
      <c r="AL941" s="16">
        <f t="shared" si="1235"/>
        <v>0</v>
      </c>
      <c r="AM941" s="16">
        <f t="shared" si="1235"/>
        <v>0</v>
      </c>
      <c r="AN941" s="16">
        <f t="shared" si="1235"/>
        <v>0</v>
      </c>
      <c r="AO941" s="16">
        <f t="shared" si="1235"/>
        <v>0</v>
      </c>
      <c r="AP941" s="10"/>
      <c r="AQ941" s="10"/>
      <c r="AR941" s="10"/>
      <c r="AS941" s="10" t="str">
        <f t="shared" ref="AS941" ca="1" si="1236">IFERROR(__xludf.DUMMYFUNCTION("split(F925,"","",true,true)"),"Goodwell Investments")</f>
        <v>Goodwell Investments</v>
      </c>
      <c r="AT941" s="10" t="str">
        <f ca="1">IFERROR(__xludf.DUMMYFUNCTION("""COMPUTED_VALUE""")," AK IMPACT INVESTORS")</f>
        <v xml:space="preserve"> AK IMPACT INVESTORS</v>
      </c>
      <c r="AU941" s="10" t="str">
        <f ca="1">IFERROR(__xludf.DUMMYFUNCTION("""COMPUTED_VALUE""")," 1 to 4 Foundation")</f>
        <v xml:space="preserve"> 1 to 4 Foundation</v>
      </c>
      <c r="AV941" s="10" t="str">
        <f ca="1">IFERROR(__xludf.DUMMYFUNCTION("""COMPUTED_VALUE""")," ADAP SEED FUND 2")</f>
        <v xml:space="preserve"> ADAP SEED FUND 2</v>
      </c>
      <c r="AW941" s="10" t="str">
        <f ca="1">IFERROR(__xludf.DUMMYFUNCTION("""COMPUTED_VALUE""")," The Lakes Charitable Foundation")</f>
        <v xml:space="preserve"> The Lakes Charitable Foundation</v>
      </c>
      <c r="AX941" s="10"/>
      <c r="AY941" s="10"/>
      <c r="AZ941" s="10"/>
      <c r="BA941" s="10"/>
      <c r="BB941" s="10"/>
      <c r="BC941" s="10"/>
      <c r="BD941" s="10"/>
      <c r="BE941" s="10"/>
      <c r="BF941" s="10"/>
      <c r="BG941" s="10"/>
      <c r="BH941" s="10"/>
      <c r="BI941" s="10"/>
      <c r="BJ941" s="10"/>
      <c r="BK941" s="10"/>
      <c r="BM941" s="10"/>
    </row>
    <row r="942" spans="1:65" ht="12.75">
      <c r="A942" s="18">
        <v>43497</v>
      </c>
      <c r="B942" s="14" t="s">
        <v>2013</v>
      </c>
      <c r="C942" s="19" t="s">
        <v>49</v>
      </c>
      <c r="D942" s="22"/>
      <c r="E942" s="14" t="s">
        <v>234</v>
      </c>
      <c r="F942" s="14" t="s">
        <v>49</v>
      </c>
      <c r="G942" s="21" t="s">
        <v>2014</v>
      </c>
      <c r="H942" s="14" t="str">
        <f t="array" ref="H942">IFERROR(INDEX([1]Companies!$G:$G,MATCH(B942,[1]Companies!$A:$A,0)),"")</f>
        <v>South Africa</v>
      </c>
      <c r="I942" s="14" t="str">
        <f t="shared" si="1155"/>
        <v>South Africa</v>
      </c>
      <c r="J942" s="14" t="str">
        <f t="array" ref="J942">IFERROR(INDEX([1]Companies!$Y:$Y,MATCH(B942,[1]Companies!$A:$A,0)),"")</f>
        <v>Business Development, Enterprise Software, Innovation Management, Management Consulting, Management Information Systems</v>
      </c>
      <c r="K942" s="14" t="str">
        <f t="array" ref="K942">IFERROR(INDEX([1]Companies!$X:$X,MATCH(B942,[1]Companies!$A:$A,0)),"")</f>
        <v>Information Technology</v>
      </c>
      <c r="L942" s="14" t="str">
        <f>VLOOKUP(B942,[1]Companies!$A$1:$C$5243,1,FALSE)</f>
        <v>Innovation Management Research Institute</v>
      </c>
      <c r="M942" s="15">
        <f t="shared" si="1210"/>
        <v>0.9</v>
      </c>
      <c r="N942" s="10" t="str">
        <f t="shared" si="1211"/>
        <v>43497Innovation Management Research InstituteUndisclosed</v>
      </c>
      <c r="O942" s="14" t="str">
        <f t="shared" si="1212"/>
        <v/>
      </c>
      <c r="P942" s="14">
        <f t="shared" si="1213"/>
        <v>0</v>
      </c>
      <c r="Q942" s="14">
        <f t="array" ref="Q942">IFERROR(INDEX([1]Companies!$D:$D,MATCH(B942,[1]Companies!$A:$A,0)),"")</f>
        <v>2016</v>
      </c>
      <c r="R942" s="17">
        <f t="shared" si="1214"/>
        <v>0</v>
      </c>
      <c r="S942" s="14">
        <f>VLOOKUP(I942,[1]Lookups!$V$3:$Y$197,4,FALSE)</f>
        <v>0</v>
      </c>
      <c r="T942" s="14" t="str">
        <f>VLOOKUP(E942,[1]Lookups!$H$3:$I$71,2,FALSE)</f>
        <v>2. Seed</v>
      </c>
      <c r="U942" s="14" t="str">
        <f>VLOOKUP(K942,[1]Lookups!$B$3:$C$142,2,FALSE)</f>
        <v>Other Technologies &amp; Information Technology</v>
      </c>
      <c r="V942" s="14">
        <f t="shared" si="1230"/>
        <v>2019</v>
      </c>
      <c r="W942" s="14">
        <f t="shared" si="1231"/>
        <v>2</v>
      </c>
      <c r="X942" s="14">
        <f>VLOOKUP(W942,[1]Lookups!$P$3:$S$15,2,FALSE)</f>
        <v>1</v>
      </c>
      <c r="Y942" s="16">
        <f>VLOOKUP(W942,[1]Lookups!$P$3:$U$15,3,FALSE)</f>
        <v>1</v>
      </c>
      <c r="Z942" s="16">
        <f t="shared" si="1232"/>
        <v>1</v>
      </c>
      <c r="AA942" s="16" t="str">
        <f t="shared" ca="1" si="1235"/>
        <v>Goodwell Investments</v>
      </c>
      <c r="AB942" s="16">
        <f t="shared" si="1235"/>
        <v>0</v>
      </c>
      <c r="AC942" s="16">
        <f t="shared" si="1235"/>
        <v>0</v>
      </c>
      <c r="AD942" s="16">
        <f t="shared" si="1235"/>
        <v>0</v>
      </c>
      <c r="AE942" s="16">
        <f t="shared" si="1235"/>
        <v>0</v>
      </c>
      <c r="AF942" s="16">
        <f t="shared" si="1235"/>
        <v>0</v>
      </c>
      <c r="AG942" s="16">
        <f t="shared" si="1235"/>
        <v>0</v>
      </c>
      <c r="AH942" s="16">
        <f t="shared" si="1235"/>
        <v>0</v>
      </c>
      <c r="AI942" s="16">
        <f t="shared" si="1235"/>
        <v>0</v>
      </c>
      <c r="AJ942" s="16">
        <f t="shared" si="1235"/>
        <v>0</v>
      </c>
      <c r="AK942" s="16">
        <f t="shared" si="1235"/>
        <v>0</v>
      </c>
      <c r="AL942" s="16">
        <f t="shared" si="1235"/>
        <v>0</v>
      </c>
      <c r="AM942" s="16">
        <f t="shared" si="1235"/>
        <v>0</v>
      </c>
      <c r="AN942" s="16">
        <f t="shared" si="1235"/>
        <v>0</v>
      </c>
      <c r="AO942" s="16">
        <f t="shared" si="1235"/>
        <v>0</v>
      </c>
      <c r="AP942" s="10"/>
      <c r="AQ942" s="10"/>
      <c r="AR942" s="10"/>
      <c r="AS942" s="10" t="str">
        <f t="shared" ref="AS942" ca="1" si="1237">IFERROR(__xludf.DUMMYFUNCTION("split(F925,"","",true,true)"),"Goodwell Investments")</f>
        <v>Goodwell Investments</v>
      </c>
      <c r="AT942" s="10"/>
      <c r="AU942" s="10"/>
      <c r="AV942" s="10"/>
      <c r="AW942" s="10"/>
      <c r="AX942" s="10"/>
      <c r="AY942" s="10"/>
      <c r="AZ942" s="10"/>
      <c r="BA942" s="10"/>
      <c r="BB942" s="10"/>
      <c r="BC942" s="10"/>
      <c r="BD942" s="10"/>
      <c r="BE942" s="10"/>
      <c r="BF942" s="10"/>
      <c r="BG942" s="10"/>
      <c r="BH942" s="10"/>
      <c r="BI942" s="10"/>
      <c r="BJ942" s="10"/>
      <c r="BK942" s="10"/>
      <c r="BM942" s="10"/>
    </row>
    <row r="943" spans="1:65" ht="12.75">
      <c r="A943" s="18">
        <v>43497</v>
      </c>
      <c r="B943" s="14" t="s">
        <v>2015</v>
      </c>
      <c r="C943" s="19">
        <v>1086610000</v>
      </c>
      <c r="D943" s="19"/>
      <c r="E943" s="10" t="s">
        <v>91</v>
      </c>
      <c r="F943" s="14" t="s">
        <v>49</v>
      </c>
      <c r="G943" s="21" t="s">
        <v>2016</v>
      </c>
      <c r="H943" s="14" t="str">
        <f t="array" ref="H943">IFERROR(INDEX([1]Companies!$G:$G,MATCH(B943,[1]Companies!$A:$A,0)),"")</f>
        <v/>
      </c>
      <c r="I943" s="14" t="str">
        <f t="shared" si="1155"/>
        <v/>
      </c>
      <c r="J943" s="14" t="str">
        <f t="array" ref="J943">IFERROR(INDEX([1]Companies!$Y:$Y,MATCH(B943,[1]Companies!$A:$A,0)),"")</f>
        <v/>
      </c>
      <c r="K943" s="14" t="str">
        <f t="array" ref="K943">IFERROR(INDEX([1]Companies!$X:$X,MATCH(B943,[1]Companies!$A:$A,0)),"")</f>
        <v/>
      </c>
      <c r="L943" s="14" t="e">
        <f>VLOOKUP(B943,[1]Companies!$A$1:$C$5243,1,FALSE)</f>
        <v>#N/A</v>
      </c>
      <c r="M943" s="15">
        <f t="shared" si="1210"/>
        <v>0.6428571428571429</v>
      </c>
      <c r="N943" s="10" t="str">
        <f t="shared" si="1211"/>
        <v>43497Eskom1086610000</v>
      </c>
      <c r="O943" s="14" t="str">
        <f t="shared" si="1212"/>
        <v/>
      </c>
      <c r="P943" s="14">
        <f t="shared" si="1213"/>
        <v>1</v>
      </c>
      <c r="Q943" s="14" t="str">
        <f t="array" ref="Q943">IFERROR(INDEX([1]Companies!$D:$D,MATCH(B943,[1]Companies!$A:$A,0)),"")</f>
        <v/>
      </c>
      <c r="R943" s="17">
        <f t="shared" si="1214"/>
        <v>1086610000</v>
      </c>
      <c r="S943" s="14" t="e">
        <f>VLOOKUP(I943,[1]Lookups!$V$3:$Y$197,4,FALSE)</f>
        <v>#N/A</v>
      </c>
      <c r="T943" s="14" t="str">
        <f>VLOOKUP(E943,[1]Lookups!$H$3:$I$71,2,FALSE)</f>
        <v>5. Debt Financing</v>
      </c>
      <c r="U943" s="14" t="e">
        <f>VLOOKUP(K943,[1]Lookups!$B$3:$C$142,2,FALSE)</f>
        <v>#N/A</v>
      </c>
      <c r="V943" s="14">
        <f t="shared" si="1230"/>
        <v>2019</v>
      </c>
      <c r="W943" s="14">
        <f t="shared" si="1231"/>
        <v>2</v>
      </c>
      <c r="X943" s="14">
        <f>VLOOKUP(W943,[1]Lookups!$P$3:$S$15,2,FALSE)</f>
        <v>1</v>
      </c>
      <c r="Y943" s="16">
        <f>VLOOKUP(W943,[1]Lookups!$P$3:$U$15,3,FALSE)</f>
        <v>1</v>
      </c>
      <c r="Z943" s="16">
        <f t="shared" si="1232"/>
        <v>1</v>
      </c>
      <c r="AA943" s="16" t="str">
        <f t="shared" ca="1" si="1235"/>
        <v>Goodwell Investments</v>
      </c>
      <c r="AB943" s="16">
        <f t="shared" si="1235"/>
        <v>0</v>
      </c>
      <c r="AC943" s="16">
        <f t="shared" si="1235"/>
        <v>0</v>
      </c>
      <c r="AD943" s="16">
        <f t="shared" si="1235"/>
        <v>0</v>
      </c>
      <c r="AE943" s="16">
        <f t="shared" si="1235"/>
        <v>0</v>
      </c>
      <c r="AF943" s="16">
        <f t="shared" si="1235"/>
        <v>0</v>
      </c>
      <c r="AG943" s="16">
        <f t="shared" si="1235"/>
        <v>0</v>
      </c>
      <c r="AH943" s="16">
        <f t="shared" si="1235"/>
        <v>0</v>
      </c>
      <c r="AI943" s="16">
        <f t="shared" si="1235"/>
        <v>0</v>
      </c>
      <c r="AJ943" s="16">
        <f t="shared" si="1235"/>
        <v>0</v>
      </c>
      <c r="AK943" s="16">
        <f t="shared" si="1235"/>
        <v>0</v>
      </c>
      <c r="AL943" s="16">
        <f t="shared" si="1235"/>
        <v>0</v>
      </c>
      <c r="AM943" s="16">
        <f t="shared" si="1235"/>
        <v>0</v>
      </c>
      <c r="AN943" s="16">
        <f t="shared" si="1235"/>
        <v>0</v>
      </c>
      <c r="AO943" s="16">
        <f t="shared" si="1235"/>
        <v>0</v>
      </c>
      <c r="AP943" s="10"/>
      <c r="AQ943" s="10"/>
      <c r="AR943" s="10"/>
      <c r="AS943" s="10" t="str">
        <f t="shared" ref="AS943" ca="1" si="1238">IFERROR(__xludf.DUMMYFUNCTION("split(F925,"","",true,true)"),"Goodwell Investments")</f>
        <v>Goodwell Investments</v>
      </c>
      <c r="AT943" s="10"/>
      <c r="AU943" s="10"/>
      <c r="AV943" s="10"/>
      <c r="AW943" s="10"/>
      <c r="AX943" s="10"/>
      <c r="AY943" s="10"/>
      <c r="AZ943" s="10"/>
      <c r="BA943" s="10"/>
      <c r="BB943" s="10"/>
      <c r="BC943" s="10"/>
      <c r="BD943" s="10"/>
      <c r="BE943" s="10"/>
      <c r="BF943" s="10"/>
      <c r="BG943" s="10"/>
      <c r="BH943" s="10"/>
      <c r="BI943" s="10"/>
      <c r="BJ943" s="10"/>
      <c r="BK943" s="10"/>
      <c r="BM943" s="10"/>
    </row>
    <row r="944" spans="1:65" ht="12.75">
      <c r="A944" s="18">
        <v>43497</v>
      </c>
      <c r="B944" s="14" t="s">
        <v>2017</v>
      </c>
      <c r="C944" s="19">
        <v>707000</v>
      </c>
      <c r="D944" s="19"/>
      <c r="E944" s="14" t="s">
        <v>234</v>
      </c>
      <c r="F944" s="14" t="s">
        <v>2018</v>
      </c>
      <c r="G944" s="21" t="s">
        <v>2019</v>
      </c>
      <c r="H944" s="14" t="str">
        <f t="array" ref="H944">IFERROR(INDEX([1]Companies!$G:$G,MATCH(B944,[1]Companies!$A:$A,0)),"")</f>
        <v>South Africa</v>
      </c>
      <c r="I944" s="14" t="str">
        <f t="shared" si="1155"/>
        <v>South Africa</v>
      </c>
      <c r="J944" s="14" t="str">
        <f t="array" ref="J944">IFERROR(INDEX([1]Companies!$Y:$Y,MATCH(B944,[1]Companies!$A:$A,0)),"")</f>
        <v>Retail</v>
      </c>
      <c r="K944" s="14" t="str">
        <f t="array" ref="K944">IFERROR(INDEX([1]Companies!$X:$X,MATCH(B944,[1]Companies!$A:$A,0)),"")</f>
        <v>E-Commerce &amp; Retail</v>
      </c>
      <c r="L944" s="14" t="str">
        <f>VLOOKUP(B944,[1]Companies!$A$1:$C$5243,1,FALSE)</f>
        <v>Naiste</v>
      </c>
      <c r="M944" s="15">
        <f t="shared" si="1210"/>
        <v>0.9</v>
      </c>
      <c r="N944" s="10" t="str">
        <f t="shared" si="1211"/>
        <v>43497Naiste707000</v>
      </c>
      <c r="O944" s="14" t="str">
        <f t="shared" si="1212"/>
        <v/>
      </c>
      <c r="P944" s="14">
        <f t="shared" si="1213"/>
        <v>1</v>
      </c>
      <c r="Q944" s="14">
        <f t="array" ref="Q944">IFERROR(INDEX([1]Companies!$D:$D,MATCH(B944,[1]Companies!$A:$A,0)),"")</f>
        <v>2019</v>
      </c>
      <c r="R944" s="17">
        <f t="shared" si="1214"/>
        <v>707000</v>
      </c>
      <c r="S944" s="14">
        <f>VLOOKUP(I944,[1]Lookups!$V$3:$Y$197,4,FALSE)</f>
        <v>0</v>
      </c>
      <c r="T944" s="14" t="str">
        <f>VLOOKUP(E944,[1]Lookups!$H$3:$I$71,2,FALSE)</f>
        <v>2. Seed</v>
      </c>
      <c r="U944" s="14" t="str">
        <f>VLOOKUP(K944,[1]Lookups!$B$3:$C$142,2,FALSE)</f>
        <v>E-commerce &amp; Retail</v>
      </c>
      <c r="V944" s="14">
        <f t="shared" si="1230"/>
        <v>2019</v>
      </c>
      <c r="W944" s="14">
        <f t="shared" si="1231"/>
        <v>2</v>
      </c>
      <c r="X944" s="14">
        <f>VLOOKUP(W944,[1]Lookups!$P$3:$S$15,2,FALSE)</f>
        <v>1</v>
      </c>
      <c r="Y944" s="16">
        <f>VLOOKUP(W944,[1]Lookups!$P$3:$U$15,3,FALSE)</f>
        <v>1</v>
      </c>
      <c r="Z944" s="16">
        <f t="shared" si="1232"/>
        <v>1</v>
      </c>
      <c r="AA944" s="16" t="str">
        <f t="shared" ca="1" si="1235"/>
        <v>Goodwell Investments</v>
      </c>
      <c r="AB944" s="16">
        <f t="shared" si="1235"/>
        <v>0</v>
      </c>
      <c r="AC944" s="16">
        <f t="shared" si="1235"/>
        <v>0</v>
      </c>
      <c r="AD944" s="16">
        <f t="shared" si="1235"/>
        <v>0</v>
      </c>
      <c r="AE944" s="16">
        <f t="shared" si="1235"/>
        <v>0</v>
      </c>
      <c r="AF944" s="16">
        <f t="shared" si="1235"/>
        <v>0</v>
      </c>
      <c r="AG944" s="16">
        <f t="shared" si="1235"/>
        <v>0</v>
      </c>
      <c r="AH944" s="16">
        <f t="shared" si="1235"/>
        <v>0</v>
      </c>
      <c r="AI944" s="16">
        <f t="shared" si="1235"/>
        <v>0</v>
      </c>
      <c r="AJ944" s="16">
        <f t="shared" si="1235"/>
        <v>0</v>
      </c>
      <c r="AK944" s="16">
        <f t="shared" si="1235"/>
        <v>0</v>
      </c>
      <c r="AL944" s="16">
        <f t="shared" si="1235"/>
        <v>0</v>
      </c>
      <c r="AM944" s="16">
        <f t="shared" si="1235"/>
        <v>0</v>
      </c>
      <c r="AN944" s="16">
        <f t="shared" si="1235"/>
        <v>0</v>
      </c>
      <c r="AO944" s="16">
        <f t="shared" si="1235"/>
        <v>0</v>
      </c>
      <c r="AP944" s="10"/>
      <c r="AQ944" s="10"/>
      <c r="AR944" s="10"/>
      <c r="AS944" s="10" t="str">
        <f t="shared" ref="AS944" ca="1" si="1239">IFERROR(__xludf.DUMMYFUNCTION("split(F925,"","",true,true)"),"Goodwell Investments")</f>
        <v>Goodwell Investments</v>
      </c>
      <c r="AT944" s="10"/>
      <c r="AU944" s="10"/>
      <c r="AV944" s="10"/>
      <c r="AW944" s="10"/>
      <c r="AX944" s="10"/>
      <c r="AY944" s="10"/>
      <c r="AZ944" s="10"/>
      <c r="BA944" s="10"/>
      <c r="BB944" s="10"/>
      <c r="BC944" s="10"/>
      <c r="BD944" s="10"/>
      <c r="BE944" s="10"/>
      <c r="BF944" s="10"/>
      <c r="BG944" s="10"/>
      <c r="BH944" s="10"/>
      <c r="BI944" s="10"/>
      <c r="BJ944" s="10"/>
      <c r="BK944" s="10"/>
      <c r="BM944" s="10"/>
    </row>
    <row r="945" spans="1:65" ht="12.75">
      <c r="A945" s="9">
        <v>43497</v>
      </c>
      <c r="B945" s="10" t="s">
        <v>2020</v>
      </c>
      <c r="C945" s="11">
        <v>25000</v>
      </c>
      <c r="D945" s="12"/>
      <c r="E945" s="14" t="s">
        <v>234</v>
      </c>
      <c r="F945" s="10" t="s">
        <v>2021</v>
      </c>
      <c r="G945" s="13" t="s">
        <v>2022</v>
      </c>
      <c r="H945" s="14" t="str">
        <f t="array" ref="H945">IFERROR(INDEX([1]Companies!$G:$G,MATCH(B945,[1]Companies!$A:$A,0)),"")</f>
        <v>Egypt</v>
      </c>
      <c r="I945" s="14" t="str">
        <f t="shared" si="1155"/>
        <v>Egypt</v>
      </c>
      <c r="J945" s="14" t="str">
        <f t="array" ref="J945">IFERROR(INDEX([1]Companies!$Y:$Y,MATCH(B945,[1]Companies!$A:$A,0)),"")</f>
        <v>Information Technology, Financial Services</v>
      </c>
      <c r="K945" s="14" t="str">
        <f t="array" ref="K945">IFERROR(INDEX([1]Companies!$X:$X,MATCH(B945,[1]Companies!$A:$A,0)),"")</f>
        <v>Financial Services</v>
      </c>
      <c r="L945" s="14" t="str">
        <f>VLOOKUP(B945,[1]Companies!$A$1:$C$5243,1,FALSE)</f>
        <v>Compareha</v>
      </c>
      <c r="M945" s="15">
        <f t="shared" si="1210"/>
        <v>0.9</v>
      </c>
      <c r="N945" s="10" t="str">
        <f t="shared" si="1211"/>
        <v>43497Compareha25000</v>
      </c>
      <c r="O945" s="14" t="str">
        <f t="shared" si="1212"/>
        <v/>
      </c>
      <c r="P945" s="14">
        <f t="shared" si="1213"/>
        <v>1</v>
      </c>
      <c r="Q945" s="14">
        <f t="array" ref="Q945">IFERROR(INDEX([1]Companies!$D:$D,MATCH(B945,[1]Companies!$A:$A,0)),"")</f>
        <v>2018</v>
      </c>
      <c r="R945" s="17">
        <f t="shared" si="1214"/>
        <v>25000</v>
      </c>
      <c r="S945" s="14">
        <f>VLOOKUP(I945,[1]Lookups!$V$3:$Y$197,4,FALSE)</f>
        <v>0</v>
      </c>
      <c r="T945" s="14" t="str">
        <f>VLOOKUP(E945,[1]Lookups!$H$3:$I$71,2,FALSE)</f>
        <v>2. Seed</v>
      </c>
      <c r="U945" s="14" t="str">
        <f>VLOOKUP(K945,[1]Lookups!$B$3:$C$142,2,FALSE)</f>
        <v>Financial Services</v>
      </c>
      <c r="V945" s="14">
        <f t="shared" si="1230"/>
        <v>2019</v>
      </c>
      <c r="W945" s="14">
        <f t="shared" si="1231"/>
        <v>2</v>
      </c>
      <c r="X945" s="14">
        <f>VLOOKUP(W945,[1]Lookups!$P$3:$S$15,2,FALSE)</f>
        <v>1</v>
      </c>
      <c r="Y945" s="16">
        <f>VLOOKUP(W945,[1]Lookups!$P$3:$U$15,3,FALSE)</f>
        <v>1</v>
      </c>
      <c r="Z945" s="16">
        <f t="shared" si="1232"/>
        <v>8</v>
      </c>
      <c r="AA945" s="16" t="str">
        <f t="shared" ca="1" si="1235"/>
        <v>Goodwell Investments</v>
      </c>
      <c r="AB945" s="16" t="str">
        <f t="shared" ca="1" si="1235"/>
        <v xml:space="preserve"> Pharos Holding</v>
      </c>
      <c r="AC945" s="16" t="str">
        <f t="shared" ca="1" si="1235"/>
        <v xml:space="preserve"> AlexBank</v>
      </c>
      <c r="AD945" s="16" t="str">
        <f t="shared" ca="1" si="1235"/>
        <v xml:space="preserve"> German Agency for International Cooperation and Sustainable Development (GIZ)</v>
      </c>
      <c r="AE945" s="16" t="str">
        <f t="shared" ca="1" si="1235"/>
        <v xml:space="preserve"> Visa</v>
      </c>
      <c r="AF945" s="16" t="str">
        <f t="shared" ca="1" si="1235"/>
        <v xml:space="preserve"> Ayady</v>
      </c>
      <c r="AG945" s="16" t="str">
        <f t="shared" ca="1" si="1235"/>
        <v xml:space="preserve"> Sanad’s Entrepreneurship Academy</v>
      </c>
      <c r="AH945" s="16" t="str">
        <f t="shared" ca="1" si="1235"/>
        <v xml:space="preserve"> Export Development Bank of Egypt (EBE)</v>
      </c>
      <c r="AI945" s="16">
        <f t="shared" si="1235"/>
        <v>0</v>
      </c>
      <c r="AJ945" s="16">
        <f t="shared" si="1235"/>
        <v>0</v>
      </c>
      <c r="AK945" s="16">
        <f t="shared" si="1235"/>
        <v>0</v>
      </c>
      <c r="AL945" s="16">
        <f t="shared" si="1235"/>
        <v>0</v>
      </c>
      <c r="AM945" s="16">
        <f t="shared" si="1235"/>
        <v>0</v>
      </c>
      <c r="AN945" s="16">
        <f t="shared" si="1235"/>
        <v>0</v>
      </c>
      <c r="AO945" s="16">
        <f t="shared" si="1235"/>
        <v>0</v>
      </c>
      <c r="AP945" s="10"/>
      <c r="AQ945" s="10"/>
      <c r="AR945" s="10"/>
      <c r="AS945" s="10" t="str">
        <f t="shared" ref="AS945" ca="1" si="1240">IFERROR(__xludf.DUMMYFUNCTION("split(F925,"","",true,true)"),"Goodwell Investments")</f>
        <v>Goodwell Investments</v>
      </c>
      <c r="AT945" s="10" t="str">
        <f ca="1">IFERROR(__xludf.DUMMYFUNCTION("""COMPUTED_VALUE""")," Pharos Holding")</f>
        <v xml:space="preserve"> Pharos Holding</v>
      </c>
      <c r="AU945" s="10" t="str">
        <f ca="1">IFERROR(__xludf.DUMMYFUNCTION("""COMPUTED_VALUE""")," AlexBank")</f>
        <v xml:space="preserve"> AlexBank</v>
      </c>
      <c r="AV945" s="10" t="str">
        <f ca="1">IFERROR(__xludf.DUMMYFUNCTION("""COMPUTED_VALUE""")," German Agency for International Cooperation and Sustainable Development (GIZ)")</f>
        <v xml:space="preserve"> German Agency for International Cooperation and Sustainable Development (GIZ)</v>
      </c>
      <c r="AW945" s="10" t="str">
        <f ca="1">IFERROR(__xludf.DUMMYFUNCTION("""COMPUTED_VALUE""")," Visa")</f>
        <v xml:space="preserve"> Visa</v>
      </c>
      <c r="AX945" s="10" t="str">
        <f ca="1">IFERROR(__xludf.DUMMYFUNCTION("""COMPUTED_VALUE""")," Ayady")</f>
        <v xml:space="preserve"> Ayady</v>
      </c>
      <c r="AY945" s="10" t="str">
        <f ca="1">IFERROR(__xludf.DUMMYFUNCTION("""COMPUTED_VALUE""")," Sanad’s Entrepreneurship Academy")</f>
        <v xml:space="preserve"> Sanad’s Entrepreneurship Academy</v>
      </c>
      <c r="AZ945" s="10" t="str">
        <f ca="1">IFERROR(__xludf.DUMMYFUNCTION("""COMPUTED_VALUE""")," Export Development Bank of Egypt (EBE)")</f>
        <v xml:space="preserve"> Export Development Bank of Egypt (EBE)</v>
      </c>
      <c r="BA945" s="10"/>
      <c r="BB945" s="10"/>
      <c r="BC945" s="10"/>
      <c r="BD945" s="10"/>
      <c r="BE945" s="10"/>
      <c r="BF945" s="10"/>
      <c r="BG945" s="10"/>
      <c r="BH945" s="10"/>
      <c r="BI945" s="10"/>
      <c r="BJ945" s="10"/>
      <c r="BK945" s="10"/>
      <c r="BM945" s="10"/>
    </row>
    <row r="946" spans="1:65" ht="12.75">
      <c r="A946" s="18">
        <v>43500</v>
      </c>
      <c r="B946" s="14" t="s">
        <v>1785</v>
      </c>
      <c r="C946" s="19" t="s">
        <v>49</v>
      </c>
      <c r="D946" s="22"/>
      <c r="E946" s="14" t="s">
        <v>69</v>
      </c>
      <c r="F946" s="14" t="s">
        <v>2023</v>
      </c>
      <c r="G946" s="21" t="s">
        <v>2024</v>
      </c>
      <c r="H946" s="14" t="str">
        <f t="array" ref="H946">IFERROR(INDEX([1]Companies!$G:$G,MATCH(B946,[1]Companies!$A:$A,0)),"")</f>
        <v>Rwanda</v>
      </c>
      <c r="I946" s="14" t="str">
        <f t="shared" si="1155"/>
        <v>Rwanda</v>
      </c>
      <c r="J946" s="14" t="str">
        <f t="array" ref="J946">IFERROR(INDEX([1]Companies!$Y:$Y,MATCH(B946,[1]Companies!$A:$A,0)),"")</f>
        <v>Consumer Goods, Retail, Retail Technology, Women</v>
      </c>
      <c r="K946" s="14" t="str">
        <f t="array" ref="K946">IFERROR(INDEX([1]Companies!$X:$X,MATCH(B946,[1]Companies!$A:$A,0)),"")</f>
        <v>E-Commerce &amp; Retail</v>
      </c>
      <c r="L946" s="14" t="str">
        <f>VLOOKUP(B946,[1]Companies!$A$1:$C$5243,1,FALSE)</f>
        <v>Kasha</v>
      </c>
      <c r="M946" s="15">
        <f t="shared" si="1210"/>
        <v>0.9</v>
      </c>
      <c r="N946" s="10" t="str">
        <f t="shared" si="1211"/>
        <v>43500KashaUndisclosed</v>
      </c>
      <c r="O946" s="14" t="str">
        <f t="shared" si="1212"/>
        <v/>
      </c>
      <c r="P946" s="14">
        <f t="shared" si="1213"/>
        <v>0</v>
      </c>
      <c r="Q946" s="14">
        <f t="array" ref="Q946">IFERROR(INDEX([1]Companies!$D:$D,MATCH(B946,[1]Companies!$A:$A,0)),"")</f>
        <v>2016</v>
      </c>
      <c r="R946" s="17">
        <f t="shared" si="1214"/>
        <v>150000</v>
      </c>
      <c r="S946" s="14">
        <f>VLOOKUP(I946,[1]Lookups!$V$3:$Y$197,4,FALSE)</f>
        <v>0</v>
      </c>
      <c r="T946" s="14" t="str">
        <f>VLOOKUP(E946,[1]Lookups!$H$3:$I$71,2,FALSE)</f>
        <v>3. Early Venture</v>
      </c>
      <c r="U946" s="14" t="str">
        <f>VLOOKUP(K946,[1]Lookups!$B$3:$C$142,2,FALSE)</f>
        <v>E-commerce &amp; Retail</v>
      </c>
      <c r="V946" s="14">
        <f t="shared" si="1230"/>
        <v>2019</v>
      </c>
      <c r="W946" s="14">
        <f t="shared" si="1231"/>
        <v>2</v>
      </c>
      <c r="X946" s="14">
        <f>VLOOKUP(W946,[1]Lookups!$P$3:$S$15,2,FALSE)</f>
        <v>1</v>
      </c>
      <c r="Y946" s="16">
        <f>VLOOKUP(W946,[1]Lookups!$P$3:$U$15,3,FALSE)</f>
        <v>1</v>
      </c>
      <c r="Z946" s="16">
        <f t="shared" si="1232"/>
        <v>1</v>
      </c>
      <c r="AA946" s="16" t="str">
        <f t="shared" ca="1" si="1235"/>
        <v>Goodwell Investments</v>
      </c>
      <c r="AB946" s="16">
        <f t="shared" si="1235"/>
        <v>0</v>
      </c>
      <c r="AC946" s="16">
        <f t="shared" si="1235"/>
        <v>0</v>
      </c>
      <c r="AD946" s="16">
        <f t="shared" si="1235"/>
        <v>0</v>
      </c>
      <c r="AE946" s="16">
        <f t="shared" si="1235"/>
        <v>0</v>
      </c>
      <c r="AF946" s="16">
        <f t="shared" si="1235"/>
        <v>0</v>
      </c>
      <c r="AG946" s="16">
        <f t="shared" si="1235"/>
        <v>0</v>
      </c>
      <c r="AH946" s="16">
        <f t="shared" si="1235"/>
        <v>0</v>
      </c>
      <c r="AI946" s="16">
        <f t="shared" si="1235"/>
        <v>0</v>
      </c>
      <c r="AJ946" s="16">
        <f t="shared" si="1235"/>
        <v>0</v>
      </c>
      <c r="AK946" s="16">
        <f t="shared" si="1235"/>
        <v>0</v>
      </c>
      <c r="AL946" s="16">
        <f t="shared" si="1235"/>
        <v>0</v>
      </c>
      <c r="AM946" s="16">
        <f t="shared" si="1235"/>
        <v>0</v>
      </c>
      <c r="AN946" s="16">
        <f t="shared" si="1235"/>
        <v>0</v>
      </c>
      <c r="AO946" s="16">
        <f t="shared" si="1235"/>
        <v>0</v>
      </c>
      <c r="AP946" s="10"/>
      <c r="AQ946" s="10"/>
      <c r="AR946" s="10"/>
      <c r="AS946" s="10" t="str">
        <f t="shared" ref="AS946" ca="1" si="1241">IFERROR(__xludf.DUMMYFUNCTION("split(F925,"","",true,true)"),"Goodwell Investments")</f>
        <v>Goodwell Investments</v>
      </c>
      <c r="AT946" s="10"/>
      <c r="AU946" s="10"/>
      <c r="AV946" s="10"/>
      <c r="AW946" s="10"/>
      <c r="AX946" s="10"/>
      <c r="AY946" s="10"/>
      <c r="AZ946" s="10"/>
      <c r="BA946" s="10"/>
      <c r="BB946" s="10"/>
      <c r="BC946" s="10"/>
      <c r="BD946" s="10"/>
      <c r="BE946" s="10"/>
      <c r="BF946" s="10"/>
      <c r="BG946" s="10"/>
      <c r="BH946" s="10"/>
      <c r="BI946" s="10"/>
      <c r="BJ946" s="10"/>
      <c r="BK946" s="10"/>
      <c r="BM946" s="10"/>
    </row>
    <row r="947" spans="1:65" ht="12.75">
      <c r="A947" s="18">
        <v>43500</v>
      </c>
      <c r="B947" s="14" t="s">
        <v>2025</v>
      </c>
      <c r="C947" s="19">
        <v>120000</v>
      </c>
      <c r="D947" s="19"/>
      <c r="E947" s="14" t="s">
        <v>45</v>
      </c>
      <c r="F947" s="14" t="s">
        <v>879</v>
      </c>
      <c r="G947" s="21" t="s">
        <v>2026</v>
      </c>
      <c r="H947" s="14" t="str">
        <f t="array" ref="H947">IFERROR(INDEX([1]Companies!$G:$G,MATCH(B947,[1]Companies!$A:$A,0)),"")</f>
        <v>Nigeria</v>
      </c>
      <c r="I947" s="14" t="str">
        <f t="shared" si="1155"/>
        <v>Nigeria</v>
      </c>
      <c r="J947" s="14" t="str">
        <f t="array" ref="J947">IFERROR(INDEX([1]Companies!$Y:$Y,MATCH(B947,[1]Companies!$A:$A,0)),"")</f>
        <v>Finacial Services</v>
      </c>
      <c r="K947" s="14" t="str">
        <f t="array" ref="K947">IFERROR(INDEX([1]Companies!$X:$X,MATCH(B947,[1]Companies!$A:$A,0)),"")</f>
        <v>Financial Services</v>
      </c>
      <c r="L947" s="14" t="str">
        <f>VLOOKUP(B947,[1]Companies!$A$1:$C$5243,1,FALSE)</f>
        <v>Kora</v>
      </c>
      <c r="M947" s="15">
        <f t="shared" si="1210"/>
        <v>0.9</v>
      </c>
      <c r="N947" s="10" t="str">
        <f t="shared" si="1211"/>
        <v>43500Kora120000</v>
      </c>
      <c r="O947" s="14" t="str">
        <f t="shared" si="1212"/>
        <v/>
      </c>
      <c r="P947" s="14">
        <f t="shared" si="1213"/>
        <v>1</v>
      </c>
      <c r="Q947" s="14">
        <f t="array" ref="Q947">IFERROR(INDEX([1]Companies!$D:$D,MATCH(B947,[1]Companies!$A:$A,0)),"")</f>
        <v>2017</v>
      </c>
      <c r="R947" s="17">
        <f t="shared" si="1214"/>
        <v>120000</v>
      </c>
      <c r="S947" s="14">
        <f>VLOOKUP(I947,[1]Lookups!$V$3:$Y$197,4,FALSE)</f>
        <v>0</v>
      </c>
      <c r="T947" s="14" t="str">
        <f>VLOOKUP(E947,[1]Lookups!$H$3:$I$71,2,FALSE)</f>
        <v>2. Seed</v>
      </c>
      <c r="U947" s="14" t="str">
        <f>VLOOKUP(K947,[1]Lookups!$B$3:$C$142,2,FALSE)</f>
        <v>Financial Services</v>
      </c>
      <c r="V947" s="14">
        <f t="shared" si="1230"/>
        <v>2019</v>
      </c>
      <c r="W947" s="14">
        <f t="shared" si="1231"/>
        <v>2</v>
      </c>
      <c r="X947" s="14">
        <f>VLOOKUP(W947,[1]Lookups!$P$3:$S$15,2,FALSE)</f>
        <v>1</v>
      </c>
      <c r="Y947" s="16">
        <f>VLOOKUP(W947,[1]Lookups!$P$3:$U$15,3,FALSE)</f>
        <v>1</v>
      </c>
      <c r="Z947" s="16">
        <f t="shared" si="1232"/>
        <v>1</v>
      </c>
      <c r="AA947" s="16" t="str">
        <f t="shared" ca="1" si="1235"/>
        <v>Goodwell Investments</v>
      </c>
      <c r="AB947" s="16">
        <f t="shared" si="1235"/>
        <v>0</v>
      </c>
      <c r="AC947" s="16">
        <f t="shared" si="1235"/>
        <v>0</v>
      </c>
      <c r="AD947" s="16">
        <f t="shared" si="1235"/>
        <v>0</v>
      </c>
      <c r="AE947" s="16">
        <f t="shared" si="1235"/>
        <v>0</v>
      </c>
      <c r="AF947" s="16">
        <f t="shared" si="1235"/>
        <v>0</v>
      </c>
      <c r="AG947" s="16">
        <f t="shared" si="1235"/>
        <v>0</v>
      </c>
      <c r="AH947" s="16">
        <f t="shared" si="1235"/>
        <v>0</v>
      </c>
      <c r="AI947" s="16">
        <f t="shared" si="1235"/>
        <v>0</v>
      </c>
      <c r="AJ947" s="16">
        <f t="shared" si="1235"/>
        <v>0</v>
      </c>
      <c r="AK947" s="16">
        <f t="shared" si="1235"/>
        <v>0</v>
      </c>
      <c r="AL947" s="16">
        <f t="shared" si="1235"/>
        <v>0</v>
      </c>
      <c r="AM947" s="16">
        <f t="shared" si="1235"/>
        <v>0</v>
      </c>
      <c r="AN947" s="16">
        <f t="shared" si="1235"/>
        <v>0</v>
      </c>
      <c r="AO947" s="16">
        <f t="shared" si="1235"/>
        <v>0</v>
      </c>
      <c r="AP947" s="10"/>
      <c r="AQ947" s="10"/>
      <c r="AR947" s="10"/>
      <c r="AS947" s="10" t="str">
        <f t="shared" ref="AS947" ca="1" si="1242">IFERROR(__xludf.DUMMYFUNCTION("split(F925,"","",true,true)"),"Goodwell Investments")</f>
        <v>Goodwell Investments</v>
      </c>
      <c r="AT947" s="10"/>
      <c r="AU947" s="10"/>
      <c r="AV947" s="10"/>
      <c r="AW947" s="10"/>
      <c r="AX947" s="10"/>
      <c r="AY947" s="10"/>
      <c r="AZ947" s="10"/>
      <c r="BA947" s="10"/>
      <c r="BB947" s="10"/>
      <c r="BC947" s="10"/>
      <c r="BD947" s="10"/>
      <c r="BE947" s="10"/>
      <c r="BF947" s="10"/>
      <c r="BG947" s="10"/>
      <c r="BH947" s="10"/>
      <c r="BI947" s="10"/>
      <c r="BJ947" s="10"/>
      <c r="BK947" s="10"/>
      <c r="BM947" s="10"/>
    </row>
    <row r="948" spans="1:65" ht="12.75">
      <c r="A948" s="18">
        <v>43501</v>
      </c>
      <c r="B948" s="14" t="s">
        <v>2027</v>
      </c>
      <c r="C948" s="19" t="s">
        <v>49</v>
      </c>
      <c r="D948" s="22"/>
      <c r="E948" s="14" t="s">
        <v>69</v>
      </c>
      <c r="F948" s="14" t="s">
        <v>49</v>
      </c>
      <c r="G948" s="21" t="s">
        <v>2028</v>
      </c>
      <c r="H948" s="14" t="str">
        <f t="array" ref="H948">IFERROR(INDEX([1]Companies!$G:$G,MATCH(B948,[1]Companies!$A:$A,0)),"")</f>
        <v>South Africa</v>
      </c>
      <c r="I948" s="14" t="str">
        <f t="shared" si="1155"/>
        <v>South Africa</v>
      </c>
      <c r="J948" s="14" t="str">
        <f t="array" ref="J948">IFERROR(INDEX([1]Companies!$Y:$Y,MATCH(B948,[1]Companies!$A:$A,0)),"")</f>
        <v>Analytics, Artificial Intelligence, Human Resources, Information Technology, Security, Software</v>
      </c>
      <c r="K948" s="14" t="str">
        <f t="array" ref="K948">IFERROR(INDEX([1]Companies!$X:$X,MATCH(B948,[1]Companies!$A:$A,0)),"")</f>
        <v>Information Technology</v>
      </c>
      <c r="L948" s="14" t="str">
        <f>VLOOKUP(B948,[1]Companies!$A$1:$C$5243,1,FALSE)</f>
        <v>Cortex Logic</v>
      </c>
      <c r="M948" s="15">
        <f t="shared" si="1210"/>
        <v>0.9</v>
      </c>
      <c r="N948" s="10" t="str">
        <f t="shared" si="1211"/>
        <v>43501Cortex LogicUndisclosed</v>
      </c>
      <c r="O948" s="14" t="str">
        <f t="shared" si="1212"/>
        <v/>
      </c>
      <c r="P948" s="14">
        <f t="shared" si="1213"/>
        <v>0</v>
      </c>
      <c r="Q948" s="14">
        <f t="array" ref="Q948">IFERROR(INDEX([1]Companies!$D:$D,MATCH(B948,[1]Companies!$A:$A,0)),"")</f>
        <v>2015</v>
      </c>
      <c r="R948" s="17">
        <f t="shared" si="1214"/>
        <v>0</v>
      </c>
      <c r="S948" s="14">
        <f>VLOOKUP(I948,[1]Lookups!$V$3:$Y$197,4,FALSE)</f>
        <v>0</v>
      </c>
      <c r="T948" s="14" t="str">
        <f>VLOOKUP(E948,[1]Lookups!$H$3:$I$71,2,FALSE)</f>
        <v>3. Early Venture</v>
      </c>
      <c r="U948" s="14" t="str">
        <f>VLOOKUP(K948,[1]Lookups!$B$3:$C$142,2,FALSE)</f>
        <v>Other Technologies &amp; Information Technology</v>
      </c>
      <c r="V948" s="14">
        <f t="shared" si="1230"/>
        <v>2019</v>
      </c>
      <c r="W948" s="14">
        <f t="shared" si="1231"/>
        <v>2</v>
      </c>
      <c r="X948" s="14">
        <f>VLOOKUP(W948,[1]Lookups!$P$3:$S$15,2,FALSE)</f>
        <v>1</v>
      </c>
      <c r="Y948" s="16">
        <f>VLOOKUP(W948,[1]Lookups!$P$3:$U$15,3,FALSE)</f>
        <v>1</v>
      </c>
      <c r="Z948" s="16">
        <f t="shared" si="1232"/>
        <v>1</v>
      </c>
      <c r="AA948" s="16" t="str">
        <f t="shared" ca="1" si="1235"/>
        <v>Goodwell Investments</v>
      </c>
      <c r="AB948" s="16">
        <f t="shared" si="1235"/>
        <v>0</v>
      </c>
      <c r="AC948" s="16">
        <f t="shared" si="1235"/>
        <v>0</v>
      </c>
      <c r="AD948" s="16">
        <f t="shared" si="1235"/>
        <v>0</v>
      </c>
      <c r="AE948" s="16">
        <f t="shared" si="1235"/>
        <v>0</v>
      </c>
      <c r="AF948" s="16">
        <f t="shared" si="1235"/>
        <v>0</v>
      </c>
      <c r="AG948" s="16">
        <f t="shared" si="1235"/>
        <v>0</v>
      </c>
      <c r="AH948" s="16">
        <f t="shared" si="1235"/>
        <v>0</v>
      </c>
      <c r="AI948" s="16">
        <f t="shared" si="1235"/>
        <v>0</v>
      </c>
      <c r="AJ948" s="16">
        <f t="shared" si="1235"/>
        <v>0</v>
      </c>
      <c r="AK948" s="16">
        <f t="shared" si="1235"/>
        <v>0</v>
      </c>
      <c r="AL948" s="16">
        <f t="shared" si="1235"/>
        <v>0</v>
      </c>
      <c r="AM948" s="16">
        <f t="shared" si="1235"/>
        <v>0</v>
      </c>
      <c r="AN948" s="16">
        <f t="shared" si="1235"/>
        <v>0</v>
      </c>
      <c r="AO948" s="16">
        <f t="shared" si="1235"/>
        <v>0</v>
      </c>
      <c r="AP948" s="10"/>
      <c r="AQ948" s="10"/>
      <c r="AR948" s="10"/>
      <c r="AS948" s="10" t="str">
        <f t="shared" ref="AS948" ca="1" si="1243">IFERROR(__xludf.DUMMYFUNCTION("split(F925,"","",true,true)"),"Goodwell Investments")</f>
        <v>Goodwell Investments</v>
      </c>
      <c r="AT948" s="10"/>
      <c r="AU948" s="10"/>
      <c r="AV948" s="10"/>
      <c r="AW948" s="10"/>
      <c r="AX948" s="10"/>
      <c r="AY948" s="10"/>
      <c r="AZ948" s="10"/>
      <c r="BA948" s="10"/>
      <c r="BB948" s="10"/>
      <c r="BC948" s="10"/>
      <c r="BD948" s="10"/>
      <c r="BE948" s="10"/>
      <c r="BF948" s="10"/>
      <c r="BG948" s="10"/>
      <c r="BH948" s="10"/>
      <c r="BI948" s="10"/>
      <c r="BJ948" s="10"/>
      <c r="BK948" s="10"/>
      <c r="BM948" s="10"/>
    </row>
    <row r="949" spans="1:65" ht="12.75">
      <c r="A949" s="18">
        <v>43504</v>
      </c>
      <c r="B949" s="14" t="s">
        <v>157</v>
      </c>
      <c r="C949" s="19">
        <v>5000000</v>
      </c>
      <c r="D949" s="19"/>
      <c r="E949" s="10" t="s">
        <v>91</v>
      </c>
      <c r="F949" s="14" t="s">
        <v>2029</v>
      </c>
      <c r="G949" s="21" t="s">
        <v>2030</v>
      </c>
      <c r="H949" s="14" t="str">
        <f t="array" ref="H949">IFERROR(INDEX([1]Companies!$G:$G,MATCH(B949,[1]Companies!$A:$A,0)),"")</f>
        <v>Uganda</v>
      </c>
      <c r="I949" s="14" t="str">
        <f t="shared" si="1155"/>
        <v>Uganda</v>
      </c>
      <c r="J949" s="14" t="str">
        <f t="array" ref="J949">IFERROR(INDEX([1]Companies!$Y:$Y,MATCH(B949,[1]Companies!$A:$A,0)),"")</f>
        <v>Car Sharing, Financial Services, Web Development, Asset Financing, Boda Boda</v>
      </c>
      <c r="K949" s="14" t="str">
        <f t="array" ref="K949">IFERROR(INDEX([1]Companies!$X:$X,MATCH(B949,[1]Companies!$A:$A,0)),"")</f>
        <v>Financial Services</v>
      </c>
      <c r="L949" s="14" t="str">
        <f>VLOOKUP(B949,[1]Companies!$A$1:$C$5243,1,FALSE)</f>
        <v>Tugende</v>
      </c>
      <c r="M949" s="15">
        <f t="shared" si="1210"/>
        <v>0.9</v>
      </c>
      <c r="N949" s="10" t="str">
        <f t="shared" si="1211"/>
        <v>43504Tugende5000000</v>
      </c>
      <c r="O949" s="14" t="str">
        <f t="shared" si="1212"/>
        <v/>
      </c>
      <c r="P949" s="14">
        <f t="shared" si="1213"/>
        <v>1</v>
      </c>
      <c r="Q949" s="14">
        <f t="array" ref="Q949">IFERROR(INDEX([1]Companies!$D:$D,MATCH(B949,[1]Companies!$A:$A,0)),"")</f>
        <v>2012</v>
      </c>
      <c r="R949" s="17">
        <f t="shared" si="1214"/>
        <v>11080000</v>
      </c>
      <c r="S949" s="14">
        <f>VLOOKUP(I949,[1]Lookups!$V$3:$Y$197,4,FALSE)</f>
        <v>0</v>
      </c>
      <c r="T949" s="14" t="str">
        <f>VLOOKUP(E949,[1]Lookups!$H$3:$I$71,2,FALSE)</f>
        <v>5. Debt Financing</v>
      </c>
      <c r="U949" s="14" t="str">
        <f>VLOOKUP(K949,[1]Lookups!$B$3:$C$142,2,FALSE)</f>
        <v>Financial Services</v>
      </c>
      <c r="V949" s="14">
        <f t="shared" si="1230"/>
        <v>2019</v>
      </c>
      <c r="W949" s="14">
        <f t="shared" si="1231"/>
        <v>2</v>
      </c>
      <c r="X949" s="14">
        <f>VLOOKUP(W949,[1]Lookups!$P$3:$S$15,2,FALSE)</f>
        <v>1</v>
      </c>
      <c r="Y949" s="16">
        <f>VLOOKUP(W949,[1]Lookups!$P$3:$U$15,3,FALSE)</f>
        <v>1</v>
      </c>
      <c r="Z949" s="16">
        <f t="shared" si="1232"/>
        <v>1</v>
      </c>
      <c r="AA949" s="16" t="str">
        <f t="shared" ca="1" si="1235"/>
        <v>Goodwell Investments</v>
      </c>
      <c r="AB949" s="16">
        <f t="shared" si="1235"/>
        <v>0</v>
      </c>
      <c r="AC949" s="16">
        <f t="shared" si="1235"/>
        <v>0</v>
      </c>
      <c r="AD949" s="16">
        <f t="shared" si="1235"/>
        <v>0</v>
      </c>
      <c r="AE949" s="16">
        <f t="shared" si="1235"/>
        <v>0</v>
      </c>
      <c r="AF949" s="16">
        <f t="shared" si="1235"/>
        <v>0</v>
      </c>
      <c r="AG949" s="16">
        <f t="shared" si="1235"/>
        <v>0</v>
      </c>
      <c r="AH949" s="16">
        <f t="shared" si="1235"/>
        <v>0</v>
      </c>
      <c r="AI949" s="16">
        <f t="shared" si="1235"/>
        <v>0</v>
      </c>
      <c r="AJ949" s="16">
        <f t="shared" si="1235"/>
        <v>0</v>
      </c>
      <c r="AK949" s="16">
        <f t="shared" si="1235"/>
        <v>0</v>
      </c>
      <c r="AL949" s="16">
        <f t="shared" si="1235"/>
        <v>0</v>
      </c>
      <c r="AM949" s="16">
        <f t="shared" si="1235"/>
        <v>0</v>
      </c>
      <c r="AN949" s="16">
        <f t="shared" si="1235"/>
        <v>0</v>
      </c>
      <c r="AO949" s="16">
        <f t="shared" si="1235"/>
        <v>0</v>
      </c>
      <c r="AP949" s="10"/>
      <c r="AQ949" s="10"/>
      <c r="AR949" s="10"/>
      <c r="AS949" s="10" t="str">
        <f t="shared" ref="AS949:AS950" ca="1" si="1244">IFERROR(__xludf.DUMMYFUNCTION("split(F925,"","",true,true)"),"Goodwell Investments")</f>
        <v>Goodwell Investments</v>
      </c>
      <c r="AT949" s="10"/>
      <c r="AU949" s="10"/>
      <c r="AV949" s="10"/>
      <c r="AW949" s="10"/>
      <c r="AX949" s="10"/>
      <c r="AY949" s="10"/>
      <c r="AZ949" s="10"/>
      <c r="BA949" s="10"/>
      <c r="BB949" s="10"/>
      <c r="BC949" s="10"/>
      <c r="BD949" s="10"/>
      <c r="BE949" s="10"/>
      <c r="BF949" s="10"/>
      <c r="BG949" s="10"/>
      <c r="BH949" s="10"/>
      <c r="BI949" s="10"/>
      <c r="BJ949" s="10"/>
      <c r="BK949" s="10"/>
      <c r="BM949" s="10"/>
    </row>
    <row r="950" spans="1:65" ht="12.75">
      <c r="A950" s="9">
        <v>43505</v>
      </c>
      <c r="B950" s="10" t="s">
        <v>136</v>
      </c>
      <c r="C950" s="11">
        <v>1700000</v>
      </c>
      <c r="D950" s="12"/>
      <c r="E950" s="10" t="s">
        <v>2031</v>
      </c>
      <c r="F950" s="13" t="s">
        <v>137</v>
      </c>
      <c r="G950" s="10"/>
      <c r="H950" s="14"/>
      <c r="I950" s="14"/>
      <c r="J950" s="14"/>
      <c r="K950" s="14"/>
      <c r="L950" s="14"/>
      <c r="M950" s="15"/>
      <c r="N950" s="10"/>
      <c r="O950" s="14"/>
      <c r="P950" s="14"/>
      <c r="Q950" s="14"/>
      <c r="R950" s="14"/>
      <c r="S950" s="14"/>
      <c r="T950" s="14"/>
      <c r="U950" s="14"/>
      <c r="V950" s="14">
        <f t="shared" si="1230"/>
        <v>2019</v>
      </c>
      <c r="W950" s="14">
        <f t="shared" si="1231"/>
        <v>2</v>
      </c>
      <c r="X950" s="14">
        <f>VLOOKUP(W950,[1]Lookups!$P$3:$S$15,2,FALSE)</f>
        <v>1</v>
      </c>
      <c r="Y950" s="16">
        <f>VLOOKUP(W950,[1]Lookups!$P$3:$U$15,3,FALSE)</f>
        <v>1</v>
      </c>
      <c r="Z950" s="16">
        <f t="shared" si="1232"/>
        <v>1</v>
      </c>
      <c r="AA950" s="26" t="str">
        <f t="shared" ca="1" si="1235"/>
        <v>Goodwell Investments</v>
      </c>
      <c r="AB950" s="16">
        <f t="shared" si="1235"/>
        <v>0</v>
      </c>
      <c r="AC950" s="16">
        <f t="shared" si="1235"/>
        <v>0</v>
      </c>
      <c r="AD950" s="16">
        <f t="shared" si="1235"/>
        <v>0</v>
      </c>
      <c r="AE950" s="16">
        <f t="shared" si="1235"/>
        <v>0</v>
      </c>
      <c r="AF950" s="16">
        <f t="shared" si="1235"/>
        <v>0</v>
      </c>
      <c r="AG950" s="16">
        <f t="shared" si="1235"/>
        <v>0</v>
      </c>
      <c r="AH950" s="16">
        <f t="shared" si="1235"/>
        <v>0</v>
      </c>
      <c r="AI950" s="16">
        <f t="shared" si="1235"/>
        <v>0</v>
      </c>
      <c r="AJ950" s="16">
        <f t="shared" si="1235"/>
        <v>0</v>
      </c>
      <c r="AK950" s="16">
        <f t="shared" si="1235"/>
        <v>0</v>
      </c>
      <c r="AL950" s="16">
        <f t="shared" si="1235"/>
        <v>0</v>
      </c>
      <c r="AM950" s="16">
        <f t="shared" si="1235"/>
        <v>0</v>
      </c>
      <c r="AN950" s="16">
        <f t="shared" si="1235"/>
        <v>0</v>
      </c>
      <c r="AO950" s="16">
        <f t="shared" si="1235"/>
        <v>0</v>
      </c>
      <c r="AP950" s="10"/>
      <c r="AQ950" s="10"/>
      <c r="AR950" s="10"/>
      <c r="AS950" s="13" t="str">
        <f t="shared" ca="1" si="1244"/>
        <v>Goodwell Investments</v>
      </c>
      <c r="AT950" s="10"/>
      <c r="AU950" s="10"/>
      <c r="AV950" s="10"/>
      <c r="AW950" s="10"/>
      <c r="AX950" s="10"/>
      <c r="AY950" s="10"/>
      <c r="AZ950" s="10"/>
      <c r="BA950" s="10"/>
      <c r="BB950" s="10"/>
      <c r="BC950" s="10"/>
      <c r="BD950" s="10"/>
      <c r="BE950" s="10"/>
      <c r="BF950" s="10"/>
      <c r="BG950" s="10"/>
      <c r="BH950" s="10"/>
      <c r="BI950" s="10"/>
      <c r="BJ950" s="10"/>
      <c r="BK950" s="10"/>
      <c r="BM950" s="10"/>
    </row>
    <row r="951" spans="1:65" ht="12.75">
      <c r="A951" s="18">
        <v>43507</v>
      </c>
      <c r="B951" s="14" t="s">
        <v>2032</v>
      </c>
      <c r="C951" s="19">
        <v>100000</v>
      </c>
      <c r="D951" s="19"/>
      <c r="E951" s="10" t="s">
        <v>55</v>
      </c>
      <c r="F951" s="14" t="s">
        <v>2033</v>
      </c>
      <c r="G951" s="21" t="s">
        <v>2034</v>
      </c>
      <c r="H951" s="14" t="str">
        <f t="array" ref="H951">IFERROR(INDEX([1]Companies!$G:$G,MATCH(B951,[1]Companies!$A:$A,0)),"")</f>
        <v>Tunisia</v>
      </c>
      <c r="I951" s="14" t="str">
        <f t="shared" ref="I951:I966" si="1245">IF(LEN(TRIM(H951))-LEN(SUBSTITUTE(TRIM(H951),",","")) &gt; 0,TRIM(RIGHT(H951,LEN(H951)-FIND(",",H951))),H951)</f>
        <v>Tunisia</v>
      </c>
      <c r="J951" s="14" t="str">
        <f t="array" ref="J951">IFERROR(INDEX([1]Companies!$Y:$Y,MATCH(B951,[1]Companies!$A:$A,0)),"")</f>
        <v>Project Delivery, CRM, and Cloud Computing</v>
      </c>
      <c r="K951" s="14" t="str">
        <f t="array" ref="K951">IFERROR(INDEX([1]Companies!$X:$X,MATCH(B951,[1]Companies!$A:$A,0)),"")</f>
        <v>Information Technology</v>
      </c>
      <c r="L951" s="14" t="str">
        <f>VLOOKUP(B951,[1]Companies!$A$1:$C$5243,1,FALSE)</f>
        <v>Cloudshift</v>
      </c>
      <c r="M951" s="15">
        <f t="shared" ref="M951:M966" si="1246">COUNTA(B951:K951)/(COUNTBLANK(B951:K951) + COUNTA(B951:K951))</f>
        <v>0.9</v>
      </c>
      <c r="N951" s="10" t="str">
        <f t="shared" ref="N951:N966" si="1247">CONCATENATE(A951,B951,C951)</f>
        <v>43507Cloudshift100000</v>
      </c>
      <c r="O951" s="14" t="str">
        <f t="shared" ref="O951:O966" si="1248">IF(A951 = "","",IF(COUNTIF(N:N,CONCATENATE(A951,B951,C951))&gt;1,"Duplicated",""))</f>
        <v/>
      </c>
      <c r="P951" s="14">
        <f t="shared" ref="P951:P966" si="1249">IF(C951="Undisclosed",0,1)</f>
        <v>1</v>
      </c>
      <c r="Q951" s="14">
        <f t="array" ref="Q951">IFERROR(INDEX([1]Companies!$D:$D,MATCH(B951,[1]Companies!$A:$A,0)),"")</f>
        <v>2015</v>
      </c>
      <c r="R951" s="17">
        <f t="shared" ref="R951:R966" si="1250">SUMIF(B:B,B951,C:C)</f>
        <v>100000</v>
      </c>
      <c r="S951" s="14">
        <f>VLOOKUP(I951,[1]Lookups!$V$3:$Y$197,4,FALSE)</f>
        <v>0</v>
      </c>
      <c r="T951" s="14" t="str">
        <f>VLOOKUP(E951,[1]Lookups!$H$3:$I$71,2,FALSE)</f>
        <v>1. Grant</v>
      </c>
      <c r="U951" s="14" t="str">
        <f>VLOOKUP(K951,[1]Lookups!$B$3:$C$142,2,FALSE)</f>
        <v>Other Technologies &amp; Information Technology</v>
      </c>
      <c r="V951" s="14">
        <f t="shared" si="1230"/>
        <v>2019</v>
      </c>
      <c r="W951" s="14">
        <f t="shared" si="1231"/>
        <v>2</v>
      </c>
      <c r="X951" s="14">
        <f>VLOOKUP(W951,[1]Lookups!$P$3:$S$15,2,FALSE)</f>
        <v>1</v>
      </c>
      <c r="Y951" s="16">
        <f>VLOOKUP(W951,[1]Lookups!$P$3:$U$15,3,FALSE)</f>
        <v>1</v>
      </c>
      <c r="Z951" s="16">
        <f t="shared" si="1232"/>
        <v>1</v>
      </c>
      <c r="AA951" s="16" t="str">
        <f t="shared" ca="1" si="1235"/>
        <v>Goodwell Investments</v>
      </c>
      <c r="AB951" s="16">
        <f t="shared" si="1235"/>
        <v>0</v>
      </c>
      <c r="AC951" s="16">
        <f t="shared" si="1235"/>
        <v>0</v>
      </c>
      <c r="AD951" s="16">
        <f t="shared" si="1235"/>
        <v>0</v>
      </c>
      <c r="AE951" s="16">
        <f t="shared" si="1235"/>
        <v>0</v>
      </c>
      <c r="AF951" s="16">
        <f t="shared" si="1235"/>
        <v>0</v>
      </c>
      <c r="AG951" s="16">
        <f t="shared" si="1235"/>
        <v>0</v>
      </c>
      <c r="AH951" s="16">
        <f t="shared" si="1235"/>
        <v>0</v>
      </c>
      <c r="AI951" s="16">
        <f t="shared" si="1235"/>
        <v>0</v>
      </c>
      <c r="AJ951" s="16">
        <f t="shared" si="1235"/>
        <v>0</v>
      </c>
      <c r="AK951" s="16">
        <f t="shared" si="1235"/>
        <v>0</v>
      </c>
      <c r="AL951" s="16">
        <f t="shared" si="1235"/>
        <v>0</v>
      </c>
      <c r="AM951" s="16">
        <f t="shared" si="1235"/>
        <v>0</v>
      </c>
      <c r="AN951" s="16">
        <f t="shared" si="1235"/>
        <v>0</v>
      </c>
      <c r="AO951" s="16">
        <f t="shared" si="1235"/>
        <v>0</v>
      </c>
      <c r="AP951" s="10"/>
      <c r="AQ951" s="10"/>
      <c r="AR951" s="10"/>
      <c r="AS951" s="10" t="str">
        <f t="shared" ref="AS951" ca="1" si="1251">IFERROR(__xludf.DUMMYFUNCTION("split(F925,"","",true,true)"),"Goodwell Investments")</f>
        <v>Goodwell Investments</v>
      </c>
      <c r="AT951" s="10"/>
      <c r="AU951" s="10"/>
      <c r="AV951" s="10"/>
      <c r="AW951" s="10"/>
      <c r="AX951" s="10"/>
      <c r="AY951" s="10"/>
      <c r="AZ951" s="10"/>
      <c r="BA951" s="10"/>
      <c r="BB951" s="10"/>
      <c r="BC951" s="10"/>
      <c r="BD951" s="10"/>
      <c r="BE951" s="10"/>
      <c r="BF951" s="10"/>
      <c r="BG951" s="10"/>
      <c r="BH951" s="10"/>
      <c r="BI951" s="10"/>
      <c r="BJ951" s="10"/>
      <c r="BK951" s="10"/>
      <c r="BM951" s="10"/>
    </row>
    <row r="952" spans="1:65" ht="12.75">
      <c r="A952" s="18">
        <v>43507</v>
      </c>
      <c r="B952" s="21" t="s">
        <v>2035</v>
      </c>
      <c r="C952" s="19">
        <v>70000</v>
      </c>
      <c r="D952" s="19"/>
      <c r="E952" s="10" t="s">
        <v>55</v>
      </c>
      <c r="F952" s="14" t="s">
        <v>2033</v>
      </c>
      <c r="G952" s="21" t="s">
        <v>2034</v>
      </c>
      <c r="H952" s="14" t="str">
        <f t="array" ref="H952">IFERROR(INDEX([1]Companies!$G:$G,MATCH(B952,[1]Companies!$A:$A,0)),"")</f>
        <v>Tunisia</v>
      </c>
      <c r="I952" s="14" t="str">
        <f t="shared" si="1245"/>
        <v>Tunisia</v>
      </c>
      <c r="J952" s="14" t="str">
        <f t="array" ref="J952">IFERROR(INDEX([1]Companies!$Y:$Y,MATCH(B952,[1]Companies!$A:$A,0)),"")</f>
        <v>Transportation, Supply Chain</v>
      </c>
      <c r="K952" s="14" t="str">
        <f t="array" ref="K952">IFERROR(INDEX([1]Companies!$X:$X,MATCH(B952,[1]Companies!$A:$A,0)),"")</f>
        <v>Transport &amp; Logistics</v>
      </c>
      <c r="L952" s="21" t="str">
        <f>VLOOKUP(B952,[1]Companies!$A$1:$C$5243,1,FALSE)</f>
        <v>Appro.tn</v>
      </c>
      <c r="M952" s="15">
        <f t="shared" si="1246"/>
        <v>0.9</v>
      </c>
      <c r="N952" s="10" t="str">
        <f t="shared" si="1247"/>
        <v>43507Appro.tn70000</v>
      </c>
      <c r="O952" s="14" t="str">
        <f t="shared" si="1248"/>
        <v/>
      </c>
      <c r="P952" s="14">
        <f t="shared" si="1249"/>
        <v>1</v>
      </c>
      <c r="Q952" s="14">
        <f t="array" ref="Q952">IFERROR(INDEX([1]Companies!$D:$D,MATCH(B952,[1]Companies!$A:$A,0)),"")</f>
        <v>2018</v>
      </c>
      <c r="R952" s="17">
        <f t="shared" si="1250"/>
        <v>70000</v>
      </c>
      <c r="S952" s="14">
        <f>VLOOKUP(I952,[1]Lookups!$V$3:$Y$197,4,FALSE)</f>
        <v>0</v>
      </c>
      <c r="T952" s="14" t="str">
        <f>VLOOKUP(E952,[1]Lookups!$H$3:$I$71,2,FALSE)</f>
        <v>1. Grant</v>
      </c>
      <c r="U952" s="14" t="str">
        <f>VLOOKUP(K952,[1]Lookups!$B$3:$C$142,2,FALSE)</f>
        <v>Transport &amp; Logistics</v>
      </c>
      <c r="V952" s="14">
        <f t="shared" si="1230"/>
        <v>2019</v>
      </c>
      <c r="W952" s="14">
        <f t="shared" si="1231"/>
        <v>2</v>
      </c>
      <c r="X952" s="14">
        <f>VLOOKUP(W952,[1]Lookups!$P$3:$S$15,2,FALSE)</f>
        <v>1</v>
      </c>
      <c r="Y952" s="16">
        <f>VLOOKUP(W952,[1]Lookups!$P$3:$U$15,3,FALSE)</f>
        <v>1</v>
      </c>
      <c r="Z952" s="16">
        <f t="shared" si="1232"/>
        <v>1</v>
      </c>
      <c r="AA952" s="16" t="str">
        <f t="shared" ca="1" si="1235"/>
        <v>Goodwell Investments</v>
      </c>
      <c r="AB952" s="16">
        <f t="shared" si="1235"/>
        <v>0</v>
      </c>
      <c r="AC952" s="16">
        <f t="shared" si="1235"/>
        <v>0</v>
      </c>
      <c r="AD952" s="16">
        <f t="shared" si="1235"/>
        <v>0</v>
      </c>
      <c r="AE952" s="16">
        <f t="shared" si="1235"/>
        <v>0</v>
      </c>
      <c r="AF952" s="16">
        <f t="shared" si="1235"/>
        <v>0</v>
      </c>
      <c r="AG952" s="16">
        <f t="shared" si="1235"/>
        <v>0</v>
      </c>
      <c r="AH952" s="16">
        <f t="shared" si="1235"/>
        <v>0</v>
      </c>
      <c r="AI952" s="16">
        <f t="shared" si="1235"/>
        <v>0</v>
      </c>
      <c r="AJ952" s="16">
        <f t="shared" si="1235"/>
        <v>0</v>
      </c>
      <c r="AK952" s="16">
        <f t="shared" si="1235"/>
        <v>0</v>
      </c>
      <c r="AL952" s="16">
        <f t="shared" si="1235"/>
        <v>0</v>
      </c>
      <c r="AM952" s="16">
        <f t="shared" si="1235"/>
        <v>0</v>
      </c>
      <c r="AN952" s="16">
        <f t="shared" si="1235"/>
        <v>0</v>
      </c>
      <c r="AO952" s="16">
        <f t="shared" si="1235"/>
        <v>0</v>
      </c>
      <c r="AP952" s="10"/>
      <c r="AQ952" s="10"/>
      <c r="AR952" s="10"/>
      <c r="AS952" s="10" t="str">
        <f t="shared" ref="AS952" ca="1" si="1252">IFERROR(__xludf.DUMMYFUNCTION("split(F925,"","",true,true)"),"Goodwell Investments")</f>
        <v>Goodwell Investments</v>
      </c>
      <c r="AT952" s="23"/>
      <c r="AU952" s="23"/>
      <c r="AV952" s="23"/>
      <c r="AW952" s="23"/>
      <c r="AX952" s="23"/>
      <c r="AY952" s="23"/>
      <c r="AZ952" s="23"/>
      <c r="BA952" s="23"/>
      <c r="BB952" s="23"/>
      <c r="BC952" s="23"/>
      <c r="BD952" s="23"/>
      <c r="BE952" s="23"/>
      <c r="BF952" s="23"/>
      <c r="BG952" s="23"/>
      <c r="BH952" s="23"/>
      <c r="BI952" s="23"/>
      <c r="BJ952" s="23"/>
      <c r="BK952" s="23"/>
      <c r="BM952" s="23"/>
    </row>
    <row r="953" spans="1:65" ht="12.75">
      <c r="A953" s="18">
        <v>43507</v>
      </c>
      <c r="B953" s="14" t="s">
        <v>2036</v>
      </c>
      <c r="C953" s="19">
        <v>70000</v>
      </c>
      <c r="D953" s="19"/>
      <c r="E953" s="10" t="s">
        <v>55</v>
      </c>
      <c r="F953" s="14" t="s">
        <v>2033</v>
      </c>
      <c r="G953" s="21" t="s">
        <v>2034</v>
      </c>
      <c r="H953" s="14" t="str">
        <f t="array" ref="H953">IFERROR(INDEX([1]Companies!$G:$G,MATCH(B953,[1]Companies!$A:$A,0)),"")</f>
        <v>Tunisia</v>
      </c>
      <c r="I953" s="14" t="str">
        <f t="shared" si="1245"/>
        <v>Tunisia</v>
      </c>
      <c r="J953" s="14" t="str">
        <f t="array" ref="J953">IFERROR(INDEX([1]Companies!$Y:$Y,MATCH(B953,[1]Companies!$A:$A,0)),"")</f>
        <v>Artificial Intelligence, Information Technology</v>
      </c>
      <c r="K953" s="14" t="str">
        <f t="array" ref="K953">IFERROR(INDEX([1]Companies!$X:$X,MATCH(B953,[1]Companies!$A:$A,0)),"")</f>
        <v>Information Technology</v>
      </c>
      <c r="L953" s="14" t="str">
        <f>VLOOKUP(B953,[1]Companies!$A$1:$C$5243,1,FALSE)</f>
        <v>Deepera</v>
      </c>
      <c r="M953" s="15">
        <f t="shared" si="1246"/>
        <v>0.9</v>
      </c>
      <c r="N953" s="10" t="str">
        <f t="shared" si="1247"/>
        <v>43507Deepera70000</v>
      </c>
      <c r="O953" s="14" t="str">
        <f t="shared" si="1248"/>
        <v/>
      </c>
      <c r="P953" s="14">
        <f t="shared" si="1249"/>
        <v>1</v>
      </c>
      <c r="Q953" s="14">
        <f t="array" ref="Q953">IFERROR(INDEX([1]Companies!$D:$D,MATCH(B953,[1]Companies!$A:$A,0)),"")</f>
        <v>2018</v>
      </c>
      <c r="R953" s="17">
        <f t="shared" si="1250"/>
        <v>70000</v>
      </c>
      <c r="S953" s="14">
        <f>VLOOKUP(I953,[1]Lookups!$V$3:$Y$197,4,FALSE)</f>
        <v>0</v>
      </c>
      <c r="T953" s="14" t="str">
        <f>VLOOKUP(E953,[1]Lookups!$H$3:$I$71,2,FALSE)</f>
        <v>1. Grant</v>
      </c>
      <c r="U953" s="14" t="str">
        <f>VLOOKUP(K953,[1]Lookups!$B$3:$C$142,2,FALSE)</f>
        <v>Other Technologies &amp; Information Technology</v>
      </c>
      <c r="V953" s="14">
        <f t="shared" si="1230"/>
        <v>2019</v>
      </c>
      <c r="W953" s="14">
        <f t="shared" si="1231"/>
        <v>2</v>
      </c>
      <c r="X953" s="14">
        <f>VLOOKUP(W953,[1]Lookups!$P$3:$S$15,2,FALSE)</f>
        <v>1</v>
      </c>
      <c r="Y953" s="16">
        <f>VLOOKUP(W953,[1]Lookups!$P$3:$U$15,3,FALSE)</f>
        <v>1</v>
      </c>
      <c r="Z953" s="16">
        <f t="shared" si="1232"/>
        <v>1</v>
      </c>
      <c r="AA953" s="16" t="str">
        <f t="shared" ca="1" si="1235"/>
        <v>Goodwell Investments</v>
      </c>
      <c r="AB953" s="16">
        <f t="shared" si="1235"/>
        <v>0</v>
      </c>
      <c r="AC953" s="16">
        <f t="shared" si="1235"/>
        <v>0</v>
      </c>
      <c r="AD953" s="16">
        <f t="shared" si="1235"/>
        <v>0</v>
      </c>
      <c r="AE953" s="16">
        <f t="shared" si="1235"/>
        <v>0</v>
      </c>
      <c r="AF953" s="16">
        <f t="shared" si="1235"/>
        <v>0</v>
      </c>
      <c r="AG953" s="16">
        <f t="shared" si="1235"/>
        <v>0</v>
      </c>
      <c r="AH953" s="16">
        <f t="shared" si="1235"/>
        <v>0</v>
      </c>
      <c r="AI953" s="16">
        <f t="shared" si="1235"/>
        <v>0</v>
      </c>
      <c r="AJ953" s="16">
        <f t="shared" si="1235"/>
        <v>0</v>
      </c>
      <c r="AK953" s="16">
        <f t="shared" si="1235"/>
        <v>0</v>
      </c>
      <c r="AL953" s="16">
        <f t="shared" si="1235"/>
        <v>0</v>
      </c>
      <c r="AM953" s="16">
        <f t="shared" si="1235"/>
        <v>0</v>
      </c>
      <c r="AN953" s="16">
        <f t="shared" si="1235"/>
        <v>0</v>
      </c>
      <c r="AO953" s="16">
        <f t="shared" si="1235"/>
        <v>0</v>
      </c>
      <c r="AP953" s="10"/>
      <c r="AQ953" s="10"/>
      <c r="AR953" s="10"/>
      <c r="AS953" s="10" t="str">
        <f t="shared" ref="AS953" ca="1" si="1253">IFERROR(__xludf.DUMMYFUNCTION("split(F925,"","",true,true)"),"Goodwell Investments")</f>
        <v>Goodwell Investments</v>
      </c>
      <c r="AT953" s="10"/>
      <c r="AU953" s="10"/>
      <c r="AV953" s="10"/>
      <c r="AW953" s="10"/>
      <c r="AX953" s="10"/>
      <c r="AY953" s="10"/>
      <c r="AZ953" s="10"/>
      <c r="BA953" s="10"/>
      <c r="BB953" s="10"/>
      <c r="BC953" s="10"/>
      <c r="BD953" s="10"/>
      <c r="BE953" s="10"/>
      <c r="BF953" s="10"/>
      <c r="BG953" s="10"/>
      <c r="BH953" s="10"/>
      <c r="BI953" s="10"/>
      <c r="BJ953" s="10"/>
      <c r="BK953" s="10"/>
      <c r="BM953" s="10"/>
    </row>
    <row r="954" spans="1:65" ht="12.75">
      <c r="A954" s="18">
        <v>43507</v>
      </c>
      <c r="B954" s="14" t="s">
        <v>2037</v>
      </c>
      <c r="C954" s="19">
        <v>50000</v>
      </c>
      <c r="D954" s="19"/>
      <c r="E954" s="10" t="s">
        <v>55</v>
      </c>
      <c r="F954" s="14" t="s">
        <v>2033</v>
      </c>
      <c r="G954" s="21" t="s">
        <v>2034</v>
      </c>
      <c r="H954" s="14" t="str">
        <f t="array" ref="H954">IFERROR(INDEX([1]Companies!$G:$G,MATCH(B954,[1]Companies!$A:$A,0)),"")</f>
        <v>Tunisia</v>
      </c>
      <c r="I954" s="14" t="str">
        <f t="shared" si="1245"/>
        <v>Tunisia</v>
      </c>
      <c r="J954" s="14" t="str">
        <f t="array" ref="J954">IFERROR(INDEX([1]Companies!$Y:$Y,MATCH(B954,[1]Companies!$A:$A,0)),"")</f>
        <v>Information Services, Information Technology</v>
      </c>
      <c r="K954" s="14" t="str">
        <f t="array" ref="K954">IFERROR(INDEX([1]Companies!$X:$X,MATCH(B954,[1]Companies!$A:$A,0)),"")</f>
        <v>Information Technology</v>
      </c>
      <c r="L954" s="14" t="str">
        <f>VLOOKUP(B954,[1]Companies!$A$1:$C$5243,1,FALSE)</f>
        <v>Attila Tel</v>
      </c>
      <c r="M954" s="15">
        <f t="shared" si="1246"/>
        <v>0.9</v>
      </c>
      <c r="N954" s="10" t="str">
        <f t="shared" si="1247"/>
        <v>43507Attila Tel50000</v>
      </c>
      <c r="O954" s="14" t="str">
        <f t="shared" si="1248"/>
        <v/>
      </c>
      <c r="P954" s="14">
        <f t="shared" si="1249"/>
        <v>1</v>
      </c>
      <c r="Q954" s="14">
        <f t="array" ref="Q954">IFERROR(INDEX([1]Companies!$D:$D,MATCH(B954,[1]Companies!$A:$A,0)),"")</f>
        <v>2007</v>
      </c>
      <c r="R954" s="17">
        <f t="shared" si="1250"/>
        <v>50000</v>
      </c>
      <c r="S954" s="14">
        <f>VLOOKUP(I954,[1]Lookups!$V$3:$Y$197,4,FALSE)</f>
        <v>0</v>
      </c>
      <c r="T954" s="14" t="str">
        <f>VLOOKUP(E954,[1]Lookups!$H$3:$I$71,2,FALSE)</f>
        <v>1. Grant</v>
      </c>
      <c r="U954" s="14" t="str">
        <f>VLOOKUP(K954,[1]Lookups!$B$3:$C$142,2,FALSE)</f>
        <v>Other Technologies &amp; Information Technology</v>
      </c>
      <c r="V954" s="14">
        <f t="shared" si="1230"/>
        <v>2019</v>
      </c>
      <c r="W954" s="14">
        <f t="shared" si="1231"/>
        <v>2</v>
      </c>
      <c r="X954" s="14">
        <f>VLOOKUP(W954,[1]Lookups!$P$3:$S$15,2,FALSE)</f>
        <v>1</v>
      </c>
      <c r="Y954" s="16">
        <f>VLOOKUP(W954,[1]Lookups!$P$3:$U$15,3,FALSE)</f>
        <v>1</v>
      </c>
      <c r="Z954" s="16">
        <f t="shared" si="1232"/>
        <v>1</v>
      </c>
      <c r="AA954" s="16" t="str">
        <f t="shared" ca="1" si="1235"/>
        <v>Goodwell Investments</v>
      </c>
      <c r="AB954" s="16">
        <f t="shared" si="1235"/>
        <v>0</v>
      </c>
      <c r="AC954" s="16">
        <f t="shared" si="1235"/>
        <v>0</v>
      </c>
      <c r="AD954" s="16">
        <f t="shared" si="1235"/>
        <v>0</v>
      </c>
      <c r="AE954" s="16">
        <f t="shared" si="1235"/>
        <v>0</v>
      </c>
      <c r="AF954" s="16">
        <f t="shared" si="1235"/>
        <v>0</v>
      </c>
      <c r="AG954" s="16">
        <f t="shared" si="1235"/>
        <v>0</v>
      </c>
      <c r="AH954" s="16">
        <f t="shared" si="1235"/>
        <v>0</v>
      </c>
      <c r="AI954" s="16">
        <f t="shared" si="1235"/>
        <v>0</v>
      </c>
      <c r="AJ954" s="16">
        <f t="shared" si="1235"/>
        <v>0</v>
      </c>
      <c r="AK954" s="16">
        <f t="shared" si="1235"/>
        <v>0</v>
      </c>
      <c r="AL954" s="16">
        <f t="shared" si="1235"/>
        <v>0</v>
      </c>
      <c r="AM954" s="16">
        <f t="shared" si="1235"/>
        <v>0</v>
      </c>
      <c r="AN954" s="16">
        <f t="shared" si="1235"/>
        <v>0</v>
      </c>
      <c r="AO954" s="16">
        <f t="shared" si="1235"/>
        <v>0</v>
      </c>
      <c r="AP954" s="10"/>
      <c r="AQ954" s="10"/>
      <c r="AR954" s="10"/>
      <c r="AS954" s="10" t="str">
        <f t="shared" ref="AS954" ca="1" si="1254">IFERROR(__xludf.DUMMYFUNCTION("split(F925,"","",true,true)"),"Goodwell Investments")</f>
        <v>Goodwell Investments</v>
      </c>
      <c r="AT954" s="10"/>
      <c r="AU954" s="10"/>
      <c r="AV954" s="10"/>
      <c r="AW954" s="10"/>
      <c r="AX954" s="10"/>
      <c r="AY954" s="10"/>
      <c r="AZ954" s="10"/>
      <c r="BA954" s="10"/>
      <c r="BB954" s="10"/>
      <c r="BC954" s="10"/>
      <c r="BD954" s="10"/>
      <c r="BE954" s="10"/>
      <c r="BF954" s="10"/>
      <c r="BG954" s="10"/>
      <c r="BH954" s="10"/>
      <c r="BI954" s="10"/>
      <c r="BJ954" s="10"/>
      <c r="BK954" s="10"/>
      <c r="BM954" s="10"/>
    </row>
    <row r="955" spans="1:65" ht="12.75">
      <c r="A955" s="18">
        <v>43507</v>
      </c>
      <c r="B955" s="14" t="s">
        <v>2038</v>
      </c>
      <c r="C955" s="19">
        <v>50000</v>
      </c>
      <c r="D955" s="19"/>
      <c r="E955" s="10" t="s">
        <v>55</v>
      </c>
      <c r="F955" s="14" t="s">
        <v>2033</v>
      </c>
      <c r="G955" s="21" t="s">
        <v>2034</v>
      </c>
      <c r="H955" s="14" t="str">
        <f t="array" ref="H955">IFERROR(INDEX([1]Companies!$G:$G,MATCH(B955,[1]Companies!$A:$A,0)),"")</f>
        <v>Tunisia</v>
      </c>
      <c r="I955" s="14" t="str">
        <f t="shared" si="1245"/>
        <v>Tunisia</v>
      </c>
      <c r="J955" s="14" t="str">
        <f t="array" ref="J955">IFERROR(INDEX([1]Companies!$Y:$Y,MATCH(B955,[1]Companies!$A:$A,0)),"")</f>
        <v>Management Systems</v>
      </c>
      <c r="K955" s="14" t="str">
        <f t="array" ref="K955">IFERROR(INDEX([1]Companies!$X:$X,MATCH(B955,[1]Companies!$A:$A,0)),"")</f>
        <v>Information Technology</v>
      </c>
      <c r="L955" s="14" t="str">
        <f>VLOOKUP(B955,[1]Companies!$A$1:$C$5243,1,FALSE)</f>
        <v>Wescore</v>
      </c>
      <c r="M955" s="15">
        <f t="shared" si="1246"/>
        <v>0.9</v>
      </c>
      <c r="N955" s="10" t="str">
        <f t="shared" si="1247"/>
        <v>43507Wescore50000</v>
      </c>
      <c r="O955" s="14" t="str">
        <f t="shared" si="1248"/>
        <v/>
      </c>
      <c r="P955" s="14">
        <f t="shared" si="1249"/>
        <v>1</v>
      </c>
      <c r="Q955" s="14">
        <f t="array" ref="Q955">IFERROR(INDEX([1]Companies!$D:$D,MATCH(B955,[1]Companies!$A:$A,0)),"")</f>
        <v>0</v>
      </c>
      <c r="R955" s="17">
        <f t="shared" si="1250"/>
        <v>50000</v>
      </c>
      <c r="S955" s="14">
        <f>VLOOKUP(I955,[1]Lookups!$V$3:$Y$197,4,FALSE)</f>
        <v>0</v>
      </c>
      <c r="T955" s="14" t="str">
        <f>VLOOKUP(E955,[1]Lookups!$H$3:$I$71,2,FALSE)</f>
        <v>1. Grant</v>
      </c>
      <c r="U955" s="14" t="str">
        <f>VLOOKUP(K955,[1]Lookups!$B$3:$C$142,2,FALSE)</f>
        <v>Other Technologies &amp; Information Technology</v>
      </c>
      <c r="V955" s="14">
        <f t="shared" si="1230"/>
        <v>2019</v>
      </c>
      <c r="W955" s="14">
        <f t="shared" si="1231"/>
        <v>2</v>
      </c>
      <c r="X955" s="14">
        <f>VLOOKUP(W955,[1]Lookups!$P$3:$S$15,2,FALSE)</f>
        <v>1</v>
      </c>
      <c r="Y955" s="16">
        <f>VLOOKUP(W955,[1]Lookups!$P$3:$U$15,3,FALSE)</f>
        <v>1</v>
      </c>
      <c r="Z955" s="16">
        <f t="shared" si="1232"/>
        <v>1</v>
      </c>
      <c r="AA955" s="16" t="str">
        <f t="shared" ca="1" si="1235"/>
        <v>Goodwell Investments</v>
      </c>
      <c r="AB955" s="16">
        <f t="shared" si="1235"/>
        <v>0</v>
      </c>
      <c r="AC955" s="16">
        <f t="shared" si="1235"/>
        <v>0</v>
      </c>
      <c r="AD955" s="16">
        <f t="shared" si="1235"/>
        <v>0</v>
      </c>
      <c r="AE955" s="16">
        <f t="shared" si="1235"/>
        <v>0</v>
      </c>
      <c r="AF955" s="16">
        <f t="shared" si="1235"/>
        <v>0</v>
      </c>
      <c r="AG955" s="16">
        <f t="shared" si="1235"/>
        <v>0</v>
      </c>
      <c r="AH955" s="16">
        <f t="shared" si="1235"/>
        <v>0</v>
      </c>
      <c r="AI955" s="16">
        <f t="shared" si="1235"/>
        <v>0</v>
      </c>
      <c r="AJ955" s="16">
        <f t="shared" si="1235"/>
        <v>0</v>
      </c>
      <c r="AK955" s="16">
        <f t="shared" si="1235"/>
        <v>0</v>
      </c>
      <c r="AL955" s="16">
        <f t="shared" si="1235"/>
        <v>0</v>
      </c>
      <c r="AM955" s="16">
        <f t="shared" si="1235"/>
        <v>0</v>
      </c>
      <c r="AN955" s="16">
        <f t="shared" si="1235"/>
        <v>0</v>
      </c>
      <c r="AO955" s="16">
        <f t="shared" si="1235"/>
        <v>0</v>
      </c>
      <c r="AP955" s="10"/>
      <c r="AQ955" s="10"/>
      <c r="AR955" s="10"/>
      <c r="AS955" s="10" t="str">
        <f t="shared" ref="AS955" ca="1" si="1255">IFERROR(__xludf.DUMMYFUNCTION("split(F925,"","",true,true)"),"Goodwell Investments")</f>
        <v>Goodwell Investments</v>
      </c>
      <c r="AT955" s="10"/>
      <c r="AU955" s="10"/>
      <c r="AV955" s="10"/>
      <c r="AW955" s="10"/>
      <c r="AX955" s="10"/>
      <c r="AY955" s="10"/>
      <c r="AZ955" s="10"/>
      <c r="BA955" s="10"/>
      <c r="BB955" s="10"/>
      <c r="BC955" s="10"/>
      <c r="BD955" s="10"/>
      <c r="BE955" s="10"/>
      <c r="BF955" s="10"/>
      <c r="BG955" s="10"/>
      <c r="BH955" s="10"/>
      <c r="BI955" s="10"/>
      <c r="BJ955" s="10"/>
      <c r="BK955" s="10"/>
      <c r="BM955" s="10"/>
    </row>
    <row r="956" spans="1:65" ht="12.75">
      <c r="A956" s="18">
        <v>43509</v>
      </c>
      <c r="B956" s="14" t="s">
        <v>2039</v>
      </c>
      <c r="C956" s="19" t="s">
        <v>49</v>
      </c>
      <c r="D956" s="22"/>
      <c r="E956" s="14" t="s">
        <v>45</v>
      </c>
      <c r="F956" s="14" t="s">
        <v>49</v>
      </c>
      <c r="G956" s="21" t="s">
        <v>2040</v>
      </c>
      <c r="H956" s="14" t="str">
        <f t="array" ref="H956">IFERROR(INDEX([1]Companies!$G:$G,MATCH(B956,[1]Companies!$A:$A,0)),"")</f>
        <v>Egypt</v>
      </c>
      <c r="I956" s="14" t="str">
        <f t="shared" si="1245"/>
        <v>Egypt</v>
      </c>
      <c r="J956" s="14" t="str">
        <f t="array" ref="J956">IFERROR(INDEX([1]Companies!$Y:$Y,MATCH(B956,[1]Companies!$A:$A,0)),"")</f>
        <v>Edutech, Information Technology, Transportation</v>
      </c>
      <c r="K956" s="14" t="str">
        <f t="array" ref="K956">IFERROR(INDEX([1]Companies!$X:$X,MATCH(B956,[1]Companies!$A:$A,0)),"")</f>
        <v>Information Technology</v>
      </c>
      <c r="L956" s="14" t="str">
        <f>VLOOKUP(B956,[1]Companies!$A$1:$C$5243,1,FALSE)</f>
        <v>Hive</v>
      </c>
      <c r="M956" s="15">
        <f t="shared" si="1246"/>
        <v>0.9</v>
      </c>
      <c r="N956" s="10" t="str">
        <f t="shared" si="1247"/>
        <v>43509HiveUndisclosed</v>
      </c>
      <c r="O956" s="14" t="str">
        <f t="shared" si="1248"/>
        <v/>
      </c>
      <c r="P956" s="14">
        <f t="shared" si="1249"/>
        <v>0</v>
      </c>
      <c r="Q956" s="14">
        <f t="array" ref="Q956">IFERROR(INDEX([1]Companies!$D:$D,MATCH(B956,[1]Companies!$A:$A,0)),"")</f>
        <v>2018</v>
      </c>
      <c r="R956" s="17">
        <f t="shared" si="1250"/>
        <v>0</v>
      </c>
      <c r="S956" s="14">
        <f>VLOOKUP(I956,[1]Lookups!$V$3:$Y$197,4,FALSE)</f>
        <v>0</v>
      </c>
      <c r="T956" s="14" t="str">
        <f>VLOOKUP(E956,[1]Lookups!$H$3:$I$71,2,FALSE)</f>
        <v>2. Seed</v>
      </c>
      <c r="U956" s="14" t="str">
        <f>VLOOKUP(K956,[1]Lookups!$B$3:$C$142,2,FALSE)</f>
        <v>Other Technologies &amp; Information Technology</v>
      </c>
      <c r="V956" s="14">
        <f t="shared" si="1230"/>
        <v>2019</v>
      </c>
      <c r="W956" s="14">
        <f t="shared" si="1231"/>
        <v>2</v>
      </c>
      <c r="X956" s="14">
        <f>VLOOKUP(W956,[1]Lookups!$P$3:$S$15,2,FALSE)</f>
        <v>1</v>
      </c>
      <c r="Y956" s="16">
        <f>VLOOKUP(W956,[1]Lookups!$P$3:$U$15,3,FALSE)</f>
        <v>1</v>
      </c>
      <c r="Z956" s="16">
        <f t="shared" si="1232"/>
        <v>1</v>
      </c>
      <c r="AA956" s="16" t="str">
        <f t="shared" ca="1" si="1235"/>
        <v>Goodwell Investments</v>
      </c>
      <c r="AB956" s="16">
        <f t="shared" si="1235"/>
        <v>0</v>
      </c>
      <c r="AC956" s="16">
        <f t="shared" si="1235"/>
        <v>0</v>
      </c>
      <c r="AD956" s="16">
        <f t="shared" si="1235"/>
        <v>0</v>
      </c>
      <c r="AE956" s="16">
        <f t="shared" si="1235"/>
        <v>0</v>
      </c>
      <c r="AF956" s="16">
        <f t="shared" si="1235"/>
        <v>0</v>
      </c>
      <c r="AG956" s="16">
        <f t="shared" si="1235"/>
        <v>0</v>
      </c>
      <c r="AH956" s="16">
        <f t="shared" si="1235"/>
        <v>0</v>
      </c>
      <c r="AI956" s="16">
        <f t="shared" si="1235"/>
        <v>0</v>
      </c>
      <c r="AJ956" s="16">
        <f t="shared" si="1235"/>
        <v>0</v>
      </c>
      <c r="AK956" s="16">
        <f t="shared" si="1235"/>
        <v>0</v>
      </c>
      <c r="AL956" s="16">
        <f t="shared" si="1235"/>
        <v>0</v>
      </c>
      <c r="AM956" s="16">
        <f t="shared" si="1235"/>
        <v>0</v>
      </c>
      <c r="AN956" s="16">
        <f t="shared" si="1235"/>
        <v>0</v>
      </c>
      <c r="AO956" s="16">
        <f t="shared" si="1235"/>
        <v>0</v>
      </c>
      <c r="AP956" s="10"/>
      <c r="AQ956" s="10"/>
      <c r="AR956" s="10"/>
      <c r="AS956" s="10" t="str">
        <f t="shared" ref="AS956" ca="1" si="1256">IFERROR(__xludf.DUMMYFUNCTION("split(F925,"","",true,true)"),"Goodwell Investments")</f>
        <v>Goodwell Investments</v>
      </c>
      <c r="AT956" s="10"/>
      <c r="AU956" s="10"/>
      <c r="AV956" s="10"/>
      <c r="AW956" s="10"/>
      <c r="AX956" s="10"/>
      <c r="AY956" s="10"/>
      <c r="AZ956" s="10"/>
      <c r="BA956" s="10"/>
      <c r="BB956" s="10"/>
      <c r="BC956" s="10"/>
      <c r="BD956" s="10"/>
      <c r="BE956" s="10"/>
      <c r="BF956" s="10"/>
      <c r="BG956" s="10"/>
      <c r="BH956" s="10"/>
      <c r="BI956" s="10"/>
      <c r="BJ956" s="10"/>
      <c r="BK956" s="10"/>
      <c r="BM956" s="10"/>
    </row>
    <row r="957" spans="1:65" ht="12.75">
      <c r="A957" s="18">
        <v>43509</v>
      </c>
      <c r="B957" s="14" t="s">
        <v>2041</v>
      </c>
      <c r="C957" s="19">
        <v>12000000</v>
      </c>
      <c r="D957" s="19"/>
      <c r="E957" s="14" t="s">
        <v>69</v>
      </c>
      <c r="F957" s="14" t="s">
        <v>2042</v>
      </c>
      <c r="G957" s="21" t="s">
        <v>2043</v>
      </c>
      <c r="H957" s="14" t="str">
        <f t="array" ref="H957">IFERROR(INDEX([1]Companies!$G:$G,MATCH(B957,[1]Companies!$A:$A,0)),"")</f>
        <v>South Africa</v>
      </c>
      <c r="I957" s="14" t="str">
        <f t="shared" si="1245"/>
        <v>South Africa</v>
      </c>
      <c r="J957" s="14" t="str">
        <f t="array" ref="J957">IFERROR(INDEX([1]Companies!$Y:$Y,MATCH(B957,[1]Companies!$A:$A,0)),"")</f>
        <v>Business Intelligence, CAD, Cloud Computing, Field Support, Information Technology, Public Safety, SaaS</v>
      </c>
      <c r="K957" s="14" t="str">
        <f t="array" ref="K957">IFERROR(INDEX([1]Companies!$X:$X,MATCH(B957,[1]Companies!$A:$A,0)),"")</f>
        <v>Information Technology</v>
      </c>
      <c r="L957" s="14" t="str">
        <f>VLOOKUP(B957,[1]Companies!$A$1:$C$5243,1,FALSE)</f>
        <v>RapidDeploy</v>
      </c>
      <c r="M957" s="15">
        <f t="shared" si="1246"/>
        <v>0.9</v>
      </c>
      <c r="N957" s="10" t="str">
        <f t="shared" si="1247"/>
        <v>43509RapidDeploy12000000</v>
      </c>
      <c r="O957" s="14" t="str">
        <f t="shared" si="1248"/>
        <v/>
      </c>
      <c r="P957" s="14">
        <f t="shared" si="1249"/>
        <v>1</v>
      </c>
      <c r="Q957" s="14">
        <f t="array" ref="Q957">IFERROR(INDEX([1]Companies!$D:$D,MATCH(B957,[1]Companies!$A:$A,0)),"")</f>
        <v>2014</v>
      </c>
      <c r="R957" s="17">
        <f t="shared" si="1250"/>
        <v>12000000</v>
      </c>
      <c r="S957" s="14">
        <f>VLOOKUP(I957,[1]Lookups!$V$3:$Y$197,4,FALSE)</f>
        <v>0</v>
      </c>
      <c r="T957" s="14" t="str">
        <f>VLOOKUP(E957,[1]Lookups!$H$3:$I$71,2,FALSE)</f>
        <v>3. Early Venture</v>
      </c>
      <c r="U957" s="14" t="str">
        <f>VLOOKUP(K957,[1]Lookups!$B$3:$C$142,2,FALSE)</f>
        <v>Other Technologies &amp; Information Technology</v>
      </c>
      <c r="V957" s="14">
        <f t="shared" si="1230"/>
        <v>2019</v>
      </c>
      <c r="W957" s="14">
        <f t="shared" si="1231"/>
        <v>2</v>
      </c>
      <c r="X957" s="14">
        <f>VLOOKUP(W957,[1]Lookups!$P$3:$S$15,2,FALSE)</f>
        <v>1</v>
      </c>
      <c r="Y957" s="16">
        <f>VLOOKUP(W957,[1]Lookups!$P$3:$U$15,3,FALSE)</f>
        <v>1</v>
      </c>
      <c r="Z957" s="16">
        <f t="shared" si="1232"/>
        <v>2</v>
      </c>
      <c r="AA957" s="16" t="str">
        <f t="shared" ref="AA957:AO966" ca="1" si="1257">AS957</f>
        <v>Goodwell Investments</v>
      </c>
      <c r="AB957" s="16" t="str">
        <f t="shared" ca="1" si="1257"/>
        <v xml:space="preserve"> Samsung NEXT Ventures</v>
      </c>
      <c r="AC957" s="16">
        <f t="shared" si="1257"/>
        <v>0</v>
      </c>
      <c r="AD957" s="16">
        <f t="shared" si="1257"/>
        <v>0</v>
      </c>
      <c r="AE957" s="16">
        <f t="shared" si="1257"/>
        <v>0</v>
      </c>
      <c r="AF957" s="16">
        <f t="shared" si="1257"/>
        <v>0</v>
      </c>
      <c r="AG957" s="16">
        <f t="shared" si="1257"/>
        <v>0</v>
      </c>
      <c r="AH957" s="16">
        <f t="shared" si="1257"/>
        <v>0</v>
      </c>
      <c r="AI957" s="16">
        <f t="shared" si="1257"/>
        <v>0</v>
      </c>
      <c r="AJ957" s="16">
        <f t="shared" si="1257"/>
        <v>0</v>
      </c>
      <c r="AK957" s="16">
        <f t="shared" si="1257"/>
        <v>0</v>
      </c>
      <c r="AL957" s="16">
        <f t="shared" si="1257"/>
        <v>0</v>
      </c>
      <c r="AM957" s="16">
        <f t="shared" si="1257"/>
        <v>0</v>
      </c>
      <c r="AN957" s="16">
        <f t="shared" si="1257"/>
        <v>0</v>
      </c>
      <c r="AO957" s="16">
        <f t="shared" si="1257"/>
        <v>0</v>
      </c>
      <c r="AP957" s="10"/>
      <c r="AQ957" s="10"/>
      <c r="AR957" s="10"/>
      <c r="AS957" s="10" t="str">
        <f t="shared" ref="AS957" ca="1" si="1258">IFERROR(__xludf.DUMMYFUNCTION("split(F925,"","",true,true)"),"Goodwell Investments")</f>
        <v>Goodwell Investments</v>
      </c>
      <c r="AT957" s="10" t="str">
        <f ca="1">IFERROR(__xludf.DUMMYFUNCTION("""COMPUTED_VALUE""")," Samsung NEXT Ventures")</f>
        <v xml:space="preserve"> Samsung NEXT Ventures</v>
      </c>
      <c r="AU957" s="10"/>
      <c r="AV957" s="10"/>
      <c r="AW957" s="10"/>
      <c r="AX957" s="10"/>
      <c r="AY957" s="10"/>
      <c r="AZ957" s="10"/>
      <c r="BA957" s="10"/>
      <c r="BB957" s="10"/>
      <c r="BC957" s="10"/>
      <c r="BD957" s="10"/>
      <c r="BE957" s="10"/>
      <c r="BF957" s="10"/>
      <c r="BG957" s="10"/>
      <c r="BH957" s="10"/>
      <c r="BI957" s="10"/>
      <c r="BJ957" s="10"/>
      <c r="BK957" s="10"/>
      <c r="BM957" s="10"/>
    </row>
    <row r="958" spans="1:65" ht="12.75">
      <c r="A958" s="18">
        <v>43510</v>
      </c>
      <c r="B958" s="14" t="s">
        <v>719</v>
      </c>
      <c r="C958" s="19">
        <v>1500000</v>
      </c>
      <c r="D958" s="19"/>
      <c r="E958" s="14" t="s">
        <v>45</v>
      </c>
      <c r="F958" s="14" t="s">
        <v>2044</v>
      </c>
      <c r="G958" s="21" t="s">
        <v>2045</v>
      </c>
      <c r="H958" s="14" t="str">
        <f t="array" ref="H958">IFERROR(INDEX([1]Companies!$G:$G,MATCH(B958,[1]Companies!$A:$A,0)),"")</f>
        <v>South Africa</v>
      </c>
      <c r="I958" s="14" t="str">
        <f t="shared" si="1245"/>
        <v>South Africa</v>
      </c>
      <c r="J958" s="14" t="str">
        <f t="array" ref="J958">IFERROR(INDEX([1]Companies!$Y:$Y,MATCH(B958,[1]Companies!$A:$A,0)),"")</f>
        <v>Information Technology, Software</v>
      </c>
      <c r="K958" s="14" t="str">
        <f t="array" ref="K958">IFERROR(INDEX([1]Companies!$X:$X,MATCH(B958,[1]Companies!$A:$A,0)),"")</f>
        <v>Emerging Technologies</v>
      </c>
      <c r="L958" s="14" t="str">
        <f>VLOOKUP(B958,[1]Companies!$A$1:$C$5243,1,FALSE)</f>
        <v>Xineoh</v>
      </c>
      <c r="M958" s="15">
        <f t="shared" si="1246"/>
        <v>0.9</v>
      </c>
      <c r="N958" s="10" t="str">
        <f t="shared" si="1247"/>
        <v>43510Xineoh1500000</v>
      </c>
      <c r="O958" s="14" t="str">
        <f t="shared" si="1248"/>
        <v/>
      </c>
      <c r="P958" s="14">
        <f t="shared" si="1249"/>
        <v>1</v>
      </c>
      <c r="Q958" s="14">
        <f t="array" ref="Q958">IFERROR(INDEX([1]Companies!$D:$D,MATCH(B958,[1]Companies!$A:$A,0)),"")</f>
        <v>2015</v>
      </c>
      <c r="R958" s="17">
        <f t="shared" si="1250"/>
        <v>3500000</v>
      </c>
      <c r="S958" s="14">
        <f>VLOOKUP(I958,[1]Lookups!$V$3:$Y$197,4,FALSE)</f>
        <v>0</v>
      </c>
      <c r="T958" s="14" t="str">
        <f>VLOOKUP(E958,[1]Lookups!$H$3:$I$71,2,FALSE)</f>
        <v>2. Seed</v>
      </c>
      <c r="U958" s="14" t="str">
        <f>VLOOKUP(K958,[1]Lookups!$B$3:$C$142,2,FALSE)</f>
        <v>Emerging Technologies</v>
      </c>
      <c r="V958" s="14">
        <f t="shared" si="1230"/>
        <v>2019</v>
      </c>
      <c r="W958" s="14">
        <f t="shared" si="1231"/>
        <v>2</v>
      </c>
      <c r="X958" s="14">
        <f>VLOOKUP(W958,[1]Lookups!$P$3:$S$15,2,FALSE)</f>
        <v>1</v>
      </c>
      <c r="Y958" s="16">
        <f>VLOOKUP(W958,[1]Lookups!$P$3:$U$15,3,FALSE)</f>
        <v>1</v>
      </c>
      <c r="Z958" s="16">
        <f t="shared" si="1232"/>
        <v>1</v>
      </c>
      <c r="AA958" s="16" t="str">
        <f t="shared" ca="1" si="1257"/>
        <v>Goodwell Investments</v>
      </c>
      <c r="AB958" s="16">
        <f t="shared" si="1257"/>
        <v>0</v>
      </c>
      <c r="AC958" s="16">
        <f t="shared" si="1257"/>
        <v>0</v>
      </c>
      <c r="AD958" s="16">
        <f t="shared" si="1257"/>
        <v>0</v>
      </c>
      <c r="AE958" s="16">
        <f t="shared" si="1257"/>
        <v>0</v>
      </c>
      <c r="AF958" s="16">
        <f t="shared" si="1257"/>
        <v>0</v>
      </c>
      <c r="AG958" s="16">
        <f t="shared" si="1257"/>
        <v>0</v>
      </c>
      <c r="AH958" s="16">
        <f t="shared" si="1257"/>
        <v>0</v>
      </c>
      <c r="AI958" s="16">
        <f t="shared" si="1257"/>
        <v>0</v>
      </c>
      <c r="AJ958" s="16">
        <f t="shared" si="1257"/>
        <v>0</v>
      </c>
      <c r="AK958" s="16">
        <f t="shared" si="1257"/>
        <v>0</v>
      </c>
      <c r="AL958" s="16">
        <f t="shared" si="1257"/>
        <v>0</v>
      </c>
      <c r="AM958" s="16">
        <f t="shared" si="1257"/>
        <v>0</v>
      </c>
      <c r="AN958" s="16">
        <f t="shared" si="1257"/>
        <v>0</v>
      </c>
      <c r="AO958" s="16">
        <f t="shared" si="1257"/>
        <v>0</v>
      </c>
      <c r="AP958" s="10"/>
      <c r="AQ958" s="10"/>
      <c r="AR958" s="10"/>
      <c r="AS958" s="10" t="str">
        <f t="shared" ref="AS958" ca="1" si="1259">IFERROR(__xludf.DUMMYFUNCTION("split(F925,"","",true,true)"),"Goodwell Investments")</f>
        <v>Goodwell Investments</v>
      </c>
      <c r="AT958" s="10"/>
      <c r="AU958" s="10"/>
      <c r="AV958" s="10"/>
      <c r="AW958" s="10"/>
      <c r="AX958" s="10"/>
      <c r="AY958" s="10"/>
      <c r="AZ958" s="10"/>
      <c r="BA958" s="10"/>
      <c r="BB958" s="10"/>
      <c r="BC958" s="10"/>
      <c r="BD958" s="10"/>
      <c r="BE958" s="10"/>
      <c r="BF958" s="10"/>
      <c r="BG958" s="10"/>
      <c r="BH958" s="10"/>
      <c r="BI958" s="10"/>
      <c r="BJ958" s="10"/>
      <c r="BK958" s="10"/>
      <c r="BM958" s="10"/>
    </row>
    <row r="959" spans="1:65" ht="12.75">
      <c r="A959" s="18">
        <v>43512</v>
      </c>
      <c r="B959" s="14" t="s">
        <v>1540</v>
      </c>
      <c r="C959" s="19" t="s">
        <v>49</v>
      </c>
      <c r="D959" s="22"/>
      <c r="E959" s="14" t="s">
        <v>234</v>
      </c>
      <c r="F959" s="14" t="s">
        <v>2046</v>
      </c>
      <c r="G959" s="21" t="s">
        <v>2047</v>
      </c>
      <c r="H959" s="14" t="str">
        <f t="array" ref="H959">IFERROR(INDEX([1]Companies!$G:$G,MATCH(B959,[1]Companies!$A:$A,0)),"")</f>
        <v>Kenya</v>
      </c>
      <c r="I959" s="14" t="str">
        <f t="shared" si="1245"/>
        <v>Kenya</v>
      </c>
      <c r="J959" s="14" t="str">
        <f t="array" ref="J959">IFERROR(INDEX([1]Companies!$Y:$Y,MATCH(B959,[1]Companies!$A:$A,0)),"")</f>
        <v>Logistics, Marketplace, Transportation</v>
      </c>
      <c r="K959" s="14" t="str">
        <f t="array" ref="K959">IFERROR(INDEX([1]Companies!$X:$X,MATCH(B959,[1]Companies!$A:$A,0)),"")</f>
        <v>Transport &amp; Logistics</v>
      </c>
      <c r="L959" s="14" t="str">
        <f>VLOOKUP(B959,[1]Companies!$A$1:$C$5243,1,FALSE)</f>
        <v>Bwala Africa</v>
      </c>
      <c r="M959" s="15">
        <f t="shared" si="1246"/>
        <v>0.9</v>
      </c>
      <c r="N959" s="10" t="str">
        <f t="shared" si="1247"/>
        <v>43512Bwala AfricaUndisclosed</v>
      </c>
      <c r="O959" s="14" t="str">
        <f t="shared" si="1248"/>
        <v/>
      </c>
      <c r="P959" s="14">
        <f t="shared" si="1249"/>
        <v>0</v>
      </c>
      <c r="Q959" s="14">
        <f t="array" ref="Q959">IFERROR(INDEX([1]Companies!$D:$D,MATCH(B959,[1]Companies!$A:$A,0)),"")</f>
        <v>2017</v>
      </c>
      <c r="R959" s="17">
        <f t="shared" si="1250"/>
        <v>238000</v>
      </c>
      <c r="S959" s="14">
        <f>VLOOKUP(I959,[1]Lookups!$V$3:$Y$197,4,FALSE)</f>
        <v>0</v>
      </c>
      <c r="T959" s="14" t="str">
        <f>VLOOKUP(E959,[1]Lookups!$H$3:$I$71,2,FALSE)</f>
        <v>2. Seed</v>
      </c>
      <c r="U959" s="14" t="str">
        <f>VLOOKUP(K959,[1]Lookups!$B$3:$C$142,2,FALSE)</f>
        <v>Transport &amp; Logistics</v>
      </c>
      <c r="V959" s="14">
        <f t="shared" si="1230"/>
        <v>2019</v>
      </c>
      <c r="W959" s="14">
        <f t="shared" si="1231"/>
        <v>2</v>
      </c>
      <c r="X959" s="14">
        <f>VLOOKUP(W959,[1]Lookups!$P$3:$S$15,2,FALSE)</f>
        <v>1</v>
      </c>
      <c r="Y959" s="16">
        <f>VLOOKUP(W959,[1]Lookups!$P$3:$U$15,3,FALSE)</f>
        <v>1</v>
      </c>
      <c r="Z959" s="16">
        <f t="shared" si="1232"/>
        <v>1</v>
      </c>
      <c r="AA959" s="16" t="str">
        <f t="shared" ca="1" si="1257"/>
        <v>Goodwell Investments</v>
      </c>
      <c r="AB959" s="16">
        <f t="shared" si="1257"/>
        <v>0</v>
      </c>
      <c r="AC959" s="16">
        <f t="shared" si="1257"/>
        <v>0</v>
      </c>
      <c r="AD959" s="16">
        <f t="shared" si="1257"/>
        <v>0</v>
      </c>
      <c r="AE959" s="16">
        <f t="shared" si="1257"/>
        <v>0</v>
      </c>
      <c r="AF959" s="16">
        <f t="shared" si="1257"/>
        <v>0</v>
      </c>
      <c r="AG959" s="16">
        <f t="shared" si="1257"/>
        <v>0</v>
      </c>
      <c r="AH959" s="16">
        <f t="shared" si="1257"/>
        <v>0</v>
      </c>
      <c r="AI959" s="16">
        <f t="shared" si="1257"/>
        <v>0</v>
      </c>
      <c r="AJ959" s="16">
        <f t="shared" si="1257"/>
        <v>0</v>
      </c>
      <c r="AK959" s="16">
        <f t="shared" si="1257"/>
        <v>0</v>
      </c>
      <c r="AL959" s="16">
        <f t="shared" si="1257"/>
        <v>0</v>
      </c>
      <c r="AM959" s="16">
        <f t="shared" si="1257"/>
        <v>0</v>
      </c>
      <c r="AN959" s="16">
        <f t="shared" si="1257"/>
        <v>0</v>
      </c>
      <c r="AO959" s="16">
        <f t="shared" si="1257"/>
        <v>0</v>
      </c>
      <c r="AP959" s="10"/>
      <c r="AQ959" s="10"/>
      <c r="AR959" s="10"/>
      <c r="AS959" s="10" t="str">
        <f t="shared" ref="AS959" ca="1" si="1260">IFERROR(__xludf.DUMMYFUNCTION("split(F925,"","",true,true)"),"Goodwell Investments")</f>
        <v>Goodwell Investments</v>
      </c>
      <c r="AT959" s="10"/>
      <c r="AU959" s="10"/>
      <c r="AV959" s="10"/>
      <c r="AW959" s="10"/>
      <c r="AX959" s="10"/>
      <c r="AY959" s="10"/>
      <c r="AZ959" s="10"/>
      <c r="BA959" s="10"/>
      <c r="BB959" s="10"/>
      <c r="BC959" s="10"/>
      <c r="BD959" s="10"/>
      <c r="BE959" s="10"/>
      <c r="BF959" s="10"/>
      <c r="BG959" s="10"/>
      <c r="BH959" s="10"/>
      <c r="BI959" s="10"/>
      <c r="BJ959" s="10"/>
      <c r="BK959" s="10"/>
      <c r="BM959" s="10"/>
    </row>
    <row r="960" spans="1:65" ht="12.75">
      <c r="A960" s="18">
        <v>43514</v>
      </c>
      <c r="B960" s="14" t="s">
        <v>318</v>
      </c>
      <c r="C960" s="19" t="s">
        <v>49</v>
      </c>
      <c r="D960" s="22"/>
      <c r="E960" s="14" t="s">
        <v>69</v>
      </c>
      <c r="F960" s="14" t="s">
        <v>2048</v>
      </c>
      <c r="G960" s="21" t="s">
        <v>2049</v>
      </c>
      <c r="H960" s="14" t="str">
        <f t="array" ref="H960">IFERROR(INDEX([1]Companies!$G:$G,MATCH(B960,[1]Companies!$A:$A,0)),"")</f>
        <v>Kenya</v>
      </c>
      <c r="I960" s="14" t="str">
        <f t="shared" si="1245"/>
        <v>Kenya</v>
      </c>
      <c r="J960" s="14" t="str">
        <f t="array" ref="J960">IFERROR(INDEX([1]Companies!$Y:$Y,MATCH(B960,[1]Companies!$A:$A,0)),"")</f>
        <v>Data, Insights, Mobile surveys, Mobile rewards, Voice of the Customer, NPS, Feedback Loop, Surveys, Health and Academic Research, Customer Feedback, Customer Loyalty, Net Promoter Score, NPS, Customer Acquisition, Customer Retention</v>
      </c>
      <c r="K960" s="14" t="str">
        <f t="array" ref="K960">IFERROR(INDEX([1]Companies!$X:$X,MATCH(B960,[1]Companies!$A:$A,0)),"")</f>
        <v>Information Technology</v>
      </c>
      <c r="L960" s="14" t="str">
        <f>VLOOKUP(B960,[1]Companies!$A$1:$C$5243,1,FALSE)</f>
        <v>AJUA</v>
      </c>
      <c r="M960" s="15">
        <f t="shared" si="1246"/>
        <v>0.9</v>
      </c>
      <c r="N960" s="10" t="str">
        <f t="shared" si="1247"/>
        <v>43514AJUAUndisclosed</v>
      </c>
      <c r="O960" s="14" t="str">
        <f t="shared" si="1248"/>
        <v/>
      </c>
      <c r="P960" s="14">
        <f t="shared" si="1249"/>
        <v>0</v>
      </c>
      <c r="Q960" s="14">
        <f t="array" ref="Q960">IFERROR(INDEX([1]Companies!$D:$D,MATCH(B960,[1]Companies!$A:$A,0)),"")</f>
        <v>2012</v>
      </c>
      <c r="R960" s="17">
        <f t="shared" si="1250"/>
        <v>3500000</v>
      </c>
      <c r="S960" s="14">
        <f>VLOOKUP(I960,[1]Lookups!$V$3:$Y$197,4,FALSE)</f>
        <v>0</v>
      </c>
      <c r="T960" s="14" t="str">
        <f>VLOOKUP(E960,[1]Lookups!$H$3:$I$71,2,FALSE)</f>
        <v>3. Early Venture</v>
      </c>
      <c r="U960" s="14" t="str">
        <f>VLOOKUP(K960,[1]Lookups!$B$3:$C$142,2,FALSE)</f>
        <v>Other Technologies &amp; Information Technology</v>
      </c>
      <c r="V960" s="14">
        <f t="shared" si="1230"/>
        <v>2019</v>
      </c>
      <c r="W960" s="14">
        <f t="shared" si="1231"/>
        <v>2</v>
      </c>
      <c r="X960" s="14">
        <f>VLOOKUP(W960,[1]Lookups!$P$3:$S$15,2,FALSE)</f>
        <v>1</v>
      </c>
      <c r="Y960" s="16">
        <f>VLOOKUP(W960,[1]Lookups!$P$3:$U$15,3,FALSE)</f>
        <v>1</v>
      </c>
      <c r="Z960" s="16">
        <f t="shared" si="1232"/>
        <v>1</v>
      </c>
      <c r="AA960" s="16" t="str">
        <f t="shared" ca="1" si="1257"/>
        <v>Goodwell Investments</v>
      </c>
      <c r="AB960" s="16">
        <f t="shared" si="1257"/>
        <v>0</v>
      </c>
      <c r="AC960" s="16">
        <f t="shared" si="1257"/>
        <v>0</v>
      </c>
      <c r="AD960" s="16">
        <f t="shared" si="1257"/>
        <v>0</v>
      </c>
      <c r="AE960" s="16">
        <f t="shared" si="1257"/>
        <v>0</v>
      </c>
      <c r="AF960" s="16">
        <f t="shared" si="1257"/>
        <v>0</v>
      </c>
      <c r="AG960" s="16">
        <f t="shared" si="1257"/>
        <v>0</v>
      </c>
      <c r="AH960" s="16">
        <f t="shared" si="1257"/>
        <v>0</v>
      </c>
      <c r="AI960" s="16">
        <f t="shared" si="1257"/>
        <v>0</v>
      </c>
      <c r="AJ960" s="16">
        <f t="shared" si="1257"/>
        <v>0</v>
      </c>
      <c r="AK960" s="16">
        <f t="shared" si="1257"/>
        <v>0</v>
      </c>
      <c r="AL960" s="16">
        <f t="shared" si="1257"/>
        <v>0</v>
      </c>
      <c r="AM960" s="16">
        <f t="shared" si="1257"/>
        <v>0</v>
      </c>
      <c r="AN960" s="16">
        <f t="shared" si="1257"/>
        <v>0</v>
      </c>
      <c r="AO960" s="16">
        <f t="shared" si="1257"/>
        <v>0</v>
      </c>
      <c r="AP960" s="10"/>
      <c r="AQ960" s="10"/>
      <c r="AR960" s="10"/>
      <c r="AS960" s="10" t="str">
        <f t="shared" ref="AS960" ca="1" si="1261">IFERROR(__xludf.DUMMYFUNCTION("split(F925,"","",true,true)"),"Goodwell Investments")</f>
        <v>Goodwell Investments</v>
      </c>
      <c r="AT960" s="10"/>
      <c r="AU960" s="10"/>
      <c r="AV960" s="10"/>
      <c r="AW960" s="10"/>
      <c r="AX960" s="10"/>
      <c r="AY960" s="10"/>
      <c r="AZ960" s="10"/>
      <c r="BA960" s="10"/>
      <c r="BB960" s="10"/>
      <c r="BC960" s="10"/>
      <c r="BD960" s="10"/>
      <c r="BE960" s="10"/>
      <c r="BF960" s="10"/>
      <c r="BG960" s="10"/>
      <c r="BH960" s="10"/>
      <c r="BI960" s="10"/>
      <c r="BJ960" s="10"/>
      <c r="BK960" s="10"/>
      <c r="BM960" s="10"/>
    </row>
    <row r="961" spans="1:65" ht="12.75">
      <c r="A961" s="18">
        <v>43514</v>
      </c>
      <c r="B961" s="14" t="s">
        <v>674</v>
      </c>
      <c r="C961" s="19" t="s">
        <v>49</v>
      </c>
      <c r="D961" s="22"/>
      <c r="E961" s="14" t="s">
        <v>69</v>
      </c>
      <c r="F961" s="14" t="s">
        <v>651</v>
      </c>
      <c r="G961" s="21" t="s">
        <v>2050</v>
      </c>
      <c r="H961" s="14" t="str">
        <f t="array" ref="H961">IFERROR(INDEX([1]Companies!$G:$G,MATCH(B961,[1]Companies!$A:$A,0)),"")</f>
        <v>Egypt</v>
      </c>
      <c r="I961" s="14" t="str">
        <f t="shared" si="1245"/>
        <v>Egypt</v>
      </c>
      <c r="J961" s="14" t="str">
        <f t="array" ref="J961">IFERROR(INDEX([1]Companies!$Y:$Y,MATCH(B961,[1]Companies!$A:$A,0)),"")</f>
        <v>Apps, Delivery Service, Shopping</v>
      </c>
      <c r="K961" s="14" t="str">
        <f t="array" ref="K961">IFERROR(INDEX([1]Companies!$X:$X,MATCH(B961,[1]Companies!$A:$A,0)),"")</f>
        <v>E-Commerce &amp; Retail</v>
      </c>
      <c r="L961" s="14" t="str">
        <f>VLOOKUP(B961,[1]Companies!$A$1:$C$5243,1,FALSE)</f>
        <v>Goodsmart</v>
      </c>
      <c r="M961" s="15">
        <f t="shared" si="1246"/>
        <v>0.9</v>
      </c>
      <c r="N961" s="10" t="str">
        <f t="shared" si="1247"/>
        <v>43514GoodsMartUndisclosed</v>
      </c>
      <c r="O961" s="14" t="str">
        <f t="shared" si="1248"/>
        <v/>
      </c>
      <c r="P961" s="14">
        <f t="shared" si="1249"/>
        <v>0</v>
      </c>
      <c r="Q961" s="14">
        <f t="array" ref="Q961">IFERROR(INDEX([1]Companies!$D:$D,MATCH(B961,[1]Companies!$A:$A,0)),"")</f>
        <v>2013</v>
      </c>
      <c r="R961" s="17">
        <f t="shared" si="1250"/>
        <v>750000</v>
      </c>
      <c r="S961" s="14">
        <f>VLOOKUP(I961,[1]Lookups!$V$3:$Y$197,4,FALSE)</f>
        <v>0</v>
      </c>
      <c r="T961" s="14" t="str">
        <f>VLOOKUP(E961,[1]Lookups!$H$3:$I$71,2,FALSE)</f>
        <v>3. Early Venture</v>
      </c>
      <c r="U961" s="14" t="str">
        <f>VLOOKUP(K961,[1]Lookups!$B$3:$C$142,2,FALSE)</f>
        <v>E-commerce &amp; Retail</v>
      </c>
      <c r="V961" s="14">
        <f t="shared" si="1230"/>
        <v>2019</v>
      </c>
      <c r="W961" s="14">
        <f t="shared" si="1231"/>
        <v>2</v>
      </c>
      <c r="X961" s="14">
        <f>VLOOKUP(W961,[1]Lookups!$P$3:$S$15,2,FALSE)</f>
        <v>1</v>
      </c>
      <c r="Y961" s="16">
        <f>VLOOKUP(W961,[1]Lookups!$P$3:$U$15,3,FALSE)</f>
        <v>1</v>
      </c>
      <c r="Z961" s="16">
        <f t="shared" si="1232"/>
        <v>1</v>
      </c>
      <c r="AA961" s="16" t="str">
        <f t="shared" ca="1" si="1257"/>
        <v>Goodwell Investments</v>
      </c>
      <c r="AB961" s="16">
        <f t="shared" si="1257"/>
        <v>0</v>
      </c>
      <c r="AC961" s="16">
        <f t="shared" si="1257"/>
        <v>0</v>
      </c>
      <c r="AD961" s="16">
        <f t="shared" si="1257"/>
        <v>0</v>
      </c>
      <c r="AE961" s="16">
        <f t="shared" si="1257"/>
        <v>0</v>
      </c>
      <c r="AF961" s="16">
        <f t="shared" si="1257"/>
        <v>0</v>
      </c>
      <c r="AG961" s="16">
        <f t="shared" si="1257"/>
        <v>0</v>
      </c>
      <c r="AH961" s="16">
        <f t="shared" si="1257"/>
        <v>0</v>
      </c>
      <c r="AI961" s="16">
        <f t="shared" si="1257"/>
        <v>0</v>
      </c>
      <c r="AJ961" s="16">
        <f t="shared" si="1257"/>
        <v>0</v>
      </c>
      <c r="AK961" s="16">
        <f t="shared" si="1257"/>
        <v>0</v>
      </c>
      <c r="AL961" s="16">
        <f t="shared" si="1257"/>
        <v>0</v>
      </c>
      <c r="AM961" s="16">
        <f t="shared" si="1257"/>
        <v>0</v>
      </c>
      <c r="AN961" s="16">
        <f t="shared" si="1257"/>
        <v>0</v>
      </c>
      <c r="AO961" s="16">
        <f t="shared" si="1257"/>
        <v>0</v>
      </c>
      <c r="AP961" s="10"/>
      <c r="AQ961" s="10"/>
      <c r="AR961" s="10"/>
      <c r="AS961" s="10" t="str">
        <f t="shared" ref="AS961" ca="1" si="1262">IFERROR(__xludf.DUMMYFUNCTION("split(F925,"","",true,true)"),"Goodwell Investments")</f>
        <v>Goodwell Investments</v>
      </c>
      <c r="AT961" s="10"/>
      <c r="AU961" s="10"/>
      <c r="AV961" s="10"/>
      <c r="AW961" s="10"/>
      <c r="AX961" s="10"/>
      <c r="AY961" s="10"/>
      <c r="AZ961" s="10"/>
      <c r="BA961" s="10"/>
      <c r="BB961" s="10"/>
      <c r="BC961" s="10"/>
      <c r="BD961" s="10"/>
      <c r="BE961" s="10"/>
      <c r="BF961" s="10"/>
      <c r="BG961" s="10"/>
      <c r="BH961" s="10"/>
      <c r="BI961" s="10"/>
      <c r="BJ961" s="10"/>
      <c r="BK961" s="10"/>
      <c r="BM961" s="10"/>
    </row>
    <row r="962" spans="1:65" ht="12.75">
      <c r="A962" s="9">
        <v>43514</v>
      </c>
      <c r="B962" s="10" t="s">
        <v>771</v>
      </c>
      <c r="C962" s="11">
        <v>100000</v>
      </c>
      <c r="D962" s="12"/>
      <c r="E962" s="10" t="s">
        <v>234</v>
      </c>
      <c r="F962" s="10" t="s">
        <v>879</v>
      </c>
      <c r="G962" s="13" t="s">
        <v>2051</v>
      </c>
      <c r="H962" s="14" t="str">
        <f t="array" ref="H962">IFERROR(INDEX([1]Companies!$G:$G,MATCH(B962,[1]Companies!$A:$A,0)),"")</f>
        <v>Uganda</v>
      </c>
      <c r="I962" s="14" t="str">
        <f t="shared" si="1245"/>
        <v>Uganda</v>
      </c>
      <c r="J962" s="14" t="str">
        <f t="array" ref="J962">IFERROR(INDEX([1]Companies!$Y:$Y,MATCH(B962,[1]Companies!$A:$A,0)),"")</f>
        <v>Blockchain, Cryptocurrency, FinTech, InsurTech, Mobile Payments</v>
      </c>
      <c r="K962" s="14" t="str">
        <f t="array" ref="K962">IFERROR(INDEX([1]Companies!$X:$X,MATCH(B962,[1]Companies!$A:$A,0)),"")</f>
        <v>Financial Services</v>
      </c>
      <c r="L962" s="14" t="str">
        <f>VLOOKUP(B962,[1]Companies!$A$1:$C$5243,1,FALSE)</f>
        <v>Eversend</v>
      </c>
      <c r="M962" s="15">
        <f t="shared" si="1246"/>
        <v>0.9</v>
      </c>
      <c r="N962" s="10" t="str">
        <f t="shared" si="1247"/>
        <v>43514Eversend100000</v>
      </c>
      <c r="O962" s="14" t="str">
        <f t="shared" si="1248"/>
        <v/>
      </c>
      <c r="P962" s="14">
        <f t="shared" si="1249"/>
        <v>1</v>
      </c>
      <c r="Q962" s="14">
        <f t="array" ref="Q962">IFERROR(INDEX([1]Companies!$D:$D,MATCH(B962,[1]Companies!$A:$A,0)),"")</f>
        <v>2017</v>
      </c>
      <c r="R962" s="17">
        <f t="shared" si="1250"/>
        <v>255000</v>
      </c>
      <c r="S962" s="14">
        <f>VLOOKUP(I962,[1]Lookups!$V$3:$Y$197,4,FALSE)</f>
        <v>0</v>
      </c>
      <c r="T962" s="14" t="str">
        <f>VLOOKUP(E962,[1]Lookups!$H$3:$I$71,2,FALSE)</f>
        <v>2. Seed</v>
      </c>
      <c r="U962" s="14" t="str">
        <f>VLOOKUP(K962,[1]Lookups!$B$3:$C$142,2,FALSE)</f>
        <v>Financial Services</v>
      </c>
      <c r="V962" s="14">
        <f t="shared" si="1230"/>
        <v>2019</v>
      </c>
      <c r="W962" s="14">
        <f t="shared" si="1231"/>
        <v>2</v>
      </c>
      <c r="X962" s="14">
        <f>VLOOKUP(W962,[1]Lookups!$P$3:$S$15,2,FALSE)</f>
        <v>1</v>
      </c>
      <c r="Y962" s="16">
        <f>VLOOKUP(W962,[1]Lookups!$P$3:$U$15,3,FALSE)</f>
        <v>1</v>
      </c>
      <c r="Z962" s="16">
        <f t="shared" si="1232"/>
        <v>1</v>
      </c>
      <c r="AA962" s="16" t="str">
        <f t="shared" ca="1" si="1257"/>
        <v>Goodwell Investments</v>
      </c>
      <c r="AB962" s="16">
        <f t="shared" si="1257"/>
        <v>0</v>
      </c>
      <c r="AC962" s="16">
        <f t="shared" si="1257"/>
        <v>0</v>
      </c>
      <c r="AD962" s="16">
        <f t="shared" si="1257"/>
        <v>0</v>
      </c>
      <c r="AE962" s="16">
        <f t="shared" si="1257"/>
        <v>0</v>
      </c>
      <c r="AF962" s="16">
        <f t="shared" si="1257"/>
        <v>0</v>
      </c>
      <c r="AG962" s="16">
        <f t="shared" si="1257"/>
        <v>0</v>
      </c>
      <c r="AH962" s="16">
        <f t="shared" si="1257"/>
        <v>0</v>
      </c>
      <c r="AI962" s="16">
        <f t="shared" si="1257"/>
        <v>0</v>
      </c>
      <c r="AJ962" s="16">
        <f t="shared" si="1257"/>
        <v>0</v>
      </c>
      <c r="AK962" s="16">
        <f t="shared" si="1257"/>
        <v>0</v>
      </c>
      <c r="AL962" s="16">
        <f t="shared" si="1257"/>
        <v>0</v>
      </c>
      <c r="AM962" s="16">
        <f t="shared" si="1257"/>
        <v>0</v>
      </c>
      <c r="AN962" s="16">
        <f t="shared" si="1257"/>
        <v>0</v>
      </c>
      <c r="AO962" s="16">
        <f t="shared" si="1257"/>
        <v>0</v>
      </c>
      <c r="AP962" s="10"/>
      <c r="AQ962" s="10"/>
      <c r="AR962" s="10"/>
      <c r="AS962" s="10" t="str">
        <f t="shared" ref="AS962" ca="1" si="1263">IFERROR(__xludf.DUMMYFUNCTION("split(F925,"","",true,true)"),"Goodwell Investments")</f>
        <v>Goodwell Investments</v>
      </c>
      <c r="AT962" s="23"/>
      <c r="AU962" s="23"/>
      <c r="AV962" s="23"/>
      <c r="AW962" s="23"/>
      <c r="AX962" s="23"/>
      <c r="AY962" s="23"/>
      <c r="AZ962" s="23"/>
      <c r="BA962" s="23"/>
      <c r="BB962" s="23"/>
      <c r="BC962" s="23"/>
      <c r="BD962" s="23"/>
      <c r="BE962" s="23"/>
      <c r="BF962" s="23"/>
      <c r="BG962" s="23"/>
      <c r="BH962" s="23"/>
      <c r="BI962" s="23"/>
      <c r="BJ962" s="23"/>
      <c r="BK962" s="23"/>
      <c r="BM962" s="23"/>
    </row>
    <row r="963" spans="1:65" ht="12.75">
      <c r="A963" s="9">
        <v>43514</v>
      </c>
      <c r="B963" s="10" t="s">
        <v>771</v>
      </c>
      <c r="C963" s="11">
        <v>20000</v>
      </c>
      <c r="D963" s="12"/>
      <c r="E963" s="14" t="s">
        <v>234</v>
      </c>
      <c r="F963" s="10" t="s">
        <v>879</v>
      </c>
      <c r="G963" s="13" t="s">
        <v>2052</v>
      </c>
      <c r="H963" s="14" t="str">
        <f t="array" ref="H963">IFERROR(INDEX([1]Companies!$G:$G,MATCH(B963,[1]Companies!$A:$A,0)),"")</f>
        <v>Uganda</v>
      </c>
      <c r="I963" s="14" t="str">
        <f t="shared" si="1245"/>
        <v>Uganda</v>
      </c>
      <c r="J963" s="14" t="str">
        <f t="array" ref="J963">IFERROR(INDEX([1]Companies!$Y:$Y,MATCH(B963,[1]Companies!$A:$A,0)),"")</f>
        <v>Blockchain, Cryptocurrency, FinTech, InsurTech, Mobile Payments</v>
      </c>
      <c r="K963" s="14" t="str">
        <f t="array" ref="K963">IFERROR(INDEX([1]Companies!$X:$X,MATCH(B963,[1]Companies!$A:$A,0)),"")</f>
        <v>Financial Services</v>
      </c>
      <c r="L963" s="14" t="str">
        <f>VLOOKUP(B963,[1]Companies!$A$1:$C$5243,1,FALSE)</f>
        <v>Eversend</v>
      </c>
      <c r="M963" s="15">
        <f t="shared" si="1246"/>
        <v>0.9</v>
      </c>
      <c r="N963" s="10" t="str">
        <f t="shared" si="1247"/>
        <v>43514Eversend20000</v>
      </c>
      <c r="O963" s="14" t="str">
        <f t="shared" si="1248"/>
        <v/>
      </c>
      <c r="P963" s="14">
        <f t="shared" si="1249"/>
        <v>1</v>
      </c>
      <c r="Q963" s="14">
        <f t="array" ref="Q963">IFERROR(INDEX([1]Companies!$D:$D,MATCH(B963,[1]Companies!$A:$A,0)),"")</f>
        <v>2017</v>
      </c>
      <c r="R963" s="17">
        <f t="shared" si="1250"/>
        <v>255000</v>
      </c>
      <c r="S963" s="14">
        <f>VLOOKUP(I963,[1]Lookups!$V$3:$Y$197,4,FALSE)</f>
        <v>0</v>
      </c>
      <c r="T963" s="14" t="str">
        <f>VLOOKUP(E963,[1]Lookups!$H$3:$I$71,2,FALSE)</f>
        <v>2. Seed</v>
      </c>
      <c r="U963" s="14" t="str">
        <f>VLOOKUP(K963,[1]Lookups!$B$3:$C$142,2,FALSE)</f>
        <v>Financial Services</v>
      </c>
      <c r="V963" s="14">
        <f t="shared" si="1230"/>
        <v>2019</v>
      </c>
      <c r="W963" s="14">
        <f t="shared" si="1231"/>
        <v>2</v>
      </c>
      <c r="X963" s="14">
        <f>VLOOKUP(W963,[1]Lookups!$P$3:$S$15,2,FALSE)</f>
        <v>1</v>
      </c>
      <c r="Y963" s="16">
        <f>VLOOKUP(W963,[1]Lookups!$P$3:$U$15,3,FALSE)</f>
        <v>1</v>
      </c>
      <c r="Z963" s="16">
        <f t="shared" si="1232"/>
        <v>1</v>
      </c>
      <c r="AA963" s="16" t="str">
        <f t="shared" ca="1" si="1257"/>
        <v>Goodwell Investments</v>
      </c>
      <c r="AB963" s="16">
        <f t="shared" si="1257"/>
        <v>0</v>
      </c>
      <c r="AC963" s="16">
        <f t="shared" si="1257"/>
        <v>0</v>
      </c>
      <c r="AD963" s="16">
        <f t="shared" si="1257"/>
        <v>0</v>
      </c>
      <c r="AE963" s="16">
        <f t="shared" si="1257"/>
        <v>0</v>
      </c>
      <c r="AF963" s="16">
        <f t="shared" si="1257"/>
        <v>0</v>
      </c>
      <c r="AG963" s="16">
        <f t="shared" si="1257"/>
        <v>0</v>
      </c>
      <c r="AH963" s="16">
        <f t="shared" si="1257"/>
        <v>0</v>
      </c>
      <c r="AI963" s="16">
        <f t="shared" si="1257"/>
        <v>0</v>
      </c>
      <c r="AJ963" s="16">
        <f t="shared" si="1257"/>
        <v>0</v>
      </c>
      <c r="AK963" s="16">
        <f t="shared" si="1257"/>
        <v>0</v>
      </c>
      <c r="AL963" s="16">
        <f t="shared" si="1257"/>
        <v>0</v>
      </c>
      <c r="AM963" s="16">
        <f t="shared" si="1257"/>
        <v>0</v>
      </c>
      <c r="AN963" s="16">
        <f t="shared" si="1257"/>
        <v>0</v>
      </c>
      <c r="AO963" s="16">
        <f t="shared" si="1257"/>
        <v>0</v>
      </c>
      <c r="AP963" s="10"/>
      <c r="AQ963" s="10"/>
      <c r="AR963" s="10"/>
      <c r="AS963" s="10" t="str">
        <f t="shared" ref="AS963" ca="1" si="1264">IFERROR(__xludf.DUMMYFUNCTION("split(F925,"","",true,true)"),"Goodwell Investments")</f>
        <v>Goodwell Investments</v>
      </c>
      <c r="AT963" s="10"/>
      <c r="AU963" s="10"/>
      <c r="AV963" s="10"/>
      <c r="AW963" s="10"/>
      <c r="AX963" s="10"/>
      <c r="AY963" s="10"/>
      <c r="AZ963" s="10"/>
      <c r="BA963" s="10"/>
      <c r="BB963" s="10"/>
      <c r="BC963" s="10"/>
      <c r="BD963" s="10"/>
      <c r="BE963" s="10"/>
      <c r="BF963" s="10"/>
      <c r="BG963" s="10"/>
      <c r="BH963" s="10"/>
      <c r="BI963" s="10"/>
      <c r="BJ963" s="10"/>
      <c r="BK963" s="10"/>
      <c r="BM963" s="10"/>
    </row>
    <row r="964" spans="1:65" ht="12.75">
      <c r="A964" s="18">
        <v>43515</v>
      </c>
      <c r="B964" s="14" t="s">
        <v>2053</v>
      </c>
      <c r="C964" s="19" t="s">
        <v>49</v>
      </c>
      <c r="D964" s="22"/>
      <c r="E964" s="10" t="s">
        <v>653</v>
      </c>
      <c r="F964" s="14" t="s">
        <v>2054</v>
      </c>
      <c r="G964" s="21" t="s">
        <v>2055</v>
      </c>
      <c r="H964" s="14" t="str">
        <f t="array" ref="H964">IFERROR(INDEX([1]Companies!$G:$G,MATCH(B964,[1]Companies!$A:$A,0)),"")</f>
        <v>Tanzania</v>
      </c>
      <c r="I964" s="14" t="str">
        <f t="shared" si="1245"/>
        <v>Tanzania</v>
      </c>
      <c r="J964" s="14" t="str">
        <f t="array" ref="J964">IFERROR(INDEX([1]Companies!$Y:$Y,MATCH(B964,[1]Companies!$A:$A,0)),"")</f>
        <v>E-Learning, EdTech, Edutainment</v>
      </c>
      <c r="K964" s="14" t="str">
        <f t="array" ref="K964">IFERROR(INDEX([1]Companies!$X:$X,MATCH(B964,[1]Companies!$A:$A,0)),"")</f>
        <v>Education</v>
      </c>
      <c r="L964" s="14" t="str">
        <f>VLOOKUP(B964,[1]Companies!$A$1:$C$5243,1,FALSE)</f>
        <v>Ubongo</v>
      </c>
      <c r="M964" s="15">
        <f t="shared" si="1246"/>
        <v>0.9</v>
      </c>
      <c r="N964" s="10" t="str">
        <f t="shared" si="1247"/>
        <v>43515UbongoUndisclosed</v>
      </c>
      <c r="O964" s="14" t="str">
        <f t="shared" si="1248"/>
        <v/>
      </c>
      <c r="P964" s="14">
        <f t="shared" si="1249"/>
        <v>0</v>
      </c>
      <c r="Q964" s="14">
        <f t="array" ref="Q964">IFERROR(INDEX([1]Companies!$D:$D,MATCH(B964,[1]Companies!$A:$A,0)),"")</f>
        <v>2013</v>
      </c>
      <c r="R964" s="17">
        <f t="shared" si="1250"/>
        <v>25000</v>
      </c>
      <c r="S964" s="14">
        <f>VLOOKUP(I964,[1]Lookups!$V$3:$Y$197,4,FALSE)</f>
        <v>0</v>
      </c>
      <c r="T964" s="14" t="str">
        <f>VLOOKUP(E964,[1]Lookups!$H$3:$I$71,2,FALSE)</f>
        <v>4. Late Venture</v>
      </c>
      <c r="U964" s="14" t="str">
        <f>VLOOKUP(K964,[1]Lookups!$B$3:$C$142,2,FALSE)</f>
        <v>Education</v>
      </c>
      <c r="V964" s="14">
        <f t="shared" si="1230"/>
        <v>2019</v>
      </c>
      <c r="W964" s="14">
        <f t="shared" si="1231"/>
        <v>2</v>
      </c>
      <c r="X964" s="14">
        <f>VLOOKUP(W964,[1]Lookups!$P$3:$S$15,2,FALSE)</f>
        <v>1</v>
      </c>
      <c r="Y964" s="16">
        <f>VLOOKUP(W964,[1]Lookups!$P$3:$U$15,3,FALSE)</f>
        <v>1</v>
      </c>
      <c r="Z964" s="16">
        <f t="shared" si="1232"/>
        <v>1</v>
      </c>
      <c r="AA964" s="16" t="str">
        <f t="shared" ca="1" si="1257"/>
        <v>Goodwell Investments</v>
      </c>
      <c r="AB964" s="16">
        <f t="shared" si="1257"/>
        <v>0</v>
      </c>
      <c r="AC964" s="16">
        <f t="shared" si="1257"/>
        <v>0</v>
      </c>
      <c r="AD964" s="16">
        <f t="shared" si="1257"/>
        <v>0</v>
      </c>
      <c r="AE964" s="16">
        <f t="shared" si="1257"/>
        <v>0</v>
      </c>
      <c r="AF964" s="16">
        <f t="shared" si="1257"/>
        <v>0</v>
      </c>
      <c r="AG964" s="16">
        <f t="shared" si="1257"/>
        <v>0</v>
      </c>
      <c r="AH964" s="16">
        <f t="shared" si="1257"/>
        <v>0</v>
      </c>
      <c r="AI964" s="16">
        <f t="shared" si="1257"/>
        <v>0</v>
      </c>
      <c r="AJ964" s="16">
        <f t="shared" si="1257"/>
        <v>0</v>
      </c>
      <c r="AK964" s="16">
        <f t="shared" si="1257"/>
        <v>0</v>
      </c>
      <c r="AL964" s="16">
        <f t="shared" si="1257"/>
        <v>0</v>
      </c>
      <c r="AM964" s="16">
        <f t="shared" si="1257"/>
        <v>0</v>
      </c>
      <c r="AN964" s="16">
        <f t="shared" si="1257"/>
        <v>0</v>
      </c>
      <c r="AO964" s="16">
        <f t="shared" si="1257"/>
        <v>0</v>
      </c>
      <c r="AP964" s="10"/>
      <c r="AQ964" s="10"/>
      <c r="AR964" s="10"/>
      <c r="AS964" s="10" t="str">
        <f t="shared" ref="AS964" ca="1" si="1265">IFERROR(__xludf.DUMMYFUNCTION("split(F925,"","",true,true)"),"Goodwell Investments")</f>
        <v>Goodwell Investments</v>
      </c>
      <c r="AT964" s="10"/>
      <c r="AU964" s="10"/>
      <c r="AV964" s="10"/>
      <c r="AW964" s="10"/>
      <c r="AX964" s="10"/>
      <c r="AY964" s="10"/>
      <c r="AZ964" s="10"/>
      <c r="BA964" s="10"/>
      <c r="BB964" s="10"/>
      <c r="BC964" s="10"/>
      <c r="BD964" s="10"/>
      <c r="BE964" s="10"/>
      <c r="BF964" s="10"/>
      <c r="BG964" s="10"/>
      <c r="BH964" s="10"/>
      <c r="BI964" s="10"/>
      <c r="BJ964" s="10"/>
      <c r="BK964" s="10"/>
      <c r="BM964" s="10"/>
    </row>
    <row r="965" spans="1:65" ht="12.75">
      <c r="A965" s="18">
        <v>43517</v>
      </c>
      <c r="B965" s="14" t="s">
        <v>2056</v>
      </c>
      <c r="C965" s="19" t="s">
        <v>49</v>
      </c>
      <c r="D965" s="22"/>
      <c r="E965" s="10" t="s">
        <v>653</v>
      </c>
      <c r="F965" s="14" t="s">
        <v>2057</v>
      </c>
      <c r="G965" s="21" t="s">
        <v>2058</v>
      </c>
      <c r="H965" s="14" t="str">
        <f t="array" ref="H965">IFERROR(INDEX([1]Companies!$G:$G,MATCH(B965,[1]Companies!$A:$A,0)),"")</f>
        <v>South Africa</v>
      </c>
      <c r="I965" s="14" t="str">
        <f t="shared" si="1245"/>
        <v>South Africa</v>
      </c>
      <c r="J965" s="14" t="str">
        <f t="array" ref="J965">IFERROR(INDEX([1]Companies!$Y:$Y,MATCH(B965,[1]Companies!$A:$A,0)),"")</f>
        <v>Financial Services</v>
      </c>
      <c r="K965" s="14" t="str">
        <f t="array" ref="K965">IFERROR(INDEX([1]Companies!$X:$X,MATCH(B965,[1]Companies!$A:$A,0)),"")</f>
        <v>Financial Services</v>
      </c>
      <c r="L965" s="14" t="str">
        <f>VLOOKUP(B965,[1]Companies!$A$1:$C$5243,1,FALSE)</f>
        <v>Payabill</v>
      </c>
      <c r="M965" s="15">
        <f t="shared" si="1246"/>
        <v>0.9</v>
      </c>
      <c r="N965" s="10" t="str">
        <f t="shared" si="1247"/>
        <v>43517PayabillUndisclosed</v>
      </c>
      <c r="O965" s="14" t="str">
        <f t="shared" si="1248"/>
        <v/>
      </c>
      <c r="P965" s="14">
        <f t="shared" si="1249"/>
        <v>0</v>
      </c>
      <c r="Q965" s="14">
        <f t="array" ref="Q965">IFERROR(INDEX([1]Companies!$D:$D,MATCH(B965,[1]Companies!$A:$A,0)),"")</f>
        <v>2016</v>
      </c>
      <c r="R965" s="17">
        <f t="shared" si="1250"/>
        <v>0</v>
      </c>
      <c r="S965" s="14">
        <f>VLOOKUP(I965,[1]Lookups!$V$3:$Y$197,4,FALSE)</f>
        <v>0</v>
      </c>
      <c r="T965" s="14" t="str">
        <f>VLOOKUP(E965,[1]Lookups!$H$3:$I$71,2,FALSE)</f>
        <v>4. Late Venture</v>
      </c>
      <c r="U965" s="14" t="str">
        <f>VLOOKUP(K965,[1]Lookups!$B$3:$C$142,2,FALSE)</f>
        <v>Financial Services</v>
      </c>
      <c r="V965" s="14">
        <f t="shared" si="1230"/>
        <v>2019</v>
      </c>
      <c r="W965" s="14">
        <f t="shared" si="1231"/>
        <v>2</v>
      </c>
      <c r="X965" s="14">
        <f>VLOOKUP(W965,[1]Lookups!$P$3:$S$15,2,FALSE)</f>
        <v>1</v>
      </c>
      <c r="Y965" s="16">
        <f>VLOOKUP(W965,[1]Lookups!$P$3:$U$15,3,FALSE)</f>
        <v>1</v>
      </c>
      <c r="Z965" s="16">
        <f t="shared" si="1232"/>
        <v>1</v>
      </c>
      <c r="AA965" s="16" t="str">
        <f t="shared" ca="1" si="1257"/>
        <v>Goodwell Investments</v>
      </c>
      <c r="AB965" s="16">
        <f t="shared" si="1257"/>
        <v>0</v>
      </c>
      <c r="AC965" s="16">
        <f t="shared" si="1257"/>
        <v>0</v>
      </c>
      <c r="AD965" s="16">
        <f t="shared" si="1257"/>
        <v>0</v>
      </c>
      <c r="AE965" s="16">
        <f t="shared" si="1257"/>
        <v>0</v>
      </c>
      <c r="AF965" s="16">
        <f t="shared" si="1257"/>
        <v>0</v>
      </c>
      <c r="AG965" s="16">
        <f t="shared" si="1257"/>
        <v>0</v>
      </c>
      <c r="AH965" s="16">
        <f t="shared" si="1257"/>
        <v>0</v>
      </c>
      <c r="AI965" s="16">
        <f t="shared" si="1257"/>
        <v>0</v>
      </c>
      <c r="AJ965" s="16">
        <f t="shared" si="1257"/>
        <v>0</v>
      </c>
      <c r="AK965" s="16">
        <f t="shared" si="1257"/>
        <v>0</v>
      </c>
      <c r="AL965" s="16">
        <f t="shared" si="1257"/>
        <v>0</v>
      </c>
      <c r="AM965" s="16">
        <f t="shared" si="1257"/>
        <v>0</v>
      </c>
      <c r="AN965" s="16">
        <f t="shared" si="1257"/>
        <v>0</v>
      </c>
      <c r="AO965" s="16">
        <f t="shared" si="1257"/>
        <v>0</v>
      </c>
      <c r="AP965" s="10"/>
      <c r="AQ965" s="10"/>
      <c r="AR965" s="10"/>
      <c r="AS965" s="10" t="str">
        <f t="shared" ref="AS965" ca="1" si="1266">IFERROR(__xludf.DUMMYFUNCTION("split(F925,"","",true,true)"),"Goodwell Investments")</f>
        <v>Goodwell Investments</v>
      </c>
      <c r="AT965" s="10"/>
      <c r="AU965" s="10"/>
      <c r="AV965" s="10"/>
      <c r="AW965" s="10"/>
      <c r="AX965" s="10"/>
      <c r="AY965" s="10"/>
      <c r="AZ965" s="10"/>
      <c r="BA965" s="10"/>
      <c r="BB965" s="10"/>
      <c r="BC965" s="10"/>
      <c r="BD965" s="10"/>
      <c r="BE965" s="10"/>
      <c r="BF965" s="10"/>
      <c r="BG965" s="10"/>
      <c r="BH965" s="10"/>
      <c r="BI965" s="10"/>
      <c r="BJ965" s="10"/>
      <c r="BK965" s="10"/>
      <c r="BM965" s="10"/>
    </row>
    <row r="966" spans="1:65" ht="12.75">
      <c r="A966" s="18">
        <v>43517</v>
      </c>
      <c r="B966" s="14" t="s">
        <v>2059</v>
      </c>
      <c r="C966" s="19">
        <v>1135000</v>
      </c>
      <c r="D966" s="19"/>
      <c r="E966" s="14" t="s">
        <v>45</v>
      </c>
      <c r="F966" s="14" t="s">
        <v>2060</v>
      </c>
      <c r="G966" s="21" t="s">
        <v>2061</v>
      </c>
      <c r="H966" s="14" t="str">
        <f t="array" ref="H966">IFERROR(INDEX([1]Companies!$G:$G,MATCH(B966,[1]Companies!$A:$A,0)),"")</f>
        <v>South Africa</v>
      </c>
      <c r="I966" s="14" t="str">
        <f t="shared" si="1245"/>
        <v>South Africa</v>
      </c>
      <c r="J966" s="14" t="str">
        <f t="array" ref="J966">IFERROR(INDEX([1]Companies!$Y:$Y,MATCH(B966,[1]Companies!$A:$A,0)),"")</f>
        <v>Blockchain, Cryptocurrency, E-Commerce, Internet, Payments</v>
      </c>
      <c r="K966" s="14" t="str">
        <f t="array" ref="K966">IFERROR(INDEX([1]Companies!$X:$X,MATCH(B966,[1]Companies!$A:$A,0)),"")</f>
        <v>Financial Services</v>
      </c>
      <c r="L966" s="14" t="str">
        <f>VLOOKUP(B966,[1]Companies!$A$1:$C$5243,1,FALSE)</f>
        <v xml:space="preserve">Coindirect </v>
      </c>
      <c r="M966" s="15">
        <f t="shared" si="1246"/>
        <v>0.9</v>
      </c>
      <c r="N966" s="10" t="str">
        <f t="shared" si="1247"/>
        <v>43517Coindirect 1135000</v>
      </c>
      <c r="O966" s="14" t="str">
        <f t="shared" si="1248"/>
        <v/>
      </c>
      <c r="P966" s="14">
        <f t="shared" si="1249"/>
        <v>1</v>
      </c>
      <c r="Q966" s="14">
        <f t="array" ref="Q966">IFERROR(INDEX([1]Companies!$D:$D,MATCH(B966,[1]Companies!$A:$A,0)),"")</f>
        <v>2017</v>
      </c>
      <c r="R966" s="17">
        <f t="shared" si="1250"/>
        <v>1135000</v>
      </c>
      <c r="S966" s="14">
        <f>VLOOKUP(I966,[1]Lookups!$V$3:$Y$197,4,FALSE)</f>
        <v>0</v>
      </c>
      <c r="T966" s="14" t="str">
        <f>VLOOKUP(E966,[1]Lookups!$H$3:$I$71,2,FALSE)</f>
        <v>2. Seed</v>
      </c>
      <c r="U966" s="14" t="str">
        <f>VLOOKUP(K966,[1]Lookups!$B$3:$C$142,2,FALSE)</f>
        <v>Financial Services</v>
      </c>
      <c r="V966" s="14">
        <f t="shared" si="1230"/>
        <v>2019</v>
      </c>
      <c r="W966" s="14">
        <f t="shared" si="1231"/>
        <v>2</v>
      </c>
      <c r="X966" s="14">
        <f>VLOOKUP(W966,[1]Lookups!$P$3:$S$15,2,FALSE)</f>
        <v>1</v>
      </c>
      <c r="Y966" s="16">
        <f>VLOOKUP(W966,[1]Lookups!$P$3:$U$15,3,FALSE)</f>
        <v>1</v>
      </c>
      <c r="Z966" s="16">
        <f t="shared" si="1232"/>
        <v>3</v>
      </c>
      <c r="AA966" s="16" t="str">
        <f t="shared" ca="1" si="1257"/>
        <v>Goodwell Investments</v>
      </c>
      <c r="AB966" s="26" t="str">
        <f t="shared" ca="1" si="1257"/>
        <v xml:space="preserve"> Blockchain.com</v>
      </c>
      <c r="AC966" s="16" t="str">
        <f t="shared" ca="1" si="1257"/>
        <v xml:space="preserve"> MakerDAO</v>
      </c>
      <c r="AD966" s="16">
        <f t="shared" si="1257"/>
        <v>0</v>
      </c>
      <c r="AE966" s="16">
        <f t="shared" si="1257"/>
        <v>0</v>
      </c>
      <c r="AF966" s="16">
        <f t="shared" si="1257"/>
        <v>0</v>
      </c>
      <c r="AG966" s="16">
        <f t="shared" si="1257"/>
        <v>0</v>
      </c>
      <c r="AH966" s="16">
        <f t="shared" si="1257"/>
        <v>0</v>
      </c>
      <c r="AI966" s="16">
        <f t="shared" si="1257"/>
        <v>0</v>
      </c>
      <c r="AJ966" s="16">
        <f t="shared" si="1257"/>
        <v>0</v>
      </c>
      <c r="AK966" s="16">
        <f t="shared" si="1257"/>
        <v>0</v>
      </c>
      <c r="AL966" s="16">
        <f t="shared" si="1257"/>
        <v>0</v>
      </c>
      <c r="AM966" s="16">
        <f t="shared" si="1257"/>
        <v>0</v>
      </c>
      <c r="AN966" s="16">
        <f t="shared" si="1257"/>
        <v>0</v>
      </c>
      <c r="AO966" s="16">
        <f t="shared" si="1257"/>
        <v>0</v>
      </c>
      <c r="AP966" s="10"/>
      <c r="AQ966" s="10"/>
      <c r="AR966" s="10"/>
      <c r="AS966" s="10" t="str">
        <f t="shared" ref="AS966" ca="1" si="1267">IFERROR(__xludf.DUMMYFUNCTION("split(F925,"","",true,true)"),"Goodwell Investments")</f>
        <v>Goodwell Investments</v>
      </c>
      <c r="AT966" s="13" t="str">
        <f ca="1">IFERROR(__xludf.DUMMYFUNCTION("""COMPUTED_VALUE""")," Blockchain.com")</f>
        <v xml:space="preserve"> Blockchain.com</v>
      </c>
      <c r="AU966" s="10" t="str">
        <f ca="1">IFERROR(__xludf.DUMMYFUNCTION("""COMPUTED_VALUE""")," MakerDAO")</f>
        <v xml:space="preserve"> MakerDAO</v>
      </c>
      <c r="AV966" s="10"/>
      <c r="AW966" s="10"/>
      <c r="AX966" s="10"/>
      <c r="AY966" s="10"/>
      <c r="AZ966" s="10"/>
      <c r="BA966" s="10"/>
      <c r="BB966" s="10"/>
      <c r="BC966" s="10"/>
      <c r="BD966" s="10"/>
      <c r="BE966" s="10"/>
      <c r="BF966" s="10"/>
      <c r="BG966" s="10"/>
      <c r="BH966" s="10"/>
      <c r="BI966" s="10"/>
      <c r="BJ966" s="10"/>
      <c r="BK966" s="10"/>
      <c r="BM966" s="10"/>
    </row>
    <row r="967" spans="1:65" ht="12.75">
      <c r="A967" s="18">
        <v>43518</v>
      </c>
      <c r="B967" s="14" t="s">
        <v>454</v>
      </c>
      <c r="C967" s="19">
        <v>2500000</v>
      </c>
      <c r="D967" s="19"/>
      <c r="E967" s="14" t="s">
        <v>45</v>
      </c>
      <c r="F967" s="14" t="s">
        <v>49</v>
      </c>
      <c r="G967" s="13" t="s">
        <v>2062</v>
      </c>
      <c r="H967" s="14"/>
      <c r="I967" s="14"/>
      <c r="J967" s="14"/>
      <c r="K967" s="14"/>
      <c r="L967" s="14"/>
      <c r="M967" s="15"/>
      <c r="N967" s="10"/>
      <c r="O967" s="14"/>
      <c r="P967" s="14"/>
      <c r="Q967" s="14"/>
      <c r="R967" s="17"/>
      <c r="S967" s="14"/>
      <c r="T967" s="14"/>
      <c r="U967" s="14"/>
      <c r="V967" s="14">
        <f t="shared" si="1230"/>
        <v>2019</v>
      </c>
      <c r="W967" s="14">
        <f t="shared" si="1231"/>
        <v>2</v>
      </c>
      <c r="X967" s="14">
        <f>VLOOKUP(W967,[1]Lookups!$P$3:$S$15,2,FALSE)</f>
        <v>1</v>
      </c>
      <c r="Y967" s="16">
        <f>VLOOKUP(W967,[1]Lookups!$P$3:$U$15,3,FALSE)</f>
        <v>1</v>
      </c>
      <c r="Z967" s="16">
        <f t="shared" si="1232"/>
        <v>1</v>
      </c>
      <c r="AA967" s="16"/>
      <c r="AB967" s="16"/>
      <c r="AC967" s="16"/>
      <c r="AD967" s="16"/>
      <c r="AE967" s="16"/>
      <c r="AF967" s="16"/>
      <c r="AG967" s="16"/>
      <c r="AH967" s="16"/>
      <c r="AI967" s="16"/>
      <c r="AJ967" s="16"/>
      <c r="AK967" s="16"/>
      <c r="AL967" s="16"/>
      <c r="AM967" s="16"/>
      <c r="AN967" s="16"/>
      <c r="AO967" s="16"/>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M967" s="10"/>
    </row>
    <row r="968" spans="1:65" ht="12.75">
      <c r="A968" s="18">
        <v>43520</v>
      </c>
      <c r="B968" s="14" t="s">
        <v>2063</v>
      </c>
      <c r="C968" s="19">
        <v>600000</v>
      </c>
      <c r="D968" s="19"/>
      <c r="E968" s="14" t="s">
        <v>234</v>
      </c>
      <c r="F968" s="14" t="s">
        <v>2064</v>
      </c>
      <c r="G968" s="21" t="s">
        <v>2065</v>
      </c>
      <c r="H968" s="14" t="str">
        <f t="array" ref="H968">IFERROR(INDEX([1]Companies!$G:$G,MATCH(B968,[1]Companies!$A:$A,0)),"")</f>
        <v>Egypt</v>
      </c>
      <c r="I968" s="14" t="str">
        <f t="shared" ref="I968:I974" si="1268">IF(LEN(TRIM(H968))-LEN(SUBSTITUTE(TRIM(H968),",","")) &gt; 0,TRIM(RIGHT(H968,LEN(H968)-FIND(",",H968))),H968)</f>
        <v>Egypt</v>
      </c>
      <c r="J968" s="14" t="str">
        <f t="array" ref="J968">IFERROR(INDEX([1]Companies!$Y:$Y,MATCH(B968,[1]Companies!$A:$A,0)),"")</f>
        <v>Shipping, Transportation, Freight</v>
      </c>
      <c r="K968" s="14" t="str">
        <f t="array" ref="K968">IFERROR(INDEX([1]Companies!$X:$X,MATCH(B968,[1]Companies!$A:$A,0)),"")</f>
        <v>Transport &amp; Logistics</v>
      </c>
      <c r="L968" s="14" t="str">
        <f>VLOOKUP(B968,[1]Companies!$A$1:$C$5243,1,FALSE)</f>
        <v>Trella</v>
      </c>
      <c r="M968" s="15">
        <f t="shared" ref="M968:M974" si="1269">COUNTA(B968:K968)/(COUNTBLANK(B968:K968) + COUNTA(B968:K968))</f>
        <v>0.9</v>
      </c>
      <c r="N968" s="10" t="str">
        <f t="shared" ref="N968:N974" si="1270">CONCATENATE(A968,B968,C968)</f>
        <v>43520Trella600000</v>
      </c>
      <c r="O968" s="14" t="str">
        <f t="shared" ref="O968:O974" si="1271">IF(A968 = "","",IF(COUNTIF(N:N,CONCATENATE(A968,B968,C968))&gt;1,"Duplicated",""))</f>
        <v/>
      </c>
      <c r="P968" s="14">
        <f t="shared" ref="P968:P974" si="1272">IF(C968="Undisclosed",0,1)</f>
        <v>1</v>
      </c>
      <c r="Q968" s="14">
        <f t="array" ref="Q968">IFERROR(INDEX([1]Companies!$D:$D,MATCH(B968,[1]Companies!$A:$A,0)),"")</f>
        <v>2018</v>
      </c>
      <c r="R968" s="17">
        <f t="shared" ref="R968:R974" si="1273">SUMIF(B:B,B968,C:C)</f>
        <v>600000</v>
      </c>
      <c r="S968" s="14">
        <f>VLOOKUP(I968,[1]Lookups!$V$3:$Y$197,4,FALSE)</f>
        <v>0</v>
      </c>
      <c r="T968" s="14" t="str">
        <f>VLOOKUP(E968,[1]Lookups!$H$3:$I$71,2,FALSE)</f>
        <v>2. Seed</v>
      </c>
      <c r="U968" s="14" t="str">
        <f>VLOOKUP(K968,[1]Lookups!$B$3:$C$142,2,FALSE)</f>
        <v>Transport &amp; Logistics</v>
      </c>
      <c r="V968" s="14">
        <f t="shared" si="1230"/>
        <v>2019</v>
      </c>
      <c r="W968" s="14">
        <f t="shared" si="1231"/>
        <v>2</v>
      </c>
      <c r="X968" s="14">
        <f>VLOOKUP(W968,[1]Lookups!$P$3:$S$15,2,FALSE)</f>
        <v>1</v>
      </c>
      <c r="Y968" s="16">
        <f>VLOOKUP(W968,[1]Lookups!$P$3:$U$15,3,FALSE)</f>
        <v>1</v>
      </c>
      <c r="Z968" s="16">
        <f t="shared" si="1232"/>
        <v>2</v>
      </c>
      <c r="AA968" s="16" t="str">
        <f t="shared" ref="AA968:AO983" ca="1" si="1274">AS968</f>
        <v>Algebra Ventures</v>
      </c>
      <c r="AB968" s="16" t="str">
        <f t="shared" ca="1" si="1274"/>
        <v xml:space="preserve"> Esther Dyson</v>
      </c>
      <c r="AC968" s="16">
        <f t="shared" si="1274"/>
        <v>0</v>
      </c>
      <c r="AD968" s="16">
        <f t="shared" si="1274"/>
        <v>0</v>
      </c>
      <c r="AE968" s="16">
        <f t="shared" si="1274"/>
        <v>0</v>
      </c>
      <c r="AF968" s="16">
        <f t="shared" si="1274"/>
        <v>0</v>
      </c>
      <c r="AG968" s="16">
        <f t="shared" si="1274"/>
        <v>0</v>
      </c>
      <c r="AH968" s="16">
        <f t="shared" si="1274"/>
        <v>0</v>
      </c>
      <c r="AI968" s="16">
        <f t="shared" si="1274"/>
        <v>0</v>
      </c>
      <c r="AJ968" s="16">
        <f t="shared" si="1274"/>
        <v>0</v>
      </c>
      <c r="AK968" s="16">
        <f t="shared" si="1274"/>
        <v>0</v>
      </c>
      <c r="AL968" s="16">
        <f t="shared" si="1274"/>
        <v>0</v>
      </c>
      <c r="AM968" s="16">
        <f t="shared" si="1274"/>
        <v>0</v>
      </c>
      <c r="AN968" s="16">
        <f t="shared" si="1274"/>
        <v>0</v>
      </c>
      <c r="AO968" s="16">
        <f t="shared" si="1274"/>
        <v>0</v>
      </c>
      <c r="AP968" s="10"/>
      <c r="AQ968" s="10"/>
      <c r="AR968" s="10"/>
      <c r="AS968" s="10" t="str">
        <f t="shared" ref="AS968" ca="1" si="1275">IFERROR(__xludf.DUMMYFUNCTION("split(F968,"","",true,true)"),"Algebra Ventures")</f>
        <v>Algebra Ventures</v>
      </c>
      <c r="AT968" s="10" t="str">
        <f ca="1">IFERROR(__xludf.DUMMYFUNCTION("""COMPUTED_VALUE""")," Esther Dyson")</f>
        <v xml:space="preserve"> Esther Dyson</v>
      </c>
      <c r="AU968" s="10"/>
      <c r="AV968" s="10"/>
      <c r="AW968" s="10"/>
      <c r="AX968" s="10"/>
      <c r="AY968" s="10"/>
      <c r="AZ968" s="10"/>
      <c r="BA968" s="10"/>
      <c r="BB968" s="10"/>
      <c r="BC968" s="10"/>
      <c r="BD968" s="10"/>
      <c r="BE968" s="10"/>
      <c r="BF968" s="10"/>
      <c r="BG968" s="10"/>
      <c r="BH968" s="10"/>
      <c r="BI968" s="10"/>
      <c r="BJ968" s="10"/>
      <c r="BK968" s="10"/>
      <c r="BM968" s="10"/>
    </row>
    <row r="969" spans="1:65" ht="12.75">
      <c r="A969" s="18">
        <v>43522</v>
      </c>
      <c r="B969" s="14" t="s">
        <v>2066</v>
      </c>
      <c r="C969" s="19">
        <v>768000</v>
      </c>
      <c r="D969" s="19"/>
      <c r="E969" s="14" t="s">
        <v>45</v>
      </c>
      <c r="F969" s="14" t="s">
        <v>49</v>
      </c>
      <c r="G969" s="21" t="s">
        <v>2067</v>
      </c>
      <c r="H969" s="14" t="str">
        <f t="array" ref="H969">IFERROR(INDEX([1]Companies!$G:$G,MATCH(B969,[1]Companies!$A:$A,0)),"")</f>
        <v>South Africa</v>
      </c>
      <c r="I969" s="14" t="str">
        <f t="shared" si="1268"/>
        <v>South Africa</v>
      </c>
      <c r="J969" s="14" t="str">
        <f t="array" ref="J969">IFERROR(INDEX([1]Companies!$Y:$Y,MATCH(B969,[1]Companies!$A:$A,0)),"")</f>
        <v>Cryptocurrency, Information Technology, Software</v>
      </c>
      <c r="K969" s="14" t="str">
        <f t="array" ref="K969">IFERROR(INDEX([1]Companies!$X:$X,MATCH(B969,[1]Companies!$A:$A,0)),"")</f>
        <v>Financial Services</v>
      </c>
      <c r="L969" s="14" t="str">
        <f>VLOOKUP(B969,[1]Companies!$A$1:$C$5243,1,FALSE)</f>
        <v xml:space="preserve">Revix </v>
      </c>
      <c r="M969" s="15">
        <f t="shared" si="1269"/>
        <v>0.9</v>
      </c>
      <c r="N969" s="10" t="str">
        <f t="shared" si="1270"/>
        <v>43522Revix 768000</v>
      </c>
      <c r="O969" s="14" t="str">
        <f t="shared" si="1271"/>
        <v/>
      </c>
      <c r="P969" s="14">
        <f t="shared" si="1272"/>
        <v>1</v>
      </c>
      <c r="Q969" s="14">
        <f t="array" ref="Q969">IFERROR(INDEX([1]Companies!$D:$D,MATCH(B969,[1]Companies!$A:$A,0)),"")</f>
        <v>2018</v>
      </c>
      <c r="R969" s="17">
        <f t="shared" si="1273"/>
        <v>768000</v>
      </c>
      <c r="S969" s="14">
        <f>VLOOKUP(I969,[1]Lookups!$V$3:$Y$197,4,FALSE)</f>
        <v>0</v>
      </c>
      <c r="T969" s="14" t="str">
        <f>VLOOKUP(E969,[1]Lookups!$H$3:$I$71,2,FALSE)</f>
        <v>2. Seed</v>
      </c>
      <c r="U969" s="14" t="str">
        <f>VLOOKUP(K969,[1]Lookups!$B$3:$C$142,2,FALSE)</f>
        <v>Financial Services</v>
      </c>
      <c r="V969" s="14">
        <f t="shared" si="1230"/>
        <v>2019</v>
      </c>
      <c r="W969" s="14">
        <f t="shared" si="1231"/>
        <v>2</v>
      </c>
      <c r="X969" s="14">
        <f>VLOOKUP(W969,[1]Lookups!$P$3:$S$15,2,FALSE)</f>
        <v>1</v>
      </c>
      <c r="Y969" s="16">
        <f>VLOOKUP(W969,[1]Lookups!$P$3:$U$15,3,FALSE)</f>
        <v>1</v>
      </c>
      <c r="Z969" s="16">
        <f t="shared" si="1232"/>
        <v>1</v>
      </c>
      <c r="AA969" s="16" t="str">
        <f t="shared" ca="1" si="1274"/>
        <v>Algebra Ventures</v>
      </c>
      <c r="AB969" s="16">
        <f t="shared" si="1274"/>
        <v>0</v>
      </c>
      <c r="AC969" s="16">
        <f t="shared" si="1274"/>
        <v>0</v>
      </c>
      <c r="AD969" s="16">
        <f t="shared" si="1274"/>
        <v>0</v>
      </c>
      <c r="AE969" s="16">
        <f t="shared" si="1274"/>
        <v>0</v>
      </c>
      <c r="AF969" s="16">
        <f t="shared" si="1274"/>
        <v>0</v>
      </c>
      <c r="AG969" s="16">
        <f t="shared" si="1274"/>
        <v>0</v>
      </c>
      <c r="AH969" s="16">
        <f t="shared" si="1274"/>
        <v>0</v>
      </c>
      <c r="AI969" s="16">
        <f t="shared" si="1274"/>
        <v>0</v>
      </c>
      <c r="AJ969" s="16">
        <f t="shared" si="1274"/>
        <v>0</v>
      </c>
      <c r="AK969" s="16">
        <f t="shared" si="1274"/>
        <v>0</v>
      </c>
      <c r="AL969" s="16">
        <f t="shared" si="1274"/>
        <v>0</v>
      </c>
      <c r="AM969" s="16">
        <f t="shared" si="1274"/>
        <v>0</v>
      </c>
      <c r="AN969" s="16">
        <f t="shared" si="1274"/>
        <v>0</v>
      </c>
      <c r="AO969" s="16">
        <f t="shared" si="1274"/>
        <v>0</v>
      </c>
      <c r="AP969" s="10"/>
      <c r="AQ969" s="10"/>
      <c r="AR969" s="10"/>
      <c r="AS969" s="10" t="str">
        <f t="shared" ref="AS969" ca="1" si="1276">IFERROR(__xludf.DUMMYFUNCTION("split(F968,"","",true,true)"),"Algebra Ventures")</f>
        <v>Algebra Ventures</v>
      </c>
      <c r="AT969" s="10"/>
      <c r="AU969" s="10"/>
      <c r="AV969" s="10"/>
      <c r="AW969" s="10"/>
      <c r="AX969" s="10"/>
      <c r="AY969" s="10"/>
      <c r="AZ969" s="10"/>
      <c r="BA969" s="10"/>
      <c r="BB969" s="10"/>
      <c r="BC969" s="10"/>
      <c r="BD969" s="10"/>
      <c r="BE969" s="10"/>
      <c r="BF969" s="10"/>
      <c r="BG969" s="10"/>
      <c r="BH969" s="10"/>
      <c r="BI969" s="10"/>
      <c r="BJ969" s="10"/>
      <c r="BK969" s="10"/>
      <c r="BM969" s="10"/>
    </row>
    <row r="970" spans="1:65" ht="12.75">
      <c r="A970" s="18">
        <v>43523</v>
      </c>
      <c r="B970" s="14" t="s">
        <v>662</v>
      </c>
      <c r="C970" s="19">
        <v>2000000</v>
      </c>
      <c r="D970" s="19"/>
      <c r="E970" s="14" t="s">
        <v>69</v>
      </c>
      <c r="F970" s="14" t="s">
        <v>2068</v>
      </c>
      <c r="G970" s="21" t="s">
        <v>2069</v>
      </c>
      <c r="H970" s="14" t="str">
        <f t="array" ref="H970">IFERROR(INDEX([1]Companies!$G:$G,MATCH(B970,[1]Companies!$A:$A,0)),"")</f>
        <v>South Africa</v>
      </c>
      <c r="I970" s="14" t="str">
        <f t="shared" si="1268"/>
        <v>South Africa</v>
      </c>
      <c r="J970" s="14" t="str">
        <f t="array" ref="J970">IFERROR(INDEX([1]Companies!$Y:$Y,MATCH(B970,[1]Companies!$A:$A,0)),"")</f>
        <v>Data Analytics, Aerial Engineering Design and Manufacture, Machine Learning, and Image Processing, Agtech, Drones, Farming, Software</v>
      </c>
      <c r="K970" s="14" t="str">
        <f t="array" ref="K970">IFERROR(INDEX([1]Companies!$X:$X,MATCH(B970,[1]Companies!$A:$A,0)),"")</f>
        <v>Emerging Technologies</v>
      </c>
      <c r="L970" s="14" t="str">
        <f>VLOOKUP(B970,[1]Companies!$A$1:$C$5243,1,FALSE)</f>
        <v>Aerobotics</v>
      </c>
      <c r="M970" s="15">
        <f t="shared" si="1269"/>
        <v>0.9</v>
      </c>
      <c r="N970" s="10" t="str">
        <f t="shared" si="1270"/>
        <v>43523Aerobotics2000000</v>
      </c>
      <c r="O970" s="14" t="str">
        <f t="shared" si="1271"/>
        <v/>
      </c>
      <c r="P970" s="14">
        <f t="shared" si="1272"/>
        <v>1</v>
      </c>
      <c r="Q970" s="14">
        <f t="array" ref="Q970">IFERROR(INDEX([1]Companies!$D:$D,MATCH(B970,[1]Companies!$A:$A,0)),"")</f>
        <v>2014</v>
      </c>
      <c r="R970" s="17">
        <f t="shared" si="1273"/>
        <v>4667000</v>
      </c>
      <c r="S970" s="14">
        <f>VLOOKUP(I970,[1]Lookups!$V$3:$Y$197,4,FALSE)</f>
        <v>0</v>
      </c>
      <c r="T970" s="14" t="str">
        <f>VLOOKUP(E970,[1]Lookups!$H$3:$I$71,2,FALSE)</f>
        <v>3. Early Venture</v>
      </c>
      <c r="U970" s="14" t="str">
        <f>VLOOKUP(K970,[1]Lookups!$B$3:$C$142,2,FALSE)</f>
        <v>Emerging Technologies</v>
      </c>
      <c r="V970" s="14">
        <f t="shared" si="1230"/>
        <v>2019</v>
      </c>
      <c r="W970" s="14">
        <f t="shared" si="1231"/>
        <v>2</v>
      </c>
      <c r="X970" s="14">
        <f>VLOOKUP(W970,[1]Lookups!$P$3:$S$15,2,FALSE)</f>
        <v>1</v>
      </c>
      <c r="Y970" s="16">
        <f>VLOOKUP(W970,[1]Lookups!$P$3:$U$15,3,FALSE)</f>
        <v>1</v>
      </c>
      <c r="Z970" s="16">
        <f t="shared" si="1232"/>
        <v>1</v>
      </c>
      <c r="AA970" s="16" t="str">
        <f t="shared" ca="1" si="1274"/>
        <v>Algebra Ventures</v>
      </c>
      <c r="AB970" s="16">
        <f t="shared" si="1274"/>
        <v>0</v>
      </c>
      <c r="AC970" s="16">
        <f t="shared" si="1274"/>
        <v>0</v>
      </c>
      <c r="AD970" s="16">
        <f t="shared" si="1274"/>
        <v>0</v>
      </c>
      <c r="AE970" s="16">
        <f t="shared" si="1274"/>
        <v>0</v>
      </c>
      <c r="AF970" s="16">
        <f t="shared" si="1274"/>
        <v>0</v>
      </c>
      <c r="AG970" s="16">
        <f t="shared" si="1274"/>
        <v>0</v>
      </c>
      <c r="AH970" s="16">
        <f t="shared" si="1274"/>
        <v>0</v>
      </c>
      <c r="AI970" s="16">
        <f t="shared" si="1274"/>
        <v>0</v>
      </c>
      <c r="AJ970" s="16">
        <f t="shared" si="1274"/>
        <v>0</v>
      </c>
      <c r="AK970" s="16">
        <f t="shared" si="1274"/>
        <v>0</v>
      </c>
      <c r="AL970" s="16">
        <f t="shared" si="1274"/>
        <v>0</v>
      </c>
      <c r="AM970" s="16">
        <f t="shared" si="1274"/>
        <v>0</v>
      </c>
      <c r="AN970" s="16">
        <f t="shared" si="1274"/>
        <v>0</v>
      </c>
      <c r="AO970" s="16">
        <f t="shared" si="1274"/>
        <v>0</v>
      </c>
      <c r="AP970" s="10"/>
      <c r="AQ970" s="10"/>
      <c r="AR970" s="10"/>
      <c r="AS970" s="10" t="str">
        <f t="shared" ref="AS970" ca="1" si="1277">IFERROR(__xludf.DUMMYFUNCTION("split(F968,"","",true,true)"),"Algebra Ventures")</f>
        <v>Algebra Ventures</v>
      </c>
      <c r="AT970" s="10"/>
      <c r="AU970" s="10"/>
      <c r="AV970" s="10"/>
      <c r="AW970" s="10"/>
      <c r="AX970" s="10"/>
      <c r="AY970" s="10"/>
      <c r="AZ970" s="10"/>
      <c r="BA970" s="10"/>
      <c r="BB970" s="10"/>
      <c r="BC970" s="10"/>
      <c r="BD970" s="10"/>
      <c r="BE970" s="10"/>
      <c r="BF970" s="10"/>
      <c r="BG970" s="10"/>
      <c r="BH970" s="10"/>
      <c r="BI970" s="10"/>
      <c r="BJ970" s="10"/>
      <c r="BK970" s="10"/>
      <c r="BM970" s="10"/>
    </row>
    <row r="971" spans="1:65" ht="12.75">
      <c r="A971" s="18">
        <v>43524</v>
      </c>
      <c r="B971" s="14" t="s">
        <v>1950</v>
      </c>
      <c r="C971" s="19">
        <v>6800000</v>
      </c>
      <c r="D971" s="19"/>
      <c r="E971" s="14" t="s">
        <v>564</v>
      </c>
      <c r="F971" s="14" t="s">
        <v>2070</v>
      </c>
      <c r="G971" s="21" t="s">
        <v>2071</v>
      </c>
      <c r="H971" s="14" t="str">
        <f t="array" ref="H971">IFERROR(INDEX([1]Companies!$G:$G,MATCH(B971,[1]Companies!$A:$A,0)),"")</f>
        <v>United Kingdom</v>
      </c>
      <c r="I971" s="14" t="str">
        <f t="shared" si="1268"/>
        <v>United Kingdom</v>
      </c>
      <c r="J971" s="14" t="str">
        <f t="array" ref="J971">IFERROR(INDEX([1]Companies!$Y:$Y,MATCH(B971,[1]Companies!$A:$A,0)),"")</f>
        <v>Electrical Distribution, Energy, Energy Management, Manufacturing, Product Design, Renewable Energy, Solar</v>
      </c>
      <c r="K971" s="14" t="str">
        <f t="array" ref="K971">IFERROR(INDEX([1]Companies!$X:$X,MATCH(B971,[1]Companies!$A:$A,0)),"")</f>
        <v>Energy &amp; Environment Resources</v>
      </c>
      <c r="L971" s="14" t="str">
        <f>VLOOKUP(B971,[1]Companies!$A$1:$C$5243,1,FALSE)</f>
        <v>Bboxx</v>
      </c>
      <c r="M971" s="15">
        <f t="shared" si="1269"/>
        <v>0.9</v>
      </c>
      <c r="N971" s="10" t="str">
        <f t="shared" si="1270"/>
        <v>43524Bboxx6800000</v>
      </c>
      <c r="O971" s="14" t="str">
        <f t="shared" si="1271"/>
        <v/>
      </c>
      <c r="P971" s="14">
        <f t="shared" si="1272"/>
        <v>1</v>
      </c>
      <c r="Q971" s="14">
        <f t="array" ref="Q971">IFERROR(INDEX([1]Companies!$D:$D,MATCH(B971,[1]Companies!$A:$A,0)),"")</f>
        <v>2010</v>
      </c>
      <c r="R971" s="17">
        <f t="shared" si="1273"/>
        <v>120700000</v>
      </c>
      <c r="S971" s="14">
        <f>VLOOKUP(I971,[1]Lookups!$V$3:$Y$197,4,FALSE)</f>
        <v>1</v>
      </c>
      <c r="T971" s="14" t="str">
        <f>VLOOKUP(E971,[1]Lookups!$H$3:$I$71,2,FALSE)</f>
        <v>7. Offerings</v>
      </c>
      <c r="U971" s="14" t="e">
        <f>VLOOKUP(K971,[1]Lookups!$B$3:$C$142,2,FALSE)</f>
        <v>#N/A</v>
      </c>
      <c r="V971" s="14">
        <f t="shared" si="1230"/>
        <v>2019</v>
      </c>
      <c r="W971" s="14">
        <f t="shared" si="1231"/>
        <v>2</v>
      </c>
      <c r="X971" s="14">
        <f>VLOOKUP(W971,[1]Lookups!$P$3:$S$15,2,FALSE)</f>
        <v>1</v>
      </c>
      <c r="Y971" s="16">
        <f>VLOOKUP(W971,[1]Lookups!$P$3:$U$15,3,FALSE)</f>
        <v>1</v>
      </c>
      <c r="Z971" s="16">
        <f t="shared" si="1232"/>
        <v>1</v>
      </c>
      <c r="AA971" s="16" t="str">
        <f t="shared" ca="1" si="1274"/>
        <v>Algebra Ventures</v>
      </c>
      <c r="AB971" s="16">
        <f t="shared" si="1274"/>
        <v>0</v>
      </c>
      <c r="AC971" s="16">
        <f t="shared" si="1274"/>
        <v>0</v>
      </c>
      <c r="AD971" s="16">
        <f t="shared" si="1274"/>
        <v>0</v>
      </c>
      <c r="AE971" s="16">
        <f t="shared" si="1274"/>
        <v>0</v>
      </c>
      <c r="AF971" s="16">
        <f t="shared" si="1274"/>
        <v>0</v>
      </c>
      <c r="AG971" s="16">
        <f t="shared" si="1274"/>
        <v>0</v>
      </c>
      <c r="AH971" s="16">
        <f t="shared" si="1274"/>
        <v>0</v>
      </c>
      <c r="AI971" s="16">
        <f t="shared" si="1274"/>
        <v>0</v>
      </c>
      <c r="AJ971" s="16">
        <f t="shared" si="1274"/>
        <v>0</v>
      </c>
      <c r="AK971" s="16">
        <f t="shared" si="1274"/>
        <v>0</v>
      </c>
      <c r="AL971" s="16">
        <f t="shared" si="1274"/>
        <v>0</v>
      </c>
      <c r="AM971" s="16">
        <f t="shared" si="1274"/>
        <v>0</v>
      </c>
      <c r="AN971" s="16">
        <f t="shared" si="1274"/>
        <v>0</v>
      </c>
      <c r="AO971" s="16">
        <f t="shared" si="1274"/>
        <v>0</v>
      </c>
      <c r="AP971" s="10"/>
      <c r="AQ971" s="10"/>
      <c r="AR971" s="10"/>
      <c r="AS971" s="10" t="str">
        <f t="shared" ref="AS971" ca="1" si="1278">IFERROR(__xludf.DUMMYFUNCTION("split(F968,"","",true,true)"),"Algebra Ventures")</f>
        <v>Algebra Ventures</v>
      </c>
      <c r="AT971" s="10"/>
      <c r="AU971" s="10"/>
      <c r="AV971" s="10"/>
      <c r="AW971" s="10"/>
      <c r="AX971" s="10"/>
      <c r="AY971" s="10"/>
      <c r="AZ971" s="10"/>
      <c r="BA971" s="10"/>
      <c r="BB971" s="10"/>
      <c r="BC971" s="10"/>
      <c r="BD971" s="10"/>
      <c r="BE971" s="10"/>
      <c r="BF971" s="10"/>
      <c r="BG971" s="10"/>
      <c r="BH971" s="10"/>
      <c r="BI971" s="10"/>
      <c r="BJ971" s="10"/>
      <c r="BK971" s="10"/>
      <c r="BM971" s="10"/>
    </row>
    <row r="972" spans="1:65" ht="12.75">
      <c r="A972" s="18">
        <v>43524</v>
      </c>
      <c r="B972" s="14" t="s">
        <v>2072</v>
      </c>
      <c r="C972" s="19">
        <v>5500000</v>
      </c>
      <c r="D972" s="19"/>
      <c r="E972" s="14" t="s">
        <v>69</v>
      </c>
      <c r="F972" s="14" t="s">
        <v>2073</v>
      </c>
      <c r="G972" s="21" t="s">
        <v>2074</v>
      </c>
      <c r="H972" s="14" t="str">
        <f t="array" ref="H972">IFERROR(INDEX([1]Companies!$G:$G,MATCH(B972,[1]Companies!$A:$A,0)),"")</f>
        <v>Nigeria</v>
      </c>
      <c r="I972" s="14" t="str">
        <f t="shared" si="1268"/>
        <v>Nigeria</v>
      </c>
      <c r="J972" s="14" t="str">
        <f t="array" ref="J972">IFERROR(INDEX([1]Companies!$Y:$Y,MATCH(B972,[1]Companies!$A:$A,0)),"")</f>
        <v>Banking, Financial Services, FinTech, Payments</v>
      </c>
      <c r="K972" s="14" t="str">
        <f t="array" ref="K972">IFERROR(INDEX([1]Companies!$X:$X,MATCH(B972,[1]Companies!$A:$A,0)),"")</f>
        <v>Financial Services</v>
      </c>
      <c r="L972" s="14" t="str">
        <f>VLOOKUP(B972,[1]Companies!$A$1:$C$5243,1,FALSE)</f>
        <v>TeamApt</v>
      </c>
      <c r="M972" s="15">
        <f t="shared" si="1269"/>
        <v>0.9</v>
      </c>
      <c r="N972" s="10" t="str">
        <f t="shared" si="1270"/>
        <v>43524TeamApt5500000</v>
      </c>
      <c r="O972" s="14" t="str">
        <f t="shared" si="1271"/>
        <v/>
      </c>
      <c r="P972" s="14">
        <f t="shared" si="1272"/>
        <v>1</v>
      </c>
      <c r="Q972" s="14">
        <f t="array" ref="Q972">IFERROR(INDEX([1]Companies!$D:$D,MATCH(B972,[1]Companies!$A:$A,0)),"")</f>
        <v>2015</v>
      </c>
      <c r="R972" s="17">
        <f t="shared" si="1273"/>
        <v>5500000</v>
      </c>
      <c r="S972" s="14">
        <f>VLOOKUP(I972,[1]Lookups!$V$3:$Y$197,4,FALSE)</f>
        <v>0</v>
      </c>
      <c r="T972" s="14" t="str">
        <f>VLOOKUP(E972,[1]Lookups!$H$3:$I$71,2,FALSE)</f>
        <v>3. Early Venture</v>
      </c>
      <c r="U972" s="14" t="str">
        <f>VLOOKUP(K972,[1]Lookups!$B$3:$C$142,2,FALSE)</f>
        <v>Financial Services</v>
      </c>
      <c r="V972" s="14">
        <f t="shared" si="1230"/>
        <v>2019</v>
      </c>
      <c r="W972" s="14">
        <f t="shared" si="1231"/>
        <v>2</v>
      </c>
      <c r="X972" s="14">
        <f>VLOOKUP(W972,[1]Lookups!$P$3:$S$15,2,FALSE)</f>
        <v>1</v>
      </c>
      <c r="Y972" s="16">
        <f>VLOOKUP(W972,[1]Lookups!$P$3:$U$15,3,FALSE)</f>
        <v>1</v>
      </c>
      <c r="Z972" s="16">
        <f t="shared" si="1232"/>
        <v>1</v>
      </c>
      <c r="AA972" s="16" t="str">
        <f t="shared" ca="1" si="1274"/>
        <v>Algebra Ventures</v>
      </c>
      <c r="AB972" s="16">
        <f t="shared" si="1274"/>
        <v>0</v>
      </c>
      <c r="AC972" s="16">
        <f t="shared" si="1274"/>
        <v>0</v>
      </c>
      <c r="AD972" s="16">
        <f t="shared" si="1274"/>
        <v>0</v>
      </c>
      <c r="AE972" s="16">
        <f t="shared" si="1274"/>
        <v>0</v>
      </c>
      <c r="AF972" s="16">
        <f t="shared" si="1274"/>
        <v>0</v>
      </c>
      <c r="AG972" s="16">
        <f t="shared" si="1274"/>
        <v>0</v>
      </c>
      <c r="AH972" s="16">
        <f t="shared" si="1274"/>
        <v>0</v>
      </c>
      <c r="AI972" s="16">
        <f t="shared" si="1274"/>
        <v>0</v>
      </c>
      <c r="AJ972" s="16">
        <f t="shared" si="1274"/>
        <v>0</v>
      </c>
      <c r="AK972" s="16">
        <f t="shared" si="1274"/>
        <v>0</v>
      </c>
      <c r="AL972" s="16">
        <f t="shared" si="1274"/>
        <v>0</v>
      </c>
      <c r="AM972" s="16">
        <f t="shared" si="1274"/>
        <v>0</v>
      </c>
      <c r="AN972" s="16">
        <f t="shared" si="1274"/>
        <v>0</v>
      </c>
      <c r="AO972" s="16">
        <f t="shared" si="1274"/>
        <v>0</v>
      </c>
      <c r="AP972" s="10"/>
      <c r="AQ972" s="10"/>
      <c r="AR972" s="10"/>
      <c r="AS972" s="10" t="str">
        <f t="shared" ref="AS972" ca="1" si="1279">IFERROR(__xludf.DUMMYFUNCTION("split(F968,"","",true,true)"),"Algebra Ventures")</f>
        <v>Algebra Ventures</v>
      </c>
      <c r="AT972" s="10"/>
      <c r="AU972" s="10"/>
      <c r="AV972" s="10"/>
      <c r="AW972" s="10"/>
      <c r="AX972" s="10"/>
      <c r="AY972" s="10"/>
      <c r="AZ972" s="10"/>
      <c r="BA972" s="10"/>
      <c r="BB972" s="10"/>
      <c r="BC972" s="10"/>
      <c r="BD972" s="10"/>
      <c r="BE972" s="10"/>
      <c r="BF972" s="10"/>
      <c r="BG972" s="10"/>
      <c r="BH972" s="10"/>
      <c r="BI972" s="10"/>
      <c r="BJ972" s="10"/>
      <c r="BK972" s="10"/>
      <c r="BM972" s="10"/>
    </row>
    <row r="973" spans="1:65" ht="12.75">
      <c r="A973" s="18">
        <v>43524</v>
      </c>
      <c r="B973" s="14" t="s">
        <v>2075</v>
      </c>
      <c r="C973" s="19">
        <v>1500000</v>
      </c>
      <c r="D973" s="19"/>
      <c r="E973" s="14" t="s">
        <v>45</v>
      </c>
      <c r="F973" s="14" t="s">
        <v>2076</v>
      </c>
      <c r="G973" s="21" t="s">
        <v>2077</v>
      </c>
      <c r="H973" s="14" t="str">
        <f t="array" ref="H973">IFERROR(INDEX([1]Companies!$G:$G,MATCH(B973,[1]Companies!$A:$A,0)),"")</f>
        <v>South Africa</v>
      </c>
      <c r="I973" s="14" t="str">
        <f t="shared" si="1268"/>
        <v>South Africa</v>
      </c>
      <c r="J973" s="14" t="str">
        <f t="array" ref="J973">IFERROR(INDEX([1]Companies!$Y:$Y,MATCH(B973,[1]Companies!$A:$A,0)),"")</f>
        <v>Bitcoin, Blockchain, Cryptocurrency, Ethereum, Trading Platform</v>
      </c>
      <c r="K973" s="14" t="str">
        <f t="array" ref="K973">IFERROR(INDEX([1]Companies!$X:$X,MATCH(B973,[1]Companies!$A:$A,0)),"")</f>
        <v>Financial Services</v>
      </c>
      <c r="L973" s="14" t="str">
        <f>VLOOKUP(B973,[1]Companies!$A$1:$C$5243,1,FALSE)</f>
        <v>Valr</v>
      </c>
      <c r="M973" s="15">
        <f t="shared" si="1269"/>
        <v>0.9</v>
      </c>
      <c r="N973" s="10" t="str">
        <f t="shared" si="1270"/>
        <v>43524Valr1500000</v>
      </c>
      <c r="O973" s="14" t="str">
        <f t="shared" si="1271"/>
        <v/>
      </c>
      <c r="P973" s="14">
        <f t="shared" si="1272"/>
        <v>1</v>
      </c>
      <c r="Q973" s="14">
        <f t="array" ref="Q973">IFERROR(INDEX([1]Companies!$D:$D,MATCH(B973,[1]Companies!$A:$A,0)),"")</f>
        <v>2018</v>
      </c>
      <c r="R973" s="17">
        <f t="shared" si="1273"/>
        <v>1500000</v>
      </c>
      <c r="S973" s="14">
        <f>VLOOKUP(I973,[1]Lookups!$V$3:$Y$197,4,FALSE)</f>
        <v>0</v>
      </c>
      <c r="T973" s="14" t="str">
        <f>VLOOKUP(E973,[1]Lookups!$H$3:$I$71,2,FALSE)</f>
        <v>2. Seed</v>
      </c>
      <c r="U973" s="14" t="str">
        <f>VLOOKUP(K973,[1]Lookups!$B$3:$C$142,2,FALSE)</f>
        <v>Financial Services</v>
      </c>
      <c r="V973" s="14">
        <f t="shared" si="1230"/>
        <v>2019</v>
      </c>
      <c r="W973" s="14">
        <f t="shared" si="1231"/>
        <v>2</v>
      </c>
      <c r="X973" s="14">
        <f>VLOOKUP(W973,[1]Lookups!$P$3:$S$15,2,FALSE)</f>
        <v>1</v>
      </c>
      <c r="Y973" s="16">
        <f>VLOOKUP(W973,[1]Lookups!$P$3:$U$15,3,FALSE)</f>
        <v>1</v>
      </c>
      <c r="Z973" s="16">
        <f t="shared" si="1232"/>
        <v>1</v>
      </c>
      <c r="AA973" s="16" t="str">
        <f t="shared" ca="1" si="1274"/>
        <v>Algebra Ventures</v>
      </c>
      <c r="AB973" s="16">
        <f t="shared" si="1274"/>
        <v>0</v>
      </c>
      <c r="AC973" s="16">
        <f t="shared" si="1274"/>
        <v>0</v>
      </c>
      <c r="AD973" s="16">
        <f t="shared" si="1274"/>
        <v>0</v>
      </c>
      <c r="AE973" s="16">
        <f t="shared" si="1274"/>
        <v>0</v>
      </c>
      <c r="AF973" s="16">
        <f t="shared" si="1274"/>
        <v>0</v>
      </c>
      <c r="AG973" s="16">
        <f t="shared" si="1274"/>
        <v>0</v>
      </c>
      <c r="AH973" s="16">
        <f t="shared" si="1274"/>
        <v>0</v>
      </c>
      <c r="AI973" s="16">
        <f t="shared" si="1274"/>
        <v>0</v>
      </c>
      <c r="AJ973" s="16">
        <f t="shared" si="1274"/>
        <v>0</v>
      </c>
      <c r="AK973" s="16">
        <f t="shared" si="1274"/>
        <v>0</v>
      </c>
      <c r="AL973" s="16">
        <f t="shared" si="1274"/>
        <v>0</v>
      </c>
      <c r="AM973" s="16">
        <f t="shared" si="1274"/>
        <v>0</v>
      </c>
      <c r="AN973" s="16">
        <f t="shared" si="1274"/>
        <v>0</v>
      </c>
      <c r="AO973" s="16">
        <f t="shared" si="1274"/>
        <v>0</v>
      </c>
      <c r="AP973" s="10"/>
      <c r="AQ973" s="10"/>
      <c r="AR973" s="10"/>
      <c r="AS973" s="10" t="str">
        <f t="shared" ref="AS973" ca="1" si="1280">IFERROR(__xludf.DUMMYFUNCTION("split(F968,"","",true,true)"),"Algebra Ventures")</f>
        <v>Algebra Ventures</v>
      </c>
      <c r="AT973" s="10"/>
      <c r="AU973" s="10"/>
      <c r="AV973" s="10"/>
      <c r="AW973" s="10"/>
      <c r="AX973" s="10"/>
      <c r="AY973" s="10"/>
      <c r="AZ973" s="10"/>
      <c r="BA973" s="10"/>
      <c r="BB973" s="10"/>
      <c r="BC973" s="10"/>
      <c r="BD973" s="10"/>
      <c r="BE973" s="10"/>
      <c r="BF973" s="10"/>
      <c r="BG973" s="10"/>
      <c r="BH973" s="10"/>
      <c r="BI973" s="10"/>
      <c r="BJ973" s="10"/>
      <c r="BK973" s="10"/>
      <c r="BM973" s="10"/>
    </row>
    <row r="974" spans="1:65" ht="12.75">
      <c r="A974" s="9">
        <v>43525</v>
      </c>
      <c r="B974" s="10" t="s">
        <v>367</v>
      </c>
      <c r="C974" s="11">
        <v>20500</v>
      </c>
      <c r="D974" s="12"/>
      <c r="E974" s="10" t="s">
        <v>55</v>
      </c>
      <c r="F974" s="10" t="s">
        <v>2078</v>
      </c>
      <c r="G974" s="13" t="s">
        <v>2079</v>
      </c>
      <c r="H974" s="14" t="str">
        <f t="array" ref="H974">IFERROR(INDEX([1]Companies!$G:$G,MATCH(B974,[1]Companies!$A:$A,0)),"")</f>
        <v>Egypt</v>
      </c>
      <c r="I974" s="14" t="str">
        <f t="shared" si="1268"/>
        <v>Egypt</v>
      </c>
      <c r="J974" s="14" t="str">
        <f t="array" ref="J974">IFERROR(INDEX([1]Companies!$Y:$Y,MATCH(B974,[1]Companies!$A:$A,0)),"")</f>
        <v>Artificial Intelligence, Big Data, Consumer, Delivery, Grocery, Predictive Analytics, Retail, Software, Supply Chain Management</v>
      </c>
      <c r="K974" s="14" t="str">
        <f t="array" ref="K974">IFERROR(INDEX([1]Companies!$X:$X,MATCH(B974,[1]Companies!$A:$A,0)),"")</f>
        <v>E-Commerce &amp; Retail</v>
      </c>
      <c r="L974" s="14" t="str">
        <f>VLOOKUP(B974,[1]Companies!$A$1:$C$5243,1,FALSE)</f>
        <v>Werpx</v>
      </c>
      <c r="M974" s="15">
        <f t="shared" si="1269"/>
        <v>0.9</v>
      </c>
      <c r="N974" s="10" t="str">
        <f t="shared" si="1270"/>
        <v>43525Werpx20500</v>
      </c>
      <c r="O974" s="14" t="str">
        <f t="shared" si="1271"/>
        <v/>
      </c>
      <c r="P974" s="14">
        <f t="shared" si="1272"/>
        <v>1</v>
      </c>
      <c r="Q974" s="14">
        <f t="array" ref="Q974">IFERROR(INDEX([1]Companies!$D:$D,MATCH(B974,[1]Companies!$A:$A,0)),"")</f>
        <v>2017</v>
      </c>
      <c r="R974" s="17">
        <f t="shared" si="1273"/>
        <v>103900</v>
      </c>
      <c r="S974" s="14">
        <f>VLOOKUP(I974,[1]Lookups!$V$3:$Y$197,4,FALSE)</f>
        <v>0</v>
      </c>
      <c r="T974" s="14" t="str">
        <f>VLOOKUP(E974,[1]Lookups!$H$3:$I$71,2,FALSE)</f>
        <v>1. Grant</v>
      </c>
      <c r="U974" s="14" t="str">
        <f>VLOOKUP(K974,[1]Lookups!$B$3:$C$142,2,FALSE)</f>
        <v>E-commerce &amp; Retail</v>
      </c>
      <c r="V974" s="14">
        <f t="shared" si="1230"/>
        <v>2019</v>
      </c>
      <c r="W974" s="14">
        <f t="shared" si="1231"/>
        <v>3</v>
      </c>
      <c r="X974" s="14">
        <f>VLOOKUP(W974,[1]Lookups!$P$3:$S$15,2,FALSE)</f>
        <v>1</v>
      </c>
      <c r="Y974" s="16">
        <f>VLOOKUP(W974,[1]Lookups!$P$3:$U$15,3,FALSE)</f>
        <v>1</v>
      </c>
      <c r="Z974" s="16">
        <f t="shared" si="1232"/>
        <v>1</v>
      </c>
      <c r="AA974" s="16" t="str">
        <f t="shared" ca="1" si="1274"/>
        <v>Algebra Ventures</v>
      </c>
      <c r="AB974" s="16">
        <f t="shared" si="1274"/>
        <v>0</v>
      </c>
      <c r="AC974" s="16">
        <f t="shared" si="1274"/>
        <v>0</v>
      </c>
      <c r="AD974" s="16">
        <f t="shared" si="1274"/>
        <v>0</v>
      </c>
      <c r="AE974" s="16">
        <f t="shared" si="1274"/>
        <v>0</v>
      </c>
      <c r="AF974" s="16">
        <f t="shared" si="1274"/>
        <v>0</v>
      </c>
      <c r="AG974" s="16">
        <f t="shared" si="1274"/>
        <v>0</v>
      </c>
      <c r="AH974" s="16">
        <f t="shared" si="1274"/>
        <v>0</v>
      </c>
      <c r="AI974" s="16">
        <f t="shared" si="1274"/>
        <v>0</v>
      </c>
      <c r="AJ974" s="16">
        <f t="shared" si="1274"/>
        <v>0</v>
      </c>
      <c r="AK974" s="16">
        <f t="shared" si="1274"/>
        <v>0</v>
      </c>
      <c r="AL974" s="16">
        <f t="shared" si="1274"/>
        <v>0</v>
      </c>
      <c r="AM974" s="16">
        <f t="shared" si="1274"/>
        <v>0</v>
      </c>
      <c r="AN974" s="16">
        <f t="shared" si="1274"/>
        <v>0</v>
      </c>
      <c r="AO974" s="16">
        <f t="shared" si="1274"/>
        <v>0</v>
      </c>
      <c r="AP974" s="10"/>
      <c r="AQ974" s="10"/>
      <c r="AR974" s="10"/>
      <c r="AS974" s="10" t="str">
        <f t="shared" ref="AS974:AS975" ca="1" si="1281">IFERROR(__xludf.DUMMYFUNCTION("split(F968,"","",true,true)"),"Algebra Ventures")</f>
        <v>Algebra Ventures</v>
      </c>
      <c r="AT974" s="10"/>
      <c r="AU974" s="10"/>
      <c r="AV974" s="10"/>
      <c r="AW974" s="10"/>
      <c r="AX974" s="10"/>
      <c r="AY974" s="10"/>
      <c r="AZ974" s="10"/>
      <c r="BA974" s="10"/>
      <c r="BB974" s="10"/>
      <c r="BC974" s="10"/>
      <c r="BD974" s="10"/>
      <c r="BE974" s="10"/>
      <c r="BF974" s="10"/>
      <c r="BG974" s="10"/>
      <c r="BH974" s="10"/>
      <c r="BI974" s="10"/>
      <c r="BJ974" s="10"/>
      <c r="BK974" s="10"/>
      <c r="BM974" s="10"/>
    </row>
    <row r="975" spans="1:65" ht="12.75">
      <c r="A975" s="9">
        <v>43525</v>
      </c>
      <c r="B975" s="10" t="s">
        <v>1002</v>
      </c>
      <c r="C975" s="11">
        <v>40000</v>
      </c>
      <c r="D975" s="12"/>
      <c r="E975" s="10" t="s">
        <v>91</v>
      </c>
      <c r="F975" s="10" t="s">
        <v>2080</v>
      </c>
      <c r="G975" s="10" t="s">
        <v>1002</v>
      </c>
      <c r="H975" s="14"/>
      <c r="I975" s="14"/>
      <c r="J975" s="14"/>
      <c r="K975" s="14"/>
      <c r="L975" s="14"/>
      <c r="M975" s="15"/>
      <c r="N975" s="10"/>
      <c r="O975" s="14"/>
      <c r="P975" s="14"/>
      <c r="Q975" s="14"/>
      <c r="R975" s="14"/>
      <c r="S975" s="14"/>
      <c r="T975" s="14"/>
      <c r="U975" s="14"/>
      <c r="V975" s="14">
        <f t="shared" si="1230"/>
        <v>2019</v>
      </c>
      <c r="W975" s="14">
        <f t="shared" si="1231"/>
        <v>3</v>
      </c>
      <c r="X975" s="14">
        <f>VLOOKUP(W975,[1]Lookups!$P$3:$S$15,2,FALSE)</f>
        <v>1</v>
      </c>
      <c r="Y975" s="16">
        <f>VLOOKUP(W975,[1]Lookups!$P$3:$U$15,3,FALSE)</f>
        <v>1</v>
      </c>
      <c r="Z975" s="16">
        <f t="shared" si="1232"/>
        <v>4</v>
      </c>
      <c r="AA975" s="16" t="str">
        <f t="shared" ca="1" si="1274"/>
        <v>Algebra Ventures</v>
      </c>
      <c r="AB975" s="16" t="str">
        <f t="shared" ca="1" si="1274"/>
        <v xml:space="preserve"> Pace-Able Foundation</v>
      </c>
      <c r="AC975" s="16" t="str">
        <f t="shared" ca="1" si="1274"/>
        <v xml:space="preserve"> Rich Hoops</v>
      </c>
      <c r="AD975" s="16" t="str">
        <f t="shared" ca="1" si="1274"/>
        <v xml:space="preserve"> Ed Svenson</v>
      </c>
      <c r="AE975" s="16">
        <f t="shared" si="1274"/>
        <v>0</v>
      </c>
      <c r="AF975" s="16">
        <f t="shared" si="1274"/>
        <v>0</v>
      </c>
      <c r="AG975" s="16">
        <f t="shared" si="1274"/>
        <v>0</v>
      </c>
      <c r="AH975" s="16">
        <f t="shared" si="1274"/>
        <v>0</v>
      </c>
      <c r="AI975" s="16">
        <f t="shared" si="1274"/>
        <v>0</v>
      </c>
      <c r="AJ975" s="16">
        <f t="shared" si="1274"/>
        <v>0</v>
      </c>
      <c r="AK975" s="16">
        <f t="shared" si="1274"/>
        <v>0</v>
      </c>
      <c r="AL975" s="16">
        <f t="shared" si="1274"/>
        <v>0</v>
      </c>
      <c r="AM975" s="16">
        <f t="shared" si="1274"/>
        <v>0</v>
      </c>
      <c r="AN975" s="16">
        <f t="shared" si="1274"/>
        <v>0</v>
      </c>
      <c r="AO975" s="16">
        <f t="shared" si="1274"/>
        <v>0</v>
      </c>
      <c r="AP975" s="10"/>
      <c r="AQ975" s="10"/>
      <c r="AR975" s="10"/>
      <c r="AS975" s="10" t="str">
        <f t="shared" ca="1" si="1281"/>
        <v>Algebra Ventures</v>
      </c>
      <c r="AT975" s="10" t="str">
        <f ca="1">IFERROR(__xludf.DUMMYFUNCTION("""COMPUTED_VALUE""")," Pace-Able Foundation")</f>
        <v xml:space="preserve"> Pace-Able Foundation</v>
      </c>
      <c r="AU975" s="10" t="str">
        <f ca="1">IFERROR(__xludf.DUMMYFUNCTION("""COMPUTED_VALUE""")," Rich Hoops")</f>
        <v xml:space="preserve"> Rich Hoops</v>
      </c>
      <c r="AV975" s="10" t="str">
        <f ca="1">IFERROR(__xludf.DUMMYFUNCTION("""COMPUTED_VALUE""")," Ed Svenson")</f>
        <v xml:space="preserve"> Ed Svenson</v>
      </c>
      <c r="AW975" s="10"/>
      <c r="AX975" s="10"/>
      <c r="AY975" s="10"/>
      <c r="AZ975" s="10"/>
      <c r="BA975" s="10"/>
      <c r="BB975" s="10"/>
      <c r="BC975" s="10"/>
      <c r="BD975" s="10"/>
      <c r="BE975" s="10"/>
      <c r="BF975" s="10"/>
      <c r="BG975" s="10"/>
      <c r="BH975" s="10"/>
      <c r="BI975" s="10"/>
      <c r="BJ975" s="10"/>
      <c r="BK975" s="10"/>
      <c r="BM975" s="10"/>
    </row>
    <row r="976" spans="1:65" ht="12.75">
      <c r="A976" s="18">
        <v>43527</v>
      </c>
      <c r="B976" s="14" t="s">
        <v>2081</v>
      </c>
      <c r="C976" s="19" t="s">
        <v>49</v>
      </c>
      <c r="D976" s="22"/>
      <c r="E976" s="14" t="s">
        <v>69</v>
      </c>
      <c r="F976" s="14" t="s">
        <v>2082</v>
      </c>
      <c r="G976" s="21" t="s">
        <v>2083</v>
      </c>
      <c r="H976" s="14" t="str">
        <f t="array" ref="H976">IFERROR(INDEX([1]Companies!$G:$G,MATCH(B976,[1]Companies!$A:$A,0)),"")</f>
        <v>Egypt</v>
      </c>
      <c r="I976" s="14" t="str">
        <f t="shared" ref="I976:I985" si="1282">IF(LEN(TRIM(H976))-LEN(SUBSTITUTE(TRIM(H976),",","")) &gt; 0,TRIM(RIGHT(H976,LEN(H976)-FIND(",",H976))),H976)</f>
        <v>Egypt</v>
      </c>
      <c r="J976" s="14" t="str">
        <f t="array" ref="J976">IFERROR(INDEX([1]Companies!$Y:$Y,MATCH(B976,[1]Companies!$A:$A,0)),"")</f>
        <v>Information Technology, Cloud Computing, Video Big Data Analytics, Computer Vision, Artificial Intelligence, and Visualization</v>
      </c>
      <c r="K976" s="14" t="str">
        <f t="array" ref="K976">IFERROR(INDEX([1]Companies!$X:$X,MATCH(B976,[1]Companies!$A:$A,0)),"")</f>
        <v>Information Technology</v>
      </c>
      <c r="L976" s="14" t="str">
        <f>VLOOKUP(B976,[1]Companies!$A$1:$C$5243,1,FALSE)</f>
        <v>Avidbeam</v>
      </c>
      <c r="M976" s="15">
        <f t="shared" ref="M976:M985" si="1283">COUNTA(B976:K976)/(COUNTBLANK(B976:K976) + COUNTA(B976:K976))</f>
        <v>0.9</v>
      </c>
      <c r="N976" s="10" t="str">
        <f t="shared" ref="N976:N985" si="1284">CONCATENATE(A976,B976,C976)</f>
        <v>43527AvidBeamUndisclosed</v>
      </c>
      <c r="O976" s="14" t="str">
        <f t="shared" ref="O976:O985" si="1285">IF(A976 = "","",IF(COUNTIF(N:N,CONCATENATE(A976,B976,C976))&gt;1,"Duplicated",""))</f>
        <v/>
      </c>
      <c r="P976" s="14">
        <f t="shared" ref="P976:P985" si="1286">IF(C976="Undisclosed",0,1)</f>
        <v>0</v>
      </c>
      <c r="Q976" s="14">
        <f t="array" ref="Q976">IFERROR(INDEX([1]Companies!$D:$D,MATCH(B976,[1]Companies!$A:$A,0)),"")</f>
        <v>2014</v>
      </c>
      <c r="R976" s="17">
        <f t="shared" ref="R976:R985" si="1287">SUMIF(B:B,B976,C:C)</f>
        <v>0</v>
      </c>
      <c r="S976" s="14">
        <f>VLOOKUP(I976,[1]Lookups!$V$3:$Y$197,4,FALSE)</f>
        <v>0</v>
      </c>
      <c r="T976" s="14" t="str">
        <f>VLOOKUP(E976,[1]Lookups!$H$3:$I$71,2,FALSE)</f>
        <v>3. Early Venture</v>
      </c>
      <c r="U976" s="14" t="str">
        <f>VLOOKUP(K976,[1]Lookups!$B$3:$C$142,2,FALSE)</f>
        <v>Other Technologies &amp; Information Technology</v>
      </c>
      <c r="V976" s="14">
        <f t="shared" si="1230"/>
        <v>2019</v>
      </c>
      <c r="W976" s="14">
        <f t="shared" si="1231"/>
        <v>3</v>
      </c>
      <c r="X976" s="14">
        <f>VLOOKUP(W976,[1]Lookups!$P$3:$S$15,2,FALSE)</f>
        <v>1</v>
      </c>
      <c r="Y976" s="16">
        <f>VLOOKUP(W976,[1]Lookups!$P$3:$U$15,3,FALSE)</f>
        <v>1</v>
      </c>
      <c r="Z976" s="16">
        <f t="shared" si="1232"/>
        <v>1</v>
      </c>
      <c r="AA976" s="16" t="str">
        <f t="shared" ca="1" si="1274"/>
        <v>Algebra Ventures</v>
      </c>
      <c r="AB976" s="16">
        <f t="shared" si="1274"/>
        <v>0</v>
      </c>
      <c r="AC976" s="16">
        <f t="shared" si="1274"/>
        <v>0</v>
      </c>
      <c r="AD976" s="16">
        <f t="shared" si="1274"/>
        <v>0</v>
      </c>
      <c r="AE976" s="16">
        <f t="shared" si="1274"/>
        <v>0</v>
      </c>
      <c r="AF976" s="16">
        <f t="shared" si="1274"/>
        <v>0</v>
      </c>
      <c r="AG976" s="16">
        <f t="shared" si="1274"/>
        <v>0</v>
      </c>
      <c r="AH976" s="16">
        <f t="shared" si="1274"/>
        <v>0</v>
      </c>
      <c r="AI976" s="16">
        <f t="shared" si="1274"/>
        <v>0</v>
      </c>
      <c r="AJ976" s="16">
        <f t="shared" si="1274"/>
        <v>0</v>
      </c>
      <c r="AK976" s="16">
        <f t="shared" si="1274"/>
        <v>0</v>
      </c>
      <c r="AL976" s="16">
        <f t="shared" si="1274"/>
        <v>0</v>
      </c>
      <c r="AM976" s="16">
        <f t="shared" si="1274"/>
        <v>0</v>
      </c>
      <c r="AN976" s="16">
        <f t="shared" si="1274"/>
        <v>0</v>
      </c>
      <c r="AO976" s="16">
        <f t="shared" si="1274"/>
        <v>0</v>
      </c>
      <c r="AP976" s="10"/>
      <c r="AQ976" s="10"/>
      <c r="AR976" s="10"/>
      <c r="AS976" s="10" t="str">
        <f t="shared" ref="AS976" ca="1" si="1288">IFERROR(__xludf.DUMMYFUNCTION("split(F968,"","",true,true)"),"Algebra Ventures")</f>
        <v>Algebra Ventures</v>
      </c>
      <c r="AT976" s="10"/>
      <c r="AU976" s="10"/>
      <c r="AV976" s="10"/>
      <c r="AW976" s="10"/>
      <c r="AX976" s="10"/>
      <c r="AY976" s="10"/>
      <c r="AZ976" s="10"/>
      <c r="BA976" s="10"/>
      <c r="BB976" s="10"/>
      <c r="BC976" s="10"/>
      <c r="BD976" s="10"/>
      <c r="BE976" s="10"/>
      <c r="BF976" s="10"/>
      <c r="BG976" s="10"/>
      <c r="BH976" s="10"/>
      <c r="BI976" s="10"/>
      <c r="BJ976" s="10"/>
      <c r="BK976" s="10"/>
      <c r="BM976" s="10"/>
    </row>
    <row r="977" spans="1:65" ht="12.75">
      <c r="A977" s="18">
        <v>43529</v>
      </c>
      <c r="B977" s="14" t="s">
        <v>2084</v>
      </c>
      <c r="C977" s="19">
        <v>685000</v>
      </c>
      <c r="D977" s="19"/>
      <c r="E977" s="14" t="s">
        <v>45</v>
      </c>
      <c r="F977" s="14" t="s">
        <v>2085</v>
      </c>
      <c r="G977" s="21" t="s">
        <v>2086</v>
      </c>
      <c r="H977" s="14" t="str">
        <f t="array" ref="H977">IFERROR(INDEX([1]Companies!$G:$G,MATCH(B977,[1]Companies!$A:$A,0)),"")</f>
        <v>South Africa</v>
      </c>
      <c r="I977" s="14" t="str">
        <f t="shared" si="1282"/>
        <v>South Africa</v>
      </c>
      <c r="J977" s="14" t="str">
        <f t="array" ref="J977">IFERROR(INDEX([1]Companies!$Y:$Y,MATCH(B977,[1]Companies!$A:$A,0)),"")</f>
        <v>Fin Tech, Insur Tech</v>
      </c>
      <c r="K977" s="14" t="str">
        <f t="array" ref="K977">IFERROR(INDEX([1]Companies!$X:$X,MATCH(B977,[1]Companies!$A:$A,0)),"")</f>
        <v>Financial Services</v>
      </c>
      <c r="L977" s="14" t="str">
        <f>VLOOKUP(B977,[1]Companies!$A$1:$C$5243,1,FALSE)</f>
        <v>Investsure</v>
      </c>
      <c r="M977" s="15">
        <f t="shared" si="1283"/>
        <v>0.9</v>
      </c>
      <c r="N977" s="10" t="str">
        <f t="shared" si="1284"/>
        <v>43529InvestSure685000</v>
      </c>
      <c r="O977" s="14" t="str">
        <f t="shared" si="1285"/>
        <v/>
      </c>
      <c r="P977" s="14">
        <f t="shared" si="1286"/>
        <v>1</v>
      </c>
      <c r="Q977" s="14">
        <f t="array" ref="Q977">IFERROR(INDEX([1]Companies!$D:$D,MATCH(B977,[1]Companies!$A:$A,0)),"")</f>
        <v>2015</v>
      </c>
      <c r="R977" s="17">
        <f t="shared" si="1287"/>
        <v>685000</v>
      </c>
      <c r="S977" s="14">
        <f>VLOOKUP(I977,[1]Lookups!$V$3:$Y$197,4,FALSE)</f>
        <v>0</v>
      </c>
      <c r="T977" s="14" t="str">
        <f>VLOOKUP(E977,[1]Lookups!$H$3:$I$71,2,FALSE)</f>
        <v>2. Seed</v>
      </c>
      <c r="U977" s="14" t="str">
        <f>VLOOKUP(K977,[1]Lookups!$B$3:$C$142,2,FALSE)</f>
        <v>Financial Services</v>
      </c>
      <c r="V977" s="14">
        <f t="shared" si="1230"/>
        <v>2019</v>
      </c>
      <c r="W977" s="14">
        <f t="shared" si="1231"/>
        <v>3</v>
      </c>
      <c r="X977" s="14">
        <f>VLOOKUP(W977,[1]Lookups!$P$3:$S$15,2,FALSE)</f>
        <v>1</v>
      </c>
      <c r="Y977" s="16">
        <f>VLOOKUP(W977,[1]Lookups!$P$3:$U$15,3,FALSE)</f>
        <v>1</v>
      </c>
      <c r="Z977" s="16">
        <f t="shared" si="1232"/>
        <v>3</v>
      </c>
      <c r="AA977" s="16" t="str">
        <f t="shared" ca="1" si="1274"/>
        <v>Algebra Ventures</v>
      </c>
      <c r="AB977" s="16" t="str">
        <f t="shared" ca="1" si="1274"/>
        <v xml:space="preserve"> Compass Insure</v>
      </c>
      <c r="AC977" s="16" t="str">
        <f t="shared" ca="1" si="1274"/>
        <v xml:space="preserve"> 4Di Capital</v>
      </c>
      <c r="AD977" s="16">
        <f t="shared" si="1274"/>
        <v>0</v>
      </c>
      <c r="AE977" s="16">
        <f t="shared" si="1274"/>
        <v>0</v>
      </c>
      <c r="AF977" s="16">
        <f t="shared" si="1274"/>
        <v>0</v>
      </c>
      <c r="AG977" s="16">
        <f t="shared" si="1274"/>
        <v>0</v>
      </c>
      <c r="AH977" s="16">
        <f t="shared" si="1274"/>
        <v>0</v>
      </c>
      <c r="AI977" s="16">
        <f t="shared" si="1274"/>
        <v>0</v>
      </c>
      <c r="AJ977" s="16">
        <f t="shared" si="1274"/>
        <v>0</v>
      </c>
      <c r="AK977" s="16">
        <f t="shared" si="1274"/>
        <v>0</v>
      </c>
      <c r="AL977" s="16">
        <f t="shared" si="1274"/>
        <v>0</v>
      </c>
      <c r="AM977" s="16">
        <f t="shared" si="1274"/>
        <v>0</v>
      </c>
      <c r="AN977" s="16">
        <f t="shared" si="1274"/>
        <v>0</v>
      </c>
      <c r="AO977" s="16">
        <f t="shared" si="1274"/>
        <v>0</v>
      </c>
      <c r="AP977" s="10"/>
      <c r="AQ977" s="10"/>
      <c r="AR977" s="10"/>
      <c r="AS977" s="10" t="str">
        <f t="shared" ref="AS977" ca="1" si="1289">IFERROR(__xludf.DUMMYFUNCTION("split(F968,"","",true,true)"),"Algebra Ventures")</f>
        <v>Algebra Ventures</v>
      </c>
      <c r="AT977" s="10" t="str">
        <f ca="1">IFERROR(__xludf.DUMMYFUNCTION("""COMPUTED_VALUE""")," Compass Insure")</f>
        <v xml:space="preserve"> Compass Insure</v>
      </c>
      <c r="AU977" s="10" t="str">
        <f ca="1">IFERROR(__xludf.DUMMYFUNCTION("""COMPUTED_VALUE""")," 4Di Capital")</f>
        <v xml:space="preserve"> 4Di Capital</v>
      </c>
      <c r="AV977" s="10"/>
      <c r="AW977" s="10"/>
      <c r="AX977" s="10"/>
      <c r="AY977" s="10"/>
      <c r="AZ977" s="10"/>
      <c r="BA977" s="10"/>
      <c r="BB977" s="10"/>
      <c r="BC977" s="10"/>
      <c r="BD977" s="10"/>
      <c r="BE977" s="10"/>
      <c r="BF977" s="10"/>
      <c r="BG977" s="10"/>
      <c r="BH977" s="10"/>
      <c r="BI977" s="10"/>
      <c r="BJ977" s="10"/>
      <c r="BK977" s="10"/>
      <c r="BM977" s="10"/>
    </row>
    <row r="978" spans="1:65" ht="12.75">
      <c r="A978" s="9">
        <v>43530</v>
      </c>
      <c r="B978" s="10" t="s">
        <v>2087</v>
      </c>
      <c r="C978" s="11" t="s">
        <v>49</v>
      </c>
      <c r="D978" s="12"/>
      <c r="E978" s="10" t="s">
        <v>51</v>
      </c>
      <c r="F978" s="10" t="s">
        <v>2088</v>
      </c>
      <c r="G978" s="13" t="s">
        <v>2089</v>
      </c>
      <c r="H978" s="14" t="str">
        <f t="array" ref="H978">IFERROR(INDEX([1]Companies!$G:$G,MATCH(B978,[1]Companies!$A:$A,0)),"")</f>
        <v>South Africa</v>
      </c>
      <c r="I978" s="14" t="str">
        <f t="shared" si="1282"/>
        <v>South Africa</v>
      </c>
      <c r="J978" s="14" t="str">
        <f t="array" ref="J978">IFERROR(INDEX([1]Companies!$Y:$Y,MATCH(B978,[1]Companies!$A:$A,0)),"")</f>
        <v>Financial Services, Lending, Retail</v>
      </c>
      <c r="K978" s="14" t="str">
        <f t="array" ref="K978">IFERROR(INDEX([1]Companies!$X:$X,MATCH(B978,[1]Companies!$A:$A,0)),"")</f>
        <v>Financial Services</v>
      </c>
      <c r="L978" s="14" t="str">
        <f>VLOOKUP(B978,[1]Companies!$A$1:$C$5243,1,FALSE)</f>
        <v>Retail Capital</v>
      </c>
      <c r="M978" s="15">
        <f t="shared" si="1283"/>
        <v>0.9</v>
      </c>
      <c r="N978" s="10" t="str">
        <f t="shared" si="1284"/>
        <v>43530Retail CapitalUndisclosed</v>
      </c>
      <c r="O978" s="14" t="str">
        <f t="shared" si="1285"/>
        <v/>
      </c>
      <c r="P978" s="14">
        <f t="shared" si="1286"/>
        <v>0</v>
      </c>
      <c r="Q978" s="14">
        <f t="array" ref="Q978">IFERROR(INDEX([1]Companies!$D:$D,MATCH(B978,[1]Companies!$A:$A,0)),"")</f>
        <v>2011</v>
      </c>
      <c r="R978" s="17">
        <f t="shared" si="1287"/>
        <v>0</v>
      </c>
      <c r="S978" s="14">
        <f>VLOOKUP(I978,[1]Lookups!$V$3:$Y$197,4,FALSE)</f>
        <v>0</v>
      </c>
      <c r="T978" s="14" t="str">
        <f>VLOOKUP(E978,[1]Lookups!$H$3:$I$71,2,FALSE)</f>
        <v>6. Private Equity</v>
      </c>
      <c r="U978" s="14" t="str">
        <f>VLOOKUP(K978,[1]Lookups!$B$3:$C$142,2,FALSE)</f>
        <v>Financial Services</v>
      </c>
      <c r="V978" s="14">
        <f t="shared" si="1230"/>
        <v>2019</v>
      </c>
      <c r="W978" s="14">
        <f t="shared" si="1231"/>
        <v>3</v>
      </c>
      <c r="X978" s="14">
        <f>VLOOKUP(W978,[1]Lookups!$P$3:$S$15,2,FALSE)</f>
        <v>1</v>
      </c>
      <c r="Y978" s="16">
        <f>VLOOKUP(W978,[1]Lookups!$P$3:$U$15,3,FALSE)</f>
        <v>1</v>
      </c>
      <c r="Z978" s="16">
        <f t="shared" si="1232"/>
        <v>1</v>
      </c>
      <c r="AA978" s="16" t="str">
        <f t="shared" ca="1" si="1274"/>
        <v>Algebra Ventures</v>
      </c>
      <c r="AB978" s="16">
        <f t="shared" si="1274"/>
        <v>0</v>
      </c>
      <c r="AC978" s="16">
        <f t="shared" si="1274"/>
        <v>0</v>
      </c>
      <c r="AD978" s="16">
        <f t="shared" si="1274"/>
        <v>0</v>
      </c>
      <c r="AE978" s="16">
        <f t="shared" si="1274"/>
        <v>0</v>
      </c>
      <c r="AF978" s="16">
        <f t="shared" si="1274"/>
        <v>0</v>
      </c>
      <c r="AG978" s="16">
        <f t="shared" si="1274"/>
        <v>0</v>
      </c>
      <c r="AH978" s="16">
        <f t="shared" si="1274"/>
        <v>0</v>
      </c>
      <c r="AI978" s="16">
        <f t="shared" si="1274"/>
        <v>0</v>
      </c>
      <c r="AJ978" s="16">
        <f t="shared" si="1274"/>
        <v>0</v>
      </c>
      <c r="AK978" s="16">
        <f t="shared" si="1274"/>
        <v>0</v>
      </c>
      <c r="AL978" s="16">
        <f t="shared" si="1274"/>
        <v>0</v>
      </c>
      <c r="AM978" s="16">
        <f t="shared" si="1274"/>
        <v>0</v>
      </c>
      <c r="AN978" s="16">
        <f t="shared" si="1274"/>
        <v>0</v>
      </c>
      <c r="AO978" s="16">
        <f t="shared" si="1274"/>
        <v>0</v>
      </c>
      <c r="AP978" s="10"/>
      <c r="AQ978" s="10"/>
      <c r="AR978" s="10"/>
      <c r="AS978" s="10" t="str">
        <f t="shared" ref="AS978" ca="1" si="1290">IFERROR(__xludf.DUMMYFUNCTION("split(F968,"","",true,true)"),"Algebra Ventures")</f>
        <v>Algebra Ventures</v>
      </c>
      <c r="AT978" s="10"/>
      <c r="AU978" s="10"/>
      <c r="AV978" s="10"/>
      <c r="AW978" s="10"/>
      <c r="AX978" s="10"/>
      <c r="AY978" s="10"/>
      <c r="AZ978" s="10"/>
      <c r="BA978" s="10"/>
      <c r="BB978" s="10"/>
      <c r="BC978" s="10"/>
      <c r="BD978" s="10"/>
      <c r="BE978" s="10"/>
      <c r="BF978" s="10"/>
      <c r="BG978" s="10"/>
      <c r="BH978" s="10"/>
      <c r="BI978" s="10"/>
      <c r="BJ978" s="10"/>
      <c r="BK978" s="10"/>
      <c r="BM978" s="10"/>
    </row>
    <row r="979" spans="1:65" ht="12.75">
      <c r="A979" s="18">
        <v>43531</v>
      </c>
      <c r="B979" s="14" t="s">
        <v>2090</v>
      </c>
      <c r="C979" s="19" t="s">
        <v>49</v>
      </c>
      <c r="D979" s="22"/>
      <c r="E979" s="14" t="s">
        <v>55</v>
      </c>
      <c r="F979" s="14" t="s">
        <v>1701</v>
      </c>
      <c r="G979" s="21" t="s">
        <v>2091</v>
      </c>
      <c r="H979" s="14" t="str">
        <f t="array" ref="H979">IFERROR(INDEX([1]Companies!$G:$G,MATCH(B979,[1]Companies!$A:$A,0)),"")</f>
        <v>Kenya</v>
      </c>
      <c r="I979" s="14" t="str">
        <f t="shared" si="1282"/>
        <v>Kenya</v>
      </c>
      <c r="J979" s="14" t="str">
        <f t="array" ref="J979">IFERROR(INDEX([1]Companies!$Y:$Y,MATCH(B979,[1]Companies!$A:$A,0)),"")</f>
        <v>Banking, Financial Services</v>
      </c>
      <c r="K979" s="14" t="str">
        <f t="array" ref="K979">IFERROR(INDEX([1]Companies!$X:$X,MATCH(B979,[1]Companies!$A:$A,0)),"")</f>
        <v>Financial Services</v>
      </c>
      <c r="L979" s="14" t="str">
        <f>VLOOKUP(B979,[1]Companies!$A$1:$C$5243,1,FALSE)</f>
        <v>Lima Kwanza Limited</v>
      </c>
      <c r="M979" s="15">
        <f t="shared" si="1283"/>
        <v>0.9</v>
      </c>
      <c r="N979" s="10" t="str">
        <f t="shared" si="1284"/>
        <v>43531Lima Kwanza LimitedUndisclosed</v>
      </c>
      <c r="O979" s="14" t="str">
        <f t="shared" si="1285"/>
        <v/>
      </c>
      <c r="P979" s="14">
        <f t="shared" si="1286"/>
        <v>0</v>
      </c>
      <c r="Q979" s="14">
        <f t="array" ref="Q979">IFERROR(INDEX([1]Companies!$D:$D,MATCH(B979,[1]Companies!$A:$A,0)),"")</f>
        <v>2014</v>
      </c>
      <c r="R979" s="17">
        <f t="shared" si="1287"/>
        <v>0</v>
      </c>
      <c r="S979" s="14">
        <f>VLOOKUP(I979,[1]Lookups!$V$3:$Y$197,4,FALSE)</f>
        <v>0</v>
      </c>
      <c r="T979" s="14" t="str">
        <f>VLOOKUP(E979,[1]Lookups!$H$3:$I$71,2,FALSE)</f>
        <v>1. Grant</v>
      </c>
      <c r="U979" s="14" t="str">
        <f>VLOOKUP(K979,[1]Lookups!$B$3:$C$142,2,FALSE)</f>
        <v>Financial Services</v>
      </c>
      <c r="V979" s="14">
        <f t="shared" si="1230"/>
        <v>2019</v>
      </c>
      <c r="W979" s="14">
        <f t="shared" si="1231"/>
        <v>3</v>
      </c>
      <c r="X979" s="14">
        <f>VLOOKUP(W979,[1]Lookups!$P$3:$S$15,2,FALSE)</f>
        <v>1</v>
      </c>
      <c r="Y979" s="16">
        <f>VLOOKUP(W979,[1]Lookups!$P$3:$U$15,3,FALSE)</f>
        <v>1</v>
      </c>
      <c r="Z979" s="16">
        <f t="shared" si="1232"/>
        <v>1</v>
      </c>
      <c r="AA979" s="16" t="str">
        <f t="shared" ca="1" si="1274"/>
        <v>Algebra Ventures</v>
      </c>
      <c r="AB979" s="16">
        <f t="shared" si="1274"/>
        <v>0</v>
      </c>
      <c r="AC979" s="16">
        <f t="shared" si="1274"/>
        <v>0</v>
      </c>
      <c r="AD979" s="16">
        <f t="shared" si="1274"/>
        <v>0</v>
      </c>
      <c r="AE979" s="16">
        <f t="shared" si="1274"/>
        <v>0</v>
      </c>
      <c r="AF979" s="16">
        <f t="shared" si="1274"/>
        <v>0</v>
      </c>
      <c r="AG979" s="16">
        <f t="shared" si="1274"/>
        <v>0</v>
      </c>
      <c r="AH979" s="16">
        <f t="shared" si="1274"/>
        <v>0</v>
      </c>
      <c r="AI979" s="16">
        <f t="shared" si="1274"/>
        <v>0</v>
      </c>
      <c r="AJ979" s="16">
        <f t="shared" si="1274"/>
        <v>0</v>
      </c>
      <c r="AK979" s="16">
        <f t="shared" si="1274"/>
        <v>0</v>
      </c>
      <c r="AL979" s="16">
        <f t="shared" si="1274"/>
        <v>0</v>
      </c>
      <c r="AM979" s="16">
        <f t="shared" si="1274"/>
        <v>0</v>
      </c>
      <c r="AN979" s="16">
        <f t="shared" si="1274"/>
        <v>0</v>
      </c>
      <c r="AO979" s="16">
        <f t="shared" si="1274"/>
        <v>0</v>
      </c>
      <c r="AP979" s="10"/>
      <c r="AQ979" s="10"/>
      <c r="AR979" s="10"/>
      <c r="AS979" s="10" t="str">
        <f t="shared" ref="AS979" ca="1" si="1291">IFERROR(__xludf.DUMMYFUNCTION("split(F968,"","",true,true)"),"Algebra Ventures")</f>
        <v>Algebra Ventures</v>
      </c>
      <c r="AT979" s="10"/>
      <c r="AU979" s="10"/>
      <c r="AV979" s="10"/>
      <c r="AW979" s="10"/>
      <c r="AX979" s="10"/>
      <c r="AY979" s="10"/>
      <c r="AZ979" s="10"/>
      <c r="BA979" s="10"/>
      <c r="BB979" s="10"/>
      <c r="BC979" s="10"/>
      <c r="BD979" s="10"/>
      <c r="BE979" s="10"/>
      <c r="BF979" s="10"/>
      <c r="BG979" s="10"/>
      <c r="BH979" s="10"/>
      <c r="BI979" s="10"/>
      <c r="BJ979" s="10"/>
      <c r="BK979" s="10"/>
      <c r="BM979" s="10"/>
    </row>
    <row r="980" spans="1:65" ht="12.75">
      <c r="A980" s="18">
        <v>43531</v>
      </c>
      <c r="B980" s="14" t="s">
        <v>1739</v>
      </c>
      <c r="C980" s="19">
        <v>250000</v>
      </c>
      <c r="D980" s="19"/>
      <c r="E980" s="14" t="s">
        <v>55</v>
      </c>
      <c r="F980" s="14" t="s">
        <v>2092</v>
      </c>
      <c r="G980" s="21" t="s">
        <v>2093</v>
      </c>
      <c r="H980" s="14" t="str">
        <f t="array" ref="H980">IFERROR(INDEX([1]Companies!$G:$G,MATCH(B980,[1]Companies!$A:$A,0)),"")</f>
        <v>Kenya</v>
      </c>
      <c r="I980" s="14" t="str">
        <f t="shared" si="1282"/>
        <v>Kenya</v>
      </c>
      <c r="J980" s="14" t="str">
        <f t="array" ref="J980">IFERROR(INDEX([1]Companies!$Y:$Y,MATCH(B980,[1]Companies!$A:$A,0)),"")</f>
        <v>Training, youth development, Business Skills, internship placement, Intern recruitment, capacity building, Entry-level recruitment, Up-skilling, Business Etiquette, Sales skills, Marketing skills, Customer service skills, Administration skills, SME Talent Provision, and Recruitment</v>
      </c>
      <c r="K980" s="14" t="str">
        <f t="array" ref="K980">IFERROR(INDEX([1]Companies!$X:$X,MATCH(B980,[1]Companies!$A:$A,0)),"")</f>
        <v>Recruitment</v>
      </c>
      <c r="L980" s="14" t="str">
        <f>VLOOKUP(B980,[1]Companies!$A$1:$C$5243,1,FALSE)</f>
        <v>Yusudi</v>
      </c>
      <c r="M980" s="15">
        <f t="shared" si="1283"/>
        <v>0.9</v>
      </c>
      <c r="N980" s="10" t="str">
        <f t="shared" si="1284"/>
        <v>43531Yusudi250000</v>
      </c>
      <c r="O980" s="14" t="str">
        <f t="shared" si="1285"/>
        <v/>
      </c>
      <c r="P980" s="14">
        <f t="shared" si="1286"/>
        <v>1</v>
      </c>
      <c r="Q980" s="14">
        <f t="array" ref="Q980">IFERROR(INDEX([1]Companies!$D:$D,MATCH(B980,[1]Companies!$A:$A,0)),"")</f>
        <v>2015</v>
      </c>
      <c r="R980" s="17">
        <f t="shared" si="1287"/>
        <v>250000</v>
      </c>
      <c r="S980" s="14">
        <f>VLOOKUP(I980,[1]Lookups!$V$3:$Y$197,4,FALSE)</f>
        <v>0</v>
      </c>
      <c r="T980" s="14" t="str">
        <f>VLOOKUP(E980,[1]Lookups!$H$3:$I$71,2,FALSE)</f>
        <v>1. Grant</v>
      </c>
      <c r="U980" s="14" t="str">
        <f>VLOOKUP(K980,[1]Lookups!$B$3:$C$142,2,FALSE)</f>
        <v>Employment, Talent &amp; Labour</v>
      </c>
      <c r="V980" s="14">
        <f t="shared" si="1230"/>
        <v>2019</v>
      </c>
      <c r="W980" s="14">
        <f t="shared" si="1231"/>
        <v>3</v>
      </c>
      <c r="X980" s="14">
        <f>VLOOKUP(W980,[1]Lookups!$P$3:$S$15,2,FALSE)</f>
        <v>1</v>
      </c>
      <c r="Y980" s="16">
        <f>VLOOKUP(W980,[1]Lookups!$P$3:$U$15,3,FALSE)</f>
        <v>1</v>
      </c>
      <c r="Z980" s="16">
        <f t="shared" si="1232"/>
        <v>1</v>
      </c>
      <c r="AA980" s="16" t="str">
        <f t="shared" ca="1" si="1274"/>
        <v>Algebra Ventures</v>
      </c>
      <c r="AB980" s="16">
        <f t="shared" si="1274"/>
        <v>0</v>
      </c>
      <c r="AC980" s="16">
        <f t="shared" si="1274"/>
        <v>0</v>
      </c>
      <c r="AD980" s="16">
        <f t="shared" si="1274"/>
        <v>0</v>
      </c>
      <c r="AE980" s="16">
        <f t="shared" si="1274"/>
        <v>0</v>
      </c>
      <c r="AF980" s="16">
        <f t="shared" si="1274"/>
        <v>0</v>
      </c>
      <c r="AG980" s="16">
        <f t="shared" si="1274"/>
        <v>0</v>
      </c>
      <c r="AH980" s="16">
        <f t="shared" si="1274"/>
        <v>0</v>
      </c>
      <c r="AI980" s="16">
        <f t="shared" si="1274"/>
        <v>0</v>
      </c>
      <c r="AJ980" s="16">
        <f t="shared" si="1274"/>
        <v>0</v>
      </c>
      <c r="AK980" s="16">
        <f t="shared" si="1274"/>
        <v>0</v>
      </c>
      <c r="AL980" s="16">
        <f t="shared" si="1274"/>
        <v>0</v>
      </c>
      <c r="AM980" s="16">
        <f t="shared" si="1274"/>
        <v>0</v>
      </c>
      <c r="AN980" s="16">
        <f t="shared" si="1274"/>
        <v>0</v>
      </c>
      <c r="AO980" s="16">
        <f t="shared" si="1274"/>
        <v>0</v>
      </c>
      <c r="AP980" s="10"/>
      <c r="AQ980" s="10"/>
      <c r="AR980" s="10"/>
      <c r="AS980" s="10" t="str">
        <f t="shared" ref="AS980" ca="1" si="1292">IFERROR(__xludf.DUMMYFUNCTION("split(F968,"","",true,true)"),"Algebra Ventures")</f>
        <v>Algebra Ventures</v>
      </c>
      <c r="AT980" s="10"/>
      <c r="AU980" s="10"/>
      <c r="AV980" s="10"/>
      <c r="AW980" s="10"/>
      <c r="AX980" s="10"/>
      <c r="AY980" s="10"/>
      <c r="AZ980" s="10"/>
      <c r="BA980" s="10"/>
      <c r="BB980" s="10"/>
      <c r="BC980" s="10"/>
      <c r="BD980" s="10"/>
      <c r="BE980" s="10"/>
      <c r="BF980" s="10"/>
      <c r="BG980" s="10"/>
      <c r="BH980" s="10"/>
      <c r="BI980" s="10"/>
      <c r="BJ980" s="10"/>
      <c r="BK980" s="10"/>
      <c r="BM980" s="10"/>
    </row>
    <row r="981" spans="1:65" ht="12.75">
      <c r="A981" s="9">
        <v>43534</v>
      </c>
      <c r="B981" s="10" t="s">
        <v>792</v>
      </c>
      <c r="C981" s="11">
        <v>445000</v>
      </c>
      <c r="D981" s="12"/>
      <c r="E981" s="14" t="s">
        <v>45</v>
      </c>
      <c r="F981" s="10" t="s">
        <v>49</v>
      </c>
      <c r="G981" s="13" t="s">
        <v>2094</v>
      </c>
      <c r="H981" s="14" t="str">
        <f t="array" ref="H981">IFERROR(INDEX([1]Companies!$G:$G,MATCH(B981,[1]Companies!$A:$A,0)),"")</f>
        <v>Kenya</v>
      </c>
      <c r="I981" s="14" t="str">
        <f t="shared" si="1282"/>
        <v>Kenya</v>
      </c>
      <c r="J981" s="14" t="str">
        <f t="array" ref="J981">IFERROR(INDEX([1]Companies!$Y:$Y,MATCH(B981,[1]Companies!$A:$A,0)),"")</f>
        <v>Consumer, E-Commerce, Internet, Retail, Marketplace</v>
      </c>
      <c r="K981" s="14" t="str">
        <f t="array" ref="K981">IFERROR(INDEX([1]Companies!$X:$X,MATCH(B981,[1]Companies!$A:$A,0)),"")</f>
        <v>E-Commerce &amp; Retail</v>
      </c>
      <c r="L981" s="14" t="str">
        <f>VLOOKUP(B981,[1]Companies!$A$1:$C$5243,1,FALSE)</f>
        <v>AfricaSokoni</v>
      </c>
      <c r="M981" s="15">
        <f t="shared" si="1283"/>
        <v>0.9</v>
      </c>
      <c r="N981" s="10" t="str">
        <f t="shared" si="1284"/>
        <v>43534AfricaSokoni445000</v>
      </c>
      <c r="O981" s="14" t="str">
        <f t="shared" si="1285"/>
        <v/>
      </c>
      <c r="P981" s="14">
        <f t="shared" si="1286"/>
        <v>1</v>
      </c>
      <c r="Q981" s="14">
        <f t="array" ref="Q981">IFERROR(INDEX([1]Companies!$D:$D,MATCH(B981,[1]Companies!$A:$A,0)),"")</f>
        <v>2017</v>
      </c>
      <c r="R981" s="17">
        <f t="shared" si="1287"/>
        <v>995000</v>
      </c>
      <c r="S981" s="14">
        <f>VLOOKUP(I981,[1]Lookups!$V$3:$Y$197,4,FALSE)</f>
        <v>0</v>
      </c>
      <c r="T981" s="14" t="str">
        <f>VLOOKUP(E981,[1]Lookups!$H$3:$I$71,2,FALSE)</f>
        <v>2. Seed</v>
      </c>
      <c r="U981" s="14" t="str">
        <f>VLOOKUP(K981,[1]Lookups!$B$3:$C$142,2,FALSE)</f>
        <v>E-commerce &amp; Retail</v>
      </c>
      <c r="V981" s="14">
        <f t="shared" si="1230"/>
        <v>2019</v>
      </c>
      <c r="W981" s="14">
        <f t="shared" si="1231"/>
        <v>3</v>
      </c>
      <c r="X981" s="14">
        <f>VLOOKUP(W981,[1]Lookups!$P$3:$S$15,2,FALSE)</f>
        <v>1</v>
      </c>
      <c r="Y981" s="16">
        <f>VLOOKUP(W981,[1]Lookups!$P$3:$U$15,3,FALSE)</f>
        <v>1</v>
      </c>
      <c r="Z981" s="16">
        <f t="shared" si="1232"/>
        <v>1</v>
      </c>
      <c r="AA981" s="16" t="str">
        <f t="shared" ca="1" si="1274"/>
        <v>Algebra Ventures</v>
      </c>
      <c r="AB981" s="16">
        <f t="shared" si="1274"/>
        <v>0</v>
      </c>
      <c r="AC981" s="16">
        <f t="shared" si="1274"/>
        <v>0</v>
      </c>
      <c r="AD981" s="16">
        <f t="shared" si="1274"/>
        <v>0</v>
      </c>
      <c r="AE981" s="16">
        <f t="shared" si="1274"/>
        <v>0</v>
      </c>
      <c r="AF981" s="16">
        <f t="shared" si="1274"/>
        <v>0</v>
      </c>
      <c r="AG981" s="16">
        <f t="shared" si="1274"/>
        <v>0</v>
      </c>
      <c r="AH981" s="16">
        <f t="shared" si="1274"/>
        <v>0</v>
      </c>
      <c r="AI981" s="16">
        <f t="shared" si="1274"/>
        <v>0</v>
      </c>
      <c r="AJ981" s="16">
        <f t="shared" si="1274"/>
        <v>0</v>
      </c>
      <c r="AK981" s="16">
        <f t="shared" si="1274"/>
        <v>0</v>
      </c>
      <c r="AL981" s="16">
        <f t="shared" si="1274"/>
        <v>0</v>
      </c>
      <c r="AM981" s="16">
        <f t="shared" si="1274"/>
        <v>0</v>
      </c>
      <c r="AN981" s="16">
        <f t="shared" si="1274"/>
        <v>0</v>
      </c>
      <c r="AO981" s="16">
        <f t="shared" si="1274"/>
        <v>0</v>
      </c>
      <c r="AP981" s="10"/>
      <c r="AQ981" s="10"/>
      <c r="AR981" s="10"/>
      <c r="AS981" s="10" t="str">
        <f t="shared" ref="AS981" ca="1" si="1293">IFERROR(__xludf.DUMMYFUNCTION("split(F968,"","",true,true)"),"Algebra Ventures")</f>
        <v>Algebra Ventures</v>
      </c>
      <c r="AT981" s="10"/>
      <c r="AU981" s="10"/>
      <c r="AV981" s="10"/>
      <c r="AW981" s="10"/>
      <c r="AX981" s="10"/>
      <c r="AY981" s="10"/>
      <c r="AZ981" s="10"/>
      <c r="BA981" s="10"/>
      <c r="BB981" s="10"/>
      <c r="BC981" s="10"/>
      <c r="BD981" s="10"/>
      <c r="BE981" s="10"/>
      <c r="BF981" s="10"/>
      <c r="BG981" s="10"/>
      <c r="BH981" s="10"/>
      <c r="BI981" s="10"/>
      <c r="BJ981" s="10"/>
      <c r="BK981" s="10"/>
      <c r="BM981" s="10"/>
    </row>
    <row r="982" spans="1:65" ht="12.75">
      <c r="A982" s="18">
        <v>43535</v>
      </c>
      <c r="B982" s="14" t="s">
        <v>189</v>
      </c>
      <c r="C982" s="19">
        <v>5000000</v>
      </c>
      <c r="D982" s="19"/>
      <c r="E982" s="10" t="s">
        <v>91</v>
      </c>
      <c r="F982" s="14" t="s">
        <v>1481</v>
      </c>
      <c r="G982" s="21" t="s">
        <v>2095</v>
      </c>
      <c r="H982" s="14" t="str">
        <f t="array" ref="H982">IFERROR(INDEX([1]Companies!$G:$G,MATCH(B982,[1]Companies!$A:$A,0)),"")</f>
        <v>Nigeria</v>
      </c>
      <c r="I982" s="14" t="str">
        <f t="shared" si="1282"/>
        <v>Nigeria</v>
      </c>
      <c r="J982" s="14" t="str">
        <f t="array" ref="J982">IFERROR(INDEX([1]Companies!$Y:$Y,MATCH(B982,[1]Companies!$A:$A,0)),"")</f>
        <v>Consumer Lending, FinTech</v>
      </c>
      <c r="K982" s="14" t="str">
        <f t="array" ref="K982">IFERROR(INDEX([1]Companies!$X:$X,MATCH(B982,[1]Companies!$A:$A,0)),"")</f>
        <v>Financial Services</v>
      </c>
      <c r="L982" s="14" t="str">
        <f>VLOOKUP(B982,[1]Companies!$A$1:$C$5243,1,FALSE)</f>
        <v>OneFi</v>
      </c>
      <c r="M982" s="15">
        <f t="shared" si="1283"/>
        <v>0.9</v>
      </c>
      <c r="N982" s="10" t="str">
        <f t="shared" si="1284"/>
        <v>43535OneFi5000000</v>
      </c>
      <c r="O982" s="14" t="str">
        <f t="shared" si="1285"/>
        <v/>
      </c>
      <c r="P982" s="14">
        <f t="shared" si="1286"/>
        <v>1</v>
      </c>
      <c r="Q982" s="14">
        <f t="array" ref="Q982">IFERROR(INDEX([1]Companies!$D:$D,MATCH(B982,[1]Companies!$A:$A,0)),"")</f>
        <v>2012</v>
      </c>
      <c r="R982" s="17">
        <f t="shared" si="1287"/>
        <v>15800000</v>
      </c>
      <c r="S982" s="14">
        <f>VLOOKUP(I982,[1]Lookups!$V$3:$Y$197,4,FALSE)</f>
        <v>0</v>
      </c>
      <c r="T982" s="14" t="str">
        <f>VLOOKUP(E982,[1]Lookups!$H$3:$I$71,2,FALSE)</f>
        <v>5. Debt Financing</v>
      </c>
      <c r="U982" s="14" t="str">
        <f>VLOOKUP(K982,[1]Lookups!$B$3:$C$142,2,FALSE)</f>
        <v>Financial Services</v>
      </c>
      <c r="V982" s="14">
        <f t="shared" si="1230"/>
        <v>2019</v>
      </c>
      <c r="W982" s="14">
        <f t="shared" si="1231"/>
        <v>3</v>
      </c>
      <c r="X982" s="14">
        <f>VLOOKUP(W982,[1]Lookups!$P$3:$S$15,2,FALSE)</f>
        <v>1</v>
      </c>
      <c r="Y982" s="16">
        <f>VLOOKUP(W982,[1]Lookups!$P$3:$U$15,3,FALSE)</f>
        <v>1</v>
      </c>
      <c r="Z982" s="16">
        <f t="shared" si="1232"/>
        <v>1</v>
      </c>
      <c r="AA982" s="16" t="str">
        <f t="shared" ca="1" si="1274"/>
        <v>Algebra Ventures</v>
      </c>
      <c r="AB982" s="16">
        <f t="shared" si="1274"/>
        <v>0</v>
      </c>
      <c r="AC982" s="16">
        <f t="shared" si="1274"/>
        <v>0</v>
      </c>
      <c r="AD982" s="16">
        <f t="shared" si="1274"/>
        <v>0</v>
      </c>
      <c r="AE982" s="16">
        <f t="shared" si="1274"/>
        <v>0</v>
      </c>
      <c r="AF982" s="16">
        <f t="shared" si="1274"/>
        <v>0</v>
      </c>
      <c r="AG982" s="16">
        <f t="shared" si="1274"/>
        <v>0</v>
      </c>
      <c r="AH982" s="16">
        <f t="shared" si="1274"/>
        <v>0</v>
      </c>
      <c r="AI982" s="16">
        <f t="shared" si="1274"/>
        <v>0</v>
      </c>
      <c r="AJ982" s="16">
        <f t="shared" si="1274"/>
        <v>0</v>
      </c>
      <c r="AK982" s="16">
        <f t="shared" si="1274"/>
        <v>0</v>
      </c>
      <c r="AL982" s="16">
        <f t="shared" si="1274"/>
        <v>0</v>
      </c>
      <c r="AM982" s="16">
        <f t="shared" si="1274"/>
        <v>0</v>
      </c>
      <c r="AN982" s="16">
        <f t="shared" si="1274"/>
        <v>0</v>
      </c>
      <c r="AO982" s="16">
        <f t="shared" si="1274"/>
        <v>0</v>
      </c>
      <c r="AP982" s="10"/>
      <c r="AQ982" s="10"/>
      <c r="AR982" s="10"/>
      <c r="AS982" s="10" t="str">
        <f t="shared" ref="AS982" ca="1" si="1294">IFERROR(__xludf.DUMMYFUNCTION("split(F968,"","",true,true)"),"Algebra Ventures")</f>
        <v>Algebra Ventures</v>
      </c>
      <c r="AT982" s="10"/>
      <c r="AU982" s="10"/>
      <c r="AV982" s="10"/>
      <c r="AW982" s="10"/>
      <c r="AX982" s="10"/>
      <c r="AY982" s="10"/>
      <c r="AZ982" s="10"/>
      <c r="BA982" s="10"/>
      <c r="BB982" s="10"/>
      <c r="BC982" s="10"/>
      <c r="BD982" s="10"/>
      <c r="BE982" s="10"/>
      <c r="BF982" s="10"/>
      <c r="BG982" s="10"/>
      <c r="BH982" s="10"/>
      <c r="BI982" s="10"/>
      <c r="BJ982" s="10"/>
      <c r="BK982" s="10"/>
      <c r="BM982" s="10"/>
    </row>
    <row r="983" spans="1:65" ht="12.75">
      <c r="A983" s="18">
        <v>43535</v>
      </c>
      <c r="B983" s="14" t="s">
        <v>2096</v>
      </c>
      <c r="C983" s="19">
        <v>2000000</v>
      </c>
      <c r="D983" s="19"/>
      <c r="E983" s="14" t="s">
        <v>564</v>
      </c>
      <c r="F983" s="14" t="s">
        <v>2070</v>
      </c>
      <c r="G983" s="21" t="s">
        <v>2097</v>
      </c>
      <c r="H983" s="14" t="str">
        <f t="array" ref="H983">IFERROR(INDEX([1]Companies!$G:$G,MATCH(B983,[1]Companies!$A:$A,0)),"")</f>
        <v>Kenya</v>
      </c>
      <c r="I983" s="14" t="str">
        <f t="shared" si="1282"/>
        <v>Kenya</v>
      </c>
      <c r="J983" s="14" t="str">
        <f t="array" ref="J983">IFERROR(INDEX([1]Companies!$Y:$Y,MATCH(B983,[1]Companies!$A:$A,0)),"")</f>
        <v>Consumer, Consumer Electronics, Social Entrepreneurship, Solar</v>
      </c>
      <c r="K983" s="14" t="str">
        <f t="array" ref="K983">IFERROR(INDEX([1]Companies!$X:$X,MATCH(B983,[1]Companies!$A:$A,0)),"")</f>
        <v>Solar Power</v>
      </c>
      <c r="L983" s="14" t="str">
        <f>VLOOKUP(B983,[1]Companies!$A$1:$C$5243,1,FALSE)</f>
        <v>Greenlight Planet</v>
      </c>
      <c r="M983" s="15">
        <f t="shared" si="1283"/>
        <v>0.9</v>
      </c>
      <c r="N983" s="10" t="str">
        <f t="shared" si="1284"/>
        <v>43535Greenlight Planet2000000</v>
      </c>
      <c r="O983" s="14" t="str">
        <f t="shared" si="1285"/>
        <v/>
      </c>
      <c r="P983" s="14">
        <f t="shared" si="1286"/>
        <v>1</v>
      </c>
      <c r="Q983" s="14">
        <f t="array" ref="Q983">IFERROR(INDEX([1]Companies!$D:$D,MATCH(B983,[1]Companies!$A:$A,0)),"")</f>
        <v>2008</v>
      </c>
      <c r="R983" s="17">
        <f t="shared" si="1287"/>
        <v>2000000</v>
      </c>
      <c r="S983" s="14">
        <f>VLOOKUP(I983,[1]Lookups!$V$3:$Y$197,4,FALSE)</f>
        <v>0</v>
      </c>
      <c r="T983" s="14" t="str">
        <f>VLOOKUP(E983,[1]Lookups!$H$3:$I$71,2,FALSE)</f>
        <v>7. Offerings</v>
      </c>
      <c r="U983" s="14" t="str">
        <f>VLOOKUP(K983,[1]Lookups!$B$3:$C$142,2,FALSE)</f>
        <v>Energy &amp; Resources</v>
      </c>
      <c r="V983" s="14">
        <f t="shared" si="1230"/>
        <v>2019</v>
      </c>
      <c r="W983" s="14">
        <f t="shared" si="1231"/>
        <v>3</v>
      </c>
      <c r="X983" s="14">
        <f>VLOOKUP(W983,[1]Lookups!$P$3:$S$15,2,FALSE)</f>
        <v>1</v>
      </c>
      <c r="Y983" s="16">
        <f>VLOOKUP(W983,[1]Lookups!$P$3:$U$15,3,FALSE)</f>
        <v>1</v>
      </c>
      <c r="Z983" s="16">
        <f t="shared" si="1232"/>
        <v>1</v>
      </c>
      <c r="AA983" s="16" t="str">
        <f t="shared" ca="1" si="1274"/>
        <v>Algebra Ventures</v>
      </c>
      <c r="AB983" s="16">
        <f t="shared" si="1274"/>
        <v>0</v>
      </c>
      <c r="AC983" s="16">
        <f t="shared" si="1274"/>
        <v>0</v>
      </c>
      <c r="AD983" s="16">
        <f t="shared" si="1274"/>
        <v>0</v>
      </c>
      <c r="AE983" s="16">
        <f t="shared" si="1274"/>
        <v>0</v>
      </c>
      <c r="AF983" s="16">
        <f t="shared" si="1274"/>
        <v>0</v>
      </c>
      <c r="AG983" s="16">
        <f t="shared" si="1274"/>
        <v>0</v>
      </c>
      <c r="AH983" s="16">
        <f t="shared" si="1274"/>
        <v>0</v>
      </c>
      <c r="AI983" s="16">
        <f t="shared" si="1274"/>
        <v>0</v>
      </c>
      <c r="AJ983" s="16">
        <f t="shared" si="1274"/>
        <v>0</v>
      </c>
      <c r="AK983" s="16">
        <f t="shared" si="1274"/>
        <v>0</v>
      </c>
      <c r="AL983" s="16">
        <f t="shared" si="1274"/>
        <v>0</v>
      </c>
      <c r="AM983" s="16">
        <f t="shared" si="1274"/>
        <v>0</v>
      </c>
      <c r="AN983" s="16">
        <f t="shared" si="1274"/>
        <v>0</v>
      </c>
      <c r="AO983" s="16">
        <f t="shared" si="1274"/>
        <v>0</v>
      </c>
      <c r="AP983" s="10"/>
      <c r="AQ983" s="10"/>
      <c r="AR983" s="10"/>
      <c r="AS983" s="10" t="str">
        <f t="shared" ref="AS983" ca="1" si="1295">IFERROR(__xludf.DUMMYFUNCTION("split(F968,"","",true,true)"),"Algebra Ventures")</f>
        <v>Algebra Ventures</v>
      </c>
      <c r="AT983" s="10"/>
      <c r="AU983" s="10"/>
      <c r="AV983" s="10"/>
      <c r="AW983" s="10"/>
      <c r="AX983" s="10"/>
      <c r="AY983" s="10"/>
      <c r="AZ983" s="10"/>
      <c r="BA983" s="10"/>
      <c r="BB983" s="10"/>
      <c r="BC983" s="10"/>
      <c r="BD983" s="10"/>
      <c r="BE983" s="10"/>
      <c r="BF983" s="10"/>
      <c r="BG983" s="10"/>
      <c r="BH983" s="10"/>
      <c r="BI983" s="10"/>
      <c r="BJ983" s="10"/>
      <c r="BK983" s="10"/>
      <c r="BM983" s="10"/>
    </row>
    <row r="984" spans="1:65" ht="12.75">
      <c r="A984" s="18">
        <v>43535</v>
      </c>
      <c r="B984" s="14" t="s">
        <v>2098</v>
      </c>
      <c r="C984" s="19">
        <v>22000</v>
      </c>
      <c r="D984" s="19"/>
      <c r="E984" s="10" t="s">
        <v>55</v>
      </c>
      <c r="F984" s="14" t="s">
        <v>2099</v>
      </c>
      <c r="G984" s="21" t="s">
        <v>2100</v>
      </c>
      <c r="H984" s="14" t="str">
        <f t="array" ref="H984">IFERROR(INDEX([1]Companies!$G:$G,MATCH(B984,[1]Companies!$A:$A,0)),"")</f>
        <v>Uganda</v>
      </c>
      <c r="I984" s="14" t="str">
        <f t="shared" si="1282"/>
        <v>Uganda</v>
      </c>
      <c r="J984" s="14" t="str">
        <f t="array" ref="J984">IFERROR(INDEX([1]Companies!$Y:$Y,MATCH(B984,[1]Companies!$A:$A,0)),"")</f>
        <v>Health Services, Medical</v>
      </c>
      <c r="K984" s="14" t="str">
        <f t="array" ref="K984">IFERROR(INDEX([1]Companies!$X:$X,MATCH(B984,[1]Companies!$A:$A,0)),"")</f>
        <v>Healthcare &amp; Pharma</v>
      </c>
      <c r="L984" s="14" t="str">
        <f>VLOOKUP(B984,[1]Companies!$A$1:$C$5243,1,FALSE)</f>
        <v>Mobile Clinic</v>
      </c>
      <c r="M984" s="15">
        <f t="shared" si="1283"/>
        <v>0.9</v>
      </c>
      <c r="N984" s="10" t="str">
        <f t="shared" si="1284"/>
        <v>43535Mobile Clinic22000</v>
      </c>
      <c r="O984" s="14" t="str">
        <f t="shared" si="1285"/>
        <v/>
      </c>
      <c r="P984" s="14">
        <f t="shared" si="1286"/>
        <v>1</v>
      </c>
      <c r="Q984" s="14">
        <f t="array" ref="Q984">IFERROR(INDEX([1]Companies!$D:$D,MATCH(B984,[1]Companies!$A:$A,0)),"")</f>
        <v>2018</v>
      </c>
      <c r="R984" s="17">
        <f t="shared" si="1287"/>
        <v>22000</v>
      </c>
      <c r="S984" s="14">
        <f>VLOOKUP(I984,[1]Lookups!$V$3:$Y$197,4,FALSE)</f>
        <v>0</v>
      </c>
      <c r="T984" s="14" t="str">
        <f>VLOOKUP(E984,[1]Lookups!$H$3:$I$71,2,FALSE)</f>
        <v>1. Grant</v>
      </c>
      <c r="U984" s="14" t="str">
        <f>VLOOKUP(K984,[1]Lookups!$B$3:$C$142,2,FALSE)</f>
        <v>Health &amp; Pharmaceuticals</v>
      </c>
      <c r="V984" s="14">
        <f t="shared" si="1230"/>
        <v>2019</v>
      </c>
      <c r="W984" s="14">
        <f t="shared" si="1231"/>
        <v>3</v>
      </c>
      <c r="X984" s="14">
        <f>VLOOKUP(W984,[1]Lookups!$P$3:$S$15,2,FALSE)</f>
        <v>1</v>
      </c>
      <c r="Y984" s="16">
        <f>VLOOKUP(W984,[1]Lookups!$P$3:$U$15,3,FALSE)</f>
        <v>1</v>
      </c>
      <c r="Z984" s="16">
        <f t="shared" si="1232"/>
        <v>1</v>
      </c>
      <c r="AA984" s="16" t="str">
        <f t="shared" ref="AA984:AO999" ca="1" si="1296">AS984</f>
        <v>Algebra Ventures</v>
      </c>
      <c r="AB984" s="16">
        <f t="shared" si="1296"/>
        <v>0</v>
      </c>
      <c r="AC984" s="16">
        <f t="shared" si="1296"/>
        <v>0</v>
      </c>
      <c r="AD984" s="16">
        <f t="shared" si="1296"/>
        <v>0</v>
      </c>
      <c r="AE984" s="16">
        <f t="shared" si="1296"/>
        <v>0</v>
      </c>
      <c r="AF984" s="16">
        <f t="shared" si="1296"/>
        <v>0</v>
      </c>
      <c r="AG984" s="16">
        <f t="shared" si="1296"/>
        <v>0</v>
      </c>
      <c r="AH984" s="16">
        <f t="shared" si="1296"/>
        <v>0</v>
      </c>
      <c r="AI984" s="16">
        <f t="shared" si="1296"/>
        <v>0</v>
      </c>
      <c r="AJ984" s="16">
        <f t="shared" si="1296"/>
        <v>0</v>
      </c>
      <c r="AK984" s="16">
        <f t="shared" si="1296"/>
        <v>0</v>
      </c>
      <c r="AL984" s="16">
        <f t="shared" si="1296"/>
        <v>0</v>
      </c>
      <c r="AM984" s="16">
        <f t="shared" si="1296"/>
        <v>0</v>
      </c>
      <c r="AN984" s="16">
        <f t="shared" si="1296"/>
        <v>0</v>
      </c>
      <c r="AO984" s="16">
        <f t="shared" si="1296"/>
        <v>0</v>
      </c>
      <c r="AP984" s="10"/>
      <c r="AQ984" s="10"/>
      <c r="AR984" s="10"/>
      <c r="AS984" s="10" t="str">
        <f t="shared" ref="AS984" ca="1" si="1297">IFERROR(__xludf.DUMMYFUNCTION("split(F968,"","",true,true)"),"Algebra Ventures")</f>
        <v>Algebra Ventures</v>
      </c>
      <c r="AT984" s="10"/>
      <c r="AU984" s="10"/>
      <c r="AV984" s="10"/>
      <c r="AW984" s="10"/>
      <c r="AX984" s="10"/>
      <c r="AY984" s="10"/>
      <c r="AZ984" s="10"/>
      <c r="BA984" s="10"/>
      <c r="BB984" s="10"/>
      <c r="BC984" s="10"/>
      <c r="BD984" s="10"/>
      <c r="BE984" s="10"/>
      <c r="BF984" s="10"/>
      <c r="BG984" s="10"/>
      <c r="BH984" s="10"/>
      <c r="BI984" s="10"/>
      <c r="BJ984" s="10"/>
      <c r="BK984" s="10"/>
      <c r="BM984" s="10"/>
    </row>
    <row r="985" spans="1:65" ht="12.75">
      <c r="A985" s="18">
        <v>43536</v>
      </c>
      <c r="B985" s="14" t="s">
        <v>2101</v>
      </c>
      <c r="C985" s="19" t="s">
        <v>49</v>
      </c>
      <c r="D985" s="22"/>
      <c r="E985" s="14" t="s">
        <v>69</v>
      </c>
      <c r="F985" s="14" t="s">
        <v>2102</v>
      </c>
      <c r="G985" s="21" t="s">
        <v>2103</v>
      </c>
      <c r="H985" s="14" t="str">
        <f t="array" ref="H985">IFERROR(INDEX([1]Companies!$G:$G,MATCH(B985,[1]Companies!$A:$A,0)),"")</f>
        <v>Egypt</v>
      </c>
      <c r="I985" s="14" t="str">
        <f t="shared" si="1282"/>
        <v>Egypt</v>
      </c>
      <c r="J985" s="14" t="str">
        <f t="array" ref="J985">IFERROR(INDEX([1]Companies!$Y:$Y,MATCH(B985,[1]Companies!$A:$A,0)),"")</f>
        <v>Information Services, Information Technology, Loyalty Programs, Software</v>
      </c>
      <c r="K985" s="14" t="str">
        <f t="array" ref="K985">IFERROR(INDEX([1]Companies!$X:$X,MATCH(B985,[1]Companies!$A:$A,0)),"")</f>
        <v>Information Technology</v>
      </c>
      <c r="L985" s="14" t="str">
        <f>VLOOKUP(B985,[1]Companies!$A$1:$C$5243,1,FALSE)</f>
        <v>Dsquares</v>
      </c>
      <c r="M985" s="15">
        <f t="shared" si="1283"/>
        <v>0.9</v>
      </c>
      <c r="N985" s="10" t="str">
        <f t="shared" si="1284"/>
        <v>43536DsquaresUndisclosed</v>
      </c>
      <c r="O985" s="14" t="str">
        <f t="shared" si="1285"/>
        <v/>
      </c>
      <c r="P985" s="14">
        <f t="shared" si="1286"/>
        <v>0</v>
      </c>
      <c r="Q985" s="14">
        <f t="array" ref="Q985">IFERROR(INDEX([1]Companies!$D:$D,MATCH(B985,[1]Companies!$A:$A,0)),"")</f>
        <v>2012</v>
      </c>
      <c r="R985" s="17">
        <f t="shared" si="1287"/>
        <v>0</v>
      </c>
      <c r="S985" s="14">
        <f>VLOOKUP(I985,[1]Lookups!$V$3:$Y$197,4,FALSE)</f>
        <v>0</v>
      </c>
      <c r="T985" s="14" t="str">
        <f>VLOOKUP(E985,[1]Lookups!$H$3:$I$71,2,FALSE)</f>
        <v>3. Early Venture</v>
      </c>
      <c r="U985" s="14" t="str">
        <f>VLOOKUP(K985,[1]Lookups!$B$3:$C$142,2,FALSE)</f>
        <v>Other Technologies &amp; Information Technology</v>
      </c>
      <c r="V985" s="14">
        <f t="shared" si="1230"/>
        <v>2019</v>
      </c>
      <c r="W985" s="14">
        <f t="shared" si="1231"/>
        <v>3</v>
      </c>
      <c r="X985" s="14">
        <f>VLOOKUP(W985,[1]Lookups!$P$3:$S$15,2,FALSE)</f>
        <v>1</v>
      </c>
      <c r="Y985" s="16">
        <f>VLOOKUP(W985,[1]Lookups!$P$3:$U$15,3,FALSE)</f>
        <v>1</v>
      </c>
      <c r="Z985" s="16">
        <f t="shared" si="1232"/>
        <v>1</v>
      </c>
      <c r="AA985" s="16" t="str">
        <f t="shared" ca="1" si="1296"/>
        <v>Algebra Ventures</v>
      </c>
      <c r="AB985" s="16">
        <f t="shared" si="1296"/>
        <v>0</v>
      </c>
      <c r="AC985" s="16">
        <f t="shared" si="1296"/>
        <v>0</v>
      </c>
      <c r="AD985" s="16">
        <f t="shared" si="1296"/>
        <v>0</v>
      </c>
      <c r="AE985" s="16">
        <f t="shared" si="1296"/>
        <v>0</v>
      </c>
      <c r="AF985" s="16">
        <f t="shared" si="1296"/>
        <v>0</v>
      </c>
      <c r="AG985" s="16">
        <f t="shared" si="1296"/>
        <v>0</v>
      </c>
      <c r="AH985" s="16">
        <f t="shared" si="1296"/>
        <v>0</v>
      </c>
      <c r="AI985" s="16">
        <f t="shared" si="1296"/>
        <v>0</v>
      </c>
      <c r="AJ985" s="16">
        <f t="shared" si="1296"/>
        <v>0</v>
      </c>
      <c r="AK985" s="16">
        <f t="shared" si="1296"/>
        <v>0</v>
      </c>
      <c r="AL985" s="16">
        <f t="shared" si="1296"/>
        <v>0</v>
      </c>
      <c r="AM985" s="16">
        <f t="shared" si="1296"/>
        <v>0</v>
      </c>
      <c r="AN985" s="16">
        <f t="shared" si="1296"/>
        <v>0</v>
      </c>
      <c r="AO985" s="16">
        <f t="shared" si="1296"/>
        <v>0</v>
      </c>
      <c r="AP985" s="10"/>
      <c r="AQ985" s="10"/>
      <c r="AR985" s="10"/>
      <c r="AS985" s="10" t="str">
        <f t="shared" ref="AS985:AS986" ca="1" si="1298">IFERROR(__xludf.DUMMYFUNCTION("split(F968,"","",true,true)"),"Algebra Ventures")</f>
        <v>Algebra Ventures</v>
      </c>
      <c r="AT985" s="10"/>
      <c r="AU985" s="10"/>
      <c r="AV985" s="10"/>
      <c r="AW985" s="10"/>
      <c r="AX985" s="10"/>
      <c r="AY985" s="10"/>
      <c r="AZ985" s="10"/>
      <c r="BA985" s="10"/>
      <c r="BB985" s="10"/>
      <c r="BC985" s="10"/>
      <c r="BD985" s="10"/>
      <c r="BE985" s="10"/>
      <c r="BF985" s="10"/>
      <c r="BG985" s="10"/>
      <c r="BH985" s="10"/>
      <c r="BI985" s="10"/>
      <c r="BJ985" s="10"/>
      <c r="BK985" s="10"/>
      <c r="BM985" s="10"/>
    </row>
    <row r="986" spans="1:65" ht="12.75">
      <c r="A986" s="9">
        <v>43536</v>
      </c>
      <c r="B986" s="10" t="s">
        <v>207</v>
      </c>
      <c r="C986" s="11">
        <v>1130000</v>
      </c>
      <c r="D986" s="12"/>
      <c r="E986" s="10" t="s">
        <v>91</v>
      </c>
      <c r="F986" s="10" t="s">
        <v>1482</v>
      </c>
      <c r="G986" s="13" t="s">
        <v>2104</v>
      </c>
      <c r="H986" s="14"/>
      <c r="I986" s="14"/>
      <c r="J986" s="14"/>
      <c r="K986" s="14"/>
      <c r="L986" s="14"/>
      <c r="M986" s="15"/>
      <c r="N986" s="10"/>
      <c r="O986" s="14"/>
      <c r="P986" s="14"/>
      <c r="Q986" s="14"/>
      <c r="R986" s="14"/>
      <c r="S986" s="14"/>
      <c r="T986" s="14"/>
      <c r="U986" s="14"/>
      <c r="V986" s="14">
        <f t="shared" si="1230"/>
        <v>2019</v>
      </c>
      <c r="W986" s="14">
        <f t="shared" si="1231"/>
        <v>3</v>
      </c>
      <c r="X986" s="14">
        <f>VLOOKUP(W986,[1]Lookups!$P$3:$S$15,2,FALSE)</f>
        <v>1</v>
      </c>
      <c r="Y986" s="16">
        <f>VLOOKUP(W986,[1]Lookups!$P$3:$U$15,3,FALSE)</f>
        <v>1</v>
      </c>
      <c r="Z986" s="16">
        <f t="shared" si="1232"/>
        <v>1</v>
      </c>
      <c r="AA986" s="16" t="str">
        <f t="shared" ca="1" si="1296"/>
        <v>Algebra Ventures</v>
      </c>
      <c r="AB986" s="16">
        <f t="shared" si="1296"/>
        <v>0</v>
      </c>
      <c r="AC986" s="16">
        <f t="shared" si="1296"/>
        <v>0</v>
      </c>
      <c r="AD986" s="16">
        <f t="shared" si="1296"/>
        <v>0</v>
      </c>
      <c r="AE986" s="16">
        <f t="shared" si="1296"/>
        <v>0</v>
      </c>
      <c r="AF986" s="16">
        <f t="shared" si="1296"/>
        <v>0</v>
      </c>
      <c r="AG986" s="16">
        <f t="shared" si="1296"/>
        <v>0</v>
      </c>
      <c r="AH986" s="16">
        <f t="shared" si="1296"/>
        <v>0</v>
      </c>
      <c r="AI986" s="16">
        <f t="shared" si="1296"/>
        <v>0</v>
      </c>
      <c r="AJ986" s="16">
        <f t="shared" si="1296"/>
        <v>0</v>
      </c>
      <c r="AK986" s="16">
        <f t="shared" si="1296"/>
        <v>0</v>
      </c>
      <c r="AL986" s="16">
        <f t="shared" si="1296"/>
        <v>0</v>
      </c>
      <c r="AM986" s="16">
        <f t="shared" si="1296"/>
        <v>0</v>
      </c>
      <c r="AN986" s="16">
        <f t="shared" si="1296"/>
        <v>0</v>
      </c>
      <c r="AO986" s="16">
        <f t="shared" si="1296"/>
        <v>0</v>
      </c>
      <c r="AP986" s="10"/>
      <c r="AQ986" s="10"/>
      <c r="AR986" s="10"/>
      <c r="AS986" s="10" t="str">
        <f t="shared" ca="1" si="1298"/>
        <v>Algebra Ventures</v>
      </c>
      <c r="AT986" s="10"/>
      <c r="AU986" s="10"/>
      <c r="AV986" s="10"/>
      <c r="AW986" s="10"/>
      <c r="AX986" s="10"/>
      <c r="AY986" s="10"/>
      <c r="AZ986" s="10"/>
      <c r="BA986" s="10"/>
      <c r="BB986" s="10"/>
      <c r="BC986" s="10"/>
      <c r="BD986" s="10"/>
      <c r="BE986" s="10"/>
      <c r="BF986" s="10"/>
      <c r="BG986" s="10"/>
      <c r="BH986" s="10"/>
      <c r="BI986" s="10"/>
      <c r="BJ986" s="10"/>
      <c r="BK986" s="10"/>
      <c r="BM986" s="10"/>
    </row>
    <row r="987" spans="1:65" ht="12.75">
      <c r="A987" s="18">
        <v>43537</v>
      </c>
      <c r="B987" s="14" t="s">
        <v>2105</v>
      </c>
      <c r="C987" s="19" t="s">
        <v>49</v>
      </c>
      <c r="D987" s="22"/>
      <c r="E987" s="14" t="s">
        <v>45</v>
      </c>
      <c r="F987" s="14" t="s">
        <v>2106</v>
      </c>
      <c r="G987" s="21" t="s">
        <v>2107</v>
      </c>
      <c r="H987" s="14">
        <f t="array" ref="H987">IFERROR(INDEX([1]Companies!$G:$G,MATCH(B987,[1]Companies!$A:$A,0)),"")</f>
        <v>0</v>
      </c>
      <c r="I987" s="14">
        <f t="shared" ref="I987:I1161" si="1299">IF(LEN(TRIM(H987))-LEN(SUBSTITUTE(TRIM(H987),",","")) &gt; 0,TRIM(RIGHT(H987,LEN(H987)-FIND(",",H987))),H987)</f>
        <v>0</v>
      </c>
      <c r="J987" s="14" t="str">
        <f t="array" ref="J987">IFERROR(INDEX([1]Companies!$Y:$Y,MATCH(B987,[1]Companies!$A:$A,0)),"")</f>
        <v>Bitcoin, FinTech, Trading Platform</v>
      </c>
      <c r="K987" s="14" t="str">
        <f t="array" ref="K987">IFERROR(INDEX([1]Companies!$X:$X,MATCH(B987,[1]Companies!$A:$A,0)),"")</f>
        <v>Financial Services</v>
      </c>
      <c r="L987" s="14" t="str">
        <f>VLOOKUP(B987,[1]Companies!$A$1:$C$5243,1,FALSE)</f>
        <v>CoinFlex</v>
      </c>
      <c r="M987" s="15">
        <f t="shared" ref="M987:M1161" si="1300">COUNTA(B987:K987)/(COUNTBLANK(B987:K987) + COUNTA(B987:K987))</f>
        <v>0.9</v>
      </c>
      <c r="N987" s="10" t="str">
        <f t="shared" ref="N987:N1161" si="1301">CONCATENATE(A987,B987,C987)</f>
        <v>43537CoinFlexUndisclosed</v>
      </c>
      <c r="O987" s="14" t="str">
        <f t="shared" ref="O987:O1074" si="1302">IF(A987 = "","",IF(COUNTIF(N:N,CONCATENATE(A987,B987,C987))&gt;1,"Duplicated",""))</f>
        <v/>
      </c>
      <c r="P987" s="14">
        <f t="shared" ref="P987:P1074" si="1303">IF(C987="Undisclosed",0,1)</f>
        <v>0</v>
      </c>
      <c r="Q987" s="14">
        <f t="array" ref="Q987">IFERROR(INDEX([1]Companies!$D:$D,MATCH(B987,[1]Companies!$A:$A,0)),"")</f>
        <v>2018</v>
      </c>
      <c r="R987" s="17">
        <f t="shared" ref="R987:R1074" si="1304">SUMIF(B:B,B987,C:C)</f>
        <v>0</v>
      </c>
      <c r="S987" s="14" t="e">
        <f>VLOOKUP(I987,[1]Lookups!$V$3:$Y$197,4,FALSE)</f>
        <v>#N/A</v>
      </c>
      <c r="T987" s="14" t="str">
        <f>VLOOKUP(E987,[1]Lookups!$H$3:$I$71,2,FALSE)</f>
        <v>2. Seed</v>
      </c>
      <c r="U987" s="14" t="str">
        <f>VLOOKUP(K987,[1]Lookups!$B$3:$C$142,2,FALSE)</f>
        <v>Financial Services</v>
      </c>
      <c r="V987" s="14">
        <f t="shared" si="1230"/>
        <v>2019</v>
      </c>
      <c r="W987" s="14">
        <f t="shared" si="1231"/>
        <v>3</v>
      </c>
      <c r="X987" s="14">
        <f>VLOOKUP(W987,[1]Lookups!$P$3:$S$15,2,FALSE)</f>
        <v>1</v>
      </c>
      <c r="Y987" s="16">
        <f>VLOOKUP(W987,[1]Lookups!$P$3:$U$15,3,FALSE)</f>
        <v>1</v>
      </c>
      <c r="Z987" s="16">
        <f t="shared" si="1232"/>
        <v>2</v>
      </c>
      <c r="AA987" s="16" t="str">
        <f t="shared" ca="1" si="1296"/>
        <v>Algebra Ventures</v>
      </c>
      <c r="AB987" s="16" t="str">
        <f t="shared" ca="1" si="1296"/>
        <v xml:space="preserve"> PolyChain Capital</v>
      </c>
      <c r="AC987" s="16">
        <f t="shared" si="1296"/>
        <v>0</v>
      </c>
      <c r="AD987" s="16">
        <f t="shared" si="1296"/>
        <v>0</v>
      </c>
      <c r="AE987" s="16">
        <f t="shared" si="1296"/>
        <v>0</v>
      </c>
      <c r="AF987" s="16">
        <f t="shared" si="1296"/>
        <v>0</v>
      </c>
      <c r="AG987" s="16">
        <f t="shared" si="1296"/>
        <v>0</v>
      </c>
      <c r="AH987" s="16">
        <f t="shared" si="1296"/>
        <v>0</v>
      </c>
      <c r="AI987" s="16">
        <f t="shared" si="1296"/>
        <v>0</v>
      </c>
      <c r="AJ987" s="16">
        <f t="shared" si="1296"/>
        <v>0</v>
      </c>
      <c r="AK987" s="16">
        <f t="shared" si="1296"/>
        <v>0</v>
      </c>
      <c r="AL987" s="16">
        <f t="shared" si="1296"/>
        <v>0</v>
      </c>
      <c r="AM987" s="16">
        <f t="shared" si="1296"/>
        <v>0</v>
      </c>
      <c r="AN987" s="16">
        <f t="shared" si="1296"/>
        <v>0</v>
      </c>
      <c r="AO987" s="16">
        <f t="shared" si="1296"/>
        <v>0</v>
      </c>
      <c r="AP987" s="10"/>
      <c r="AQ987" s="10"/>
      <c r="AR987" s="10"/>
      <c r="AS987" s="10" t="str">
        <f t="shared" ref="AS987" ca="1" si="1305">IFERROR(__xludf.DUMMYFUNCTION("split(F968,"","",true,true)"),"Algebra Ventures")</f>
        <v>Algebra Ventures</v>
      </c>
      <c r="AT987" s="10" t="str">
        <f ca="1">IFERROR(__xludf.DUMMYFUNCTION("""COMPUTED_VALUE""")," PolyChain Capital")</f>
        <v xml:space="preserve"> PolyChain Capital</v>
      </c>
      <c r="AU987" s="10"/>
      <c r="AV987" s="10"/>
      <c r="AW987" s="10"/>
      <c r="AX987" s="10"/>
      <c r="AY987" s="10"/>
      <c r="AZ987" s="10"/>
      <c r="BA987" s="10"/>
      <c r="BB987" s="10"/>
      <c r="BC987" s="10"/>
      <c r="BD987" s="10"/>
      <c r="BE987" s="10"/>
      <c r="BF987" s="10"/>
      <c r="BG987" s="10"/>
      <c r="BH987" s="10"/>
      <c r="BI987" s="10"/>
      <c r="BJ987" s="10"/>
      <c r="BK987" s="10"/>
      <c r="BM987" s="10"/>
    </row>
    <row r="988" spans="1:65" ht="12.75">
      <c r="A988" s="18">
        <v>43537</v>
      </c>
      <c r="B988" s="14" t="s">
        <v>2108</v>
      </c>
      <c r="C988" s="19">
        <v>100000</v>
      </c>
      <c r="D988" s="19"/>
      <c r="E988" s="14" t="s">
        <v>45</v>
      </c>
      <c r="F988" s="14" t="s">
        <v>2109</v>
      </c>
      <c r="G988" s="21" t="s">
        <v>2110</v>
      </c>
      <c r="H988" s="14" t="str">
        <f t="array" ref="H988">IFERROR(INDEX([1]Companies!$G:$G,MATCH(B988,[1]Companies!$A:$A,0)),"")</f>
        <v>South Africa</v>
      </c>
      <c r="I988" s="14" t="str">
        <f t="shared" si="1299"/>
        <v>South Africa</v>
      </c>
      <c r="J988" s="14" t="str">
        <f t="array" ref="J988">IFERROR(INDEX([1]Companies!$Y:$Y,MATCH(B988,[1]Companies!$A:$A,0)),"")</f>
        <v>Advertising, Marketing</v>
      </c>
      <c r="K988" s="14" t="str">
        <f t="array" ref="K988">IFERROR(INDEX([1]Companies!$X:$X,MATCH(B988,[1]Companies!$A:$A,0)),"")</f>
        <v>Media &amp; Entertainment</v>
      </c>
      <c r="L988" s="14" t="str">
        <f>VLOOKUP(B988,[1]Companies!$A$1:$C$5243,1,FALSE)</f>
        <v>Fancam</v>
      </c>
      <c r="M988" s="15">
        <f t="shared" si="1300"/>
        <v>0.9</v>
      </c>
      <c r="N988" s="10" t="str">
        <f t="shared" si="1301"/>
        <v>43537FanCam100000</v>
      </c>
      <c r="O988" s="14" t="str">
        <f t="shared" si="1302"/>
        <v/>
      </c>
      <c r="P988" s="14">
        <f t="shared" si="1303"/>
        <v>1</v>
      </c>
      <c r="Q988" s="14">
        <f t="array" ref="Q988">IFERROR(INDEX([1]Companies!$D:$D,MATCH(B988,[1]Companies!$A:$A,0)),"")</f>
        <v>2010</v>
      </c>
      <c r="R988" s="17">
        <f t="shared" si="1304"/>
        <v>100000</v>
      </c>
      <c r="S988" s="14">
        <f>VLOOKUP(I988,[1]Lookups!$V$3:$Y$197,4,FALSE)</f>
        <v>0</v>
      </c>
      <c r="T988" s="14" t="str">
        <f>VLOOKUP(E988,[1]Lookups!$H$3:$I$71,2,FALSE)</f>
        <v>2. Seed</v>
      </c>
      <c r="U988" s="14" t="str">
        <f>VLOOKUP(K988,[1]Lookups!$B$3:$C$142,2,FALSE)</f>
        <v>Media &amp; Entertainment</v>
      </c>
      <c r="V988" s="14">
        <f t="shared" si="1230"/>
        <v>2019</v>
      </c>
      <c r="W988" s="14">
        <f t="shared" si="1231"/>
        <v>3</v>
      </c>
      <c r="X988" s="14">
        <f>VLOOKUP(W988,[1]Lookups!$P$3:$S$15,2,FALSE)</f>
        <v>1</v>
      </c>
      <c r="Y988" s="16">
        <f>VLOOKUP(W988,[1]Lookups!$P$3:$U$15,3,FALSE)</f>
        <v>1</v>
      </c>
      <c r="Z988" s="16">
        <f t="shared" si="1232"/>
        <v>1</v>
      </c>
      <c r="AA988" s="16" t="str">
        <f t="shared" ca="1" si="1296"/>
        <v>Algebra Ventures</v>
      </c>
      <c r="AB988" s="16">
        <f t="shared" si="1296"/>
        <v>0</v>
      </c>
      <c r="AC988" s="16">
        <f t="shared" si="1296"/>
        <v>0</v>
      </c>
      <c r="AD988" s="16">
        <f t="shared" si="1296"/>
        <v>0</v>
      </c>
      <c r="AE988" s="16">
        <f t="shared" si="1296"/>
        <v>0</v>
      </c>
      <c r="AF988" s="16">
        <f t="shared" si="1296"/>
        <v>0</v>
      </c>
      <c r="AG988" s="16">
        <f t="shared" si="1296"/>
        <v>0</v>
      </c>
      <c r="AH988" s="16">
        <f t="shared" si="1296"/>
        <v>0</v>
      </c>
      <c r="AI988" s="16">
        <f t="shared" si="1296"/>
        <v>0</v>
      </c>
      <c r="AJ988" s="16">
        <f t="shared" si="1296"/>
        <v>0</v>
      </c>
      <c r="AK988" s="16">
        <f t="shared" si="1296"/>
        <v>0</v>
      </c>
      <c r="AL988" s="16">
        <f t="shared" si="1296"/>
        <v>0</v>
      </c>
      <c r="AM988" s="16">
        <f t="shared" si="1296"/>
        <v>0</v>
      </c>
      <c r="AN988" s="16">
        <f t="shared" si="1296"/>
        <v>0</v>
      </c>
      <c r="AO988" s="16">
        <f t="shared" si="1296"/>
        <v>0</v>
      </c>
      <c r="AP988" s="10"/>
      <c r="AQ988" s="10"/>
      <c r="AR988" s="10"/>
      <c r="AS988" s="10" t="str">
        <f t="shared" ref="AS988" ca="1" si="1306">IFERROR(__xludf.DUMMYFUNCTION("split(F968,"","",true,true)"),"Algebra Ventures")</f>
        <v>Algebra Ventures</v>
      </c>
      <c r="AT988" s="10"/>
      <c r="AU988" s="10"/>
      <c r="AV988" s="10"/>
      <c r="AW988" s="10"/>
      <c r="AX988" s="10"/>
      <c r="AY988" s="10"/>
      <c r="AZ988" s="10"/>
      <c r="BA988" s="10"/>
      <c r="BB988" s="10"/>
      <c r="BC988" s="10"/>
      <c r="BD988" s="10"/>
      <c r="BE988" s="10"/>
      <c r="BF988" s="10"/>
      <c r="BG988" s="10"/>
      <c r="BH988" s="10"/>
      <c r="BI988" s="10"/>
      <c r="BJ988" s="10"/>
      <c r="BK988" s="10"/>
      <c r="BM988" s="10"/>
    </row>
    <row r="989" spans="1:65" ht="12.75">
      <c r="A989" s="18">
        <v>43539</v>
      </c>
      <c r="B989" s="14" t="s">
        <v>2111</v>
      </c>
      <c r="C989" s="19">
        <v>830000</v>
      </c>
      <c r="D989" s="19"/>
      <c r="E989" s="14" t="s">
        <v>45</v>
      </c>
      <c r="F989" s="14" t="s">
        <v>49</v>
      </c>
      <c r="G989" s="21" t="s">
        <v>2112</v>
      </c>
      <c r="H989" s="14" t="str">
        <f t="array" ref="H989">IFERROR(INDEX([1]Companies!$G:$G,MATCH(B989,[1]Companies!$A:$A,0)),"")</f>
        <v>South Africa</v>
      </c>
      <c r="I989" s="14" t="str">
        <f t="shared" si="1299"/>
        <v>South Africa</v>
      </c>
      <c r="J989" s="14" t="str">
        <f t="array" ref="J989">IFERROR(INDEX([1]Companies!$Y:$Y,MATCH(B989,[1]Companies!$A:$A,0)),"")</f>
        <v>Marketplace</v>
      </c>
      <c r="K989" s="14" t="str">
        <f t="array" ref="K989">IFERROR(INDEX([1]Companies!$X:$X,MATCH(B989,[1]Companies!$A:$A,0)),"")</f>
        <v>Information Technology</v>
      </c>
      <c r="L989" s="14" t="str">
        <f>VLOOKUP(B989,[1]Companies!$A$1:$C$5243,1,FALSE)</f>
        <v>Digsconnect</v>
      </c>
      <c r="M989" s="15">
        <f t="shared" si="1300"/>
        <v>0.9</v>
      </c>
      <c r="N989" s="10" t="str">
        <f t="shared" si="1301"/>
        <v>43539Digsconnect830000</v>
      </c>
      <c r="O989" s="14" t="str">
        <f t="shared" si="1302"/>
        <v/>
      </c>
      <c r="P989" s="14">
        <f t="shared" si="1303"/>
        <v>1</v>
      </c>
      <c r="Q989" s="14">
        <f t="array" ref="Q989">IFERROR(INDEX([1]Companies!$D:$D,MATCH(B989,[1]Companies!$A:$A,0)),"")</f>
        <v>2017</v>
      </c>
      <c r="R989" s="17">
        <f t="shared" si="1304"/>
        <v>830000</v>
      </c>
      <c r="S989" s="14">
        <f>VLOOKUP(I989,[1]Lookups!$V$3:$Y$197,4,FALSE)</f>
        <v>0</v>
      </c>
      <c r="T989" s="14" t="str">
        <f>VLOOKUP(E989,[1]Lookups!$H$3:$I$71,2,FALSE)</f>
        <v>2. Seed</v>
      </c>
      <c r="U989" s="14" t="str">
        <f>VLOOKUP(K989,[1]Lookups!$B$3:$C$142,2,FALSE)</f>
        <v>Other Technologies &amp; Information Technology</v>
      </c>
      <c r="V989" s="14">
        <f t="shared" si="1230"/>
        <v>2019</v>
      </c>
      <c r="W989" s="14">
        <f t="shared" si="1231"/>
        <v>3</v>
      </c>
      <c r="X989" s="14">
        <f>VLOOKUP(W989,[1]Lookups!$P$3:$S$15,2,FALSE)</f>
        <v>1</v>
      </c>
      <c r="Y989" s="16">
        <f>VLOOKUP(W989,[1]Lookups!$P$3:$U$15,3,FALSE)</f>
        <v>1</v>
      </c>
      <c r="Z989" s="16">
        <f t="shared" si="1232"/>
        <v>1</v>
      </c>
      <c r="AA989" s="16" t="str">
        <f t="shared" ca="1" si="1296"/>
        <v>Algebra Ventures</v>
      </c>
      <c r="AB989" s="16">
        <f t="shared" si="1296"/>
        <v>0</v>
      </c>
      <c r="AC989" s="16">
        <f t="shared" si="1296"/>
        <v>0</v>
      </c>
      <c r="AD989" s="16">
        <f t="shared" si="1296"/>
        <v>0</v>
      </c>
      <c r="AE989" s="16">
        <f t="shared" si="1296"/>
        <v>0</v>
      </c>
      <c r="AF989" s="16">
        <f t="shared" si="1296"/>
        <v>0</v>
      </c>
      <c r="AG989" s="16">
        <f t="shared" si="1296"/>
        <v>0</v>
      </c>
      <c r="AH989" s="16">
        <f t="shared" si="1296"/>
        <v>0</v>
      </c>
      <c r="AI989" s="16">
        <f t="shared" si="1296"/>
        <v>0</v>
      </c>
      <c r="AJ989" s="16">
        <f t="shared" si="1296"/>
        <v>0</v>
      </c>
      <c r="AK989" s="16">
        <f t="shared" si="1296"/>
        <v>0</v>
      </c>
      <c r="AL989" s="16">
        <f t="shared" si="1296"/>
        <v>0</v>
      </c>
      <c r="AM989" s="16">
        <f t="shared" si="1296"/>
        <v>0</v>
      </c>
      <c r="AN989" s="16">
        <f t="shared" si="1296"/>
        <v>0</v>
      </c>
      <c r="AO989" s="16">
        <f t="shared" si="1296"/>
        <v>0</v>
      </c>
      <c r="AP989" s="10"/>
      <c r="AQ989" s="10"/>
      <c r="AR989" s="10"/>
      <c r="AS989" s="10" t="str">
        <f t="shared" ref="AS989" ca="1" si="1307">IFERROR(__xludf.DUMMYFUNCTION("split(F968,"","",true,true)"),"Algebra Ventures")</f>
        <v>Algebra Ventures</v>
      </c>
      <c r="AT989" s="10"/>
      <c r="AU989" s="10"/>
      <c r="AV989" s="10"/>
      <c r="AW989" s="10"/>
      <c r="AX989" s="10"/>
      <c r="AY989" s="10"/>
      <c r="AZ989" s="10"/>
      <c r="BA989" s="10"/>
      <c r="BB989" s="10"/>
      <c r="BC989" s="10"/>
      <c r="BD989" s="10"/>
      <c r="BE989" s="10"/>
      <c r="BF989" s="10"/>
      <c r="BG989" s="10"/>
      <c r="BH989" s="10"/>
      <c r="BI989" s="10"/>
      <c r="BJ989" s="10"/>
      <c r="BK989" s="10"/>
      <c r="BM989" s="10"/>
    </row>
    <row r="990" spans="1:65" ht="12.75">
      <c r="A990" s="9">
        <v>43539</v>
      </c>
      <c r="B990" s="10" t="s">
        <v>682</v>
      </c>
      <c r="C990" s="11">
        <v>150000</v>
      </c>
      <c r="D990" s="12"/>
      <c r="E990" s="10" t="s">
        <v>45</v>
      </c>
      <c r="F990" s="10" t="s">
        <v>305</v>
      </c>
      <c r="G990" s="13" t="s">
        <v>2113</v>
      </c>
      <c r="H990" s="14" t="str">
        <f t="array" ref="H990">IFERROR(INDEX([1]Companies!$G:$G,MATCH(B990,[1]Companies!$A:$A,0)),"")</f>
        <v>Nigeria</v>
      </c>
      <c r="I990" s="14" t="str">
        <f t="shared" si="1299"/>
        <v>Nigeria</v>
      </c>
      <c r="J990" s="14" t="str">
        <f t="array" ref="J990">IFERROR(INDEX([1]Companies!$Y:$Y,MATCH(B990,[1]Companies!$A:$A,0)),"")</f>
        <v>Agriculture, AgTech, Information Technology</v>
      </c>
      <c r="K990" s="14" t="str">
        <f t="array" ref="K990">IFERROR(INDEX([1]Companies!$X:$X,MATCH(B990,[1]Companies!$A:$A,0)),"")</f>
        <v>Agriculture</v>
      </c>
      <c r="L990" s="14" t="str">
        <f>VLOOKUP(B990,[1]Companies!$A$1:$C$5243,1,FALSE)</f>
        <v>Thrive Agric</v>
      </c>
      <c r="M990" s="15">
        <f t="shared" si="1300"/>
        <v>0.9</v>
      </c>
      <c r="N990" s="10" t="str">
        <f t="shared" si="1301"/>
        <v>43539Thrive Agric150000</v>
      </c>
      <c r="O990" s="14" t="str">
        <f t="shared" si="1302"/>
        <v/>
      </c>
      <c r="P990" s="14">
        <f t="shared" si="1303"/>
        <v>1</v>
      </c>
      <c r="Q990" s="14">
        <f t="array" ref="Q990">IFERROR(INDEX([1]Companies!$D:$D,MATCH(B990,[1]Companies!$A:$A,0)),"")</f>
        <v>2016</v>
      </c>
      <c r="R990" s="17">
        <f t="shared" si="1304"/>
        <v>620000</v>
      </c>
      <c r="S990" s="14">
        <f>VLOOKUP(I990,[1]Lookups!$V$3:$Y$197,4,FALSE)</f>
        <v>0</v>
      </c>
      <c r="T990" s="14" t="str">
        <f>VLOOKUP(E990,[1]Lookups!$H$3:$I$71,2,FALSE)</f>
        <v>2. Seed</v>
      </c>
      <c r="U990" s="14" t="str">
        <f>VLOOKUP(K990,[1]Lookups!$B$3:$C$142,2,FALSE)</f>
        <v>Agriculture</v>
      </c>
      <c r="V990" s="14">
        <f t="shared" si="1230"/>
        <v>2019</v>
      </c>
      <c r="W990" s="14">
        <f t="shared" si="1231"/>
        <v>3</v>
      </c>
      <c r="X990" s="14">
        <f>VLOOKUP(W990,[1]Lookups!$P$3:$S$15,2,FALSE)</f>
        <v>1</v>
      </c>
      <c r="Y990" s="16">
        <f>VLOOKUP(W990,[1]Lookups!$P$3:$U$15,3,FALSE)</f>
        <v>1</v>
      </c>
      <c r="Z990" s="16">
        <f t="shared" si="1232"/>
        <v>1</v>
      </c>
      <c r="AA990" s="16" t="str">
        <f t="shared" ca="1" si="1296"/>
        <v>Algebra Ventures</v>
      </c>
      <c r="AB990" s="16">
        <f t="shared" si="1296"/>
        <v>0</v>
      </c>
      <c r="AC990" s="16">
        <f t="shared" si="1296"/>
        <v>0</v>
      </c>
      <c r="AD990" s="16">
        <f t="shared" si="1296"/>
        <v>0</v>
      </c>
      <c r="AE990" s="16">
        <f t="shared" si="1296"/>
        <v>0</v>
      </c>
      <c r="AF990" s="16">
        <f t="shared" si="1296"/>
        <v>0</v>
      </c>
      <c r="AG990" s="16">
        <f t="shared" si="1296"/>
        <v>0</v>
      </c>
      <c r="AH990" s="16">
        <f t="shared" si="1296"/>
        <v>0</v>
      </c>
      <c r="AI990" s="16">
        <f t="shared" si="1296"/>
        <v>0</v>
      </c>
      <c r="AJ990" s="16">
        <f t="shared" si="1296"/>
        <v>0</v>
      </c>
      <c r="AK990" s="16">
        <f t="shared" si="1296"/>
        <v>0</v>
      </c>
      <c r="AL990" s="16">
        <f t="shared" si="1296"/>
        <v>0</v>
      </c>
      <c r="AM990" s="16">
        <f t="shared" si="1296"/>
        <v>0</v>
      </c>
      <c r="AN990" s="16">
        <f t="shared" si="1296"/>
        <v>0</v>
      </c>
      <c r="AO990" s="16">
        <f t="shared" si="1296"/>
        <v>0</v>
      </c>
      <c r="AP990" s="10"/>
      <c r="AQ990" s="10"/>
      <c r="AR990" s="10"/>
      <c r="AS990" s="10" t="str">
        <f t="shared" ref="AS990" ca="1" si="1308">IFERROR(__xludf.DUMMYFUNCTION("split(F968,"","",true,true)"),"Algebra Ventures")</f>
        <v>Algebra Ventures</v>
      </c>
      <c r="AT990" s="10"/>
      <c r="AU990" s="10"/>
      <c r="AV990" s="10"/>
      <c r="AW990" s="10"/>
      <c r="AX990" s="10"/>
      <c r="AY990" s="10"/>
      <c r="AZ990" s="10"/>
      <c r="BA990" s="10"/>
      <c r="BB990" s="10"/>
      <c r="BC990" s="10"/>
      <c r="BD990" s="10"/>
      <c r="BE990" s="10"/>
      <c r="BF990" s="10"/>
      <c r="BG990" s="10"/>
      <c r="BH990" s="10"/>
      <c r="BI990" s="10"/>
      <c r="BJ990" s="10"/>
      <c r="BK990" s="10"/>
      <c r="BM990" s="10"/>
    </row>
    <row r="991" spans="1:65" ht="12.75">
      <c r="A991" s="18">
        <v>43539</v>
      </c>
      <c r="B991" s="14" t="s">
        <v>2114</v>
      </c>
      <c r="C991" s="19">
        <v>100000</v>
      </c>
      <c r="D991" s="19"/>
      <c r="E991" s="14" t="s">
        <v>45</v>
      </c>
      <c r="F991" s="14" t="s">
        <v>2115</v>
      </c>
      <c r="G991" s="21" t="s">
        <v>2116</v>
      </c>
      <c r="H991" s="14" t="str">
        <f t="array" ref="H991">IFERROR(INDEX([1]Companies!$G:$G,MATCH(B991,[1]Companies!$A:$A,0)),"")</f>
        <v>Kenya</v>
      </c>
      <c r="I991" s="14" t="str">
        <f t="shared" si="1299"/>
        <v>Kenya</v>
      </c>
      <c r="J991" s="14" t="str">
        <f t="array" ref="J991">IFERROR(INDEX([1]Companies!$Y:$Y,MATCH(B991,[1]Companies!$A:$A,0)),"")</f>
        <v>AI, Healthtech, and Spectral Analysis</v>
      </c>
      <c r="K991" s="14" t="str">
        <f t="array" ref="K991">IFERROR(INDEX([1]Companies!$X:$X,MATCH(B991,[1]Companies!$A:$A,0)),"")</f>
        <v>Healthcare &amp; Pharma</v>
      </c>
      <c r="L991" s="14" t="str">
        <f>VLOOKUP(B991,[1]Companies!$A$1:$C$5243,1,FALSE)</f>
        <v>Tambua Health Inc.</v>
      </c>
      <c r="M991" s="15">
        <f t="shared" si="1300"/>
        <v>0.9</v>
      </c>
      <c r="N991" s="10" t="str">
        <f t="shared" si="1301"/>
        <v>43539Tambua Health Inc.100000</v>
      </c>
      <c r="O991" s="14" t="str">
        <f t="shared" si="1302"/>
        <v/>
      </c>
      <c r="P991" s="14">
        <f t="shared" si="1303"/>
        <v>1</v>
      </c>
      <c r="Q991" s="14">
        <f t="array" ref="Q991">IFERROR(INDEX([1]Companies!$D:$D,MATCH(B991,[1]Companies!$A:$A,0)),"")</f>
        <v>2017</v>
      </c>
      <c r="R991" s="17">
        <f t="shared" si="1304"/>
        <v>100000</v>
      </c>
      <c r="S991" s="14">
        <f>VLOOKUP(I991,[1]Lookups!$V$3:$Y$197,4,FALSE)</f>
        <v>0</v>
      </c>
      <c r="T991" s="14" t="str">
        <f>VLOOKUP(E991,[1]Lookups!$H$3:$I$71,2,FALSE)</f>
        <v>2. Seed</v>
      </c>
      <c r="U991" s="14" t="str">
        <f>VLOOKUP(K991,[1]Lookups!$B$3:$C$142,2,FALSE)</f>
        <v>Health &amp; Pharmaceuticals</v>
      </c>
      <c r="V991" s="14">
        <f t="shared" si="1230"/>
        <v>2019</v>
      </c>
      <c r="W991" s="14">
        <f t="shared" si="1231"/>
        <v>3</v>
      </c>
      <c r="X991" s="14">
        <f>VLOOKUP(W991,[1]Lookups!$P$3:$S$15,2,FALSE)</f>
        <v>1</v>
      </c>
      <c r="Y991" s="16">
        <f>VLOOKUP(W991,[1]Lookups!$P$3:$U$15,3,FALSE)</f>
        <v>1</v>
      </c>
      <c r="Z991" s="16">
        <f t="shared" si="1232"/>
        <v>1</v>
      </c>
      <c r="AA991" s="16" t="str">
        <f t="shared" ca="1" si="1296"/>
        <v>Algebra Ventures</v>
      </c>
      <c r="AB991" s="16">
        <f t="shared" si="1296"/>
        <v>0</v>
      </c>
      <c r="AC991" s="16">
        <f t="shared" si="1296"/>
        <v>0</v>
      </c>
      <c r="AD991" s="16">
        <f t="shared" si="1296"/>
        <v>0</v>
      </c>
      <c r="AE991" s="16">
        <f t="shared" si="1296"/>
        <v>0</v>
      </c>
      <c r="AF991" s="16">
        <f t="shared" si="1296"/>
        <v>0</v>
      </c>
      <c r="AG991" s="16">
        <f t="shared" si="1296"/>
        <v>0</v>
      </c>
      <c r="AH991" s="16">
        <f t="shared" si="1296"/>
        <v>0</v>
      </c>
      <c r="AI991" s="16">
        <f t="shared" si="1296"/>
        <v>0</v>
      </c>
      <c r="AJ991" s="16">
        <f t="shared" si="1296"/>
        <v>0</v>
      </c>
      <c r="AK991" s="16">
        <f t="shared" si="1296"/>
        <v>0</v>
      </c>
      <c r="AL991" s="16">
        <f t="shared" si="1296"/>
        <v>0</v>
      </c>
      <c r="AM991" s="16">
        <f t="shared" si="1296"/>
        <v>0</v>
      </c>
      <c r="AN991" s="16">
        <f t="shared" si="1296"/>
        <v>0</v>
      </c>
      <c r="AO991" s="16">
        <f t="shared" si="1296"/>
        <v>0</v>
      </c>
      <c r="AP991" s="10"/>
      <c r="AQ991" s="10"/>
      <c r="AR991" s="10"/>
      <c r="AS991" s="10" t="str">
        <f t="shared" ref="AS991" ca="1" si="1309">IFERROR(__xludf.DUMMYFUNCTION("split(F968,"","",true,true)"),"Algebra Ventures")</f>
        <v>Algebra Ventures</v>
      </c>
      <c r="AT991" s="10"/>
      <c r="AU991" s="10"/>
      <c r="AV991" s="10"/>
      <c r="AW991" s="10"/>
      <c r="AX991" s="10"/>
      <c r="AY991" s="10"/>
      <c r="AZ991" s="10"/>
      <c r="BA991" s="10"/>
      <c r="BB991" s="10"/>
      <c r="BC991" s="10"/>
      <c r="BD991" s="10"/>
      <c r="BE991" s="10"/>
      <c r="BF991" s="10"/>
      <c r="BG991" s="10"/>
      <c r="BH991" s="10"/>
      <c r="BI991" s="10"/>
      <c r="BJ991" s="10"/>
      <c r="BK991" s="10"/>
      <c r="BM991" s="10"/>
    </row>
    <row r="992" spans="1:65" ht="12.75">
      <c r="A992" s="18">
        <v>43540</v>
      </c>
      <c r="B992" s="14" t="s">
        <v>2117</v>
      </c>
      <c r="C992" s="19">
        <v>5000</v>
      </c>
      <c r="D992" s="19"/>
      <c r="E992" s="14" t="s">
        <v>234</v>
      </c>
      <c r="F992" s="14" t="s">
        <v>49</v>
      </c>
      <c r="G992" s="21" t="s">
        <v>2118</v>
      </c>
      <c r="H992" s="14" t="str">
        <f t="array" ref="H992">IFERROR(INDEX([1]Companies!$G:$G,MATCH(B992,[1]Companies!$A:$A,0)),"")</f>
        <v>Nigeria</v>
      </c>
      <c r="I992" s="14" t="str">
        <f t="shared" si="1299"/>
        <v>Nigeria</v>
      </c>
      <c r="J992" s="14" t="str">
        <f t="array" ref="J992">IFERROR(INDEX([1]Companies!$Y:$Y,MATCH(B992,[1]Companies!$A:$A,0)),"")</f>
        <v>E-Commerce, Financial Services, FinTech, Internet, Payments</v>
      </c>
      <c r="K992" s="14" t="str">
        <f t="array" ref="K992">IFERROR(INDEX([1]Companies!$X:$X,MATCH(B992,[1]Companies!$A:$A,0)),"")</f>
        <v>E-Commerce &amp; Retail</v>
      </c>
      <c r="L992" s="14" t="str">
        <f>VLOOKUP(B992,[1]Companies!$A$1:$C$5243,1,FALSE)</f>
        <v>Middletrust</v>
      </c>
      <c r="M992" s="15">
        <f t="shared" si="1300"/>
        <v>0.9</v>
      </c>
      <c r="N992" s="10" t="str">
        <f t="shared" si="1301"/>
        <v>43540Middletrust5000</v>
      </c>
      <c r="O992" s="14" t="str">
        <f t="shared" si="1302"/>
        <v/>
      </c>
      <c r="P992" s="14">
        <f t="shared" si="1303"/>
        <v>1</v>
      </c>
      <c r="Q992" s="14">
        <f t="array" ref="Q992">IFERROR(INDEX([1]Companies!$D:$D,MATCH(B992,[1]Companies!$A:$A,0)),"")</f>
        <v>2018</v>
      </c>
      <c r="R992" s="17">
        <f t="shared" si="1304"/>
        <v>5000</v>
      </c>
      <c r="S992" s="14">
        <f>VLOOKUP(I992,[1]Lookups!$V$3:$Y$197,4,FALSE)</f>
        <v>0</v>
      </c>
      <c r="T992" s="14" t="str">
        <f>VLOOKUP(E992,[1]Lookups!$H$3:$I$71,2,FALSE)</f>
        <v>2. Seed</v>
      </c>
      <c r="U992" s="14" t="str">
        <f>VLOOKUP(K992,[1]Lookups!$B$3:$C$142,2,FALSE)</f>
        <v>E-commerce &amp; Retail</v>
      </c>
      <c r="V992" s="14">
        <f t="shared" si="1230"/>
        <v>2019</v>
      </c>
      <c r="W992" s="14">
        <f t="shared" si="1231"/>
        <v>3</v>
      </c>
      <c r="X992" s="14">
        <f>VLOOKUP(W992,[1]Lookups!$P$3:$S$15,2,FALSE)</f>
        <v>1</v>
      </c>
      <c r="Y992" s="16">
        <f>VLOOKUP(W992,[1]Lookups!$P$3:$U$15,3,FALSE)</f>
        <v>1</v>
      </c>
      <c r="Z992" s="16">
        <f t="shared" si="1232"/>
        <v>1</v>
      </c>
      <c r="AA992" s="16" t="str">
        <f t="shared" ca="1" si="1296"/>
        <v>Algebra Ventures</v>
      </c>
      <c r="AB992" s="16">
        <f t="shared" si="1296"/>
        <v>0</v>
      </c>
      <c r="AC992" s="16">
        <f t="shared" si="1296"/>
        <v>0</v>
      </c>
      <c r="AD992" s="16">
        <f t="shared" si="1296"/>
        <v>0</v>
      </c>
      <c r="AE992" s="16">
        <f t="shared" si="1296"/>
        <v>0</v>
      </c>
      <c r="AF992" s="16">
        <f t="shared" si="1296"/>
        <v>0</v>
      </c>
      <c r="AG992" s="16">
        <f t="shared" si="1296"/>
        <v>0</v>
      </c>
      <c r="AH992" s="16">
        <f t="shared" si="1296"/>
        <v>0</v>
      </c>
      <c r="AI992" s="16">
        <f t="shared" si="1296"/>
        <v>0</v>
      </c>
      <c r="AJ992" s="16">
        <f t="shared" si="1296"/>
        <v>0</v>
      </c>
      <c r="AK992" s="16">
        <f t="shared" si="1296"/>
        <v>0</v>
      </c>
      <c r="AL992" s="16">
        <f t="shared" si="1296"/>
        <v>0</v>
      </c>
      <c r="AM992" s="16">
        <f t="shared" si="1296"/>
        <v>0</v>
      </c>
      <c r="AN992" s="16">
        <f t="shared" si="1296"/>
        <v>0</v>
      </c>
      <c r="AO992" s="16">
        <f t="shared" si="1296"/>
        <v>0</v>
      </c>
      <c r="AP992" s="10"/>
      <c r="AQ992" s="10"/>
      <c r="AR992" s="10"/>
      <c r="AS992" s="10" t="str">
        <f t="shared" ref="AS992" ca="1" si="1310">IFERROR(__xludf.DUMMYFUNCTION("split(F968,"","",true,true)"),"Algebra Ventures")</f>
        <v>Algebra Ventures</v>
      </c>
      <c r="AT992" s="10"/>
      <c r="AU992" s="10"/>
      <c r="AV992" s="10"/>
      <c r="AW992" s="10"/>
      <c r="AX992" s="10"/>
      <c r="AY992" s="10"/>
      <c r="AZ992" s="10"/>
      <c r="BA992" s="10"/>
      <c r="BB992" s="10"/>
      <c r="BC992" s="10"/>
      <c r="BD992" s="10"/>
      <c r="BE992" s="10"/>
      <c r="BF992" s="10"/>
      <c r="BG992" s="10"/>
      <c r="BH992" s="10"/>
      <c r="BI992" s="10"/>
      <c r="BJ992" s="10"/>
      <c r="BK992" s="10"/>
      <c r="BM992" s="10"/>
    </row>
    <row r="993" spans="1:65" ht="12.75">
      <c r="A993" s="18">
        <v>43541</v>
      </c>
      <c r="B993" s="14" t="s">
        <v>2119</v>
      </c>
      <c r="C993" s="19" t="s">
        <v>49</v>
      </c>
      <c r="D993" s="22"/>
      <c r="E993" s="14" t="s">
        <v>69</v>
      </c>
      <c r="F993" s="14" t="s">
        <v>2120</v>
      </c>
      <c r="G993" s="21" t="s">
        <v>2121</v>
      </c>
      <c r="H993" s="14" t="str">
        <f t="array" ref="H993">IFERROR(INDEX([1]Companies!$G:$G,MATCH(B993,[1]Companies!$A:$A,0)),"")</f>
        <v>Mauritius</v>
      </c>
      <c r="I993" s="14" t="str">
        <f t="shared" si="1299"/>
        <v>Mauritius</v>
      </c>
      <c r="J993" s="14" t="str">
        <f t="array" ref="J993">IFERROR(INDEX([1]Companies!$Y:$Y,MATCH(B993,[1]Companies!$A:$A,0)),"")</f>
        <v>Biotechnology, Health Care, Dialysis Care</v>
      </c>
      <c r="K993" s="14" t="str">
        <f t="array" ref="K993">IFERROR(INDEX([1]Companies!$X:$X,MATCH(B993,[1]Companies!$A:$A,0)),"")</f>
        <v>Healthcare &amp; Pharma</v>
      </c>
      <c r="L993" s="14" t="str">
        <f>VLOOKUP(B993,[1]Companies!$A$1:$C$5243,1,FALSE)</f>
        <v>Africa Healthcare Network</v>
      </c>
      <c r="M993" s="15">
        <f t="shared" si="1300"/>
        <v>0.9</v>
      </c>
      <c r="N993" s="10" t="str">
        <f t="shared" si="1301"/>
        <v>43541Africa Healthcare NetworkUndisclosed</v>
      </c>
      <c r="O993" s="14" t="str">
        <f t="shared" si="1302"/>
        <v/>
      </c>
      <c r="P993" s="14">
        <f t="shared" si="1303"/>
        <v>0</v>
      </c>
      <c r="Q993" s="14">
        <f t="array" ref="Q993">IFERROR(INDEX([1]Companies!$D:$D,MATCH(B993,[1]Companies!$A:$A,0)),"")</f>
        <v>2015</v>
      </c>
      <c r="R993" s="17">
        <f t="shared" si="1304"/>
        <v>0</v>
      </c>
      <c r="S993" s="14">
        <f>VLOOKUP(I993,[1]Lookups!$V$3:$Y$197,4,FALSE)</f>
        <v>0</v>
      </c>
      <c r="T993" s="14" t="str">
        <f>VLOOKUP(E993,[1]Lookups!$H$3:$I$71,2,FALSE)</f>
        <v>3. Early Venture</v>
      </c>
      <c r="U993" s="14" t="str">
        <f>VLOOKUP(K993,[1]Lookups!$B$3:$C$142,2,FALSE)</f>
        <v>Health &amp; Pharmaceuticals</v>
      </c>
      <c r="V993" s="14">
        <f t="shared" si="1230"/>
        <v>2019</v>
      </c>
      <c r="W993" s="14">
        <f t="shared" si="1231"/>
        <v>3</v>
      </c>
      <c r="X993" s="14">
        <f>VLOOKUP(W993,[1]Lookups!$P$3:$S$15,2,FALSE)</f>
        <v>1</v>
      </c>
      <c r="Y993" s="16">
        <f>VLOOKUP(W993,[1]Lookups!$P$3:$U$15,3,FALSE)</f>
        <v>1</v>
      </c>
      <c r="Z993" s="16">
        <f t="shared" si="1232"/>
        <v>2</v>
      </c>
      <c r="AA993" s="16" t="str">
        <f t="shared" ca="1" si="1296"/>
        <v>Algebra Ventures</v>
      </c>
      <c r="AB993" s="16" t="str">
        <f t="shared" ca="1" si="1296"/>
        <v xml:space="preserve"> Africa Healthcare Fund</v>
      </c>
      <c r="AC993" s="16">
        <f t="shared" si="1296"/>
        <v>0</v>
      </c>
      <c r="AD993" s="16">
        <f t="shared" si="1296"/>
        <v>0</v>
      </c>
      <c r="AE993" s="16">
        <f t="shared" si="1296"/>
        <v>0</v>
      </c>
      <c r="AF993" s="16">
        <f t="shared" si="1296"/>
        <v>0</v>
      </c>
      <c r="AG993" s="16">
        <f t="shared" si="1296"/>
        <v>0</v>
      </c>
      <c r="AH993" s="16">
        <f t="shared" si="1296"/>
        <v>0</v>
      </c>
      <c r="AI993" s="16">
        <f t="shared" si="1296"/>
        <v>0</v>
      </c>
      <c r="AJ993" s="16">
        <f t="shared" si="1296"/>
        <v>0</v>
      </c>
      <c r="AK993" s="16">
        <f t="shared" si="1296"/>
        <v>0</v>
      </c>
      <c r="AL993" s="16">
        <f t="shared" si="1296"/>
        <v>0</v>
      </c>
      <c r="AM993" s="16">
        <f t="shared" si="1296"/>
        <v>0</v>
      </c>
      <c r="AN993" s="16">
        <f t="shared" si="1296"/>
        <v>0</v>
      </c>
      <c r="AO993" s="16">
        <f t="shared" si="1296"/>
        <v>0</v>
      </c>
      <c r="AP993" s="10"/>
      <c r="AQ993" s="10"/>
      <c r="AR993" s="10"/>
      <c r="AS993" s="10" t="str">
        <f t="shared" ref="AS993" ca="1" si="1311">IFERROR(__xludf.DUMMYFUNCTION("split(F968,"","",true,true)"),"Algebra Ventures")</f>
        <v>Algebra Ventures</v>
      </c>
      <c r="AT993" s="10" t="str">
        <f ca="1">IFERROR(__xludf.DUMMYFUNCTION("""COMPUTED_VALUE""")," Africa Healthcare Fund")</f>
        <v xml:space="preserve"> Africa Healthcare Fund</v>
      </c>
      <c r="AU993" s="10"/>
      <c r="AV993" s="10"/>
      <c r="AW993" s="10"/>
      <c r="AX993" s="10"/>
      <c r="AY993" s="10"/>
      <c r="AZ993" s="10"/>
      <c r="BA993" s="10"/>
      <c r="BB993" s="10"/>
      <c r="BC993" s="10"/>
      <c r="BD993" s="10"/>
      <c r="BE993" s="10"/>
      <c r="BF993" s="10"/>
      <c r="BG993" s="10"/>
      <c r="BH993" s="10"/>
      <c r="BI993" s="10"/>
      <c r="BJ993" s="10"/>
      <c r="BK993" s="10"/>
      <c r="BM993" s="10"/>
    </row>
    <row r="994" spans="1:65" ht="12.75">
      <c r="A994" s="18">
        <v>43542</v>
      </c>
      <c r="B994" s="14" t="s">
        <v>682</v>
      </c>
      <c r="C994" s="19">
        <v>150000</v>
      </c>
      <c r="D994" s="19"/>
      <c r="E994" s="14" t="s">
        <v>45</v>
      </c>
      <c r="F994" s="14" t="s">
        <v>305</v>
      </c>
      <c r="G994" s="21" t="s">
        <v>2122</v>
      </c>
      <c r="H994" s="14" t="str">
        <f t="array" ref="H994">IFERROR(INDEX([1]Companies!$G:$G,MATCH(B994,[1]Companies!$A:$A,0)),"")</f>
        <v>Nigeria</v>
      </c>
      <c r="I994" s="14" t="str">
        <f t="shared" si="1299"/>
        <v>Nigeria</v>
      </c>
      <c r="J994" s="14" t="str">
        <f t="array" ref="J994">IFERROR(INDEX([1]Companies!$Y:$Y,MATCH(B994,[1]Companies!$A:$A,0)),"")</f>
        <v>Agriculture, AgTech, Information Technology</v>
      </c>
      <c r="K994" s="14" t="str">
        <f t="array" ref="K994">IFERROR(INDEX([1]Companies!$X:$X,MATCH(B994,[1]Companies!$A:$A,0)),"")</f>
        <v>Agriculture</v>
      </c>
      <c r="L994" s="14" t="str">
        <f>VLOOKUP(B994,[1]Companies!$A$1:$C$5243,1,FALSE)</f>
        <v>Thrive Agric</v>
      </c>
      <c r="M994" s="15">
        <f t="shared" si="1300"/>
        <v>0.9</v>
      </c>
      <c r="N994" s="10" t="str">
        <f t="shared" si="1301"/>
        <v>43542Thrive Agric150000</v>
      </c>
      <c r="O994" s="14" t="str">
        <f t="shared" si="1302"/>
        <v/>
      </c>
      <c r="P994" s="14">
        <f t="shared" si="1303"/>
        <v>1</v>
      </c>
      <c r="Q994" s="14">
        <f t="array" ref="Q994">IFERROR(INDEX([1]Companies!$D:$D,MATCH(B994,[1]Companies!$A:$A,0)),"")</f>
        <v>2016</v>
      </c>
      <c r="R994" s="17">
        <f t="shared" si="1304"/>
        <v>620000</v>
      </c>
      <c r="S994" s="14">
        <f>VLOOKUP(I994,[1]Lookups!$V$3:$Y$197,4,FALSE)</f>
        <v>0</v>
      </c>
      <c r="T994" s="14" t="str">
        <f>VLOOKUP(E994,[1]Lookups!$H$3:$I$71,2,FALSE)</f>
        <v>2. Seed</v>
      </c>
      <c r="U994" s="14" t="str">
        <f>VLOOKUP(K994,[1]Lookups!$B$3:$C$142,2,FALSE)</f>
        <v>Agriculture</v>
      </c>
      <c r="V994" s="14">
        <f t="shared" si="1230"/>
        <v>2019</v>
      </c>
      <c r="W994" s="14">
        <f t="shared" si="1231"/>
        <v>3</v>
      </c>
      <c r="X994" s="14">
        <f>VLOOKUP(W994,[1]Lookups!$P$3:$S$15,2,FALSE)</f>
        <v>1</v>
      </c>
      <c r="Y994" s="16">
        <f>VLOOKUP(W994,[1]Lookups!$P$3:$U$15,3,FALSE)</f>
        <v>1</v>
      </c>
      <c r="Z994" s="16">
        <f t="shared" si="1232"/>
        <v>1</v>
      </c>
      <c r="AA994" s="16" t="str">
        <f t="shared" ca="1" si="1296"/>
        <v>Algebra Ventures</v>
      </c>
      <c r="AB994" s="16">
        <f t="shared" si="1296"/>
        <v>0</v>
      </c>
      <c r="AC994" s="16">
        <f t="shared" si="1296"/>
        <v>0</v>
      </c>
      <c r="AD994" s="16">
        <f t="shared" si="1296"/>
        <v>0</v>
      </c>
      <c r="AE994" s="16">
        <f t="shared" si="1296"/>
        <v>0</v>
      </c>
      <c r="AF994" s="16">
        <f t="shared" si="1296"/>
        <v>0</v>
      </c>
      <c r="AG994" s="16">
        <f t="shared" si="1296"/>
        <v>0</v>
      </c>
      <c r="AH994" s="16">
        <f t="shared" si="1296"/>
        <v>0</v>
      </c>
      <c r="AI994" s="16">
        <f t="shared" si="1296"/>
        <v>0</v>
      </c>
      <c r="AJ994" s="16">
        <f t="shared" si="1296"/>
        <v>0</v>
      </c>
      <c r="AK994" s="16">
        <f t="shared" si="1296"/>
        <v>0</v>
      </c>
      <c r="AL994" s="16">
        <f t="shared" si="1296"/>
        <v>0</v>
      </c>
      <c r="AM994" s="16">
        <f t="shared" si="1296"/>
        <v>0</v>
      </c>
      <c r="AN994" s="16">
        <f t="shared" si="1296"/>
        <v>0</v>
      </c>
      <c r="AO994" s="16">
        <f t="shared" si="1296"/>
        <v>0</v>
      </c>
      <c r="AP994" s="10"/>
      <c r="AQ994" s="10"/>
      <c r="AR994" s="10"/>
      <c r="AS994" s="10" t="str">
        <f t="shared" ref="AS994" ca="1" si="1312">IFERROR(__xludf.DUMMYFUNCTION("split(F968,"","",true,true)"),"Algebra Ventures")</f>
        <v>Algebra Ventures</v>
      </c>
      <c r="AT994" s="10"/>
      <c r="AU994" s="10"/>
      <c r="AV994" s="10"/>
      <c r="AW994" s="10"/>
      <c r="AX994" s="10"/>
      <c r="AY994" s="10"/>
      <c r="AZ994" s="10"/>
      <c r="BA994" s="10"/>
      <c r="BB994" s="10"/>
      <c r="BC994" s="10"/>
      <c r="BD994" s="10"/>
      <c r="BE994" s="10"/>
      <c r="BF994" s="10"/>
      <c r="BG994" s="10"/>
      <c r="BH994" s="10"/>
      <c r="BI994" s="10"/>
      <c r="BJ994" s="10"/>
      <c r="BK994" s="10"/>
      <c r="BM994" s="10"/>
    </row>
    <row r="995" spans="1:65" ht="12.75">
      <c r="A995" s="9">
        <v>43542</v>
      </c>
      <c r="B995" s="10" t="s">
        <v>1355</v>
      </c>
      <c r="C995" s="11">
        <v>150000</v>
      </c>
      <c r="D995" s="12"/>
      <c r="E995" s="14" t="s">
        <v>45</v>
      </c>
      <c r="F995" s="10" t="s">
        <v>305</v>
      </c>
      <c r="G995" s="13" t="s">
        <v>2123</v>
      </c>
      <c r="H995" s="14" t="str">
        <f t="array" ref="H995">IFERROR(INDEX([1]Companies!$G:$G,MATCH(B995,[1]Companies!$A:$A,0)),"")</f>
        <v>Nigeria</v>
      </c>
      <c r="I995" s="14" t="str">
        <f t="shared" si="1299"/>
        <v>Nigeria</v>
      </c>
      <c r="J995" s="14" t="str">
        <f t="array" ref="J995">IFERROR(INDEX([1]Companies!$Y:$Y,MATCH(B995,[1]Companies!$A:$A,0)),"")</f>
        <v>Fintech, Consumer financing, Credit scoring</v>
      </c>
      <c r="K995" s="14" t="str">
        <f t="array" ref="K995">IFERROR(INDEX([1]Companies!$X:$X,MATCH(B995,[1]Companies!$A:$A,0)),"")</f>
        <v>Financial Services</v>
      </c>
      <c r="L995" s="14" t="str">
        <f>VLOOKUP(B995,[1]Companies!$A$1:$C$5243,1,FALSE)</f>
        <v>Credpal</v>
      </c>
      <c r="M995" s="15">
        <f t="shared" si="1300"/>
        <v>0.9</v>
      </c>
      <c r="N995" s="10" t="str">
        <f t="shared" si="1301"/>
        <v>43542CredPal150000</v>
      </c>
      <c r="O995" s="14" t="str">
        <f t="shared" si="1302"/>
        <v/>
      </c>
      <c r="P995" s="14">
        <f t="shared" si="1303"/>
        <v>1</v>
      </c>
      <c r="Q995" s="14">
        <f t="array" ref="Q995">IFERROR(INDEX([1]Companies!$D:$D,MATCH(B995,[1]Companies!$A:$A,0)),"")</f>
        <v>2017</v>
      </c>
      <c r="R995" s="17">
        <f t="shared" si="1304"/>
        <v>192000</v>
      </c>
      <c r="S995" s="14">
        <f>VLOOKUP(I995,[1]Lookups!$V$3:$Y$197,4,FALSE)</f>
        <v>0</v>
      </c>
      <c r="T995" s="14" t="str">
        <f>VLOOKUP(E995,[1]Lookups!$H$3:$I$71,2,FALSE)</f>
        <v>2. Seed</v>
      </c>
      <c r="U995" s="14" t="str">
        <f>VLOOKUP(K995,[1]Lookups!$B$3:$C$142,2,FALSE)</f>
        <v>Financial Services</v>
      </c>
      <c r="V995" s="14">
        <f t="shared" si="1230"/>
        <v>2019</v>
      </c>
      <c r="W995" s="14">
        <f t="shared" si="1231"/>
        <v>3</v>
      </c>
      <c r="X995" s="14">
        <f>VLOOKUP(W995,[1]Lookups!$P$3:$S$15,2,FALSE)</f>
        <v>1</v>
      </c>
      <c r="Y995" s="16">
        <f>VLOOKUP(W995,[1]Lookups!$P$3:$U$15,3,FALSE)</f>
        <v>1</v>
      </c>
      <c r="Z995" s="16">
        <f t="shared" si="1232"/>
        <v>1</v>
      </c>
      <c r="AA995" s="16" t="str">
        <f t="shared" ca="1" si="1296"/>
        <v>Algebra Ventures</v>
      </c>
      <c r="AB995" s="16">
        <f t="shared" si="1296"/>
        <v>0</v>
      </c>
      <c r="AC995" s="16">
        <f t="shared" si="1296"/>
        <v>0</v>
      </c>
      <c r="AD995" s="16">
        <f t="shared" si="1296"/>
        <v>0</v>
      </c>
      <c r="AE995" s="16">
        <f t="shared" si="1296"/>
        <v>0</v>
      </c>
      <c r="AF995" s="16">
        <f t="shared" si="1296"/>
        <v>0</v>
      </c>
      <c r="AG995" s="16">
        <f t="shared" si="1296"/>
        <v>0</v>
      </c>
      <c r="AH995" s="16">
        <f t="shared" si="1296"/>
        <v>0</v>
      </c>
      <c r="AI995" s="16">
        <f t="shared" si="1296"/>
        <v>0</v>
      </c>
      <c r="AJ995" s="16">
        <f t="shared" si="1296"/>
        <v>0</v>
      </c>
      <c r="AK995" s="16">
        <f t="shared" si="1296"/>
        <v>0</v>
      </c>
      <c r="AL995" s="16">
        <f t="shared" si="1296"/>
        <v>0</v>
      </c>
      <c r="AM995" s="16">
        <f t="shared" si="1296"/>
        <v>0</v>
      </c>
      <c r="AN995" s="16">
        <f t="shared" si="1296"/>
        <v>0</v>
      </c>
      <c r="AO995" s="16">
        <f t="shared" si="1296"/>
        <v>0</v>
      </c>
      <c r="AP995" s="10"/>
      <c r="AQ995" s="10"/>
      <c r="AR995" s="10"/>
      <c r="AS995" s="10" t="str">
        <f t="shared" ref="AS995" ca="1" si="1313">IFERROR(__xludf.DUMMYFUNCTION("split(F968,"","",true,true)"),"Algebra Ventures")</f>
        <v>Algebra Ventures</v>
      </c>
      <c r="AT995" s="10"/>
      <c r="AU995" s="10"/>
      <c r="AV995" s="10"/>
      <c r="AW995" s="10"/>
      <c r="AX995" s="10"/>
      <c r="AY995" s="10"/>
      <c r="AZ995" s="10"/>
      <c r="BA995" s="10"/>
      <c r="BB995" s="10"/>
      <c r="BC995" s="10"/>
      <c r="BD995" s="10"/>
      <c r="BE995" s="10"/>
      <c r="BF995" s="10"/>
      <c r="BG995" s="10"/>
      <c r="BH995" s="10"/>
      <c r="BI995" s="10"/>
      <c r="BJ995" s="10"/>
      <c r="BK995" s="10"/>
      <c r="BM995" s="10"/>
    </row>
    <row r="996" spans="1:65" ht="12.75">
      <c r="A996" s="18">
        <v>43542</v>
      </c>
      <c r="B996" s="14" t="s">
        <v>2124</v>
      </c>
      <c r="C996" s="19">
        <v>150000</v>
      </c>
      <c r="D996" s="19"/>
      <c r="E996" s="14" t="s">
        <v>45</v>
      </c>
      <c r="F996" s="14" t="s">
        <v>305</v>
      </c>
      <c r="G996" s="21" t="s">
        <v>2125</v>
      </c>
      <c r="H996" s="14" t="str">
        <f t="array" ref="H996">IFERROR(INDEX([1]Companies!$G:$G,MATCH(B996,[1]Companies!$A:$A,0)),"")</f>
        <v>Nigeria</v>
      </c>
      <c r="I996" s="14" t="str">
        <f t="shared" si="1299"/>
        <v>Nigeria</v>
      </c>
      <c r="J996" s="14" t="str">
        <f t="array" ref="J996">IFERROR(INDEX([1]Companies!$Y:$Y,MATCH(B996,[1]Companies!$A:$A,0)),"")</f>
        <v>Education, Finance, Financial Services</v>
      </c>
      <c r="K996" s="14" t="str">
        <f t="array" ref="K996">IFERROR(INDEX([1]Companies!$X:$X,MATCH(B996,[1]Companies!$A:$A,0)),"")</f>
        <v>Financial Services</v>
      </c>
      <c r="L996" s="14" t="str">
        <f>VLOOKUP(B996,[1]Companies!$A$1:$C$5243,1,FALSE)</f>
        <v>Schoolable</v>
      </c>
      <c r="M996" s="15">
        <f t="shared" si="1300"/>
        <v>0.9</v>
      </c>
      <c r="N996" s="10" t="str">
        <f t="shared" si="1301"/>
        <v>43542Schoolable150000</v>
      </c>
      <c r="O996" s="14" t="str">
        <f t="shared" si="1302"/>
        <v/>
      </c>
      <c r="P996" s="14">
        <f t="shared" si="1303"/>
        <v>1</v>
      </c>
      <c r="Q996" s="14">
        <f t="array" ref="Q996">IFERROR(INDEX([1]Companies!$D:$D,MATCH(B996,[1]Companies!$A:$A,0)),"")</f>
        <v>2018</v>
      </c>
      <c r="R996" s="17">
        <f t="shared" si="1304"/>
        <v>190000</v>
      </c>
      <c r="S996" s="14">
        <f>VLOOKUP(I996,[1]Lookups!$V$3:$Y$197,4,FALSE)</f>
        <v>0</v>
      </c>
      <c r="T996" s="14" t="str">
        <f>VLOOKUP(E996,[1]Lookups!$H$3:$I$71,2,FALSE)</f>
        <v>2. Seed</v>
      </c>
      <c r="U996" s="14" t="str">
        <f>VLOOKUP(K996,[1]Lookups!$B$3:$C$142,2,FALSE)</f>
        <v>Financial Services</v>
      </c>
      <c r="V996" s="14">
        <f t="shared" si="1230"/>
        <v>2019</v>
      </c>
      <c r="W996" s="14">
        <f t="shared" si="1231"/>
        <v>3</v>
      </c>
      <c r="X996" s="14">
        <f>VLOOKUP(W996,[1]Lookups!$P$3:$S$15,2,FALSE)</f>
        <v>1</v>
      </c>
      <c r="Y996" s="16">
        <f>VLOOKUP(W996,[1]Lookups!$P$3:$U$15,3,FALSE)</f>
        <v>1</v>
      </c>
      <c r="Z996" s="16">
        <f t="shared" si="1232"/>
        <v>1</v>
      </c>
      <c r="AA996" s="16" t="str">
        <f t="shared" ca="1" si="1296"/>
        <v>Algebra Ventures</v>
      </c>
      <c r="AB996" s="16">
        <f t="shared" si="1296"/>
        <v>0</v>
      </c>
      <c r="AC996" s="16">
        <f t="shared" si="1296"/>
        <v>0</v>
      </c>
      <c r="AD996" s="16">
        <f t="shared" si="1296"/>
        <v>0</v>
      </c>
      <c r="AE996" s="16">
        <f t="shared" si="1296"/>
        <v>0</v>
      </c>
      <c r="AF996" s="16">
        <f t="shared" si="1296"/>
        <v>0</v>
      </c>
      <c r="AG996" s="16">
        <f t="shared" si="1296"/>
        <v>0</v>
      </c>
      <c r="AH996" s="16">
        <f t="shared" si="1296"/>
        <v>0</v>
      </c>
      <c r="AI996" s="16">
        <f t="shared" si="1296"/>
        <v>0</v>
      </c>
      <c r="AJ996" s="16">
        <f t="shared" si="1296"/>
        <v>0</v>
      </c>
      <c r="AK996" s="16">
        <f t="shared" si="1296"/>
        <v>0</v>
      </c>
      <c r="AL996" s="16">
        <f t="shared" si="1296"/>
        <v>0</v>
      </c>
      <c r="AM996" s="16">
        <f t="shared" si="1296"/>
        <v>0</v>
      </c>
      <c r="AN996" s="16">
        <f t="shared" si="1296"/>
        <v>0</v>
      </c>
      <c r="AO996" s="16">
        <f t="shared" si="1296"/>
        <v>0</v>
      </c>
      <c r="AP996" s="10"/>
      <c r="AQ996" s="10"/>
      <c r="AR996" s="10"/>
      <c r="AS996" s="10" t="str">
        <f t="shared" ref="AS996" ca="1" si="1314">IFERROR(__xludf.DUMMYFUNCTION("split(F968,"","",true,true)"),"Algebra Ventures")</f>
        <v>Algebra Ventures</v>
      </c>
      <c r="AT996" s="10"/>
      <c r="AU996" s="10"/>
      <c r="AV996" s="10"/>
      <c r="AW996" s="10"/>
      <c r="AX996" s="10"/>
      <c r="AY996" s="10"/>
      <c r="AZ996" s="10"/>
      <c r="BA996" s="10"/>
      <c r="BB996" s="10"/>
      <c r="BC996" s="10"/>
      <c r="BD996" s="10"/>
      <c r="BE996" s="10"/>
      <c r="BF996" s="10"/>
      <c r="BG996" s="10"/>
      <c r="BH996" s="10"/>
      <c r="BI996" s="10"/>
      <c r="BJ996" s="10"/>
      <c r="BK996" s="10"/>
      <c r="BM996" s="10"/>
    </row>
    <row r="997" spans="1:65" ht="12.75">
      <c r="A997" s="18">
        <v>43542</v>
      </c>
      <c r="B997" s="14" t="s">
        <v>1469</v>
      </c>
      <c r="C997" s="19">
        <v>150000</v>
      </c>
      <c r="D997" s="19"/>
      <c r="E997" s="14" t="s">
        <v>45</v>
      </c>
      <c r="F997" s="14" t="s">
        <v>305</v>
      </c>
      <c r="G997" s="21" t="s">
        <v>2126</v>
      </c>
      <c r="H997" s="14" t="str">
        <f t="array" ref="H997">IFERROR(INDEX([1]Companies!$G:$G,MATCH(B997,[1]Companies!$A:$A,0)),"")</f>
        <v>Nigeria</v>
      </c>
      <c r="I997" s="14" t="str">
        <f t="shared" si="1299"/>
        <v>Nigeria</v>
      </c>
      <c r="J997" s="14" t="str">
        <f t="array" ref="J997">IFERROR(INDEX([1]Companies!$Y:$Y,MATCH(B997,[1]Companies!$A:$A,0)),"")</f>
        <v>Financial Services, FinTech, Infrastructure, Mobile, Mobile Payments, Payments</v>
      </c>
      <c r="K997" s="14" t="str">
        <f t="array" ref="K997">IFERROR(INDEX([1]Companies!$X:$X,MATCH(B997,[1]Companies!$A:$A,0)),"")</f>
        <v>Financial Services</v>
      </c>
      <c r="L997" s="14" t="str">
        <f>VLOOKUP(B997,[1]Companies!$A$1:$C$5243,1,FALSE)</f>
        <v>Wallets Africa</v>
      </c>
      <c r="M997" s="15">
        <f t="shared" si="1300"/>
        <v>0.9</v>
      </c>
      <c r="N997" s="10" t="str">
        <f t="shared" si="1301"/>
        <v>43542Wallets Africa150000</v>
      </c>
      <c r="O997" s="14" t="str">
        <f t="shared" si="1302"/>
        <v/>
      </c>
      <c r="P997" s="14">
        <f t="shared" si="1303"/>
        <v>1</v>
      </c>
      <c r="Q997" s="14">
        <f t="array" ref="Q997">IFERROR(INDEX([1]Companies!$D:$D,MATCH(B997,[1]Companies!$A:$A,0)),"")</f>
        <v>2016</v>
      </c>
      <c r="R997" s="17">
        <f t="shared" si="1304"/>
        <v>165000</v>
      </c>
      <c r="S997" s="14">
        <f>VLOOKUP(I997,[1]Lookups!$V$3:$Y$197,4,FALSE)</f>
        <v>0</v>
      </c>
      <c r="T997" s="14" t="str">
        <f>VLOOKUP(E997,[1]Lookups!$H$3:$I$71,2,FALSE)</f>
        <v>2. Seed</v>
      </c>
      <c r="U997" s="14" t="str">
        <f>VLOOKUP(K997,[1]Lookups!$B$3:$C$142,2,FALSE)</f>
        <v>Financial Services</v>
      </c>
      <c r="V997" s="14">
        <f t="shared" si="1230"/>
        <v>2019</v>
      </c>
      <c r="W997" s="14">
        <f t="shared" si="1231"/>
        <v>3</v>
      </c>
      <c r="X997" s="14">
        <f>VLOOKUP(W997,[1]Lookups!$P$3:$S$15,2,FALSE)</f>
        <v>1</v>
      </c>
      <c r="Y997" s="16">
        <f>VLOOKUP(W997,[1]Lookups!$P$3:$U$15,3,FALSE)</f>
        <v>1</v>
      </c>
      <c r="Z997" s="16">
        <f t="shared" si="1232"/>
        <v>1</v>
      </c>
      <c r="AA997" s="16" t="str">
        <f t="shared" ca="1" si="1296"/>
        <v>Algebra Ventures</v>
      </c>
      <c r="AB997" s="16">
        <f t="shared" si="1296"/>
        <v>0</v>
      </c>
      <c r="AC997" s="16">
        <f t="shared" si="1296"/>
        <v>0</v>
      </c>
      <c r="AD997" s="16">
        <f t="shared" si="1296"/>
        <v>0</v>
      </c>
      <c r="AE997" s="16">
        <f t="shared" si="1296"/>
        <v>0</v>
      </c>
      <c r="AF997" s="16">
        <f t="shared" si="1296"/>
        <v>0</v>
      </c>
      <c r="AG997" s="16">
        <f t="shared" si="1296"/>
        <v>0</v>
      </c>
      <c r="AH997" s="16">
        <f t="shared" si="1296"/>
        <v>0</v>
      </c>
      <c r="AI997" s="16">
        <f t="shared" si="1296"/>
        <v>0</v>
      </c>
      <c r="AJ997" s="16">
        <f t="shared" si="1296"/>
        <v>0</v>
      </c>
      <c r="AK997" s="16">
        <f t="shared" si="1296"/>
        <v>0</v>
      </c>
      <c r="AL997" s="16">
        <f t="shared" si="1296"/>
        <v>0</v>
      </c>
      <c r="AM997" s="16">
        <f t="shared" si="1296"/>
        <v>0</v>
      </c>
      <c r="AN997" s="16">
        <f t="shared" si="1296"/>
        <v>0</v>
      </c>
      <c r="AO997" s="16">
        <f t="shared" si="1296"/>
        <v>0</v>
      </c>
      <c r="AP997" s="10"/>
      <c r="AQ997" s="10"/>
      <c r="AR997" s="10"/>
      <c r="AS997" s="10" t="str">
        <f t="shared" ref="AS997" ca="1" si="1315">IFERROR(__xludf.DUMMYFUNCTION("split(F968,"","",true,true)"),"Algebra Ventures")</f>
        <v>Algebra Ventures</v>
      </c>
      <c r="AT997" s="10"/>
      <c r="AU997" s="10"/>
      <c r="AV997" s="10"/>
      <c r="AW997" s="10"/>
      <c r="AX997" s="10"/>
      <c r="AY997" s="10"/>
      <c r="AZ997" s="10"/>
      <c r="BA997" s="10"/>
      <c r="BB997" s="10"/>
      <c r="BC997" s="10"/>
      <c r="BD997" s="10"/>
      <c r="BE997" s="10"/>
      <c r="BF997" s="10"/>
      <c r="BG997" s="10"/>
      <c r="BH997" s="10"/>
      <c r="BI997" s="10"/>
      <c r="BJ997" s="10"/>
      <c r="BK997" s="10"/>
      <c r="BM997" s="10"/>
    </row>
    <row r="998" spans="1:65" ht="12.75">
      <c r="A998" s="9">
        <v>43542</v>
      </c>
      <c r="B998" s="10" t="s">
        <v>2007</v>
      </c>
      <c r="C998" s="11">
        <v>50000</v>
      </c>
      <c r="D998" s="12"/>
      <c r="E998" s="10" t="s">
        <v>45</v>
      </c>
      <c r="F998" s="10" t="s">
        <v>226</v>
      </c>
      <c r="G998" s="13" t="s">
        <v>2127</v>
      </c>
      <c r="H998" s="14" t="str">
        <f t="array" ref="H998">IFERROR(INDEX([1]Companies!$G:$G,MATCH(B998,[1]Companies!$A:$A,0)),"")</f>
        <v>Egypt</v>
      </c>
      <c r="I998" s="14" t="str">
        <f t="shared" si="1299"/>
        <v>Egypt</v>
      </c>
      <c r="J998" s="14" t="str">
        <f t="array" ref="J998">IFERROR(INDEX([1]Companies!$Y:$Y,MATCH(B998,[1]Companies!$A:$A,0)),"")</f>
        <v>Advertising Platforms, Mobile Advertising, Retail, Retail Technology</v>
      </c>
      <c r="K998" s="14" t="str">
        <f t="array" ref="K998">IFERROR(INDEX([1]Companies!$X:$X,MATCH(B998,[1]Companies!$A:$A,0)),"")</f>
        <v>Media &amp; Entertainment</v>
      </c>
      <c r="L998" s="14" t="str">
        <f>VLOOKUP(B998,[1]Companies!$A$1:$C$5243,1,FALSE)</f>
        <v>Pinoffer</v>
      </c>
      <c r="M998" s="15">
        <f t="shared" si="1300"/>
        <v>0.9</v>
      </c>
      <c r="N998" s="10" t="str">
        <f t="shared" si="1301"/>
        <v>43542Pinoffer50000</v>
      </c>
      <c r="O998" s="14" t="str">
        <f t="shared" si="1302"/>
        <v/>
      </c>
      <c r="P998" s="14">
        <f t="shared" si="1303"/>
        <v>1</v>
      </c>
      <c r="Q998" s="14">
        <f t="array" ref="Q998">IFERROR(INDEX([1]Companies!$D:$D,MATCH(B998,[1]Companies!$A:$A,0)),"")</f>
        <v>2019</v>
      </c>
      <c r="R998" s="17">
        <f t="shared" si="1304"/>
        <v>50000</v>
      </c>
      <c r="S998" s="14">
        <f>VLOOKUP(I998,[1]Lookups!$V$3:$Y$197,4,FALSE)</f>
        <v>0</v>
      </c>
      <c r="T998" s="14" t="str">
        <f>VLOOKUP(E998,[1]Lookups!$H$3:$I$71,2,FALSE)</f>
        <v>2. Seed</v>
      </c>
      <c r="U998" s="14" t="str">
        <f>VLOOKUP(K998,[1]Lookups!$B$3:$C$142,2,FALSE)</f>
        <v>Media &amp; Entertainment</v>
      </c>
      <c r="V998" s="14">
        <f t="shared" si="1230"/>
        <v>2019</v>
      </c>
      <c r="W998" s="14">
        <f t="shared" si="1231"/>
        <v>3</v>
      </c>
      <c r="X998" s="14">
        <f>VLOOKUP(W998,[1]Lookups!$P$3:$S$15,2,FALSE)</f>
        <v>1</v>
      </c>
      <c r="Y998" s="16">
        <f>VLOOKUP(W998,[1]Lookups!$P$3:$U$15,3,FALSE)</f>
        <v>1</v>
      </c>
      <c r="Z998" s="16">
        <f t="shared" si="1232"/>
        <v>1</v>
      </c>
      <c r="AA998" s="16" t="str">
        <f t="shared" ca="1" si="1296"/>
        <v>Algebra Ventures</v>
      </c>
      <c r="AB998" s="16">
        <f t="shared" si="1296"/>
        <v>0</v>
      </c>
      <c r="AC998" s="16">
        <f t="shared" si="1296"/>
        <v>0</v>
      </c>
      <c r="AD998" s="16">
        <f t="shared" si="1296"/>
        <v>0</v>
      </c>
      <c r="AE998" s="16">
        <f t="shared" si="1296"/>
        <v>0</v>
      </c>
      <c r="AF998" s="16">
        <f t="shared" si="1296"/>
        <v>0</v>
      </c>
      <c r="AG998" s="16">
        <f t="shared" si="1296"/>
        <v>0</v>
      </c>
      <c r="AH998" s="16">
        <f t="shared" si="1296"/>
        <v>0</v>
      </c>
      <c r="AI998" s="16">
        <f t="shared" si="1296"/>
        <v>0</v>
      </c>
      <c r="AJ998" s="16">
        <f t="shared" si="1296"/>
        <v>0</v>
      </c>
      <c r="AK998" s="16">
        <f t="shared" si="1296"/>
        <v>0</v>
      </c>
      <c r="AL998" s="16">
        <f t="shared" si="1296"/>
        <v>0</v>
      </c>
      <c r="AM998" s="16">
        <f t="shared" si="1296"/>
        <v>0</v>
      </c>
      <c r="AN998" s="16">
        <f t="shared" si="1296"/>
        <v>0</v>
      </c>
      <c r="AO998" s="16">
        <f t="shared" si="1296"/>
        <v>0</v>
      </c>
      <c r="AP998" s="10"/>
      <c r="AQ998" s="10"/>
      <c r="AR998" s="10"/>
      <c r="AS998" s="10" t="str">
        <f t="shared" ref="AS998" ca="1" si="1316">IFERROR(__xludf.DUMMYFUNCTION("split(F968,"","",true,true)"),"Algebra Ventures")</f>
        <v>Algebra Ventures</v>
      </c>
      <c r="AT998" s="10"/>
      <c r="AU998" s="10"/>
      <c r="AV998" s="10"/>
      <c r="AW998" s="10"/>
      <c r="AX998" s="10"/>
      <c r="AY998" s="10"/>
      <c r="AZ998" s="10"/>
      <c r="BA998" s="10"/>
      <c r="BB998" s="10"/>
      <c r="BC998" s="10"/>
      <c r="BD998" s="10"/>
      <c r="BE998" s="10"/>
      <c r="BF998" s="10"/>
      <c r="BG998" s="10"/>
      <c r="BH998" s="10"/>
      <c r="BI998" s="10"/>
      <c r="BJ998" s="10"/>
      <c r="BK998" s="10"/>
      <c r="BM998" s="10"/>
    </row>
    <row r="999" spans="1:65" ht="12.75">
      <c r="A999" s="9">
        <v>43543</v>
      </c>
      <c r="B999" s="10" t="s">
        <v>2128</v>
      </c>
      <c r="C999" s="11">
        <v>5500000</v>
      </c>
      <c r="D999" s="12"/>
      <c r="E999" s="14" t="s">
        <v>45</v>
      </c>
      <c r="F999" s="10" t="s">
        <v>49</v>
      </c>
      <c r="G999" s="13" t="s">
        <v>2129</v>
      </c>
      <c r="H999" s="14" t="str">
        <f t="array" ref="H999">IFERROR(INDEX([1]Companies!$G:$G,MATCH(B999,[1]Companies!$A:$A,0)),"")</f>
        <v/>
      </c>
      <c r="I999" s="14" t="str">
        <f t="shared" si="1299"/>
        <v/>
      </c>
      <c r="J999" s="14" t="str">
        <f t="array" ref="J999">IFERROR(INDEX([1]Companies!$Y:$Y,MATCH(B999,[1]Companies!$A:$A,0)),"")</f>
        <v/>
      </c>
      <c r="K999" s="14" t="str">
        <f t="array" ref="K999">IFERROR(INDEX([1]Companies!$X:$X,MATCH(B999,[1]Companies!$A:$A,0)),"")</f>
        <v/>
      </c>
      <c r="L999" s="14" t="e">
        <f>VLOOKUP(B999,[1]Companies!$A$1:$C$5243,1,FALSE)</f>
        <v>#N/A</v>
      </c>
      <c r="M999" s="15">
        <f t="shared" si="1300"/>
        <v>0.6428571428571429</v>
      </c>
      <c r="N999" s="10" t="str">
        <f t="shared" si="1301"/>
        <v>43543Transsnet Music5500000</v>
      </c>
      <c r="O999" s="14" t="str">
        <f t="shared" si="1302"/>
        <v/>
      </c>
      <c r="P999" s="14">
        <f t="shared" si="1303"/>
        <v>1</v>
      </c>
      <c r="Q999" s="14" t="str">
        <f t="array" ref="Q999">IFERROR(INDEX([1]Companies!$D:$D,MATCH(B999,[1]Companies!$A:$A,0)),"")</f>
        <v/>
      </c>
      <c r="R999" s="17">
        <f t="shared" si="1304"/>
        <v>5500000</v>
      </c>
      <c r="S999" s="14" t="e">
        <f>VLOOKUP(I999,[1]Lookups!$V$3:$Y$197,4,FALSE)</f>
        <v>#N/A</v>
      </c>
      <c r="T999" s="14" t="str">
        <f>VLOOKUP(E999,[1]Lookups!$H$3:$I$71,2,FALSE)</f>
        <v>2. Seed</v>
      </c>
      <c r="U999" s="14" t="e">
        <f>VLOOKUP(K999,[1]Lookups!$B$3:$C$142,2,FALSE)</f>
        <v>#N/A</v>
      </c>
      <c r="V999" s="14">
        <f t="shared" si="1230"/>
        <v>2019</v>
      </c>
      <c r="W999" s="14">
        <f t="shared" si="1231"/>
        <v>3</v>
      </c>
      <c r="X999" s="14">
        <f>VLOOKUP(W999,[1]Lookups!$P$3:$S$15,2,FALSE)</f>
        <v>1</v>
      </c>
      <c r="Y999" s="16">
        <f>VLOOKUP(W999,[1]Lookups!$P$3:$U$15,3,FALSE)</f>
        <v>1</v>
      </c>
      <c r="Z999" s="16">
        <f t="shared" si="1232"/>
        <v>1</v>
      </c>
      <c r="AA999" s="16" t="str">
        <f t="shared" ca="1" si="1296"/>
        <v>Algebra Ventures</v>
      </c>
      <c r="AB999" s="16">
        <f t="shared" si="1296"/>
        <v>0</v>
      </c>
      <c r="AC999" s="16">
        <f t="shared" si="1296"/>
        <v>0</v>
      </c>
      <c r="AD999" s="16">
        <f t="shared" si="1296"/>
        <v>0</v>
      </c>
      <c r="AE999" s="16">
        <f t="shared" si="1296"/>
        <v>0</v>
      </c>
      <c r="AF999" s="16">
        <f t="shared" si="1296"/>
        <v>0</v>
      </c>
      <c r="AG999" s="16">
        <f t="shared" si="1296"/>
        <v>0</v>
      </c>
      <c r="AH999" s="16">
        <f t="shared" si="1296"/>
        <v>0</v>
      </c>
      <c r="AI999" s="16">
        <f t="shared" si="1296"/>
        <v>0</v>
      </c>
      <c r="AJ999" s="16">
        <f t="shared" si="1296"/>
        <v>0</v>
      </c>
      <c r="AK999" s="16">
        <f t="shared" si="1296"/>
        <v>0</v>
      </c>
      <c r="AL999" s="16">
        <f t="shared" si="1296"/>
        <v>0</v>
      </c>
      <c r="AM999" s="16">
        <f t="shared" si="1296"/>
        <v>0</v>
      </c>
      <c r="AN999" s="16">
        <f t="shared" si="1296"/>
        <v>0</v>
      </c>
      <c r="AO999" s="16">
        <f t="shared" si="1296"/>
        <v>0</v>
      </c>
      <c r="AP999" s="10"/>
      <c r="AQ999" s="10"/>
      <c r="AR999" s="10"/>
      <c r="AS999" s="10" t="str">
        <f t="shared" ref="AS999" ca="1" si="1317">IFERROR(__xludf.DUMMYFUNCTION("split(F968,"","",true,true)"),"Algebra Ventures")</f>
        <v>Algebra Ventures</v>
      </c>
      <c r="AT999" s="23"/>
      <c r="AU999" s="23"/>
      <c r="AV999" s="23"/>
      <c r="AW999" s="23"/>
      <c r="AX999" s="23"/>
      <c r="AY999" s="23"/>
      <c r="AZ999" s="23"/>
      <c r="BA999" s="23"/>
      <c r="BB999" s="23"/>
      <c r="BC999" s="23"/>
      <c r="BD999" s="23"/>
      <c r="BE999" s="23"/>
      <c r="BF999" s="23"/>
      <c r="BG999" s="23"/>
      <c r="BH999" s="23"/>
      <c r="BI999" s="23"/>
      <c r="BJ999" s="23"/>
      <c r="BK999" s="23"/>
      <c r="BM999" s="23"/>
    </row>
    <row r="1000" spans="1:65" ht="12.75">
      <c r="A1000" s="18">
        <v>43543</v>
      </c>
      <c r="B1000" s="14" t="s">
        <v>2130</v>
      </c>
      <c r="C1000" s="19">
        <v>1200000</v>
      </c>
      <c r="D1000" s="19"/>
      <c r="E1000" s="14" t="s">
        <v>45</v>
      </c>
      <c r="F1000" s="14" t="s">
        <v>213</v>
      </c>
      <c r="G1000" s="21" t="s">
        <v>2131</v>
      </c>
      <c r="H1000" s="14" t="str">
        <f t="array" ref="H1000">IFERROR(INDEX([1]Companies!$G:$G,MATCH(B1000,[1]Companies!$A:$A,0)),"")</f>
        <v>South Africa</v>
      </c>
      <c r="I1000" s="14" t="str">
        <f t="shared" si="1299"/>
        <v>South Africa</v>
      </c>
      <c r="J1000" s="14" t="str">
        <f t="array" ref="J1000">IFERROR(INDEX([1]Companies!$Y:$Y,MATCH(B1000,[1]Companies!$A:$A,0)),"")</f>
        <v>FinTech, Fleet Management, Marketplace, Rental, Small and Medium Businesses</v>
      </c>
      <c r="K1000" s="14" t="str">
        <f t="array" ref="K1000">IFERROR(INDEX([1]Companies!$X:$X,MATCH(B1000,[1]Companies!$A:$A,0)),"")</f>
        <v>Financial Services</v>
      </c>
      <c r="L1000" s="14" t="str">
        <f>VLOOKUP(B1000,[1]Companies!$A$1:$C$5243,1,FALSE)</f>
        <v>Flexclub</v>
      </c>
      <c r="M1000" s="15">
        <f t="shared" si="1300"/>
        <v>0.9</v>
      </c>
      <c r="N1000" s="10" t="str">
        <f t="shared" si="1301"/>
        <v>43543FlexClub1200000</v>
      </c>
      <c r="O1000" s="14" t="str">
        <f t="shared" si="1302"/>
        <v/>
      </c>
      <c r="P1000" s="14">
        <f t="shared" si="1303"/>
        <v>1</v>
      </c>
      <c r="Q1000" s="14">
        <f t="array" ref="Q1000">IFERROR(INDEX([1]Companies!$D:$D,MATCH(B1000,[1]Companies!$A:$A,0)),"")</f>
        <v>2018</v>
      </c>
      <c r="R1000" s="17">
        <f t="shared" si="1304"/>
        <v>1200000</v>
      </c>
      <c r="S1000" s="14">
        <f>VLOOKUP(I1000,[1]Lookups!$V$3:$Y$197,4,FALSE)</f>
        <v>0</v>
      </c>
      <c r="T1000" s="14" t="str">
        <f>VLOOKUP(E1000,[1]Lookups!$H$3:$I$71,2,FALSE)</f>
        <v>2. Seed</v>
      </c>
      <c r="U1000" s="14" t="str">
        <f>VLOOKUP(K1000,[1]Lookups!$B$3:$C$142,2,FALSE)</f>
        <v>Financial Services</v>
      </c>
      <c r="V1000" s="14">
        <f t="shared" si="1230"/>
        <v>2019</v>
      </c>
      <c r="W1000" s="14">
        <f t="shared" si="1231"/>
        <v>3</v>
      </c>
      <c r="X1000" s="14">
        <f>VLOOKUP(W1000,[1]Lookups!$P$3:$S$15,2,FALSE)</f>
        <v>1</v>
      </c>
      <c r="Y1000" s="16">
        <f>VLOOKUP(W1000,[1]Lookups!$P$3:$U$15,3,FALSE)</f>
        <v>1</v>
      </c>
      <c r="Z1000" s="16">
        <f t="shared" si="1232"/>
        <v>1</v>
      </c>
      <c r="AA1000" s="16" t="str">
        <f t="shared" ref="AA1000:AO1015" ca="1" si="1318">AS1000</f>
        <v>Algebra Ventures</v>
      </c>
      <c r="AB1000" s="16">
        <f t="shared" si="1318"/>
        <v>0</v>
      </c>
      <c r="AC1000" s="16">
        <f t="shared" si="1318"/>
        <v>0</v>
      </c>
      <c r="AD1000" s="16">
        <f t="shared" si="1318"/>
        <v>0</v>
      </c>
      <c r="AE1000" s="16">
        <f t="shared" si="1318"/>
        <v>0</v>
      </c>
      <c r="AF1000" s="16">
        <f t="shared" si="1318"/>
        <v>0</v>
      </c>
      <c r="AG1000" s="16">
        <f t="shared" si="1318"/>
        <v>0</v>
      </c>
      <c r="AH1000" s="16">
        <f t="shared" si="1318"/>
        <v>0</v>
      </c>
      <c r="AI1000" s="16">
        <f t="shared" si="1318"/>
        <v>0</v>
      </c>
      <c r="AJ1000" s="16">
        <f t="shared" si="1318"/>
        <v>0</v>
      </c>
      <c r="AK1000" s="16">
        <f t="shared" si="1318"/>
        <v>0</v>
      </c>
      <c r="AL1000" s="16">
        <f t="shared" si="1318"/>
        <v>0</v>
      </c>
      <c r="AM1000" s="16">
        <f t="shared" si="1318"/>
        <v>0</v>
      </c>
      <c r="AN1000" s="16">
        <f t="shared" si="1318"/>
        <v>0</v>
      </c>
      <c r="AO1000" s="16">
        <f t="shared" si="1318"/>
        <v>0</v>
      </c>
      <c r="AP1000" s="10"/>
      <c r="AQ1000" s="10"/>
      <c r="AR1000" s="10"/>
      <c r="AS1000" s="10" t="str">
        <f t="shared" ref="AS1000" ca="1" si="1319">IFERROR(__xludf.DUMMYFUNCTION("split(F968,"","",true,true)"),"Algebra Ventures")</f>
        <v>Algebra Ventures</v>
      </c>
      <c r="AT1000" s="10"/>
      <c r="AU1000" s="10"/>
      <c r="AV1000" s="10"/>
      <c r="AW1000" s="10"/>
      <c r="AX1000" s="10"/>
      <c r="AY1000" s="10"/>
      <c r="AZ1000" s="10"/>
      <c r="BA1000" s="10"/>
      <c r="BB1000" s="10"/>
      <c r="BC1000" s="10"/>
      <c r="BD1000" s="10"/>
      <c r="BE1000" s="10"/>
      <c r="BF1000" s="10"/>
      <c r="BG1000" s="10"/>
      <c r="BH1000" s="10"/>
      <c r="BI1000" s="10"/>
      <c r="BJ1000" s="10"/>
      <c r="BK1000" s="10"/>
      <c r="BM1000" s="10"/>
    </row>
    <row r="1001" spans="1:65" ht="12.75">
      <c r="A1001" s="18">
        <v>43544</v>
      </c>
      <c r="B1001" s="14" t="s">
        <v>464</v>
      </c>
      <c r="C1001" s="19">
        <v>20000000</v>
      </c>
      <c r="D1001" s="35"/>
      <c r="E1001" s="10" t="s">
        <v>91</v>
      </c>
      <c r="F1001" s="14" t="s">
        <v>2132</v>
      </c>
      <c r="G1001" s="21" t="s">
        <v>2133</v>
      </c>
      <c r="H1001" s="14" t="str">
        <f t="array" ref="H1001">IFERROR(INDEX([1]Companies!$G:$G,MATCH(B1001,[1]Companies!$A:$A,0)),"")</f>
        <v>Ghana</v>
      </c>
      <c r="I1001" s="14" t="str">
        <f t="shared" si="1299"/>
        <v>Ghana</v>
      </c>
      <c r="J1001" s="14" t="str">
        <f t="array" ref="J1001">IFERROR(INDEX([1]Companies!$Y:$Y,MATCH(B1001,[1]Companies!$A:$A,0)),"")</f>
        <v>Asset Financing, Pay As You Go Solar, and Solar Energy</v>
      </c>
      <c r="K1001" s="14" t="str">
        <f t="array" ref="K1001">IFERROR(INDEX([1]Companies!$X:$X,MATCH(B1001,[1]Companies!$A:$A,0)),"")</f>
        <v>Energy &amp; Environment Resources</v>
      </c>
      <c r="L1001" s="14" t="str">
        <f>VLOOKUP(B1001,[1]Companies!$A$1:$C$5243,1,FALSE)</f>
        <v>PEG Africa</v>
      </c>
      <c r="M1001" s="15">
        <f t="shared" si="1300"/>
        <v>0.9</v>
      </c>
      <c r="N1001" s="10" t="str">
        <f t="shared" si="1301"/>
        <v>43544PEG Africa20000000</v>
      </c>
      <c r="O1001" s="14" t="str">
        <f t="shared" si="1302"/>
        <v/>
      </c>
      <c r="P1001" s="14">
        <f t="shared" si="1303"/>
        <v>1</v>
      </c>
      <c r="Q1001" s="14">
        <f t="array" ref="Q1001">IFERROR(INDEX([1]Companies!$D:$D,MATCH(B1001,[1]Companies!$A:$A,0)),"")</f>
        <v>2013</v>
      </c>
      <c r="R1001" s="17">
        <f t="shared" si="1304"/>
        <v>52500000</v>
      </c>
      <c r="S1001" s="14">
        <f>VLOOKUP(I1001,[1]Lookups!$V$3:$Y$197,4,FALSE)</f>
        <v>0</v>
      </c>
      <c r="T1001" s="14" t="str">
        <f>VLOOKUP(E1001,[1]Lookups!$H$3:$I$71,2,FALSE)</f>
        <v>5. Debt Financing</v>
      </c>
      <c r="U1001" s="14" t="e">
        <f>VLOOKUP(K1001,[1]Lookups!$B$3:$C$142,2,FALSE)</f>
        <v>#N/A</v>
      </c>
      <c r="V1001" s="14">
        <f t="shared" si="1230"/>
        <v>2019</v>
      </c>
      <c r="W1001" s="14">
        <f t="shared" si="1231"/>
        <v>3</v>
      </c>
      <c r="X1001" s="14">
        <f>VLOOKUP(W1001,[1]Lookups!$P$3:$S$15,2,FALSE)</f>
        <v>1</v>
      </c>
      <c r="Y1001" s="16">
        <f>VLOOKUP(W1001,[1]Lookups!$P$3:$U$15,3,FALSE)</f>
        <v>1</v>
      </c>
      <c r="Z1001" s="16">
        <f t="shared" si="1232"/>
        <v>3</v>
      </c>
      <c r="AA1001" s="16" t="str">
        <f t="shared" ca="1" si="1318"/>
        <v>Algebra Ventures</v>
      </c>
      <c r="AB1001" s="16" t="str">
        <f t="shared" ca="1" si="1318"/>
        <v xml:space="preserve"> ResponsAbility</v>
      </c>
      <c r="AC1001" s="16" t="str">
        <f t="shared" ca="1" si="1318"/>
        <v xml:space="preserve"> SunFunder</v>
      </c>
      <c r="AD1001" s="16">
        <f t="shared" si="1318"/>
        <v>0</v>
      </c>
      <c r="AE1001" s="16">
        <f t="shared" si="1318"/>
        <v>0</v>
      </c>
      <c r="AF1001" s="16">
        <f t="shared" si="1318"/>
        <v>0</v>
      </c>
      <c r="AG1001" s="16">
        <f t="shared" si="1318"/>
        <v>0</v>
      </c>
      <c r="AH1001" s="16">
        <f t="shared" si="1318"/>
        <v>0</v>
      </c>
      <c r="AI1001" s="16">
        <f t="shared" si="1318"/>
        <v>0</v>
      </c>
      <c r="AJ1001" s="16">
        <f t="shared" si="1318"/>
        <v>0</v>
      </c>
      <c r="AK1001" s="16">
        <f t="shared" si="1318"/>
        <v>0</v>
      </c>
      <c r="AL1001" s="16">
        <f t="shared" si="1318"/>
        <v>0</v>
      </c>
      <c r="AM1001" s="16">
        <f t="shared" si="1318"/>
        <v>0</v>
      </c>
      <c r="AN1001" s="16">
        <f t="shared" si="1318"/>
        <v>0</v>
      </c>
      <c r="AO1001" s="16">
        <f t="shared" si="1318"/>
        <v>0</v>
      </c>
      <c r="AP1001" s="10"/>
      <c r="AQ1001" s="10"/>
      <c r="AR1001" s="10"/>
      <c r="AS1001" s="10" t="str">
        <f t="shared" ref="AS1001" ca="1" si="1320">IFERROR(__xludf.DUMMYFUNCTION("split(F968,"","",true,true)"),"Algebra Ventures")</f>
        <v>Algebra Ventures</v>
      </c>
      <c r="AT1001" s="10" t="str">
        <f ca="1">IFERROR(__xludf.DUMMYFUNCTION("""COMPUTED_VALUE""")," ResponsAbility")</f>
        <v xml:space="preserve"> ResponsAbility</v>
      </c>
      <c r="AU1001" s="10" t="str">
        <f ca="1">IFERROR(__xludf.DUMMYFUNCTION("""COMPUTED_VALUE""")," SunFunder")</f>
        <v xml:space="preserve"> SunFunder</v>
      </c>
      <c r="AV1001" s="10"/>
      <c r="AW1001" s="10"/>
      <c r="AX1001" s="10"/>
      <c r="AY1001" s="10"/>
      <c r="AZ1001" s="10"/>
      <c r="BA1001" s="10"/>
      <c r="BB1001" s="10"/>
      <c r="BC1001" s="10"/>
      <c r="BD1001" s="10"/>
      <c r="BE1001" s="10"/>
      <c r="BF1001" s="10"/>
      <c r="BG1001" s="10"/>
      <c r="BH1001" s="10"/>
      <c r="BI1001" s="10"/>
      <c r="BJ1001" s="10"/>
      <c r="BK1001" s="10"/>
      <c r="BM1001" s="10"/>
    </row>
    <row r="1002" spans="1:65" ht="12.75">
      <c r="A1002" s="9">
        <v>43544</v>
      </c>
      <c r="B1002" s="14" t="s">
        <v>464</v>
      </c>
      <c r="C1002" s="11">
        <v>5000000</v>
      </c>
      <c r="D1002" s="12"/>
      <c r="E1002" s="10" t="s">
        <v>84</v>
      </c>
      <c r="F1002" s="10" t="s">
        <v>2134</v>
      </c>
      <c r="G1002" s="21" t="s">
        <v>2133</v>
      </c>
      <c r="H1002" s="14" t="str">
        <f t="array" ref="H1002">IFERROR(INDEX([1]Companies!$G:$G,MATCH(B1002,[1]Companies!$A:$A,0)),"")</f>
        <v>Ghana</v>
      </c>
      <c r="I1002" s="14" t="str">
        <f t="shared" si="1299"/>
        <v>Ghana</v>
      </c>
      <c r="J1002" s="14" t="str">
        <f t="array" ref="J1002">IFERROR(INDEX([1]Companies!$Y:$Y,MATCH(B1002,[1]Companies!$A:$A,0)),"")</f>
        <v>Asset Financing, Pay As You Go Solar, and Solar Energy</v>
      </c>
      <c r="K1002" s="14" t="str">
        <f t="array" ref="K1002">IFERROR(INDEX([1]Companies!$X:$X,MATCH(B1002,[1]Companies!$A:$A,0)),"")</f>
        <v>Energy &amp; Environment Resources</v>
      </c>
      <c r="L1002" s="14" t="str">
        <f>VLOOKUP(B1002,[1]Companies!$A$1:$C$5243,1,FALSE)</f>
        <v>PEG Africa</v>
      </c>
      <c r="M1002" s="15">
        <f t="shared" si="1300"/>
        <v>0.9</v>
      </c>
      <c r="N1002" s="10" t="str">
        <f t="shared" si="1301"/>
        <v>43544PEG Africa5000000</v>
      </c>
      <c r="O1002" s="14" t="str">
        <f t="shared" si="1302"/>
        <v/>
      </c>
      <c r="P1002" s="14">
        <f t="shared" si="1303"/>
        <v>1</v>
      </c>
      <c r="Q1002" s="14">
        <f t="array" ref="Q1002">IFERROR(INDEX([1]Companies!$D:$D,MATCH(B1002,[1]Companies!$A:$A,0)),"")</f>
        <v>2013</v>
      </c>
      <c r="R1002" s="17">
        <f t="shared" si="1304"/>
        <v>52500000</v>
      </c>
      <c r="S1002" s="14">
        <f>VLOOKUP(I1002,[1]Lookups!$V$3:$Y$197,4,FALSE)</f>
        <v>0</v>
      </c>
      <c r="T1002" s="14" t="str">
        <f>VLOOKUP(E1002,[1]Lookups!$H$3:$I$71,2,FALSE)</f>
        <v>4. Late Venture</v>
      </c>
      <c r="U1002" s="14" t="e">
        <f>VLOOKUP(K1002,[1]Lookups!$B$3:$C$142,2,FALSE)</f>
        <v>#N/A</v>
      </c>
      <c r="V1002" s="14">
        <f t="shared" si="1230"/>
        <v>2019</v>
      </c>
      <c r="W1002" s="14">
        <f t="shared" si="1231"/>
        <v>3</v>
      </c>
      <c r="X1002" s="14">
        <f>VLOOKUP(W1002,[1]Lookups!$P$3:$S$15,2,FALSE)</f>
        <v>1</v>
      </c>
      <c r="Y1002" s="16">
        <f>VLOOKUP(W1002,[1]Lookups!$P$3:$U$15,3,FALSE)</f>
        <v>1</v>
      </c>
      <c r="Z1002" s="16">
        <f t="shared" si="1232"/>
        <v>6</v>
      </c>
      <c r="AA1002" s="16" t="str">
        <f t="shared" ca="1" si="1318"/>
        <v>Algebra Ventures</v>
      </c>
      <c r="AB1002" s="16" t="str">
        <f t="shared" ca="1" si="1318"/>
        <v xml:space="preserve"> Blue Haven Initiative</v>
      </c>
      <c r="AC1002" s="16" t="str">
        <f t="shared" ca="1" si="1318"/>
        <v xml:space="preserve"> I&amp;P Afrique Entrepreneurs</v>
      </c>
      <c r="AD1002" s="16" t="str">
        <f t="shared" ca="1" si="1318"/>
        <v xml:space="preserve"> Acumen Fund</v>
      </c>
      <c r="AE1002" s="16" t="str">
        <f t="shared" ca="1" si="1318"/>
        <v xml:space="preserve"> Total Energy Ventures</v>
      </c>
      <c r="AF1002" s="16" t="str">
        <f t="shared" ca="1" si="1318"/>
        <v xml:space="preserve"> the Renewable Energy Performance Platform (REPP)</v>
      </c>
      <c r="AG1002" s="16">
        <f t="shared" si="1318"/>
        <v>0</v>
      </c>
      <c r="AH1002" s="16">
        <f t="shared" si="1318"/>
        <v>0</v>
      </c>
      <c r="AI1002" s="16">
        <f t="shared" si="1318"/>
        <v>0</v>
      </c>
      <c r="AJ1002" s="16">
        <f t="shared" si="1318"/>
        <v>0</v>
      </c>
      <c r="AK1002" s="16">
        <f t="shared" si="1318"/>
        <v>0</v>
      </c>
      <c r="AL1002" s="16">
        <f t="shared" si="1318"/>
        <v>0</v>
      </c>
      <c r="AM1002" s="16">
        <f t="shared" si="1318"/>
        <v>0</v>
      </c>
      <c r="AN1002" s="16">
        <f t="shared" si="1318"/>
        <v>0</v>
      </c>
      <c r="AO1002" s="16">
        <f t="shared" si="1318"/>
        <v>0</v>
      </c>
      <c r="AP1002" s="10"/>
      <c r="AQ1002" s="10"/>
      <c r="AR1002" s="10"/>
      <c r="AS1002" s="10" t="str">
        <f t="shared" ref="AS1002" ca="1" si="1321">IFERROR(__xludf.DUMMYFUNCTION("split(F968,"","",true,true)"),"Algebra Ventures")</f>
        <v>Algebra Ventures</v>
      </c>
      <c r="AT1002" s="10" t="str">
        <f ca="1">IFERROR(__xludf.DUMMYFUNCTION("""COMPUTED_VALUE""")," Blue Haven Initiative")</f>
        <v xml:space="preserve"> Blue Haven Initiative</v>
      </c>
      <c r="AU1002" s="10" t="str">
        <f ca="1">IFERROR(__xludf.DUMMYFUNCTION("""COMPUTED_VALUE""")," I&amp;P Afrique Entrepreneurs")</f>
        <v xml:space="preserve"> I&amp;P Afrique Entrepreneurs</v>
      </c>
      <c r="AV1002" s="10" t="str">
        <f ca="1">IFERROR(__xludf.DUMMYFUNCTION("""COMPUTED_VALUE""")," Acumen Fund")</f>
        <v xml:space="preserve"> Acumen Fund</v>
      </c>
      <c r="AW1002" s="10" t="str">
        <f ca="1">IFERROR(__xludf.DUMMYFUNCTION("""COMPUTED_VALUE""")," Total Energy Ventures")</f>
        <v xml:space="preserve"> Total Energy Ventures</v>
      </c>
      <c r="AX1002" s="10" t="str">
        <f ca="1">IFERROR(__xludf.DUMMYFUNCTION("""COMPUTED_VALUE""")," the Renewable Energy Performance Platform (REPP)")</f>
        <v xml:space="preserve"> the Renewable Energy Performance Platform (REPP)</v>
      </c>
      <c r="AY1002" s="10"/>
      <c r="AZ1002" s="10"/>
      <c r="BA1002" s="10"/>
      <c r="BB1002" s="10"/>
      <c r="BC1002" s="10"/>
      <c r="BD1002" s="10"/>
      <c r="BE1002" s="10"/>
      <c r="BF1002" s="10"/>
      <c r="BG1002" s="10"/>
      <c r="BH1002" s="10"/>
      <c r="BI1002" s="10"/>
      <c r="BJ1002" s="10"/>
      <c r="BK1002" s="10"/>
      <c r="BM1002" s="10"/>
    </row>
    <row r="1003" spans="1:65" ht="12.75">
      <c r="A1003" s="9">
        <v>43544</v>
      </c>
      <c r="B1003" s="10" t="s">
        <v>2135</v>
      </c>
      <c r="C1003" s="11">
        <v>150000</v>
      </c>
      <c r="D1003" s="12"/>
      <c r="E1003" s="10" t="s">
        <v>45</v>
      </c>
      <c r="F1003" s="10" t="s">
        <v>305</v>
      </c>
      <c r="G1003" s="13" t="s">
        <v>2136</v>
      </c>
      <c r="H1003" s="14" t="str">
        <f t="array" ref="H1003">IFERROR(INDEX([1]Companies!$G:$G,MATCH(B1003,[1]Companies!$A:$A,0)),"")</f>
        <v>Nigeria</v>
      </c>
      <c r="I1003" s="14" t="str">
        <f t="shared" si="1299"/>
        <v>Nigeria</v>
      </c>
      <c r="J1003" s="14" t="str">
        <f t="array" ref="J1003">IFERROR(INDEX([1]Companies!$Y:$Y,MATCH(B1003,[1]Companies!$A:$A,0)),"")</f>
        <v>HealthCare</v>
      </c>
      <c r="K1003" s="14" t="str">
        <f t="array" ref="K1003">IFERROR(INDEX([1]Companies!$X:$X,MATCH(B1003,[1]Companies!$A:$A,0)),"")</f>
        <v>Healthcare &amp; Pharma</v>
      </c>
      <c r="L1003" s="14" t="str">
        <f>VLOOKUP(B1003,[1]Companies!$A$1:$C$5243,1,FALSE)</f>
        <v>54gene</v>
      </c>
      <c r="M1003" s="15">
        <f t="shared" si="1300"/>
        <v>0.9</v>
      </c>
      <c r="N1003" s="10" t="str">
        <f t="shared" si="1301"/>
        <v>4354454gene150000</v>
      </c>
      <c r="O1003" s="14" t="str">
        <f t="shared" si="1302"/>
        <v/>
      </c>
      <c r="P1003" s="14">
        <f t="shared" si="1303"/>
        <v>1</v>
      </c>
      <c r="Q1003" s="14">
        <f t="array" ref="Q1003">IFERROR(INDEX([1]Companies!$D:$D,MATCH(B1003,[1]Companies!$A:$A,0)),"")</f>
        <v>2019</v>
      </c>
      <c r="R1003" s="17">
        <f t="shared" si="1304"/>
        <v>4650000</v>
      </c>
      <c r="S1003" s="14">
        <f>VLOOKUP(I1003,[1]Lookups!$V$3:$Y$197,4,FALSE)</f>
        <v>0</v>
      </c>
      <c r="T1003" s="14" t="str">
        <f>VLOOKUP(E1003,[1]Lookups!$H$3:$I$71,2,FALSE)</f>
        <v>2. Seed</v>
      </c>
      <c r="U1003" s="14" t="str">
        <f>VLOOKUP(K1003,[1]Lookups!$B$3:$C$142,2,FALSE)</f>
        <v>Health &amp; Pharmaceuticals</v>
      </c>
      <c r="V1003" s="14">
        <f t="shared" si="1230"/>
        <v>2019</v>
      </c>
      <c r="W1003" s="14">
        <f t="shared" si="1231"/>
        <v>3</v>
      </c>
      <c r="X1003" s="14">
        <f>VLOOKUP(W1003,[1]Lookups!$P$3:$S$15,2,FALSE)</f>
        <v>1</v>
      </c>
      <c r="Y1003" s="16">
        <f>VLOOKUP(W1003,[1]Lookups!$P$3:$U$15,3,FALSE)</f>
        <v>1</v>
      </c>
      <c r="Z1003" s="16">
        <f t="shared" si="1232"/>
        <v>1</v>
      </c>
      <c r="AA1003" s="16" t="str">
        <f t="shared" ca="1" si="1318"/>
        <v>Algebra Ventures</v>
      </c>
      <c r="AB1003" s="16">
        <f t="shared" si="1318"/>
        <v>0</v>
      </c>
      <c r="AC1003" s="16">
        <f t="shared" si="1318"/>
        <v>0</v>
      </c>
      <c r="AD1003" s="16">
        <f t="shared" si="1318"/>
        <v>0</v>
      </c>
      <c r="AE1003" s="16">
        <f t="shared" si="1318"/>
        <v>0</v>
      </c>
      <c r="AF1003" s="16">
        <f t="shared" si="1318"/>
        <v>0</v>
      </c>
      <c r="AG1003" s="16">
        <f t="shared" si="1318"/>
        <v>0</v>
      </c>
      <c r="AH1003" s="16">
        <f t="shared" si="1318"/>
        <v>0</v>
      </c>
      <c r="AI1003" s="16">
        <f t="shared" si="1318"/>
        <v>0</v>
      </c>
      <c r="AJ1003" s="16">
        <f t="shared" si="1318"/>
        <v>0</v>
      </c>
      <c r="AK1003" s="16">
        <f t="shared" si="1318"/>
        <v>0</v>
      </c>
      <c r="AL1003" s="16">
        <f t="shared" si="1318"/>
        <v>0</v>
      </c>
      <c r="AM1003" s="16">
        <f t="shared" si="1318"/>
        <v>0</v>
      </c>
      <c r="AN1003" s="16">
        <f t="shared" si="1318"/>
        <v>0</v>
      </c>
      <c r="AO1003" s="16">
        <f t="shared" si="1318"/>
        <v>0</v>
      </c>
      <c r="AP1003" s="10"/>
      <c r="AQ1003" s="10"/>
      <c r="AR1003" s="10"/>
      <c r="AS1003" s="10" t="str">
        <f t="shared" ref="AS1003" ca="1" si="1322">IFERROR(__xludf.DUMMYFUNCTION("split(F968,"","",true,true)"),"Algebra Ventures")</f>
        <v>Algebra Ventures</v>
      </c>
      <c r="AT1003" s="10"/>
      <c r="AU1003" s="10"/>
      <c r="AV1003" s="10"/>
      <c r="AW1003" s="10"/>
      <c r="AX1003" s="10"/>
      <c r="AY1003" s="10"/>
      <c r="AZ1003" s="10"/>
      <c r="BA1003" s="10"/>
      <c r="BB1003" s="10"/>
      <c r="BC1003" s="10"/>
      <c r="BD1003" s="10"/>
      <c r="BE1003" s="10"/>
      <c r="BF1003" s="10"/>
      <c r="BG1003" s="10"/>
      <c r="BH1003" s="10"/>
      <c r="BI1003" s="10"/>
      <c r="BJ1003" s="10"/>
      <c r="BK1003" s="10"/>
      <c r="BM1003" s="10"/>
    </row>
    <row r="1004" spans="1:65" ht="12.75">
      <c r="A1004" s="18">
        <v>43545</v>
      </c>
      <c r="B1004" s="14" t="s">
        <v>2137</v>
      </c>
      <c r="C1004" s="19" t="s">
        <v>49</v>
      </c>
      <c r="D1004" s="22"/>
      <c r="E1004" s="14" t="s">
        <v>45</v>
      </c>
      <c r="F1004" s="14" t="s">
        <v>1281</v>
      </c>
      <c r="G1004" s="21" t="s">
        <v>2138</v>
      </c>
      <c r="H1004" s="14" t="str">
        <f t="array" ref="H1004">IFERROR(INDEX([1]Companies!$G:$G,MATCH(B1004,[1]Companies!$A:$A,0)),"")</f>
        <v>Nigeria</v>
      </c>
      <c r="I1004" s="14" t="str">
        <f t="shared" si="1299"/>
        <v>Nigeria</v>
      </c>
      <c r="J1004" s="14" t="str">
        <f t="array" ref="J1004">IFERROR(INDEX([1]Companies!$Y:$Y,MATCH(B1004,[1]Companies!$A:$A,0)),"")</f>
        <v>E-Commerce Platforms, Shipping, Software</v>
      </c>
      <c r="K1004" s="14" t="str">
        <f t="array" ref="K1004">IFERROR(INDEX([1]Companies!$X:$X,MATCH(B1004,[1]Companies!$A:$A,0)),"")</f>
        <v>E-Commerce &amp; Retail</v>
      </c>
      <c r="L1004" s="14" t="str">
        <f>VLOOKUP(B1004,[1]Companies!$A$1:$C$5243,1,FALSE)</f>
        <v>Sendbox</v>
      </c>
      <c r="M1004" s="15">
        <f t="shared" si="1300"/>
        <v>0.9</v>
      </c>
      <c r="N1004" s="10" t="str">
        <f t="shared" si="1301"/>
        <v>43545SendboxUndisclosed</v>
      </c>
      <c r="O1004" s="14" t="str">
        <f t="shared" si="1302"/>
        <v/>
      </c>
      <c r="P1004" s="14">
        <f t="shared" si="1303"/>
        <v>0</v>
      </c>
      <c r="Q1004" s="14">
        <f t="array" ref="Q1004">IFERROR(INDEX([1]Companies!$D:$D,MATCH(B1004,[1]Companies!$A:$A,0)),"")</f>
        <v>2016</v>
      </c>
      <c r="R1004" s="17">
        <f t="shared" si="1304"/>
        <v>0</v>
      </c>
      <c r="S1004" s="14">
        <f>VLOOKUP(I1004,[1]Lookups!$V$3:$Y$197,4,FALSE)</f>
        <v>0</v>
      </c>
      <c r="T1004" s="14" t="str">
        <f>VLOOKUP(E1004,[1]Lookups!$H$3:$I$71,2,FALSE)</f>
        <v>2. Seed</v>
      </c>
      <c r="U1004" s="14" t="str">
        <f>VLOOKUP(K1004,[1]Lookups!$B$3:$C$142,2,FALSE)</f>
        <v>E-commerce &amp; Retail</v>
      </c>
      <c r="V1004" s="14">
        <f t="shared" si="1230"/>
        <v>2019</v>
      </c>
      <c r="W1004" s="14">
        <f t="shared" si="1231"/>
        <v>3</v>
      </c>
      <c r="X1004" s="14">
        <f>VLOOKUP(W1004,[1]Lookups!$P$3:$S$15,2,FALSE)</f>
        <v>1</v>
      </c>
      <c r="Y1004" s="16">
        <f>VLOOKUP(W1004,[1]Lookups!$P$3:$U$15,3,FALSE)</f>
        <v>1</v>
      </c>
      <c r="Z1004" s="16">
        <f t="shared" si="1232"/>
        <v>1</v>
      </c>
      <c r="AA1004" s="16" t="str">
        <f t="shared" ca="1" si="1318"/>
        <v>Algebra Ventures</v>
      </c>
      <c r="AB1004" s="16">
        <f t="shared" si="1318"/>
        <v>0</v>
      </c>
      <c r="AC1004" s="16">
        <f t="shared" si="1318"/>
        <v>0</v>
      </c>
      <c r="AD1004" s="16">
        <f t="shared" si="1318"/>
        <v>0</v>
      </c>
      <c r="AE1004" s="16">
        <f t="shared" si="1318"/>
        <v>0</v>
      </c>
      <c r="AF1004" s="16">
        <f t="shared" si="1318"/>
        <v>0</v>
      </c>
      <c r="AG1004" s="16">
        <f t="shared" si="1318"/>
        <v>0</v>
      </c>
      <c r="AH1004" s="16">
        <f t="shared" si="1318"/>
        <v>0</v>
      </c>
      <c r="AI1004" s="16">
        <f t="shared" si="1318"/>
        <v>0</v>
      </c>
      <c r="AJ1004" s="16">
        <f t="shared" si="1318"/>
        <v>0</v>
      </c>
      <c r="AK1004" s="16">
        <f t="shared" si="1318"/>
        <v>0</v>
      </c>
      <c r="AL1004" s="16">
        <f t="shared" si="1318"/>
        <v>0</v>
      </c>
      <c r="AM1004" s="16">
        <f t="shared" si="1318"/>
        <v>0</v>
      </c>
      <c r="AN1004" s="16">
        <f t="shared" si="1318"/>
        <v>0</v>
      </c>
      <c r="AO1004" s="16">
        <f t="shared" si="1318"/>
        <v>0</v>
      </c>
      <c r="AP1004" s="10"/>
      <c r="AQ1004" s="10"/>
      <c r="AR1004" s="10"/>
      <c r="AS1004" s="10" t="str">
        <f t="shared" ref="AS1004" ca="1" si="1323">IFERROR(__xludf.DUMMYFUNCTION("split(F968,"","",true,true)"),"Algebra Ventures")</f>
        <v>Algebra Ventures</v>
      </c>
      <c r="AT1004" s="10"/>
      <c r="AU1004" s="10"/>
      <c r="AV1004" s="10"/>
      <c r="AW1004" s="10"/>
      <c r="AX1004" s="10"/>
      <c r="AY1004" s="10"/>
      <c r="AZ1004" s="10"/>
      <c r="BA1004" s="10"/>
      <c r="BB1004" s="10"/>
      <c r="BC1004" s="10"/>
      <c r="BD1004" s="10"/>
      <c r="BE1004" s="10"/>
      <c r="BF1004" s="10"/>
      <c r="BG1004" s="10"/>
      <c r="BH1004" s="10"/>
      <c r="BI1004" s="10"/>
      <c r="BJ1004" s="10"/>
      <c r="BK1004" s="10"/>
      <c r="BM1004" s="10"/>
    </row>
    <row r="1005" spans="1:65" ht="12.75">
      <c r="A1005" s="18">
        <v>43545</v>
      </c>
      <c r="B1005" s="14" t="s">
        <v>601</v>
      </c>
      <c r="C1005" s="19">
        <v>16000000</v>
      </c>
      <c r="D1005" s="19"/>
      <c r="E1005" s="10" t="s">
        <v>91</v>
      </c>
      <c r="F1005" s="14" t="s">
        <v>49</v>
      </c>
      <c r="G1005" s="21" t="s">
        <v>2139</v>
      </c>
      <c r="H1005" s="14" t="str">
        <f t="array" ref="H1005">IFERROR(INDEX([1]Companies!$G:$G,MATCH(B1005,[1]Companies!$A:$A,0)),"")</f>
        <v>Mauritius</v>
      </c>
      <c r="I1005" s="14" t="str">
        <f t="shared" si="1299"/>
        <v>Mauritius</v>
      </c>
      <c r="J1005" s="14" t="str">
        <f t="array" ref="J1005">IFERROR(INDEX([1]Companies!$Y:$Y,MATCH(B1005,[1]Companies!$A:$A,0)),"")</f>
        <v>Electronics, Solar</v>
      </c>
      <c r="K1005" s="14" t="str">
        <f t="array" ref="K1005">IFERROR(INDEX([1]Companies!$X:$X,MATCH(B1005,[1]Companies!$A:$A,0)),"")</f>
        <v>Renewables &amp; Environment</v>
      </c>
      <c r="L1005" s="14" t="str">
        <f>VLOOKUP(B1005,[1]Companies!$A$1:$C$5243,1,FALSE)</f>
        <v>Daystar Power Africa</v>
      </c>
      <c r="M1005" s="15">
        <f t="shared" si="1300"/>
        <v>0.9</v>
      </c>
      <c r="N1005" s="10" t="str">
        <f t="shared" si="1301"/>
        <v>43545Daystar Power Africa16000000</v>
      </c>
      <c r="O1005" s="14" t="str">
        <f t="shared" si="1302"/>
        <v/>
      </c>
      <c r="P1005" s="14">
        <f t="shared" si="1303"/>
        <v>1</v>
      </c>
      <c r="Q1005" s="14">
        <f t="array" ref="Q1005">IFERROR(INDEX([1]Companies!$D:$D,MATCH(B1005,[1]Companies!$A:$A,0)),"")</f>
        <v>2017</v>
      </c>
      <c r="R1005" s="17">
        <f t="shared" si="1304"/>
        <v>26560000</v>
      </c>
      <c r="S1005" s="14">
        <f>VLOOKUP(I1005,[1]Lookups!$V$3:$Y$197,4,FALSE)</f>
        <v>0</v>
      </c>
      <c r="T1005" s="14" t="str">
        <f>VLOOKUP(E1005,[1]Lookups!$H$3:$I$71,2,FALSE)</f>
        <v>5. Debt Financing</v>
      </c>
      <c r="U1005" s="14" t="str">
        <f>VLOOKUP(K1005,[1]Lookups!$B$3:$C$142,2,FALSE)</f>
        <v>Energy &amp; Resources</v>
      </c>
      <c r="V1005" s="14">
        <f t="shared" si="1230"/>
        <v>2019</v>
      </c>
      <c r="W1005" s="14">
        <f t="shared" si="1231"/>
        <v>3</v>
      </c>
      <c r="X1005" s="14">
        <f>VLOOKUP(W1005,[1]Lookups!$P$3:$S$15,2,FALSE)</f>
        <v>1</v>
      </c>
      <c r="Y1005" s="16">
        <f>VLOOKUP(W1005,[1]Lookups!$P$3:$U$15,3,FALSE)</f>
        <v>1</v>
      </c>
      <c r="Z1005" s="16">
        <f t="shared" si="1232"/>
        <v>1</v>
      </c>
      <c r="AA1005" s="16" t="str">
        <f t="shared" ca="1" si="1318"/>
        <v>Algebra Ventures</v>
      </c>
      <c r="AB1005" s="16">
        <f t="shared" si="1318"/>
        <v>0</v>
      </c>
      <c r="AC1005" s="16">
        <f t="shared" si="1318"/>
        <v>0</v>
      </c>
      <c r="AD1005" s="16">
        <f t="shared" si="1318"/>
        <v>0</v>
      </c>
      <c r="AE1005" s="16">
        <f t="shared" si="1318"/>
        <v>0</v>
      </c>
      <c r="AF1005" s="16">
        <f t="shared" si="1318"/>
        <v>0</v>
      </c>
      <c r="AG1005" s="16">
        <f t="shared" si="1318"/>
        <v>0</v>
      </c>
      <c r="AH1005" s="16">
        <f t="shared" si="1318"/>
        <v>0</v>
      </c>
      <c r="AI1005" s="16">
        <f t="shared" si="1318"/>
        <v>0</v>
      </c>
      <c r="AJ1005" s="16">
        <f t="shared" si="1318"/>
        <v>0</v>
      </c>
      <c r="AK1005" s="16">
        <f t="shared" si="1318"/>
        <v>0</v>
      </c>
      <c r="AL1005" s="16">
        <f t="shared" si="1318"/>
        <v>0</v>
      </c>
      <c r="AM1005" s="16">
        <f t="shared" si="1318"/>
        <v>0</v>
      </c>
      <c r="AN1005" s="16">
        <f t="shared" si="1318"/>
        <v>0</v>
      </c>
      <c r="AO1005" s="16">
        <f t="shared" si="1318"/>
        <v>0</v>
      </c>
      <c r="AP1005" s="10"/>
      <c r="AQ1005" s="10"/>
      <c r="AR1005" s="10"/>
      <c r="AS1005" s="10" t="str">
        <f t="shared" ref="AS1005" ca="1" si="1324">IFERROR(__xludf.DUMMYFUNCTION("split(F968,"","",true,true)"),"Algebra Ventures")</f>
        <v>Algebra Ventures</v>
      </c>
      <c r="AT1005" s="25"/>
      <c r="AU1005" s="25"/>
      <c r="AV1005" s="25"/>
      <c r="AW1005" s="25"/>
      <c r="AX1005" s="25"/>
      <c r="AY1005" s="25"/>
      <c r="AZ1005" s="25"/>
      <c r="BA1005" s="25"/>
      <c r="BB1005" s="25"/>
      <c r="BC1005" s="25"/>
      <c r="BD1005" s="25"/>
      <c r="BE1005" s="25"/>
      <c r="BF1005" s="25"/>
      <c r="BG1005" s="25"/>
      <c r="BH1005" s="25"/>
      <c r="BI1005" s="25"/>
      <c r="BJ1005" s="25"/>
      <c r="BK1005" s="25"/>
      <c r="BM1005" s="25"/>
    </row>
    <row r="1006" spans="1:65" ht="12.75">
      <c r="A1006" s="18">
        <v>43545</v>
      </c>
      <c r="B1006" s="14" t="s">
        <v>601</v>
      </c>
      <c r="C1006" s="19">
        <v>10000000</v>
      </c>
      <c r="D1006" s="19"/>
      <c r="E1006" s="14" t="s">
        <v>69</v>
      </c>
      <c r="F1006" s="14" t="s">
        <v>2140</v>
      </c>
      <c r="G1006" s="21" t="s">
        <v>2141</v>
      </c>
      <c r="H1006" s="14" t="str">
        <f t="array" ref="H1006">IFERROR(INDEX([1]Companies!$G:$G,MATCH(B1006,[1]Companies!$A:$A,0)),"")</f>
        <v>Mauritius</v>
      </c>
      <c r="I1006" s="14" t="str">
        <f t="shared" si="1299"/>
        <v>Mauritius</v>
      </c>
      <c r="J1006" s="14" t="str">
        <f t="array" ref="J1006">IFERROR(INDEX([1]Companies!$Y:$Y,MATCH(B1006,[1]Companies!$A:$A,0)),"")</f>
        <v>Electronics, Solar</v>
      </c>
      <c r="K1006" s="14" t="str">
        <f t="array" ref="K1006">IFERROR(INDEX([1]Companies!$X:$X,MATCH(B1006,[1]Companies!$A:$A,0)),"")</f>
        <v>Renewables &amp; Environment</v>
      </c>
      <c r="L1006" s="14" t="str">
        <f>VLOOKUP(B1006,[1]Companies!$A$1:$C$5243,1,FALSE)</f>
        <v>Daystar Power Africa</v>
      </c>
      <c r="M1006" s="15">
        <f t="shared" si="1300"/>
        <v>0.9</v>
      </c>
      <c r="N1006" s="10" t="str">
        <f t="shared" si="1301"/>
        <v>43545Daystar Power Africa10000000</v>
      </c>
      <c r="O1006" s="14" t="str">
        <f t="shared" si="1302"/>
        <v/>
      </c>
      <c r="P1006" s="14">
        <f t="shared" si="1303"/>
        <v>1</v>
      </c>
      <c r="Q1006" s="14">
        <f t="array" ref="Q1006">IFERROR(INDEX([1]Companies!$D:$D,MATCH(B1006,[1]Companies!$A:$A,0)),"")</f>
        <v>2017</v>
      </c>
      <c r="R1006" s="17">
        <f t="shared" si="1304"/>
        <v>26560000</v>
      </c>
      <c r="S1006" s="14">
        <f>VLOOKUP(I1006,[1]Lookups!$V$3:$Y$197,4,FALSE)</f>
        <v>0</v>
      </c>
      <c r="T1006" s="14" t="str">
        <f>VLOOKUP(E1006,[1]Lookups!$H$3:$I$71,2,FALSE)</f>
        <v>3. Early Venture</v>
      </c>
      <c r="U1006" s="14" t="str">
        <f>VLOOKUP(K1006,[1]Lookups!$B$3:$C$142,2,FALSE)</f>
        <v>Energy &amp; Resources</v>
      </c>
      <c r="V1006" s="14">
        <f t="shared" si="1230"/>
        <v>2019</v>
      </c>
      <c r="W1006" s="14">
        <f t="shared" si="1231"/>
        <v>3</v>
      </c>
      <c r="X1006" s="14">
        <f>VLOOKUP(W1006,[1]Lookups!$P$3:$S$15,2,FALSE)</f>
        <v>1</v>
      </c>
      <c r="Y1006" s="16">
        <f>VLOOKUP(W1006,[1]Lookups!$P$3:$U$15,3,FALSE)</f>
        <v>1</v>
      </c>
      <c r="Z1006" s="16">
        <f t="shared" si="1232"/>
        <v>2</v>
      </c>
      <c r="AA1006" s="16" t="str">
        <f t="shared" ca="1" si="1318"/>
        <v>Algebra Ventures</v>
      </c>
      <c r="AB1006" s="16" t="str">
        <f t="shared" ca="1" si="1318"/>
        <v xml:space="preserve"> Verod Capital Management</v>
      </c>
      <c r="AC1006" s="16">
        <f t="shared" si="1318"/>
        <v>0</v>
      </c>
      <c r="AD1006" s="16">
        <f t="shared" si="1318"/>
        <v>0</v>
      </c>
      <c r="AE1006" s="16">
        <f t="shared" si="1318"/>
        <v>0</v>
      </c>
      <c r="AF1006" s="16">
        <f t="shared" si="1318"/>
        <v>0</v>
      </c>
      <c r="AG1006" s="16">
        <f t="shared" si="1318"/>
        <v>0</v>
      </c>
      <c r="AH1006" s="16">
        <f t="shared" si="1318"/>
        <v>0</v>
      </c>
      <c r="AI1006" s="16">
        <f t="shared" si="1318"/>
        <v>0</v>
      </c>
      <c r="AJ1006" s="16">
        <f t="shared" si="1318"/>
        <v>0</v>
      </c>
      <c r="AK1006" s="16">
        <f t="shared" si="1318"/>
        <v>0</v>
      </c>
      <c r="AL1006" s="16">
        <f t="shared" si="1318"/>
        <v>0</v>
      </c>
      <c r="AM1006" s="16">
        <f t="shared" si="1318"/>
        <v>0</v>
      </c>
      <c r="AN1006" s="16">
        <f t="shared" si="1318"/>
        <v>0</v>
      </c>
      <c r="AO1006" s="16">
        <f t="shared" si="1318"/>
        <v>0</v>
      </c>
      <c r="AP1006" s="10"/>
      <c r="AQ1006" s="10"/>
      <c r="AR1006" s="10"/>
      <c r="AS1006" s="10" t="str">
        <f t="shared" ref="AS1006" ca="1" si="1325">IFERROR(__xludf.DUMMYFUNCTION("split(F968,"","",true,true)"),"Algebra Ventures")</f>
        <v>Algebra Ventures</v>
      </c>
      <c r="AT1006" s="10" t="str">
        <f ca="1">IFERROR(__xludf.DUMMYFUNCTION("""COMPUTED_VALUE""")," Verod Capital Management")</f>
        <v xml:space="preserve"> Verod Capital Management</v>
      </c>
      <c r="AU1006" s="10"/>
      <c r="AV1006" s="10"/>
      <c r="AW1006" s="10"/>
      <c r="AX1006" s="10"/>
      <c r="AY1006" s="10"/>
      <c r="AZ1006" s="10"/>
      <c r="BA1006" s="10"/>
      <c r="BB1006" s="10"/>
      <c r="BC1006" s="10"/>
      <c r="BD1006" s="10"/>
      <c r="BE1006" s="10"/>
      <c r="BF1006" s="10"/>
      <c r="BG1006" s="10"/>
      <c r="BH1006" s="10"/>
      <c r="BI1006" s="10"/>
      <c r="BJ1006" s="10"/>
      <c r="BK1006" s="10"/>
      <c r="BM1006" s="10"/>
    </row>
    <row r="1007" spans="1:65" ht="12.75">
      <c r="A1007" s="18">
        <v>43545</v>
      </c>
      <c r="B1007" s="14" t="s">
        <v>2142</v>
      </c>
      <c r="C1007" s="19">
        <v>1000000</v>
      </c>
      <c r="D1007" s="19"/>
      <c r="E1007" s="14" t="s">
        <v>45</v>
      </c>
      <c r="F1007" s="14" t="s">
        <v>2143</v>
      </c>
      <c r="G1007" s="21" t="s">
        <v>2144</v>
      </c>
      <c r="H1007" s="14" t="str">
        <f t="array" ref="H1007">IFERROR(INDEX([1]Companies!$G:$G,MATCH(B1007,[1]Companies!$A:$A,0)),"")</f>
        <v>Nigeria</v>
      </c>
      <c r="I1007" s="14" t="str">
        <f t="shared" si="1299"/>
        <v>Nigeria</v>
      </c>
      <c r="J1007" s="14" t="str">
        <f t="array" ref="J1007">IFERROR(INDEX([1]Companies!$Y:$Y,MATCH(B1007,[1]Companies!$A:$A,0)),"")</f>
        <v>Farming, Agriculture, Digital Farming, Technology Farming, Agtech</v>
      </c>
      <c r="K1007" s="14" t="str">
        <f t="array" ref="K1007">IFERROR(INDEX([1]Companies!$X:$X,MATCH(B1007,[1]Companies!$A:$A,0)),"")</f>
        <v>Financial Services</v>
      </c>
      <c r="L1007" s="14" t="str">
        <f>VLOOKUP(B1007,[1]Companies!$A$1:$C$5243,1,FALSE)</f>
        <v>Farmcrowdy</v>
      </c>
      <c r="M1007" s="15">
        <f t="shared" si="1300"/>
        <v>0.9</v>
      </c>
      <c r="N1007" s="10" t="str">
        <f t="shared" si="1301"/>
        <v>43545FarmCrowdy1000000</v>
      </c>
      <c r="O1007" s="14" t="str">
        <f t="shared" si="1302"/>
        <v/>
      </c>
      <c r="P1007" s="14">
        <f t="shared" si="1303"/>
        <v>1</v>
      </c>
      <c r="Q1007" s="14">
        <f t="array" ref="Q1007">IFERROR(INDEX([1]Companies!$D:$D,MATCH(B1007,[1]Companies!$A:$A,0)),"")</f>
        <v>2016</v>
      </c>
      <c r="R1007" s="17">
        <f t="shared" si="1304"/>
        <v>2450000</v>
      </c>
      <c r="S1007" s="14">
        <f>VLOOKUP(I1007,[1]Lookups!$V$3:$Y$197,4,FALSE)</f>
        <v>0</v>
      </c>
      <c r="T1007" s="14" t="str">
        <f>VLOOKUP(E1007,[1]Lookups!$H$3:$I$71,2,FALSE)</f>
        <v>2. Seed</v>
      </c>
      <c r="U1007" s="14" t="str">
        <f>VLOOKUP(K1007,[1]Lookups!$B$3:$C$142,2,FALSE)</f>
        <v>Financial Services</v>
      </c>
      <c r="V1007" s="14">
        <f t="shared" si="1230"/>
        <v>2019</v>
      </c>
      <c r="W1007" s="14">
        <f t="shared" si="1231"/>
        <v>3</v>
      </c>
      <c r="X1007" s="14">
        <f>VLOOKUP(W1007,[1]Lookups!$P$3:$S$15,2,FALSE)</f>
        <v>1</v>
      </c>
      <c r="Y1007" s="16">
        <f>VLOOKUP(W1007,[1]Lookups!$P$3:$U$15,3,FALSE)</f>
        <v>1</v>
      </c>
      <c r="Z1007" s="16">
        <f t="shared" si="1232"/>
        <v>3</v>
      </c>
      <c r="AA1007" s="16" t="str">
        <f t="shared" ca="1" si="1318"/>
        <v>Algebra Ventures</v>
      </c>
      <c r="AB1007" s="16" t="str">
        <f t="shared" ca="1" si="1318"/>
        <v xml:space="preserve"> Techstars</v>
      </c>
      <c r="AC1007" s="16" t="str">
        <f t="shared" ca="1" si="1318"/>
        <v xml:space="preserve"> Ajayi solutions</v>
      </c>
      <c r="AD1007" s="16">
        <f t="shared" si="1318"/>
        <v>0</v>
      </c>
      <c r="AE1007" s="16">
        <f t="shared" si="1318"/>
        <v>0</v>
      </c>
      <c r="AF1007" s="16">
        <f t="shared" si="1318"/>
        <v>0</v>
      </c>
      <c r="AG1007" s="16">
        <f t="shared" si="1318"/>
        <v>0</v>
      </c>
      <c r="AH1007" s="16">
        <f t="shared" si="1318"/>
        <v>0</v>
      </c>
      <c r="AI1007" s="16">
        <f t="shared" si="1318"/>
        <v>0</v>
      </c>
      <c r="AJ1007" s="16">
        <f t="shared" si="1318"/>
        <v>0</v>
      </c>
      <c r="AK1007" s="16">
        <f t="shared" si="1318"/>
        <v>0</v>
      </c>
      <c r="AL1007" s="16">
        <f t="shared" si="1318"/>
        <v>0</v>
      </c>
      <c r="AM1007" s="16">
        <f t="shared" si="1318"/>
        <v>0</v>
      </c>
      <c r="AN1007" s="16">
        <f t="shared" si="1318"/>
        <v>0</v>
      </c>
      <c r="AO1007" s="16">
        <f t="shared" si="1318"/>
        <v>0</v>
      </c>
      <c r="AP1007" s="10"/>
      <c r="AQ1007" s="10"/>
      <c r="AR1007" s="10"/>
      <c r="AS1007" s="10" t="str">
        <f t="shared" ref="AS1007" ca="1" si="1326">IFERROR(__xludf.DUMMYFUNCTION("split(F968,"","",true,true)"),"Algebra Ventures")</f>
        <v>Algebra Ventures</v>
      </c>
      <c r="AT1007" s="10" t="str">
        <f ca="1">IFERROR(__xludf.DUMMYFUNCTION("""COMPUTED_VALUE""")," Techstars")</f>
        <v xml:space="preserve"> Techstars</v>
      </c>
      <c r="AU1007" s="10" t="str">
        <f ca="1">IFERROR(__xludf.DUMMYFUNCTION("""COMPUTED_VALUE""")," Ajayi solutions")</f>
        <v xml:space="preserve"> Ajayi solutions</v>
      </c>
      <c r="AV1007" s="10"/>
      <c r="AW1007" s="10"/>
      <c r="AX1007" s="10"/>
      <c r="AY1007" s="10"/>
      <c r="AZ1007" s="10"/>
      <c r="BA1007" s="10"/>
      <c r="BB1007" s="10"/>
      <c r="BC1007" s="10"/>
      <c r="BD1007" s="10"/>
      <c r="BE1007" s="10"/>
      <c r="BF1007" s="10"/>
      <c r="BG1007" s="10"/>
      <c r="BH1007" s="10"/>
      <c r="BI1007" s="10"/>
      <c r="BJ1007" s="10"/>
      <c r="BK1007" s="10"/>
      <c r="BM1007" s="10"/>
    </row>
    <row r="1008" spans="1:65" ht="12.75">
      <c r="A1008" s="18">
        <v>43545</v>
      </c>
      <c r="B1008" s="14" t="s">
        <v>2145</v>
      </c>
      <c r="C1008" s="19">
        <v>227000</v>
      </c>
      <c r="D1008" s="36"/>
      <c r="E1008" s="10" t="s">
        <v>55</v>
      </c>
      <c r="F1008" s="14" t="s">
        <v>2146</v>
      </c>
      <c r="G1008" s="21" t="s">
        <v>2147</v>
      </c>
      <c r="H1008" s="14" t="str">
        <f t="array" ref="H1008">IFERROR(INDEX([1]Companies!$G:$G,MATCH(B1008,[1]Companies!$A:$A,0)),"")</f>
        <v>Nigeria</v>
      </c>
      <c r="I1008" s="14" t="str">
        <f t="shared" si="1299"/>
        <v>Nigeria</v>
      </c>
      <c r="J1008" s="14" t="str">
        <f t="array" ref="J1008">IFERROR(INDEX([1]Companies!$Y:$Y,MATCH(B1008,[1]Companies!$A:$A,0)),"")</f>
        <v>Association, Communities, Recycling, Service Industry</v>
      </c>
      <c r="K1008" s="14" t="str">
        <f t="array" ref="K1008">IFERROR(INDEX([1]Companies!$X:$X,MATCH(B1008,[1]Companies!$A:$A,0)),"")</f>
        <v>Renewables &amp; Environment</v>
      </c>
      <c r="L1008" s="14" t="str">
        <f>VLOOKUP(B1008,[1]Companies!$A$1:$C$5243,1,FALSE)</f>
        <v>Wecyclers</v>
      </c>
      <c r="M1008" s="15">
        <f t="shared" si="1300"/>
        <v>0.9</v>
      </c>
      <c r="N1008" s="10" t="str">
        <f t="shared" si="1301"/>
        <v>43545Wecyclers227000</v>
      </c>
      <c r="O1008" s="14" t="str">
        <f t="shared" si="1302"/>
        <v/>
      </c>
      <c r="P1008" s="14">
        <f t="shared" si="1303"/>
        <v>1</v>
      </c>
      <c r="Q1008" s="14">
        <f t="array" ref="Q1008">IFERROR(INDEX([1]Companies!$D:$D,MATCH(B1008,[1]Companies!$A:$A,0)),"")</f>
        <v>2012</v>
      </c>
      <c r="R1008" s="17">
        <f t="shared" si="1304"/>
        <v>227000</v>
      </c>
      <c r="S1008" s="14">
        <f>VLOOKUP(I1008,[1]Lookups!$V$3:$Y$197,4,FALSE)</f>
        <v>0</v>
      </c>
      <c r="T1008" s="14" t="str">
        <f>VLOOKUP(E1008,[1]Lookups!$H$3:$I$71,2,FALSE)</f>
        <v>1. Grant</v>
      </c>
      <c r="U1008" s="14" t="str">
        <f>VLOOKUP(K1008,[1]Lookups!$B$3:$C$142,2,FALSE)</f>
        <v>Energy &amp; Resources</v>
      </c>
      <c r="V1008" s="14">
        <f t="shared" si="1230"/>
        <v>2019</v>
      </c>
      <c r="W1008" s="14">
        <f t="shared" si="1231"/>
        <v>3</v>
      </c>
      <c r="X1008" s="14">
        <f>VLOOKUP(W1008,[1]Lookups!$P$3:$S$15,2,FALSE)</f>
        <v>1</v>
      </c>
      <c r="Y1008" s="16">
        <f>VLOOKUP(W1008,[1]Lookups!$P$3:$U$15,3,FALSE)</f>
        <v>1</v>
      </c>
      <c r="Z1008" s="16">
        <f t="shared" si="1232"/>
        <v>1</v>
      </c>
      <c r="AA1008" s="16" t="str">
        <f t="shared" ca="1" si="1318"/>
        <v>Algebra Ventures</v>
      </c>
      <c r="AB1008" s="16">
        <f t="shared" si="1318"/>
        <v>0</v>
      </c>
      <c r="AC1008" s="16">
        <f t="shared" si="1318"/>
        <v>0</v>
      </c>
      <c r="AD1008" s="16">
        <f t="shared" si="1318"/>
        <v>0</v>
      </c>
      <c r="AE1008" s="16">
        <f t="shared" si="1318"/>
        <v>0</v>
      </c>
      <c r="AF1008" s="16">
        <f t="shared" si="1318"/>
        <v>0</v>
      </c>
      <c r="AG1008" s="16">
        <f t="shared" si="1318"/>
        <v>0</v>
      </c>
      <c r="AH1008" s="16">
        <f t="shared" si="1318"/>
        <v>0</v>
      </c>
      <c r="AI1008" s="16">
        <f t="shared" si="1318"/>
        <v>0</v>
      </c>
      <c r="AJ1008" s="16">
        <f t="shared" si="1318"/>
        <v>0</v>
      </c>
      <c r="AK1008" s="16">
        <f t="shared" si="1318"/>
        <v>0</v>
      </c>
      <c r="AL1008" s="16">
        <f t="shared" si="1318"/>
        <v>0</v>
      </c>
      <c r="AM1008" s="16">
        <f t="shared" si="1318"/>
        <v>0</v>
      </c>
      <c r="AN1008" s="16">
        <f t="shared" si="1318"/>
        <v>0</v>
      </c>
      <c r="AO1008" s="16">
        <f t="shared" si="1318"/>
        <v>0</v>
      </c>
      <c r="AP1008" s="10"/>
      <c r="AQ1008" s="10"/>
      <c r="AR1008" s="10"/>
      <c r="AS1008" s="10" t="str">
        <f t="shared" ref="AS1008" ca="1" si="1327">IFERROR(__xludf.DUMMYFUNCTION("split(F968,"","",true,true)"),"Algebra Ventures")</f>
        <v>Algebra Ventures</v>
      </c>
      <c r="AT1008" s="10"/>
      <c r="AU1008" s="10"/>
      <c r="AV1008" s="10"/>
      <c r="AW1008" s="10"/>
      <c r="AX1008" s="10"/>
      <c r="AY1008" s="10"/>
      <c r="AZ1008" s="10"/>
      <c r="BA1008" s="10"/>
      <c r="BB1008" s="10"/>
      <c r="BC1008" s="10"/>
      <c r="BD1008" s="10"/>
      <c r="BE1008" s="10"/>
      <c r="BF1008" s="10"/>
      <c r="BG1008" s="10"/>
      <c r="BH1008" s="10"/>
      <c r="BI1008" s="10"/>
      <c r="BJ1008" s="10"/>
      <c r="BK1008" s="10"/>
      <c r="BM1008" s="10"/>
    </row>
    <row r="1009" spans="1:65" ht="12.75">
      <c r="A1009" s="18">
        <v>43548</v>
      </c>
      <c r="B1009" s="14" t="s">
        <v>2053</v>
      </c>
      <c r="C1009" s="19">
        <v>25000</v>
      </c>
      <c r="D1009" s="19"/>
      <c r="E1009" s="10" t="s">
        <v>55</v>
      </c>
      <c r="F1009" s="14" t="s">
        <v>2148</v>
      </c>
      <c r="G1009" s="21" t="s">
        <v>2149</v>
      </c>
      <c r="H1009" s="14" t="str">
        <f t="array" ref="H1009">IFERROR(INDEX([1]Companies!$G:$G,MATCH(B1009,[1]Companies!$A:$A,0)),"")</f>
        <v>Tanzania</v>
      </c>
      <c r="I1009" s="14" t="str">
        <f t="shared" si="1299"/>
        <v>Tanzania</v>
      </c>
      <c r="J1009" s="14" t="str">
        <f t="array" ref="J1009">IFERROR(INDEX([1]Companies!$Y:$Y,MATCH(B1009,[1]Companies!$A:$A,0)),"")</f>
        <v>E-Learning, EdTech, Edutainment</v>
      </c>
      <c r="K1009" s="14" t="str">
        <f t="array" ref="K1009">IFERROR(INDEX([1]Companies!$X:$X,MATCH(B1009,[1]Companies!$A:$A,0)),"")</f>
        <v>Education</v>
      </c>
      <c r="L1009" s="14" t="str">
        <f>VLOOKUP(B1009,[1]Companies!$A$1:$C$5243,1,FALSE)</f>
        <v>Ubongo</v>
      </c>
      <c r="M1009" s="15">
        <f t="shared" si="1300"/>
        <v>0.9</v>
      </c>
      <c r="N1009" s="10" t="str">
        <f t="shared" si="1301"/>
        <v>43548Ubongo25000</v>
      </c>
      <c r="O1009" s="14" t="str">
        <f t="shared" si="1302"/>
        <v/>
      </c>
      <c r="P1009" s="14">
        <f t="shared" si="1303"/>
        <v>1</v>
      </c>
      <c r="Q1009" s="14">
        <f t="array" ref="Q1009">IFERROR(INDEX([1]Companies!$D:$D,MATCH(B1009,[1]Companies!$A:$A,0)),"")</f>
        <v>2013</v>
      </c>
      <c r="R1009" s="17">
        <f t="shared" si="1304"/>
        <v>25000</v>
      </c>
      <c r="S1009" s="14">
        <f>VLOOKUP(I1009,[1]Lookups!$V$3:$Y$197,4,FALSE)</f>
        <v>0</v>
      </c>
      <c r="T1009" s="14" t="str">
        <f>VLOOKUP(E1009,[1]Lookups!$H$3:$I$71,2,FALSE)</f>
        <v>1. Grant</v>
      </c>
      <c r="U1009" s="14" t="str">
        <f>VLOOKUP(K1009,[1]Lookups!$B$3:$C$142,2,FALSE)</f>
        <v>Education</v>
      </c>
      <c r="V1009" s="14">
        <f t="shared" si="1230"/>
        <v>2019</v>
      </c>
      <c r="W1009" s="14">
        <f t="shared" si="1231"/>
        <v>3</v>
      </c>
      <c r="X1009" s="14">
        <f>VLOOKUP(W1009,[1]Lookups!$P$3:$S$15,2,FALSE)</f>
        <v>1</v>
      </c>
      <c r="Y1009" s="16">
        <f>VLOOKUP(W1009,[1]Lookups!$P$3:$U$15,3,FALSE)</f>
        <v>1</v>
      </c>
      <c r="Z1009" s="16">
        <f t="shared" si="1232"/>
        <v>1</v>
      </c>
      <c r="AA1009" s="16" t="str">
        <f t="shared" ca="1" si="1318"/>
        <v>Algebra Ventures</v>
      </c>
      <c r="AB1009" s="16">
        <f t="shared" si="1318"/>
        <v>0</v>
      </c>
      <c r="AC1009" s="16">
        <f t="shared" si="1318"/>
        <v>0</v>
      </c>
      <c r="AD1009" s="16">
        <f t="shared" si="1318"/>
        <v>0</v>
      </c>
      <c r="AE1009" s="16">
        <f t="shared" si="1318"/>
        <v>0</v>
      </c>
      <c r="AF1009" s="16">
        <f t="shared" si="1318"/>
        <v>0</v>
      </c>
      <c r="AG1009" s="16">
        <f t="shared" si="1318"/>
        <v>0</v>
      </c>
      <c r="AH1009" s="16">
        <f t="shared" si="1318"/>
        <v>0</v>
      </c>
      <c r="AI1009" s="16">
        <f t="shared" si="1318"/>
        <v>0</v>
      </c>
      <c r="AJ1009" s="16">
        <f t="shared" si="1318"/>
        <v>0</v>
      </c>
      <c r="AK1009" s="16">
        <f t="shared" si="1318"/>
        <v>0</v>
      </c>
      <c r="AL1009" s="16">
        <f t="shared" si="1318"/>
        <v>0</v>
      </c>
      <c r="AM1009" s="16">
        <f t="shared" si="1318"/>
        <v>0</v>
      </c>
      <c r="AN1009" s="16">
        <f t="shared" si="1318"/>
        <v>0</v>
      </c>
      <c r="AO1009" s="16">
        <f t="shared" si="1318"/>
        <v>0</v>
      </c>
      <c r="AP1009" s="10"/>
      <c r="AQ1009" s="10"/>
      <c r="AR1009" s="10"/>
      <c r="AS1009" s="10" t="str">
        <f t="shared" ref="AS1009" ca="1" si="1328">IFERROR(__xludf.DUMMYFUNCTION("split(F968,"","",true,true)"),"Algebra Ventures")</f>
        <v>Algebra Ventures</v>
      </c>
      <c r="AT1009" s="10"/>
      <c r="AU1009" s="10"/>
      <c r="AV1009" s="10"/>
      <c r="AW1009" s="10"/>
      <c r="AX1009" s="10"/>
      <c r="AY1009" s="10"/>
      <c r="AZ1009" s="10"/>
      <c r="BA1009" s="10"/>
      <c r="BB1009" s="10"/>
      <c r="BC1009" s="10"/>
      <c r="BD1009" s="10"/>
      <c r="BE1009" s="10"/>
      <c r="BF1009" s="10"/>
      <c r="BG1009" s="10"/>
      <c r="BH1009" s="10"/>
      <c r="BI1009" s="10"/>
      <c r="BJ1009" s="10"/>
      <c r="BK1009" s="10"/>
      <c r="BM1009" s="10"/>
    </row>
    <row r="1010" spans="1:65" ht="12.75">
      <c r="A1010" s="18">
        <v>43549</v>
      </c>
      <c r="B1010" s="14" t="s">
        <v>2150</v>
      </c>
      <c r="C1010" s="19">
        <v>1100000</v>
      </c>
      <c r="D1010" s="19"/>
      <c r="E1010" s="14" t="s">
        <v>45</v>
      </c>
      <c r="F1010" s="14" t="s">
        <v>49</v>
      </c>
      <c r="G1010" s="21" t="s">
        <v>2151</v>
      </c>
      <c r="H1010" s="14" t="str">
        <f t="array" ref="H1010">IFERROR(INDEX([1]Companies!$G:$G,MATCH(B1010,[1]Companies!$A:$A,0)),"")</f>
        <v>Nigeria</v>
      </c>
      <c r="I1010" s="14" t="str">
        <f t="shared" si="1299"/>
        <v>Nigeria</v>
      </c>
      <c r="J1010" s="14" t="str">
        <f t="array" ref="J1010">IFERROR(INDEX([1]Companies!$Y:$Y,MATCH(B1010,[1]Companies!$A:$A,0)),"")</f>
        <v>Bitcoin, Cryptocurrency, Mobile Apps</v>
      </c>
      <c r="K1010" s="14" t="str">
        <f t="array" ref="K1010">IFERROR(INDEX([1]Companies!$X:$X,MATCH(B1010,[1]Companies!$A:$A,0)),"")</f>
        <v>Financial Services</v>
      </c>
      <c r="L1010" s="14" t="str">
        <f>VLOOKUP(B1010,[1]Companies!$A$1:$C$5243,1,FALSE)</f>
        <v>Buycoins</v>
      </c>
      <c r="M1010" s="15">
        <f t="shared" si="1300"/>
        <v>0.9</v>
      </c>
      <c r="N1010" s="10" t="str">
        <f t="shared" si="1301"/>
        <v>43549Buycoins1100000</v>
      </c>
      <c r="O1010" s="14" t="str">
        <f t="shared" si="1302"/>
        <v/>
      </c>
      <c r="P1010" s="14">
        <f t="shared" si="1303"/>
        <v>1</v>
      </c>
      <c r="Q1010" s="14">
        <f t="array" ref="Q1010">IFERROR(INDEX([1]Companies!$D:$D,MATCH(B1010,[1]Companies!$A:$A,0)),"")</f>
        <v>2017</v>
      </c>
      <c r="R1010" s="17">
        <f t="shared" si="1304"/>
        <v>1235000</v>
      </c>
      <c r="S1010" s="14">
        <f>VLOOKUP(I1010,[1]Lookups!$V$3:$Y$197,4,FALSE)</f>
        <v>0</v>
      </c>
      <c r="T1010" s="14" t="str">
        <f>VLOOKUP(E1010,[1]Lookups!$H$3:$I$71,2,FALSE)</f>
        <v>2. Seed</v>
      </c>
      <c r="U1010" s="14" t="str">
        <f>VLOOKUP(K1010,[1]Lookups!$B$3:$C$142,2,FALSE)</f>
        <v>Financial Services</v>
      </c>
      <c r="V1010" s="14">
        <f t="shared" si="1230"/>
        <v>2019</v>
      </c>
      <c r="W1010" s="14">
        <f t="shared" si="1231"/>
        <v>3</v>
      </c>
      <c r="X1010" s="14">
        <f>VLOOKUP(W1010,[1]Lookups!$P$3:$S$15,2,FALSE)</f>
        <v>1</v>
      </c>
      <c r="Y1010" s="16">
        <f>VLOOKUP(W1010,[1]Lookups!$P$3:$U$15,3,FALSE)</f>
        <v>1</v>
      </c>
      <c r="Z1010" s="16">
        <f t="shared" si="1232"/>
        <v>1</v>
      </c>
      <c r="AA1010" s="16" t="str">
        <f t="shared" ca="1" si="1318"/>
        <v>Algebra Ventures</v>
      </c>
      <c r="AB1010" s="16">
        <f t="shared" si="1318"/>
        <v>0</v>
      </c>
      <c r="AC1010" s="16">
        <f t="shared" si="1318"/>
        <v>0</v>
      </c>
      <c r="AD1010" s="16">
        <f t="shared" si="1318"/>
        <v>0</v>
      </c>
      <c r="AE1010" s="16">
        <f t="shared" si="1318"/>
        <v>0</v>
      </c>
      <c r="AF1010" s="16">
        <f t="shared" si="1318"/>
        <v>0</v>
      </c>
      <c r="AG1010" s="16">
        <f t="shared" si="1318"/>
        <v>0</v>
      </c>
      <c r="AH1010" s="16">
        <f t="shared" si="1318"/>
        <v>0</v>
      </c>
      <c r="AI1010" s="16">
        <f t="shared" si="1318"/>
        <v>0</v>
      </c>
      <c r="AJ1010" s="16">
        <f t="shared" si="1318"/>
        <v>0</v>
      </c>
      <c r="AK1010" s="16">
        <f t="shared" si="1318"/>
        <v>0</v>
      </c>
      <c r="AL1010" s="16">
        <f t="shared" si="1318"/>
        <v>0</v>
      </c>
      <c r="AM1010" s="16">
        <f t="shared" si="1318"/>
        <v>0</v>
      </c>
      <c r="AN1010" s="16">
        <f t="shared" si="1318"/>
        <v>0</v>
      </c>
      <c r="AO1010" s="16">
        <f t="shared" si="1318"/>
        <v>0</v>
      </c>
      <c r="AP1010" s="10"/>
      <c r="AQ1010" s="10"/>
      <c r="AR1010" s="10"/>
      <c r="AS1010" s="10" t="str">
        <f t="shared" ref="AS1010" ca="1" si="1329">IFERROR(__xludf.DUMMYFUNCTION("split(F968,"","",true,true)"),"Algebra Ventures")</f>
        <v>Algebra Ventures</v>
      </c>
      <c r="AT1010" s="10"/>
      <c r="AU1010" s="10"/>
      <c r="AV1010" s="10"/>
      <c r="AW1010" s="10"/>
      <c r="AX1010" s="10"/>
      <c r="AY1010" s="10"/>
      <c r="AZ1010" s="10"/>
      <c r="BA1010" s="10"/>
      <c r="BB1010" s="10"/>
      <c r="BC1010" s="10"/>
      <c r="BD1010" s="10"/>
      <c r="BE1010" s="10"/>
      <c r="BF1010" s="10"/>
      <c r="BG1010" s="10"/>
      <c r="BH1010" s="10"/>
      <c r="BI1010" s="10"/>
      <c r="BJ1010" s="10"/>
      <c r="BK1010" s="10"/>
      <c r="BM1010" s="10"/>
    </row>
    <row r="1011" spans="1:65" ht="12.75">
      <c r="A1011" s="18">
        <v>43549</v>
      </c>
      <c r="B1011" s="14" t="s">
        <v>2152</v>
      </c>
      <c r="C1011" s="19">
        <v>150000</v>
      </c>
      <c r="D1011" s="19"/>
      <c r="E1011" s="14" t="s">
        <v>45</v>
      </c>
      <c r="F1011" s="14" t="s">
        <v>2153</v>
      </c>
      <c r="G1011" s="21" t="s">
        <v>2154</v>
      </c>
      <c r="H1011" s="14" t="str">
        <f t="array" ref="H1011">IFERROR(INDEX([1]Companies!$G:$G,MATCH(B1011,[1]Companies!$A:$A,0)),"")</f>
        <v>Nigeria</v>
      </c>
      <c r="I1011" s="14" t="str">
        <f t="shared" si="1299"/>
        <v>Nigeria</v>
      </c>
      <c r="J1011" s="14" t="str">
        <f t="array" ref="J1011">IFERROR(INDEX([1]Companies!$Y:$Y,MATCH(B1011,[1]Companies!$A:$A,0)),"")</f>
        <v>Human Resource</v>
      </c>
      <c r="K1011" s="14" t="str">
        <f t="array" ref="K1011">IFERROR(INDEX([1]Companies!$X:$X,MATCH(B1011,[1]Companies!$A:$A,0)),"")</f>
        <v>Commercial &amp; Professional Services</v>
      </c>
      <c r="L1011" s="14" t="str">
        <f>VLOOKUP(B1011,[1]Companies!$A$1:$C$5243,1,FALSE)</f>
        <v>SeamlessHR</v>
      </c>
      <c r="M1011" s="15">
        <f t="shared" si="1300"/>
        <v>0.9</v>
      </c>
      <c r="N1011" s="10" t="str">
        <f t="shared" si="1301"/>
        <v>43549SeamlessHR150000</v>
      </c>
      <c r="O1011" s="14" t="str">
        <f t="shared" si="1302"/>
        <v/>
      </c>
      <c r="P1011" s="14">
        <f t="shared" si="1303"/>
        <v>1</v>
      </c>
      <c r="Q1011" s="14">
        <f t="array" ref="Q1011">IFERROR(INDEX([1]Companies!$D:$D,MATCH(B1011,[1]Companies!$A:$A,0)),"")</f>
        <v>2017</v>
      </c>
      <c r="R1011" s="17">
        <f t="shared" si="1304"/>
        <v>150000</v>
      </c>
      <c r="S1011" s="14">
        <f>VLOOKUP(I1011,[1]Lookups!$V$3:$Y$197,4,FALSE)</f>
        <v>0</v>
      </c>
      <c r="T1011" s="14" t="str">
        <f>VLOOKUP(E1011,[1]Lookups!$H$3:$I$71,2,FALSE)</f>
        <v>2. Seed</v>
      </c>
      <c r="U1011" s="14" t="str">
        <f>VLOOKUP(K1011,[1]Lookups!$B$3:$C$142,2,FALSE)</f>
        <v>Other Technologies &amp; Information Technology</v>
      </c>
      <c r="V1011" s="14">
        <f t="shared" si="1230"/>
        <v>2019</v>
      </c>
      <c r="W1011" s="14">
        <f t="shared" si="1231"/>
        <v>3</v>
      </c>
      <c r="X1011" s="14">
        <f>VLOOKUP(W1011,[1]Lookups!$P$3:$S$15,2,FALSE)</f>
        <v>1</v>
      </c>
      <c r="Y1011" s="16">
        <f>VLOOKUP(W1011,[1]Lookups!$P$3:$U$15,3,FALSE)</f>
        <v>1</v>
      </c>
      <c r="Z1011" s="16">
        <f t="shared" si="1232"/>
        <v>1</v>
      </c>
      <c r="AA1011" s="16" t="str">
        <f t="shared" ca="1" si="1318"/>
        <v>Algebra Ventures</v>
      </c>
      <c r="AB1011" s="16">
        <f t="shared" si="1318"/>
        <v>0</v>
      </c>
      <c r="AC1011" s="16">
        <f t="shared" si="1318"/>
        <v>0</v>
      </c>
      <c r="AD1011" s="16">
        <f t="shared" si="1318"/>
        <v>0</v>
      </c>
      <c r="AE1011" s="16">
        <f t="shared" si="1318"/>
        <v>0</v>
      </c>
      <c r="AF1011" s="16">
        <f t="shared" si="1318"/>
        <v>0</v>
      </c>
      <c r="AG1011" s="16">
        <f t="shared" si="1318"/>
        <v>0</v>
      </c>
      <c r="AH1011" s="16">
        <f t="shared" si="1318"/>
        <v>0</v>
      </c>
      <c r="AI1011" s="16">
        <f t="shared" si="1318"/>
        <v>0</v>
      </c>
      <c r="AJ1011" s="16">
        <f t="shared" si="1318"/>
        <v>0</v>
      </c>
      <c r="AK1011" s="16">
        <f t="shared" si="1318"/>
        <v>0</v>
      </c>
      <c r="AL1011" s="16">
        <f t="shared" si="1318"/>
        <v>0</v>
      </c>
      <c r="AM1011" s="16">
        <f t="shared" si="1318"/>
        <v>0</v>
      </c>
      <c r="AN1011" s="16">
        <f t="shared" si="1318"/>
        <v>0</v>
      </c>
      <c r="AO1011" s="16">
        <f t="shared" si="1318"/>
        <v>0</v>
      </c>
      <c r="AP1011" s="10"/>
      <c r="AQ1011" s="10"/>
      <c r="AR1011" s="10"/>
      <c r="AS1011" s="10" t="str">
        <f t="shared" ref="AS1011" ca="1" si="1330">IFERROR(__xludf.DUMMYFUNCTION("split(F968,"","",true,true)"),"Algebra Ventures")</f>
        <v>Algebra Ventures</v>
      </c>
      <c r="AT1011" s="10"/>
      <c r="AU1011" s="10"/>
      <c r="AV1011" s="10"/>
      <c r="AW1011" s="10"/>
      <c r="AX1011" s="10"/>
      <c r="AY1011" s="10"/>
      <c r="AZ1011" s="10"/>
      <c r="BA1011" s="10"/>
      <c r="BB1011" s="10"/>
      <c r="BC1011" s="10"/>
      <c r="BD1011" s="10"/>
      <c r="BE1011" s="10"/>
      <c r="BF1011" s="10"/>
      <c r="BG1011" s="10"/>
      <c r="BH1011" s="10"/>
      <c r="BI1011" s="10"/>
      <c r="BJ1011" s="10"/>
      <c r="BK1011" s="10"/>
      <c r="BM1011" s="10"/>
    </row>
    <row r="1012" spans="1:65" ht="12.75">
      <c r="A1012" s="18">
        <v>43550</v>
      </c>
      <c r="B1012" s="14" t="s">
        <v>1765</v>
      </c>
      <c r="C1012" s="19" t="s">
        <v>49</v>
      </c>
      <c r="D1012" s="22"/>
      <c r="E1012" s="14" t="s">
        <v>45</v>
      </c>
      <c r="F1012" s="14" t="s">
        <v>893</v>
      </c>
      <c r="G1012" s="21" t="s">
        <v>2155</v>
      </c>
      <c r="H1012" s="14" t="str">
        <f t="array" ref="H1012">IFERROR(INDEX([1]Companies!$G:$G,MATCH(B1012,[1]Companies!$A:$A,0)),"")</f>
        <v>Egypt</v>
      </c>
      <c r="I1012" s="14" t="str">
        <f t="shared" si="1299"/>
        <v>Egypt</v>
      </c>
      <c r="J1012" s="14" t="str">
        <f t="array" ref="J1012">IFERROR(INDEX([1]Companies!$Y:$Y,MATCH(B1012,[1]Companies!$A:$A,0)),"")</f>
        <v>Communities, eSports, Gaming, Online Games</v>
      </c>
      <c r="K1012" s="14" t="str">
        <f t="array" ref="K1012">IFERROR(INDEX([1]Companies!$X:$X,MATCH(B1012,[1]Companies!$A:$A,0)),"")</f>
        <v>Media &amp; Entertainment</v>
      </c>
      <c r="L1012" s="14" t="str">
        <f>VLOOKUP(B1012,[1]Companies!$A$1:$C$5243,1,FALSE)</f>
        <v>Gbarena</v>
      </c>
      <c r="M1012" s="15">
        <f t="shared" si="1300"/>
        <v>0.9</v>
      </c>
      <c r="N1012" s="10" t="str">
        <f t="shared" si="1301"/>
        <v>43550GBarenaUndisclosed</v>
      </c>
      <c r="O1012" s="14" t="str">
        <f t="shared" si="1302"/>
        <v/>
      </c>
      <c r="P1012" s="14">
        <f t="shared" si="1303"/>
        <v>0</v>
      </c>
      <c r="Q1012" s="14">
        <f t="array" ref="Q1012">IFERROR(INDEX([1]Companies!$D:$D,MATCH(B1012,[1]Companies!$A:$A,0)),"")</f>
        <v>2016</v>
      </c>
      <c r="R1012" s="17">
        <f t="shared" si="1304"/>
        <v>100000</v>
      </c>
      <c r="S1012" s="14">
        <f>VLOOKUP(I1012,[1]Lookups!$V$3:$Y$197,4,FALSE)</f>
        <v>0</v>
      </c>
      <c r="T1012" s="14" t="str">
        <f>VLOOKUP(E1012,[1]Lookups!$H$3:$I$71,2,FALSE)</f>
        <v>2. Seed</v>
      </c>
      <c r="U1012" s="14" t="str">
        <f>VLOOKUP(K1012,[1]Lookups!$B$3:$C$142,2,FALSE)</f>
        <v>Media &amp; Entertainment</v>
      </c>
      <c r="V1012" s="14">
        <f t="shared" si="1230"/>
        <v>2019</v>
      </c>
      <c r="W1012" s="14">
        <f t="shared" si="1231"/>
        <v>3</v>
      </c>
      <c r="X1012" s="14">
        <f>VLOOKUP(W1012,[1]Lookups!$P$3:$S$15,2,FALSE)</f>
        <v>1</v>
      </c>
      <c r="Y1012" s="16">
        <f>VLOOKUP(W1012,[1]Lookups!$P$3:$U$15,3,FALSE)</f>
        <v>1</v>
      </c>
      <c r="Z1012" s="16">
        <f t="shared" si="1232"/>
        <v>1</v>
      </c>
      <c r="AA1012" s="16" t="str">
        <f t="shared" ca="1" si="1318"/>
        <v>Algebra Ventures</v>
      </c>
      <c r="AB1012" s="16">
        <f t="shared" si="1318"/>
        <v>0</v>
      </c>
      <c r="AC1012" s="16">
        <f t="shared" si="1318"/>
        <v>0</v>
      </c>
      <c r="AD1012" s="16">
        <f t="shared" si="1318"/>
        <v>0</v>
      </c>
      <c r="AE1012" s="16">
        <f t="shared" si="1318"/>
        <v>0</v>
      </c>
      <c r="AF1012" s="16">
        <f t="shared" si="1318"/>
        <v>0</v>
      </c>
      <c r="AG1012" s="16">
        <f t="shared" si="1318"/>
        <v>0</v>
      </c>
      <c r="AH1012" s="16">
        <f t="shared" si="1318"/>
        <v>0</v>
      </c>
      <c r="AI1012" s="16">
        <f t="shared" si="1318"/>
        <v>0</v>
      </c>
      <c r="AJ1012" s="16">
        <f t="shared" si="1318"/>
        <v>0</v>
      </c>
      <c r="AK1012" s="16">
        <f t="shared" si="1318"/>
        <v>0</v>
      </c>
      <c r="AL1012" s="16">
        <f t="shared" si="1318"/>
        <v>0</v>
      </c>
      <c r="AM1012" s="16">
        <f t="shared" si="1318"/>
        <v>0</v>
      </c>
      <c r="AN1012" s="16">
        <f t="shared" si="1318"/>
        <v>0</v>
      </c>
      <c r="AO1012" s="16">
        <f t="shared" si="1318"/>
        <v>0</v>
      </c>
      <c r="AP1012" s="10"/>
      <c r="AQ1012" s="10"/>
      <c r="AR1012" s="10"/>
      <c r="AS1012" s="10" t="str">
        <f t="shared" ref="AS1012" ca="1" si="1331">IFERROR(__xludf.DUMMYFUNCTION("split(F968,"","",true,true)"),"Algebra Ventures")</f>
        <v>Algebra Ventures</v>
      </c>
      <c r="AT1012" s="10"/>
      <c r="AU1012" s="10"/>
      <c r="AV1012" s="10"/>
      <c r="AW1012" s="10"/>
      <c r="AX1012" s="10"/>
      <c r="AY1012" s="10"/>
      <c r="AZ1012" s="10"/>
      <c r="BA1012" s="10"/>
      <c r="BB1012" s="10"/>
      <c r="BC1012" s="10"/>
      <c r="BD1012" s="10"/>
      <c r="BE1012" s="10"/>
      <c r="BF1012" s="10"/>
      <c r="BG1012" s="10"/>
      <c r="BH1012" s="10"/>
      <c r="BI1012" s="10"/>
      <c r="BJ1012" s="10"/>
      <c r="BK1012" s="10"/>
      <c r="BM1012" s="10"/>
    </row>
    <row r="1013" spans="1:65" ht="12.75">
      <c r="A1013" s="18">
        <v>43551</v>
      </c>
      <c r="B1013" s="14" t="s">
        <v>776</v>
      </c>
      <c r="C1013" s="19">
        <v>112000</v>
      </c>
      <c r="D1013" s="19"/>
      <c r="E1013" s="10" t="s">
        <v>55</v>
      </c>
      <c r="F1013" s="14" t="s">
        <v>2156</v>
      </c>
      <c r="G1013" s="21" t="s">
        <v>2157</v>
      </c>
      <c r="H1013" s="14" t="str">
        <f t="array" ref="H1013">IFERROR(INDEX([1]Companies!$G:$G,MATCH(B1013,[1]Companies!$A:$A,0)),"")</f>
        <v>United States of America</v>
      </c>
      <c r="I1013" s="14" t="str">
        <f t="shared" si="1299"/>
        <v>United States of America</v>
      </c>
      <c r="J1013" s="14" t="str">
        <f t="array" ref="J1013">IFERROR(INDEX([1]Companies!$Y:$Y,MATCH(B1013,[1]Companies!$A:$A,0)),"")</f>
        <v>Artificial Intelligence, Blockchain, Database, Hardware, Software</v>
      </c>
      <c r="K1013" s="14" t="str">
        <f t="array" ref="K1013">IFERROR(INDEX([1]Companies!$X:$X,MATCH(B1013,[1]Companies!$A:$A,0)),"")</f>
        <v>Emerging Technologies</v>
      </c>
      <c r="L1013" s="14" t="str">
        <f>VLOOKUP(B1013,[1]Companies!$A$1:$C$5243,1,FALSE)</f>
        <v>RxAll</v>
      </c>
      <c r="M1013" s="15">
        <f t="shared" si="1300"/>
        <v>0.9</v>
      </c>
      <c r="N1013" s="10" t="str">
        <f t="shared" si="1301"/>
        <v>43551RxAll112000</v>
      </c>
      <c r="O1013" s="14" t="str">
        <f t="shared" si="1302"/>
        <v/>
      </c>
      <c r="P1013" s="14">
        <f t="shared" si="1303"/>
        <v>1</v>
      </c>
      <c r="Q1013" s="14">
        <f t="array" ref="Q1013">IFERROR(INDEX([1]Companies!$D:$D,MATCH(B1013,[1]Companies!$A:$A,0)),"")</f>
        <v>2016</v>
      </c>
      <c r="R1013" s="17">
        <f t="shared" si="1304"/>
        <v>672000</v>
      </c>
      <c r="S1013" s="14">
        <f>VLOOKUP(I1013,[1]Lookups!$V$3:$Y$197,4,FALSE)</f>
        <v>1</v>
      </c>
      <c r="T1013" s="14" t="str">
        <f>VLOOKUP(E1013,[1]Lookups!$H$3:$I$71,2,FALSE)</f>
        <v>1. Grant</v>
      </c>
      <c r="U1013" s="14" t="str">
        <f>VLOOKUP(K1013,[1]Lookups!$B$3:$C$142,2,FALSE)</f>
        <v>Emerging Technologies</v>
      </c>
      <c r="V1013" s="14">
        <f t="shared" si="1230"/>
        <v>2019</v>
      </c>
      <c r="W1013" s="14">
        <f t="shared" si="1231"/>
        <v>3</v>
      </c>
      <c r="X1013" s="14">
        <f>VLOOKUP(W1013,[1]Lookups!$P$3:$S$15,2,FALSE)</f>
        <v>1</v>
      </c>
      <c r="Y1013" s="16">
        <f>VLOOKUP(W1013,[1]Lookups!$P$3:$U$15,3,FALSE)</f>
        <v>1</v>
      </c>
      <c r="Z1013" s="16">
        <f t="shared" si="1232"/>
        <v>1</v>
      </c>
      <c r="AA1013" s="16" t="str">
        <f t="shared" ca="1" si="1318"/>
        <v>Algebra Ventures</v>
      </c>
      <c r="AB1013" s="16">
        <f t="shared" si="1318"/>
        <v>0</v>
      </c>
      <c r="AC1013" s="16">
        <f t="shared" si="1318"/>
        <v>0</v>
      </c>
      <c r="AD1013" s="16">
        <f t="shared" si="1318"/>
        <v>0</v>
      </c>
      <c r="AE1013" s="16">
        <f t="shared" si="1318"/>
        <v>0</v>
      </c>
      <c r="AF1013" s="16">
        <f t="shared" si="1318"/>
        <v>0</v>
      </c>
      <c r="AG1013" s="16">
        <f t="shared" si="1318"/>
        <v>0</v>
      </c>
      <c r="AH1013" s="16">
        <f t="shared" si="1318"/>
        <v>0</v>
      </c>
      <c r="AI1013" s="16">
        <f t="shared" si="1318"/>
        <v>0</v>
      </c>
      <c r="AJ1013" s="16">
        <f t="shared" si="1318"/>
        <v>0</v>
      </c>
      <c r="AK1013" s="16">
        <f t="shared" si="1318"/>
        <v>0</v>
      </c>
      <c r="AL1013" s="16">
        <f t="shared" si="1318"/>
        <v>0</v>
      </c>
      <c r="AM1013" s="16">
        <f t="shared" si="1318"/>
        <v>0</v>
      </c>
      <c r="AN1013" s="16">
        <f t="shared" si="1318"/>
        <v>0</v>
      </c>
      <c r="AO1013" s="16">
        <f t="shared" si="1318"/>
        <v>0</v>
      </c>
      <c r="AP1013" s="10"/>
      <c r="AQ1013" s="10"/>
      <c r="AR1013" s="10"/>
      <c r="AS1013" s="10" t="str">
        <f t="shared" ref="AS1013" ca="1" si="1332">IFERROR(__xludf.DUMMYFUNCTION("split(F968,"","",true,true)"),"Algebra Ventures")</f>
        <v>Algebra Ventures</v>
      </c>
      <c r="AT1013" s="10"/>
      <c r="AU1013" s="10"/>
      <c r="AV1013" s="10"/>
      <c r="AW1013" s="10"/>
      <c r="AX1013" s="10"/>
      <c r="AY1013" s="10"/>
      <c r="AZ1013" s="10"/>
      <c r="BA1013" s="10"/>
      <c r="BB1013" s="10"/>
      <c r="BC1013" s="10"/>
      <c r="BD1013" s="10"/>
      <c r="BE1013" s="10"/>
      <c r="BF1013" s="10"/>
      <c r="BG1013" s="10"/>
      <c r="BH1013" s="10"/>
      <c r="BI1013" s="10"/>
      <c r="BJ1013" s="10"/>
      <c r="BK1013" s="10"/>
      <c r="BM1013" s="10"/>
    </row>
    <row r="1014" spans="1:65" ht="12.75">
      <c r="A1014" s="18">
        <v>43552</v>
      </c>
      <c r="B1014" s="14" t="s">
        <v>2158</v>
      </c>
      <c r="C1014" s="19" t="s">
        <v>49</v>
      </c>
      <c r="D1014" s="22"/>
      <c r="E1014" s="10" t="s">
        <v>653</v>
      </c>
      <c r="F1014" s="14" t="s">
        <v>2159</v>
      </c>
      <c r="G1014" s="21" t="s">
        <v>2160</v>
      </c>
      <c r="H1014" s="14" t="str">
        <f t="array" ref="H1014">IFERROR(INDEX([1]Companies!$G:$G,MATCH(B1014,[1]Companies!$A:$A,0)),"")</f>
        <v>Nigeria</v>
      </c>
      <c r="I1014" s="14" t="str">
        <f t="shared" si="1299"/>
        <v>Nigeria</v>
      </c>
      <c r="J1014" s="14" t="str">
        <f t="array" ref="J1014">IFERROR(INDEX([1]Companies!$Y:$Y,MATCH(B1014,[1]Companies!$A:$A,0)),"")</f>
        <v>Entertainment</v>
      </c>
      <c r="K1014" s="14" t="str">
        <f t="array" ref="K1014">IFERROR(INDEX([1]Companies!$X:$X,MATCH(B1014,[1]Companies!$A:$A,0)),"")</f>
        <v>Media &amp; Entertainment</v>
      </c>
      <c r="L1014" s="14" t="str">
        <f>VLOOKUP(B1014,[1]Companies!$A$1:$C$5243,1,FALSE)</f>
        <v>Chocolate City Entertainment</v>
      </c>
      <c r="M1014" s="15">
        <f t="shared" si="1300"/>
        <v>0.9</v>
      </c>
      <c r="N1014" s="10" t="str">
        <f t="shared" si="1301"/>
        <v>43552Chocolate City EntertainmentUndisclosed</v>
      </c>
      <c r="O1014" s="14" t="str">
        <f t="shared" si="1302"/>
        <v/>
      </c>
      <c r="P1014" s="14">
        <f t="shared" si="1303"/>
        <v>0</v>
      </c>
      <c r="Q1014" s="14">
        <f t="array" ref="Q1014">IFERROR(INDEX([1]Companies!$D:$D,MATCH(B1014,[1]Companies!$A:$A,0)),"")</f>
        <v>2005</v>
      </c>
      <c r="R1014" s="17">
        <f t="shared" si="1304"/>
        <v>0</v>
      </c>
      <c r="S1014" s="14">
        <f>VLOOKUP(I1014,[1]Lookups!$V$3:$Y$197,4,FALSE)</f>
        <v>0</v>
      </c>
      <c r="T1014" s="14" t="str">
        <f>VLOOKUP(E1014,[1]Lookups!$H$3:$I$71,2,FALSE)</f>
        <v>4. Late Venture</v>
      </c>
      <c r="U1014" s="14" t="str">
        <f>VLOOKUP(K1014,[1]Lookups!$B$3:$C$142,2,FALSE)</f>
        <v>Media &amp; Entertainment</v>
      </c>
      <c r="V1014" s="14">
        <f t="shared" si="1230"/>
        <v>2019</v>
      </c>
      <c r="W1014" s="14">
        <f t="shared" si="1231"/>
        <v>3</v>
      </c>
      <c r="X1014" s="14">
        <f>VLOOKUP(W1014,[1]Lookups!$P$3:$S$15,2,FALSE)</f>
        <v>1</v>
      </c>
      <c r="Y1014" s="16">
        <f>VLOOKUP(W1014,[1]Lookups!$P$3:$U$15,3,FALSE)</f>
        <v>1</v>
      </c>
      <c r="Z1014" s="16">
        <f t="shared" si="1232"/>
        <v>1</v>
      </c>
      <c r="AA1014" s="16" t="str">
        <f t="shared" ca="1" si="1318"/>
        <v>Algebra Ventures</v>
      </c>
      <c r="AB1014" s="16">
        <f t="shared" si="1318"/>
        <v>0</v>
      </c>
      <c r="AC1014" s="16">
        <f t="shared" si="1318"/>
        <v>0</v>
      </c>
      <c r="AD1014" s="16">
        <f t="shared" si="1318"/>
        <v>0</v>
      </c>
      <c r="AE1014" s="16">
        <f t="shared" si="1318"/>
        <v>0</v>
      </c>
      <c r="AF1014" s="16">
        <f t="shared" si="1318"/>
        <v>0</v>
      </c>
      <c r="AG1014" s="16">
        <f t="shared" si="1318"/>
        <v>0</v>
      </c>
      <c r="AH1014" s="16">
        <f t="shared" si="1318"/>
        <v>0</v>
      </c>
      <c r="AI1014" s="16">
        <f t="shared" si="1318"/>
        <v>0</v>
      </c>
      <c r="AJ1014" s="16">
        <f t="shared" si="1318"/>
        <v>0</v>
      </c>
      <c r="AK1014" s="16">
        <f t="shared" si="1318"/>
        <v>0</v>
      </c>
      <c r="AL1014" s="16">
        <f t="shared" si="1318"/>
        <v>0</v>
      </c>
      <c r="AM1014" s="16">
        <f t="shared" si="1318"/>
        <v>0</v>
      </c>
      <c r="AN1014" s="16">
        <f t="shared" si="1318"/>
        <v>0</v>
      </c>
      <c r="AO1014" s="16">
        <f t="shared" si="1318"/>
        <v>0</v>
      </c>
      <c r="AP1014" s="10"/>
      <c r="AQ1014" s="10"/>
      <c r="AR1014" s="10"/>
      <c r="AS1014" s="10" t="str">
        <f t="shared" ref="AS1014" ca="1" si="1333">IFERROR(__xludf.DUMMYFUNCTION("split(F968,"","",true,true)"),"Algebra Ventures")</f>
        <v>Algebra Ventures</v>
      </c>
      <c r="AT1014" s="10"/>
      <c r="AU1014" s="10"/>
      <c r="AV1014" s="10"/>
      <c r="AW1014" s="10"/>
      <c r="AX1014" s="10"/>
      <c r="AY1014" s="10"/>
      <c r="AZ1014" s="10"/>
      <c r="BA1014" s="10"/>
      <c r="BB1014" s="10"/>
      <c r="BC1014" s="10"/>
      <c r="BD1014" s="10"/>
      <c r="BE1014" s="10"/>
      <c r="BF1014" s="10"/>
      <c r="BG1014" s="10"/>
      <c r="BH1014" s="10"/>
      <c r="BI1014" s="10"/>
      <c r="BJ1014" s="10"/>
      <c r="BK1014" s="10"/>
      <c r="BM1014" s="10"/>
    </row>
    <row r="1015" spans="1:65" ht="12.75">
      <c r="A1015" s="18">
        <v>43552</v>
      </c>
      <c r="B1015" s="14" t="s">
        <v>387</v>
      </c>
      <c r="C1015" s="19">
        <v>12000000</v>
      </c>
      <c r="D1015" s="19"/>
      <c r="E1015" s="14" t="s">
        <v>112</v>
      </c>
      <c r="F1015" s="14" t="s">
        <v>2161</v>
      </c>
      <c r="G1015" s="21" t="s">
        <v>2162</v>
      </c>
      <c r="H1015" s="14" t="str">
        <f t="array" ref="H1015">IFERROR(INDEX([1]Companies!$G:$G,MATCH(B1015,[1]Companies!$A:$A,0)),"")</f>
        <v>Ghana</v>
      </c>
      <c r="I1015" s="14" t="str">
        <f t="shared" si="1299"/>
        <v>Ghana</v>
      </c>
      <c r="J1015" s="14" t="str">
        <f t="array" ref="J1015">IFERROR(INDEX([1]Companies!$Y:$Y,MATCH(B1015,[1]Companies!$A:$A,0)),"")</f>
        <v>Health Care, Information Technology, Management Information Systems, Digital Healthcare</v>
      </c>
      <c r="K1015" s="14" t="str">
        <f t="array" ref="K1015">IFERROR(INDEX([1]Companies!$X:$X,MATCH(B1015,[1]Companies!$A:$A,0)),"")</f>
        <v>Healthcare &amp; Pharma</v>
      </c>
      <c r="L1015" s="14" t="str">
        <f>VLOOKUP(B1015,[1]Companies!$A$1:$C$5243,1,FALSE)</f>
        <v>mPharma</v>
      </c>
      <c r="M1015" s="15">
        <f t="shared" si="1300"/>
        <v>0.9</v>
      </c>
      <c r="N1015" s="10" t="str">
        <f t="shared" si="1301"/>
        <v>43552mPharma12000000</v>
      </c>
      <c r="O1015" s="14" t="str">
        <f t="shared" si="1302"/>
        <v/>
      </c>
      <c r="P1015" s="14">
        <f t="shared" si="1303"/>
        <v>1</v>
      </c>
      <c r="Q1015" s="14">
        <f t="array" ref="Q1015">IFERROR(INDEX([1]Companies!$D:$D,MATCH(B1015,[1]Companies!$A:$A,0)),"")</f>
        <v>2014</v>
      </c>
      <c r="R1015" s="17">
        <f t="shared" si="1304"/>
        <v>25100000</v>
      </c>
      <c r="S1015" s="14">
        <f>VLOOKUP(I1015,[1]Lookups!$V$3:$Y$197,4,FALSE)</f>
        <v>0</v>
      </c>
      <c r="T1015" s="14" t="str">
        <f>VLOOKUP(E1015,[1]Lookups!$H$3:$I$71,2,FALSE)</f>
        <v>3. Early Venture</v>
      </c>
      <c r="U1015" s="14" t="str">
        <f>VLOOKUP(K1015,[1]Lookups!$B$3:$C$142,2,FALSE)</f>
        <v>Health &amp; Pharmaceuticals</v>
      </c>
      <c r="V1015" s="14">
        <f t="shared" si="1230"/>
        <v>2019</v>
      </c>
      <c r="W1015" s="14">
        <f t="shared" si="1231"/>
        <v>3</v>
      </c>
      <c r="X1015" s="14">
        <f>VLOOKUP(W1015,[1]Lookups!$P$3:$S$15,2,FALSE)</f>
        <v>1</v>
      </c>
      <c r="Y1015" s="16">
        <f>VLOOKUP(W1015,[1]Lookups!$P$3:$U$15,3,FALSE)</f>
        <v>1</v>
      </c>
      <c r="Z1015" s="16">
        <f t="shared" si="1232"/>
        <v>3</v>
      </c>
      <c r="AA1015" s="16" t="str">
        <f t="shared" ca="1" si="1318"/>
        <v>Algebra Ventures</v>
      </c>
      <c r="AB1015" s="16" t="str">
        <f t="shared" ca="1" si="1318"/>
        <v xml:space="preserve"> Novastar Ventures</v>
      </c>
      <c r="AC1015" s="16" t="str">
        <f t="shared" ca="1" si="1318"/>
        <v xml:space="preserve"> Unbound Ventures</v>
      </c>
      <c r="AD1015" s="16">
        <f t="shared" si="1318"/>
        <v>0</v>
      </c>
      <c r="AE1015" s="16">
        <f t="shared" si="1318"/>
        <v>0</v>
      </c>
      <c r="AF1015" s="16">
        <f t="shared" si="1318"/>
        <v>0</v>
      </c>
      <c r="AG1015" s="16">
        <f t="shared" si="1318"/>
        <v>0</v>
      </c>
      <c r="AH1015" s="16">
        <f t="shared" si="1318"/>
        <v>0</v>
      </c>
      <c r="AI1015" s="16">
        <f t="shared" si="1318"/>
        <v>0</v>
      </c>
      <c r="AJ1015" s="16">
        <f t="shared" si="1318"/>
        <v>0</v>
      </c>
      <c r="AK1015" s="16">
        <f t="shared" si="1318"/>
        <v>0</v>
      </c>
      <c r="AL1015" s="16">
        <f t="shared" si="1318"/>
        <v>0</v>
      </c>
      <c r="AM1015" s="16">
        <f t="shared" si="1318"/>
        <v>0</v>
      </c>
      <c r="AN1015" s="16">
        <f t="shared" si="1318"/>
        <v>0</v>
      </c>
      <c r="AO1015" s="16">
        <f t="shared" si="1318"/>
        <v>0</v>
      </c>
      <c r="AP1015" s="10"/>
      <c r="AQ1015" s="10"/>
      <c r="AR1015" s="10"/>
      <c r="AS1015" s="10" t="str">
        <f t="shared" ref="AS1015" ca="1" si="1334">IFERROR(__xludf.DUMMYFUNCTION("split(F968,"","",true,true)"),"Algebra Ventures")</f>
        <v>Algebra Ventures</v>
      </c>
      <c r="AT1015" s="10" t="str">
        <f ca="1">IFERROR(__xludf.DUMMYFUNCTION("""COMPUTED_VALUE""")," Novastar Ventures")</f>
        <v xml:space="preserve"> Novastar Ventures</v>
      </c>
      <c r="AU1015" s="10" t="str">
        <f ca="1">IFERROR(__xludf.DUMMYFUNCTION("""COMPUTED_VALUE""")," Unbound Ventures")</f>
        <v xml:space="preserve"> Unbound Ventures</v>
      </c>
      <c r="AV1015" s="10"/>
      <c r="AW1015" s="10"/>
      <c r="AX1015" s="10"/>
      <c r="AY1015" s="10"/>
      <c r="AZ1015" s="10"/>
      <c r="BA1015" s="10"/>
      <c r="BB1015" s="10"/>
      <c r="BC1015" s="10"/>
      <c r="BD1015" s="10"/>
      <c r="BE1015" s="10"/>
      <c r="BF1015" s="10"/>
      <c r="BG1015" s="10"/>
      <c r="BH1015" s="10"/>
      <c r="BI1015" s="10"/>
      <c r="BJ1015" s="10"/>
      <c r="BK1015" s="10"/>
      <c r="BM1015" s="10"/>
    </row>
    <row r="1016" spans="1:65" ht="12.75">
      <c r="A1016" s="18">
        <v>43552</v>
      </c>
      <c r="B1016" s="14" t="s">
        <v>2163</v>
      </c>
      <c r="C1016" s="19">
        <v>25000</v>
      </c>
      <c r="D1016" s="19"/>
      <c r="E1016" s="14" t="s">
        <v>45</v>
      </c>
      <c r="F1016" s="14" t="s">
        <v>2164</v>
      </c>
      <c r="G1016" s="21" t="s">
        <v>2165</v>
      </c>
      <c r="H1016" s="14" t="str">
        <f t="array" ref="H1016">IFERROR(INDEX([1]Companies!$G:$G,MATCH(B1016,[1]Companies!$A:$A,0)),"")</f>
        <v>Ivory Coast</v>
      </c>
      <c r="I1016" s="14" t="str">
        <f t="shared" si="1299"/>
        <v>Ivory Coast</v>
      </c>
      <c r="J1016" s="14" t="str">
        <f t="array" ref="J1016">IFERROR(INDEX([1]Companies!$Y:$Y,MATCH(B1016,[1]Companies!$A:$A,0)),"")</f>
        <v>Computer, Information Technology, Mobile Apps</v>
      </c>
      <c r="K1016" s="14" t="str">
        <f t="array" ref="K1016">IFERROR(INDEX([1]Companies!$X:$X,MATCH(B1016,[1]Companies!$A:$A,0)),"")</f>
        <v>Information Technology</v>
      </c>
      <c r="L1016" s="14" t="str">
        <f>VLOOKUP(B1016,[1]Companies!$A$1:$C$5243,1,FALSE)</f>
        <v>Coliba</v>
      </c>
      <c r="M1016" s="15">
        <f t="shared" si="1300"/>
        <v>0.9</v>
      </c>
      <c r="N1016" s="10" t="str">
        <f t="shared" si="1301"/>
        <v>43552Coliba25000</v>
      </c>
      <c r="O1016" s="14" t="str">
        <f t="shared" si="1302"/>
        <v/>
      </c>
      <c r="P1016" s="14">
        <f t="shared" si="1303"/>
        <v>1</v>
      </c>
      <c r="Q1016" s="14">
        <f t="array" ref="Q1016">IFERROR(INDEX([1]Companies!$D:$D,MATCH(B1016,[1]Companies!$A:$A,0)),"")</f>
        <v>2015</v>
      </c>
      <c r="R1016" s="17">
        <f t="shared" si="1304"/>
        <v>25000</v>
      </c>
      <c r="S1016" s="14">
        <f>VLOOKUP(I1016,[1]Lookups!$V$3:$Y$197,4,FALSE)</f>
        <v>0</v>
      </c>
      <c r="T1016" s="14" t="str">
        <f>VLOOKUP(E1016,[1]Lookups!$H$3:$I$71,2,FALSE)</f>
        <v>2. Seed</v>
      </c>
      <c r="U1016" s="14" t="str">
        <f>VLOOKUP(K1016,[1]Lookups!$B$3:$C$142,2,FALSE)</f>
        <v>Other Technologies &amp; Information Technology</v>
      </c>
      <c r="V1016" s="14">
        <f t="shared" si="1230"/>
        <v>2019</v>
      </c>
      <c r="W1016" s="14">
        <f t="shared" si="1231"/>
        <v>3</v>
      </c>
      <c r="X1016" s="14">
        <f>VLOOKUP(W1016,[1]Lookups!$P$3:$S$15,2,FALSE)</f>
        <v>1</v>
      </c>
      <c r="Y1016" s="16">
        <f>VLOOKUP(W1016,[1]Lookups!$P$3:$U$15,3,FALSE)</f>
        <v>1</v>
      </c>
      <c r="Z1016" s="16">
        <f t="shared" si="1232"/>
        <v>1</v>
      </c>
      <c r="AA1016" s="16" t="str">
        <f t="shared" ref="AA1016:AO1031" ca="1" si="1335">AS1016</f>
        <v>Algebra Ventures</v>
      </c>
      <c r="AB1016" s="16">
        <f t="shared" si="1335"/>
        <v>0</v>
      </c>
      <c r="AC1016" s="16">
        <f t="shared" si="1335"/>
        <v>0</v>
      </c>
      <c r="AD1016" s="16">
        <f t="shared" si="1335"/>
        <v>0</v>
      </c>
      <c r="AE1016" s="16">
        <f t="shared" si="1335"/>
        <v>0</v>
      </c>
      <c r="AF1016" s="16">
        <f t="shared" si="1335"/>
        <v>0</v>
      </c>
      <c r="AG1016" s="16">
        <f t="shared" si="1335"/>
        <v>0</v>
      </c>
      <c r="AH1016" s="16">
        <f t="shared" si="1335"/>
        <v>0</v>
      </c>
      <c r="AI1016" s="16">
        <f t="shared" si="1335"/>
        <v>0</v>
      </c>
      <c r="AJ1016" s="16">
        <f t="shared" si="1335"/>
        <v>0</v>
      </c>
      <c r="AK1016" s="16">
        <f t="shared" si="1335"/>
        <v>0</v>
      </c>
      <c r="AL1016" s="16">
        <f t="shared" si="1335"/>
        <v>0</v>
      </c>
      <c r="AM1016" s="16">
        <f t="shared" si="1335"/>
        <v>0</v>
      </c>
      <c r="AN1016" s="16">
        <f t="shared" si="1335"/>
        <v>0</v>
      </c>
      <c r="AO1016" s="16">
        <f t="shared" si="1335"/>
        <v>0</v>
      </c>
      <c r="AP1016" s="10"/>
      <c r="AQ1016" s="10"/>
      <c r="AR1016" s="10"/>
      <c r="AS1016" s="10" t="str">
        <f t="shared" ref="AS1016" ca="1" si="1336">IFERROR(__xludf.DUMMYFUNCTION("split(F968,"","",true,true)"),"Algebra Ventures")</f>
        <v>Algebra Ventures</v>
      </c>
      <c r="AT1016" s="10"/>
      <c r="AU1016" s="10"/>
      <c r="AV1016" s="10"/>
      <c r="AW1016" s="10"/>
      <c r="AX1016" s="10"/>
      <c r="AY1016" s="10"/>
      <c r="AZ1016" s="10"/>
      <c r="BA1016" s="10"/>
      <c r="BB1016" s="10"/>
      <c r="BC1016" s="10"/>
      <c r="BD1016" s="10"/>
      <c r="BE1016" s="10"/>
      <c r="BF1016" s="10"/>
      <c r="BG1016" s="10"/>
      <c r="BH1016" s="10"/>
      <c r="BI1016" s="10"/>
      <c r="BJ1016" s="10"/>
      <c r="BK1016" s="10"/>
      <c r="BM1016" s="10"/>
    </row>
    <row r="1017" spans="1:65" ht="12.75">
      <c r="A1017" s="9">
        <v>43553</v>
      </c>
      <c r="B1017" s="10" t="s">
        <v>1327</v>
      </c>
      <c r="C1017" s="11">
        <v>230000</v>
      </c>
      <c r="D1017" s="12"/>
      <c r="E1017" s="10" t="s">
        <v>45</v>
      </c>
      <c r="F1017" s="10" t="s">
        <v>2166</v>
      </c>
      <c r="G1017" s="13" t="s">
        <v>2167</v>
      </c>
      <c r="H1017" s="14" t="str">
        <f t="array" ref="H1017">IFERROR(INDEX([1]Companies!$G:$G,MATCH(B1017,[1]Companies!$A:$A,0)),"")</f>
        <v>Nigeria</v>
      </c>
      <c r="I1017" s="14" t="str">
        <f t="shared" si="1299"/>
        <v>Nigeria</v>
      </c>
      <c r="J1017" s="14" t="str">
        <f t="array" ref="J1017">IFERROR(INDEX([1]Companies!$Y:$Y,MATCH(B1017,[1]Companies!$A:$A,0)),"")</f>
        <v>Delivery Services, Location Based Services, Logistics</v>
      </c>
      <c r="K1017" s="14" t="str">
        <f t="array" ref="K1017">IFERROR(INDEX([1]Companies!$X:$X,MATCH(B1017,[1]Companies!$A:$A,0)),"")</f>
        <v>Transport &amp; Logistics</v>
      </c>
      <c r="L1017" s="14" t="str">
        <f>VLOOKUP(B1017,[1]Companies!$A$1:$C$5243,1,FALSE)</f>
        <v>Africa Delivery Technologies Ltd</v>
      </c>
      <c r="M1017" s="15">
        <f t="shared" si="1300"/>
        <v>0.9</v>
      </c>
      <c r="N1017" s="10" t="str">
        <f t="shared" si="1301"/>
        <v>43553Africa Delivery Technologies Ltd230000</v>
      </c>
      <c r="O1017" s="14" t="str">
        <f t="shared" si="1302"/>
        <v/>
      </c>
      <c r="P1017" s="14">
        <f t="shared" si="1303"/>
        <v>1</v>
      </c>
      <c r="Q1017" s="14">
        <f t="array" ref="Q1017">IFERROR(INDEX([1]Companies!$D:$D,MATCH(B1017,[1]Companies!$A:$A,0)),"")</f>
        <v>2018</v>
      </c>
      <c r="R1017" s="17">
        <f t="shared" si="1304"/>
        <v>560000</v>
      </c>
      <c r="S1017" s="14">
        <f>VLOOKUP(I1017,[1]Lookups!$V$3:$Y$197,4,FALSE)</f>
        <v>0</v>
      </c>
      <c r="T1017" s="14" t="str">
        <f>VLOOKUP(E1017,[1]Lookups!$H$3:$I$71,2,FALSE)</f>
        <v>2. Seed</v>
      </c>
      <c r="U1017" s="14" t="str">
        <f>VLOOKUP(K1017,[1]Lookups!$B$3:$C$142,2,FALSE)</f>
        <v>Transport &amp; Logistics</v>
      </c>
      <c r="V1017" s="14">
        <f t="shared" si="1230"/>
        <v>2019</v>
      </c>
      <c r="W1017" s="14">
        <f t="shared" si="1231"/>
        <v>3</v>
      </c>
      <c r="X1017" s="14">
        <f>VLOOKUP(W1017,[1]Lookups!$P$3:$S$15,2,FALSE)</f>
        <v>1</v>
      </c>
      <c r="Y1017" s="16">
        <f>VLOOKUP(W1017,[1]Lookups!$P$3:$U$15,3,FALSE)</f>
        <v>1</v>
      </c>
      <c r="Z1017" s="16">
        <f t="shared" si="1232"/>
        <v>1</v>
      </c>
      <c r="AA1017" s="16" t="str">
        <f t="shared" ca="1" si="1335"/>
        <v>Algebra Ventures</v>
      </c>
      <c r="AB1017" s="16">
        <f t="shared" si="1335"/>
        <v>0</v>
      </c>
      <c r="AC1017" s="16">
        <f t="shared" si="1335"/>
        <v>0</v>
      </c>
      <c r="AD1017" s="16">
        <f t="shared" si="1335"/>
        <v>0</v>
      </c>
      <c r="AE1017" s="16">
        <f t="shared" si="1335"/>
        <v>0</v>
      </c>
      <c r="AF1017" s="16">
        <f t="shared" si="1335"/>
        <v>0</v>
      </c>
      <c r="AG1017" s="16">
        <f t="shared" si="1335"/>
        <v>0</v>
      </c>
      <c r="AH1017" s="16">
        <f t="shared" si="1335"/>
        <v>0</v>
      </c>
      <c r="AI1017" s="16">
        <f t="shared" si="1335"/>
        <v>0</v>
      </c>
      <c r="AJ1017" s="16">
        <f t="shared" si="1335"/>
        <v>0</v>
      </c>
      <c r="AK1017" s="16">
        <f t="shared" si="1335"/>
        <v>0</v>
      </c>
      <c r="AL1017" s="16">
        <f t="shared" si="1335"/>
        <v>0</v>
      </c>
      <c r="AM1017" s="16">
        <f t="shared" si="1335"/>
        <v>0</v>
      </c>
      <c r="AN1017" s="16">
        <f t="shared" si="1335"/>
        <v>0</v>
      </c>
      <c r="AO1017" s="16">
        <f t="shared" si="1335"/>
        <v>0</v>
      </c>
      <c r="AP1017" s="10"/>
      <c r="AQ1017" s="10"/>
      <c r="AR1017" s="10"/>
      <c r="AS1017" s="10" t="str">
        <f t="shared" ref="AS1017" ca="1" si="1337">IFERROR(__xludf.DUMMYFUNCTION("split(F968,"","",true,true)"),"Algebra Ventures")</f>
        <v>Algebra Ventures</v>
      </c>
      <c r="AT1017" s="10"/>
      <c r="AU1017" s="10"/>
      <c r="AV1017" s="10"/>
      <c r="AW1017" s="10"/>
      <c r="AX1017" s="10"/>
      <c r="AY1017" s="10"/>
      <c r="AZ1017" s="10"/>
      <c r="BA1017" s="10"/>
      <c r="BB1017" s="10"/>
      <c r="BC1017" s="10"/>
      <c r="BD1017" s="10"/>
      <c r="BE1017" s="10"/>
      <c r="BF1017" s="10"/>
      <c r="BG1017" s="10"/>
      <c r="BH1017" s="10"/>
      <c r="BI1017" s="10"/>
      <c r="BJ1017" s="10"/>
      <c r="BK1017" s="10"/>
      <c r="BM1017" s="10"/>
    </row>
    <row r="1018" spans="1:65" ht="12.75">
      <c r="A1018" s="18">
        <v>43557</v>
      </c>
      <c r="B1018" s="14" t="s">
        <v>2168</v>
      </c>
      <c r="C1018" s="19" t="s">
        <v>49</v>
      </c>
      <c r="D1018" s="22"/>
      <c r="E1018" s="14" t="s">
        <v>45</v>
      </c>
      <c r="F1018" s="14" t="s">
        <v>2169</v>
      </c>
      <c r="G1018" s="21" t="s">
        <v>2170</v>
      </c>
      <c r="H1018" s="14" t="str">
        <f t="array" ref="H1018">IFERROR(INDEX([1]Companies!$G:$G,MATCH(B1018,[1]Companies!$A:$A,0)),"")</f>
        <v>South Africa</v>
      </c>
      <c r="I1018" s="14" t="str">
        <f t="shared" si="1299"/>
        <v>South Africa</v>
      </c>
      <c r="J1018" s="14" t="str">
        <f t="array" ref="J1018">IFERROR(INDEX([1]Companies!$Y:$Y,MATCH(B1018,[1]Companies!$A:$A,0)),"")</f>
        <v>Blockchain, Cryptocurrency, Internet</v>
      </c>
      <c r="K1018" s="14" t="str">
        <f t="array" ref="K1018">IFERROR(INDEX([1]Companies!$X:$X,MATCH(B1018,[1]Companies!$A:$A,0)),"")</f>
        <v>Emerging Technologies</v>
      </c>
      <c r="L1018" s="14" t="str">
        <f>VLOOKUP(B1018,[1]Companies!$A$1:$C$5243,1,FALSE)</f>
        <v>Ovex</v>
      </c>
      <c r="M1018" s="15">
        <f t="shared" si="1300"/>
        <v>0.9</v>
      </c>
      <c r="N1018" s="10" t="str">
        <f t="shared" si="1301"/>
        <v>43557OvexUndisclosed</v>
      </c>
      <c r="O1018" s="14" t="str">
        <f t="shared" si="1302"/>
        <v/>
      </c>
      <c r="P1018" s="14">
        <f t="shared" si="1303"/>
        <v>0</v>
      </c>
      <c r="Q1018" s="14">
        <f t="array" ref="Q1018">IFERROR(INDEX([1]Companies!$D:$D,MATCH(B1018,[1]Companies!$A:$A,0)),"")</f>
        <v>2017</v>
      </c>
      <c r="R1018" s="17">
        <f t="shared" si="1304"/>
        <v>0</v>
      </c>
      <c r="S1018" s="14">
        <f>VLOOKUP(I1018,[1]Lookups!$V$3:$Y$197,4,FALSE)</f>
        <v>0</v>
      </c>
      <c r="T1018" s="14" t="str">
        <f>VLOOKUP(E1018,[1]Lookups!$H$3:$I$71,2,FALSE)</f>
        <v>2. Seed</v>
      </c>
      <c r="U1018" s="14" t="str">
        <f>VLOOKUP(K1018,[1]Lookups!$B$3:$C$142,2,FALSE)</f>
        <v>Emerging Technologies</v>
      </c>
      <c r="V1018" s="14">
        <f t="shared" si="1230"/>
        <v>2019</v>
      </c>
      <c r="W1018" s="14">
        <f t="shared" si="1231"/>
        <v>4</v>
      </c>
      <c r="X1018" s="14">
        <f>VLOOKUP(W1018,[1]Lookups!$P$3:$S$15,2,FALSE)</f>
        <v>2</v>
      </c>
      <c r="Y1018" s="16">
        <f>VLOOKUP(W1018,[1]Lookups!$P$3:$U$15,3,FALSE)</f>
        <v>1</v>
      </c>
      <c r="Z1018" s="16">
        <f t="shared" si="1232"/>
        <v>1</v>
      </c>
      <c r="AA1018" s="16" t="str">
        <f t="shared" ca="1" si="1335"/>
        <v>Algebra Ventures</v>
      </c>
      <c r="AB1018" s="16">
        <f t="shared" si="1335"/>
        <v>0</v>
      </c>
      <c r="AC1018" s="16">
        <f t="shared" si="1335"/>
        <v>0</v>
      </c>
      <c r="AD1018" s="16">
        <f t="shared" si="1335"/>
        <v>0</v>
      </c>
      <c r="AE1018" s="16">
        <f t="shared" si="1335"/>
        <v>0</v>
      </c>
      <c r="AF1018" s="16">
        <f t="shared" si="1335"/>
        <v>0</v>
      </c>
      <c r="AG1018" s="16">
        <f t="shared" si="1335"/>
        <v>0</v>
      </c>
      <c r="AH1018" s="16">
        <f t="shared" si="1335"/>
        <v>0</v>
      </c>
      <c r="AI1018" s="16">
        <f t="shared" si="1335"/>
        <v>0</v>
      </c>
      <c r="AJ1018" s="16">
        <f t="shared" si="1335"/>
        <v>0</v>
      </c>
      <c r="AK1018" s="16">
        <f t="shared" si="1335"/>
        <v>0</v>
      </c>
      <c r="AL1018" s="16">
        <f t="shared" si="1335"/>
        <v>0</v>
      </c>
      <c r="AM1018" s="16">
        <f t="shared" si="1335"/>
        <v>0</v>
      </c>
      <c r="AN1018" s="16">
        <f t="shared" si="1335"/>
        <v>0</v>
      </c>
      <c r="AO1018" s="16">
        <f t="shared" si="1335"/>
        <v>0</v>
      </c>
      <c r="AP1018" s="10"/>
      <c r="AQ1018" s="10"/>
      <c r="AR1018" s="10"/>
      <c r="AS1018" s="10" t="str">
        <f t="shared" ref="AS1018" ca="1" si="1338">IFERROR(__xludf.DUMMYFUNCTION("split(F968,"","",true,true)"),"Algebra Ventures")</f>
        <v>Algebra Ventures</v>
      </c>
      <c r="AT1018" s="10"/>
      <c r="AU1018" s="10"/>
      <c r="AV1018" s="10"/>
      <c r="AW1018" s="10"/>
      <c r="AX1018" s="10"/>
      <c r="AY1018" s="10"/>
      <c r="AZ1018" s="10"/>
      <c r="BA1018" s="10"/>
      <c r="BB1018" s="10"/>
      <c r="BC1018" s="10"/>
      <c r="BD1018" s="10"/>
      <c r="BE1018" s="10"/>
      <c r="BF1018" s="10"/>
      <c r="BG1018" s="10"/>
      <c r="BH1018" s="10"/>
      <c r="BI1018" s="10"/>
      <c r="BJ1018" s="10"/>
      <c r="BK1018" s="10"/>
      <c r="BM1018" s="10"/>
    </row>
    <row r="1019" spans="1:65" ht="12.75">
      <c r="A1019" s="18">
        <v>43557</v>
      </c>
      <c r="B1019" s="14" t="s">
        <v>387</v>
      </c>
      <c r="C1019" s="19">
        <v>1500000</v>
      </c>
      <c r="D1019" s="19"/>
      <c r="E1019" s="14" t="s">
        <v>55</v>
      </c>
      <c r="F1019" s="14" t="s">
        <v>2171</v>
      </c>
      <c r="G1019" s="21" t="s">
        <v>2172</v>
      </c>
      <c r="H1019" s="14" t="str">
        <f t="array" ref="H1019">IFERROR(INDEX([1]Companies!$G:$G,MATCH(B1019,[1]Companies!$A:$A,0)),"")</f>
        <v>Ghana</v>
      </c>
      <c r="I1019" s="14" t="str">
        <f t="shared" si="1299"/>
        <v>Ghana</v>
      </c>
      <c r="J1019" s="14" t="str">
        <f t="array" ref="J1019">IFERROR(INDEX([1]Companies!$Y:$Y,MATCH(B1019,[1]Companies!$A:$A,0)),"")</f>
        <v>Health Care, Information Technology, Management Information Systems, Digital Healthcare</v>
      </c>
      <c r="K1019" s="14" t="str">
        <f t="array" ref="K1019">IFERROR(INDEX([1]Companies!$X:$X,MATCH(B1019,[1]Companies!$A:$A,0)),"")</f>
        <v>Healthcare &amp; Pharma</v>
      </c>
      <c r="L1019" s="14" t="str">
        <f>VLOOKUP(B1019,[1]Companies!$A$1:$C$5243,1,FALSE)</f>
        <v>mPharma</v>
      </c>
      <c r="M1019" s="15">
        <f t="shared" si="1300"/>
        <v>0.9</v>
      </c>
      <c r="N1019" s="10" t="str">
        <f t="shared" si="1301"/>
        <v>43557mPharma1500000</v>
      </c>
      <c r="O1019" s="14" t="str">
        <f t="shared" si="1302"/>
        <v/>
      </c>
      <c r="P1019" s="14">
        <f t="shared" si="1303"/>
        <v>1</v>
      </c>
      <c r="Q1019" s="14">
        <f t="array" ref="Q1019">IFERROR(INDEX([1]Companies!$D:$D,MATCH(B1019,[1]Companies!$A:$A,0)),"")</f>
        <v>2014</v>
      </c>
      <c r="R1019" s="17">
        <f t="shared" si="1304"/>
        <v>25100000</v>
      </c>
      <c r="S1019" s="14">
        <f>VLOOKUP(I1019,[1]Lookups!$V$3:$Y$197,4,FALSE)</f>
        <v>0</v>
      </c>
      <c r="T1019" s="14" t="str">
        <f>VLOOKUP(E1019,[1]Lookups!$H$3:$I$71,2,FALSE)</f>
        <v>1. Grant</v>
      </c>
      <c r="U1019" s="14" t="str">
        <f>VLOOKUP(K1019,[1]Lookups!$B$3:$C$142,2,FALSE)</f>
        <v>Health &amp; Pharmaceuticals</v>
      </c>
      <c r="V1019" s="14">
        <f t="shared" si="1230"/>
        <v>2019</v>
      </c>
      <c r="W1019" s="14">
        <f t="shared" si="1231"/>
        <v>4</v>
      </c>
      <c r="X1019" s="14">
        <f>VLOOKUP(W1019,[1]Lookups!$P$3:$S$15,2,FALSE)</f>
        <v>2</v>
      </c>
      <c r="Y1019" s="16">
        <f>VLOOKUP(W1019,[1]Lookups!$P$3:$U$15,3,FALSE)</f>
        <v>1</v>
      </c>
      <c r="Z1019" s="16">
        <f t="shared" si="1232"/>
        <v>1</v>
      </c>
      <c r="AA1019" s="16" t="str">
        <f t="shared" ca="1" si="1335"/>
        <v>Algebra Ventures</v>
      </c>
      <c r="AB1019" s="16">
        <f t="shared" si="1335"/>
        <v>0</v>
      </c>
      <c r="AC1019" s="16">
        <f t="shared" si="1335"/>
        <v>0</v>
      </c>
      <c r="AD1019" s="16">
        <f t="shared" si="1335"/>
        <v>0</v>
      </c>
      <c r="AE1019" s="16">
        <f t="shared" si="1335"/>
        <v>0</v>
      </c>
      <c r="AF1019" s="16">
        <f t="shared" si="1335"/>
        <v>0</v>
      </c>
      <c r="AG1019" s="16">
        <f t="shared" si="1335"/>
        <v>0</v>
      </c>
      <c r="AH1019" s="16">
        <f t="shared" si="1335"/>
        <v>0</v>
      </c>
      <c r="AI1019" s="16">
        <f t="shared" si="1335"/>
        <v>0</v>
      </c>
      <c r="AJ1019" s="16">
        <f t="shared" si="1335"/>
        <v>0</v>
      </c>
      <c r="AK1019" s="16">
        <f t="shared" si="1335"/>
        <v>0</v>
      </c>
      <c r="AL1019" s="16">
        <f t="shared" si="1335"/>
        <v>0</v>
      </c>
      <c r="AM1019" s="16">
        <f t="shared" si="1335"/>
        <v>0</v>
      </c>
      <c r="AN1019" s="16">
        <f t="shared" si="1335"/>
        <v>0</v>
      </c>
      <c r="AO1019" s="16">
        <f t="shared" si="1335"/>
        <v>0</v>
      </c>
      <c r="AP1019" s="10"/>
      <c r="AQ1019" s="10"/>
      <c r="AR1019" s="10"/>
      <c r="AS1019" s="10" t="str">
        <f t="shared" ref="AS1019" ca="1" si="1339">IFERROR(__xludf.DUMMYFUNCTION("split(F968,"","",true,true)"),"Algebra Ventures")</f>
        <v>Algebra Ventures</v>
      </c>
      <c r="AT1019" s="10"/>
      <c r="AU1019" s="10"/>
      <c r="AV1019" s="10"/>
      <c r="AW1019" s="10"/>
      <c r="AX1019" s="10"/>
      <c r="AY1019" s="10"/>
      <c r="AZ1019" s="10"/>
      <c r="BA1019" s="10"/>
      <c r="BB1019" s="10"/>
      <c r="BC1019" s="10"/>
      <c r="BD1019" s="10"/>
      <c r="BE1019" s="10"/>
      <c r="BF1019" s="10"/>
      <c r="BG1019" s="10"/>
      <c r="BH1019" s="10"/>
      <c r="BI1019" s="10"/>
      <c r="BJ1019" s="10"/>
      <c r="BK1019" s="10"/>
      <c r="BM1019" s="10"/>
    </row>
    <row r="1020" spans="1:65" ht="12.75">
      <c r="A1020" s="18">
        <v>43557</v>
      </c>
      <c r="B1020" s="14" t="s">
        <v>2173</v>
      </c>
      <c r="C1020" s="19">
        <v>800000</v>
      </c>
      <c r="D1020" s="19"/>
      <c r="E1020" s="14" t="s">
        <v>45</v>
      </c>
      <c r="F1020" s="14" t="s">
        <v>2174</v>
      </c>
      <c r="G1020" s="21" t="s">
        <v>2175</v>
      </c>
      <c r="H1020" s="14" t="str">
        <f t="array" ref="H1020">IFERROR(INDEX([1]Companies!$G:$G,MATCH(B1020,[1]Companies!$A:$A,0)),"")</f>
        <v>Egypt</v>
      </c>
      <c r="I1020" s="14" t="str">
        <f t="shared" si="1299"/>
        <v>Egypt</v>
      </c>
      <c r="J1020" s="14" t="str">
        <f t="array" ref="J1020">IFERROR(INDEX([1]Companies!$Y:$Y,MATCH(B1020,[1]Companies!$A:$A,0)),"")</f>
        <v>Manufacturing</v>
      </c>
      <c r="K1020" s="14" t="str">
        <f t="array" ref="K1020">IFERROR(INDEX([1]Companies!$X:$X,MATCH(B1020,[1]Companies!$A:$A,0)),"")</f>
        <v>Transport &amp; Logistics</v>
      </c>
      <c r="L1020" s="14" t="str">
        <f>VLOOKUP(B1020,[1]Companies!$A$1:$C$5243,1,FALSE)</f>
        <v>Brimore</v>
      </c>
      <c r="M1020" s="15">
        <f t="shared" si="1300"/>
        <v>0.9</v>
      </c>
      <c r="N1020" s="10" t="str">
        <f t="shared" si="1301"/>
        <v>43557Brimore800000</v>
      </c>
      <c r="O1020" s="14" t="str">
        <f t="shared" si="1302"/>
        <v/>
      </c>
      <c r="P1020" s="14">
        <f t="shared" si="1303"/>
        <v>1</v>
      </c>
      <c r="Q1020" s="14">
        <f t="array" ref="Q1020">IFERROR(INDEX([1]Companies!$D:$D,MATCH(B1020,[1]Companies!$A:$A,0)),"")</f>
        <v>2017</v>
      </c>
      <c r="R1020" s="17">
        <f t="shared" si="1304"/>
        <v>800000</v>
      </c>
      <c r="S1020" s="14">
        <f>VLOOKUP(I1020,[1]Lookups!$V$3:$Y$197,4,FALSE)</f>
        <v>0</v>
      </c>
      <c r="T1020" s="14" t="str">
        <f>VLOOKUP(E1020,[1]Lookups!$H$3:$I$71,2,FALSE)</f>
        <v>2. Seed</v>
      </c>
      <c r="U1020" s="14" t="str">
        <f>VLOOKUP(K1020,[1]Lookups!$B$3:$C$142,2,FALSE)</f>
        <v>Transport &amp; Logistics</v>
      </c>
      <c r="V1020" s="14">
        <f t="shared" si="1230"/>
        <v>2019</v>
      </c>
      <c r="W1020" s="14">
        <f t="shared" si="1231"/>
        <v>4</v>
      </c>
      <c r="X1020" s="14">
        <f>VLOOKUP(W1020,[1]Lookups!$P$3:$S$15,2,FALSE)</f>
        <v>2</v>
      </c>
      <c r="Y1020" s="16">
        <f>VLOOKUP(W1020,[1]Lookups!$P$3:$U$15,3,FALSE)</f>
        <v>1</v>
      </c>
      <c r="Z1020" s="16">
        <f t="shared" si="1232"/>
        <v>4</v>
      </c>
      <c r="AA1020" s="16" t="str">
        <f t="shared" ca="1" si="1335"/>
        <v>Algebra Ventures</v>
      </c>
      <c r="AB1020" s="16" t="str">
        <f t="shared" ca="1" si="1335"/>
        <v xml:space="preserve"> Endure Capital</v>
      </c>
      <c r="AC1020" s="16" t="str">
        <f t="shared" ca="1" si="1335"/>
        <v xml:space="preserve"> Flat6Labs</v>
      </c>
      <c r="AD1020" s="16" t="str">
        <f t="shared" ca="1" si="1335"/>
        <v xml:space="preserve"> 500Startups</v>
      </c>
      <c r="AE1020" s="16">
        <f t="shared" si="1335"/>
        <v>0</v>
      </c>
      <c r="AF1020" s="16">
        <f t="shared" si="1335"/>
        <v>0</v>
      </c>
      <c r="AG1020" s="16">
        <f t="shared" si="1335"/>
        <v>0</v>
      </c>
      <c r="AH1020" s="16">
        <f t="shared" si="1335"/>
        <v>0</v>
      </c>
      <c r="AI1020" s="16">
        <f t="shared" si="1335"/>
        <v>0</v>
      </c>
      <c r="AJ1020" s="16">
        <f t="shared" si="1335"/>
        <v>0</v>
      </c>
      <c r="AK1020" s="16">
        <f t="shared" si="1335"/>
        <v>0</v>
      </c>
      <c r="AL1020" s="16">
        <f t="shared" si="1335"/>
        <v>0</v>
      </c>
      <c r="AM1020" s="16">
        <f t="shared" si="1335"/>
        <v>0</v>
      </c>
      <c r="AN1020" s="16">
        <f t="shared" si="1335"/>
        <v>0</v>
      </c>
      <c r="AO1020" s="16">
        <f t="shared" si="1335"/>
        <v>0</v>
      </c>
      <c r="AP1020" s="10"/>
      <c r="AQ1020" s="10"/>
      <c r="AR1020" s="10"/>
      <c r="AS1020" s="10" t="str">
        <f t="shared" ref="AS1020" ca="1" si="1340">IFERROR(__xludf.DUMMYFUNCTION("split(F968,"","",true,true)"),"Algebra Ventures")</f>
        <v>Algebra Ventures</v>
      </c>
      <c r="AT1020" s="10" t="str">
        <f ca="1">IFERROR(__xludf.DUMMYFUNCTION("""COMPUTED_VALUE""")," Endure Capital")</f>
        <v xml:space="preserve"> Endure Capital</v>
      </c>
      <c r="AU1020" s="10" t="str">
        <f ca="1">IFERROR(__xludf.DUMMYFUNCTION("""COMPUTED_VALUE""")," Flat6Labs")</f>
        <v xml:space="preserve"> Flat6Labs</v>
      </c>
      <c r="AV1020" s="10" t="str">
        <f ca="1">IFERROR(__xludf.DUMMYFUNCTION("""COMPUTED_VALUE""")," 500Startups")</f>
        <v xml:space="preserve"> 500Startups</v>
      </c>
      <c r="AW1020" s="10"/>
      <c r="AX1020" s="10"/>
      <c r="AY1020" s="10"/>
      <c r="AZ1020" s="10"/>
      <c r="BA1020" s="10"/>
      <c r="BB1020" s="10"/>
      <c r="BC1020" s="10"/>
      <c r="BD1020" s="10"/>
      <c r="BE1020" s="10"/>
      <c r="BF1020" s="10"/>
      <c r="BG1020" s="10"/>
      <c r="BH1020" s="10"/>
      <c r="BI1020" s="10"/>
      <c r="BJ1020" s="10"/>
      <c r="BK1020" s="10"/>
      <c r="BM1020" s="10"/>
    </row>
    <row r="1021" spans="1:65" ht="12.75">
      <c r="A1021" s="18">
        <v>43560</v>
      </c>
      <c r="B1021" s="14" t="s">
        <v>2176</v>
      </c>
      <c r="C1021" s="19">
        <v>20000000</v>
      </c>
      <c r="D1021" s="19"/>
      <c r="E1021" s="14" t="s">
        <v>69</v>
      </c>
      <c r="F1021" s="14" t="s">
        <v>2177</v>
      </c>
      <c r="G1021" s="21" t="s">
        <v>2178</v>
      </c>
      <c r="H1021" s="14" t="str">
        <f t="array" ref="H1021">IFERROR(INDEX([1]Companies!$G:$G,MATCH(B1021,[1]Companies!$A:$A,0)),"")</f>
        <v>Nigeria</v>
      </c>
      <c r="I1021" s="14" t="str">
        <f t="shared" si="1299"/>
        <v>Nigeria</v>
      </c>
      <c r="J1021" s="14" t="str">
        <f t="array" ref="J1021">IFERROR(INDEX([1]Companies!$Y:$Y,MATCH(B1021,[1]Companies!$A:$A,0)),"")</f>
        <v>Media &amp; Entertainment</v>
      </c>
      <c r="K1021" s="14" t="str">
        <f t="array" ref="K1021">IFERROR(INDEX([1]Companies!$X:$X,MATCH(B1021,[1]Companies!$A:$A,0)),"")</f>
        <v>Media &amp; Entertainment</v>
      </c>
      <c r="L1021" s="14" t="str">
        <f>VLOOKUP(B1021,[1]Companies!$A$1:$C$5243,1,FALSE)</f>
        <v>Boomplay Music</v>
      </c>
      <c r="M1021" s="15">
        <f t="shared" si="1300"/>
        <v>0.9</v>
      </c>
      <c r="N1021" s="10" t="str">
        <f t="shared" si="1301"/>
        <v>43560Boomplay Music20000000</v>
      </c>
      <c r="O1021" s="14" t="str">
        <f t="shared" si="1302"/>
        <v/>
      </c>
      <c r="P1021" s="14">
        <f t="shared" si="1303"/>
        <v>1</v>
      </c>
      <c r="Q1021" s="14">
        <f t="array" ref="Q1021">IFERROR(INDEX([1]Companies!$D:$D,MATCH(B1021,[1]Companies!$A:$A,0)),"")</f>
        <v>2015</v>
      </c>
      <c r="R1021" s="17">
        <f t="shared" si="1304"/>
        <v>20000000</v>
      </c>
      <c r="S1021" s="14">
        <f>VLOOKUP(I1021,[1]Lookups!$V$3:$Y$197,4,FALSE)</f>
        <v>0</v>
      </c>
      <c r="T1021" s="14" t="str">
        <f>VLOOKUP(E1021,[1]Lookups!$H$3:$I$71,2,FALSE)</f>
        <v>3. Early Venture</v>
      </c>
      <c r="U1021" s="14" t="str">
        <f>VLOOKUP(K1021,[1]Lookups!$B$3:$C$142,2,FALSE)</f>
        <v>Media &amp; Entertainment</v>
      </c>
      <c r="V1021" s="14">
        <f t="shared" si="1230"/>
        <v>2019</v>
      </c>
      <c r="W1021" s="14">
        <f t="shared" si="1231"/>
        <v>4</v>
      </c>
      <c r="X1021" s="14">
        <f>VLOOKUP(W1021,[1]Lookups!$P$3:$S$15,2,FALSE)</f>
        <v>2</v>
      </c>
      <c r="Y1021" s="16">
        <f>VLOOKUP(W1021,[1]Lookups!$P$3:$U$15,3,FALSE)</f>
        <v>1</v>
      </c>
      <c r="Z1021" s="16">
        <f t="shared" si="1232"/>
        <v>2</v>
      </c>
      <c r="AA1021" s="16" t="str">
        <f t="shared" ca="1" si="1335"/>
        <v>Algebra Ventures</v>
      </c>
      <c r="AB1021" s="16" t="str">
        <f t="shared" ca="1" si="1335"/>
        <v xml:space="preserve"> Seas Capital</v>
      </c>
      <c r="AC1021" s="16">
        <f t="shared" si="1335"/>
        <v>0</v>
      </c>
      <c r="AD1021" s="16">
        <f t="shared" si="1335"/>
        <v>0</v>
      </c>
      <c r="AE1021" s="16">
        <f t="shared" si="1335"/>
        <v>0</v>
      </c>
      <c r="AF1021" s="16">
        <f t="shared" si="1335"/>
        <v>0</v>
      </c>
      <c r="AG1021" s="16">
        <f t="shared" si="1335"/>
        <v>0</v>
      </c>
      <c r="AH1021" s="16">
        <f t="shared" si="1335"/>
        <v>0</v>
      </c>
      <c r="AI1021" s="16">
        <f t="shared" si="1335"/>
        <v>0</v>
      </c>
      <c r="AJ1021" s="16">
        <f t="shared" si="1335"/>
        <v>0</v>
      </c>
      <c r="AK1021" s="16">
        <f t="shared" si="1335"/>
        <v>0</v>
      </c>
      <c r="AL1021" s="16">
        <f t="shared" si="1335"/>
        <v>0</v>
      </c>
      <c r="AM1021" s="16">
        <f t="shared" si="1335"/>
        <v>0</v>
      </c>
      <c r="AN1021" s="16">
        <f t="shared" si="1335"/>
        <v>0</v>
      </c>
      <c r="AO1021" s="16">
        <f t="shared" si="1335"/>
        <v>0</v>
      </c>
      <c r="AP1021" s="10"/>
      <c r="AQ1021" s="10"/>
      <c r="AR1021" s="10"/>
      <c r="AS1021" s="10" t="str">
        <f t="shared" ref="AS1021" ca="1" si="1341">IFERROR(__xludf.DUMMYFUNCTION("split(F968,"","",true,true)"),"Algebra Ventures")</f>
        <v>Algebra Ventures</v>
      </c>
      <c r="AT1021" s="10" t="str">
        <f ca="1">IFERROR(__xludf.DUMMYFUNCTION("""COMPUTED_VALUE""")," Seas Capital")</f>
        <v xml:space="preserve"> Seas Capital</v>
      </c>
      <c r="AU1021" s="10"/>
      <c r="AV1021" s="10"/>
      <c r="AW1021" s="10"/>
      <c r="AX1021" s="10"/>
      <c r="AY1021" s="10"/>
      <c r="AZ1021" s="10"/>
      <c r="BA1021" s="10"/>
      <c r="BB1021" s="10"/>
      <c r="BC1021" s="10"/>
      <c r="BD1021" s="10"/>
      <c r="BE1021" s="10"/>
      <c r="BF1021" s="10"/>
      <c r="BG1021" s="10"/>
      <c r="BH1021" s="10"/>
      <c r="BI1021" s="10"/>
      <c r="BJ1021" s="10"/>
      <c r="BK1021" s="10"/>
      <c r="BM1021" s="10"/>
    </row>
    <row r="1022" spans="1:65" ht="12.75">
      <c r="A1022" s="18">
        <v>43560</v>
      </c>
      <c r="B1022" s="14" t="s">
        <v>632</v>
      </c>
      <c r="C1022" s="19">
        <v>5000000</v>
      </c>
      <c r="D1022" s="19"/>
      <c r="E1022" s="14" t="s">
        <v>69</v>
      </c>
      <c r="F1022" s="14" t="s">
        <v>1140</v>
      </c>
      <c r="G1022" s="21" t="s">
        <v>2179</v>
      </c>
      <c r="H1022" s="14" t="str">
        <f t="array" ref="H1022">IFERROR(INDEX([1]Companies!$G:$G,MATCH(B1022,[1]Companies!$A:$A,0)),"")</f>
        <v>Nigeria</v>
      </c>
      <c r="I1022" s="14" t="str">
        <f t="shared" si="1299"/>
        <v>Nigeria</v>
      </c>
      <c r="J1022" s="14" t="str">
        <f t="array" ref="J1022">IFERROR(INDEX([1]Companies!$Y:$Y,MATCH(B1022,[1]Companies!$A:$A,0)),"")</f>
        <v>Artificial Intelligence, Banking, Finance, Financial Services, FinTech</v>
      </c>
      <c r="K1022" s="14" t="str">
        <f t="array" ref="K1022">IFERROR(INDEX([1]Companies!$X:$X,MATCH(B1022,[1]Companies!$A:$A,0)),"")</f>
        <v>Financial Services</v>
      </c>
      <c r="L1022" s="14" t="str">
        <f>VLOOKUP(B1022,[1]Companies!$A$1:$C$5243,1,FALSE)</f>
        <v>Kudi</v>
      </c>
      <c r="M1022" s="15">
        <f t="shared" si="1300"/>
        <v>0.9</v>
      </c>
      <c r="N1022" s="10" t="str">
        <f t="shared" si="1301"/>
        <v>43560Kudi5000000</v>
      </c>
      <c r="O1022" s="14" t="str">
        <f t="shared" si="1302"/>
        <v/>
      </c>
      <c r="P1022" s="14">
        <f t="shared" si="1303"/>
        <v>1</v>
      </c>
      <c r="Q1022" s="14">
        <f t="array" ref="Q1022">IFERROR(INDEX([1]Companies!$D:$D,MATCH(B1022,[1]Companies!$A:$A,0)),"")</f>
        <v>2016</v>
      </c>
      <c r="R1022" s="17">
        <f t="shared" si="1304"/>
        <v>5120000</v>
      </c>
      <c r="S1022" s="14">
        <f>VLOOKUP(I1022,[1]Lookups!$V$3:$Y$197,4,FALSE)</f>
        <v>0</v>
      </c>
      <c r="T1022" s="14" t="str">
        <f>VLOOKUP(E1022,[1]Lookups!$H$3:$I$71,2,FALSE)</f>
        <v>3. Early Venture</v>
      </c>
      <c r="U1022" s="14" t="str">
        <f>VLOOKUP(K1022,[1]Lookups!$B$3:$C$142,2,FALSE)</f>
        <v>Financial Services</v>
      </c>
      <c r="V1022" s="14">
        <f t="shared" si="1230"/>
        <v>2019</v>
      </c>
      <c r="W1022" s="14">
        <f t="shared" si="1231"/>
        <v>4</v>
      </c>
      <c r="X1022" s="14">
        <f>VLOOKUP(W1022,[1]Lookups!$P$3:$S$15,2,FALSE)</f>
        <v>2</v>
      </c>
      <c r="Y1022" s="16">
        <f>VLOOKUP(W1022,[1]Lookups!$P$3:$U$15,3,FALSE)</f>
        <v>1</v>
      </c>
      <c r="Z1022" s="16">
        <f t="shared" si="1232"/>
        <v>1</v>
      </c>
      <c r="AA1022" s="16" t="str">
        <f t="shared" ca="1" si="1335"/>
        <v>Algebra Ventures</v>
      </c>
      <c r="AB1022" s="16">
        <f t="shared" si="1335"/>
        <v>0</v>
      </c>
      <c r="AC1022" s="16">
        <f t="shared" si="1335"/>
        <v>0</v>
      </c>
      <c r="AD1022" s="16">
        <f t="shared" si="1335"/>
        <v>0</v>
      </c>
      <c r="AE1022" s="16">
        <f t="shared" si="1335"/>
        <v>0</v>
      </c>
      <c r="AF1022" s="16">
        <f t="shared" si="1335"/>
        <v>0</v>
      </c>
      <c r="AG1022" s="16">
        <f t="shared" si="1335"/>
        <v>0</v>
      </c>
      <c r="AH1022" s="16">
        <f t="shared" si="1335"/>
        <v>0</v>
      </c>
      <c r="AI1022" s="16">
        <f t="shared" si="1335"/>
        <v>0</v>
      </c>
      <c r="AJ1022" s="16">
        <f t="shared" si="1335"/>
        <v>0</v>
      </c>
      <c r="AK1022" s="16">
        <f t="shared" si="1335"/>
        <v>0</v>
      </c>
      <c r="AL1022" s="16">
        <f t="shared" si="1335"/>
        <v>0</v>
      </c>
      <c r="AM1022" s="16">
        <f t="shared" si="1335"/>
        <v>0</v>
      </c>
      <c r="AN1022" s="16">
        <f t="shared" si="1335"/>
        <v>0</v>
      </c>
      <c r="AO1022" s="16">
        <f t="shared" si="1335"/>
        <v>0</v>
      </c>
      <c r="AP1022" s="10"/>
      <c r="AQ1022" s="10"/>
      <c r="AR1022" s="10"/>
      <c r="AS1022" s="10" t="str">
        <f t="shared" ref="AS1022" ca="1" si="1342">IFERROR(__xludf.DUMMYFUNCTION("split(F968,"","",true,true)"),"Algebra Ventures")</f>
        <v>Algebra Ventures</v>
      </c>
      <c r="AT1022" s="10"/>
      <c r="AU1022" s="10"/>
      <c r="AV1022" s="10"/>
      <c r="AW1022" s="10"/>
      <c r="AX1022" s="10"/>
      <c r="AY1022" s="10"/>
      <c r="AZ1022" s="10"/>
      <c r="BA1022" s="10"/>
      <c r="BB1022" s="10"/>
      <c r="BC1022" s="10"/>
      <c r="BD1022" s="10"/>
      <c r="BE1022" s="10"/>
      <c r="BF1022" s="10"/>
      <c r="BG1022" s="10"/>
      <c r="BH1022" s="10"/>
      <c r="BI1022" s="10"/>
      <c r="BJ1022" s="10"/>
      <c r="BK1022" s="10"/>
      <c r="BM1022" s="10"/>
    </row>
    <row r="1023" spans="1:65" ht="12.75">
      <c r="A1023" s="9">
        <v>43561</v>
      </c>
      <c r="B1023" s="10" t="s">
        <v>1172</v>
      </c>
      <c r="C1023" s="11">
        <v>10000</v>
      </c>
      <c r="D1023" s="12"/>
      <c r="E1023" s="14" t="s">
        <v>45</v>
      </c>
      <c r="F1023" s="10" t="s">
        <v>1234</v>
      </c>
      <c r="G1023" s="13" t="s">
        <v>2180</v>
      </c>
      <c r="H1023" s="14" t="str">
        <f t="array" ref="H1023">IFERROR(INDEX([1]Companies!$G:$G,MATCH(B1023,[1]Companies!$A:$A,0)),"")</f>
        <v>Nigeria</v>
      </c>
      <c r="I1023" s="14" t="str">
        <f t="shared" si="1299"/>
        <v>Nigeria</v>
      </c>
      <c r="J1023" s="14" t="str">
        <f t="array" ref="J1023">IFERROR(INDEX([1]Companies!$Y:$Y,MATCH(B1023,[1]Companies!$A:$A,0)),"")</f>
        <v>Health Care, Pharmaceutical, SaaS</v>
      </c>
      <c r="K1023" s="14" t="str">
        <f t="array" ref="K1023">IFERROR(INDEX([1]Companies!$X:$X,MATCH(B1023,[1]Companies!$A:$A,0)),"")</f>
        <v>Healthcare &amp; Pharma</v>
      </c>
      <c r="L1023" s="14" t="str">
        <f>VLOOKUP(B1023,[1]Companies!$A$1:$C$5243,1,FALSE)</f>
        <v>Medsaf</v>
      </c>
      <c r="M1023" s="15">
        <f t="shared" si="1300"/>
        <v>0.9</v>
      </c>
      <c r="N1023" s="10" t="str">
        <f t="shared" si="1301"/>
        <v>43561Medsaf10000</v>
      </c>
      <c r="O1023" s="14" t="str">
        <f t="shared" si="1302"/>
        <v/>
      </c>
      <c r="P1023" s="14">
        <f t="shared" si="1303"/>
        <v>1</v>
      </c>
      <c r="Q1023" s="14">
        <f t="array" ref="Q1023">IFERROR(INDEX([1]Companies!$D:$D,MATCH(B1023,[1]Companies!$A:$A,0)),"")</f>
        <v>2017</v>
      </c>
      <c r="R1023" s="17">
        <f t="shared" si="1304"/>
        <v>1440000</v>
      </c>
      <c r="S1023" s="14">
        <f>VLOOKUP(I1023,[1]Lookups!$V$3:$Y$197,4,FALSE)</f>
        <v>0</v>
      </c>
      <c r="T1023" s="14" t="str">
        <f>VLOOKUP(E1023,[1]Lookups!$H$3:$I$71,2,FALSE)</f>
        <v>2. Seed</v>
      </c>
      <c r="U1023" s="14" t="str">
        <f>VLOOKUP(K1023,[1]Lookups!$B$3:$C$142,2,FALSE)</f>
        <v>Health &amp; Pharmaceuticals</v>
      </c>
      <c r="V1023" s="14">
        <f t="shared" si="1230"/>
        <v>2019</v>
      </c>
      <c r="W1023" s="14">
        <f t="shared" si="1231"/>
        <v>4</v>
      </c>
      <c r="X1023" s="14">
        <f>VLOOKUP(W1023,[1]Lookups!$P$3:$S$15,2,FALSE)</f>
        <v>2</v>
      </c>
      <c r="Y1023" s="16">
        <f>VLOOKUP(W1023,[1]Lookups!$P$3:$U$15,3,FALSE)</f>
        <v>1</v>
      </c>
      <c r="Z1023" s="16">
        <f t="shared" si="1232"/>
        <v>1</v>
      </c>
      <c r="AA1023" s="16" t="str">
        <f t="shared" ca="1" si="1335"/>
        <v>Algebra Ventures</v>
      </c>
      <c r="AB1023" s="16">
        <f t="shared" si="1335"/>
        <v>0</v>
      </c>
      <c r="AC1023" s="16">
        <f t="shared" si="1335"/>
        <v>0</v>
      </c>
      <c r="AD1023" s="16">
        <f t="shared" si="1335"/>
        <v>0</v>
      </c>
      <c r="AE1023" s="16">
        <f t="shared" si="1335"/>
        <v>0</v>
      </c>
      <c r="AF1023" s="16">
        <f t="shared" si="1335"/>
        <v>0</v>
      </c>
      <c r="AG1023" s="16">
        <f t="shared" si="1335"/>
        <v>0</v>
      </c>
      <c r="AH1023" s="16">
        <f t="shared" si="1335"/>
        <v>0</v>
      </c>
      <c r="AI1023" s="16">
        <f t="shared" si="1335"/>
        <v>0</v>
      </c>
      <c r="AJ1023" s="16">
        <f t="shared" si="1335"/>
        <v>0</v>
      </c>
      <c r="AK1023" s="16">
        <f t="shared" si="1335"/>
        <v>0</v>
      </c>
      <c r="AL1023" s="16">
        <f t="shared" si="1335"/>
        <v>0</v>
      </c>
      <c r="AM1023" s="16">
        <f t="shared" si="1335"/>
        <v>0</v>
      </c>
      <c r="AN1023" s="16">
        <f t="shared" si="1335"/>
        <v>0</v>
      </c>
      <c r="AO1023" s="16">
        <f t="shared" si="1335"/>
        <v>0</v>
      </c>
      <c r="AP1023" s="10"/>
      <c r="AQ1023" s="10"/>
      <c r="AR1023" s="10"/>
      <c r="AS1023" s="10" t="str">
        <f t="shared" ref="AS1023" ca="1" si="1343">IFERROR(__xludf.DUMMYFUNCTION("split(F968,"","",true,true)"),"Algebra Ventures")</f>
        <v>Algebra Ventures</v>
      </c>
      <c r="AT1023" s="10"/>
      <c r="AU1023" s="10"/>
      <c r="AV1023" s="10"/>
      <c r="AW1023" s="10"/>
      <c r="AX1023" s="10"/>
      <c r="AY1023" s="10"/>
      <c r="AZ1023" s="10"/>
      <c r="BA1023" s="10"/>
      <c r="BB1023" s="10"/>
      <c r="BC1023" s="10"/>
      <c r="BD1023" s="10"/>
      <c r="BE1023" s="10"/>
      <c r="BF1023" s="10"/>
      <c r="BG1023" s="10"/>
      <c r="BH1023" s="10"/>
      <c r="BI1023" s="10"/>
      <c r="BJ1023" s="10"/>
      <c r="BK1023" s="10"/>
      <c r="BM1023" s="10"/>
    </row>
    <row r="1024" spans="1:65" ht="12.75">
      <c r="A1024" s="9">
        <v>43561</v>
      </c>
      <c r="B1024" s="10" t="s">
        <v>2181</v>
      </c>
      <c r="C1024" s="11">
        <v>10000</v>
      </c>
      <c r="D1024" s="12"/>
      <c r="E1024" s="14" t="s">
        <v>45</v>
      </c>
      <c r="F1024" s="10" t="s">
        <v>1234</v>
      </c>
      <c r="G1024" s="13" t="s">
        <v>2180</v>
      </c>
      <c r="H1024" s="14" t="str">
        <f t="array" ref="H1024">IFERROR(INDEX([1]Companies!$G:$G,MATCH(B1024,[1]Companies!$A:$A,0)),"")</f>
        <v>South Africa</v>
      </c>
      <c r="I1024" s="14" t="str">
        <f t="shared" si="1299"/>
        <v>South Africa</v>
      </c>
      <c r="J1024" s="14" t="str">
        <f t="array" ref="J1024">IFERROR(INDEX([1]Companies!$Y:$Y,MATCH(B1024,[1]Companies!$A:$A,0)),"")</f>
        <v>Health &amp; Pharmaceuticals</v>
      </c>
      <c r="K1024" s="14" t="str">
        <f t="array" ref="K1024">IFERROR(INDEX([1]Companies!$X:$X,MATCH(B1024,[1]Companies!$A:$A,0)),"")</f>
        <v>Healthcare &amp; Pharma</v>
      </c>
      <c r="L1024" s="14" t="str">
        <f>VLOOKUP(B1024,[1]Companies!$A$1:$C$5243,1,FALSE)</f>
        <v>Iyeza Health</v>
      </c>
      <c r="M1024" s="15">
        <f t="shared" si="1300"/>
        <v>0.9</v>
      </c>
      <c r="N1024" s="10" t="str">
        <f t="shared" si="1301"/>
        <v>43561Iyeza Health10000</v>
      </c>
      <c r="O1024" s="14" t="str">
        <f t="shared" si="1302"/>
        <v/>
      </c>
      <c r="P1024" s="14">
        <f t="shared" si="1303"/>
        <v>1</v>
      </c>
      <c r="Q1024" s="14">
        <f t="array" ref="Q1024">IFERROR(INDEX([1]Companies!$D:$D,MATCH(B1024,[1]Companies!$A:$A,0)),"")</f>
        <v>2016</v>
      </c>
      <c r="R1024" s="17">
        <f t="shared" si="1304"/>
        <v>10000</v>
      </c>
      <c r="S1024" s="14">
        <f>VLOOKUP(I1024,[1]Lookups!$V$3:$Y$197,4,FALSE)</f>
        <v>0</v>
      </c>
      <c r="T1024" s="14" t="str">
        <f>VLOOKUP(E1024,[1]Lookups!$H$3:$I$71,2,FALSE)</f>
        <v>2. Seed</v>
      </c>
      <c r="U1024" s="14" t="str">
        <f>VLOOKUP(K1024,[1]Lookups!$B$3:$C$142,2,FALSE)</f>
        <v>Health &amp; Pharmaceuticals</v>
      </c>
      <c r="V1024" s="14">
        <f t="shared" si="1230"/>
        <v>2019</v>
      </c>
      <c r="W1024" s="14">
        <f t="shared" si="1231"/>
        <v>4</v>
      </c>
      <c r="X1024" s="14">
        <f>VLOOKUP(W1024,[1]Lookups!$P$3:$S$15,2,FALSE)</f>
        <v>2</v>
      </c>
      <c r="Y1024" s="16">
        <f>VLOOKUP(W1024,[1]Lookups!$P$3:$U$15,3,FALSE)</f>
        <v>1</v>
      </c>
      <c r="Z1024" s="16">
        <f t="shared" si="1232"/>
        <v>1</v>
      </c>
      <c r="AA1024" s="16" t="str">
        <f t="shared" ca="1" si="1335"/>
        <v>Algebra Ventures</v>
      </c>
      <c r="AB1024" s="16">
        <f t="shared" si="1335"/>
        <v>0</v>
      </c>
      <c r="AC1024" s="16">
        <f t="shared" si="1335"/>
        <v>0</v>
      </c>
      <c r="AD1024" s="16">
        <f t="shared" si="1335"/>
        <v>0</v>
      </c>
      <c r="AE1024" s="16">
        <f t="shared" si="1335"/>
        <v>0</v>
      </c>
      <c r="AF1024" s="16">
        <f t="shared" si="1335"/>
        <v>0</v>
      </c>
      <c r="AG1024" s="16">
        <f t="shared" si="1335"/>
        <v>0</v>
      </c>
      <c r="AH1024" s="16">
        <f t="shared" si="1335"/>
        <v>0</v>
      </c>
      <c r="AI1024" s="16">
        <f t="shared" si="1335"/>
        <v>0</v>
      </c>
      <c r="AJ1024" s="16">
        <f t="shared" si="1335"/>
        <v>0</v>
      </c>
      <c r="AK1024" s="16">
        <f t="shared" si="1335"/>
        <v>0</v>
      </c>
      <c r="AL1024" s="16">
        <f t="shared" si="1335"/>
        <v>0</v>
      </c>
      <c r="AM1024" s="16">
        <f t="shared" si="1335"/>
        <v>0</v>
      </c>
      <c r="AN1024" s="16">
        <f t="shared" si="1335"/>
        <v>0</v>
      </c>
      <c r="AO1024" s="16">
        <f t="shared" si="1335"/>
        <v>0</v>
      </c>
      <c r="AP1024" s="10"/>
      <c r="AQ1024" s="10"/>
      <c r="AR1024" s="10"/>
      <c r="AS1024" s="10" t="str">
        <f t="shared" ref="AS1024" ca="1" si="1344">IFERROR(__xludf.DUMMYFUNCTION("split(F968,"","",true,true)"),"Algebra Ventures")</f>
        <v>Algebra Ventures</v>
      </c>
      <c r="AT1024" s="10"/>
      <c r="AU1024" s="10"/>
      <c r="AV1024" s="10"/>
      <c r="AW1024" s="10"/>
      <c r="AX1024" s="10"/>
      <c r="AY1024" s="10"/>
      <c r="AZ1024" s="10"/>
      <c r="BA1024" s="10"/>
      <c r="BB1024" s="10"/>
      <c r="BC1024" s="10"/>
      <c r="BD1024" s="10"/>
      <c r="BE1024" s="10"/>
      <c r="BF1024" s="10"/>
      <c r="BG1024" s="10"/>
      <c r="BH1024" s="10"/>
      <c r="BI1024" s="10"/>
      <c r="BJ1024" s="10"/>
      <c r="BK1024" s="10"/>
      <c r="BM1024" s="10"/>
    </row>
    <row r="1025" spans="1:65" ht="12.75">
      <c r="A1025" s="9">
        <v>43564</v>
      </c>
      <c r="B1025" s="10" t="s">
        <v>2182</v>
      </c>
      <c r="C1025" s="11">
        <v>2250000</v>
      </c>
      <c r="D1025" s="12"/>
      <c r="E1025" s="14" t="s">
        <v>69</v>
      </c>
      <c r="F1025" s="10" t="s">
        <v>2183</v>
      </c>
      <c r="G1025" s="13" t="s">
        <v>2184</v>
      </c>
      <c r="H1025" s="14" t="str">
        <f t="array" ref="H1025">IFERROR(INDEX([1]Companies!$G:$G,MATCH(B1025,[1]Companies!$A:$A,0)),"")</f>
        <v>Kenya</v>
      </c>
      <c r="I1025" s="14" t="str">
        <f t="shared" si="1299"/>
        <v>Kenya</v>
      </c>
      <c r="J1025" s="14" t="str">
        <f t="array" ref="J1025">IFERROR(INDEX([1]Companies!$Y:$Y,MATCH(B1025,[1]Companies!$A:$A,0)),"")</f>
        <v>Supplies, Agriculture</v>
      </c>
      <c r="K1025" s="14" t="str">
        <f t="array" ref="K1025">IFERROR(INDEX([1]Companies!$X:$X,MATCH(B1025,[1]Companies!$A:$A,0)),"")</f>
        <v>Agriculture</v>
      </c>
      <c r="L1025" s="14" t="str">
        <f>VLOOKUP(B1025,[1]Companies!$A$1:$C$5243,1,FALSE)</f>
        <v>Sidai Africa Ltd</v>
      </c>
      <c r="M1025" s="15">
        <f t="shared" si="1300"/>
        <v>0.9</v>
      </c>
      <c r="N1025" s="10" t="str">
        <f t="shared" si="1301"/>
        <v>43564Sidai Africa Ltd2250000</v>
      </c>
      <c r="O1025" s="14" t="str">
        <f t="shared" si="1302"/>
        <v/>
      </c>
      <c r="P1025" s="14">
        <f t="shared" si="1303"/>
        <v>1</v>
      </c>
      <c r="Q1025" s="14">
        <f t="array" ref="Q1025">IFERROR(INDEX([1]Companies!$D:$D,MATCH(B1025,[1]Companies!$A:$A,0)),"")</f>
        <v>2011</v>
      </c>
      <c r="R1025" s="17">
        <f t="shared" si="1304"/>
        <v>2250000</v>
      </c>
      <c r="S1025" s="14">
        <f>VLOOKUP(I1025,[1]Lookups!$V$3:$Y$197,4,FALSE)</f>
        <v>0</v>
      </c>
      <c r="T1025" s="14" t="str">
        <f>VLOOKUP(E1025,[1]Lookups!$H$3:$I$71,2,FALSE)</f>
        <v>3. Early Venture</v>
      </c>
      <c r="U1025" s="14" t="str">
        <f>VLOOKUP(K1025,[1]Lookups!$B$3:$C$142,2,FALSE)</f>
        <v>Agriculture</v>
      </c>
      <c r="V1025" s="14">
        <f t="shared" si="1230"/>
        <v>2019</v>
      </c>
      <c r="W1025" s="14">
        <f t="shared" si="1231"/>
        <v>4</v>
      </c>
      <c r="X1025" s="14">
        <f>VLOOKUP(W1025,[1]Lookups!$P$3:$S$15,2,FALSE)</f>
        <v>2</v>
      </c>
      <c r="Y1025" s="16">
        <f>VLOOKUP(W1025,[1]Lookups!$P$3:$U$15,3,FALSE)</f>
        <v>1</v>
      </c>
      <c r="Z1025" s="16">
        <f t="shared" si="1232"/>
        <v>1</v>
      </c>
      <c r="AA1025" s="16" t="str">
        <f t="shared" ca="1" si="1335"/>
        <v>Algebra Ventures</v>
      </c>
      <c r="AB1025" s="16">
        <f t="shared" si="1335"/>
        <v>0</v>
      </c>
      <c r="AC1025" s="16">
        <f t="shared" si="1335"/>
        <v>0</v>
      </c>
      <c r="AD1025" s="16">
        <f t="shared" si="1335"/>
        <v>0</v>
      </c>
      <c r="AE1025" s="16">
        <f t="shared" si="1335"/>
        <v>0</v>
      </c>
      <c r="AF1025" s="16">
        <f t="shared" si="1335"/>
        <v>0</v>
      </c>
      <c r="AG1025" s="16">
        <f t="shared" si="1335"/>
        <v>0</v>
      </c>
      <c r="AH1025" s="16">
        <f t="shared" si="1335"/>
        <v>0</v>
      </c>
      <c r="AI1025" s="16">
        <f t="shared" si="1335"/>
        <v>0</v>
      </c>
      <c r="AJ1025" s="16">
        <f t="shared" si="1335"/>
        <v>0</v>
      </c>
      <c r="AK1025" s="16">
        <f t="shared" si="1335"/>
        <v>0</v>
      </c>
      <c r="AL1025" s="16">
        <f t="shared" si="1335"/>
        <v>0</v>
      </c>
      <c r="AM1025" s="16">
        <f t="shared" si="1335"/>
        <v>0</v>
      </c>
      <c r="AN1025" s="16">
        <f t="shared" si="1335"/>
        <v>0</v>
      </c>
      <c r="AO1025" s="16">
        <f t="shared" si="1335"/>
        <v>0</v>
      </c>
      <c r="AP1025" s="10"/>
      <c r="AQ1025" s="10"/>
      <c r="AR1025" s="10"/>
      <c r="AS1025" s="10" t="str">
        <f t="shared" ref="AS1025" ca="1" si="1345">IFERROR(__xludf.DUMMYFUNCTION("split(F968,"","",true,true)"),"Algebra Ventures")</f>
        <v>Algebra Ventures</v>
      </c>
      <c r="AT1025" s="10"/>
      <c r="AU1025" s="10"/>
      <c r="AV1025" s="10"/>
      <c r="AW1025" s="10"/>
      <c r="AX1025" s="10"/>
      <c r="AY1025" s="10"/>
      <c r="AZ1025" s="10"/>
      <c r="BA1025" s="10"/>
      <c r="BB1025" s="10"/>
      <c r="BC1025" s="10"/>
      <c r="BD1025" s="10"/>
      <c r="BE1025" s="10"/>
      <c r="BF1025" s="10"/>
      <c r="BG1025" s="10"/>
      <c r="BH1025" s="10"/>
      <c r="BI1025" s="10"/>
      <c r="BJ1025" s="10"/>
      <c r="BK1025" s="10"/>
      <c r="BM1025" s="10"/>
    </row>
    <row r="1026" spans="1:65" ht="12.75">
      <c r="A1026" s="18">
        <v>43566</v>
      </c>
      <c r="B1026" s="14" t="s">
        <v>1372</v>
      </c>
      <c r="C1026" s="19">
        <v>1040000</v>
      </c>
      <c r="D1026" s="19"/>
      <c r="E1026" s="14" t="s">
        <v>45</v>
      </c>
      <c r="F1026" s="14" t="s">
        <v>2185</v>
      </c>
      <c r="G1026" s="13" t="s">
        <v>2186</v>
      </c>
      <c r="H1026" s="14" t="str">
        <f t="array" ref="H1026">IFERROR(INDEX([1]Companies!$G:$G,MATCH(B1026,[1]Companies!$A:$A,0)),"")</f>
        <v>Uganda</v>
      </c>
      <c r="I1026" s="14" t="str">
        <f t="shared" si="1299"/>
        <v>Uganda</v>
      </c>
      <c r="J1026" s="14" t="str">
        <f t="array" ref="J1026">IFERROR(INDEX([1]Companies!$Y:$Y,MATCH(B1026,[1]Companies!$A:$A,0)),"")</f>
        <v>Baby, Crowdfunding, Health Care, Medical Device, Wearables</v>
      </c>
      <c r="K1026" s="14" t="str">
        <f t="array" ref="K1026">IFERROR(INDEX([1]Companies!$X:$X,MATCH(B1026,[1]Companies!$A:$A,0)),"")</f>
        <v>Healthcare &amp; Pharma</v>
      </c>
      <c r="L1026" s="14" t="str">
        <f>VLOOKUP(B1026,[1]Companies!$A$1:$C$5243,1,FALSE)</f>
        <v>Neopenda</v>
      </c>
      <c r="M1026" s="15">
        <f t="shared" si="1300"/>
        <v>0.9</v>
      </c>
      <c r="N1026" s="10" t="str">
        <f t="shared" si="1301"/>
        <v>43566Neopenda1040000</v>
      </c>
      <c r="O1026" s="14" t="str">
        <f t="shared" si="1302"/>
        <v/>
      </c>
      <c r="P1026" s="14">
        <f t="shared" si="1303"/>
        <v>1</v>
      </c>
      <c r="Q1026" s="14">
        <f t="array" ref="Q1026">IFERROR(INDEX([1]Companies!$D:$D,MATCH(B1026,[1]Companies!$A:$A,0)),"")</f>
        <v>2015</v>
      </c>
      <c r="R1026" s="17">
        <f t="shared" si="1304"/>
        <v>1510000</v>
      </c>
      <c r="S1026" s="14">
        <f>VLOOKUP(I1026,[1]Lookups!$V$3:$Y$197,4,FALSE)</f>
        <v>0</v>
      </c>
      <c r="T1026" s="14" t="str">
        <f>VLOOKUP(E1026,[1]Lookups!$H$3:$I$71,2,FALSE)</f>
        <v>2. Seed</v>
      </c>
      <c r="U1026" s="14" t="str">
        <f>VLOOKUP(K1026,[1]Lookups!$B$3:$C$142,2,FALSE)</f>
        <v>Health &amp; Pharmaceuticals</v>
      </c>
      <c r="V1026" s="14">
        <f t="shared" si="1230"/>
        <v>2019</v>
      </c>
      <c r="W1026" s="14">
        <f t="shared" si="1231"/>
        <v>4</v>
      </c>
      <c r="X1026" s="14">
        <f>VLOOKUP(W1026,[1]Lookups!$P$3:$S$15,2,FALSE)</f>
        <v>2</v>
      </c>
      <c r="Y1026" s="16">
        <f>VLOOKUP(W1026,[1]Lookups!$P$3:$U$15,3,FALSE)</f>
        <v>1</v>
      </c>
      <c r="Z1026" s="16">
        <f t="shared" si="1232"/>
        <v>2</v>
      </c>
      <c r="AA1026" s="16" t="str">
        <f t="shared" ca="1" si="1335"/>
        <v>Algebra Ventures</v>
      </c>
      <c r="AB1026" s="16" t="str">
        <f t="shared" ca="1" si="1335"/>
        <v xml:space="preserve"> Axel Johnson Inc</v>
      </c>
      <c r="AC1026" s="16">
        <f t="shared" si="1335"/>
        <v>0</v>
      </c>
      <c r="AD1026" s="16">
        <f t="shared" si="1335"/>
        <v>0</v>
      </c>
      <c r="AE1026" s="16">
        <f t="shared" si="1335"/>
        <v>0</v>
      </c>
      <c r="AF1026" s="16">
        <f t="shared" si="1335"/>
        <v>0</v>
      </c>
      <c r="AG1026" s="16">
        <f t="shared" si="1335"/>
        <v>0</v>
      </c>
      <c r="AH1026" s="16">
        <f t="shared" si="1335"/>
        <v>0</v>
      </c>
      <c r="AI1026" s="16">
        <f t="shared" si="1335"/>
        <v>0</v>
      </c>
      <c r="AJ1026" s="16">
        <f t="shared" si="1335"/>
        <v>0</v>
      </c>
      <c r="AK1026" s="16">
        <f t="shared" si="1335"/>
        <v>0</v>
      </c>
      <c r="AL1026" s="16">
        <f t="shared" si="1335"/>
        <v>0</v>
      </c>
      <c r="AM1026" s="16">
        <f t="shared" si="1335"/>
        <v>0</v>
      </c>
      <c r="AN1026" s="16">
        <f t="shared" si="1335"/>
        <v>0</v>
      </c>
      <c r="AO1026" s="16">
        <f t="shared" si="1335"/>
        <v>0</v>
      </c>
      <c r="AP1026" s="10"/>
      <c r="AQ1026" s="10"/>
      <c r="AR1026" s="10"/>
      <c r="AS1026" s="10" t="str">
        <f t="shared" ref="AS1026" ca="1" si="1346">IFERROR(__xludf.DUMMYFUNCTION("split(F968,"","",true,true)"),"Algebra Ventures")</f>
        <v>Algebra Ventures</v>
      </c>
      <c r="AT1026" s="10" t="str">
        <f ca="1">IFERROR(__xludf.DUMMYFUNCTION("""COMPUTED_VALUE""")," Axel Johnson Inc")</f>
        <v xml:space="preserve"> Axel Johnson Inc</v>
      </c>
      <c r="AU1026" s="10"/>
      <c r="AV1026" s="10"/>
      <c r="AW1026" s="10"/>
      <c r="AX1026" s="10"/>
      <c r="AY1026" s="10"/>
      <c r="AZ1026" s="10"/>
      <c r="BA1026" s="10"/>
      <c r="BB1026" s="10"/>
      <c r="BC1026" s="10"/>
      <c r="BD1026" s="10"/>
      <c r="BE1026" s="10"/>
      <c r="BF1026" s="10"/>
      <c r="BG1026" s="10"/>
      <c r="BH1026" s="10"/>
      <c r="BI1026" s="10"/>
      <c r="BJ1026" s="10"/>
      <c r="BK1026" s="10"/>
      <c r="BM1026" s="10"/>
    </row>
    <row r="1027" spans="1:65" ht="12.75">
      <c r="A1027" s="18">
        <v>43567</v>
      </c>
      <c r="B1027" s="14" t="s">
        <v>2187</v>
      </c>
      <c r="C1027" s="19">
        <v>1000</v>
      </c>
      <c r="D1027" s="22"/>
      <c r="E1027" s="10" t="s">
        <v>55</v>
      </c>
      <c r="F1027" s="14" t="s">
        <v>2188</v>
      </c>
      <c r="G1027" s="21" t="s">
        <v>2189</v>
      </c>
      <c r="H1027" s="14" t="str">
        <f t="array" ref="H1027">IFERROR(INDEX([1]Companies!$G:$G,MATCH(B1027,[1]Companies!$A:$A,0)),"")</f>
        <v>South Africa</v>
      </c>
      <c r="I1027" s="14" t="str">
        <f t="shared" si="1299"/>
        <v>South Africa</v>
      </c>
      <c r="J1027" s="14" t="str">
        <f t="array" ref="J1027">IFERROR(INDEX([1]Companies!$Y:$Y,MATCH(B1027,[1]Companies!$A:$A,0)),"")</f>
        <v>Waste management</v>
      </c>
      <c r="K1027" s="14" t="str">
        <f t="array" ref="K1027">IFERROR(INDEX([1]Companies!$X:$X,MATCH(B1027,[1]Companies!$A:$A,0)),"")</f>
        <v>Energy &amp; Environment Resources</v>
      </c>
      <c r="L1027" s="14" t="str">
        <f>VLOOKUP(B1027,[1]Companies!$A$1:$C$5243,1,FALSE)</f>
        <v>Cash4Trash</v>
      </c>
      <c r="M1027" s="15">
        <f t="shared" si="1300"/>
        <v>0.9</v>
      </c>
      <c r="N1027" s="10" t="str">
        <f t="shared" si="1301"/>
        <v>43567Cash4Trash1000</v>
      </c>
      <c r="O1027" s="14" t="str">
        <f t="shared" si="1302"/>
        <v/>
      </c>
      <c r="P1027" s="14">
        <f t="shared" si="1303"/>
        <v>1</v>
      </c>
      <c r="Q1027" s="14">
        <f t="array" ref="Q1027">IFERROR(INDEX([1]Companies!$D:$D,MATCH(B1027,[1]Companies!$A:$A,0)),"")</f>
        <v>2018</v>
      </c>
      <c r="R1027" s="17">
        <f t="shared" si="1304"/>
        <v>1000</v>
      </c>
      <c r="S1027" s="14">
        <f>VLOOKUP(I1027,[1]Lookups!$V$3:$Y$197,4,FALSE)</f>
        <v>0</v>
      </c>
      <c r="T1027" s="14" t="str">
        <f>VLOOKUP(E1027,[1]Lookups!$H$3:$I$71,2,FALSE)</f>
        <v>1. Grant</v>
      </c>
      <c r="U1027" s="14" t="e">
        <f>VLOOKUP(K1027,[1]Lookups!$B$3:$C$142,2,FALSE)</f>
        <v>#N/A</v>
      </c>
      <c r="V1027" s="14">
        <f t="shared" si="1230"/>
        <v>2019</v>
      </c>
      <c r="W1027" s="14">
        <f t="shared" si="1231"/>
        <v>4</v>
      </c>
      <c r="X1027" s="14">
        <f>VLOOKUP(W1027,[1]Lookups!$P$3:$S$15,2,FALSE)</f>
        <v>2</v>
      </c>
      <c r="Y1027" s="16">
        <f>VLOOKUP(W1027,[1]Lookups!$P$3:$U$15,3,FALSE)</f>
        <v>1</v>
      </c>
      <c r="Z1027" s="16">
        <f t="shared" si="1232"/>
        <v>1</v>
      </c>
      <c r="AA1027" s="16" t="str">
        <f t="shared" ca="1" si="1335"/>
        <v>Algebra Ventures</v>
      </c>
      <c r="AB1027" s="16">
        <f t="shared" si="1335"/>
        <v>0</v>
      </c>
      <c r="AC1027" s="16">
        <f t="shared" si="1335"/>
        <v>0</v>
      </c>
      <c r="AD1027" s="16">
        <f t="shared" si="1335"/>
        <v>0</v>
      </c>
      <c r="AE1027" s="16">
        <f t="shared" si="1335"/>
        <v>0</v>
      </c>
      <c r="AF1027" s="16">
        <f t="shared" si="1335"/>
        <v>0</v>
      </c>
      <c r="AG1027" s="16">
        <f t="shared" si="1335"/>
        <v>0</v>
      </c>
      <c r="AH1027" s="16">
        <f t="shared" si="1335"/>
        <v>0</v>
      </c>
      <c r="AI1027" s="16">
        <f t="shared" si="1335"/>
        <v>0</v>
      </c>
      <c r="AJ1027" s="16">
        <f t="shared" si="1335"/>
        <v>0</v>
      </c>
      <c r="AK1027" s="16">
        <f t="shared" si="1335"/>
        <v>0</v>
      </c>
      <c r="AL1027" s="16">
        <f t="shared" si="1335"/>
        <v>0</v>
      </c>
      <c r="AM1027" s="16">
        <f t="shared" si="1335"/>
        <v>0</v>
      </c>
      <c r="AN1027" s="16">
        <f t="shared" si="1335"/>
        <v>0</v>
      </c>
      <c r="AO1027" s="16">
        <f t="shared" si="1335"/>
        <v>0</v>
      </c>
      <c r="AP1027" s="10"/>
      <c r="AQ1027" s="10"/>
      <c r="AR1027" s="10"/>
      <c r="AS1027" s="10" t="str">
        <f t="shared" ref="AS1027" ca="1" si="1347">IFERROR(__xludf.DUMMYFUNCTION("split(F968,"","",true,true)"),"Algebra Ventures")</f>
        <v>Algebra Ventures</v>
      </c>
      <c r="AT1027" s="10"/>
      <c r="AU1027" s="10"/>
      <c r="AV1027" s="10"/>
      <c r="AW1027" s="10"/>
      <c r="AX1027" s="10"/>
      <c r="AY1027" s="10"/>
      <c r="AZ1027" s="10"/>
      <c r="BA1027" s="10"/>
      <c r="BB1027" s="10"/>
      <c r="BC1027" s="10"/>
      <c r="BD1027" s="10"/>
      <c r="BE1027" s="10"/>
      <c r="BF1027" s="10"/>
      <c r="BG1027" s="10"/>
      <c r="BH1027" s="10"/>
      <c r="BI1027" s="10"/>
      <c r="BJ1027" s="10"/>
      <c r="BK1027" s="10"/>
      <c r="BM1027" s="10"/>
    </row>
    <row r="1028" spans="1:65" ht="12.75">
      <c r="A1028" s="18">
        <v>43568</v>
      </c>
      <c r="B1028" s="14" t="s">
        <v>1366</v>
      </c>
      <c r="C1028" s="19">
        <v>21400</v>
      </c>
      <c r="D1028" s="19"/>
      <c r="E1028" s="14" t="s">
        <v>564</v>
      </c>
      <c r="F1028" s="14" t="s">
        <v>49</v>
      </c>
      <c r="G1028" s="21" t="s">
        <v>2190</v>
      </c>
      <c r="H1028" s="14" t="str">
        <f t="array" ref="H1028">IFERROR(INDEX([1]Companies!$G:$G,MATCH(B1028,[1]Companies!$A:$A,0)),"")</f>
        <v>South Africa</v>
      </c>
      <c r="I1028" s="14" t="str">
        <f t="shared" si="1299"/>
        <v>South Africa</v>
      </c>
      <c r="J1028" s="14" t="str">
        <f t="array" ref="J1028">IFERROR(INDEX([1]Companies!$Y:$Y,MATCH(B1028,[1]Companies!$A:$A,0)),"")</f>
        <v>Big Data, Information Technology, Mobile Apps, Mobile Payments, Predictive Analytics, Public Transportation, Ride Sharing, Ticketing, Transportation</v>
      </c>
      <c r="K1028" s="14" t="str">
        <f t="array" ref="K1028">IFERROR(INDEX([1]Companies!$X:$X,MATCH(B1028,[1]Companies!$A:$A,0)),"")</f>
        <v>Information Technology</v>
      </c>
      <c r="L1028" s="14" t="str">
        <f>VLOOKUP(B1028,[1]Companies!$A$1:$C$5243,1,FALSE)</f>
        <v>LÜLA</v>
      </c>
      <c r="M1028" s="15">
        <f t="shared" si="1300"/>
        <v>0.9</v>
      </c>
      <c r="N1028" s="10" t="str">
        <f t="shared" si="1301"/>
        <v>43568LÜLA21400</v>
      </c>
      <c r="O1028" s="14" t="str">
        <f t="shared" si="1302"/>
        <v/>
      </c>
      <c r="P1028" s="14">
        <f t="shared" si="1303"/>
        <v>1</v>
      </c>
      <c r="Q1028" s="14">
        <f t="array" ref="Q1028">IFERROR(INDEX([1]Companies!$D:$D,MATCH(B1028,[1]Companies!$A:$A,0)),"")</f>
        <v>2016</v>
      </c>
      <c r="R1028" s="17">
        <f t="shared" si="1304"/>
        <v>91400</v>
      </c>
      <c r="S1028" s="14">
        <f>VLOOKUP(I1028,[1]Lookups!$V$3:$Y$197,4,FALSE)</f>
        <v>0</v>
      </c>
      <c r="T1028" s="14" t="str">
        <f>VLOOKUP(E1028,[1]Lookups!$H$3:$I$71,2,FALSE)</f>
        <v>7. Offerings</v>
      </c>
      <c r="U1028" s="14" t="str">
        <f>VLOOKUP(K1028,[1]Lookups!$B$3:$C$142,2,FALSE)</f>
        <v>Other Technologies &amp; Information Technology</v>
      </c>
      <c r="V1028" s="14">
        <f t="shared" si="1230"/>
        <v>2019</v>
      </c>
      <c r="W1028" s="14">
        <f t="shared" si="1231"/>
        <v>4</v>
      </c>
      <c r="X1028" s="14">
        <f>VLOOKUP(W1028,[1]Lookups!$P$3:$S$15,2,FALSE)</f>
        <v>2</v>
      </c>
      <c r="Y1028" s="16">
        <f>VLOOKUP(W1028,[1]Lookups!$P$3:$U$15,3,FALSE)</f>
        <v>1</v>
      </c>
      <c r="Z1028" s="16">
        <f t="shared" si="1232"/>
        <v>1</v>
      </c>
      <c r="AA1028" s="16" t="str">
        <f t="shared" ca="1" si="1335"/>
        <v>Algebra Ventures</v>
      </c>
      <c r="AB1028" s="16">
        <f t="shared" si="1335"/>
        <v>0</v>
      </c>
      <c r="AC1028" s="16">
        <f t="shared" si="1335"/>
        <v>0</v>
      </c>
      <c r="AD1028" s="16">
        <f t="shared" si="1335"/>
        <v>0</v>
      </c>
      <c r="AE1028" s="16">
        <f t="shared" si="1335"/>
        <v>0</v>
      </c>
      <c r="AF1028" s="16">
        <f t="shared" si="1335"/>
        <v>0</v>
      </c>
      <c r="AG1028" s="16">
        <f t="shared" si="1335"/>
        <v>0</v>
      </c>
      <c r="AH1028" s="16">
        <f t="shared" si="1335"/>
        <v>0</v>
      </c>
      <c r="AI1028" s="16">
        <f t="shared" si="1335"/>
        <v>0</v>
      </c>
      <c r="AJ1028" s="16">
        <f t="shared" si="1335"/>
        <v>0</v>
      </c>
      <c r="AK1028" s="16">
        <f t="shared" si="1335"/>
        <v>0</v>
      </c>
      <c r="AL1028" s="16">
        <f t="shared" si="1335"/>
        <v>0</v>
      </c>
      <c r="AM1028" s="16">
        <f t="shared" si="1335"/>
        <v>0</v>
      </c>
      <c r="AN1028" s="16">
        <f t="shared" si="1335"/>
        <v>0</v>
      </c>
      <c r="AO1028" s="16">
        <f t="shared" si="1335"/>
        <v>0</v>
      </c>
      <c r="AP1028" s="10"/>
      <c r="AQ1028" s="10"/>
      <c r="AR1028" s="10"/>
      <c r="AS1028" s="10" t="str">
        <f t="shared" ref="AS1028" ca="1" si="1348">IFERROR(__xludf.DUMMYFUNCTION("split(F968,"","",true,true)"),"Algebra Ventures")</f>
        <v>Algebra Ventures</v>
      </c>
      <c r="AT1028" s="10"/>
      <c r="AU1028" s="10"/>
      <c r="AV1028" s="10"/>
      <c r="AW1028" s="10"/>
      <c r="AX1028" s="10"/>
      <c r="AY1028" s="10"/>
      <c r="AZ1028" s="10"/>
      <c r="BA1028" s="10"/>
      <c r="BB1028" s="10"/>
      <c r="BC1028" s="10"/>
      <c r="BD1028" s="10"/>
      <c r="BE1028" s="10"/>
      <c r="BF1028" s="10"/>
      <c r="BG1028" s="10"/>
      <c r="BH1028" s="10"/>
      <c r="BI1028" s="10"/>
      <c r="BJ1028" s="10"/>
      <c r="BK1028" s="10"/>
      <c r="BM1028" s="10"/>
    </row>
    <row r="1029" spans="1:65" ht="12.75">
      <c r="A1029" s="18">
        <v>43569</v>
      </c>
      <c r="B1029" s="14" t="s">
        <v>2191</v>
      </c>
      <c r="C1029" s="19">
        <v>800000</v>
      </c>
      <c r="D1029" s="20"/>
      <c r="E1029" s="14" t="s">
        <v>45</v>
      </c>
      <c r="F1029" s="14" t="s">
        <v>2192</v>
      </c>
      <c r="G1029" s="21" t="s">
        <v>2193</v>
      </c>
      <c r="H1029" s="14" t="str">
        <f t="array" ref="H1029">IFERROR(INDEX([1]Companies!$G:$G,MATCH(B1029,[1]Companies!$A:$A,0)),"")</f>
        <v>Egypt</v>
      </c>
      <c r="I1029" s="14" t="str">
        <f t="shared" si="1299"/>
        <v>Egypt</v>
      </c>
      <c r="J1029" s="14" t="str">
        <f t="array" ref="J1029">IFERROR(INDEX([1]Companies!$Y:$Y,MATCH(B1029,[1]Companies!$A:$A,0)),"")</f>
        <v>Artificial Intelligence</v>
      </c>
      <c r="K1029" s="14" t="str">
        <f t="array" ref="K1029">IFERROR(INDEX([1]Companies!$X:$X,MATCH(B1029,[1]Companies!$A:$A,0)),"")</f>
        <v>Information Technology</v>
      </c>
      <c r="L1029" s="14" t="str">
        <f>VLOOKUP(B1029,[1]Companies!$A$1:$C$5243,1,FALSE)</f>
        <v>MerQ Artificial Intelligence</v>
      </c>
      <c r="M1029" s="15">
        <f t="shared" si="1300"/>
        <v>0.9</v>
      </c>
      <c r="N1029" s="10" t="str">
        <f t="shared" si="1301"/>
        <v>43569MerQ Artificial Intelligence800000</v>
      </c>
      <c r="O1029" s="14" t="str">
        <f t="shared" si="1302"/>
        <v/>
      </c>
      <c r="P1029" s="14">
        <f t="shared" si="1303"/>
        <v>1</v>
      </c>
      <c r="Q1029" s="14">
        <f t="array" ref="Q1029">IFERROR(INDEX([1]Companies!$D:$D,MATCH(B1029,[1]Companies!$A:$A,0)),"")</f>
        <v>2018</v>
      </c>
      <c r="R1029" s="17">
        <f t="shared" si="1304"/>
        <v>800000</v>
      </c>
      <c r="S1029" s="14">
        <f>VLOOKUP(I1029,[1]Lookups!$V$3:$Y$197,4,FALSE)</f>
        <v>0</v>
      </c>
      <c r="T1029" s="14" t="str">
        <f>VLOOKUP(E1029,[1]Lookups!$H$3:$I$71,2,FALSE)</f>
        <v>2. Seed</v>
      </c>
      <c r="U1029" s="14" t="str">
        <f>VLOOKUP(K1029,[1]Lookups!$B$3:$C$142,2,FALSE)</f>
        <v>Other Technologies &amp; Information Technology</v>
      </c>
      <c r="V1029" s="14">
        <f t="shared" si="1230"/>
        <v>2019</v>
      </c>
      <c r="W1029" s="14">
        <f t="shared" si="1231"/>
        <v>4</v>
      </c>
      <c r="X1029" s="14">
        <f>VLOOKUP(W1029,[1]Lookups!$P$3:$S$15,2,FALSE)</f>
        <v>2</v>
      </c>
      <c r="Y1029" s="16">
        <f>VLOOKUP(W1029,[1]Lookups!$P$3:$U$15,3,FALSE)</f>
        <v>1</v>
      </c>
      <c r="Z1029" s="16">
        <f t="shared" si="1232"/>
        <v>1</v>
      </c>
      <c r="AA1029" s="16" t="str">
        <f t="shared" ca="1" si="1335"/>
        <v>Algebra Ventures</v>
      </c>
      <c r="AB1029" s="16">
        <f t="shared" si="1335"/>
        <v>0</v>
      </c>
      <c r="AC1029" s="16">
        <f t="shared" si="1335"/>
        <v>0</v>
      </c>
      <c r="AD1029" s="16">
        <f t="shared" si="1335"/>
        <v>0</v>
      </c>
      <c r="AE1029" s="16">
        <f t="shared" si="1335"/>
        <v>0</v>
      </c>
      <c r="AF1029" s="16">
        <f t="shared" si="1335"/>
        <v>0</v>
      </c>
      <c r="AG1029" s="16">
        <f t="shared" si="1335"/>
        <v>0</v>
      </c>
      <c r="AH1029" s="16">
        <f t="shared" si="1335"/>
        <v>0</v>
      </c>
      <c r="AI1029" s="16">
        <f t="shared" si="1335"/>
        <v>0</v>
      </c>
      <c r="AJ1029" s="16">
        <f t="shared" si="1335"/>
        <v>0</v>
      </c>
      <c r="AK1029" s="16">
        <f t="shared" si="1335"/>
        <v>0</v>
      </c>
      <c r="AL1029" s="16">
        <f t="shared" si="1335"/>
        <v>0</v>
      </c>
      <c r="AM1029" s="16">
        <f t="shared" si="1335"/>
        <v>0</v>
      </c>
      <c r="AN1029" s="16">
        <f t="shared" si="1335"/>
        <v>0</v>
      </c>
      <c r="AO1029" s="16">
        <f t="shared" si="1335"/>
        <v>0</v>
      </c>
      <c r="AP1029" s="10"/>
      <c r="AQ1029" s="10"/>
      <c r="AR1029" s="10"/>
      <c r="AS1029" s="10" t="str">
        <f t="shared" ref="AS1029" ca="1" si="1349">IFERROR(__xludf.DUMMYFUNCTION("split(F968,"","",true,true)"),"Algebra Ventures")</f>
        <v>Algebra Ventures</v>
      </c>
      <c r="AT1029" s="10"/>
      <c r="AU1029" s="10"/>
      <c r="AV1029" s="10"/>
      <c r="AW1029" s="10"/>
      <c r="AX1029" s="10"/>
      <c r="AY1029" s="10"/>
      <c r="AZ1029" s="10"/>
      <c r="BA1029" s="10"/>
      <c r="BB1029" s="10"/>
      <c r="BC1029" s="10"/>
      <c r="BD1029" s="10"/>
      <c r="BE1029" s="10"/>
      <c r="BF1029" s="10"/>
      <c r="BG1029" s="10"/>
      <c r="BH1029" s="10"/>
      <c r="BI1029" s="10"/>
      <c r="BJ1029" s="10"/>
      <c r="BK1029" s="10"/>
      <c r="BM1029" s="10"/>
    </row>
    <row r="1030" spans="1:65" ht="12.75">
      <c r="A1030" s="9">
        <v>43570</v>
      </c>
      <c r="B1030" s="10" t="s">
        <v>2194</v>
      </c>
      <c r="C1030" s="11" t="s">
        <v>49</v>
      </c>
      <c r="D1030" s="12"/>
      <c r="E1030" s="10" t="s">
        <v>48</v>
      </c>
      <c r="F1030" s="10" t="s">
        <v>2195</v>
      </c>
      <c r="G1030" s="13" t="s">
        <v>2196</v>
      </c>
      <c r="H1030" s="14" t="str">
        <f t="array" ref="H1030">IFERROR(INDEX([1]Companies!$G:$G,MATCH(B1030,[1]Companies!$A:$A,0)),"")</f>
        <v>Nigeria</v>
      </c>
      <c r="I1030" s="14" t="str">
        <f t="shared" si="1299"/>
        <v>Nigeria</v>
      </c>
      <c r="J1030" s="14" t="str">
        <f t="array" ref="J1030">IFERROR(INDEX([1]Companies!$Y:$Y,MATCH(B1030,[1]Companies!$A:$A,0)),"")</f>
        <v>Business Travel, Human Resources</v>
      </c>
      <c r="K1030" s="14" t="str">
        <f t="array" ref="K1030">IFERROR(INDEX([1]Companies!$X:$X,MATCH(B1030,[1]Companies!$A:$A,0)),"")</f>
        <v>Education</v>
      </c>
      <c r="L1030" s="14" t="str">
        <f>VLOOKUP(B1030,[1]Companies!$A$1:$C$5243,1,FALSE)</f>
        <v>TORA Africa</v>
      </c>
      <c r="M1030" s="15">
        <f t="shared" si="1300"/>
        <v>0.9</v>
      </c>
      <c r="N1030" s="10" t="str">
        <f t="shared" si="1301"/>
        <v>43570TORA AfricaUndisclosed</v>
      </c>
      <c r="O1030" s="14" t="str">
        <f t="shared" si="1302"/>
        <v/>
      </c>
      <c r="P1030" s="14">
        <f t="shared" si="1303"/>
        <v>0</v>
      </c>
      <c r="Q1030" s="14">
        <f t="array" ref="Q1030">IFERROR(INDEX([1]Companies!$D:$D,MATCH(B1030,[1]Companies!$A:$A,0)),"")</f>
        <v>2019</v>
      </c>
      <c r="R1030" s="17">
        <f t="shared" si="1304"/>
        <v>0</v>
      </c>
      <c r="S1030" s="14">
        <f>VLOOKUP(I1030,[1]Lookups!$V$3:$Y$197,4,FALSE)</f>
        <v>0</v>
      </c>
      <c r="T1030" s="14" t="str">
        <f>VLOOKUP(E1030,[1]Lookups!$H$3:$I$71,2,FALSE)</f>
        <v>2. Seed</v>
      </c>
      <c r="U1030" s="14" t="str">
        <f>VLOOKUP(K1030,[1]Lookups!$B$3:$C$142,2,FALSE)</f>
        <v>Education</v>
      </c>
      <c r="V1030" s="14">
        <f t="shared" si="1230"/>
        <v>2019</v>
      </c>
      <c r="W1030" s="14">
        <f t="shared" si="1231"/>
        <v>4</v>
      </c>
      <c r="X1030" s="14">
        <f>VLOOKUP(W1030,[1]Lookups!$P$3:$S$15,2,FALSE)</f>
        <v>2</v>
      </c>
      <c r="Y1030" s="16">
        <f>VLOOKUP(W1030,[1]Lookups!$P$3:$U$15,3,FALSE)</f>
        <v>1</v>
      </c>
      <c r="Z1030" s="16">
        <f t="shared" si="1232"/>
        <v>1</v>
      </c>
      <c r="AA1030" s="16" t="str">
        <f t="shared" ca="1" si="1335"/>
        <v>Algebra Ventures</v>
      </c>
      <c r="AB1030" s="16">
        <f t="shared" si="1335"/>
        <v>0</v>
      </c>
      <c r="AC1030" s="16">
        <f t="shared" si="1335"/>
        <v>0</v>
      </c>
      <c r="AD1030" s="16">
        <f t="shared" si="1335"/>
        <v>0</v>
      </c>
      <c r="AE1030" s="16">
        <f t="shared" si="1335"/>
        <v>0</v>
      </c>
      <c r="AF1030" s="16">
        <f t="shared" si="1335"/>
        <v>0</v>
      </c>
      <c r="AG1030" s="16">
        <f t="shared" si="1335"/>
        <v>0</v>
      </c>
      <c r="AH1030" s="16">
        <f t="shared" si="1335"/>
        <v>0</v>
      </c>
      <c r="AI1030" s="16">
        <f t="shared" si="1335"/>
        <v>0</v>
      </c>
      <c r="AJ1030" s="16">
        <f t="shared" si="1335"/>
        <v>0</v>
      </c>
      <c r="AK1030" s="16">
        <f t="shared" si="1335"/>
        <v>0</v>
      </c>
      <c r="AL1030" s="16">
        <f t="shared" si="1335"/>
        <v>0</v>
      </c>
      <c r="AM1030" s="16">
        <f t="shared" si="1335"/>
        <v>0</v>
      </c>
      <c r="AN1030" s="16">
        <f t="shared" si="1335"/>
        <v>0</v>
      </c>
      <c r="AO1030" s="16">
        <f t="shared" si="1335"/>
        <v>0</v>
      </c>
      <c r="AP1030" s="10"/>
      <c r="AQ1030" s="10"/>
      <c r="AR1030" s="10"/>
      <c r="AS1030" s="10" t="str">
        <f t="shared" ref="AS1030" ca="1" si="1350">IFERROR(__xludf.DUMMYFUNCTION("split(F968,"","",true,true)"),"Algebra Ventures")</f>
        <v>Algebra Ventures</v>
      </c>
      <c r="AT1030" s="10"/>
      <c r="AU1030" s="10"/>
      <c r="AV1030" s="10"/>
      <c r="AW1030" s="10"/>
      <c r="AX1030" s="10"/>
      <c r="AY1030" s="10"/>
      <c r="AZ1030" s="10"/>
      <c r="BA1030" s="10"/>
      <c r="BB1030" s="10"/>
      <c r="BC1030" s="10"/>
      <c r="BD1030" s="10"/>
      <c r="BE1030" s="10"/>
      <c r="BF1030" s="10"/>
      <c r="BG1030" s="10"/>
      <c r="BH1030" s="10"/>
      <c r="BI1030" s="10"/>
      <c r="BJ1030" s="10"/>
      <c r="BK1030" s="10"/>
      <c r="BM1030" s="10"/>
    </row>
    <row r="1031" spans="1:65" ht="12.75">
      <c r="A1031" s="9">
        <v>43571</v>
      </c>
      <c r="B1031" s="10" t="s">
        <v>2066</v>
      </c>
      <c r="C1031" s="11" t="s">
        <v>49</v>
      </c>
      <c r="D1031" s="38">
        <v>0.3</v>
      </c>
      <c r="E1031" s="10" t="s">
        <v>51</v>
      </c>
      <c r="F1031" s="10" t="s">
        <v>2197</v>
      </c>
      <c r="G1031" s="13" t="s">
        <v>2198</v>
      </c>
      <c r="H1031" s="14" t="str">
        <f t="array" ref="H1031">IFERROR(INDEX([1]Companies!$G:$G,MATCH(B1031,[1]Companies!$A:$A,0)),"")</f>
        <v>South Africa</v>
      </c>
      <c r="I1031" s="14" t="str">
        <f t="shared" si="1299"/>
        <v>South Africa</v>
      </c>
      <c r="J1031" s="14" t="str">
        <f t="array" ref="J1031">IFERROR(INDEX([1]Companies!$Y:$Y,MATCH(B1031,[1]Companies!$A:$A,0)),"")</f>
        <v>Cryptocurrency, Information Technology, Software</v>
      </c>
      <c r="K1031" s="14" t="str">
        <f t="array" ref="K1031">IFERROR(INDEX([1]Companies!$X:$X,MATCH(B1031,[1]Companies!$A:$A,0)),"")</f>
        <v>Financial Services</v>
      </c>
      <c r="L1031" s="14" t="str">
        <f>VLOOKUP(B1031,[1]Companies!$A$1:$C$5243,1,FALSE)</f>
        <v xml:space="preserve">Revix </v>
      </c>
      <c r="M1031" s="15">
        <f t="shared" si="1300"/>
        <v>1</v>
      </c>
      <c r="N1031" s="10" t="str">
        <f t="shared" si="1301"/>
        <v>43571Revix Undisclosed</v>
      </c>
      <c r="O1031" s="14" t="str">
        <f t="shared" si="1302"/>
        <v/>
      </c>
      <c r="P1031" s="14">
        <f t="shared" si="1303"/>
        <v>0</v>
      </c>
      <c r="Q1031" s="14">
        <f t="array" ref="Q1031">IFERROR(INDEX([1]Companies!$D:$D,MATCH(B1031,[1]Companies!$A:$A,0)),"")</f>
        <v>2018</v>
      </c>
      <c r="R1031" s="17">
        <f t="shared" si="1304"/>
        <v>768000</v>
      </c>
      <c r="S1031" s="14">
        <f>VLOOKUP(I1031,[1]Lookups!$V$3:$Y$197,4,FALSE)</f>
        <v>0</v>
      </c>
      <c r="T1031" s="14" t="str">
        <f>VLOOKUP(E1031,[1]Lookups!$H$3:$I$71,2,FALSE)</f>
        <v>6. Private Equity</v>
      </c>
      <c r="U1031" s="14" t="str">
        <f>VLOOKUP(K1031,[1]Lookups!$B$3:$C$142,2,FALSE)</f>
        <v>Financial Services</v>
      </c>
      <c r="V1031" s="14">
        <f t="shared" si="1230"/>
        <v>2019</v>
      </c>
      <c r="W1031" s="14">
        <f t="shared" si="1231"/>
        <v>4</v>
      </c>
      <c r="X1031" s="14">
        <f>VLOOKUP(W1031,[1]Lookups!$P$3:$S$15,2,FALSE)</f>
        <v>2</v>
      </c>
      <c r="Y1031" s="16">
        <f>VLOOKUP(W1031,[1]Lookups!$P$3:$U$15,3,FALSE)</f>
        <v>1</v>
      </c>
      <c r="Z1031" s="16">
        <f t="shared" si="1232"/>
        <v>1</v>
      </c>
      <c r="AA1031" s="16" t="str">
        <f t="shared" ca="1" si="1335"/>
        <v>Algebra Ventures</v>
      </c>
      <c r="AB1031" s="16">
        <f t="shared" si="1335"/>
        <v>0</v>
      </c>
      <c r="AC1031" s="16">
        <f t="shared" si="1335"/>
        <v>0</v>
      </c>
      <c r="AD1031" s="16">
        <f t="shared" si="1335"/>
        <v>0</v>
      </c>
      <c r="AE1031" s="16">
        <f t="shared" si="1335"/>
        <v>0</v>
      </c>
      <c r="AF1031" s="16">
        <f t="shared" si="1335"/>
        <v>0</v>
      </c>
      <c r="AG1031" s="16">
        <f t="shared" si="1335"/>
        <v>0</v>
      </c>
      <c r="AH1031" s="16">
        <f t="shared" si="1335"/>
        <v>0</v>
      </c>
      <c r="AI1031" s="16">
        <f t="shared" si="1335"/>
        <v>0</v>
      </c>
      <c r="AJ1031" s="16">
        <f t="shared" si="1335"/>
        <v>0</v>
      </c>
      <c r="AK1031" s="16">
        <f t="shared" si="1335"/>
        <v>0</v>
      </c>
      <c r="AL1031" s="16">
        <f t="shared" si="1335"/>
        <v>0</v>
      </c>
      <c r="AM1031" s="16">
        <f t="shared" si="1335"/>
        <v>0</v>
      </c>
      <c r="AN1031" s="16">
        <f t="shared" si="1335"/>
        <v>0</v>
      </c>
      <c r="AO1031" s="16">
        <f t="shared" si="1335"/>
        <v>0</v>
      </c>
      <c r="AP1031" s="10"/>
      <c r="AQ1031" s="10"/>
      <c r="AR1031" s="10"/>
      <c r="AS1031" s="10" t="str">
        <f t="shared" ref="AS1031" ca="1" si="1351">IFERROR(__xludf.DUMMYFUNCTION("split(F968,"","",true,true)"),"Algebra Ventures")</f>
        <v>Algebra Ventures</v>
      </c>
      <c r="AT1031" s="10"/>
      <c r="AU1031" s="10"/>
      <c r="AV1031" s="10"/>
      <c r="AW1031" s="10"/>
      <c r="AX1031" s="10"/>
      <c r="AY1031" s="10"/>
      <c r="AZ1031" s="10"/>
      <c r="BA1031" s="10"/>
      <c r="BB1031" s="10"/>
      <c r="BC1031" s="10"/>
      <c r="BD1031" s="10"/>
      <c r="BE1031" s="10"/>
      <c r="BF1031" s="10"/>
      <c r="BG1031" s="10"/>
      <c r="BH1031" s="10"/>
      <c r="BI1031" s="10"/>
      <c r="BJ1031" s="10"/>
      <c r="BK1031" s="10"/>
      <c r="BM1031" s="10"/>
    </row>
    <row r="1032" spans="1:65" ht="12.75">
      <c r="A1032" s="9">
        <v>43571</v>
      </c>
      <c r="B1032" s="10" t="s">
        <v>2199</v>
      </c>
      <c r="C1032" s="11" t="s">
        <v>49</v>
      </c>
      <c r="D1032" s="12"/>
      <c r="E1032" s="10" t="s">
        <v>45</v>
      </c>
      <c r="F1032" s="10" t="s">
        <v>2200</v>
      </c>
      <c r="G1032" s="13" t="s">
        <v>2201</v>
      </c>
      <c r="H1032" s="14" t="str">
        <f t="array" ref="H1032">IFERROR(INDEX([1]Companies!$G:$G,MATCH(B1032,[1]Companies!$A:$A,0)),"")</f>
        <v>South Africa</v>
      </c>
      <c r="I1032" s="14" t="str">
        <f t="shared" si="1299"/>
        <v>South Africa</v>
      </c>
      <c r="J1032" s="14" t="str">
        <f t="array" ref="J1032">IFERROR(INDEX([1]Companies!$Y:$Y,MATCH(B1032,[1]Companies!$A:$A,0)),"")</f>
        <v>Recruiting, Staffing Agency</v>
      </c>
      <c r="K1032" s="14" t="str">
        <f t="array" ref="K1032">IFERROR(INDEX([1]Companies!$X:$X,MATCH(B1032,[1]Companies!$A:$A,0)),"")</f>
        <v>Commercial &amp; Professional Services</v>
      </c>
      <c r="L1032" s="14" t="str">
        <f>VLOOKUP(B1032,[1]Companies!$A$1:$C$5243,1,FALSE)</f>
        <v>Peepz</v>
      </c>
      <c r="M1032" s="15">
        <f t="shared" si="1300"/>
        <v>0.9</v>
      </c>
      <c r="N1032" s="10" t="str">
        <f t="shared" si="1301"/>
        <v>43571PeepzUndisclosed</v>
      </c>
      <c r="O1032" s="14" t="str">
        <f t="shared" si="1302"/>
        <v/>
      </c>
      <c r="P1032" s="14">
        <f t="shared" si="1303"/>
        <v>0</v>
      </c>
      <c r="Q1032" s="14">
        <f t="array" ref="Q1032">IFERROR(INDEX([1]Companies!$D:$D,MATCH(B1032,[1]Companies!$A:$A,0)),"")</f>
        <v>2017</v>
      </c>
      <c r="R1032" s="17">
        <f t="shared" si="1304"/>
        <v>0</v>
      </c>
      <c r="S1032" s="14">
        <f>VLOOKUP(I1032,[1]Lookups!$V$3:$Y$197,4,FALSE)</f>
        <v>0</v>
      </c>
      <c r="T1032" s="14" t="str">
        <f>VLOOKUP(E1032,[1]Lookups!$H$3:$I$71,2,FALSE)</f>
        <v>2. Seed</v>
      </c>
      <c r="U1032" s="14" t="str">
        <f>VLOOKUP(K1032,[1]Lookups!$B$3:$C$142,2,FALSE)</f>
        <v>Other Technologies &amp; Information Technology</v>
      </c>
      <c r="V1032" s="14">
        <f t="shared" si="1230"/>
        <v>2019</v>
      </c>
      <c r="W1032" s="14">
        <f t="shared" si="1231"/>
        <v>4</v>
      </c>
      <c r="X1032" s="14">
        <f>VLOOKUP(W1032,[1]Lookups!$P$3:$S$15,2,FALSE)</f>
        <v>2</v>
      </c>
      <c r="Y1032" s="16">
        <f>VLOOKUP(W1032,[1]Lookups!$P$3:$U$15,3,FALSE)</f>
        <v>1</v>
      </c>
      <c r="Z1032" s="16">
        <f t="shared" si="1232"/>
        <v>1</v>
      </c>
      <c r="AA1032" s="16" t="str">
        <f t="shared" ref="AA1032:AO1047" ca="1" si="1352">AS1032</f>
        <v>Algebra Ventures</v>
      </c>
      <c r="AB1032" s="16">
        <f t="shared" si="1352"/>
        <v>0</v>
      </c>
      <c r="AC1032" s="16">
        <f t="shared" si="1352"/>
        <v>0</v>
      </c>
      <c r="AD1032" s="16">
        <f t="shared" si="1352"/>
        <v>0</v>
      </c>
      <c r="AE1032" s="16">
        <f t="shared" si="1352"/>
        <v>0</v>
      </c>
      <c r="AF1032" s="16">
        <f t="shared" si="1352"/>
        <v>0</v>
      </c>
      <c r="AG1032" s="16">
        <f t="shared" si="1352"/>
        <v>0</v>
      </c>
      <c r="AH1032" s="16">
        <f t="shared" si="1352"/>
        <v>0</v>
      </c>
      <c r="AI1032" s="16">
        <f t="shared" si="1352"/>
        <v>0</v>
      </c>
      <c r="AJ1032" s="16">
        <f t="shared" si="1352"/>
        <v>0</v>
      </c>
      <c r="AK1032" s="16">
        <f t="shared" si="1352"/>
        <v>0</v>
      </c>
      <c r="AL1032" s="16">
        <f t="shared" si="1352"/>
        <v>0</v>
      </c>
      <c r="AM1032" s="16">
        <f t="shared" si="1352"/>
        <v>0</v>
      </c>
      <c r="AN1032" s="16">
        <f t="shared" si="1352"/>
        <v>0</v>
      </c>
      <c r="AO1032" s="16">
        <f t="shared" si="1352"/>
        <v>0</v>
      </c>
      <c r="AP1032" s="10"/>
      <c r="AQ1032" s="10"/>
      <c r="AR1032" s="10"/>
      <c r="AS1032" s="10" t="str">
        <f t="shared" ref="AS1032" ca="1" si="1353">IFERROR(__xludf.DUMMYFUNCTION("split(F968,"","",true,true)"),"Algebra Ventures")</f>
        <v>Algebra Ventures</v>
      </c>
      <c r="AT1032" s="10"/>
      <c r="AU1032" s="10"/>
      <c r="AV1032" s="10"/>
      <c r="AW1032" s="10"/>
      <c r="AX1032" s="10"/>
      <c r="AY1032" s="10"/>
      <c r="AZ1032" s="10"/>
      <c r="BA1032" s="10"/>
      <c r="BB1032" s="10"/>
      <c r="BC1032" s="10"/>
      <c r="BD1032" s="10"/>
      <c r="BE1032" s="10"/>
      <c r="BF1032" s="10"/>
      <c r="BG1032" s="10"/>
      <c r="BH1032" s="10"/>
      <c r="BI1032" s="10"/>
      <c r="BJ1032" s="10"/>
      <c r="BK1032" s="10"/>
      <c r="BM1032" s="10"/>
    </row>
    <row r="1033" spans="1:65" ht="12.75">
      <c r="A1033" s="9">
        <v>43571</v>
      </c>
      <c r="B1033" s="10" t="s">
        <v>2202</v>
      </c>
      <c r="C1033" s="11">
        <v>4000000</v>
      </c>
      <c r="D1033" s="12"/>
      <c r="E1033" s="14" t="s">
        <v>45</v>
      </c>
      <c r="F1033" s="10" t="s">
        <v>2203</v>
      </c>
      <c r="G1033" s="13" t="s">
        <v>2204</v>
      </c>
      <c r="H1033" s="14" t="str">
        <f t="array" ref="H1033">IFERROR(INDEX([1]Companies!$G:$G,MATCH(B1033,[1]Companies!$A:$A,0)),"")</f>
        <v/>
      </c>
      <c r="I1033" s="14" t="str">
        <f t="shared" si="1299"/>
        <v/>
      </c>
      <c r="J1033" s="14" t="str">
        <f t="array" ref="J1033">IFERROR(INDEX([1]Companies!$Y:$Y,MATCH(B1033,[1]Companies!$A:$A,0)),"")</f>
        <v/>
      </c>
      <c r="K1033" s="14" t="str">
        <f t="array" ref="K1033">IFERROR(INDEX([1]Companies!$X:$X,MATCH(B1033,[1]Companies!$A:$A,0)),"")</f>
        <v/>
      </c>
      <c r="L1033" s="14" t="e">
        <f>VLOOKUP(B1033,[1]Companies!$A$1:$C$5243,1,FALSE)</f>
        <v>#N/A</v>
      </c>
      <c r="M1033" s="15">
        <f t="shared" si="1300"/>
        <v>0.6428571428571429</v>
      </c>
      <c r="N1033" s="10" t="str">
        <f t="shared" si="1301"/>
        <v>43571Mos4000000</v>
      </c>
      <c r="O1033" s="14" t="str">
        <f t="shared" si="1302"/>
        <v/>
      </c>
      <c r="P1033" s="14">
        <f t="shared" si="1303"/>
        <v>1</v>
      </c>
      <c r="Q1033" s="14" t="str">
        <f t="array" ref="Q1033">IFERROR(INDEX([1]Companies!$D:$D,MATCH(B1033,[1]Companies!$A:$A,0)),"")</f>
        <v/>
      </c>
      <c r="R1033" s="17">
        <f t="shared" si="1304"/>
        <v>4000000</v>
      </c>
      <c r="S1033" s="14" t="e">
        <f>VLOOKUP(I1033,[1]Lookups!$V$3:$Y$197,4,FALSE)</f>
        <v>#N/A</v>
      </c>
      <c r="T1033" s="14" t="str">
        <f>VLOOKUP(E1033,[1]Lookups!$H$3:$I$71,2,FALSE)</f>
        <v>2. Seed</v>
      </c>
      <c r="U1033" s="14" t="e">
        <f>VLOOKUP(K1033,[1]Lookups!$B$3:$C$142,2,FALSE)</f>
        <v>#N/A</v>
      </c>
      <c r="V1033" s="14">
        <f t="shared" si="1230"/>
        <v>2019</v>
      </c>
      <c r="W1033" s="14">
        <f t="shared" si="1231"/>
        <v>4</v>
      </c>
      <c r="X1033" s="14">
        <f>VLOOKUP(W1033,[1]Lookups!$P$3:$S$15,2,FALSE)</f>
        <v>2</v>
      </c>
      <c r="Y1033" s="16">
        <f>VLOOKUP(W1033,[1]Lookups!$P$3:$U$15,3,FALSE)</f>
        <v>1</v>
      </c>
      <c r="Z1033" s="16">
        <f t="shared" si="1232"/>
        <v>5</v>
      </c>
      <c r="AA1033" s="16" t="str">
        <f t="shared" ca="1" si="1352"/>
        <v>Algebra Ventures</v>
      </c>
      <c r="AB1033" s="16" t="str">
        <f t="shared" ca="1" si="1352"/>
        <v xml:space="preserve"> studio Expa</v>
      </c>
      <c r="AC1033" s="16" t="str">
        <f t="shared" ca="1" si="1352"/>
        <v xml:space="preserve">  John Doerr</v>
      </c>
      <c r="AD1033" s="16" t="str">
        <f t="shared" ca="1" si="1352"/>
        <v xml:space="preserve"> Base Ventures</v>
      </c>
      <c r="AE1033" s="16" t="str">
        <f t="shared" ca="1" si="1352"/>
        <v xml:space="preserve">  Sweet Capital</v>
      </c>
      <c r="AF1033" s="16">
        <f t="shared" si="1352"/>
        <v>0</v>
      </c>
      <c r="AG1033" s="16">
        <f t="shared" si="1352"/>
        <v>0</v>
      </c>
      <c r="AH1033" s="16">
        <f t="shared" si="1352"/>
        <v>0</v>
      </c>
      <c r="AI1033" s="16">
        <f t="shared" si="1352"/>
        <v>0</v>
      </c>
      <c r="AJ1033" s="16">
        <f t="shared" si="1352"/>
        <v>0</v>
      </c>
      <c r="AK1033" s="16">
        <f t="shared" si="1352"/>
        <v>0</v>
      </c>
      <c r="AL1033" s="16">
        <f t="shared" si="1352"/>
        <v>0</v>
      </c>
      <c r="AM1033" s="16">
        <f t="shared" si="1352"/>
        <v>0</v>
      </c>
      <c r="AN1033" s="16">
        <f t="shared" si="1352"/>
        <v>0</v>
      </c>
      <c r="AO1033" s="16">
        <f t="shared" si="1352"/>
        <v>0</v>
      </c>
      <c r="AP1033" s="10"/>
      <c r="AQ1033" s="10"/>
      <c r="AR1033" s="10"/>
      <c r="AS1033" s="10" t="str">
        <f t="shared" ref="AS1033" ca="1" si="1354">IFERROR(__xludf.DUMMYFUNCTION("split(F968,"","",true,true)"),"Algebra Ventures")</f>
        <v>Algebra Ventures</v>
      </c>
      <c r="AT1033" s="10" t="str">
        <f ca="1">IFERROR(__xludf.DUMMYFUNCTION("""COMPUTED_VALUE""")," studio Expa")</f>
        <v xml:space="preserve"> studio Expa</v>
      </c>
      <c r="AU1033" s="10" t="str">
        <f ca="1">IFERROR(__xludf.DUMMYFUNCTION("""COMPUTED_VALUE"""),"  John Doerr")</f>
        <v xml:space="preserve">  John Doerr</v>
      </c>
      <c r="AV1033" s="10" t="str">
        <f ca="1">IFERROR(__xludf.DUMMYFUNCTION("""COMPUTED_VALUE""")," Base Ventures")</f>
        <v xml:space="preserve"> Base Ventures</v>
      </c>
      <c r="AW1033" s="10" t="str">
        <f ca="1">IFERROR(__xludf.DUMMYFUNCTION("""COMPUTED_VALUE"""),"  Sweet Capital")</f>
        <v xml:space="preserve">  Sweet Capital</v>
      </c>
      <c r="AX1033" s="10"/>
      <c r="AY1033" s="10"/>
      <c r="AZ1033" s="10"/>
      <c r="BA1033" s="10"/>
      <c r="BB1033" s="10"/>
      <c r="BC1033" s="10"/>
      <c r="BD1033" s="10"/>
      <c r="BE1033" s="10"/>
      <c r="BF1033" s="10"/>
      <c r="BG1033" s="10"/>
      <c r="BH1033" s="10"/>
      <c r="BI1033" s="10"/>
      <c r="BJ1033" s="10"/>
      <c r="BK1033" s="10"/>
      <c r="BM1033" s="10"/>
    </row>
    <row r="1034" spans="1:65" ht="12.75">
      <c r="A1034" s="9">
        <v>43571</v>
      </c>
      <c r="B1034" s="10" t="s">
        <v>2205</v>
      </c>
      <c r="C1034" s="11">
        <v>40000</v>
      </c>
      <c r="D1034" s="12"/>
      <c r="E1034" s="14" t="s">
        <v>234</v>
      </c>
      <c r="F1034" s="10" t="s">
        <v>2206</v>
      </c>
      <c r="G1034" s="13" t="s">
        <v>2207</v>
      </c>
      <c r="H1034" s="14" t="str">
        <f t="array" ref="H1034">IFERROR(INDEX([1]Companies!$G:$G,MATCH(B1034,[1]Companies!$A:$A,0)),"")</f>
        <v>Ghana</v>
      </c>
      <c r="I1034" s="14" t="str">
        <f t="shared" si="1299"/>
        <v>Ghana</v>
      </c>
      <c r="J1034" s="14" t="str">
        <f t="array" ref="J1034">IFERROR(INDEX([1]Companies!$Y:$Y,MATCH(B1034,[1]Companies!$A:$A,0)),"")</f>
        <v>Retail</v>
      </c>
      <c r="K1034" s="14" t="str">
        <f t="array" ref="K1034">IFERROR(INDEX([1]Companies!$X:$X,MATCH(B1034,[1]Companies!$A:$A,0)),"")</f>
        <v>Information Technology</v>
      </c>
      <c r="L1034" s="14" t="str">
        <f>VLOOKUP(B1034,[1]Companies!$A$1:$C$5243,1,FALSE)</f>
        <v>Kudigo</v>
      </c>
      <c r="M1034" s="15">
        <f t="shared" si="1300"/>
        <v>0.9</v>
      </c>
      <c r="N1034" s="10" t="str">
        <f t="shared" si="1301"/>
        <v>43571Kudigo40000</v>
      </c>
      <c r="O1034" s="14" t="str">
        <f t="shared" si="1302"/>
        <v/>
      </c>
      <c r="P1034" s="14">
        <f t="shared" si="1303"/>
        <v>1</v>
      </c>
      <c r="Q1034" s="14">
        <f t="array" ref="Q1034">IFERROR(INDEX([1]Companies!$D:$D,MATCH(B1034,[1]Companies!$A:$A,0)),"")</f>
        <v>2017</v>
      </c>
      <c r="R1034" s="17">
        <f t="shared" si="1304"/>
        <v>490000</v>
      </c>
      <c r="S1034" s="14">
        <f>VLOOKUP(I1034,[1]Lookups!$V$3:$Y$197,4,FALSE)</f>
        <v>0</v>
      </c>
      <c r="T1034" s="14" t="str">
        <f>VLOOKUP(E1034,[1]Lookups!$H$3:$I$71,2,FALSE)</f>
        <v>2. Seed</v>
      </c>
      <c r="U1034" s="14" t="str">
        <f>VLOOKUP(K1034,[1]Lookups!$B$3:$C$142,2,FALSE)</f>
        <v>Other Technologies &amp; Information Technology</v>
      </c>
      <c r="V1034" s="14">
        <f t="shared" si="1230"/>
        <v>2019</v>
      </c>
      <c r="W1034" s="14">
        <f t="shared" si="1231"/>
        <v>4</v>
      </c>
      <c r="X1034" s="14">
        <f>VLOOKUP(W1034,[1]Lookups!$P$3:$S$15,2,FALSE)</f>
        <v>2</v>
      </c>
      <c r="Y1034" s="16">
        <f>VLOOKUP(W1034,[1]Lookups!$P$3:$U$15,3,FALSE)</f>
        <v>1</v>
      </c>
      <c r="Z1034" s="16">
        <f t="shared" si="1232"/>
        <v>1</v>
      </c>
      <c r="AA1034" s="16" t="str">
        <f t="shared" ca="1" si="1352"/>
        <v>Algebra Ventures</v>
      </c>
      <c r="AB1034" s="16">
        <f t="shared" si="1352"/>
        <v>0</v>
      </c>
      <c r="AC1034" s="16">
        <f t="shared" si="1352"/>
        <v>0</v>
      </c>
      <c r="AD1034" s="16">
        <f t="shared" si="1352"/>
        <v>0</v>
      </c>
      <c r="AE1034" s="16">
        <f t="shared" si="1352"/>
        <v>0</v>
      </c>
      <c r="AF1034" s="16">
        <f t="shared" si="1352"/>
        <v>0</v>
      </c>
      <c r="AG1034" s="16">
        <f t="shared" si="1352"/>
        <v>0</v>
      </c>
      <c r="AH1034" s="16">
        <f t="shared" si="1352"/>
        <v>0</v>
      </c>
      <c r="AI1034" s="16">
        <f t="shared" si="1352"/>
        <v>0</v>
      </c>
      <c r="AJ1034" s="16">
        <f t="shared" si="1352"/>
        <v>0</v>
      </c>
      <c r="AK1034" s="16">
        <f t="shared" si="1352"/>
        <v>0</v>
      </c>
      <c r="AL1034" s="16">
        <f t="shared" si="1352"/>
        <v>0</v>
      </c>
      <c r="AM1034" s="16">
        <f t="shared" si="1352"/>
        <v>0</v>
      </c>
      <c r="AN1034" s="16">
        <f t="shared" si="1352"/>
        <v>0</v>
      </c>
      <c r="AO1034" s="16">
        <f t="shared" si="1352"/>
        <v>0</v>
      </c>
      <c r="AP1034" s="10"/>
      <c r="AQ1034" s="10"/>
      <c r="AR1034" s="10"/>
      <c r="AS1034" s="10" t="str">
        <f t="shared" ref="AS1034" ca="1" si="1355">IFERROR(__xludf.DUMMYFUNCTION("split(F968,"","",true,true)"),"Algebra Ventures")</f>
        <v>Algebra Ventures</v>
      </c>
      <c r="AT1034" s="10"/>
      <c r="AU1034" s="10"/>
      <c r="AV1034" s="10"/>
      <c r="AW1034" s="10"/>
      <c r="AX1034" s="10"/>
      <c r="AY1034" s="10"/>
      <c r="AZ1034" s="10"/>
      <c r="BA1034" s="10"/>
      <c r="BB1034" s="10"/>
      <c r="BC1034" s="10"/>
      <c r="BD1034" s="10"/>
      <c r="BE1034" s="10"/>
      <c r="BF1034" s="10"/>
      <c r="BG1034" s="10"/>
      <c r="BH1034" s="10"/>
      <c r="BI1034" s="10"/>
      <c r="BJ1034" s="10"/>
      <c r="BK1034" s="10"/>
      <c r="BM1034" s="10"/>
    </row>
    <row r="1035" spans="1:65" ht="12.75">
      <c r="A1035" s="9">
        <v>43571</v>
      </c>
      <c r="B1035" s="10" t="s">
        <v>2124</v>
      </c>
      <c r="C1035" s="11">
        <v>40000</v>
      </c>
      <c r="D1035" s="12"/>
      <c r="E1035" s="14" t="s">
        <v>234</v>
      </c>
      <c r="F1035" s="10" t="s">
        <v>2206</v>
      </c>
      <c r="G1035" s="13" t="s">
        <v>2207</v>
      </c>
      <c r="H1035" s="14" t="str">
        <f t="array" ref="H1035">IFERROR(INDEX([1]Companies!$G:$G,MATCH(B1035,[1]Companies!$A:$A,0)),"")</f>
        <v>Nigeria</v>
      </c>
      <c r="I1035" s="14" t="str">
        <f t="shared" si="1299"/>
        <v>Nigeria</v>
      </c>
      <c r="J1035" s="14" t="str">
        <f t="array" ref="J1035">IFERROR(INDEX([1]Companies!$Y:$Y,MATCH(B1035,[1]Companies!$A:$A,0)),"")</f>
        <v>Education, Finance, Financial Services</v>
      </c>
      <c r="K1035" s="14" t="str">
        <f t="array" ref="K1035">IFERROR(INDEX([1]Companies!$X:$X,MATCH(B1035,[1]Companies!$A:$A,0)),"")</f>
        <v>Financial Services</v>
      </c>
      <c r="L1035" s="14" t="str">
        <f>VLOOKUP(B1035,[1]Companies!$A$1:$C$5243,1,FALSE)</f>
        <v>Schoolable</v>
      </c>
      <c r="M1035" s="15">
        <f t="shared" si="1300"/>
        <v>0.9</v>
      </c>
      <c r="N1035" s="10" t="str">
        <f t="shared" si="1301"/>
        <v>43571Schoolable40000</v>
      </c>
      <c r="O1035" s="14" t="str">
        <f t="shared" si="1302"/>
        <v/>
      </c>
      <c r="P1035" s="14">
        <f t="shared" si="1303"/>
        <v>1</v>
      </c>
      <c r="Q1035" s="14">
        <f t="array" ref="Q1035">IFERROR(INDEX([1]Companies!$D:$D,MATCH(B1035,[1]Companies!$A:$A,0)),"")</f>
        <v>2018</v>
      </c>
      <c r="R1035" s="17">
        <f t="shared" si="1304"/>
        <v>190000</v>
      </c>
      <c r="S1035" s="14">
        <f>VLOOKUP(I1035,[1]Lookups!$V$3:$Y$197,4,FALSE)</f>
        <v>0</v>
      </c>
      <c r="T1035" s="14" t="str">
        <f>VLOOKUP(E1035,[1]Lookups!$H$3:$I$71,2,FALSE)</f>
        <v>2. Seed</v>
      </c>
      <c r="U1035" s="14" t="str">
        <f>VLOOKUP(K1035,[1]Lookups!$B$3:$C$142,2,FALSE)</f>
        <v>Financial Services</v>
      </c>
      <c r="V1035" s="14">
        <f t="shared" si="1230"/>
        <v>2019</v>
      </c>
      <c r="W1035" s="14">
        <f t="shared" si="1231"/>
        <v>4</v>
      </c>
      <c r="X1035" s="14">
        <f>VLOOKUP(W1035,[1]Lookups!$P$3:$S$15,2,FALSE)</f>
        <v>2</v>
      </c>
      <c r="Y1035" s="16">
        <f>VLOOKUP(W1035,[1]Lookups!$P$3:$U$15,3,FALSE)</f>
        <v>1</v>
      </c>
      <c r="Z1035" s="16">
        <f t="shared" si="1232"/>
        <v>1</v>
      </c>
      <c r="AA1035" s="16" t="str">
        <f t="shared" ca="1" si="1352"/>
        <v>Algebra Ventures</v>
      </c>
      <c r="AB1035" s="16">
        <f t="shared" si="1352"/>
        <v>0</v>
      </c>
      <c r="AC1035" s="16">
        <f t="shared" si="1352"/>
        <v>0</v>
      </c>
      <c r="AD1035" s="16">
        <f t="shared" si="1352"/>
        <v>0</v>
      </c>
      <c r="AE1035" s="16">
        <f t="shared" si="1352"/>
        <v>0</v>
      </c>
      <c r="AF1035" s="16">
        <f t="shared" si="1352"/>
        <v>0</v>
      </c>
      <c r="AG1035" s="16">
        <f t="shared" si="1352"/>
        <v>0</v>
      </c>
      <c r="AH1035" s="16">
        <f t="shared" si="1352"/>
        <v>0</v>
      </c>
      <c r="AI1035" s="16">
        <f t="shared" si="1352"/>
        <v>0</v>
      </c>
      <c r="AJ1035" s="16">
        <f t="shared" si="1352"/>
        <v>0</v>
      </c>
      <c r="AK1035" s="16">
        <f t="shared" si="1352"/>
        <v>0</v>
      </c>
      <c r="AL1035" s="16">
        <f t="shared" si="1352"/>
        <v>0</v>
      </c>
      <c r="AM1035" s="16">
        <f t="shared" si="1352"/>
        <v>0</v>
      </c>
      <c r="AN1035" s="16">
        <f t="shared" si="1352"/>
        <v>0</v>
      </c>
      <c r="AO1035" s="16">
        <f t="shared" si="1352"/>
        <v>0</v>
      </c>
      <c r="AP1035" s="10"/>
      <c r="AQ1035" s="10"/>
      <c r="AR1035" s="10"/>
      <c r="AS1035" s="10" t="str">
        <f t="shared" ref="AS1035" ca="1" si="1356">IFERROR(__xludf.DUMMYFUNCTION("split(F968,"","",true,true)"),"Algebra Ventures")</f>
        <v>Algebra Ventures</v>
      </c>
      <c r="AT1035" s="10"/>
      <c r="AU1035" s="10"/>
      <c r="AV1035" s="10"/>
      <c r="AW1035" s="10"/>
      <c r="AX1035" s="10"/>
      <c r="AY1035" s="10"/>
      <c r="AZ1035" s="10"/>
      <c r="BA1035" s="10"/>
      <c r="BB1035" s="10"/>
      <c r="BC1035" s="10"/>
      <c r="BD1035" s="10"/>
      <c r="BE1035" s="10"/>
      <c r="BF1035" s="10"/>
      <c r="BG1035" s="10"/>
      <c r="BH1035" s="10"/>
      <c r="BI1035" s="10"/>
      <c r="BJ1035" s="10"/>
      <c r="BK1035" s="10"/>
      <c r="BM1035" s="10"/>
    </row>
    <row r="1036" spans="1:65" ht="12.75">
      <c r="A1036" s="9">
        <v>43571</v>
      </c>
      <c r="B1036" s="10" t="s">
        <v>2208</v>
      </c>
      <c r="C1036" s="11">
        <v>40000</v>
      </c>
      <c r="D1036" s="12"/>
      <c r="E1036" s="14" t="s">
        <v>234</v>
      </c>
      <c r="F1036" s="10" t="s">
        <v>2206</v>
      </c>
      <c r="G1036" s="13" t="s">
        <v>2207</v>
      </c>
      <c r="H1036" s="14" t="str">
        <f t="array" ref="H1036">IFERROR(INDEX([1]Companies!$G:$G,MATCH(B1036,[1]Companies!$A:$A,0)),"")</f>
        <v>Kenya</v>
      </c>
      <c r="I1036" s="14" t="str">
        <f t="shared" si="1299"/>
        <v>Kenya</v>
      </c>
      <c r="J1036" s="14" t="str">
        <f t="array" ref="J1036">IFERROR(INDEX([1]Companies!$Y:$Y,MATCH(B1036,[1]Companies!$A:$A,0)),"")</f>
        <v>Lending, Marketplace</v>
      </c>
      <c r="K1036" s="14" t="str">
        <f t="array" ref="K1036">IFERROR(INDEX([1]Companies!$X:$X,MATCH(B1036,[1]Companies!$A:$A,0)),"")</f>
        <v>Financial Services</v>
      </c>
      <c r="L1036" s="14" t="str">
        <f>VLOOKUP(B1036,[1]Companies!$A$1:$C$5243,1,FALSE)</f>
        <v>LipaLater</v>
      </c>
      <c r="M1036" s="15">
        <f t="shared" si="1300"/>
        <v>0.9</v>
      </c>
      <c r="N1036" s="10" t="str">
        <f t="shared" si="1301"/>
        <v>43571LipaLater40000</v>
      </c>
      <c r="O1036" s="14" t="str">
        <f t="shared" si="1302"/>
        <v/>
      </c>
      <c r="P1036" s="14">
        <f t="shared" si="1303"/>
        <v>1</v>
      </c>
      <c r="Q1036" s="14">
        <f t="array" ref="Q1036">IFERROR(INDEX([1]Companies!$D:$D,MATCH(B1036,[1]Companies!$A:$A,0)),"")</f>
        <v>2015</v>
      </c>
      <c r="R1036" s="17">
        <f t="shared" si="1304"/>
        <v>40000</v>
      </c>
      <c r="S1036" s="14">
        <f>VLOOKUP(I1036,[1]Lookups!$V$3:$Y$197,4,FALSE)</f>
        <v>0</v>
      </c>
      <c r="T1036" s="14" t="str">
        <f>VLOOKUP(E1036,[1]Lookups!$H$3:$I$71,2,FALSE)</f>
        <v>2. Seed</v>
      </c>
      <c r="U1036" s="14" t="str">
        <f>VLOOKUP(K1036,[1]Lookups!$B$3:$C$142,2,FALSE)</f>
        <v>Financial Services</v>
      </c>
      <c r="V1036" s="14">
        <f t="shared" si="1230"/>
        <v>2019</v>
      </c>
      <c r="W1036" s="14">
        <f t="shared" si="1231"/>
        <v>4</v>
      </c>
      <c r="X1036" s="14">
        <f>VLOOKUP(W1036,[1]Lookups!$P$3:$S$15,2,FALSE)</f>
        <v>2</v>
      </c>
      <c r="Y1036" s="16">
        <f>VLOOKUP(W1036,[1]Lookups!$P$3:$U$15,3,FALSE)</f>
        <v>1</v>
      </c>
      <c r="Z1036" s="16">
        <f t="shared" si="1232"/>
        <v>1</v>
      </c>
      <c r="AA1036" s="16" t="str">
        <f t="shared" ca="1" si="1352"/>
        <v>Algebra Ventures</v>
      </c>
      <c r="AB1036" s="16">
        <f t="shared" si="1352"/>
        <v>0</v>
      </c>
      <c r="AC1036" s="16">
        <f t="shared" si="1352"/>
        <v>0</v>
      </c>
      <c r="AD1036" s="16">
        <f t="shared" si="1352"/>
        <v>0</v>
      </c>
      <c r="AE1036" s="16">
        <f t="shared" si="1352"/>
        <v>0</v>
      </c>
      <c r="AF1036" s="16">
        <f t="shared" si="1352"/>
        <v>0</v>
      </c>
      <c r="AG1036" s="16">
        <f t="shared" si="1352"/>
        <v>0</v>
      </c>
      <c r="AH1036" s="16">
        <f t="shared" si="1352"/>
        <v>0</v>
      </c>
      <c r="AI1036" s="16">
        <f t="shared" si="1352"/>
        <v>0</v>
      </c>
      <c r="AJ1036" s="16">
        <f t="shared" si="1352"/>
        <v>0</v>
      </c>
      <c r="AK1036" s="16">
        <f t="shared" si="1352"/>
        <v>0</v>
      </c>
      <c r="AL1036" s="16">
        <f t="shared" si="1352"/>
        <v>0</v>
      </c>
      <c r="AM1036" s="16">
        <f t="shared" si="1352"/>
        <v>0</v>
      </c>
      <c r="AN1036" s="16">
        <f t="shared" si="1352"/>
        <v>0</v>
      </c>
      <c r="AO1036" s="16">
        <f t="shared" si="1352"/>
        <v>0</v>
      </c>
      <c r="AP1036" s="10"/>
      <c r="AQ1036" s="10"/>
      <c r="AR1036" s="10"/>
      <c r="AS1036" s="10" t="str">
        <f t="shared" ref="AS1036" ca="1" si="1357">IFERROR(__xludf.DUMMYFUNCTION("split(F968,"","",true,true)"),"Algebra Ventures")</f>
        <v>Algebra Ventures</v>
      </c>
      <c r="AT1036" s="10"/>
      <c r="AU1036" s="10"/>
      <c r="AV1036" s="10"/>
      <c r="AW1036" s="10"/>
      <c r="AX1036" s="10"/>
      <c r="AY1036" s="10"/>
      <c r="AZ1036" s="10"/>
      <c r="BA1036" s="10"/>
      <c r="BB1036" s="10"/>
      <c r="BC1036" s="10"/>
      <c r="BD1036" s="10"/>
      <c r="BE1036" s="10"/>
      <c r="BF1036" s="10"/>
      <c r="BG1036" s="10"/>
      <c r="BH1036" s="10"/>
      <c r="BI1036" s="10"/>
      <c r="BJ1036" s="10"/>
      <c r="BK1036" s="10"/>
      <c r="BM1036" s="10"/>
    </row>
    <row r="1037" spans="1:65" ht="12.75">
      <c r="A1037" s="9">
        <v>43571</v>
      </c>
      <c r="B1037" s="10" t="s">
        <v>2209</v>
      </c>
      <c r="C1037" s="11">
        <v>40000</v>
      </c>
      <c r="D1037" s="12"/>
      <c r="E1037" s="14" t="s">
        <v>234</v>
      </c>
      <c r="F1037" s="10" t="s">
        <v>2206</v>
      </c>
      <c r="G1037" s="13" t="s">
        <v>2207</v>
      </c>
      <c r="H1037" s="14" t="str">
        <f t="array" ref="H1037">IFERROR(INDEX([1]Companies!$G:$G,MATCH(B1037,[1]Companies!$A:$A,0)),"")</f>
        <v>Nigeria</v>
      </c>
      <c r="I1037" s="14" t="str">
        <f t="shared" si="1299"/>
        <v>Nigeria</v>
      </c>
      <c r="J1037" s="14" t="str">
        <f t="array" ref="J1037">IFERROR(INDEX([1]Companies!$Y:$Y,MATCH(B1037,[1]Companies!$A:$A,0)),"")</f>
        <v>Logistics, Supply Chain Management</v>
      </c>
      <c r="K1037" s="14" t="str">
        <f t="array" ref="K1037">IFERROR(INDEX([1]Companies!$X:$X,MATCH(B1037,[1]Companies!$A:$A,0)),"")</f>
        <v>E-Commerce &amp; Retail</v>
      </c>
      <c r="L1037" s="14" t="str">
        <f>VLOOKUP(B1037,[1]Companies!$A$1:$C$5243,1,FALSE)</f>
        <v>Eazyhire</v>
      </c>
      <c r="M1037" s="15">
        <f t="shared" si="1300"/>
        <v>0.9</v>
      </c>
      <c r="N1037" s="10" t="str">
        <f t="shared" si="1301"/>
        <v>43571Eazyhire40000</v>
      </c>
      <c r="O1037" s="14" t="str">
        <f t="shared" si="1302"/>
        <v/>
      </c>
      <c r="P1037" s="14">
        <f t="shared" si="1303"/>
        <v>1</v>
      </c>
      <c r="Q1037" s="14">
        <f t="array" ref="Q1037">IFERROR(INDEX([1]Companies!$D:$D,MATCH(B1037,[1]Companies!$A:$A,0)),"")</f>
        <v>2015</v>
      </c>
      <c r="R1037" s="17">
        <f t="shared" si="1304"/>
        <v>40000</v>
      </c>
      <c r="S1037" s="14">
        <f>VLOOKUP(I1037,[1]Lookups!$V$3:$Y$197,4,FALSE)</f>
        <v>0</v>
      </c>
      <c r="T1037" s="14" t="str">
        <f>VLOOKUP(E1037,[1]Lookups!$H$3:$I$71,2,FALSE)</f>
        <v>2. Seed</v>
      </c>
      <c r="U1037" s="14" t="str">
        <f>VLOOKUP(K1037,[1]Lookups!$B$3:$C$142,2,FALSE)</f>
        <v>E-commerce &amp; Retail</v>
      </c>
      <c r="V1037" s="14">
        <f t="shared" si="1230"/>
        <v>2019</v>
      </c>
      <c r="W1037" s="14">
        <f t="shared" si="1231"/>
        <v>4</v>
      </c>
      <c r="X1037" s="14">
        <f>VLOOKUP(W1037,[1]Lookups!$P$3:$S$15,2,FALSE)</f>
        <v>2</v>
      </c>
      <c r="Y1037" s="16">
        <f>VLOOKUP(W1037,[1]Lookups!$P$3:$U$15,3,FALSE)</f>
        <v>1</v>
      </c>
      <c r="Z1037" s="16">
        <f t="shared" si="1232"/>
        <v>1</v>
      </c>
      <c r="AA1037" s="16" t="str">
        <f t="shared" ca="1" si="1352"/>
        <v>Algebra Ventures</v>
      </c>
      <c r="AB1037" s="16">
        <f t="shared" si="1352"/>
        <v>0</v>
      </c>
      <c r="AC1037" s="16">
        <f t="shared" si="1352"/>
        <v>0</v>
      </c>
      <c r="AD1037" s="16">
        <f t="shared" si="1352"/>
        <v>0</v>
      </c>
      <c r="AE1037" s="16">
        <f t="shared" si="1352"/>
        <v>0</v>
      </c>
      <c r="AF1037" s="16">
        <f t="shared" si="1352"/>
        <v>0</v>
      </c>
      <c r="AG1037" s="16">
        <f t="shared" si="1352"/>
        <v>0</v>
      </c>
      <c r="AH1037" s="16">
        <f t="shared" si="1352"/>
        <v>0</v>
      </c>
      <c r="AI1037" s="16">
        <f t="shared" si="1352"/>
        <v>0</v>
      </c>
      <c r="AJ1037" s="16">
        <f t="shared" si="1352"/>
        <v>0</v>
      </c>
      <c r="AK1037" s="16">
        <f t="shared" si="1352"/>
        <v>0</v>
      </c>
      <c r="AL1037" s="16">
        <f t="shared" si="1352"/>
        <v>0</v>
      </c>
      <c r="AM1037" s="16">
        <f t="shared" si="1352"/>
        <v>0</v>
      </c>
      <c r="AN1037" s="16">
        <f t="shared" si="1352"/>
        <v>0</v>
      </c>
      <c r="AO1037" s="16">
        <f t="shared" si="1352"/>
        <v>0</v>
      </c>
      <c r="AP1037" s="10"/>
      <c r="AQ1037" s="10"/>
      <c r="AR1037" s="10"/>
      <c r="AS1037" s="10" t="str">
        <f t="shared" ref="AS1037" ca="1" si="1358">IFERROR(__xludf.DUMMYFUNCTION("split(F968,"","",true,true)"),"Algebra Ventures")</f>
        <v>Algebra Ventures</v>
      </c>
      <c r="AT1037" s="10"/>
      <c r="AU1037" s="10"/>
      <c r="AV1037" s="10"/>
      <c r="AW1037" s="10"/>
      <c r="AX1037" s="10"/>
      <c r="AY1037" s="10"/>
      <c r="AZ1037" s="10"/>
      <c r="BA1037" s="10"/>
      <c r="BB1037" s="10"/>
      <c r="BC1037" s="10"/>
      <c r="BD1037" s="10"/>
      <c r="BE1037" s="10"/>
      <c r="BF1037" s="10"/>
      <c r="BG1037" s="10"/>
      <c r="BH1037" s="10"/>
      <c r="BI1037" s="10"/>
      <c r="BJ1037" s="10"/>
      <c r="BK1037" s="10"/>
      <c r="BM1037" s="10"/>
    </row>
    <row r="1038" spans="1:65" ht="12.75">
      <c r="A1038" s="9">
        <v>43571</v>
      </c>
      <c r="B1038" s="10" t="s">
        <v>2210</v>
      </c>
      <c r="C1038" s="11">
        <v>40000</v>
      </c>
      <c r="D1038" s="12"/>
      <c r="E1038" s="14" t="s">
        <v>234</v>
      </c>
      <c r="F1038" s="10" t="s">
        <v>2206</v>
      </c>
      <c r="G1038" s="13" t="s">
        <v>2207</v>
      </c>
      <c r="H1038" s="14" t="str">
        <f t="array" ref="H1038">IFERROR(INDEX([1]Companies!$G:$G,MATCH(B1038,[1]Companies!$A:$A,0)),"")</f>
        <v>Uganda</v>
      </c>
      <c r="I1038" s="14" t="str">
        <f t="shared" si="1299"/>
        <v>Uganda</v>
      </c>
      <c r="J1038" s="14" t="str">
        <f t="array" ref="J1038">IFERROR(INDEX([1]Companies!$Y:$Y,MATCH(B1038,[1]Companies!$A:$A,0)),"")</f>
        <v>Information Services</v>
      </c>
      <c r="K1038" s="14" t="str">
        <f t="array" ref="K1038">IFERROR(INDEX([1]Companies!$X:$X,MATCH(B1038,[1]Companies!$A:$A,0)),"")</f>
        <v>Information Technology</v>
      </c>
      <c r="L1038" s="14" t="str">
        <f>VLOOKUP(B1038,[1]Companies!$A$1:$C$5243,1,FALSE)</f>
        <v>Digest Africa</v>
      </c>
      <c r="M1038" s="15">
        <f t="shared" si="1300"/>
        <v>0.9</v>
      </c>
      <c r="N1038" s="10" t="str">
        <f t="shared" si="1301"/>
        <v>43571Digest Africa40000</v>
      </c>
      <c r="O1038" s="14" t="str">
        <f t="shared" si="1302"/>
        <v/>
      </c>
      <c r="P1038" s="14">
        <f t="shared" si="1303"/>
        <v>1</v>
      </c>
      <c r="Q1038" s="14">
        <f t="array" ref="Q1038">IFERROR(INDEX([1]Companies!$D:$D,MATCH(B1038,[1]Companies!$A:$A,0)),"")</f>
        <v>2017</v>
      </c>
      <c r="R1038" s="17">
        <f t="shared" si="1304"/>
        <v>40000</v>
      </c>
      <c r="S1038" s="14">
        <f>VLOOKUP(I1038,[1]Lookups!$V$3:$Y$197,4,FALSE)</f>
        <v>0</v>
      </c>
      <c r="T1038" s="14" t="str">
        <f>VLOOKUP(E1038,[1]Lookups!$H$3:$I$71,2,FALSE)</f>
        <v>2. Seed</v>
      </c>
      <c r="U1038" s="14" t="str">
        <f>VLOOKUP(K1038,[1]Lookups!$B$3:$C$142,2,FALSE)</f>
        <v>Other Technologies &amp; Information Technology</v>
      </c>
      <c r="V1038" s="14">
        <f t="shared" si="1230"/>
        <v>2019</v>
      </c>
      <c r="W1038" s="14">
        <f t="shared" si="1231"/>
        <v>4</v>
      </c>
      <c r="X1038" s="14">
        <f>VLOOKUP(W1038,[1]Lookups!$P$3:$S$15,2,FALSE)</f>
        <v>2</v>
      </c>
      <c r="Y1038" s="16">
        <f>VLOOKUP(W1038,[1]Lookups!$P$3:$U$15,3,FALSE)</f>
        <v>1</v>
      </c>
      <c r="Z1038" s="16">
        <f t="shared" si="1232"/>
        <v>1</v>
      </c>
      <c r="AA1038" s="16" t="str">
        <f t="shared" ca="1" si="1352"/>
        <v>Algebra Ventures</v>
      </c>
      <c r="AB1038" s="16">
        <f t="shared" si="1352"/>
        <v>0</v>
      </c>
      <c r="AC1038" s="16">
        <f t="shared" si="1352"/>
        <v>0</v>
      </c>
      <c r="AD1038" s="16">
        <f t="shared" si="1352"/>
        <v>0</v>
      </c>
      <c r="AE1038" s="16">
        <f t="shared" si="1352"/>
        <v>0</v>
      </c>
      <c r="AF1038" s="16">
        <f t="shared" si="1352"/>
        <v>0</v>
      </c>
      <c r="AG1038" s="16">
        <f t="shared" si="1352"/>
        <v>0</v>
      </c>
      <c r="AH1038" s="16">
        <f t="shared" si="1352"/>
        <v>0</v>
      </c>
      <c r="AI1038" s="16">
        <f t="shared" si="1352"/>
        <v>0</v>
      </c>
      <c r="AJ1038" s="16">
        <f t="shared" si="1352"/>
        <v>0</v>
      </c>
      <c r="AK1038" s="16">
        <f t="shared" si="1352"/>
        <v>0</v>
      </c>
      <c r="AL1038" s="16">
        <f t="shared" si="1352"/>
        <v>0</v>
      </c>
      <c r="AM1038" s="16">
        <f t="shared" si="1352"/>
        <v>0</v>
      </c>
      <c r="AN1038" s="16">
        <f t="shared" si="1352"/>
        <v>0</v>
      </c>
      <c r="AO1038" s="16">
        <f t="shared" si="1352"/>
        <v>0</v>
      </c>
      <c r="AP1038" s="10"/>
      <c r="AQ1038" s="10"/>
      <c r="AR1038" s="10"/>
      <c r="AS1038" s="10" t="str">
        <f t="shared" ref="AS1038" ca="1" si="1359">IFERROR(__xludf.DUMMYFUNCTION("split(F968,"","",true,true)"),"Algebra Ventures")</f>
        <v>Algebra Ventures</v>
      </c>
      <c r="AT1038" s="10"/>
      <c r="AU1038" s="10"/>
      <c r="AV1038" s="10"/>
      <c r="AW1038" s="10"/>
      <c r="AX1038" s="10"/>
      <c r="AY1038" s="10"/>
      <c r="AZ1038" s="10"/>
      <c r="BA1038" s="10"/>
      <c r="BB1038" s="10"/>
      <c r="BC1038" s="10"/>
      <c r="BD1038" s="10"/>
      <c r="BE1038" s="10"/>
      <c r="BF1038" s="10"/>
      <c r="BG1038" s="10"/>
      <c r="BH1038" s="10"/>
      <c r="BI1038" s="10"/>
      <c r="BJ1038" s="10"/>
      <c r="BK1038" s="10"/>
      <c r="BM1038" s="10"/>
    </row>
    <row r="1039" spans="1:65" ht="12.75">
      <c r="A1039" s="9">
        <v>43571</v>
      </c>
      <c r="B1039" s="10" t="s">
        <v>1759</v>
      </c>
      <c r="C1039" s="11">
        <v>20000</v>
      </c>
      <c r="D1039" s="12"/>
      <c r="E1039" s="14" t="s">
        <v>45</v>
      </c>
      <c r="F1039" s="10" t="s">
        <v>2211</v>
      </c>
      <c r="G1039" s="13" t="s">
        <v>2212</v>
      </c>
      <c r="H1039" s="14" t="str">
        <f t="array" ref="H1039">IFERROR(INDEX([1]Companies!$G:$G,MATCH(B1039,[1]Companies!$A:$A,0)),"")</f>
        <v>Nigeria</v>
      </c>
      <c r="I1039" s="14" t="str">
        <f t="shared" si="1299"/>
        <v>Nigeria</v>
      </c>
      <c r="J1039" s="14" t="str">
        <f t="array" ref="J1039">IFERROR(INDEX([1]Companies!$Y:$Y,MATCH(B1039,[1]Companies!$A:$A,0)),"")</f>
        <v>Solar, Clean Technology</v>
      </c>
      <c r="K1039" s="14" t="str">
        <f t="array" ref="K1039">IFERROR(INDEX([1]Companies!$X:$X,MATCH(B1039,[1]Companies!$A:$A,0)),"")</f>
        <v>Energy &amp; Environment Resources</v>
      </c>
      <c r="L1039" s="14" t="str">
        <f>VLOOKUP(B1039,[1]Companies!$A$1:$C$5243,1,FALSE)</f>
        <v>Greenage Technologies</v>
      </c>
      <c r="M1039" s="15">
        <f t="shared" si="1300"/>
        <v>0.9</v>
      </c>
      <c r="N1039" s="10" t="str">
        <f t="shared" si="1301"/>
        <v>43571Greenage Technologies20000</v>
      </c>
      <c r="O1039" s="14" t="str">
        <f t="shared" si="1302"/>
        <v/>
      </c>
      <c r="P1039" s="14">
        <f t="shared" si="1303"/>
        <v>1</v>
      </c>
      <c r="Q1039" s="14">
        <f t="array" ref="Q1039">IFERROR(INDEX([1]Companies!$D:$D,MATCH(B1039,[1]Companies!$A:$A,0)),"")</f>
        <v>2007</v>
      </c>
      <c r="R1039" s="17">
        <f t="shared" si="1304"/>
        <v>92000</v>
      </c>
      <c r="S1039" s="14">
        <f>VLOOKUP(I1039,[1]Lookups!$V$3:$Y$197,4,FALSE)</f>
        <v>0</v>
      </c>
      <c r="T1039" s="14" t="str">
        <f>VLOOKUP(E1039,[1]Lookups!$H$3:$I$71,2,FALSE)</f>
        <v>2. Seed</v>
      </c>
      <c r="U1039" s="14" t="e">
        <f>VLOOKUP(K1039,[1]Lookups!$B$3:$C$142,2,FALSE)</f>
        <v>#N/A</v>
      </c>
      <c r="V1039" s="14">
        <f t="shared" si="1230"/>
        <v>2019</v>
      </c>
      <c r="W1039" s="14">
        <f t="shared" si="1231"/>
        <v>4</v>
      </c>
      <c r="X1039" s="14">
        <f>VLOOKUP(W1039,[1]Lookups!$P$3:$S$15,2,FALSE)</f>
        <v>2</v>
      </c>
      <c r="Y1039" s="16">
        <f>VLOOKUP(W1039,[1]Lookups!$P$3:$U$15,3,FALSE)</f>
        <v>1</v>
      </c>
      <c r="Z1039" s="16">
        <f t="shared" si="1232"/>
        <v>1</v>
      </c>
      <c r="AA1039" s="16" t="str">
        <f t="shared" ca="1" si="1352"/>
        <v>Algebra Ventures</v>
      </c>
      <c r="AB1039" s="16">
        <f t="shared" si="1352"/>
        <v>0</v>
      </c>
      <c r="AC1039" s="16">
        <f t="shared" si="1352"/>
        <v>0</v>
      </c>
      <c r="AD1039" s="16">
        <f t="shared" si="1352"/>
        <v>0</v>
      </c>
      <c r="AE1039" s="16">
        <f t="shared" si="1352"/>
        <v>0</v>
      </c>
      <c r="AF1039" s="16">
        <f t="shared" si="1352"/>
        <v>0</v>
      </c>
      <c r="AG1039" s="16">
        <f t="shared" si="1352"/>
        <v>0</v>
      </c>
      <c r="AH1039" s="16">
        <f t="shared" si="1352"/>
        <v>0</v>
      </c>
      <c r="AI1039" s="16">
        <f t="shared" si="1352"/>
        <v>0</v>
      </c>
      <c r="AJ1039" s="16">
        <f t="shared" si="1352"/>
        <v>0</v>
      </c>
      <c r="AK1039" s="16">
        <f t="shared" si="1352"/>
        <v>0</v>
      </c>
      <c r="AL1039" s="16">
        <f t="shared" si="1352"/>
        <v>0</v>
      </c>
      <c r="AM1039" s="16">
        <f t="shared" si="1352"/>
        <v>0</v>
      </c>
      <c r="AN1039" s="16">
        <f t="shared" si="1352"/>
        <v>0</v>
      </c>
      <c r="AO1039" s="16">
        <f t="shared" si="1352"/>
        <v>0</v>
      </c>
      <c r="AP1039" s="10"/>
      <c r="AQ1039" s="10"/>
      <c r="AR1039" s="10"/>
      <c r="AS1039" s="10" t="str">
        <f t="shared" ref="AS1039" ca="1" si="1360">IFERROR(__xludf.DUMMYFUNCTION("split(F968,"","",true,true)"),"Algebra Ventures")</f>
        <v>Algebra Ventures</v>
      </c>
      <c r="AT1039" s="10"/>
      <c r="AU1039" s="10"/>
      <c r="AV1039" s="10"/>
      <c r="AW1039" s="10"/>
      <c r="AX1039" s="10"/>
      <c r="AY1039" s="10"/>
      <c r="AZ1039" s="10"/>
      <c r="BA1039" s="10"/>
      <c r="BB1039" s="10"/>
      <c r="BC1039" s="10"/>
      <c r="BD1039" s="10"/>
      <c r="BE1039" s="10"/>
      <c r="BF1039" s="10"/>
      <c r="BG1039" s="10"/>
      <c r="BH1039" s="10"/>
      <c r="BI1039" s="10"/>
      <c r="BJ1039" s="10"/>
      <c r="BK1039" s="10"/>
      <c r="BM1039" s="10"/>
    </row>
    <row r="1040" spans="1:65" ht="12.75">
      <c r="A1040" s="9">
        <v>43571</v>
      </c>
      <c r="B1040" s="10" t="s">
        <v>2213</v>
      </c>
      <c r="C1040" s="11">
        <v>10000</v>
      </c>
      <c r="D1040" s="12"/>
      <c r="E1040" s="10" t="s">
        <v>55</v>
      </c>
      <c r="F1040" s="10" t="s">
        <v>2214</v>
      </c>
      <c r="G1040" s="13" t="s">
        <v>2215</v>
      </c>
      <c r="H1040" s="14" t="str">
        <f t="array" ref="H1040">IFERROR(INDEX([1]Companies!$G:$G,MATCH(B1040,[1]Companies!$A:$A,0)),"")</f>
        <v>Tunisia</v>
      </c>
      <c r="I1040" s="14" t="str">
        <f t="shared" si="1299"/>
        <v>Tunisia</v>
      </c>
      <c r="J1040" s="14" t="str">
        <f t="array" ref="J1040">IFERROR(INDEX([1]Companies!$Y:$Y,MATCH(B1040,[1]Companies!$A:$A,0)),"")</f>
        <v>Health Care, Health Insurance, Mobile, Service Industry</v>
      </c>
      <c r="K1040" s="14" t="str">
        <f t="array" ref="K1040">IFERROR(INDEX([1]Companies!$X:$X,MATCH(B1040,[1]Companies!$A:$A,0)),"")</f>
        <v>Financial Services</v>
      </c>
      <c r="L1040" s="14" t="str">
        <f>VLOOKUP(B1040,[1]Companies!$A$1:$C$5243,1,FALSE)</f>
        <v>Ahmini</v>
      </c>
      <c r="M1040" s="15">
        <f t="shared" si="1300"/>
        <v>0.9</v>
      </c>
      <c r="N1040" s="10" t="str">
        <f t="shared" si="1301"/>
        <v>43571Ahmini10000</v>
      </c>
      <c r="O1040" s="14" t="str">
        <f t="shared" si="1302"/>
        <v/>
      </c>
      <c r="P1040" s="14">
        <f t="shared" si="1303"/>
        <v>1</v>
      </c>
      <c r="Q1040" s="14">
        <f t="array" ref="Q1040">IFERROR(INDEX([1]Companies!$D:$D,MATCH(B1040,[1]Companies!$A:$A,0)),"")</f>
        <v>2019</v>
      </c>
      <c r="R1040" s="17">
        <f t="shared" si="1304"/>
        <v>10000</v>
      </c>
      <c r="S1040" s="14">
        <f>VLOOKUP(I1040,[1]Lookups!$V$3:$Y$197,4,FALSE)</f>
        <v>0</v>
      </c>
      <c r="T1040" s="14" t="str">
        <f>VLOOKUP(E1040,[1]Lookups!$H$3:$I$71,2,FALSE)</f>
        <v>1. Grant</v>
      </c>
      <c r="U1040" s="14" t="str">
        <f>VLOOKUP(K1040,[1]Lookups!$B$3:$C$142,2,FALSE)</f>
        <v>Financial Services</v>
      </c>
      <c r="V1040" s="14">
        <f t="shared" si="1230"/>
        <v>2019</v>
      </c>
      <c r="W1040" s="14">
        <f t="shared" si="1231"/>
        <v>4</v>
      </c>
      <c r="X1040" s="14">
        <f>VLOOKUP(W1040,[1]Lookups!$P$3:$S$15,2,FALSE)</f>
        <v>2</v>
      </c>
      <c r="Y1040" s="16">
        <f>VLOOKUP(W1040,[1]Lookups!$P$3:$U$15,3,FALSE)</f>
        <v>1</v>
      </c>
      <c r="Z1040" s="16">
        <f t="shared" si="1232"/>
        <v>1</v>
      </c>
      <c r="AA1040" s="16" t="str">
        <f t="shared" ca="1" si="1352"/>
        <v>Algebra Ventures</v>
      </c>
      <c r="AB1040" s="16">
        <f t="shared" si="1352"/>
        <v>0</v>
      </c>
      <c r="AC1040" s="16">
        <f t="shared" si="1352"/>
        <v>0</v>
      </c>
      <c r="AD1040" s="16">
        <f t="shared" si="1352"/>
        <v>0</v>
      </c>
      <c r="AE1040" s="16">
        <f t="shared" si="1352"/>
        <v>0</v>
      </c>
      <c r="AF1040" s="16">
        <f t="shared" si="1352"/>
        <v>0</v>
      </c>
      <c r="AG1040" s="16">
        <f t="shared" si="1352"/>
        <v>0</v>
      </c>
      <c r="AH1040" s="16">
        <f t="shared" si="1352"/>
        <v>0</v>
      </c>
      <c r="AI1040" s="16">
        <f t="shared" si="1352"/>
        <v>0</v>
      </c>
      <c r="AJ1040" s="16">
        <f t="shared" si="1352"/>
        <v>0</v>
      </c>
      <c r="AK1040" s="16">
        <f t="shared" si="1352"/>
        <v>0</v>
      </c>
      <c r="AL1040" s="16">
        <f t="shared" si="1352"/>
        <v>0</v>
      </c>
      <c r="AM1040" s="16">
        <f t="shared" si="1352"/>
        <v>0</v>
      </c>
      <c r="AN1040" s="16">
        <f t="shared" si="1352"/>
        <v>0</v>
      </c>
      <c r="AO1040" s="16">
        <f t="shared" si="1352"/>
        <v>0</v>
      </c>
      <c r="AP1040" s="10"/>
      <c r="AQ1040" s="10"/>
      <c r="AR1040" s="10"/>
      <c r="AS1040" s="10" t="str">
        <f t="shared" ref="AS1040" ca="1" si="1361">IFERROR(__xludf.DUMMYFUNCTION("split(F968,"","",true,true)"),"Algebra Ventures")</f>
        <v>Algebra Ventures</v>
      </c>
      <c r="AT1040" s="10"/>
      <c r="AU1040" s="10"/>
      <c r="AV1040" s="10"/>
      <c r="AW1040" s="10"/>
      <c r="AX1040" s="10"/>
      <c r="AY1040" s="10"/>
      <c r="AZ1040" s="10"/>
      <c r="BA1040" s="10"/>
      <c r="BB1040" s="10"/>
      <c r="BC1040" s="10"/>
      <c r="BD1040" s="10"/>
      <c r="BE1040" s="10"/>
      <c r="BF1040" s="10"/>
      <c r="BG1040" s="10"/>
      <c r="BH1040" s="10"/>
      <c r="BI1040" s="10"/>
      <c r="BJ1040" s="10"/>
      <c r="BK1040" s="10"/>
      <c r="BM1040" s="10"/>
    </row>
    <row r="1041" spans="1:65" ht="12.75">
      <c r="A1041" s="9">
        <v>43571</v>
      </c>
      <c r="B1041" s="10" t="s">
        <v>2216</v>
      </c>
      <c r="C1041" s="11">
        <v>5500</v>
      </c>
      <c r="D1041" s="12"/>
      <c r="E1041" s="14" t="s">
        <v>45</v>
      </c>
      <c r="F1041" s="10" t="s">
        <v>2217</v>
      </c>
      <c r="G1041" s="13" t="s">
        <v>2212</v>
      </c>
      <c r="H1041" s="14" t="str">
        <f t="array" ref="H1041">IFERROR(INDEX([1]Companies!$G:$G,MATCH(B1041,[1]Companies!$A:$A,0)),"")</f>
        <v>Nigeria</v>
      </c>
      <c r="I1041" s="14" t="str">
        <f t="shared" si="1299"/>
        <v>Nigeria</v>
      </c>
      <c r="J1041" s="14" t="str">
        <f t="array" ref="J1041">IFERROR(INDEX([1]Companies!$Y:$Y,MATCH(B1041,[1]Companies!$A:$A,0)),"")</f>
        <v>Production of animal feed</v>
      </c>
      <c r="K1041" s="14" t="str">
        <f t="array" ref="K1041">IFERROR(INDEX([1]Companies!$X:$X,MATCH(B1041,[1]Companies!$A:$A,0)),"")</f>
        <v>Agriculture</v>
      </c>
      <c r="L1041" s="14" t="str">
        <f>VLOOKUP(B1041,[1]Companies!$A$1:$C$5243,1,FALSE)</f>
        <v>Alphotazi Farms</v>
      </c>
      <c r="M1041" s="15">
        <f t="shared" si="1300"/>
        <v>0.9</v>
      </c>
      <c r="N1041" s="10" t="str">
        <f t="shared" si="1301"/>
        <v>43571Alphotazi Farms5500</v>
      </c>
      <c r="O1041" s="14" t="str">
        <f t="shared" si="1302"/>
        <v/>
      </c>
      <c r="P1041" s="14">
        <f t="shared" si="1303"/>
        <v>1</v>
      </c>
      <c r="Q1041" s="14">
        <f t="array" ref="Q1041">IFERROR(INDEX([1]Companies!$D:$D,MATCH(B1041,[1]Companies!$A:$A,0)),"")</f>
        <v>2018</v>
      </c>
      <c r="R1041" s="17">
        <f t="shared" si="1304"/>
        <v>5500</v>
      </c>
      <c r="S1041" s="14">
        <f>VLOOKUP(I1041,[1]Lookups!$V$3:$Y$197,4,FALSE)</f>
        <v>0</v>
      </c>
      <c r="T1041" s="14" t="str">
        <f>VLOOKUP(E1041,[1]Lookups!$H$3:$I$71,2,FALSE)</f>
        <v>2. Seed</v>
      </c>
      <c r="U1041" s="14" t="str">
        <f>VLOOKUP(K1041,[1]Lookups!$B$3:$C$142,2,FALSE)</f>
        <v>Agriculture</v>
      </c>
      <c r="V1041" s="14">
        <f t="shared" si="1230"/>
        <v>2019</v>
      </c>
      <c r="W1041" s="14">
        <f t="shared" si="1231"/>
        <v>4</v>
      </c>
      <c r="X1041" s="14">
        <f>VLOOKUP(W1041,[1]Lookups!$P$3:$S$15,2,FALSE)</f>
        <v>2</v>
      </c>
      <c r="Y1041" s="16">
        <f>VLOOKUP(W1041,[1]Lookups!$P$3:$U$15,3,FALSE)</f>
        <v>1</v>
      </c>
      <c r="Z1041" s="16">
        <f t="shared" si="1232"/>
        <v>1</v>
      </c>
      <c r="AA1041" s="16" t="str">
        <f t="shared" ca="1" si="1352"/>
        <v>Algebra Ventures</v>
      </c>
      <c r="AB1041" s="16">
        <f t="shared" si="1352"/>
        <v>0</v>
      </c>
      <c r="AC1041" s="16">
        <f t="shared" si="1352"/>
        <v>0</v>
      </c>
      <c r="AD1041" s="16">
        <f t="shared" si="1352"/>
        <v>0</v>
      </c>
      <c r="AE1041" s="16">
        <f t="shared" si="1352"/>
        <v>0</v>
      </c>
      <c r="AF1041" s="16">
        <f t="shared" si="1352"/>
        <v>0</v>
      </c>
      <c r="AG1041" s="16">
        <f t="shared" si="1352"/>
        <v>0</v>
      </c>
      <c r="AH1041" s="16">
        <f t="shared" si="1352"/>
        <v>0</v>
      </c>
      <c r="AI1041" s="16">
        <f t="shared" si="1352"/>
        <v>0</v>
      </c>
      <c r="AJ1041" s="16">
        <f t="shared" si="1352"/>
        <v>0</v>
      </c>
      <c r="AK1041" s="16">
        <f t="shared" si="1352"/>
        <v>0</v>
      </c>
      <c r="AL1041" s="16">
        <f t="shared" si="1352"/>
        <v>0</v>
      </c>
      <c r="AM1041" s="16">
        <f t="shared" si="1352"/>
        <v>0</v>
      </c>
      <c r="AN1041" s="16">
        <f t="shared" si="1352"/>
        <v>0</v>
      </c>
      <c r="AO1041" s="16">
        <f t="shared" si="1352"/>
        <v>0</v>
      </c>
      <c r="AP1041" s="10"/>
      <c r="AQ1041" s="10"/>
      <c r="AR1041" s="10"/>
      <c r="AS1041" s="10" t="str">
        <f t="shared" ref="AS1041" ca="1" si="1362">IFERROR(__xludf.DUMMYFUNCTION("split(F968,"","",true,true)"),"Algebra Ventures")</f>
        <v>Algebra Ventures</v>
      </c>
      <c r="AT1041" s="10"/>
      <c r="AU1041" s="10"/>
      <c r="AV1041" s="10"/>
      <c r="AW1041" s="10"/>
      <c r="AX1041" s="10"/>
      <c r="AY1041" s="10"/>
      <c r="AZ1041" s="10"/>
      <c r="BA1041" s="10"/>
      <c r="BB1041" s="10"/>
      <c r="BC1041" s="10"/>
      <c r="BD1041" s="10"/>
      <c r="BE1041" s="10"/>
      <c r="BF1041" s="10"/>
      <c r="BG1041" s="10"/>
      <c r="BH1041" s="10"/>
      <c r="BI1041" s="10"/>
      <c r="BJ1041" s="10"/>
      <c r="BK1041" s="10"/>
      <c r="BM1041" s="10"/>
    </row>
    <row r="1042" spans="1:65" ht="12.75">
      <c r="A1042" s="9">
        <v>43571</v>
      </c>
      <c r="B1042" s="10" t="s">
        <v>2218</v>
      </c>
      <c r="C1042" s="11">
        <v>5000</v>
      </c>
      <c r="D1042" s="12"/>
      <c r="E1042" s="10" t="s">
        <v>55</v>
      </c>
      <c r="F1042" s="10" t="s">
        <v>2214</v>
      </c>
      <c r="G1042" s="13" t="s">
        <v>2215</v>
      </c>
      <c r="H1042" s="14" t="str">
        <f t="array" ref="H1042">IFERROR(INDEX([1]Companies!$G:$G,MATCH(B1042,[1]Companies!$A:$A,0)),"")</f>
        <v>Egypt</v>
      </c>
      <c r="I1042" s="14" t="str">
        <f t="shared" si="1299"/>
        <v>Egypt</v>
      </c>
      <c r="J1042" s="14" t="str">
        <f t="array" ref="J1042">IFERROR(INDEX([1]Companies!$Y:$Y,MATCH(B1042,[1]Companies!$A:$A,0)),"")</f>
        <v>Wastes management, Smart Cities</v>
      </c>
      <c r="K1042" s="14" t="str">
        <f t="array" ref="K1042">IFERROR(INDEX([1]Companies!$X:$X,MATCH(B1042,[1]Companies!$A:$A,0)),"")</f>
        <v>Energy &amp; Environment Resources</v>
      </c>
      <c r="L1042" s="14" t="str">
        <f>VLOOKUP(B1042,[1]Companies!$A$1:$C$5243,1,FALSE)</f>
        <v>ZeroPrime Technologies (CanBank)</v>
      </c>
      <c r="M1042" s="15">
        <f t="shared" si="1300"/>
        <v>0.9</v>
      </c>
      <c r="N1042" s="10" t="str">
        <f t="shared" si="1301"/>
        <v>43571ZeroPrime Technologies (CanBank)5000</v>
      </c>
      <c r="O1042" s="14" t="str">
        <f t="shared" si="1302"/>
        <v/>
      </c>
      <c r="P1042" s="14">
        <f t="shared" si="1303"/>
        <v>1</v>
      </c>
      <c r="Q1042" s="14">
        <f t="array" ref="Q1042">IFERROR(INDEX([1]Companies!$D:$D,MATCH(B1042,[1]Companies!$A:$A,0)),"")</f>
        <v>2017</v>
      </c>
      <c r="R1042" s="17">
        <f t="shared" si="1304"/>
        <v>5000</v>
      </c>
      <c r="S1042" s="14">
        <f>VLOOKUP(I1042,[1]Lookups!$V$3:$Y$197,4,FALSE)</f>
        <v>0</v>
      </c>
      <c r="T1042" s="14" t="str">
        <f>VLOOKUP(E1042,[1]Lookups!$H$3:$I$71,2,FALSE)</f>
        <v>1. Grant</v>
      </c>
      <c r="U1042" s="14" t="e">
        <f>VLOOKUP(K1042,[1]Lookups!$B$3:$C$142,2,FALSE)</f>
        <v>#N/A</v>
      </c>
      <c r="V1042" s="14">
        <f t="shared" si="1230"/>
        <v>2019</v>
      </c>
      <c r="W1042" s="14">
        <f t="shared" si="1231"/>
        <v>4</v>
      </c>
      <c r="X1042" s="14">
        <f>VLOOKUP(W1042,[1]Lookups!$P$3:$S$15,2,FALSE)</f>
        <v>2</v>
      </c>
      <c r="Y1042" s="16">
        <f>VLOOKUP(W1042,[1]Lookups!$P$3:$U$15,3,FALSE)</f>
        <v>1</v>
      </c>
      <c r="Z1042" s="16">
        <f t="shared" si="1232"/>
        <v>1</v>
      </c>
      <c r="AA1042" s="16" t="str">
        <f t="shared" ca="1" si="1352"/>
        <v>Algebra Ventures</v>
      </c>
      <c r="AB1042" s="16">
        <f t="shared" si="1352"/>
        <v>0</v>
      </c>
      <c r="AC1042" s="16">
        <f t="shared" si="1352"/>
        <v>0</v>
      </c>
      <c r="AD1042" s="16">
        <f t="shared" si="1352"/>
        <v>0</v>
      </c>
      <c r="AE1042" s="16">
        <f t="shared" si="1352"/>
        <v>0</v>
      </c>
      <c r="AF1042" s="16">
        <f t="shared" si="1352"/>
        <v>0</v>
      </c>
      <c r="AG1042" s="16">
        <f t="shared" si="1352"/>
        <v>0</v>
      </c>
      <c r="AH1042" s="16">
        <f t="shared" si="1352"/>
        <v>0</v>
      </c>
      <c r="AI1042" s="16">
        <f t="shared" si="1352"/>
        <v>0</v>
      </c>
      <c r="AJ1042" s="16">
        <f t="shared" si="1352"/>
        <v>0</v>
      </c>
      <c r="AK1042" s="16">
        <f t="shared" si="1352"/>
        <v>0</v>
      </c>
      <c r="AL1042" s="16">
        <f t="shared" si="1352"/>
        <v>0</v>
      </c>
      <c r="AM1042" s="16">
        <f t="shared" si="1352"/>
        <v>0</v>
      </c>
      <c r="AN1042" s="16">
        <f t="shared" si="1352"/>
        <v>0</v>
      </c>
      <c r="AO1042" s="16">
        <f t="shared" si="1352"/>
        <v>0</v>
      </c>
      <c r="AP1042" s="10"/>
      <c r="AQ1042" s="10"/>
      <c r="AR1042" s="10"/>
      <c r="AS1042" s="10" t="str">
        <f t="shared" ref="AS1042" ca="1" si="1363">IFERROR(__xludf.DUMMYFUNCTION("split(F968,"","",true,true)"),"Algebra Ventures")</f>
        <v>Algebra Ventures</v>
      </c>
      <c r="AT1042" s="10"/>
      <c r="AU1042" s="10"/>
      <c r="AV1042" s="10"/>
      <c r="AW1042" s="10"/>
      <c r="AX1042" s="10"/>
      <c r="AY1042" s="10"/>
      <c r="AZ1042" s="10"/>
      <c r="BA1042" s="10"/>
      <c r="BB1042" s="10"/>
      <c r="BC1042" s="10"/>
      <c r="BD1042" s="10"/>
      <c r="BE1042" s="10"/>
      <c r="BF1042" s="10"/>
      <c r="BG1042" s="10"/>
      <c r="BH1042" s="10"/>
      <c r="BI1042" s="10"/>
      <c r="BJ1042" s="10"/>
      <c r="BK1042" s="10"/>
      <c r="BM1042" s="10"/>
    </row>
    <row r="1043" spans="1:65" ht="12.75">
      <c r="A1043" s="9">
        <v>43571</v>
      </c>
      <c r="B1043" s="10" t="s">
        <v>2219</v>
      </c>
      <c r="C1043" s="11">
        <v>5000</v>
      </c>
      <c r="D1043" s="12"/>
      <c r="E1043" s="10" t="s">
        <v>55</v>
      </c>
      <c r="F1043" s="10" t="s">
        <v>2214</v>
      </c>
      <c r="G1043" s="13" t="s">
        <v>2215</v>
      </c>
      <c r="H1043" s="14" t="str">
        <f t="array" ref="H1043">IFERROR(INDEX([1]Companies!$G:$G,MATCH(B1043,[1]Companies!$A:$A,0)),"")</f>
        <v>Egypt</v>
      </c>
      <c r="I1043" s="14" t="str">
        <f t="shared" si="1299"/>
        <v>Egypt</v>
      </c>
      <c r="J1043" s="14" t="str">
        <f t="array" ref="J1043">IFERROR(INDEX([1]Companies!$Y:$Y,MATCH(B1043,[1]Companies!$A:$A,0)),"")</f>
        <v>Retail</v>
      </c>
      <c r="K1043" s="14" t="str">
        <f t="array" ref="K1043">IFERROR(INDEX([1]Companies!$X:$X,MATCH(B1043,[1]Companies!$A:$A,0)),"")</f>
        <v>E-Commerce &amp; Retail</v>
      </c>
      <c r="L1043" s="14" t="str">
        <f>VLOOKUP(B1043,[1]Companies!$A$1:$C$5243,1,FALSE)</f>
        <v>Furnwish</v>
      </c>
      <c r="M1043" s="15">
        <f t="shared" si="1300"/>
        <v>0.9</v>
      </c>
      <c r="N1043" s="10" t="str">
        <f t="shared" si="1301"/>
        <v>43571Furnwish5000</v>
      </c>
      <c r="O1043" s="14" t="str">
        <f t="shared" si="1302"/>
        <v/>
      </c>
      <c r="P1043" s="14">
        <f t="shared" si="1303"/>
        <v>1</v>
      </c>
      <c r="Q1043" s="14">
        <f t="array" ref="Q1043">IFERROR(INDEX([1]Companies!$D:$D,MATCH(B1043,[1]Companies!$A:$A,0)),"")</f>
        <v>2017</v>
      </c>
      <c r="R1043" s="17">
        <f t="shared" si="1304"/>
        <v>5000</v>
      </c>
      <c r="S1043" s="14">
        <f>VLOOKUP(I1043,[1]Lookups!$V$3:$Y$197,4,FALSE)</f>
        <v>0</v>
      </c>
      <c r="T1043" s="14" t="str">
        <f>VLOOKUP(E1043,[1]Lookups!$H$3:$I$71,2,FALSE)</f>
        <v>1. Grant</v>
      </c>
      <c r="U1043" s="14" t="str">
        <f>VLOOKUP(K1043,[1]Lookups!$B$3:$C$142,2,FALSE)</f>
        <v>E-commerce &amp; Retail</v>
      </c>
      <c r="V1043" s="14">
        <f t="shared" si="1230"/>
        <v>2019</v>
      </c>
      <c r="W1043" s="14">
        <f t="shared" si="1231"/>
        <v>4</v>
      </c>
      <c r="X1043" s="14">
        <f>VLOOKUP(W1043,[1]Lookups!$P$3:$S$15,2,FALSE)</f>
        <v>2</v>
      </c>
      <c r="Y1043" s="16">
        <f>VLOOKUP(W1043,[1]Lookups!$P$3:$U$15,3,FALSE)</f>
        <v>1</v>
      </c>
      <c r="Z1043" s="16">
        <f t="shared" si="1232"/>
        <v>1</v>
      </c>
      <c r="AA1043" s="16" t="str">
        <f t="shared" ca="1" si="1352"/>
        <v>Algebra Ventures</v>
      </c>
      <c r="AB1043" s="16">
        <f t="shared" si="1352"/>
        <v>0</v>
      </c>
      <c r="AC1043" s="16">
        <f t="shared" si="1352"/>
        <v>0</v>
      </c>
      <c r="AD1043" s="16">
        <f t="shared" si="1352"/>
        <v>0</v>
      </c>
      <c r="AE1043" s="16">
        <f t="shared" si="1352"/>
        <v>0</v>
      </c>
      <c r="AF1043" s="16">
        <f t="shared" si="1352"/>
        <v>0</v>
      </c>
      <c r="AG1043" s="16">
        <f t="shared" si="1352"/>
        <v>0</v>
      </c>
      <c r="AH1043" s="16">
        <f t="shared" si="1352"/>
        <v>0</v>
      </c>
      <c r="AI1043" s="16">
        <f t="shared" si="1352"/>
        <v>0</v>
      </c>
      <c r="AJ1043" s="16">
        <f t="shared" si="1352"/>
        <v>0</v>
      </c>
      <c r="AK1043" s="16">
        <f t="shared" si="1352"/>
        <v>0</v>
      </c>
      <c r="AL1043" s="16">
        <f t="shared" si="1352"/>
        <v>0</v>
      </c>
      <c r="AM1043" s="16">
        <f t="shared" si="1352"/>
        <v>0</v>
      </c>
      <c r="AN1043" s="16">
        <f t="shared" si="1352"/>
        <v>0</v>
      </c>
      <c r="AO1043" s="16">
        <f t="shared" si="1352"/>
        <v>0</v>
      </c>
      <c r="AP1043" s="10"/>
      <c r="AQ1043" s="10"/>
      <c r="AR1043" s="10"/>
      <c r="AS1043" s="10" t="str">
        <f t="shared" ref="AS1043" ca="1" si="1364">IFERROR(__xludf.DUMMYFUNCTION("split(F968,"","",true,true)"),"Algebra Ventures")</f>
        <v>Algebra Ventures</v>
      </c>
      <c r="AT1043" s="10"/>
      <c r="AU1043" s="10"/>
      <c r="AV1043" s="10"/>
      <c r="AW1043" s="10"/>
      <c r="AX1043" s="10"/>
      <c r="AY1043" s="10"/>
      <c r="AZ1043" s="10"/>
      <c r="BA1043" s="10"/>
      <c r="BB1043" s="10"/>
      <c r="BC1043" s="10"/>
      <c r="BD1043" s="10"/>
      <c r="BE1043" s="10"/>
      <c r="BF1043" s="10"/>
      <c r="BG1043" s="10"/>
      <c r="BH1043" s="10"/>
      <c r="BI1043" s="10"/>
      <c r="BJ1043" s="10"/>
      <c r="BK1043" s="10"/>
      <c r="BM1043" s="10"/>
    </row>
    <row r="1044" spans="1:65" ht="12.75">
      <c r="A1044" s="9">
        <v>43572</v>
      </c>
      <c r="B1044" s="10" t="s">
        <v>980</v>
      </c>
      <c r="C1044" s="11">
        <v>1300000</v>
      </c>
      <c r="D1044" s="12"/>
      <c r="E1044" s="10" t="s">
        <v>69</v>
      </c>
      <c r="F1044" s="10" t="s">
        <v>2220</v>
      </c>
      <c r="G1044" s="13" t="s">
        <v>2221</v>
      </c>
      <c r="H1044" s="14" t="str">
        <f t="array" ref="H1044">IFERROR(INDEX([1]Companies!$G:$G,MATCH(B1044,[1]Companies!$A:$A,0)),"")</f>
        <v>South Africa</v>
      </c>
      <c r="I1044" s="14" t="str">
        <f t="shared" si="1299"/>
        <v>South Africa</v>
      </c>
      <c r="J1044" s="14" t="str">
        <f t="array" ref="J1044">IFERROR(INDEX([1]Companies!$Y:$Y,MATCH(B1044,[1]Companies!$A:$A,0)),"")</f>
        <v>Bitcoin, Cryptocurrency, Payments</v>
      </c>
      <c r="K1044" s="14" t="str">
        <f t="array" ref="K1044">IFERROR(INDEX([1]Companies!$X:$X,MATCH(B1044,[1]Companies!$A:$A,0)),"")</f>
        <v>Financial Services</v>
      </c>
      <c r="L1044" s="14" t="str">
        <f>VLOOKUP(B1044,[1]Companies!$A$1:$C$5243,1,FALSE)</f>
        <v>Centbee</v>
      </c>
      <c r="M1044" s="15">
        <f t="shared" si="1300"/>
        <v>0.9</v>
      </c>
      <c r="N1044" s="10" t="str">
        <f t="shared" si="1301"/>
        <v>43572Centbee1300000</v>
      </c>
      <c r="O1044" s="14" t="str">
        <f t="shared" si="1302"/>
        <v/>
      </c>
      <c r="P1044" s="14">
        <f t="shared" si="1303"/>
        <v>1</v>
      </c>
      <c r="Q1044" s="14">
        <f t="array" ref="Q1044">IFERROR(INDEX([1]Companies!$D:$D,MATCH(B1044,[1]Companies!$A:$A,0)),"")</f>
        <v>2017</v>
      </c>
      <c r="R1044" s="17">
        <f t="shared" si="1304"/>
        <v>1300000</v>
      </c>
      <c r="S1044" s="14">
        <f>VLOOKUP(I1044,[1]Lookups!$V$3:$Y$197,4,FALSE)</f>
        <v>0</v>
      </c>
      <c r="T1044" s="14" t="str">
        <f>VLOOKUP(E1044,[1]Lookups!$H$3:$I$71,2,FALSE)</f>
        <v>3. Early Venture</v>
      </c>
      <c r="U1044" s="14" t="str">
        <f>VLOOKUP(K1044,[1]Lookups!$B$3:$C$142,2,FALSE)</f>
        <v>Financial Services</v>
      </c>
      <c r="V1044" s="14">
        <f t="shared" si="1230"/>
        <v>2019</v>
      </c>
      <c r="W1044" s="14">
        <f t="shared" si="1231"/>
        <v>4</v>
      </c>
      <c r="X1044" s="14">
        <f>VLOOKUP(W1044,[1]Lookups!$P$3:$S$15,2,FALSE)</f>
        <v>2</v>
      </c>
      <c r="Y1044" s="16">
        <f>VLOOKUP(W1044,[1]Lookups!$P$3:$U$15,3,FALSE)</f>
        <v>1</v>
      </c>
      <c r="Z1044" s="16">
        <f t="shared" si="1232"/>
        <v>1</v>
      </c>
      <c r="AA1044" s="16" t="str">
        <f t="shared" ca="1" si="1352"/>
        <v>Algebra Ventures</v>
      </c>
      <c r="AB1044" s="16">
        <f t="shared" si="1352"/>
        <v>0</v>
      </c>
      <c r="AC1044" s="16">
        <f t="shared" si="1352"/>
        <v>0</v>
      </c>
      <c r="AD1044" s="16">
        <f t="shared" si="1352"/>
        <v>0</v>
      </c>
      <c r="AE1044" s="16">
        <f t="shared" si="1352"/>
        <v>0</v>
      </c>
      <c r="AF1044" s="16">
        <f t="shared" si="1352"/>
        <v>0</v>
      </c>
      <c r="AG1044" s="16">
        <f t="shared" si="1352"/>
        <v>0</v>
      </c>
      <c r="AH1044" s="16">
        <f t="shared" si="1352"/>
        <v>0</v>
      </c>
      <c r="AI1044" s="16">
        <f t="shared" si="1352"/>
        <v>0</v>
      </c>
      <c r="AJ1044" s="16">
        <f t="shared" si="1352"/>
        <v>0</v>
      </c>
      <c r="AK1044" s="16">
        <f t="shared" si="1352"/>
        <v>0</v>
      </c>
      <c r="AL1044" s="16">
        <f t="shared" si="1352"/>
        <v>0</v>
      </c>
      <c r="AM1044" s="16">
        <f t="shared" si="1352"/>
        <v>0</v>
      </c>
      <c r="AN1044" s="16">
        <f t="shared" si="1352"/>
        <v>0</v>
      </c>
      <c r="AO1044" s="16">
        <f t="shared" si="1352"/>
        <v>0</v>
      </c>
      <c r="AP1044" s="10"/>
      <c r="AQ1044" s="10"/>
      <c r="AR1044" s="10"/>
      <c r="AS1044" s="10" t="str">
        <f t="shared" ref="AS1044" ca="1" si="1365">IFERROR(__xludf.DUMMYFUNCTION("split(F968,"","",true,true)"),"Algebra Ventures")</f>
        <v>Algebra Ventures</v>
      </c>
      <c r="AT1044" s="10"/>
      <c r="AU1044" s="10"/>
      <c r="AV1044" s="10"/>
      <c r="AW1044" s="10"/>
      <c r="AX1044" s="10"/>
      <c r="AY1044" s="10"/>
      <c r="AZ1044" s="10"/>
      <c r="BA1044" s="10"/>
      <c r="BB1044" s="10"/>
      <c r="BC1044" s="10"/>
      <c r="BD1044" s="10"/>
      <c r="BE1044" s="10"/>
      <c r="BF1044" s="10"/>
      <c r="BG1044" s="10"/>
      <c r="BH1044" s="10"/>
      <c r="BI1044" s="10"/>
      <c r="BJ1044" s="10"/>
      <c r="BK1044" s="10"/>
      <c r="BM1044" s="10"/>
    </row>
    <row r="1045" spans="1:65" ht="12.75">
      <c r="A1045" s="9">
        <v>43573</v>
      </c>
      <c r="B1045" s="10" t="s">
        <v>2205</v>
      </c>
      <c r="C1045" s="11">
        <v>450000</v>
      </c>
      <c r="D1045" s="12"/>
      <c r="E1045" s="14" t="s">
        <v>45</v>
      </c>
      <c r="F1045" s="10" t="s">
        <v>49</v>
      </c>
      <c r="G1045" s="13" t="s">
        <v>2222</v>
      </c>
      <c r="H1045" s="14" t="str">
        <f t="array" ref="H1045">IFERROR(INDEX([1]Companies!$G:$G,MATCH(B1045,[1]Companies!$A:$A,0)),"")</f>
        <v>Ghana</v>
      </c>
      <c r="I1045" s="14" t="str">
        <f t="shared" si="1299"/>
        <v>Ghana</v>
      </c>
      <c r="J1045" s="14" t="str">
        <f t="array" ref="J1045">IFERROR(INDEX([1]Companies!$Y:$Y,MATCH(B1045,[1]Companies!$A:$A,0)),"")</f>
        <v>Retail</v>
      </c>
      <c r="K1045" s="14" t="str">
        <f t="array" ref="K1045">IFERROR(INDEX([1]Companies!$X:$X,MATCH(B1045,[1]Companies!$A:$A,0)),"")</f>
        <v>Information Technology</v>
      </c>
      <c r="L1045" s="14" t="str">
        <f>VLOOKUP(B1045,[1]Companies!$A$1:$C$5243,1,FALSE)</f>
        <v>Kudigo</v>
      </c>
      <c r="M1045" s="15">
        <f t="shared" si="1300"/>
        <v>0.9</v>
      </c>
      <c r="N1045" s="10" t="str">
        <f t="shared" si="1301"/>
        <v>43573Kudigo450000</v>
      </c>
      <c r="O1045" s="14" t="str">
        <f t="shared" si="1302"/>
        <v/>
      </c>
      <c r="P1045" s="14">
        <f t="shared" si="1303"/>
        <v>1</v>
      </c>
      <c r="Q1045" s="14">
        <f t="array" ref="Q1045">IFERROR(INDEX([1]Companies!$D:$D,MATCH(B1045,[1]Companies!$A:$A,0)),"")</f>
        <v>2017</v>
      </c>
      <c r="R1045" s="17">
        <f t="shared" si="1304"/>
        <v>490000</v>
      </c>
      <c r="S1045" s="14">
        <f>VLOOKUP(I1045,[1]Lookups!$V$3:$Y$197,4,FALSE)</f>
        <v>0</v>
      </c>
      <c r="T1045" s="14" t="str">
        <f>VLOOKUP(E1045,[1]Lookups!$H$3:$I$71,2,FALSE)</f>
        <v>2. Seed</v>
      </c>
      <c r="U1045" s="14" t="str">
        <f>VLOOKUP(K1045,[1]Lookups!$B$3:$C$142,2,FALSE)</f>
        <v>Other Technologies &amp; Information Technology</v>
      </c>
      <c r="V1045" s="14">
        <f t="shared" si="1230"/>
        <v>2019</v>
      </c>
      <c r="W1045" s="14">
        <f t="shared" si="1231"/>
        <v>4</v>
      </c>
      <c r="X1045" s="14">
        <f>VLOOKUP(W1045,[1]Lookups!$P$3:$S$15,2,FALSE)</f>
        <v>2</v>
      </c>
      <c r="Y1045" s="16">
        <f>VLOOKUP(W1045,[1]Lookups!$P$3:$U$15,3,FALSE)</f>
        <v>1</v>
      </c>
      <c r="Z1045" s="16">
        <f t="shared" si="1232"/>
        <v>1</v>
      </c>
      <c r="AA1045" s="16" t="str">
        <f t="shared" ca="1" si="1352"/>
        <v>Algebra Ventures</v>
      </c>
      <c r="AB1045" s="16">
        <f t="shared" si="1352"/>
        <v>0</v>
      </c>
      <c r="AC1045" s="16">
        <f t="shared" si="1352"/>
        <v>0</v>
      </c>
      <c r="AD1045" s="16">
        <f t="shared" si="1352"/>
        <v>0</v>
      </c>
      <c r="AE1045" s="16">
        <f t="shared" si="1352"/>
        <v>0</v>
      </c>
      <c r="AF1045" s="16">
        <f t="shared" si="1352"/>
        <v>0</v>
      </c>
      <c r="AG1045" s="16">
        <f t="shared" si="1352"/>
        <v>0</v>
      </c>
      <c r="AH1045" s="16">
        <f t="shared" si="1352"/>
        <v>0</v>
      </c>
      <c r="AI1045" s="16">
        <f t="shared" si="1352"/>
        <v>0</v>
      </c>
      <c r="AJ1045" s="16">
        <f t="shared" si="1352"/>
        <v>0</v>
      </c>
      <c r="AK1045" s="16">
        <f t="shared" si="1352"/>
        <v>0</v>
      </c>
      <c r="AL1045" s="16">
        <f t="shared" si="1352"/>
        <v>0</v>
      </c>
      <c r="AM1045" s="16">
        <f t="shared" si="1352"/>
        <v>0</v>
      </c>
      <c r="AN1045" s="16">
        <f t="shared" si="1352"/>
        <v>0</v>
      </c>
      <c r="AO1045" s="16">
        <f t="shared" si="1352"/>
        <v>0</v>
      </c>
      <c r="AP1045" s="10"/>
      <c r="AQ1045" s="10"/>
      <c r="AR1045" s="10"/>
      <c r="AS1045" s="10" t="str">
        <f t="shared" ref="AS1045" ca="1" si="1366">IFERROR(__xludf.DUMMYFUNCTION("split(F968,"","",true,true)"),"Algebra Ventures")</f>
        <v>Algebra Ventures</v>
      </c>
      <c r="AT1045" s="25"/>
      <c r="AU1045" s="25"/>
      <c r="AV1045" s="25"/>
      <c r="AW1045" s="25"/>
      <c r="AX1045" s="25"/>
      <c r="AY1045" s="25"/>
      <c r="AZ1045" s="25"/>
      <c r="BA1045" s="25"/>
      <c r="BB1045" s="25"/>
      <c r="BC1045" s="25"/>
      <c r="BD1045" s="25"/>
      <c r="BE1045" s="25"/>
      <c r="BF1045" s="25"/>
      <c r="BG1045" s="25"/>
      <c r="BH1045" s="25"/>
      <c r="BI1045" s="25"/>
      <c r="BJ1045" s="25"/>
      <c r="BK1045" s="25"/>
      <c r="BM1045" s="25"/>
    </row>
    <row r="1046" spans="1:65" ht="12.75">
      <c r="A1046" s="9">
        <v>43574</v>
      </c>
      <c r="B1046" s="10" t="s">
        <v>1703</v>
      </c>
      <c r="C1046" s="11" t="s">
        <v>49</v>
      </c>
      <c r="D1046" s="12"/>
      <c r="E1046" s="10" t="s">
        <v>55</v>
      </c>
      <c r="F1046" s="10" t="s">
        <v>49</v>
      </c>
      <c r="G1046" s="13" t="s">
        <v>2223</v>
      </c>
      <c r="H1046" s="14" t="str">
        <f t="array" ref="H1046">IFERROR(INDEX([1]Companies!$G:$G,MATCH(B1046,[1]Companies!$A:$A,0)),"")</f>
        <v>Nigeria</v>
      </c>
      <c r="I1046" s="14" t="str">
        <f t="shared" si="1299"/>
        <v>Nigeria</v>
      </c>
      <c r="J1046" s="14" t="str">
        <f t="array" ref="J1046">IFERROR(INDEX([1]Companies!$Y:$Y,MATCH(B1046,[1]Companies!$A:$A,0)),"")</f>
        <v>Saving, Investing, Fintech</v>
      </c>
      <c r="K1046" s="14" t="str">
        <f t="array" ref="K1046">IFERROR(INDEX([1]Companies!$X:$X,MATCH(B1046,[1]Companies!$A:$A,0)),"")</f>
        <v>Financial Services</v>
      </c>
      <c r="L1046" s="14" t="str">
        <f>VLOOKUP(B1046,[1]Companies!$A$1:$C$5243,1,FALSE)</f>
        <v>Riby Finance</v>
      </c>
      <c r="M1046" s="15">
        <f t="shared" si="1300"/>
        <v>0.9</v>
      </c>
      <c r="N1046" s="10" t="str">
        <f t="shared" si="1301"/>
        <v>43574Riby FinanceUndisclosed</v>
      </c>
      <c r="O1046" s="14" t="str">
        <f t="shared" si="1302"/>
        <v/>
      </c>
      <c r="P1046" s="14">
        <f t="shared" si="1303"/>
        <v>0</v>
      </c>
      <c r="Q1046" s="14">
        <f t="array" ref="Q1046">IFERROR(INDEX([1]Companies!$D:$D,MATCH(B1046,[1]Companies!$A:$A,0)),"")</f>
        <v>2016</v>
      </c>
      <c r="R1046" s="17">
        <f t="shared" si="1304"/>
        <v>15000</v>
      </c>
      <c r="S1046" s="14">
        <f>VLOOKUP(I1046,[1]Lookups!$V$3:$Y$197,4,FALSE)</f>
        <v>0</v>
      </c>
      <c r="T1046" s="14" t="str">
        <f>VLOOKUP(E1046,[1]Lookups!$H$3:$I$71,2,FALSE)</f>
        <v>1. Grant</v>
      </c>
      <c r="U1046" s="14" t="str">
        <f>VLOOKUP(K1046,[1]Lookups!$B$3:$C$142,2,FALSE)</f>
        <v>Financial Services</v>
      </c>
      <c r="V1046" s="14">
        <f t="shared" si="1230"/>
        <v>2019</v>
      </c>
      <c r="W1046" s="14">
        <f t="shared" si="1231"/>
        <v>4</v>
      </c>
      <c r="X1046" s="14">
        <f>VLOOKUP(W1046,[1]Lookups!$P$3:$S$15,2,FALSE)</f>
        <v>2</v>
      </c>
      <c r="Y1046" s="16">
        <f>VLOOKUP(W1046,[1]Lookups!$P$3:$U$15,3,FALSE)</f>
        <v>1</v>
      </c>
      <c r="Z1046" s="16">
        <f t="shared" si="1232"/>
        <v>1</v>
      </c>
      <c r="AA1046" s="16" t="str">
        <f t="shared" ca="1" si="1352"/>
        <v>Algebra Ventures</v>
      </c>
      <c r="AB1046" s="16">
        <f t="shared" si="1352"/>
        <v>0</v>
      </c>
      <c r="AC1046" s="16">
        <f t="shared" si="1352"/>
        <v>0</v>
      </c>
      <c r="AD1046" s="16">
        <f t="shared" si="1352"/>
        <v>0</v>
      </c>
      <c r="AE1046" s="16">
        <f t="shared" si="1352"/>
        <v>0</v>
      </c>
      <c r="AF1046" s="16">
        <f t="shared" si="1352"/>
        <v>0</v>
      </c>
      <c r="AG1046" s="16">
        <f t="shared" si="1352"/>
        <v>0</v>
      </c>
      <c r="AH1046" s="16">
        <f t="shared" si="1352"/>
        <v>0</v>
      </c>
      <c r="AI1046" s="16">
        <f t="shared" si="1352"/>
        <v>0</v>
      </c>
      <c r="AJ1046" s="16">
        <f t="shared" si="1352"/>
        <v>0</v>
      </c>
      <c r="AK1046" s="16">
        <f t="shared" si="1352"/>
        <v>0</v>
      </c>
      <c r="AL1046" s="16">
        <f t="shared" si="1352"/>
        <v>0</v>
      </c>
      <c r="AM1046" s="16">
        <f t="shared" si="1352"/>
        <v>0</v>
      </c>
      <c r="AN1046" s="16">
        <f t="shared" si="1352"/>
        <v>0</v>
      </c>
      <c r="AO1046" s="16">
        <f t="shared" si="1352"/>
        <v>0</v>
      </c>
      <c r="AP1046" s="10"/>
      <c r="AQ1046" s="10"/>
      <c r="AR1046" s="10"/>
      <c r="AS1046" s="10" t="str">
        <f t="shared" ref="AS1046" ca="1" si="1367">IFERROR(__xludf.DUMMYFUNCTION("split(F968,"","",true,true)"),"Algebra Ventures")</f>
        <v>Algebra Ventures</v>
      </c>
      <c r="AT1046" s="10"/>
      <c r="AU1046" s="10"/>
      <c r="AV1046" s="10"/>
      <c r="AW1046" s="10"/>
      <c r="AX1046" s="10"/>
      <c r="AY1046" s="10"/>
      <c r="AZ1046" s="10"/>
      <c r="BA1046" s="10"/>
      <c r="BB1046" s="10"/>
      <c r="BC1046" s="10"/>
      <c r="BD1046" s="10"/>
      <c r="BE1046" s="10"/>
      <c r="BF1046" s="10"/>
      <c r="BG1046" s="10"/>
      <c r="BH1046" s="10"/>
      <c r="BI1046" s="10"/>
      <c r="BJ1046" s="10"/>
      <c r="BK1046" s="10"/>
      <c r="BM1046" s="10"/>
    </row>
    <row r="1047" spans="1:65" ht="12.75">
      <c r="A1047" s="9">
        <v>43574</v>
      </c>
      <c r="B1047" s="10" t="s">
        <v>1355</v>
      </c>
      <c r="C1047" s="11" t="s">
        <v>49</v>
      </c>
      <c r="D1047" s="12"/>
      <c r="E1047" s="10" t="s">
        <v>55</v>
      </c>
      <c r="F1047" s="10" t="s">
        <v>49</v>
      </c>
      <c r="G1047" s="13" t="s">
        <v>2223</v>
      </c>
      <c r="H1047" s="14" t="str">
        <f t="array" ref="H1047">IFERROR(INDEX([1]Companies!$G:$G,MATCH(B1047,[1]Companies!$A:$A,0)),"")</f>
        <v>Nigeria</v>
      </c>
      <c r="I1047" s="14" t="str">
        <f t="shared" si="1299"/>
        <v>Nigeria</v>
      </c>
      <c r="J1047" s="14" t="str">
        <f t="array" ref="J1047">IFERROR(INDEX([1]Companies!$Y:$Y,MATCH(B1047,[1]Companies!$A:$A,0)),"")</f>
        <v>Fintech, Consumer financing, Credit scoring</v>
      </c>
      <c r="K1047" s="14" t="str">
        <f t="array" ref="K1047">IFERROR(INDEX([1]Companies!$X:$X,MATCH(B1047,[1]Companies!$A:$A,0)),"")</f>
        <v>Financial Services</v>
      </c>
      <c r="L1047" s="14" t="str">
        <f>VLOOKUP(B1047,[1]Companies!$A$1:$C$5243,1,FALSE)</f>
        <v>Credpal</v>
      </c>
      <c r="M1047" s="15">
        <f t="shared" si="1300"/>
        <v>0.9</v>
      </c>
      <c r="N1047" s="10" t="str">
        <f t="shared" si="1301"/>
        <v>43574CredPalUndisclosed</v>
      </c>
      <c r="O1047" s="14" t="str">
        <f t="shared" si="1302"/>
        <v/>
      </c>
      <c r="P1047" s="14">
        <f t="shared" si="1303"/>
        <v>0</v>
      </c>
      <c r="Q1047" s="14">
        <f t="array" ref="Q1047">IFERROR(INDEX([1]Companies!$D:$D,MATCH(B1047,[1]Companies!$A:$A,0)),"")</f>
        <v>2017</v>
      </c>
      <c r="R1047" s="17">
        <f t="shared" si="1304"/>
        <v>192000</v>
      </c>
      <c r="S1047" s="14">
        <f>VLOOKUP(I1047,[1]Lookups!$V$3:$Y$197,4,FALSE)</f>
        <v>0</v>
      </c>
      <c r="T1047" s="14" t="str">
        <f>VLOOKUP(E1047,[1]Lookups!$H$3:$I$71,2,FALSE)</f>
        <v>1. Grant</v>
      </c>
      <c r="U1047" s="14" t="str">
        <f>VLOOKUP(K1047,[1]Lookups!$B$3:$C$142,2,FALSE)</f>
        <v>Financial Services</v>
      </c>
      <c r="V1047" s="14">
        <f t="shared" si="1230"/>
        <v>2019</v>
      </c>
      <c r="W1047" s="14">
        <f t="shared" si="1231"/>
        <v>4</v>
      </c>
      <c r="X1047" s="14">
        <f>VLOOKUP(W1047,[1]Lookups!$P$3:$S$15,2,FALSE)</f>
        <v>2</v>
      </c>
      <c r="Y1047" s="16">
        <f>VLOOKUP(W1047,[1]Lookups!$P$3:$U$15,3,FALSE)</f>
        <v>1</v>
      </c>
      <c r="Z1047" s="16">
        <f t="shared" si="1232"/>
        <v>1</v>
      </c>
      <c r="AA1047" s="16" t="str">
        <f t="shared" ca="1" si="1352"/>
        <v>Algebra Ventures</v>
      </c>
      <c r="AB1047" s="16">
        <f t="shared" si="1352"/>
        <v>0</v>
      </c>
      <c r="AC1047" s="16">
        <f t="shared" si="1352"/>
        <v>0</v>
      </c>
      <c r="AD1047" s="16">
        <f t="shared" si="1352"/>
        <v>0</v>
      </c>
      <c r="AE1047" s="16">
        <f t="shared" si="1352"/>
        <v>0</v>
      </c>
      <c r="AF1047" s="16">
        <f t="shared" si="1352"/>
        <v>0</v>
      </c>
      <c r="AG1047" s="16">
        <f t="shared" si="1352"/>
        <v>0</v>
      </c>
      <c r="AH1047" s="16">
        <f t="shared" si="1352"/>
        <v>0</v>
      </c>
      <c r="AI1047" s="16">
        <f t="shared" si="1352"/>
        <v>0</v>
      </c>
      <c r="AJ1047" s="16">
        <f t="shared" si="1352"/>
        <v>0</v>
      </c>
      <c r="AK1047" s="16">
        <f t="shared" si="1352"/>
        <v>0</v>
      </c>
      <c r="AL1047" s="16">
        <f t="shared" si="1352"/>
        <v>0</v>
      </c>
      <c r="AM1047" s="16">
        <f t="shared" si="1352"/>
        <v>0</v>
      </c>
      <c r="AN1047" s="16">
        <f t="shared" si="1352"/>
        <v>0</v>
      </c>
      <c r="AO1047" s="16">
        <f t="shared" si="1352"/>
        <v>0</v>
      </c>
      <c r="AP1047" s="10"/>
      <c r="AQ1047" s="10"/>
      <c r="AR1047" s="10"/>
      <c r="AS1047" s="10" t="str">
        <f t="shared" ref="AS1047" ca="1" si="1368">IFERROR(__xludf.DUMMYFUNCTION("split(F968,"","",true,true)"),"Algebra Ventures")</f>
        <v>Algebra Ventures</v>
      </c>
      <c r="AT1047" s="10"/>
      <c r="AU1047" s="10"/>
      <c r="AV1047" s="10"/>
      <c r="AW1047" s="10"/>
      <c r="AX1047" s="10"/>
      <c r="AY1047" s="10"/>
      <c r="AZ1047" s="10"/>
      <c r="BA1047" s="10"/>
      <c r="BB1047" s="10"/>
      <c r="BC1047" s="10"/>
      <c r="BD1047" s="10"/>
      <c r="BE1047" s="10"/>
      <c r="BF1047" s="10"/>
      <c r="BG1047" s="10"/>
      <c r="BH1047" s="10"/>
      <c r="BI1047" s="10"/>
      <c r="BJ1047" s="10"/>
      <c r="BK1047" s="10"/>
      <c r="BM1047" s="10"/>
    </row>
    <row r="1048" spans="1:65" ht="12.75">
      <c r="A1048" s="9">
        <v>43574</v>
      </c>
      <c r="B1048" s="10" t="s">
        <v>2224</v>
      </c>
      <c r="C1048" s="11" t="s">
        <v>49</v>
      </c>
      <c r="D1048" s="12"/>
      <c r="E1048" s="10" t="s">
        <v>55</v>
      </c>
      <c r="F1048" s="10" t="s">
        <v>49</v>
      </c>
      <c r="G1048" s="13" t="s">
        <v>2223</v>
      </c>
      <c r="H1048" s="14" t="str">
        <f t="array" ref="H1048">IFERROR(INDEX([1]Companies!$G:$G,MATCH(B1048,[1]Companies!$A:$A,0)),"")</f>
        <v>Nigeria</v>
      </c>
      <c r="I1048" s="14" t="str">
        <f t="shared" si="1299"/>
        <v>Nigeria</v>
      </c>
      <c r="J1048" s="14" t="str">
        <f t="array" ref="J1048">IFERROR(INDEX([1]Companies!$Y:$Y,MATCH(B1048,[1]Companies!$A:$A,0)),"")</f>
        <v>Mobile Apps, Microfinance, Savings, investments</v>
      </c>
      <c r="K1048" s="14" t="str">
        <f t="array" ref="K1048">IFERROR(INDEX([1]Companies!$X:$X,MATCH(B1048,[1]Companies!$A:$A,0)),"")</f>
        <v>Financial Services</v>
      </c>
      <c r="L1048" s="14" t="str">
        <f>VLOOKUP(B1048,[1]Companies!$A$1:$C$5243,1,FALSE)</f>
        <v>Extramile Africa</v>
      </c>
      <c r="M1048" s="15">
        <f t="shared" si="1300"/>
        <v>0.9</v>
      </c>
      <c r="N1048" s="10" t="str">
        <f t="shared" si="1301"/>
        <v>43574Extramile AfricaUndisclosed</v>
      </c>
      <c r="O1048" s="14" t="str">
        <f t="shared" si="1302"/>
        <v/>
      </c>
      <c r="P1048" s="14">
        <f t="shared" si="1303"/>
        <v>0</v>
      </c>
      <c r="Q1048" s="14">
        <f t="array" ref="Q1048">IFERROR(INDEX([1]Companies!$D:$D,MATCH(B1048,[1]Companies!$A:$A,0)),"")</f>
        <v>2018</v>
      </c>
      <c r="R1048" s="17">
        <f t="shared" si="1304"/>
        <v>0</v>
      </c>
      <c r="S1048" s="14">
        <f>VLOOKUP(I1048,[1]Lookups!$V$3:$Y$197,4,FALSE)</f>
        <v>0</v>
      </c>
      <c r="T1048" s="14" t="str">
        <f>VLOOKUP(E1048,[1]Lookups!$H$3:$I$71,2,FALSE)</f>
        <v>1. Grant</v>
      </c>
      <c r="U1048" s="14" t="str">
        <f>VLOOKUP(K1048,[1]Lookups!$B$3:$C$142,2,FALSE)</f>
        <v>Financial Services</v>
      </c>
      <c r="V1048" s="14">
        <f t="shared" si="1230"/>
        <v>2019</v>
      </c>
      <c r="W1048" s="14">
        <f t="shared" si="1231"/>
        <v>4</v>
      </c>
      <c r="X1048" s="14">
        <f>VLOOKUP(W1048,[1]Lookups!$P$3:$S$15,2,FALSE)</f>
        <v>2</v>
      </c>
      <c r="Y1048" s="16">
        <f>VLOOKUP(W1048,[1]Lookups!$P$3:$U$15,3,FALSE)</f>
        <v>1</v>
      </c>
      <c r="Z1048" s="16">
        <f t="shared" si="1232"/>
        <v>1</v>
      </c>
      <c r="AA1048" s="16" t="str">
        <f t="shared" ref="AA1048:AO1063" ca="1" si="1369">AS1048</f>
        <v>Algebra Ventures</v>
      </c>
      <c r="AB1048" s="16">
        <f t="shared" si="1369"/>
        <v>0</v>
      </c>
      <c r="AC1048" s="16">
        <f t="shared" si="1369"/>
        <v>0</v>
      </c>
      <c r="AD1048" s="16">
        <f t="shared" si="1369"/>
        <v>0</v>
      </c>
      <c r="AE1048" s="16">
        <f t="shared" si="1369"/>
        <v>0</v>
      </c>
      <c r="AF1048" s="16">
        <f t="shared" si="1369"/>
        <v>0</v>
      </c>
      <c r="AG1048" s="16">
        <f t="shared" si="1369"/>
        <v>0</v>
      </c>
      <c r="AH1048" s="16">
        <f t="shared" si="1369"/>
        <v>0</v>
      </c>
      <c r="AI1048" s="16">
        <f t="shared" si="1369"/>
        <v>0</v>
      </c>
      <c r="AJ1048" s="16">
        <f t="shared" si="1369"/>
        <v>0</v>
      </c>
      <c r="AK1048" s="16">
        <f t="shared" si="1369"/>
        <v>0</v>
      </c>
      <c r="AL1048" s="16">
        <f t="shared" si="1369"/>
        <v>0</v>
      </c>
      <c r="AM1048" s="16">
        <f t="shared" si="1369"/>
        <v>0</v>
      </c>
      <c r="AN1048" s="16">
        <f t="shared" si="1369"/>
        <v>0</v>
      </c>
      <c r="AO1048" s="16">
        <f t="shared" si="1369"/>
        <v>0</v>
      </c>
      <c r="AP1048" s="10"/>
      <c r="AQ1048" s="10"/>
      <c r="AR1048" s="10"/>
      <c r="AS1048" s="10" t="str">
        <f t="shared" ref="AS1048" ca="1" si="1370">IFERROR(__xludf.DUMMYFUNCTION("split(F968,"","",true,true)"),"Algebra Ventures")</f>
        <v>Algebra Ventures</v>
      </c>
      <c r="AT1048" s="10"/>
      <c r="AU1048" s="10"/>
      <c r="AV1048" s="10"/>
      <c r="AW1048" s="10"/>
      <c r="AX1048" s="10"/>
      <c r="AY1048" s="10"/>
      <c r="AZ1048" s="10"/>
      <c r="BA1048" s="10"/>
      <c r="BB1048" s="10"/>
      <c r="BC1048" s="10"/>
      <c r="BD1048" s="10"/>
      <c r="BE1048" s="10"/>
      <c r="BF1048" s="10"/>
      <c r="BG1048" s="10"/>
      <c r="BH1048" s="10"/>
      <c r="BI1048" s="10"/>
      <c r="BJ1048" s="10"/>
      <c r="BK1048" s="10"/>
      <c r="BM1048" s="10"/>
    </row>
    <row r="1049" spans="1:65" ht="12.75">
      <c r="A1049" s="9">
        <v>43574</v>
      </c>
      <c r="B1049" s="10" t="s">
        <v>2225</v>
      </c>
      <c r="C1049" s="11" t="s">
        <v>49</v>
      </c>
      <c r="D1049" s="12"/>
      <c r="E1049" s="10" t="s">
        <v>55</v>
      </c>
      <c r="F1049" s="10" t="s">
        <v>49</v>
      </c>
      <c r="G1049" s="13" t="s">
        <v>2223</v>
      </c>
      <c r="H1049" s="14" t="str">
        <f t="array" ref="H1049">IFERROR(INDEX([1]Companies!$G:$G,MATCH(B1049,[1]Companies!$A:$A,0)),"")</f>
        <v>Nigeria</v>
      </c>
      <c r="I1049" s="14" t="str">
        <f t="shared" si="1299"/>
        <v>Nigeria</v>
      </c>
      <c r="J1049" s="14" t="str">
        <f t="array" ref="J1049">IFERROR(INDEX([1]Companies!$Y:$Y,MATCH(B1049,[1]Companies!$A:$A,0)),"")</f>
        <v>Financial Services, Lending, Mobile, Social Media</v>
      </c>
      <c r="K1049" s="14" t="str">
        <f t="array" ref="K1049">IFERROR(INDEX([1]Companies!$X:$X,MATCH(B1049,[1]Companies!$A:$A,0)),"")</f>
        <v>Financial Services</v>
      </c>
      <c r="L1049" s="14" t="str">
        <f>VLOOKUP(B1049,[1]Companies!$A$1:$C$5243,1,FALSE)</f>
        <v>Social Lender</v>
      </c>
      <c r="M1049" s="15">
        <f t="shared" si="1300"/>
        <v>0.9</v>
      </c>
      <c r="N1049" s="10" t="str">
        <f t="shared" si="1301"/>
        <v>43574Social LenderUndisclosed</v>
      </c>
      <c r="O1049" s="14" t="str">
        <f t="shared" si="1302"/>
        <v/>
      </c>
      <c r="P1049" s="14">
        <f t="shared" si="1303"/>
        <v>0</v>
      </c>
      <c r="Q1049" s="14">
        <f t="array" ref="Q1049">IFERROR(INDEX([1]Companies!$D:$D,MATCH(B1049,[1]Companies!$A:$A,0)),"")</f>
        <v>2014</v>
      </c>
      <c r="R1049" s="17">
        <f t="shared" si="1304"/>
        <v>0</v>
      </c>
      <c r="S1049" s="14">
        <f>VLOOKUP(I1049,[1]Lookups!$V$3:$Y$197,4,FALSE)</f>
        <v>0</v>
      </c>
      <c r="T1049" s="14" t="str">
        <f>VLOOKUP(E1049,[1]Lookups!$H$3:$I$71,2,FALSE)</f>
        <v>1. Grant</v>
      </c>
      <c r="U1049" s="14" t="str">
        <f>VLOOKUP(K1049,[1]Lookups!$B$3:$C$142,2,FALSE)</f>
        <v>Financial Services</v>
      </c>
      <c r="V1049" s="14">
        <f t="shared" si="1230"/>
        <v>2019</v>
      </c>
      <c r="W1049" s="14">
        <f t="shared" si="1231"/>
        <v>4</v>
      </c>
      <c r="X1049" s="14">
        <f>VLOOKUP(W1049,[1]Lookups!$P$3:$S$15,2,FALSE)</f>
        <v>2</v>
      </c>
      <c r="Y1049" s="16">
        <f>VLOOKUP(W1049,[1]Lookups!$P$3:$U$15,3,FALSE)</f>
        <v>1</v>
      </c>
      <c r="Z1049" s="16">
        <f t="shared" si="1232"/>
        <v>1</v>
      </c>
      <c r="AA1049" s="16" t="str">
        <f t="shared" ca="1" si="1369"/>
        <v>Algebra Ventures</v>
      </c>
      <c r="AB1049" s="16">
        <f t="shared" si="1369"/>
        <v>0</v>
      </c>
      <c r="AC1049" s="16">
        <f t="shared" si="1369"/>
        <v>0</v>
      </c>
      <c r="AD1049" s="16">
        <f t="shared" si="1369"/>
        <v>0</v>
      </c>
      <c r="AE1049" s="16">
        <f t="shared" si="1369"/>
        <v>0</v>
      </c>
      <c r="AF1049" s="16">
        <f t="shared" si="1369"/>
        <v>0</v>
      </c>
      <c r="AG1049" s="16">
        <f t="shared" si="1369"/>
        <v>0</v>
      </c>
      <c r="AH1049" s="16">
        <f t="shared" si="1369"/>
        <v>0</v>
      </c>
      <c r="AI1049" s="16">
        <f t="shared" si="1369"/>
        <v>0</v>
      </c>
      <c r="AJ1049" s="16">
        <f t="shared" si="1369"/>
        <v>0</v>
      </c>
      <c r="AK1049" s="16">
        <f t="shared" si="1369"/>
        <v>0</v>
      </c>
      <c r="AL1049" s="16">
        <f t="shared" si="1369"/>
        <v>0</v>
      </c>
      <c r="AM1049" s="16">
        <f t="shared" si="1369"/>
        <v>0</v>
      </c>
      <c r="AN1049" s="16">
        <f t="shared" si="1369"/>
        <v>0</v>
      </c>
      <c r="AO1049" s="16">
        <f t="shared" si="1369"/>
        <v>0</v>
      </c>
      <c r="AP1049" s="10"/>
      <c r="AQ1049" s="10"/>
      <c r="AR1049" s="10"/>
      <c r="AS1049" s="10" t="str">
        <f t="shared" ref="AS1049" ca="1" si="1371">IFERROR(__xludf.DUMMYFUNCTION("split(F968,"","",true,true)"),"Algebra Ventures")</f>
        <v>Algebra Ventures</v>
      </c>
      <c r="AT1049" s="10"/>
      <c r="AU1049" s="10"/>
      <c r="AV1049" s="10"/>
      <c r="AW1049" s="10"/>
      <c r="AX1049" s="10"/>
      <c r="AY1049" s="10"/>
      <c r="AZ1049" s="10"/>
      <c r="BA1049" s="10"/>
      <c r="BB1049" s="10"/>
      <c r="BC1049" s="10"/>
      <c r="BD1049" s="10"/>
      <c r="BE1049" s="10"/>
      <c r="BF1049" s="10"/>
      <c r="BG1049" s="10"/>
      <c r="BH1049" s="10"/>
      <c r="BI1049" s="10"/>
      <c r="BJ1049" s="10"/>
      <c r="BK1049" s="10"/>
      <c r="BM1049" s="10"/>
    </row>
    <row r="1050" spans="1:65" ht="12.75">
      <c r="A1050" s="9">
        <v>43574</v>
      </c>
      <c r="B1050" s="10" t="s">
        <v>2226</v>
      </c>
      <c r="C1050" s="11" t="s">
        <v>49</v>
      </c>
      <c r="D1050" s="12"/>
      <c r="E1050" s="10" t="s">
        <v>55</v>
      </c>
      <c r="F1050" s="10" t="s">
        <v>49</v>
      </c>
      <c r="G1050" s="13" t="s">
        <v>2223</v>
      </c>
      <c r="H1050" s="14" t="str">
        <f t="array" ref="H1050">IFERROR(INDEX([1]Companies!$G:$G,MATCH(B1050,[1]Companies!$A:$A,0)),"")</f>
        <v>Nigeria</v>
      </c>
      <c r="I1050" s="14" t="str">
        <f t="shared" si="1299"/>
        <v>Nigeria</v>
      </c>
      <c r="J1050" s="14" t="str">
        <f t="array" ref="J1050">IFERROR(INDEX([1]Companies!$Y:$Y,MATCH(B1050,[1]Companies!$A:$A,0)),"")</f>
        <v>FinTech, Banking, Information Technology</v>
      </c>
      <c r="K1050" s="14" t="str">
        <f t="array" ref="K1050">IFERROR(INDEX([1]Companies!$X:$X,MATCH(B1050,[1]Companies!$A:$A,0)),"")</f>
        <v>Financial Services</v>
      </c>
      <c r="L1050" s="14" t="str">
        <f>VLOOKUP(B1050,[1]Companies!$A$1:$C$5243,1,FALSE)</f>
        <v>SmartTeller</v>
      </c>
      <c r="M1050" s="15">
        <f t="shared" si="1300"/>
        <v>0.9</v>
      </c>
      <c r="N1050" s="10" t="str">
        <f t="shared" si="1301"/>
        <v>43574SmartTellerUndisclosed</v>
      </c>
      <c r="O1050" s="14" t="str">
        <f t="shared" si="1302"/>
        <v/>
      </c>
      <c r="P1050" s="14">
        <f t="shared" si="1303"/>
        <v>0</v>
      </c>
      <c r="Q1050" s="14">
        <f t="array" ref="Q1050">IFERROR(INDEX([1]Companies!$D:$D,MATCH(B1050,[1]Companies!$A:$A,0)),"")</f>
        <v>2018</v>
      </c>
      <c r="R1050" s="17">
        <f t="shared" si="1304"/>
        <v>0</v>
      </c>
      <c r="S1050" s="14">
        <f>VLOOKUP(I1050,[1]Lookups!$V$3:$Y$197,4,FALSE)</f>
        <v>0</v>
      </c>
      <c r="T1050" s="14" t="str">
        <f>VLOOKUP(E1050,[1]Lookups!$H$3:$I$71,2,FALSE)</f>
        <v>1. Grant</v>
      </c>
      <c r="U1050" s="14" t="str">
        <f>VLOOKUP(K1050,[1]Lookups!$B$3:$C$142,2,FALSE)</f>
        <v>Financial Services</v>
      </c>
      <c r="V1050" s="14">
        <f t="shared" si="1230"/>
        <v>2019</v>
      </c>
      <c r="W1050" s="14">
        <f t="shared" si="1231"/>
        <v>4</v>
      </c>
      <c r="X1050" s="14">
        <f>VLOOKUP(W1050,[1]Lookups!$P$3:$S$15,2,FALSE)</f>
        <v>2</v>
      </c>
      <c r="Y1050" s="16">
        <f>VLOOKUP(W1050,[1]Lookups!$P$3:$U$15,3,FALSE)</f>
        <v>1</v>
      </c>
      <c r="Z1050" s="16">
        <f t="shared" si="1232"/>
        <v>1</v>
      </c>
      <c r="AA1050" s="16" t="str">
        <f t="shared" ca="1" si="1369"/>
        <v>Algebra Ventures</v>
      </c>
      <c r="AB1050" s="16">
        <f t="shared" si="1369"/>
        <v>0</v>
      </c>
      <c r="AC1050" s="16">
        <f t="shared" si="1369"/>
        <v>0</v>
      </c>
      <c r="AD1050" s="16">
        <f t="shared" si="1369"/>
        <v>0</v>
      </c>
      <c r="AE1050" s="16">
        <f t="shared" si="1369"/>
        <v>0</v>
      </c>
      <c r="AF1050" s="16">
        <f t="shared" si="1369"/>
        <v>0</v>
      </c>
      <c r="AG1050" s="16">
        <f t="shared" si="1369"/>
        <v>0</v>
      </c>
      <c r="AH1050" s="16">
        <f t="shared" si="1369"/>
        <v>0</v>
      </c>
      <c r="AI1050" s="16">
        <f t="shared" si="1369"/>
        <v>0</v>
      </c>
      <c r="AJ1050" s="16">
        <f t="shared" si="1369"/>
        <v>0</v>
      </c>
      <c r="AK1050" s="16">
        <f t="shared" si="1369"/>
        <v>0</v>
      </c>
      <c r="AL1050" s="16">
        <f t="shared" si="1369"/>
        <v>0</v>
      </c>
      <c r="AM1050" s="16">
        <f t="shared" si="1369"/>
        <v>0</v>
      </c>
      <c r="AN1050" s="16">
        <f t="shared" si="1369"/>
        <v>0</v>
      </c>
      <c r="AO1050" s="16">
        <f t="shared" si="1369"/>
        <v>0</v>
      </c>
      <c r="AP1050" s="10"/>
      <c r="AQ1050" s="10"/>
      <c r="AR1050" s="10"/>
      <c r="AS1050" s="10" t="str">
        <f t="shared" ref="AS1050" ca="1" si="1372">IFERROR(__xludf.DUMMYFUNCTION("split(F968,"","",true,true)"),"Algebra Ventures")</f>
        <v>Algebra Ventures</v>
      </c>
      <c r="AT1050" s="10"/>
      <c r="AU1050" s="10"/>
      <c r="AV1050" s="10"/>
      <c r="AW1050" s="10"/>
      <c r="AX1050" s="10"/>
      <c r="AY1050" s="10"/>
      <c r="AZ1050" s="10"/>
      <c r="BA1050" s="10"/>
      <c r="BB1050" s="10"/>
      <c r="BC1050" s="10"/>
      <c r="BD1050" s="10"/>
      <c r="BE1050" s="10"/>
      <c r="BF1050" s="10"/>
      <c r="BG1050" s="10"/>
      <c r="BH1050" s="10"/>
      <c r="BI1050" s="10"/>
      <c r="BJ1050" s="10"/>
      <c r="BK1050" s="10"/>
      <c r="BM1050" s="10"/>
    </row>
    <row r="1051" spans="1:65" ht="12.75">
      <c r="A1051" s="9">
        <v>43574</v>
      </c>
      <c r="B1051" s="10" t="s">
        <v>2227</v>
      </c>
      <c r="C1051" s="11" t="s">
        <v>49</v>
      </c>
      <c r="D1051" s="12"/>
      <c r="E1051" s="10" t="s">
        <v>55</v>
      </c>
      <c r="F1051" s="10" t="s">
        <v>49</v>
      </c>
      <c r="G1051" s="13" t="s">
        <v>2223</v>
      </c>
      <c r="H1051" s="14" t="str">
        <f t="array" ref="H1051">IFERROR(INDEX([1]Companies!$G:$G,MATCH(B1051,[1]Companies!$A:$A,0)),"")</f>
        <v>Nigeria</v>
      </c>
      <c r="I1051" s="14" t="str">
        <f t="shared" si="1299"/>
        <v>Nigeria</v>
      </c>
      <c r="J1051" s="14" t="str">
        <f t="array" ref="J1051">IFERROR(INDEX([1]Companies!$Y:$Y,MATCH(B1051,[1]Companies!$A:$A,0)),"")</f>
        <v>Information Technology, FinTech</v>
      </c>
      <c r="K1051" s="14" t="str">
        <f t="array" ref="K1051">IFERROR(INDEX([1]Companies!$X:$X,MATCH(B1051,[1]Companies!$A:$A,0)),"")</f>
        <v>Financial Services</v>
      </c>
      <c r="L1051" s="14" t="str">
        <f>VLOOKUP(B1051,[1]Companies!$A$1:$C$5243,1,FALSE)</f>
        <v>Capricorn Digital</v>
      </c>
      <c r="M1051" s="15">
        <f t="shared" si="1300"/>
        <v>0.9</v>
      </c>
      <c r="N1051" s="10" t="str">
        <f t="shared" si="1301"/>
        <v>43574Capricorn DigitalUndisclosed</v>
      </c>
      <c r="O1051" s="14" t="str">
        <f t="shared" si="1302"/>
        <v/>
      </c>
      <c r="P1051" s="14">
        <f t="shared" si="1303"/>
        <v>0</v>
      </c>
      <c r="Q1051" s="14">
        <f t="array" ref="Q1051">IFERROR(INDEX([1]Companies!$D:$D,MATCH(B1051,[1]Companies!$A:$A,0)),"")</f>
        <v>2002</v>
      </c>
      <c r="R1051" s="17">
        <f t="shared" si="1304"/>
        <v>0</v>
      </c>
      <c r="S1051" s="14">
        <f>VLOOKUP(I1051,[1]Lookups!$V$3:$Y$197,4,FALSE)</f>
        <v>0</v>
      </c>
      <c r="T1051" s="14" t="str">
        <f>VLOOKUP(E1051,[1]Lookups!$H$3:$I$71,2,FALSE)</f>
        <v>1. Grant</v>
      </c>
      <c r="U1051" s="14" t="str">
        <f>VLOOKUP(K1051,[1]Lookups!$B$3:$C$142,2,FALSE)</f>
        <v>Financial Services</v>
      </c>
      <c r="V1051" s="14">
        <f t="shared" si="1230"/>
        <v>2019</v>
      </c>
      <c r="W1051" s="14">
        <f t="shared" si="1231"/>
        <v>4</v>
      </c>
      <c r="X1051" s="14">
        <f>VLOOKUP(W1051,[1]Lookups!$P$3:$S$15,2,FALSE)</f>
        <v>2</v>
      </c>
      <c r="Y1051" s="16">
        <f>VLOOKUP(W1051,[1]Lookups!$P$3:$U$15,3,FALSE)</f>
        <v>1</v>
      </c>
      <c r="Z1051" s="16">
        <f t="shared" si="1232"/>
        <v>1</v>
      </c>
      <c r="AA1051" s="16" t="str">
        <f t="shared" ca="1" si="1369"/>
        <v>Algebra Ventures</v>
      </c>
      <c r="AB1051" s="16">
        <f t="shared" si="1369"/>
        <v>0</v>
      </c>
      <c r="AC1051" s="16">
        <f t="shared" si="1369"/>
        <v>0</v>
      </c>
      <c r="AD1051" s="16">
        <f t="shared" si="1369"/>
        <v>0</v>
      </c>
      <c r="AE1051" s="16">
        <f t="shared" si="1369"/>
        <v>0</v>
      </c>
      <c r="AF1051" s="16">
        <f t="shared" si="1369"/>
        <v>0</v>
      </c>
      <c r="AG1051" s="16">
        <f t="shared" si="1369"/>
        <v>0</v>
      </c>
      <c r="AH1051" s="16">
        <f t="shared" si="1369"/>
        <v>0</v>
      </c>
      <c r="AI1051" s="16">
        <f t="shared" si="1369"/>
        <v>0</v>
      </c>
      <c r="AJ1051" s="16">
        <f t="shared" si="1369"/>
        <v>0</v>
      </c>
      <c r="AK1051" s="16">
        <f t="shared" si="1369"/>
        <v>0</v>
      </c>
      <c r="AL1051" s="16">
        <f t="shared" si="1369"/>
        <v>0</v>
      </c>
      <c r="AM1051" s="16">
        <f t="shared" si="1369"/>
        <v>0</v>
      </c>
      <c r="AN1051" s="16">
        <f t="shared" si="1369"/>
        <v>0</v>
      </c>
      <c r="AO1051" s="16">
        <f t="shared" si="1369"/>
        <v>0</v>
      </c>
      <c r="AP1051" s="10"/>
      <c r="AQ1051" s="10"/>
      <c r="AR1051" s="10"/>
      <c r="AS1051" s="10" t="str">
        <f t="shared" ref="AS1051" ca="1" si="1373">IFERROR(__xludf.DUMMYFUNCTION("split(F968,"","",true,true)"),"Algebra Ventures")</f>
        <v>Algebra Ventures</v>
      </c>
      <c r="AT1051" s="10"/>
      <c r="AU1051" s="10"/>
      <c r="AV1051" s="10"/>
      <c r="AW1051" s="10"/>
      <c r="AX1051" s="10"/>
      <c r="AY1051" s="10"/>
      <c r="AZ1051" s="10"/>
      <c r="BA1051" s="10"/>
      <c r="BB1051" s="10"/>
      <c r="BC1051" s="10"/>
      <c r="BD1051" s="10"/>
      <c r="BE1051" s="10"/>
      <c r="BF1051" s="10"/>
      <c r="BG1051" s="10"/>
      <c r="BH1051" s="10"/>
      <c r="BI1051" s="10"/>
      <c r="BJ1051" s="10"/>
      <c r="BK1051" s="10"/>
      <c r="BM1051" s="10"/>
    </row>
    <row r="1052" spans="1:65" ht="12.75">
      <c r="A1052" s="9">
        <v>43576</v>
      </c>
      <c r="B1052" s="10" t="s">
        <v>2228</v>
      </c>
      <c r="C1052" s="11" t="s">
        <v>49</v>
      </c>
      <c r="D1052" s="12"/>
      <c r="E1052" s="14" t="s">
        <v>234</v>
      </c>
      <c r="F1052" s="10" t="s">
        <v>49</v>
      </c>
      <c r="G1052" s="13" t="s">
        <v>2229</v>
      </c>
      <c r="H1052" s="14" t="str">
        <f t="array" ref="H1052">IFERROR(INDEX([1]Companies!$G:$G,MATCH(B1052,[1]Companies!$A:$A,0)),"")</f>
        <v>Nigeria</v>
      </c>
      <c r="I1052" s="14" t="str">
        <f t="shared" si="1299"/>
        <v>Nigeria</v>
      </c>
      <c r="J1052" s="14" t="str">
        <f t="array" ref="J1052">IFERROR(INDEX([1]Companies!$Y:$Y,MATCH(B1052,[1]Companies!$A:$A,0)),"")</f>
        <v>Health Care</v>
      </c>
      <c r="K1052" s="14" t="str">
        <f t="array" ref="K1052">IFERROR(INDEX([1]Companies!$X:$X,MATCH(B1052,[1]Companies!$A:$A,0)),"")</f>
        <v>Healthcare &amp; Pharma</v>
      </c>
      <c r="L1052" s="14" t="str">
        <f>VLOOKUP(B1052,[1]Companies!$A$1:$C$5243,1,FALSE)</f>
        <v>E-Health Zone</v>
      </c>
      <c r="M1052" s="15">
        <f t="shared" si="1300"/>
        <v>0.9</v>
      </c>
      <c r="N1052" s="10" t="str">
        <f t="shared" si="1301"/>
        <v>43576E-Health ZoneUndisclosed</v>
      </c>
      <c r="O1052" s="14" t="str">
        <f t="shared" si="1302"/>
        <v/>
      </c>
      <c r="P1052" s="14">
        <f t="shared" si="1303"/>
        <v>0</v>
      </c>
      <c r="Q1052" s="14">
        <f t="array" ref="Q1052">IFERROR(INDEX([1]Companies!$D:$D,MATCH(B1052,[1]Companies!$A:$A,0)),"")</f>
        <v>2019</v>
      </c>
      <c r="R1052" s="17">
        <f t="shared" si="1304"/>
        <v>0</v>
      </c>
      <c r="S1052" s="14">
        <f>VLOOKUP(I1052,[1]Lookups!$V$3:$Y$197,4,FALSE)</f>
        <v>0</v>
      </c>
      <c r="T1052" s="14" t="str">
        <f>VLOOKUP(E1052,[1]Lookups!$H$3:$I$71,2,FALSE)</f>
        <v>2. Seed</v>
      </c>
      <c r="U1052" s="14" t="str">
        <f>VLOOKUP(K1052,[1]Lookups!$B$3:$C$142,2,FALSE)</f>
        <v>Health &amp; Pharmaceuticals</v>
      </c>
      <c r="V1052" s="14">
        <f t="shared" si="1230"/>
        <v>2019</v>
      </c>
      <c r="W1052" s="14">
        <f t="shared" si="1231"/>
        <v>4</v>
      </c>
      <c r="X1052" s="14">
        <f>VLOOKUP(W1052,[1]Lookups!$P$3:$S$15,2,FALSE)</f>
        <v>2</v>
      </c>
      <c r="Y1052" s="16">
        <f>VLOOKUP(W1052,[1]Lookups!$P$3:$U$15,3,FALSE)</f>
        <v>1</v>
      </c>
      <c r="Z1052" s="16">
        <f t="shared" si="1232"/>
        <v>1</v>
      </c>
      <c r="AA1052" s="16" t="str">
        <f t="shared" ca="1" si="1369"/>
        <v>Algebra Ventures</v>
      </c>
      <c r="AB1052" s="16">
        <f t="shared" si="1369"/>
        <v>0</v>
      </c>
      <c r="AC1052" s="16">
        <f t="shared" si="1369"/>
        <v>0</v>
      </c>
      <c r="AD1052" s="16">
        <f t="shared" si="1369"/>
        <v>0</v>
      </c>
      <c r="AE1052" s="16">
        <f t="shared" si="1369"/>
        <v>0</v>
      </c>
      <c r="AF1052" s="16">
        <f t="shared" si="1369"/>
        <v>0</v>
      </c>
      <c r="AG1052" s="16">
        <f t="shared" si="1369"/>
        <v>0</v>
      </c>
      <c r="AH1052" s="16">
        <f t="shared" si="1369"/>
        <v>0</v>
      </c>
      <c r="AI1052" s="16">
        <f t="shared" si="1369"/>
        <v>0</v>
      </c>
      <c r="AJ1052" s="16">
        <f t="shared" si="1369"/>
        <v>0</v>
      </c>
      <c r="AK1052" s="16">
        <f t="shared" si="1369"/>
        <v>0</v>
      </c>
      <c r="AL1052" s="16">
        <f t="shared" si="1369"/>
        <v>0</v>
      </c>
      <c r="AM1052" s="16">
        <f t="shared" si="1369"/>
        <v>0</v>
      </c>
      <c r="AN1052" s="16">
        <f t="shared" si="1369"/>
        <v>0</v>
      </c>
      <c r="AO1052" s="16">
        <f t="shared" si="1369"/>
        <v>0</v>
      </c>
      <c r="AP1052" s="10"/>
      <c r="AQ1052" s="10"/>
      <c r="AR1052" s="10"/>
      <c r="AS1052" s="10" t="str">
        <f t="shared" ref="AS1052" ca="1" si="1374">IFERROR(__xludf.DUMMYFUNCTION("split(F968,"","",true,true)"),"Algebra Ventures")</f>
        <v>Algebra Ventures</v>
      </c>
      <c r="AT1052" s="10"/>
      <c r="AU1052" s="10"/>
      <c r="AV1052" s="10"/>
      <c r="AW1052" s="10"/>
      <c r="AX1052" s="10"/>
      <c r="AY1052" s="10"/>
      <c r="AZ1052" s="10"/>
      <c r="BA1052" s="10"/>
      <c r="BB1052" s="10"/>
      <c r="BC1052" s="10"/>
      <c r="BD1052" s="10"/>
      <c r="BE1052" s="10"/>
      <c r="BF1052" s="10"/>
      <c r="BG1052" s="10"/>
      <c r="BH1052" s="10"/>
      <c r="BI1052" s="10"/>
      <c r="BJ1052" s="10"/>
      <c r="BK1052" s="10"/>
      <c r="BM1052" s="10"/>
    </row>
    <row r="1053" spans="1:65" ht="12.75">
      <c r="A1053" s="9">
        <v>43579</v>
      </c>
      <c r="B1053" s="10" t="s">
        <v>210</v>
      </c>
      <c r="C1053" s="11">
        <v>200000</v>
      </c>
      <c r="D1053" s="12"/>
      <c r="E1053" s="10" t="s">
        <v>564</v>
      </c>
      <c r="F1053" s="10" t="s">
        <v>49</v>
      </c>
      <c r="G1053" s="13" t="s">
        <v>2230</v>
      </c>
      <c r="H1053" s="14" t="str">
        <f t="array" ref="H1053">IFERROR(INDEX([1]Companies!$G:$G,MATCH(B1053,[1]Companies!$A:$A,0)),"")</f>
        <v>Cameroon</v>
      </c>
      <c r="I1053" s="14" t="str">
        <f t="shared" si="1299"/>
        <v>Cameroon</v>
      </c>
      <c r="J1053" s="14" t="str">
        <f t="array" ref="J1053">IFERROR(INDEX([1]Companies!$Y:$Y,MATCH(B1053,[1]Companies!$A:$A,0)),"")</f>
        <v>Gaming, Mobile, Video Games</v>
      </c>
      <c r="K1053" s="14" t="str">
        <f t="array" ref="K1053">IFERROR(INDEX([1]Companies!$X:$X,MATCH(B1053,[1]Companies!$A:$A,0)),"")</f>
        <v>Media &amp; Entertainment</v>
      </c>
      <c r="L1053" s="14" t="str">
        <f>VLOOKUP(B1053,[1]Companies!$A$1:$C$5243,1,FALSE)</f>
        <v>Kiro'o Games</v>
      </c>
      <c r="M1053" s="15">
        <f t="shared" si="1300"/>
        <v>0.9</v>
      </c>
      <c r="N1053" s="10" t="str">
        <f t="shared" si="1301"/>
        <v>43579Kiro'o Games200000</v>
      </c>
      <c r="O1053" s="14" t="str">
        <f t="shared" si="1302"/>
        <v/>
      </c>
      <c r="P1053" s="14">
        <f t="shared" si="1303"/>
        <v>1</v>
      </c>
      <c r="Q1053" s="14">
        <f t="array" ref="Q1053">IFERROR(INDEX([1]Companies!$D:$D,MATCH(B1053,[1]Companies!$A:$A,0)),"")</f>
        <v>2013</v>
      </c>
      <c r="R1053" s="17">
        <f t="shared" si="1304"/>
        <v>555000</v>
      </c>
      <c r="S1053" s="14">
        <f>VLOOKUP(I1053,[1]Lookups!$V$3:$Y$197,4,FALSE)</f>
        <v>0</v>
      </c>
      <c r="T1053" s="14" t="str">
        <f>VLOOKUP(E1053,[1]Lookups!$H$3:$I$71,2,FALSE)</f>
        <v>7. Offerings</v>
      </c>
      <c r="U1053" s="14" t="str">
        <f>VLOOKUP(K1053,[1]Lookups!$B$3:$C$142,2,FALSE)</f>
        <v>Media &amp; Entertainment</v>
      </c>
      <c r="V1053" s="14">
        <f t="shared" si="1230"/>
        <v>2019</v>
      </c>
      <c r="W1053" s="14">
        <f t="shared" si="1231"/>
        <v>4</v>
      </c>
      <c r="X1053" s="14">
        <f>VLOOKUP(W1053,[1]Lookups!$P$3:$S$15,2,FALSE)</f>
        <v>2</v>
      </c>
      <c r="Y1053" s="16">
        <f>VLOOKUP(W1053,[1]Lookups!$P$3:$U$15,3,FALSE)</f>
        <v>1</v>
      </c>
      <c r="Z1053" s="16">
        <f t="shared" si="1232"/>
        <v>1</v>
      </c>
      <c r="AA1053" s="16" t="str">
        <f t="shared" ca="1" si="1369"/>
        <v>Algebra Ventures</v>
      </c>
      <c r="AB1053" s="16">
        <f t="shared" si="1369"/>
        <v>0</v>
      </c>
      <c r="AC1053" s="16">
        <f t="shared" si="1369"/>
        <v>0</v>
      </c>
      <c r="AD1053" s="16">
        <f t="shared" si="1369"/>
        <v>0</v>
      </c>
      <c r="AE1053" s="16">
        <f t="shared" si="1369"/>
        <v>0</v>
      </c>
      <c r="AF1053" s="16">
        <f t="shared" si="1369"/>
        <v>0</v>
      </c>
      <c r="AG1053" s="16">
        <f t="shared" si="1369"/>
        <v>0</v>
      </c>
      <c r="AH1053" s="16">
        <f t="shared" si="1369"/>
        <v>0</v>
      </c>
      <c r="AI1053" s="16">
        <f t="shared" si="1369"/>
        <v>0</v>
      </c>
      <c r="AJ1053" s="16">
        <f t="shared" si="1369"/>
        <v>0</v>
      </c>
      <c r="AK1053" s="16">
        <f t="shared" si="1369"/>
        <v>0</v>
      </c>
      <c r="AL1053" s="16">
        <f t="shared" si="1369"/>
        <v>0</v>
      </c>
      <c r="AM1053" s="16">
        <f t="shared" si="1369"/>
        <v>0</v>
      </c>
      <c r="AN1053" s="16">
        <f t="shared" si="1369"/>
        <v>0</v>
      </c>
      <c r="AO1053" s="16">
        <f t="shared" si="1369"/>
        <v>0</v>
      </c>
      <c r="AP1053" s="10"/>
      <c r="AQ1053" s="10"/>
      <c r="AR1053" s="10"/>
      <c r="AS1053" s="10" t="str">
        <f t="shared" ref="AS1053" ca="1" si="1375">IFERROR(__xludf.DUMMYFUNCTION("split(F968,"","",true,true)"),"Algebra Ventures")</f>
        <v>Algebra Ventures</v>
      </c>
      <c r="AT1053" s="10"/>
      <c r="AU1053" s="10"/>
      <c r="AV1053" s="10"/>
      <c r="AW1053" s="10"/>
      <c r="AX1053" s="10"/>
      <c r="AY1053" s="10"/>
      <c r="AZ1053" s="10"/>
      <c r="BA1053" s="10"/>
      <c r="BB1053" s="10"/>
      <c r="BC1053" s="10"/>
      <c r="BD1053" s="10"/>
      <c r="BE1053" s="10"/>
      <c r="BF1053" s="10"/>
      <c r="BG1053" s="10"/>
      <c r="BH1053" s="10"/>
      <c r="BI1053" s="10"/>
      <c r="BJ1053" s="10"/>
      <c r="BK1053" s="10"/>
      <c r="BM1053" s="10"/>
    </row>
    <row r="1054" spans="1:65" ht="12.75">
      <c r="A1054" s="9">
        <v>43580</v>
      </c>
      <c r="B1054" s="10" t="s">
        <v>824</v>
      </c>
      <c r="C1054" s="11">
        <v>150000</v>
      </c>
      <c r="D1054" s="12"/>
      <c r="E1054" s="10" t="s">
        <v>45</v>
      </c>
      <c r="F1054" s="10" t="s">
        <v>226</v>
      </c>
      <c r="G1054" s="13" t="s">
        <v>2231</v>
      </c>
      <c r="H1054" s="14" t="str">
        <f t="array" ref="H1054">IFERROR(INDEX([1]Companies!$G:$G,MATCH(B1054,[1]Companies!$A:$A,0)),"")</f>
        <v>Egypt</v>
      </c>
      <c r="I1054" s="14" t="str">
        <f t="shared" si="1299"/>
        <v>Egypt</v>
      </c>
      <c r="J1054" s="14" t="str">
        <f t="array" ref="J1054">IFERROR(INDEX([1]Companies!$Y:$Y,MATCH(B1054,[1]Companies!$A:$A,0)),"")</f>
        <v>Mobile Apps, Software, Transportation</v>
      </c>
      <c r="K1054" s="14" t="str">
        <f t="array" ref="K1054">IFERROR(INDEX([1]Companies!$X:$X,MATCH(B1054,[1]Companies!$A:$A,0)),"")</f>
        <v>Transport &amp; Logistics</v>
      </c>
      <c r="L1054" s="14" t="str">
        <f>VLOOKUP(B1054,[1]Companies!$A$1:$C$5243,1,FALSE)</f>
        <v>Buseet</v>
      </c>
      <c r="M1054" s="15">
        <f t="shared" si="1300"/>
        <v>0.9</v>
      </c>
      <c r="N1054" s="10" t="str">
        <f t="shared" si="1301"/>
        <v>43580Buseet150000</v>
      </c>
      <c r="O1054" s="14" t="str">
        <f t="shared" si="1302"/>
        <v/>
      </c>
      <c r="P1054" s="14">
        <f t="shared" si="1303"/>
        <v>1</v>
      </c>
      <c r="Q1054" s="14">
        <f t="array" ref="Q1054">IFERROR(INDEX([1]Companies!$D:$D,MATCH(B1054,[1]Companies!$A:$A,0)),"")</f>
        <v>2016</v>
      </c>
      <c r="R1054" s="17">
        <f t="shared" si="1304"/>
        <v>417000</v>
      </c>
      <c r="S1054" s="14">
        <f>VLOOKUP(I1054,[1]Lookups!$V$3:$Y$197,4,FALSE)</f>
        <v>0</v>
      </c>
      <c r="T1054" s="14" t="str">
        <f>VLOOKUP(E1054,[1]Lookups!$H$3:$I$71,2,FALSE)</f>
        <v>2. Seed</v>
      </c>
      <c r="U1054" s="14" t="str">
        <f>VLOOKUP(K1054,[1]Lookups!$B$3:$C$142,2,FALSE)</f>
        <v>Transport &amp; Logistics</v>
      </c>
      <c r="V1054" s="14">
        <f t="shared" si="1230"/>
        <v>2019</v>
      </c>
      <c r="W1054" s="14">
        <f t="shared" si="1231"/>
        <v>4</v>
      </c>
      <c r="X1054" s="14">
        <f>VLOOKUP(W1054,[1]Lookups!$P$3:$S$15,2,FALSE)</f>
        <v>2</v>
      </c>
      <c r="Y1054" s="16">
        <f>VLOOKUP(W1054,[1]Lookups!$P$3:$U$15,3,FALSE)</f>
        <v>1</v>
      </c>
      <c r="Z1054" s="16">
        <f t="shared" si="1232"/>
        <v>1</v>
      </c>
      <c r="AA1054" s="16" t="str">
        <f t="shared" ca="1" si="1369"/>
        <v>Algebra Ventures</v>
      </c>
      <c r="AB1054" s="16">
        <f t="shared" si="1369"/>
        <v>0</v>
      </c>
      <c r="AC1054" s="16">
        <f t="shared" si="1369"/>
        <v>0</v>
      </c>
      <c r="AD1054" s="16">
        <f t="shared" si="1369"/>
        <v>0</v>
      </c>
      <c r="AE1054" s="16">
        <f t="shared" si="1369"/>
        <v>0</v>
      </c>
      <c r="AF1054" s="16">
        <f t="shared" si="1369"/>
        <v>0</v>
      </c>
      <c r="AG1054" s="16">
        <f t="shared" si="1369"/>
        <v>0</v>
      </c>
      <c r="AH1054" s="16">
        <f t="shared" si="1369"/>
        <v>0</v>
      </c>
      <c r="AI1054" s="16">
        <f t="shared" si="1369"/>
        <v>0</v>
      </c>
      <c r="AJ1054" s="16">
        <f t="shared" si="1369"/>
        <v>0</v>
      </c>
      <c r="AK1054" s="16">
        <f t="shared" si="1369"/>
        <v>0</v>
      </c>
      <c r="AL1054" s="16">
        <f t="shared" si="1369"/>
        <v>0</v>
      </c>
      <c r="AM1054" s="16">
        <f t="shared" si="1369"/>
        <v>0</v>
      </c>
      <c r="AN1054" s="16">
        <f t="shared" si="1369"/>
        <v>0</v>
      </c>
      <c r="AO1054" s="16">
        <f t="shared" si="1369"/>
        <v>0</v>
      </c>
      <c r="AP1054" s="10"/>
      <c r="AQ1054" s="10"/>
      <c r="AR1054" s="10"/>
      <c r="AS1054" s="10" t="str">
        <f t="shared" ref="AS1054" ca="1" si="1376">IFERROR(__xludf.DUMMYFUNCTION("split(F968,"","",true,true)"),"Algebra Ventures")</f>
        <v>Algebra Ventures</v>
      </c>
      <c r="AT1054" s="10"/>
      <c r="AU1054" s="10"/>
      <c r="AV1054" s="10"/>
      <c r="AW1054" s="10"/>
      <c r="AX1054" s="10"/>
      <c r="AY1054" s="10"/>
      <c r="AZ1054" s="10"/>
      <c r="BA1054" s="10"/>
      <c r="BB1054" s="10"/>
      <c r="BC1054" s="10"/>
      <c r="BD1054" s="10"/>
      <c r="BE1054" s="10"/>
      <c r="BF1054" s="10"/>
      <c r="BG1054" s="10"/>
      <c r="BH1054" s="10"/>
      <c r="BI1054" s="10"/>
      <c r="BJ1054" s="10"/>
      <c r="BK1054" s="10"/>
      <c r="BM1054" s="10"/>
    </row>
    <row r="1055" spans="1:65" ht="12.75">
      <c r="A1055" s="9">
        <v>43580</v>
      </c>
      <c r="B1055" s="10" t="s">
        <v>513</v>
      </c>
      <c r="C1055" s="11">
        <v>150000</v>
      </c>
      <c r="D1055" s="12"/>
      <c r="E1055" s="10" t="s">
        <v>45</v>
      </c>
      <c r="F1055" s="10" t="s">
        <v>226</v>
      </c>
      <c r="G1055" s="13" t="s">
        <v>2231</v>
      </c>
      <c r="H1055" s="14" t="str">
        <f t="array" ref="H1055">IFERROR(INDEX([1]Companies!$G:$G,MATCH(B1055,[1]Companies!$A:$A,0)),"")</f>
        <v>Egypt</v>
      </c>
      <c r="I1055" s="14" t="str">
        <f t="shared" si="1299"/>
        <v>Egypt</v>
      </c>
      <c r="J1055" s="14" t="str">
        <f t="array" ref="J1055">IFERROR(INDEX([1]Companies!$Y:$Y,MATCH(B1055,[1]Companies!$A:$A,0)),"")</f>
        <v>Banking, Financial Services, Internet, Mobile Payments</v>
      </c>
      <c r="K1055" s="14" t="str">
        <f t="array" ref="K1055">IFERROR(INDEX([1]Companies!$X:$X,MATCH(B1055,[1]Companies!$A:$A,0)),"")</f>
        <v>Financial Services</v>
      </c>
      <c r="L1055" s="14" t="str">
        <f>VLOOKUP(B1055,[1]Companies!$A$1:$C$5243,1,FALSE)</f>
        <v>Vapulus</v>
      </c>
      <c r="M1055" s="15">
        <f t="shared" si="1300"/>
        <v>0.9</v>
      </c>
      <c r="N1055" s="10" t="str">
        <f t="shared" si="1301"/>
        <v>43580Vapulus150000</v>
      </c>
      <c r="O1055" s="14" t="str">
        <f t="shared" si="1302"/>
        <v/>
      </c>
      <c r="P1055" s="14">
        <f t="shared" si="1303"/>
        <v>1</v>
      </c>
      <c r="Q1055" s="14">
        <f t="array" ref="Q1055">IFERROR(INDEX([1]Companies!$D:$D,MATCH(B1055,[1]Companies!$A:$A,0)),"")</f>
        <v>2016</v>
      </c>
      <c r="R1055" s="17">
        <f t="shared" si="1304"/>
        <v>415000</v>
      </c>
      <c r="S1055" s="14">
        <f>VLOOKUP(I1055,[1]Lookups!$V$3:$Y$197,4,FALSE)</f>
        <v>0</v>
      </c>
      <c r="T1055" s="14" t="str">
        <f>VLOOKUP(E1055,[1]Lookups!$H$3:$I$71,2,FALSE)</f>
        <v>2. Seed</v>
      </c>
      <c r="U1055" s="14" t="str">
        <f>VLOOKUP(K1055,[1]Lookups!$B$3:$C$142,2,FALSE)</f>
        <v>Financial Services</v>
      </c>
      <c r="V1055" s="14">
        <f t="shared" si="1230"/>
        <v>2019</v>
      </c>
      <c r="W1055" s="14">
        <f t="shared" si="1231"/>
        <v>4</v>
      </c>
      <c r="X1055" s="14">
        <f>VLOOKUP(W1055,[1]Lookups!$P$3:$S$15,2,FALSE)</f>
        <v>2</v>
      </c>
      <c r="Y1055" s="16">
        <f>VLOOKUP(W1055,[1]Lookups!$P$3:$U$15,3,FALSE)</f>
        <v>1</v>
      </c>
      <c r="Z1055" s="16">
        <f t="shared" si="1232"/>
        <v>1</v>
      </c>
      <c r="AA1055" s="16" t="str">
        <f t="shared" ca="1" si="1369"/>
        <v>Algebra Ventures</v>
      </c>
      <c r="AB1055" s="16">
        <f t="shared" si="1369"/>
        <v>0</v>
      </c>
      <c r="AC1055" s="16">
        <f t="shared" si="1369"/>
        <v>0</v>
      </c>
      <c r="AD1055" s="16">
        <f t="shared" si="1369"/>
        <v>0</v>
      </c>
      <c r="AE1055" s="16">
        <f t="shared" si="1369"/>
        <v>0</v>
      </c>
      <c r="AF1055" s="16">
        <f t="shared" si="1369"/>
        <v>0</v>
      </c>
      <c r="AG1055" s="16">
        <f t="shared" si="1369"/>
        <v>0</v>
      </c>
      <c r="AH1055" s="16">
        <f t="shared" si="1369"/>
        <v>0</v>
      </c>
      <c r="AI1055" s="16">
        <f t="shared" si="1369"/>
        <v>0</v>
      </c>
      <c r="AJ1055" s="16">
        <f t="shared" si="1369"/>
        <v>0</v>
      </c>
      <c r="AK1055" s="16">
        <f t="shared" si="1369"/>
        <v>0</v>
      </c>
      <c r="AL1055" s="16">
        <f t="shared" si="1369"/>
        <v>0</v>
      </c>
      <c r="AM1055" s="16">
        <f t="shared" si="1369"/>
        <v>0</v>
      </c>
      <c r="AN1055" s="16">
        <f t="shared" si="1369"/>
        <v>0</v>
      </c>
      <c r="AO1055" s="16">
        <f t="shared" si="1369"/>
        <v>0</v>
      </c>
      <c r="AP1055" s="10"/>
      <c r="AQ1055" s="10"/>
      <c r="AR1055" s="10"/>
      <c r="AS1055" s="10" t="str">
        <f t="shared" ref="AS1055" ca="1" si="1377">IFERROR(__xludf.DUMMYFUNCTION("split(F968,"","",true,true)"),"Algebra Ventures")</f>
        <v>Algebra Ventures</v>
      </c>
      <c r="AT1055" s="10"/>
      <c r="AU1055" s="10"/>
      <c r="AV1055" s="10"/>
      <c r="AW1055" s="10"/>
      <c r="AX1055" s="10"/>
      <c r="AY1055" s="10"/>
      <c r="AZ1055" s="10"/>
      <c r="BA1055" s="10"/>
      <c r="BB1055" s="10"/>
      <c r="BC1055" s="10"/>
      <c r="BD1055" s="10"/>
      <c r="BE1055" s="10"/>
      <c r="BF1055" s="10"/>
      <c r="BG1055" s="10"/>
      <c r="BH1055" s="10"/>
      <c r="BI1055" s="10"/>
      <c r="BJ1055" s="10"/>
      <c r="BK1055" s="10"/>
      <c r="BM1055" s="10"/>
    </row>
    <row r="1056" spans="1:65" ht="12.75">
      <c r="A1056" s="9">
        <v>43580</v>
      </c>
      <c r="B1056" s="10" t="s">
        <v>693</v>
      </c>
      <c r="C1056" s="11">
        <v>150000</v>
      </c>
      <c r="D1056" s="12"/>
      <c r="E1056" s="10" t="s">
        <v>45</v>
      </c>
      <c r="F1056" s="10" t="s">
        <v>226</v>
      </c>
      <c r="G1056" s="13" t="s">
        <v>2231</v>
      </c>
      <c r="H1056" s="14" t="str">
        <f t="array" ref="H1056">IFERROR(INDEX([1]Companies!$G:$G,MATCH(B1056,[1]Companies!$A:$A,0)),"")</f>
        <v>Egypt</v>
      </c>
      <c r="I1056" s="14" t="str">
        <f t="shared" si="1299"/>
        <v>Egypt</v>
      </c>
      <c r="J1056" s="14" t="str">
        <f t="array" ref="J1056">IFERROR(INDEX([1]Companies!$Y:$Y,MATCH(B1056,[1]Companies!$A:$A,0)),"")</f>
        <v>Tourism, Travel</v>
      </c>
      <c r="K1056" s="14" t="str">
        <f t="array" ref="K1056">IFERROR(INDEX([1]Companies!$X:$X,MATCH(B1056,[1]Companies!$A:$A,0)),"")</f>
        <v>Travel &amp; Leisure</v>
      </c>
      <c r="L1056" s="14" t="str">
        <f>VLOOKUP(B1056,[1]Companies!$A$1:$C$5243,1,FALSE)</f>
        <v>Tripdizer</v>
      </c>
      <c r="M1056" s="15">
        <f t="shared" si="1300"/>
        <v>0.9</v>
      </c>
      <c r="N1056" s="10" t="str">
        <f t="shared" si="1301"/>
        <v>43580Tripdizer150000</v>
      </c>
      <c r="O1056" s="14" t="str">
        <f t="shared" si="1302"/>
        <v/>
      </c>
      <c r="P1056" s="14">
        <f t="shared" si="1303"/>
        <v>1</v>
      </c>
      <c r="Q1056" s="14">
        <f t="array" ref="Q1056">IFERROR(INDEX([1]Companies!$D:$D,MATCH(B1056,[1]Companies!$A:$A,0)),"")</f>
        <v>2016</v>
      </c>
      <c r="R1056" s="17">
        <f t="shared" si="1304"/>
        <v>255000</v>
      </c>
      <c r="S1056" s="14">
        <f>VLOOKUP(I1056,[1]Lookups!$V$3:$Y$197,4,FALSE)</f>
        <v>0</v>
      </c>
      <c r="T1056" s="14" t="str">
        <f>VLOOKUP(E1056,[1]Lookups!$H$3:$I$71,2,FALSE)</f>
        <v>2. Seed</v>
      </c>
      <c r="U1056" s="14" t="str">
        <f>VLOOKUP(K1056,[1]Lookups!$B$3:$C$142,2,FALSE)</f>
        <v>Travel &amp; Leisure</v>
      </c>
      <c r="V1056" s="14">
        <f t="shared" si="1230"/>
        <v>2019</v>
      </c>
      <c r="W1056" s="14">
        <f t="shared" si="1231"/>
        <v>4</v>
      </c>
      <c r="X1056" s="14">
        <f>VLOOKUP(W1056,[1]Lookups!$P$3:$S$15,2,FALSE)</f>
        <v>2</v>
      </c>
      <c r="Y1056" s="16">
        <f>VLOOKUP(W1056,[1]Lookups!$P$3:$U$15,3,FALSE)</f>
        <v>1</v>
      </c>
      <c r="Z1056" s="16">
        <f t="shared" si="1232"/>
        <v>1</v>
      </c>
      <c r="AA1056" s="16" t="str">
        <f t="shared" ca="1" si="1369"/>
        <v>Algebra Ventures</v>
      </c>
      <c r="AB1056" s="16">
        <f t="shared" si="1369"/>
        <v>0</v>
      </c>
      <c r="AC1056" s="16">
        <f t="shared" si="1369"/>
        <v>0</v>
      </c>
      <c r="AD1056" s="16">
        <f t="shared" si="1369"/>
        <v>0</v>
      </c>
      <c r="AE1056" s="16">
        <f t="shared" si="1369"/>
        <v>0</v>
      </c>
      <c r="AF1056" s="16">
        <f t="shared" si="1369"/>
        <v>0</v>
      </c>
      <c r="AG1056" s="16">
        <f t="shared" si="1369"/>
        <v>0</v>
      </c>
      <c r="AH1056" s="16">
        <f t="shared" si="1369"/>
        <v>0</v>
      </c>
      <c r="AI1056" s="16">
        <f t="shared" si="1369"/>
        <v>0</v>
      </c>
      <c r="AJ1056" s="16">
        <f t="shared" si="1369"/>
        <v>0</v>
      </c>
      <c r="AK1056" s="16">
        <f t="shared" si="1369"/>
        <v>0</v>
      </c>
      <c r="AL1056" s="16">
        <f t="shared" si="1369"/>
        <v>0</v>
      </c>
      <c r="AM1056" s="16">
        <f t="shared" si="1369"/>
        <v>0</v>
      </c>
      <c r="AN1056" s="16">
        <f t="shared" si="1369"/>
        <v>0</v>
      </c>
      <c r="AO1056" s="16">
        <f t="shared" si="1369"/>
        <v>0</v>
      </c>
      <c r="AP1056" s="10"/>
      <c r="AQ1056" s="10"/>
      <c r="AR1056" s="10"/>
      <c r="AS1056" s="10" t="str">
        <f t="shared" ref="AS1056" ca="1" si="1378">IFERROR(__xludf.DUMMYFUNCTION("split(F968,"","",true,true)"),"Algebra Ventures")</f>
        <v>Algebra Ventures</v>
      </c>
      <c r="AT1056" s="10"/>
      <c r="AU1056" s="10"/>
      <c r="AV1056" s="10"/>
      <c r="AW1056" s="10"/>
      <c r="AX1056" s="10"/>
      <c r="AY1056" s="10"/>
      <c r="AZ1056" s="10"/>
      <c r="BA1056" s="10"/>
      <c r="BB1056" s="10"/>
      <c r="BC1056" s="10"/>
      <c r="BD1056" s="10"/>
      <c r="BE1056" s="10"/>
      <c r="BF1056" s="10"/>
      <c r="BG1056" s="10"/>
      <c r="BH1056" s="10"/>
      <c r="BI1056" s="10"/>
      <c r="BJ1056" s="10"/>
      <c r="BK1056" s="10"/>
      <c r="BM1056" s="10"/>
    </row>
    <row r="1057" spans="1:65" ht="12.75">
      <c r="A1057" s="9">
        <v>43580</v>
      </c>
      <c r="B1057" s="10" t="s">
        <v>2232</v>
      </c>
      <c r="C1057" s="11">
        <v>150000</v>
      </c>
      <c r="D1057" s="12"/>
      <c r="E1057" s="10" t="s">
        <v>45</v>
      </c>
      <c r="F1057" s="10" t="s">
        <v>226</v>
      </c>
      <c r="G1057" s="13" t="s">
        <v>2231</v>
      </c>
      <c r="H1057" s="14" t="str">
        <f t="array" ref="H1057">IFERROR(INDEX([1]Companies!$G:$G,MATCH(B1057,[1]Companies!$A:$A,0)),"")</f>
        <v>Egypt</v>
      </c>
      <c r="I1057" s="14" t="str">
        <f t="shared" si="1299"/>
        <v>Egypt</v>
      </c>
      <c r="J1057" s="14" t="str">
        <f t="array" ref="J1057">IFERROR(INDEX([1]Companies!$Y:$Y,MATCH(B1057,[1]Companies!$A:$A,0)),"")</f>
        <v>Garment manufacturing</v>
      </c>
      <c r="K1057" s="14" t="str">
        <f t="array" ref="K1057">IFERROR(INDEX([1]Companies!$X:$X,MATCH(B1057,[1]Companies!$A:$A,0)),"")</f>
        <v>Information Technology</v>
      </c>
      <c r="L1057" s="14" t="str">
        <f>VLOOKUP(B1057,[1]Companies!$A$1:$C$5243,1,FALSE)</f>
        <v>Garment IO</v>
      </c>
      <c r="M1057" s="15">
        <f t="shared" si="1300"/>
        <v>0.9</v>
      </c>
      <c r="N1057" s="10" t="str">
        <f t="shared" si="1301"/>
        <v>43580Garment IO150000</v>
      </c>
      <c r="O1057" s="14" t="str">
        <f t="shared" si="1302"/>
        <v/>
      </c>
      <c r="P1057" s="14">
        <f t="shared" si="1303"/>
        <v>1</v>
      </c>
      <c r="Q1057" s="14">
        <f t="array" ref="Q1057">IFERROR(INDEX([1]Companies!$D:$D,MATCH(B1057,[1]Companies!$A:$A,0)),"")</f>
        <v>2017</v>
      </c>
      <c r="R1057" s="17">
        <f t="shared" si="1304"/>
        <v>150000</v>
      </c>
      <c r="S1057" s="14">
        <f>VLOOKUP(I1057,[1]Lookups!$V$3:$Y$197,4,FALSE)</f>
        <v>0</v>
      </c>
      <c r="T1057" s="14" t="str">
        <f>VLOOKUP(E1057,[1]Lookups!$H$3:$I$71,2,FALSE)</f>
        <v>2. Seed</v>
      </c>
      <c r="U1057" s="14" t="str">
        <f>VLOOKUP(K1057,[1]Lookups!$B$3:$C$142,2,FALSE)</f>
        <v>Other Technologies &amp; Information Technology</v>
      </c>
      <c r="V1057" s="14">
        <f t="shared" si="1230"/>
        <v>2019</v>
      </c>
      <c r="W1057" s="14">
        <f t="shared" si="1231"/>
        <v>4</v>
      </c>
      <c r="X1057" s="14">
        <f>VLOOKUP(W1057,[1]Lookups!$P$3:$S$15,2,FALSE)</f>
        <v>2</v>
      </c>
      <c r="Y1057" s="16">
        <f>VLOOKUP(W1057,[1]Lookups!$P$3:$U$15,3,FALSE)</f>
        <v>1</v>
      </c>
      <c r="Z1057" s="16">
        <f t="shared" si="1232"/>
        <v>1</v>
      </c>
      <c r="AA1057" s="16" t="str">
        <f t="shared" ca="1" si="1369"/>
        <v>Algebra Ventures</v>
      </c>
      <c r="AB1057" s="16">
        <f t="shared" si="1369"/>
        <v>0</v>
      </c>
      <c r="AC1057" s="16">
        <f t="shared" si="1369"/>
        <v>0</v>
      </c>
      <c r="AD1057" s="16">
        <f t="shared" si="1369"/>
        <v>0</v>
      </c>
      <c r="AE1057" s="16">
        <f t="shared" si="1369"/>
        <v>0</v>
      </c>
      <c r="AF1057" s="16">
        <f t="shared" si="1369"/>
        <v>0</v>
      </c>
      <c r="AG1057" s="16">
        <f t="shared" si="1369"/>
        <v>0</v>
      </c>
      <c r="AH1057" s="16">
        <f t="shared" si="1369"/>
        <v>0</v>
      </c>
      <c r="AI1057" s="16">
        <f t="shared" si="1369"/>
        <v>0</v>
      </c>
      <c r="AJ1057" s="16">
        <f t="shared" si="1369"/>
        <v>0</v>
      </c>
      <c r="AK1057" s="16">
        <f t="shared" si="1369"/>
        <v>0</v>
      </c>
      <c r="AL1057" s="16">
        <f t="shared" si="1369"/>
        <v>0</v>
      </c>
      <c r="AM1057" s="16">
        <f t="shared" si="1369"/>
        <v>0</v>
      </c>
      <c r="AN1057" s="16">
        <f t="shared" si="1369"/>
        <v>0</v>
      </c>
      <c r="AO1057" s="16">
        <f t="shared" si="1369"/>
        <v>0</v>
      </c>
      <c r="AP1057" s="10"/>
      <c r="AQ1057" s="10"/>
      <c r="AR1057" s="10"/>
      <c r="AS1057" s="10" t="str">
        <f t="shared" ref="AS1057" ca="1" si="1379">IFERROR(__xludf.DUMMYFUNCTION("split(F968,"","",true,true)"),"Algebra Ventures")</f>
        <v>Algebra Ventures</v>
      </c>
      <c r="AT1057" s="10"/>
      <c r="AU1057" s="10"/>
      <c r="AV1057" s="10"/>
      <c r="AW1057" s="10"/>
      <c r="AX1057" s="10"/>
      <c r="AY1057" s="10"/>
      <c r="AZ1057" s="10"/>
      <c r="BA1057" s="10"/>
      <c r="BB1057" s="10"/>
      <c r="BC1057" s="10"/>
      <c r="BD1057" s="10"/>
      <c r="BE1057" s="10"/>
      <c r="BF1057" s="10"/>
      <c r="BG1057" s="10"/>
      <c r="BH1057" s="10"/>
      <c r="BI1057" s="10"/>
      <c r="BJ1057" s="10"/>
      <c r="BK1057" s="10"/>
      <c r="BM1057" s="10"/>
    </row>
    <row r="1058" spans="1:65" ht="12.75">
      <c r="A1058" s="9">
        <v>43585</v>
      </c>
      <c r="B1058" s="10" t="s">
        <v>1108</v>
      </c>
      <c r="C1058" s="11" t="s">
        <v>49</v>
      </c>
      <c r="D1058" s="12"/>
      <c r="E1058" s="10" t="s">
        <v>51</v>
      </c>
      <c r="F1058" s="10" t="s">
        <v>2233</v>
      </c>
      <c r="G1058" s="13" t="s">
        <v>2234</v>
      </c>
      <c r="H1058" s="14" t="str">
        <f t="array" ref="H1058">IFERROR(INDEX([1]Companies!$G:$G,MATCH(B1058,[1]Companies!$A:$A,0)),"")</f>
        <v>South Africa</v>
      </c>
      <c r="I1058" s="14" t="str">
        <f t="shared" si="1299"/>
        <v>South Africa</v>
      </c>
      <c r="J1058" s="14" t="str">
        <f t="array" ref="J1058">IFERROR(INDEX([1]Companies!$Y:$Y,MATCH(B1058,[1]Companies!$A:$A,0)),"")</f>
        <v>Finance, Financial Services, FinTech</v>
      </c>
      <c r="K1058" s="14" t="str">
        <f t="array" ref="K1058">IFERROR(INDEX([1]Companies!$X:$X,MATCH(B1058,[1]Companies!$A:$A,0)),"")</f>
        <v>Financial Services</v>
      </c>
      <c r="L1058" s="14" t="str">
        <f>VLOOKUP(B1058,[1]Companies!$A$1:$C$5243,1,FALSE)</f>
        <v>Nobuntu</v>
      </c>
      <c r="M1058" s="15">
        <f t="shared" si="1300"/>
        <v>0.9</v>
      </c>
      <c r="N1058" s="10" t="str">
        <f t="shared" si="1301"/>
        <v>43585NobuntuUndisclosed</v>
      </c>
      <c r="O1058" s="14" t="str">
        <f t="shared" si="1302"/>
        <v/>
      </c>
      <c r="P1058" s="14">
        <f t="shared" si="1303"/>
        <v>0</v>
      </c>
      <c r="Q1058" s="14">
        <f t="array" ref="Q1058">IFERROR(INDEX([1]Companies!$D:$D,MATCH(B1058,[1]Companies!$A:$A,0)),"")</f>
        <v>2016</v>
      </c>
      <c r="R1058" s="17">
        <f t="shared" si="1304"/>
        <v>200000</v>
      </c>
      <c r="S1058" s="14">
        <f>VLOOKUP(I1058,[1]Lookups!$V$3:$Y$197,4,FALSE)</f>
        <v>0</v>
      </c>
      <c r="T1058" s="14" t="str">
        <f>VLOOKUP(E1058,[1]Lookups!$H$3:$I$71,2,FALSE)</f>
        <v>6. Private Equity</v>
      </c>
      <c r="U1058" s="14" t="str">
        <f>VLOOKUP(K1058,[1]Lookups!$B$3:$C$142,2,FALSE)</f>
        <v>Financial Services</v>
      </c>
      <c r="V1058" s="14">
        <f t="shared" si="1230"/>
        <v>2019</v>
      </c>
      <c r="W1058" s="14">
        <f t="shared" si="1231"/>
        <v>4</v>
      </c>
      <c r="X1058" s="14">
        <f>VLOOKUP(W1058,[1]Lookups!$P$3:$S$15,2,FALSE)</f>
        <v>2</v>
      </c>
      <c r="Y1058" s="16">
        <f>VLOOKUP(W1058,[1]Lookups!$P$3:$U$15,3,FALSE)</f>
        <v>1</v>
      </c>
      <c r="Z1058" s="16">
        <f t="shared" si="1232"/>
        <v>1</v>
      </c>
      <c r="AA1058" s="16" t="str">
        <f t="shared" ca="1" si="1369"/>
        <v>Algebra Ventures</v>
      </c>
      <c r="AB1058" s="16">
        <f t="shared" si="1369"/>
        <v>0</v>
      </c>
      <c r="AC1058" s="16">
        <f t="shared" si="1369"/>
        <v>0</v>
      </c>
      <c r="AD1058" s="16">
        <f t="shared" si="1369"/>
        <v>0</v>
      </c>
      <c r="AE1058" s="16">
        <f t="shared" si="1369"/>
        <v>0</v>
      </c>
      <c r="AF1058" s="16">
        <f t="shared" si="1369"/>
        <v>0</v>
      </c>
      <c r="AG1058" s="16">
        <f t="shared" si="1369"/>
        <v>0</v>
      </c>
      <c r="AH1058" s="16">
        <f t="shared" si="1369"/>
        <v>0</v>
      </c>
      <c r="AI1058" s="16">
        <f t="shared" si="1369"/>
        <v>0</v>
      </c>
      <c r="AJ1058" s="16">
        <f t="shared" si="1369"/>
        <v>0</v>
      </c>
      <c r="AK1058" s="16">
        <f t="shared" si="1369"/>
        <v>0</v>
      </c>
      <c r="AL1058" s="16">
        <f t="shared" si="1369"/>
        <v>0</v>
      </c>
      <c r="AM1058" s="16">
        <f t="shared" si="1369"/>
        <v>0</v>
      </c>
      <c r="AN1058" s="16">
        <f t="shared" si="1369"/>
        <v>0</v>
      </c>
      <c r="AO1058" s="16">
        <f t="shared" si="1369"/>
        <v>0</v>
      </c>
      <c r="AP1058" s="10"/>
      <c r="AQ1058" s="10"/>
      <c r="AR1058" s="10"/>
      <c r="AS1058" s="10" t="str">
        <f t="shared" ref="AS1058" ca="1" si="1380">IFERROR(__xludf.DUMMYFUNCTION("split(F968,"","",true,true)"),"Algebra Ventures")</f>
        <v>Algebra Ventures</v>
      </c>
      <c r="AT1058" s="10"/>
      <c r="AU1058" s="10"/>
      <c r="AV1058" s="10"/>
      <c r="AW1058" s="10"/>
      <c r="AX1058" s="10"/>
      <c r="AY1058" s="10"/>
      <c r="AZ1058" s="10"/>
      <c r="BA1058" s="10"/>
      <c r="BB1058" s="10"/>
      <c r="BC1058" s="10"/>
      <c r="BD1058" s="10"/>
      <c r="BE1058" s="10"/>
      <c r="BF1058" s="10"/>
      <c r="BG1058" s="10"/>
      <c r="BH1058" s="10"/>
      <c r="BI1058" s="10"/>
      <c r="BJ1058" s="10"/>
      <c r="BK1058" s="10"/>
      <c r="BM1058" s="10"/>
    </row>
    <row r="1059" spans="1:65" ht="12.75">
      <c r="A1059" s="9">
        <v>43588</v>
      </c>
      <c r="B1059" s="10" t="s">
        <v>2235</v>
      </c>
      <c r="C1059" s="11" t="s">
        <v>49</v>
      </c>
      <c r="D1059" s="12"/>
      <c r="E1059" s="10" t="s">
        <v>55</v>
      </c>
      <c r="F1059" s="10" t="s">
        <v>2236</v>
      </c>
      <c r="G1059" s="13" t="s">
        <v>2237</v>
      </c>
      <c r="H1059" s="14" t="str">
        <f t="array" ref="H1059">IFERROR(INDEX([1]Companies!$G:$G,MATCH(B1059,[1]Companies!$A:$A,0)),"")</f>
        <v/>
      </c>
      <c r="I1059" s="14" t="str">
        <f t="shared" si="1299"/>
        <v/>
      </c>
      <c r="J1059" s="14" t="str">
        <f t="array" ref="J1059">IFERROR(INDEX([1]Companies!$Y:$Y,MATCH(B1059,[1]Companies!$A:$A,0)),"")</f>
        <v/>
      </c>
      <c r="K1059" s="14" t="str">
        <f t="array" ref="K1059">IFERROR(INDEX([1]Companies!$X:$X,MATCH(B1059,[1]Companies!$A:$A,0)),"")</f>
        <v/>
      </c>
      <c r="L1059" s="14" t="e">
        <f>VLOOKUP(B1059,[1]Companies!$A$1:$C$5243,1,FALSE)</f>
        <v>#N/A</v>
      </c>
      <c r="M1059" s="15">
        <f t="shared" si="1300"/>
        <v>0.6428571428571429</v>
      </c>
      <c r="N1059" s="10" t="str">
        <f t="shared" si="1301"/>
        <v>43588Ringa MzansiUndisclosed</v>
      </c>
      <c r="O1059" s="14" t="str">
        <f t="shared" si="1302"/>
        <v/>
      </c>
      <c r="P1059" s="14">
        <f t="shared" si="1303"/>
        <v>0</v>
      </c>
      <c r="Q1059" s="14" t="str">
        <f t="array" ref="Q1059">IFERROR(INDEX([1]Companies!$D:$D,MATCH(B1059,[1]Companies!$A:$A,0)),"")</f>
        <v/>
      </c>
      <c r="R1059" s="17">
        <f t="shared" si="1304"/>
        <v>0</v>
      </c>
      <c r="S1059" s="14" t="e">
        <f>VLOOKUP(I1059,[1]Lookups!$V$3:$Y$197,4,FALSE)</f>
        <v>#N/A</v>
      </c>
      <c r="T1059" s="14" t="str">
        <f>VLOOKUP(E1059,[1]Lookups!$H$3:$I$71,2,FALSE)</f>
        <v>1. Grant</v>
      </c>
      <c r="U1059" s="14" t="e">
        <f>VLOOKUP(K1059,[1]Lookups!$B$3:$C$142,2,FALSE)</f>
        <v>#N/A</v>
      </c>
      <c r="V1059" s="14">
        <f t="shared" si="1230"/>
        <v>2019</v>
      </c>
      <c r="W1059" s="14">
        <f t="shared" si="1231"/>
        <v>5</v>
      </c>
      <c r="X1059" s="14">
        <f>VLOOKUP(W1059,[1]Lookups!$P$3:$S$15,2,FALSE)</f>
        <v>2</v>
      </c>
      <c r="Y1059" s="16">
        <f>VLOOKUP(W1059,[1]Lookups!$P$3:$U$15,3,FALSE)</f>
        <v>1</v>
      </c>
      <c r="Z1059" s="16">
        <f t="shared" si="1232"/>
        <v>2</v>
      </c>
      <c r="AA1059" s="16" t="str">
        <f t="shared" ca="1" si="1369"/>
        <v>Algebra Ventures</v>
      </c>
      <c r="AB1059" s="16" t="str">
        <f t="shared" ca="1" si="1369"/>
        <v xml:space="preserve"> French Institute in South Africa (IFAS)</v>
      </c>
      <c r="AC1059" s="16">
        <f t="shared" si="1369"/>
        <v>0</v>
      </c>
      <c r="AD1059" s="16">
        <f t="shared" si="1369"/>
        <v>0</v>
      </c>
      <c r="AE1059" s="16">
        <f t="shared" si="1369"/>
        <v>0</v>
      </c>
      <c r="AF1059" s="16">
        <f t="shared" si="1369"/>
        <v>0</v>
      </c>
      <c r="AG1059" s="16">
        <f t="shared" si="1369"/>
        <v>0</v>
      </c>
      <c r="AH1059" s="16">
        <f t="shared" si="1369"/>
        <v>0</v>
      </c>
      <c r="AI1059" s="16">
        <f t="shared" si="1369"/>
        <v>0</v>
      </c>
      <c r="AJ1059" s="16">
        <f t="shared" si="1369"/>
        <v>0</v>
      </c>
      <c r="AK1059" s="16">
        <f t="shared" si="1369"/>
        <v>0</v>
      </c>
      <c r="AL1059" s="16">
        <f t="shared" si="1369"/>
        <v>0</v>
      </c>
      <c r="AM1059" s="16">
        <f t="shared" si="1369"/>
        <v>0</v>
      </c>
      <c r="AN1059" s="16">
        <f t="shared" si="1369"/>
        <v>0</v>
      </c>
      <c r="AO1059" s="16">
        <f t="shared" si="1369"/>
        <v>0</v>
      </c>
      <c r="AP1059" s="10"/>
      <c r="AQ1059" s="10"/>
      <c r="AR1059" s="10"/>
      <c r="AS1059" s="10" t="str">
        <f t="shared" ref="AS1059" ca="1" si="1381">IFERROR(__xludf.DUMMYFUNCTION("split(F968,"","",true,true)"),"Algebra Ventures")</f>
        <v>Algebra Ventures</v>
      </c>
      <c r="AT1059" s="10" t="str">
        <f ca="1">IFERROR(__xludf.DUMMYFUNCTION("""COMPUTED_VALUE""")," French Institute in South Africa (IFAS)")</f>
        <v xml:space="preserve"> French Institute in South Africa (IFAS)</v>
      </c>
      <c r="AU1059" s="10"/>
      <c r="AV1059" s="10"/>
      <c r="AW1059" s="10"/>
      <c r="AX1059" s="10"/>
      <c r="AY1059" s="10"/>
      <c r="AZ1059" s="10"/>
      <c r="BA1059" s="10"/>
      <c r="BB1059" s="10"/>
      <c r="BC1059" s="10"/>
      <c r="BD1059" s="10"/>
      <c r="BE1059" s="10"/>
      <c r="BF1059" s="10"/>
      <c r="BG1059" s="10"/>
      <c r="BH1059" s="10"/>
      <c r="BI1059" s="10"/>
      <c r="BJ1059" s="10"/>
      <c r="BK1059" s="10"/>
      <c r="BM1059" s="10"/>
    </row>
    <row r="1060" spans="1:65" ht="12.75">
      <c r="A1060" s="9">
        <v>43588</v>
      </c>
      <c r="B1060" s="10" t="s">
        <v>2238</v>
      </c>
      <c r="C1060" s="11" t="s">
        <v>49</v>
      </c>
      <c r="D1060" s="12"/>
      <c r="E1060" s="10" t="s">
        <v>55</v>
      </c>
      <c r="F1060" s="10" t="s">
        <v>2236</v>
      </c>
      <c r="G1060" s="13" t="s">
        <v>2237</v>
      </c>
      <c r="H1060" s="14" t="str">
        <f t="array" ref="H1060">IFERROR(INDEX([1]Companies!$G:$G,MATCH(B1060,[1]Companies!$A:$A,0)),"")</f>
        <v/>
      </c>
      <c r="I1060" s="14" t="str">
        <f t="shared" si="1299"/>
        <v/>
      </c>
      <c r="J1060" s="14" t="str">
        <f t="array" ref="J1060">IFERROR(INDEX([1]Companies!$Y:$Y,MATCH(B1060,[1]Companies!$A:$A,0)),"")</f>
        <v/>
      </c>
      <c r="K1060" s="14" t="str">
        <f t="array" ref="K1060">IFERROR(INDEX([1]Companies!$X:$X,MATCH(B1060,[1]Companies!$A:$A,0)),"")</f>
        <v/>
      </c>
      <c r="L1060" s="14" t="e">
        <f>VLOOKUP(B1060,[1]Companies!$A$1:$C$5243,1,FALSE)</f>
        <v>#N/A</v>
      </c>
      <c r="M1060" s="15">
        <f t="shared" si="1300"/>
        <v>0.6428571428571429</v>
      </c>
      <c r="N1060" s="10" t="str">
        <f t="shared" si="1301"/>
        <v>43588Cartographie Des Regions Musicales Du MaliUndisclosed</v>
      </c>
      <c r="O1060" s="14" t="str">
        <f t="shared" si="1302"/>
        <v/>
      </c>
      <c r="P1060" s="14">
        <f t="shared" si="1303"/>
        <v>0</v>
      </c>
      <c r="Q1060" s="14" t="str">
        <f t="array" ref="Q1060">IFERROR(INDEX([1]Companies!$D:$D,MATCH(B1060,[1]Companies!$A:$A,0)),"")</f>
        <v/>
      </c>
      <c r="R1060" s="17">
        <f t="shared" si="1304"/>
        <v>0</v>
      </c>
      <c r="S1060" s="14" t="e">
        <f>VLOOKUP(I1060,[1]Lookups!$V$3:$Y$197,4,FALSE)</f>
        <v>#N/A</v>
      </c>
      <c r="T1060" s="14" t="str">
        <f>VLOOKUP(E1060,[1]Lookups!$H$3:$I$71,2,FALSE)</f>
        <v>1. Grant</v>
      </c>
      <c r="U1060" s="14" t="e">
        <f>VLOOKUP(K1060,[1]Lookups!$B$3:$C$142,2,FALSE)</f>
        <v>#N/A</v>
      </c>
      <c r="V1060" s="14">
        <f t="shared" si="1230"/>
        <v>2019</v>
      </c>
      <c r="W1060" s="14">
        <f t="shared" si="1231"/>
        <v>5</v>
      </c>
      <c r="X1060" s="14">
        <f>VLOOKUP(W1060,[1]Lookups!$P$3:$S$15,2,FALSE)</f>
        <v>2</v>
      </c>
      <c r="Y1060" s="16">
        <f>VLOOKUP(W1060,[1]Lookups!$P$3:$U$15,3,FALSE)</f>
        <v>1</v>
      </c>
      <c r="Z1060" s="16">
        <f t="shared" si="1232"/>
        <v>2</v>
      </c>
      <c r="AA1060" s="16" t="str">
        <f t="shared" ca="1" si="1369"/>
        <v>Algebra Ventures</v>
      </c>
      <c r="AB1060" s="16" t="str">
        <f t="shared" ca="1" si="1369"/>
        <v xml:space="preserve"> French Institute in South Africa (IFAS)</v>
      </c>
      <c r="AC1060" s="16">
        <f t="shared" si="1369"/>
        <v>0</v>
      </c>
      <c r="AD1060" s="16">
        <f t="shared" si="1369"/>
        <v>0</v>
      </c>
      <c r="AE1060" s="16">
        <f t="shared" si="1369"/>
        <v>0</v>
      </c>
      <c r="AF1060" s="16">
        <f t="shared" si="1369"/>
        <v>0</v>
      </c>
      <c r="AG1060" s="16">
        <f t="shared" si="1369"/>
        <v>0</v>
      </c>
      <c r="AH1060" s="16">
        <f t="shared" si="1369"/>
        <v>0</v>
      </c>
      <c r="AI1060" s="16">
        <f t="shared" si="1369"/>
        <v>0</v>
      </c>
      <c r="AJ1060" s="16">
        <f t="shared" si="1369"/>
        <v>0</v>
      </c>
      <c r="AK1060" s="16">
        <f t="shared" si="1369"/>
        <v>0</v>
      </c>
      <c r="AL1060" s="16">
        <f t="shared" si="1369"/>
        <v>0</v>
      </c>
      <c r="AM1060" s="16">
        <f t="shared" si="1369"/>
        <v>0</v>
      </c>
      <c r="AN1060" s="16">
        <f t="shared" si="1369"/>
        <v>0</v>
      </c>
      <c r="AO1060" s="16">
        <f t="shared" si="1369"/>
        <v>0</v>
      </c>
      <c r="AP1060" s="10"/>
      <c r="AQ1060" s="10"/>
      <c r="AR1060" s="10"/>
      <c r="AS1060" s="10" t="str">
        <f t="shared" ref="AS1060" ca="1" si="1382">IFERROR(__xludf.DUMMYFUNCTION("split(F968,"","",true,true)"),"Algebra Ventures")</f>
        <v>Algebra Ventures</v>
      </c>
      <c r="AT1060" s="10" t="str">
        <f ca="1">IFERROR(__xludf.DUMMYFUNCTION("""COMPUTED_VALUE""")," French Institute in South Africa (IFAS)")</f>
        <v xml:space="preserve"> French Institute in South Africa (IFAS)</v>
      </c>
      <c r="AU1060" s="10"/>
      <c r="AV1060" s="10"/>
      <c r="AW1060" s="10"/>
      <c r="AX1060" s="10"/>
      <c r="AY1060" s="10"/>
      <c r="AZ1060" s="10"/>
      <c r="BA1060" s="10"/>
      <c r="BB1060" s="10"/>
      <c r="BC1060" s="10"/>
      <c r="BD1060" s="10"/>
      <c r="BE1060" s="10"/>
      <c r="BF1060" s="10"/>
      <c r="BG1060" s="10"/>
      <c r="BH1060" s="10"/>
      <c r="BI1060" s="10"/>
      <c r="BJ1060" s="10"/>
      <c r="BK1060" s="10"/>
      <c r="BM1060" s="10"/>
    </row>
    <row r="1061" spans="1:65" ht="12.75">
      <c r="A1061" s="9">
        <v>43588</v>
      </c>
      <c r="B1061" s="10" t="s">
        <v>2239</v>
      </c>
      <c r="C1061" s="11" t="s">
        <v>49</v>
      </c>
      <c r="D1061" s="12"/>
      <c r="E1061" s="10" t="s">
        <v>55</v>
      </c>
      <c r="F1061" s="10" t="s">
        <v>2236</v>
      </c>
      <c r="G1061" s="13" t="s">
        <v>2237</v>
      </c>
      <c r="H1061" s="14" t="str">
        <f t="array" ref="H1061">IFERROR(INDEX([1]Companies!$G:$G,MATCH(B1061,[1]Companies!$A:$A,0)),"")</f>
        <v/>
      </c>
      <c r="I1061" s="14" t="str">
        <f t="shared" si="1299"/>
        <v/>
      </c>
      <c r="J1061" s="14" t="str">
        <f t="array" ref="J1061">IFERROR(INDEX([1]Companies!$Y:$Y,MATCH(B1061,[1]Companies!$A:$A,0)),"")</f>
        <v/>
      </c>
      <c r="K1061" s="14" t="str">
        <f t="array" ref="K1061">IFERROR(INDEX([1]Companies!$X:$X,MATCH(B1061,[1]Companies!$A:$A,0)),"")</f>
        <v/>
      </c>
      <c r="L1061" s="14" t="e">
        <f>VLOOKUP(B1061,[1]Companies!$A$1:$C$5243,1,FALSE)</f>
        <v>#N/A</v>
      </c>
      <c r="M1061" s="15">
        <f t="shared" si="1300"/>
        <v>0.6428571428571429</v>
      </c>
      <c r="N1061" s="10" t="str">
        <f t="shared" si="1301"/>
        <v>43588Re/member your DescendantsUndisclosed</v>
      </c>
      <c r="O1061" s="14" t="str">
        <f t="shared" si="1302"/>
        <v/>
      </c>
      <c r="P1061" s="14">
        <f t="shared" si="1303"/>
        <v>0</v>
      </c>
      <c r="Q1061" s="14" t="str">
        <f t="array" ref="Q1061">IFERROR(INDEX([1]Companies!$D:$D,MATCH(B1061,[1]Companies!$A:$A,0)),"")</f>
        <v/>
      </c>
      <c r="R1061" s="17">
        <f t="shared" si="1304"/>
        <v>0</v>
      </c>
      <c r="S1061" s="14" t="e">
        <f>VLOOKUP(I1061,[1]Lookups!$V$3:$Y$197,4,FALSE)</f>
        <v>#N/A</v>
      </c>
      <c r="T1061" s="14" t="str">
        <f>VLOOKUP(E1061,[1]Lookups!$H$3:$I$71,2,FALSE)</f>
        <v>1. Grant</v>
      </c>
      <c r="U1061" s="14" t="e">
        <f>VLOOKUP(K1061,[1]Lookups!$B$3:$C$142,2,FALSE)</f>
        <v>#N/A</v>
      </c>
      <c r="V1061" s="14">
        <f t="shared" si="1230"/>
        <v>2019</v>
      </c>
      <c r="W1061" s="14">
        <f t="shared" si="1231"/>
        <v>5</v>
      </c>
      <c r="X1061" s="14">
        <f>VLOOKUP(W1061,[1]Lookups!$P$3:$S$15,2,FALSE)</f>
        <v>2</v>
      </c>
      <c r="Y1061" s="16">
        <f>VLOOKUP(W1061,[1]Lookups!$P$3:$U$15,3,FALSE)</f>
        <v>1</v>
      </c>
      <c r="Z1061" s="16">
        <f t="shared" si="1232"/>
        <v>2</v>
      </c>
      <c r="AA1061" s="16" t="str">
        <f t="shared" ca="1" si="1369"/>
        <v>Algebra Ventures</v>
      </c>
      <c r="AB1061" s="16" t="str">
        <f t="shared" ca="1" si="1369"/>
        <v xml:space="preserve"> French Institute in South Africa (IFAS)</v>
      </c>
      <c r="AC1061" s="16">
        <f t="shared" si="1369"/>
        <v>0</v>
      </c>
      <c r="AD1061" s="16">
        <f t="shared" si="1369"/>
        <v>0</v>
      </c>
      <c r="AE1061" s="16">
        <f t="shared" si="1369"/>
        <v>0</v>
      </c>
      <c r="AF1061" s="16">
        <f t="shared" si="1369"/>
        <v>0</v>
      </c>
      <c r="AG1061" s="16">
        <f t="shared" si="1369"/>
        <v>0</v>
      </c>
      <c r="AH1061" s="16">
        <f t="shared" si="1369"/>
        <v>0</v>
      </c>
      <c r="AI1061" s="16">
        <f t="shared" si="1369"/>
        <v>0</v>
      </c>
      <c r="AJ1061" s="16">
        <f t="shared" si="1369"/>
        <v>0</v>
      </c>
      <c r="AK1061" s="16">
        <f t="shared" si="1369"/>
        <v>0</v>
      </c>
      <c r="AL1061" s="16">
        <f t="shared" si="1369"/>
        <v>0</v>
      </c>
      <c r="AM1061" s="16">
        <f t="shared" si="1369"/>
        <v>0</v>
      </c>
      <c r="AN1061" s="16">
        <f t="shared" si="1369"/>
        <v>0</v>
      </c>
      <c r="AO1061" s="16">
        <f t="shared" si="1369"/>
        <v>0</v>
      </c>
      <c r="AP1061" s="10"/>
      <c r="AQ1061" s="10"/>
      <c r="AR1061" s="10"/>
      <c r="AS1061" s="10" t="str">
        <f t="shared" ref="AS1061" ca="1" si="1383">IFERROR(__xludf.DUMMYFUNCTION("split(F968,"","",true,true)"),"Algebra Ventures")</f>
        <v>Algebra Ventures</v>
      </c>
      <c r="AT1061" s="10" t="str">
        <f ca="1">IFERROR(__xludf.DUMMYFUNCTION("""COMPUTED_VALUE""")," French Institute in South Africa (IFAS)")</f>
        <v xml:space="preserve"> French Institute in South Africa (IFAS)</v>
      </c>
      <c r="AU1061" s="10"/>
      <c r="AV1061" s="10"/>
      <c r="AW1061" s="10"/>
      <c r="AX1061" s="10"/>
      <c r="AY1061" s="10"/>
      <c r="AZ1061" s="10"/>
      <c r="BA1061" s="10"/>
      <c r="BB1061" s="10"/>
      <c r="BC1061" s="10"/>
      <c r="BD1061" s="10"/>
      <c r="BE1061" s="10"/>
      <c r="BF1061" s="10"/>
      <c r="BG1061" s="10"/>
      <c r="BH1061" s="10"/>
      <c r="BI1061" s="10"/>
      <c r="BJ1061" s="10"/>
      <c r="BK1061" s="10"/>
      <c r="BM1061" s="10"/>
    </row>
    <row r="1062" spans="1:65" ht="12.75">
      <c r="A1062" s="9">
        <v>43588</v>
      </c>
      <c r="B1062" s="10" t="s">
        <v>2240</v>
      </c>
      <c r="C1062" s="11" t="s">
        <v>49</v>
      </c>
      <c r="D1062" s="12"/>
      <c r="E1062" s="10" t="s">
        <v>55</v>
      </c>
      <c r="F1062" s="10" t="s">
        <v>2236</v>
      </c>
      <c r="G1062" s="13" t="s">
        <v>2237</v>
      </c>
      <c r="H1062" s="14" t="str">
        <f t="array" ref="H1062">IFERROR(INDEX([1]Companies!$G:$G,MATCH(B1062,[1]Companies!$A:$A,0)),"")</f>
        <v>Zimbabwe</v>
      </c>
      <c r="I1062" s="14" t="str">
        <f t="shared" si="1299"/>
        <v>Zimbabwe</v>
      </c>
      <c r="J1062" s="14" t="str">
        <f t="array" ref="J1062">IFERROR(INDEX([1]Companies!$Y:$Y,MATCH(B1062,[1]Companies!$A:$A,0)),"")</f>
        <v>fashion brand</v>
      </c>
      <c r="K1062" s="14" t="str">
        <f t="array" ref="K1062">IFERROR(INDEX([1]Companies!$X:$X,MATCH(B1062,[1]Companies!$A:$A,0)),"")</f>
        <v>E-Commerce &amp; Retail</v>
      </c>
      <c r="L1062" s="14" t="str">
        <f>VLOOKUP(B1062,[1]Companies!$A$1:$C$5243,1,FALSE)</f>
        <v>Swaggify</v>
      </c>
      <c r="M1062" s="15">
        <f t="shared" si="1300"/>
        <v>0.9</v>
      </c>
      <c r="N1062" s="10" t="str">
        <f t="shared" si="1301"/>
        <v>43588SwaggifyUndisclosed</v>
      </c>
      <c r="O1062" s="14" t="str">
        <f t="shared" si="1302"/>
        <v/>
      </c>
      <c r="P1062" s="14">
        <f t="shared" si="1303"/>
        <v>0</v>
      </c>
      <c r="Q1062" s="14">
        <f t="array" ref="Q1062">IFERROR(INDEX([1]Companies!$D:$D,MATCH(B1062,[1]Companies!$A:$A,0)),"")</f>
        <v>2019</v>
      </c>
      <c r="R1062" s="17">
        <f t="shared" si="1304"/>
        <v>0</v>
      </c>
      <c r="S1062" s="14">
        <f>VLOOKUP(I1062,[1]Lookups!$V$3:$Y$197,4,FALSE)</f>
        <v>0</v>
      </c>
      <c r="T1062" s="14" t="str">
        <f>VLOOKUP(E1062,[1]Lookups!$H$3:$I$71,2,FALSE)</f>
        <v>1. Grant</v>
      </c>
      <c r="U1062" s="14" t="str">
        <f>VLOOKUP(K1062,[1]Lookups!$B$3:$C$142,2,FALSE)</f>
        <v>E-commerce &amp; Retail</v>
      </c>
      <c r="V1062" s="14">
        <f t="shared" si="1230"/>
        <v>2019</v>
      </c>
      <c r="W1062" s="14">
        <f t="shared" si="1231"/>
        <v>5</v>
      </c>
      <c r="X1062" s="14">
        <f>VLOOKUP(W1062,[1]Lookups!$P$3:$S$15,2,FALSE)</f>
        <v>2</v>
      </c>
      <c r="Y1062" s="16">
        <f>VLOOKUP(W1062,[1]Lookups!$P$3:$U$15,3,FALSE)</f>
        <v>1</v>
      </c>
      <c r="Z1062" s="16">
        <f t="shared" si="1232"/>
        <v>2</v>
      </c>
      <c r="AA1062" s="16" t="str">
        <f t="shared" ca="1" si="1369"/>
        <v>Algebra Ventures</v>
      </c>
      <c r="AB1062" s="16" t="str">
        <f t="shared" ca="1" si="1369"/>
        <v xml:space="preserve"> French Institute in South Africa (IFAS)</v>
      </c>
      <c r="AC1062" s="16">
        <f t="shared" si="1369"/>
        <v>0</v>
      </c>
      <c r="AD1062" s="16">
        <f t="shared" si="1369"/>
        <v>0</v>
      </c>
      <c r="AE1062" s="16">
        <f t="shared" si="1369"/>
        <v>0</v>
      </c>
      <c r="AF1062" s="16">
        <f t="shared" si="1369"/>
        <v>0</v>
      </c>
      <c r="AG1062" s="16">
        <f t="shared" si="1369"/>
        <v>0</v>
      </c>
      <c r="AH1062" s="16">
        <f t="shared" si="1369"/>
        <v>0</v>
      </c>
      <c r="AI1062" s="16">
        <f t="shared" si="1369"/>
        <v>0</v>
      </c>
      <c r="AJ1062" s="16">
        <f t="shared" si="1369"/>
        <v>0</v>
      </c>
      <c r="AK1062" s="16">
        <f t="shared" si="1369"/>
        <v>0</v>
      </c>
      <c r="AL1062" s="16">
        <f t="shared" si="1369"/>
        <v>0</v>
      </c>
      <c r="AM1062" s="16">
        <f t="shared" si="1369"/>
        <v>0</v>
      </c>
      <c r="AN1062" s="16">
        <f t="shared" si="1369"/>
        <v>0</v>
      </c>
      <c r="AO1062" s="16">
        <f t="shared" si="1369"/>
        <v>0</v>
      </c>
      <c r="AP1062" s="10"/>
      <c r="AQ1062" s="10"/>
      <c r="AR1062" s="10"/>
      <c r="AS1062" s="10" t="str">
        <f t="shared" ref="AS1062" ca="1" si="1384">IFERROR(__xludf.DUMMYFUNCTION("split(F968,"","",true,true)"),"Algebra Ventures")</f>
        <v>Algebra Ventures</v>
      </c>
      <c r="AT1062" s="10" t="str">
        <f ca="1">IFERROR(__xludf.DUMMYFUNCTION("""COMPUTED_VALUE""")," French Institute in South Africa (IFAS)")</f>
        <v xml:space="preserve"> French Institute in South Africa (IFAS)</v>
      </c>
      <c r="AU1062" s="10"/>
      <c r="AV1062" s="10"/>
      <c r="AW1062" s="10"/>
      <c r="AX1062" s="10"/>
      <c r="AY1062" s="10"/>
      <c r="AZ1062" s="10"/>
      <c r="BA1062" s="10"/>
      <c r="BB1062" s="10"/>
      <c r="BC1062" s="10"/>
      <c r="BD1062" s="10"/>
      <c r="BE1062" s="10"/>
      <c r="BF1062" s="10"/>
      <c r="BG1062" s="10"/>
      <c r="BH1062" s="10"/>
      <c r="BI1062" s="10"/>
      <c r="BJ1062" s="10"/>
      <c r="BK1062" s="10"/>
      <c r="BM1062" s="10"/>
    </row>
    <row r="1063" spans="1:65" ht="12.75">
      <c r="A1063" s="9">
        <v>43588</v>
      </c>
      <c r="B1063" s="10" t="s">
        <v>2241</v>
      </c>
      <c r="C1063" s="11" t="s">
        <v>49</v>
      </c>
      <c r="D1063" s="12"/>
      <c r="E1063" s="10" t="s">
        <v>55</v>
      </c>
      <c r="F1063" s="10" t="s">
        <v>2236</v>
      </c>
      <c r="G1063" s="13" t="s">
        <v>2237</v>
      </c>
      <c r="H1063" s="14" t="str">
        <f t="array" ref="H1063">IFERROR(INDEX([1]Companies!$G:$G,MATCH(B1063,[1]Companies!$A:$A,0)),"")</f>
        <v>South Africa</v>
      </c>
      <c r="I1063" s="14" t="str">
        <f t="shared" si="1299"/>
        <v>South Africa</v>
      </c>
      <c r="J1063" s="14" t="str">
        <f t="array" ref="J1063">IFERROR(INDEX([1]Companies!$Y:$Y,MATCH(B1063,[1]Companies!$A:$A,0)),"")</f>
        <v>Music Videos, Finances</v>
      </c>
      <c r="K1063" s="14" t="str">
        <f t="array" ref="K1063">IFERROR(INDEX([1]Companies!$X:$X,MATCH(B1063,[1]Companies!$A:$A,0)),"")</f>
        <v>Financial Services</v>
      </c>
      <c r="L1063" s="14" t="str">
        <f>VLOOKUP(B1063,[1]Companies!$A$1:$C$5243,1,FALSE)</f>
        <v>Sunkambe</v>
      </c>
      <c r="M1063" s="15">
        <f t="shared" si="1300"/>
        <v>0.9</v>
      </c>
      <c r="N1063" s="10" t="str">
        <f t="shared" si="1301"/>
        <v>43588SunkambeUndisclosed</v>
      </c>
      <c r="O1063" s="14" t="str">
        <f t="shared" si="1302"/>
        <v/>
      </c>
      <c r="P1063" s="14">
        <f t="shared" si="1303"/>
        <v>0</v>
      </c>
      <c r="Q1063" s="14">
        <f t="array" ref="Q1063">IFERROR(INDEX([1]Companies!$D:$D,MATCH(B1063,[1]Companies!$A:$A,0)),"")</f>
        <v>2017</v>
      </c>
      <c r="R1063" s="17">
        <f t="shared" si="1304"/>
        <v>0</v>
      </c>
      <c r="S1063" s="14">
        <f>VLOOKUP(I1063,[1]Lookups!$V$3:$Y$197,4,FALSE)</f>
        <v>0</v>
      </c>
      <c r="T1063" s="14" t="str">
        <f>VLOOKUP(E1063,[1]Lookups!$H$3:$I$71,2,FALSE)</f>
        <v>1. Grant</v>
      </c>
      <c r="U1063" s="14" t="str">
        <f>VLOOKUP(K1063,[1]Lookups!$B$3:$C$142,2,FALSE)</f>
        <v>Financial Services</v>
      </c>
      <c r="V1063" s="14">
        <f t="shared" si="1230"/>
        <v>2019</v>
      </c>
      <c r="W1063" s="14">
        <f t="shared" si="1231"/>
        <v>5</v>
      </c>
      <c r="X1063" s="14">
        <f>VLOOKUP(W1063,[1]Lookups!$P$3:$S$15,2,FALSE)</f>
        <v>2</v>
      </c>
      <c r="Y1063" s="16">
        <f>VLOOKUP(W1063,[1]Lookups!$P$3:$U$15,3,FALSE)</f>
        <v>1</v>
      </c>
      <c r="Z1063" s="16">
        <f t="shared" si="1232"/>
        <v>2</v>
      </c>
      <c r="AA1063" s="16" t="str">
        <f t="shared" ca="1" si="1369"/>
        <v>Algebra Ventures</v>
      </c>
      <c r="AB1063" s="16" t="str">
        <f t="shared" ca="1" si="1369"/>
        <v xml:space="preserve"> French Institute in South Africa (IFAS)</v>
      </c>
      <c r="AC1063" s="16">
        <f t="shared" si="1369"/>
        <v>0</v>
      </c>
      <c r="AD1063" s="16">
        <f t="shared" si="1369"/>
        <v>0</v>
      </c>
      <c r="AE1063" s="16">
        <f t="shared" si="1369"/>
        <v>0</v>
      </c>
      <c r="AF1063" s="16">
        <f t="shared" si="1369"/>
        <v>0</v>
      </c>
      <c r="AG1063" s="16">
        <f t="shared" si="1369"/>
        <v>0</v>
      </c>
      <c r="AH1063" s="16">
        <f t="shared" si="1369"/>
        <v>0</v>
      </c>
      <c r="AI1063" s="16">
        <f t="shared" si="1369"/>
        <v>0</v>
      </c>
      <c r="AJ1063" s="16">
        <f t="shared" si="1369"/>
        <v>0</v>
      </c>
      <c r="AK1063" s="16">
        <f t="shared" si="1369"/>
        <v>0</v>
      </c>
      <c r="AL1063" s="16">
        <f t="shared" si="1369"/>
        <v>0</v>
      </c>
      <c r="AM1063" s="16">
        <f t="shared" si="1369"/>
        <v>0</v>
      </c>
      <c r="AN1063" s="16">
        <f t="shared" si="1369"/>
        <v>0</v>
      </c>
      <c r="AO1063" s="16">
        <f t="shared" si="1369"/>
        <v>0</v>
      </c>
      <c r="AP1063" s="10"/>
      <c r="AQ1063" s="10"/>
      <c r="AR1063" s="10"/>
      <c r="AS1063" s="10" t="str">
        <f t="shared" ref="AS1063" ca="1" si="1385">IFERROR(__xludf.DUMMYFUNCTION("split(F968,"","",true,true)"),"Algebra Ventures")</f>
        <v>Algebra Ventures</v>
      </c>
      <c r="AT1063" s="10" t="str">
        <f ca="1">IFERROR(__xludf.DUMMYFUNCTION("""COMPUTED_VALUE""")," French Institute in South Africa (IFAS)")</f>
        <v xml:space="preserve"> French Institute in South Africa (IFAS)</v>
      </c>
      <c r="AU1063" s="10"/>
      <c r="AV1063" s="10"/>
      <c r="AW1063" s="10"/>
      <c r="AX1063" s="10"/>
      <c r="AY1063" s="10"/>
      <c r="AZ1063" s="10"/>
      <c r="BA1063" s="10"/>
      <c r="BB1063" s="10"/>
      <c r="BC1063" s="10"/>
      <c r="BD1063" s="10"/>
      <c r="BE1063" s="10"/>
      <c r="BF1063" s="10"/>
      <c r="BG1063" s="10"/>
      <c r="BH1063" s="10"/>
      <c r="BI1063" s="10"/>
      <c r="BJ1063" s="10"/>
      <c r="BK1063" s="10"/>
      <c r="BM1063" s="10"/>
    </row>
    <row r="1064" spans="1:65" ht="12.75">
      <c r="A1064" s="9">
        <v>43588</v>
      </c>
      <c r="B1064" s="10" t="s">
        <v>2242</v>
      </c>
      <c r="C1064" s="11" t="s">
        <v>49</v>
      </c>
      <c r="D1064" s="12"/>
      <c r="E1064" s="10" t="s">
        <v>55</v>
      </c>
      <c r="F1064" s="10" t="s">
        <v>2236</v>
      </c>
      <c r="G1064" s="13" t="s">
        <v>2237</v>
      </c>
      <c r="H1064" s="14" t="str">
        <f t="array" ref="H1064">IFERROR(INDEX([1]Companies!$G:$G,MATCH(B1064,[1]Companies!$A:$A,0)),"")</f>
        <v/>
      </c>
      <c r="I1064" s="14" t="str">
        <f t="shared" si="1299"/>
        <v/>
      </c>
      <c r="J1064" s="14" t="str">
        <f t="array" ref="J1064">IFERROR(INDEX([1]Companies!$Y:$Y,MATCH(B1064,[1]Companies!$A:$A,0)),"")</f>
        <v/>
      </c>
      <c r="K1064" s="14" t="str">
        <f t="array" ref="K1064">IFERROR(INDEX([1]Companies!$X:$X,MATCH(B1064,[1]Companies!$A:$A,0)),"")</f>
        <v/>
      </c>
      <c r="L1064" s="14" t="e">
        <f>VLOOKUP(B1064,[1]Companies!$A$1:$C$5243,1,FALSE)</f>
        <v>#N/A</v>
      </c>
      <c r="M1064" s="15">
        <f t="shared" si="1300"/>
        <v>0.6428571428571429</v>
      </c>
      <c r="N1064" s="10" t="str">
        <f t="shared" si="1301"/>
        <v>43588TrvlrUndisclosed</v>
      </c>
      <c r="O1064" s="14" t="str">
        <f t="shared" si="1302"/>
        <v/>
      </c>
      <c r="P1064" s="14">
        <f t="shared" si="1303"/>
        <v>0</v>
      </c>
      <c r="Q1064" s="14" t="str">
        <f t="array" ref="Q1064">IFERROR(INDEX([1]Companies!$D:$D,MATCH(B1064,[1]Companies!$A:$A,0)),"")</f>
        <v/>
      </c>
      <c r="R1064" s="17">
        <f t="shared" si="1304"/>
        <v>0</v>
      </c>
      <c r="S1064" s="14" t="e">
        <f>VLOOKUP(I1064,[1]Lookups!$V$3:$Y$197,4,FALSE)</f>
        <v>#N/A</v>
      </c>
      <c r="T1064" s="14" t="str">
        <f>VLOOKUP(E1064,[1]Lookups!$H$3:$I$71,2,FALSE)</f>
        <v>1. Grant</v>
      </c>
      <c r="U1064" s="14" t="e">
        <f>VLOOKUP(K1064,[1]Lookups!$B$3:$C$142,2,FALSE)</f>
        <v>#N/A</v>
      </c>
      <c r="V1064" s="14">
        <f t="shared" si="1230"/>
        <v>2019</v>
      </c>
      <c r="W1064" s="14">
        <f t="shared" si="1231"/>
        <v>5</v>
      </c>
      <c r="X1064" s="14">
        <f>VLOOKUP(W1064,[1]Lookups!$P$3:$S$15,2,FALSE)</f>
        <v>2</v>
      </c>
      <c r="Y1064" s="16">
        <f>VLOOKUP(W1064,[1]Lookups!$P$3:$U$15,3,FALSE)</f>
        <v>1</v>
      </c>
      <c r="Z1064" s="16">
        <f t="shared" si="1232"/>
        <v>2</v>
      </c>
      <c r="AA1064" s="16" t="str">
        <f t="shared" ref="AA1064:AO1079" ca="1" si="1386">AS1064</f>
        <v>Algebra Ventures</v>
      </c>
      <c r="AB1064" s="16" t="str">
        <f t="shared" ca="1" si="1386"/>
        <v xml:space="preserve"> French Institute in South Africa (IFAS)</v>
      </c>
      <c r="AC1064" s="16">
        <f t="shared" si="1386"/>
        <v>0</v>
      </c>
      <c r="AD1064" s="16">
        <f t="shared" si="1386"/>
        <v>0</v>
      </c>
      <c r="AE1064" s="16">
        <f t="shared" si="1386"/>
        <v>0</v>
      </c>
      <c r="AF1064" s="16">
        <f t="shared" si="1386"/>
        <v>0</v>
      </c>
      <c r="AG1064" s="16">
        <f t="shared" si="1386"/>
        <v>0</v>
      </c>
      <c r="AH1064" s="16">
        <f t="shared" si="1386"/>
        <v>0</v>
      </c>
      <c r="AI1064" s="16">
        <f t="shared" si="1386"/>
        <v>0</v>
      </c>
      <c r="AJ1064" s="16">
        <f t="shared" si="1386"/>
        <v>0</v>
      </c>
      <c r="AK1064" s="16">
        <f t="shared" si="1386"/>
        <v>0</v>
      </c>
      <c r="AL1064" s="16">
        <f t="shared" si="1386"/>
        <v>0</v>
      </c>
      <c r="AM1064" s="16">
        <f t="shared" si="1386"/>
        <v>0</v>
      </c>
      <c r="AN1064" s="16">
        <f t="shared" si="1386"/>
        <v>0</v>
      </c>
      <c r="AO1064" s="16">
        <f t="shared" si="1386"/>
        <v>0</v>
      </c>
      <c r="AP1064" s="10"/>
      <c r="AQ1064" s="10"/>
      <c r="AR1064" s="10"/>
      <c r="AS1064" s="10" t="str">
        <f t="shared" ref="AS1064" ca="1" si="1387">IFERROR(__xludf.DUMMYFUNCTION("split(F968,"","",true,true)"),"Algebra Ventures")</f>
        <v>Algebra Ventures</v>
      </c>
      <c r="AT1064" s="10" t="str">
        <f ca="1">IFERROR(__xludf.DUMMYFUNCTION("""COMPUTED_VALUE""")," French Institute in South Africa (IFAS)")</f>
        <v xml:space="preserve"> French Institute in South Africa (IFAS)</v>
      </c>
      <c r="AU1064" s="10"/>
      <c r="AV1064" s="10"/>
      <c r="AW1064" s="10"/>
      <c r="AX1064" s="10"/>
      <c r="AY1064" s="10"/>
      <c r="AZ1064" s="10"/>
      <c r="BA1064" s="10"/>
      <c r="BB1064" s="10"/>
      <c r="BC1064" s="10"/>
      <c r="BD1064" s="10"/>
      <c r="BE1064" s="10"/>
      <c r="BF1064" s="10"/>
      <c r="BG1064" s="10"/>
      <c r="BH1064" s="10"/>
      <c r="BI1064" s="10"/>
      <c r="BJ1064" s="10"/>
      <c r="BK1064" s="10"/>
      <c r="BM1064" s="10"/>
    </row>
    <row r="1065" spans="1:65" ht="12.75">
      <c r="A1065" s="9">
        <v>43588</v>
      </c>
      <c r="B1065" s="10" t="s">
        <v>2243</v>
      </c>
      <c r="C1065" s="11" t="s">
        <v>49</v>
      </c>
      <c r="D1065" s="12"/>
      <c r="E1065" s="10" t="s">
        <v>55</v>
      </c>
      <c r="F1065" s="10" t="s">
        <v>2236</v>
      </c>
      <c r="G1065" s="13" t="s">
        <v>2237</v>
      </c>
      <c r="H1065" s="14" t="str">
        <f t="array" ref="H1065">IFERROR(INDEX([1]Companies!$G:$G,MATCH(B1065,[1]Companies!$A:$A,0)),"")</f>
        <v>South Africa</v>
      </c>
      <c r="I1065" s="14" t="str">
        <f t="shared" si="1299"/>
        <v>South Africa</v>
      </c>
      <c r="J1065" s="14" t="str">
        <f t="array" ref="J1065">IFERROR(INDEX([1]Companies!$Y:$Y,MATCH(B1065,[1]Companies!$A:$A,0)),"")</f>
        <v>Video Game</v>
      </c>
      <c r="K1065" s="14" t="str">
        <f t="array" ref="K1065">IFERROR(INDEX([1]Companies!$X:$X,MATCH(B1065,[1]Companies!$A:$A,0)),"")</f>
        <v>Media/Entertainment</v>
      </c>
      <c r="L1065" s="14" t="str">
        <f>VLOOKUP(B1065,[1]Companies!$A$1:$C$5243,1,FALSE)</f>
        <v>Falling Up Studios</v>
      </c>
      <c r="M1065" s="15">
        <f t="shared" si="1300"/>
        <v>0.9</v>
      </c>
      <c r="N1065" s="10" t="str">
        <f t="shared" si="1301"/>
        <v>43588Falling Up StudiosUndisclosed</v>
      </c>
      <c r="O1065" s="14" t="str">
        <f t="shared" si="1302"/>
        <v/>
      </c>
      <c r="P1065" s="14">
        <f t="shared" si="1303"/>
        <v>0</v>
      </c>
      <c r="Q1065" s="14">
        <f t="array" ref="Q1065">IFERROR(INDEX([1]Companies!$D:$D,MATCH(B1065,[1]Companies!$A:$A,0)),"")</f>
        <v>2018</v>
      </c>
      <c r="R1065" s="17">
        <f t="shared" si="1304"/>
        <v>0</v>
      </c>
      <c r="S1065" s="14">
        <f>VLOOKUP(I1065,[1]Lookups!$V$3:$Y$197,4,FALSE)</f>
        <v>0</v>
      </c>
      <c r="T1065" s="14" t="str">
        <f>VLOOKUP(E1065,[1]Lookups!$H$3:$I$71,2,FALSE)</f>
        <v>1. Grant</v>
      </c>
      <c r="U1065" s="14" t="e">
        <f>VLOOKUP(K1065,[1]Lookups!$B$3:$C$142,2,FALSE)</f>
        <v>#N/A</v>
      </c>
      <c r="V1065" s="14">
        <f t="shared" si="1230"/>
        <v>2019</v>
      </c>
      <c r="W1065" s="14">
        <f t="shared" si="1231"/>
        <v>5</v>
      </c>
      <c r="X1065" s="14">
        <f>VLOOKUP(W1065,[1]Lookups!$P$3:$S$15,2,FALSE)</f>
        <v>2</v>
      </c>
      <c r="Y1065" s="16">
        <f>VLOOKUP(W1065,[1]Lookups!$P$3:$U$15,3,FALSE)</f>
        <v>1</v>
      </c>
      <c r="Z1065" s="16">
        <f t="shared" si="1232"/>
        <v>2</v>
      </c>
      <c r="AA1065" s="16" t="str">
        <f t="shared" ca="1" si="1386"/>
        <v>Algebra Ventures</v>
      </c>
      <c r="AB1065" s="16" t="str">
        <f t="shared" ca="1" si="1386"/>
        <v xml:space="preserve"> French Institute in South Africa (IFAS)</v>
      </c>
      <c r="AC1065" s="16">
        <f t="shared" si="1386"/>
        <v>0</v>
      </c>
      <c r="AD1065" s="16">
        <f t="shared" si="1386"/>
        <v>0</v>
      </c>
      <c r="AE1065" s="16">
        <f t="shared" si="1386"/>
        <v>0</v>
      </c>
      <c r="AF1065" s="16">
        <f t="shared" si="1386"/>
        <v>0</v>
      </c>
      <c r="AG1065" s="16">
        <f t="shared" si="1386"/>
        <v>0</v>
      </c>
      <c r="AH1065" s="16">
        <f t="shared" si="1386"/>
        <v>0</v>
      </c>
      <c r="AI1065" s="16">
        <f t="shared" si="1386"/>
        <v>0</v>
      </c>
      <c r="AJ1065" s="16">
        <f t="shared" si="1386"/>
        <v>0</v>
      </c>
      <c r="AK1065" s="16">
        <f t="shared" si="1386"/>
        <v>0</v>
      </c>
      <c r="AL1065" s="16">
        <f t="shared" si="1386"/>
        <v>0</v>
      </c>
      <c r="AM1065" s="16">
        <f t="shared" si="1386"/>
        <v>0</v>
      </c>
      <c r="AN1065" s="16">
        <f t="shared" si="1386"/>
        <v>0</v>
      </c>
      <c r="AO1065" s="16">
        <f t="shared" si="1386"/>
        <v>0</v>
      </c>
      <c r="AP1065" s="10"/>
      <c r="AQ1065" s="10"/>
      <c r="AR1065" s="10"/>
      <c r="AS1065" s="10" t="str">
        <f t="shared" ref="AS1065" ca="1" si="1388">IFERROR(__xludf.DUMMYFUNCTION("split(F968,"","",true,true)"),"Algebra Ventures")</f>
        <v>Algebra Ventures</v>
      </c>
      <c r="AT1065" s="10" t="str">
        <f ca="1">IFERROR(__xludf.DUMMYFUNCTION("""COMPUTED_VALUE""")," French Institute in South Africa (IFAS)")</f>
        <v xml:space="preserve"> French Institute in South Africa (IFAS)</v>
      </c>
      <c r="AU1065" s="10"/>
      <c r="AV1065" s="10"/>
      <c r="AW1065" s="10"/>
      <c r="AX1065" s="10"/>
      <c r="AY1065" s="10"/>
      <c r="AZ1065" s="10"/>
      <c r="BA1065" s="10"/>
      <c r="BB1065" s="10"/>
      <c r="BC1065" s="10"/>
      <c r="BD1065" s="10"/>
      <c r="BE1065" s="10"/>
      <c r="BF1065" s="10"/>
      <c r="BG1065" s="10"/>
      <c r="BH1065" s="10"/>
      <c r="BI1065" s="10"/>
      <c r="BJ1065" s="10"/>
      <c r="BK1065" s="10"/>
      <c r="BM1065" s="10"/>
    </row>
    <row r="1066" spans="1:65" ht="12.75">
      <c r="A1066" s="9">
        <v>43588</v>
      </c>
      <c r="B1066" s="10" t="s">
        <v>2244</v>
      </c>
      <c r="C1066" s="11" t="s">
        <v>49</v>
      </c>
      <c r="D1066" s="12"/>
      <c r="E1066" s="10" t="s">
        <v>45</v>
      </c>
      <c r="F1066" s="10" t="s">
        <v>516</v>
      </c>
      <c r="G1066" s="13" t="s">
        <v>2245</v>
      </c>
      <c r="H1066" s="14" t="str">
        <f t="array" ref="H1066">IFERROR(INDEX([1]Companies!$G:$G,MATCH(B1066,[1]Companies!$A:$A,0)),"")</f>
        <v>Nigeria</v>
      </c>
      <c r="I1066" s="14" t="str">
        <f t="shared" si="1299"/>
        <v>Nigeria</v>
      </c>
      <c r="J1066" s="14" t="str">
        <f t="array" ref="J1066">IFERROR(INDEX([1]Companies!$Y:$Y,MATCH(B1066,[1]Companies!$A:$A,0)),"")</f>
        <v>Cryptocurrency, Bitcoin, Bond trading</v>
      </c>
      <c r="K1066" s="14" t="str">
        <f t="array" ref="K1066">IFERROR(INDEX([1]Companies!$X:$X,MATCH(B1066,[1]Companies!$A:$A,0)),"")</f>
        <v>Financial Services</v>
      </c>
      <c r="L1066" s="14" t="str">
        <f>VLOOKUP(B1066,[1]Companies!$A$1:$C$5243,1,FALSE)</f>
        <v>Trove Finance</v>
      </c>
      <c r="M1066" s="15">
        <f t="shared" si="1300"/>
        <v>0.9</v>
      </c>
      <c r="N1066" s="10" t="str">
        <f t="shared" si="1301"/>
        <v>43588Trove FinanceUndisclosed</v>
      </c>
      <c r="O1066" s="14" t="str">
        <f t="shared" si="1302"/>
        <v/>
      </c>
      <c r="P1066" s="14">
        <f t="shared" si="1303"/>
        <v>0</v>
      </c>
      <c r="Q1066" s="14">
        <f t="array" ref="Q1066">IFERROR(INDEX([1]Companies!$D:$D,MATCH(B1066,[1]Companies!$A:$A,0)),"")</f>
        <v>2016</v>
      </c>
      <c r="R1066" s="17">
        <f t="shared" si="1304"/>
        <v>8300</v>
      </c>
      <c r="S1066" s="14">
        <f>VLOOKUP(I1066,[1]Lookups!$V$3:$Y$197,4,FALSE)</f>
        <v>0</v>
      </c>
      <c r="T1066" s="14" t="str">
        <f>VLOOKUP(E1066,[1]Lookups!$H$3:$I$71,2,FALSE)</f>
        <v>2. Seed</v>
      </c>
      <c r="U1066" s="14" t="str">
        <f>VLOOKUP(K1066,[1]Lookups!$B$3:$C$142,2,FALSE)</f>
        <v>Financial Services</v>
      </c>
      <c r="V1066" s="14">
        <f t="shared" si="1230"/>
        <v>2019</v>
      </c>
      <c r="W1066" s="14">
        <f t="shared" si="1231"/>
        <v>5</v>
      </c>
      <c r="X1066" s="14">
        <f>VLOOKUP(W1066,[1]Lookups!$P$3:$S$15,2,FALSE)</f>
        <v>2</v>
      </c>
      <c r="Y1066" s="16">
        <f>VLOOKUP(W1066,[1]Lookups!$P$3:$U$15,3,FALSE)</f>
        <v>1</v>
      </c>
      <c r="Z1066" s="16">
        <f t="shared" si="1232"/>
        <v>1</v>
      </c>
      <c r="AA1066" s="16" t="str">
        <f t="shared" ca="1" si="1386"/>
        <v>Algebra Ventures</v>
      </c>
      <c r="AB1066" s="16">
        <f t="shared" si="1386"/>
        <v>0</v>
      </c>
      <c r="AC1066" s="16">
        <f t="shared" si="1386"/>
        <v>0</v>
      </c>
      <c r="AD1066" s="16">
        <f t="shared" si="1386"/>
        <v>0</v>
      </c>
      <c r="AE1066" s="16">
        <f t="shared" si="1386"/>
        <v>0</v>
      </c>
      <c r="AF1066" s="16">
        <f t="shared" si="1386"/>
        <v>0</v>
      </c>
      <c r="AG1066" s="16">
        <f t="shared" si="1386"/>
        <v>0</v>
      </c>
      <c r="AH1066" s="16">
        <f t="shared" si="1386"/>
        <v>0</v>
      </c>
      <c r="AI1066" s="16">
        <f t="shared" si="1386"/>
        <v>0</v>
      </c>
      <c r="AJ1066" s="16">
        <f t="shared" si="1386"/>
        <v>0</v>
      </c>
      <c r="AK1066" s="16">
        <f t="shared" si="1386"/>
        <v>0</v>
      </c>
      <c r="AL1066" s="16">
        <f t="shared" si="1386"/>
        <v>0</v>
      </c>
      <c r="AM1066" s="16">
        <f t="shared" si="1386"/>
        <v>0</v>
      </c>
      <c r="AN1066" s="16">
        <f t="shared" si="1386"/>
        <v>0</v>
      </c>
      <c r="AO1066" s="16">
        <f t="shared" si="1386"/>
        <v>0</v>
      </c>
      <c r="AP1066" s="10"/>
      <c r="AQ1066" s="10"/>
      <c r="AR1066" s="10"/>
      <c r="AS1066" s="10" t="str">
        <f t="shared" ref="AS1066" ca="1" si="1389">IFERROR(__xludf.DUMMYFUNCTION("split(F968,"","",true,true)"),"Algebra Ventures")</f>
        <v>Algebra Ventures</v>
      </c>
      <c r="AT1066" s="10"/>
      <c r="AU1066" s="10"/>
      <c r="AV1066" s="10"/>
      <c r="AW1066" s="10"/>
      <c r="AX1066" s="10"/>
      <c r="AY1066" s="10"/>
      <c r="AZ1066" s="10"/>
      <c r="BA1066" s="10"/>
      <c r="BB1066" s="10"/>
      <c r="BC1066" s="10"/>
      <c r="BD1066" s="10"/>
      <c r="BE1066" s="10"/>
      <c r="BF1066" s="10"/>
      <c r="BG1066" s="10"/>
      <c r="BH1066" s="10"/>
      <c r="BI1066" s="10"/>
      <c r="BJ1066" s="10"/>
      <c r="BK1066" s="10"/>
      <c r="BM1066" s="10"/>
    </row>
    <row r="1067" spans="1:65" ht="12.75">
      <c r="A1067" s="9">
        <v>43588</v>
      </c>
      <c r="B1067" s="10" t="s">
        <v>2246</v>
      </c>
      <c r="C1067" s="11">
        <v>7000000</v>
      </c>
      <c r="D1067" s="12"/>
      <c r="E1067" s="10" t="s">
        <v>69</v>
      </c>
      <c r="F1067" s="10" t="s">
        <v>2247</v>
      </c>
      <c r="G1067" s="13" t="s">
        <v>2248</v>
      </c>
      <c r="H1067" s="14" t="str">
        <f t="array" ref="H1067">IFERROR(INDEX([1]Companies!$G:$G,MATCH(B1067,[1]Companies!$A:$A,0)),"")</f>
        <v>United Kingdom</v>
      </c>
      <c r="I1067" s="14" t="str">
        <f t="shared" si="1299"/>
        <v>United Kingdom</v>
      </c>
      <c r="J1067" s="14" t="str">
        <f t="array" ref="J1067">IFERROR(INDEX([1]Companies!$Y:$Y,MATCH(B1067,[1]Companies!$A:$A,0)),"")</f>
        <v>Artificial Intelligence</v>
      </c>
      <c r="K1067" s="14" t="str">
        <f t="array" ref="K1067">IFERROR(INDEX([1]Companies!$X:$X,MATCH(B1067,[1]Companies!$A:$A,0)),"")</f>
        <v>Information Technology</v>
      </c>
      <c r="L1067" s="14" t="str">
        <f>VLOOKUP(B1067,[1]Companies!$A$1:$C$5243,1,FALSE)</f>
        <v>InstaDeep</v>
      </c>
      <c r="M1067" s="15">
        <f t="shared" si="1300"/>
        <v>0.9</v>
      </c>
      <c r="N1067" s="10" t="str">
        <f t="shared" si="1301"/>
        <v>43588InstaDeep7000000</v>
      </c>
      <c r="O1067" s="14" t="str">
        <f t="shared" si="1302"/>
        <v/>
      </c>
      <c r="P1067" s="14">
        <f t="shared" si="1303"/>
        <v>1</v>
      </c>
      <c r="Q1067" s="14">
        <f t="array" ref="Q1067">IFERROR(INDEX([1]Companies!$D:$D,MATCH(B1067,[1]Companies!$A:$A,0)),"")</f>
        <v>2014</v>
      </c>
      <c r="R1067" s="17">
        <f t="shared" si="1304"/>
        <v>7000000</v>
      </c>
      <c r="S1067" s="14">
        <f>VLOOKUP(I1067,[1]Lookups!$V$3:$Y$197,4,FALSE)</f>
        <v>1</v>
      </c>
      <c r="T1067" s="14" t="str">
        <f>VLOOKUP(E1067,[1]Lookups!$H$3:$I$71,2,FALSE)</f>
        <v>3. Early Venture</v>
      </c>
      <c r="U1067" s="14" t="str">
        <f>VLOOKUP(K1067,[1]Lookups!$B$3:$C$142,2,FALSE)</f>
        <v>Other Technologies &amp; Information Technology</v>
      </c>
      <c r="V1067" s="14">
        <f t="shared" si="1230"/>
        <v>2019</v>
      </c>
      <c r="W1067" s="14">
        <f t="shared" si="1231"/>
        <v>5</v>
      </c>
      <c r="X1067" s="14">
        <f>VLOOKUP(W1067,[1]Lookups!$P$3:$S$15,2,FALSE)</f>
        <v>2</v>
      </c>
      <c r="Y1067" s="16">
        <f>VLOOKUP(W1067,[1]Lookups!$P$3:$U$15,3,FALSE)</f>
        <v>1</v>
      </c>
      <c r="Z1067" s="16">
        <f t="shared" si="1232"/>
        <v>2</v>
      </c>
      <c r="AA1067" s="16" t="str">
        <f t="shared" ca="1" si="1386"/>
        <v>Algebra Ventures</v>
      </c>
      <c r="AB1067" s="16" t="str">
        <f t="shared" ca="1" si="1386"/>
        <v xml:space="preserve"> Endeavor Catalyst</v>
      </c>
      <c r="AC1067" s="16">
        <f t="shared" si="1386"/>
        <v>0</v>
      </c>
      <c r="AD1067" s="16">
        <f t="shared" si="1386"/>
        <v>0</v>
      </c>
      <c r="AE1067" s="16">
        <f t="shared" si="1386"/>
        <v>0</v>
      </c>
      <c r="AF1067" s="16">
        <f t="shared" si="1386"/>
        <v>0</v>
      </c>
      <c r="AG1067" s="16">
        <f t="shared" si="1386"/>
        <v>0</v>
      </c>
      <c r="AH1067" s="16">
        <f t="shared" si="1386"/>
        <v>0</v>
      </c>
      <c r="AI1067" s="16">
        <f t="shared" si="1386"/>
        <v>0</v>
      </c>
      <c r="AJ1067" s="16">
        <f t="shared" si="1386"/>
        <v>0</v>
      </c>
      <c r="AK1067" s="16">
        <f t="shared" si="1386"/>
        <v>0</v>
      </c>
      <c r="AL1067" s="16">
        <f t="shared" si="1386"/>
        <v>0</v>
      </c>
      <c r="AM1067" s="16">
        <f t="shared" si="1386"/>
        <v>0</v>
      </c>
      <c r="AN1067" s="16">
        <f t="shared" si="1386"/>
        <v>0</v>
      </c>
      <c r="AO1067" s="16">
        <f t="shared" si="1386"/>
        <v>0</v>
      </c>
      <c r="AP1067" s="10"/>
      <c r="AQ1067" s="10"/>
      <c r="AR1067" s="10"/>
      <c r="AS1067" s="10" t="str">
        <f t="shared" ref="AS1067" ca="1" si="1390">IFERROR(__xludf.DUMMYFUNCTION("split(F968,"","",true,true)"),"Algebra Ventures")</f>
        <v>Algebra Ventures</v>
      </c>
      <c r="AT1067" s="25" t="str">
        <f ca="1">IFERROR(__xludf.DUMMYFUNCTION("""COMPUTED_VALUE""")," Endeavor Catalyst")</f>
        <v xml:space="preserve"> Endeavor Catalyst</v>
      </c>
      <c r="AU1067" s="25"/>
      <c r="AV1067" s="25"/>
      <c r="AW1067" s="25"/>
      <c r="AX1067" s="25"/>
      <c r="AY1067" s="25"/>
      <c r="AZ1067" s="25"/>
      <c r="BA1067" s="25"/>
      <c r="BB1067" s="25"/>
      <c r="BC1067" s="25"/>
      <c r="BD1067" s="25"/>
      <c r="BE1067" s="25"/>
      <c r="BF1067" s="25"/>
      <c r="BG1067" s="25"/>
      <c r="BH1067" s="25"/>
      <c r="BI1067" s="25"/>
      <c r="BJ1067" s="25"/>
      <c r="BK1067" s="25"/>
      <c r="BM1067" s="25"/>
    </row>
    <row r="1068" spans="1:65" ht="12.75">
      <c r="A1068" s="9">
        <v>43588</v>
      </c>
      <c r="B1068" s="10" t="s">
        <v>2249</v>
      </c>
      <c r="C1068" s="11">
        <v>1500000</v>
      </c>
      <c r="D1068" s="12"/>
      <c r="E1068" s="10" t="s">
        <v>51</v>
      </c>
      <c r="F1068" s="10" t="s">
        <v>2250</v>
      </c>
      <c r="G1068" s="13" t="s">
        <v>2251</v>
      </c>
      <c r="H1068" s="14" t="str">
        <f t="array" ref="H1068">IFERROR(INDEX([1]Companies!$G:$G,MATCH(B1068,[1]Companies!$A:$A,0)),"")</f>
        <v/>
      </c>
      <c r="I1068" s="14" t="str">
        <f t="shared" si="1299"/>
        <v/>
      </c>
      <c r="J1068" s="14" t="str">
        <f t="array" ref="J1068">IFERROR(INDEX([1]Companies!$Y:$Y,MATCH(B1068,[1]Companies!$A:$A,0)),"")</f>
        <v/>
      </c>
      <c r="K1068" s="14" t="str">
        <f t="array" ref="K1068">IFERROR(INDEX([1]Companies!$X:$X,MATCH(B1068,[1]Companies!$A:$A,0)),"")</f>
        <v/>
      </c>
      <c r="L1068" s="14" t="e">
        <f>VLOOKUP(B1068,[1]Companies!$A$1:$C$5243,1,FALSE)</f>
        <v>#N/A</v>
      </c>
      <c r="M1068" s="15">
        <f t="shared" si="1300"/>
        <v>0.6428571428571429</v>
      </c>
      <c r="N1068" s="10" t="str">
        <f t="shared" si="1301"/>
        <v>43588Reneworld1500000</v>
      </c>
      <c r="O1068" s="14" t="str">
        <f t="shared" si="1302"/>
        <v/>
      </c>
      <c r="P1068" s="14">
        <f t="shared" si="1303"/>
        <v>1</v>
      </c>
      <c r="Q1068" s="14" t="str">
        <f t="array" ref="Q1068">IFERROR(INDEX([1]Companies!$D:$D,MATCH(B1068,[1]Companies!$A:$A,0)),"")</f>
        <v/>
      </c>
      <c r="R1068" s="17">
        <f t="shared" si="1304"/>
        <v>1500000</v>
      </c>
      <c r="S1068" s="14" t="e">
        <f>VLOOKUP(I1068,[1]Lookups!$V$3:$Y$197,4,FALSE)</f>
        <v>#N/A</v>
      </c>
      <c r="T1068" s="14" t="str">
        <f>VLOOKUP(E1068,[1]Lookups!$H$3:$I$71,2,FALSE)</f>
        <v>6. Private Equity</v>
      </c>
      <c r="U1068" s="14" t="e">
        <f>VLOOKUP(K1068,[1]Lookups!$B$3:$C$142,2,FALSE)</f>
        <v>#N/A</v>
      </c>
      <c r="V1068" s="14">
        <f t="shared" si="1230"/>
        <v>2019</v>
      </c>
      <c r="W1068" s="14">
        <f t="shared" si="1231"/>
        <v>5</v>
      </c>
      <c r="X1068" s="14">
        <f>VLOOKUP(W1068,[1]Lookups!$P$3:$S$15,2,FALSE)</f>
        <v>2</v>
      </c>
      <c r="Y1068" s="16">
        <f>VLOOKUP(W1068,[1]Lookups!$P$3:$U$15,3,FALSE)</f>
        <v>1</v>
      </c>
      <c r="Z1068" s="16">
        <f t="shared" si="1232"/>
        <v>1</v>
      </c>
      <c r="AA1068" s="16" t="str">
        <f t="shared" ca="1" si="1386"/>
        <v>Algebra Ventures</v>
      </c>
      <c r="AB1068" s="16">
        <f t="shared" si="1386"/>
        <v>0</v>
      </c>
      <c r="AC1068" s="16">
        <f t="shared" si="1386"/>
        <v>0</v>
      </c>
      <c r="AD1068" s="16">
        <f t="shared" si="1386"/>
        <v>0</v>
      </c>
      <c r="AE1068" s="16">
        <f t="shared" si="1386"/>
        <v>0</v>
      </c>
      <c r="AF1068" s="16">
        <f t="shared" si="1386"/>
        <v>0</v>
      </c>
      <c r="AG1068" s="16">
        <f t="shared" si="1386"/>
        <v>0</v>
      </c>
      <c r="AH1068" s="16">
        <f t="shared" si="1386"/>
        <v>0</v>
      </c>
      <c r="AI1068" s="16">
        <f t="shared" si="1386"/>
        <v>0</v>
      </c>
      <c r="AJ1068" s="16">
        <f t="shared" si="1386"/>
        <v>0</v>
      </c>
      <c r="AK1068" s="16">
        <f t="shared" si="1386"/>
        <v>0</v>
      </c>
      <c r="AL1068" s="16">
        <f t="shared" si="1386"/>
        <v>0</v>
      </c>
      <c r="AM1068" s="16">
        <f t="shared" si="1386"/>
        <v>0</v>
      </c>
      <c r="AN1068" s="16">
        <f t="shared" si="1386"/>
        <v>0</v>
      </c>
      <c r="AO1068" s="16">
        <f t="shared" si="1386"/>
        <v>0</v>
      </c>
      <c r="AP1068" s="10"/>
      <c r="AQ1068" s="10"/>
      <c r="AR1068" s="10"/>
      <c r="AS1068" s="10" t="str">
        <f t="shared" ref="AS1068" ca="1" si="1391">IFERROR(__xludf.DUMMYFUNCTION("split(F968,"","",true,true)"),"Algebra Ventures")</f>
        <v>Algebra Ventures</v>
      </c>
      <c r="AT1068" s="10"/>
      <c r="AU1068" s="10"/>
      <c r="AV1068" s="10"/>
      <c r="AW1068" s="10"/>
      <c r="AX1068" s="10"/>
      <c r="AY1068" s="10"/>
      <c r="AZ1068" s="10"/>
      <c r="BA1068" s="10"/>
      <c r="BB1068" s="10"/>
      <c r="BC1068" s="10"/>
      <c r="BD1068" s="10"/>
      <c r="BE1068" s="10"/>
      <c r="BF1068" s="10"/>
      <c r="BG1068" s="10"/>
      <c r="BH1068" s="10"/>
      <c r="BI1068" s="10"/>
      <c r="BJ1068" s="10"/>
      <c r="BK1068" s="10"/>
      <c r="BM1068" s="10"/>
    </row>
    <row r="1069" spans="1:65" ht="12.75">
      <c r="A1069" s="9">
        <v>43588</v>
      </c>
      <c r="B1069" s="10" t="s">
        <v>2252</v>
      </c>
      <c r="C1069" s="11">
        <v>95000</v>
      </c>
      <c r="D1069" s="12"/>
      <c r="E1069" s="10" t="s">
        <v>55</v>
      </c>
      <c r="F1069" s="10" t="s">
        <v>2253</v>
      </c>
      <c r="G1069" s="13" t="s">
        <v>2254</v>
      </c>
      <c r="H1069" s="14" t="str">
        <f t="array" ref="H1069">IFERROR(INDEX([1]Companies!$G:$G,MATCH(B1069,[1]Companies!$A:$A,0)),"")</f>
        <v>Kenya</v>
      </c>
      <c r="I1069" s="14" t="str">
        <f t="shared" si="1299"/>
        <v>Kenya</v>
      </c>
      <c r="J1069" s="14" t="str">
        <f t="array" ref="J1069">IFERROR(INDEX([1]Companies!$Y:$Y,MATCH(B1069,[1]Companies!$A:$A,0)),"")</f>
        <v>Talent, Labour, Education, Vocational Studies</v>
      </c>
      <c r="K1069" s="14" t="str">
        <f t="array" ref="K1069">IFERROR(INDEX([1]Companies!$X:$X,MATCH(B1069,[1]Companies!$A:$A,0)),"")</f>
        <v>Commercial &amp; Professional Services</v>
      </c>
      <c r="L1069" s="14" t="str">
        <f>VLOOKUP(B1069,[1]Companies!$A$1:$C$5243,1,FALSE)</f>
        <v>BuildHer</v>
      </c>
      <c r="M1069" s="15">
        <f t="shared" si="1300"/>
        <v>0.9</v>
      </c>
      <c r="N1069" s="10" t="str">
        <f t="shared" si="1301"/>
        <v>43588BuildHer95000</v>
      </c>
      <c r="O1069" s="14" t="str">
        <f t="shared" si="1302"/>
        <v/>
      </c>
      <c r="P1069" s="14">
        <f t="shared" si="1303"/>
        <v>1</v>
      </c>
      <c r="Q1069" s="14">
        <f t="array" ref="Q1069">IFERROR(INDEX([1]Companies!$D:$D,MATCH(B1069,[1]Companies!$A:$A,0)),"")</f>
        <v>2018</v>
      </c>
      <c r="R1069" s="17">
        <f t="shared" si="1304"/>
        <v>95000</v>
      </c>
      <c r="S1069" s="14">
        <f>VLOOKUP(I1069,[1]Lookups!$V$3:$Y$197,4,FALSE)</f>
        <v>0</v>
      </c>
      <c r="T1069" s="14" t="str">
        <f>VLOOKUP(E1069,[1]Lookups!$H$3:$I$71,2,FALSE)</f>
        <v>1. Grant</v>
      </c>
      <c r="U1069" s="14" t="str">
        <f>VLOOKUP(K1069,[1]Lookups!$B$3:$C$142,2,FALSE)</f>
        <v>Other Technologies &amp; Information Technology</v>
      </c>
      <c r="V1069" s="14">
        <f t="shared" si="1230"/>
        <v>2019</v>
      </c>
      <c r="W1069" s="14">
        <f t="shared" si="1231"/>
        <v>5</v>
      </c>
      <c r="X1069" s="14">
        <f>VLOOKUP(W1069,[1]Lookups!$P$3:$S$15,2,FALSE)</f>
        <v>2</v>
      </c>
      <c r="Y1069" s="16">
        <f>VLOOKUP(W1069,[1]Lookups!$P$3:$U$15,3,FALSE)</f>
        <v>1</v>
      </c>
      <c r="Z1069" s="16">
        <f t="shared" si="1232"/>
        <v>1</v>
      </c>
      <c r="AA1069" s="16" t="str">
        <f t="shared" ca="1" si="1386"/>
        <v>Algebra Ventures</v>
      </c>
      <c r="AB1069" s="16">
        <f t="shared" si="1386"/>
        <v>0</v>
      </c>
      <c r="AC1069" s="16">
        <f t="shared" si="1386"/>
        <v>0</v>
      </c>
      <c r="AD1069" s="16">
        <f t="shared" si="1386"/>
        <v>0</v>
      </c>
      <c r="AE1069" s="16">
        <f t="shared" si="1386"/>
        <v>0</v>
      </c>
      <c r="AF1069" s="16">
        <f t="shared" si="1386"/>
        <v>0</v>
      </c>
      <c r="AG1069" s="16">
        <f t="shared" si="1386"/>
        <v>0</v>
      </c>
      <c r="AH1069" s="16">
        <f t="shared" si="1386"/>
        <v>0</v>
      </c>
      <c r="AI1069" s="16">
        <f t="shared" si="1386"/>
        <v>0</v>
      </c>
      <c r="AJ1069" s="16">
        <f t="shared" si="1386"/>
        <v>0</v>
      </c>
      <c r="AK1069" s="16">
        <f t="shared" si="1386"/>
        <v>0</v>
      </c>
      <c r="AL1069" s="16">
        <f t="shared" si="1386"/>
        <v>0</v>
      </c>
      <c r="AM1069" s="16">
        <f t="shared" si="1386"/>
        <v>0</v>
      </c>
      <c r="AN1069" s="16">
        <f t="shared" si="1386"/>
        <v>0</v>
      </c>
      <c r="AO1069" s="16">
        <f t="shared" si="1386"/>
        <v>0</v>
      </c>
      <c r="AP1069" s="10"/>
      <c r="AQ1069" s="10"/>
      <c r="AR1069" s="10"/>
      <c r="AS1069" s="10" t="str">
        <f t="shared" ref="AS1069" ca="1" si="1392">IFERROR(__xludf.DUMMYFUNCTION("split(F968,"","",true,true)"),"Algebra Ventures")</f>
        <v>Algebra Ventures</v>
      </c>
      <c r="AT1069" s="10"/>
      <c r="AU1069" s="10"/>
      <c r="AV1069" s="10"/>
      <c r="AW1069" s="10"/>
      <c r="AX1069" s="10"/>
      <c r="AY1069" s="10"/>
      <c r="AZ1069" s="10"/>
      <c r="BA1069" s="10"/>
      <c r="BB1069" s="10"/>
      <c r="BC1069" s="10"/>
      <c r="BD1069" s="10"/>
      <c r="BE1069" s="10"/>
      <c r="BF1069" s="10"/>
      <c r="BG1069" s="10"/>
      <c r="BH1069" s="10"/>
      <c r="BI1069" s="10"/>
      <c r="BJ1069" s="10"/>
      <c r="BK1069" s="10"/>
      <c r="BM1069" s="10"/>
    </row>
    <row r="1070" spans="1:65" ht="12.75">
      <c r="A1070" s="9">
        <v>43588</v>
      </c>
      <c r="B1070" s="10" t="s">
        <v>2255</v>
      </c>
      <c r="C1070" s="11">
        <v>95000</v>
      </c>
      <c r="D1070" s="12"/>
      <c r="E1070" s="10" t="s">
        <v>55</v>
      </c>
      <c r="F1070" s="10" t="s">
        <v>2253</v>
      </c>
      <c r="G1070" s="13" t="s">
        <v>2254</v>
      </c>
      <c r="H1070" s="14" t="str">
        <f t="array" ref="H1070">IFERROR(INDEX([1]Companies!$G:$G,MATCH(B1070,[1]Companies!$A:$A,0)),"")</f>
        <v>Kenya</v>
      </c>
      <c r="I1070" s="14" t="str">
        <f t="shared" si="1299"/>
        <v>Kenya</v>
      </c>
      <c r="J1070" s="14" t="str">
        <f t="array" ref="J1070">IFERROR(INDEX([1]Companies!$Y:$Y,MATCH(B1070,[1]Companies!$A:$A,0)),"")</f>
        <v>Agro-Processing, Agri-Business</v>
      </c>
      <c r="K1070" s="14" t="str">
        <f t="array" ref="K1070">IFERROR(INDEX([1]Companies!$X:$X,MATCH(B1070,[1]Companies!$A:$A,0)),"")</f>
        <v>Agriculture</v>
      </c>
      <c r="L1070" s="14" t="str">
        <f>VLOOKUP(B1070,[1]Companies!$A$1:$C$5243,1,FALSE)</f>
        <v>Ten Senses Africa</v>
      </c>
      <c r="M1070" s="15">
        <f t="shared" si="1300"/>
        <v>0.9</v>
      </c>
      <c r="N1070" s="10" t="str">
        <f t="shared" si="1301"/>
        <v>43588Ten Senses Africa95000</v>
      </c>
      <c r="O1070" s="14" t="str">
        <f t="shared" si="1302"/>
        <v/>
      </c>
      <c r="P1070" s="14">
        <f t="shared" si="1303"/>
        <v>1</v>
      </c>
      <c r="Q1070" s="14">
        <f t="array" ref="Q1070">IFERROR(INDEX([1]Companies!$D:$D,MATCH(B1070,[1]Companies!$A:$A,0)),"")</f>
        <v>2008</v>
      </c>
      <c r="R1070" s="17">
        <f t="shared" si="1304"/>
        <v>95000</v>
      </c>
      <c r="S1070" s="14">
        <f>VLOOKUP(I1070,[1]Lookups!$V$3:$Y$197,4,FALSE)</f>
        <v>0</v>
      </c>
      <c r="T1070" s="14" t="str">
        <f>VLOOKUP(E1070,[1]Lookups!$H$3:$I$71,2,FALSE)</f>
        <v>1. Grant</v>
      </c>
      <c r="U1070" s="14" t="str">
        <f>VLOOKUP(K1070,[1]Lookups!$B$3:$C$142,2,FALSE)</f>
        <v>Agriculture</v>
      </c>
      <c r="V1070" s="14">
        <f t="shared" si="1230"/>
        <v>2019</v>
      </c>
      <c r="W1070" s="14">
        <f t="shared" si="1231"/>
        <v>5</v>
      </c>
      <c r="X1070" s="14">
        <f>VLOOKUP(W1070,[1]Lookups!$P$3:$S$15,2,FALSE)</f>
        <v>2</v>
      </c>
      <c r="Y1070" s="16">
        <f>VLOOKUP(W1070,[1]Lookups!$P$3:$U$15,3,FALSE)</f>
        <v>1</v>
      </c>
      <c r="Z1070" s="16">
        <f t="shared" si="1232"/>
        <v>1</v>
      </c>
      <c r="AA1070" s="16" t="str">
        <f t="shared" ca="1" si="1386"/>
        <v>Algebra Ventures</v>
      </c>
      <c r="AB1070" s="16">
        <f t="shared" si="1386"/>
        <v>0</v>
      </c>
      <c r="AC1070" s="16">
        <f t="shared" si="1386"/>
        <v>0</v>
      </c>
      <c r="AD1070" s="16">
        <f t="shared" si="1386"/>
        <v>0</v>
      </c>
      <c r="AE1070" s="16">
        <f t="shared" si="1386"/>
        <v>0</v>
      </c>
      <c r="AF1070" s="16">
        <f t="shared" si="1386"/>
        <v>0</v>
      </c>
      <c r="AG1070" s="16">
        <f t="shared" si="1386"/>
        <v>0</v>
      </c>
      <c r="AH1070" s="16">
        <f t="shared" si="1386"/>
        <v>0</v>
      </c>
      <c r="AI1070" s="16">
        <f t="shared" si="1386"/>
        <v>0</v>
      </c>
      <c r="AJ1070" s="16">
        <f t="shared" si="1386"/>
        <v>0</v>
      </c>
      <c r="AK1070" s="16">
        <f t="shared" si="1386"/>
        <v>0</v>
      </c>
      <c r="AL1070" s="16">
        <f t="shared" si="1386"/>
        <v>0</v>
      </c>
      <c r="AM1070" s="16">
        <f t="shared" si="1386"/>
        <v>0</v>
      </c>
      <c r="AN1070" s="16">
        <f t="shared" si="1386"/>
        <v>0</v>
      </c>
      <c r="AO1070" s="16">
        <f t="shared" si="1386"/>
        <v>0</v>
      </c>
      <c r="AP1070" s="10"/>
      <c r="AQ1070" s="10"/>
      <c r="AR1070" s="10"/>
      <c r="AS1070" s="10" t="str">
        <f t="shared" ref="AS1070" ca="1" si="1393">IFERROR(__xludf.DUMMYFUNCTION("split(F968,"","",true,true)"),"Algebra Ventures")</f>
        <v>Algebra Ventures</v>
      </c>
      <c r="AT1070" s="10"/>
      <c r="AU1070" s="10"/>
      <c r="AV1070" s="10"/>
      <c r="AW1070" s="10"/>
      <c r="AX1070" s="10"/>
      <c r="AY1070" s="10"/>
      <c r="AZ1070" s="10"/>
      <c r="BA1070" s="10"/>
      <c r="BB1070" s="10"/>
      <c r="BC1070" s="10"/>
      <c r="BD1070" s="10"/>
      <c r="BE1070" s="10"/>
      <c r="BF1070" s="10"/>
      <c r="BG1070" s="10"/>
      <c r="BH1070" s="10"/>
      <c r="BI1070" s="10"/>
      <c r="BJ1070" s="10"/>
      <c r="BK1070" s="10"/>
      <c r="BM1070" s="10"/>
    </row>
    <row r="1071" spans="1:65" ht="12.75">
      <c r="A1071" s="9">
        <v>43588</v>
      </c>
      <c r="B1071" s="10" t="s">
        <v>2256</v>
      </c>
      <c r="C1071" s="11">
        <v>95000</v>
      </c>
      <c r="D1071" s="12"/>
      <c r="E1071" s="10" t="s">
        <v>55</v>
      </c>
      <c r="F1071" s="10" t="s">
        <v>2253</v>
      </c>
      <c r="G1071" s="13" t="s">
        <v>2254</v>
      </c>
      <c r="H1071" s="14" t="str">
        <f t="array" ref="H1071">IFERROR(INDEX([1]Companies!$G:$G,MATCH(B1071,[1]Companies!$A:$A,0)),"")</f>
        <v>Kenya</v>
      </c>
      <c r="I1071" s="14" t="str">
        <f t="shared" si="1299"/>
        <v>Kenya</v>
      </c>
      <c r="J1071" s="14" t="str">
        <f t="array" ref="J1071">IFERROR(INDEX([1]Companies!$Y:$Y,MATCH(B1071,[1]Companies!$A:$A,0)),"")</f>
        <v>Waste Management</v>
      </c>
      <c r="K1071" s="14" t="str">
        <f t="array" ref="K1071">IFERROR(INDEX([1]Companies!$X:$X,MATCH(B1071,[1]Companies!$A:$A,0)),"")</f>
        <v>Energy &amp; Environment Resources</v>
      </c>
      <c r="L1071" s="14" t="str">
        <f>VLOOKUP(B1071,[1]Companies!$A$1:$C$5243,1,FALSE)</f>
        <v>TakaTaka Solutions</v>
      </c>
      <c r="M1071" s="15">
        <f t="shared" si="1300"/>
        <v>0.9</v>
      </c>
      <c r="N1071" s="10" t="str">
        <f t="shared" si="1301"/>
        <v>43588TakaTaka Solutions95000</v>
      </c>
      <c r="O1071" s="14" t="str">
        <f t="shared" si="1302"/>
        <v/>
      </c>
      <c r="P1071" s="14">
        <f t="shared" si="1303"/>
        <v>1</v>
      </c>
      <c r="Q1071" s="14">
        <f t="array" ref="Q1071">IFERROR(INDEX([1]Companies!$D:$D,MATCH(B1071,[1]Companies!$A:$A,0)),"")</f>
        <v>2011</v>
      </c>
      <c r="R1071" s="17">
        <f t="shared" si="1304"/>
        <v>95000</v>
      </c>
      <c r="S1071" s="14">
        <f>VLOOKUP(I1071,[1]Lookups!$V$3:$Y$197,4,FALSE)</f>
        <v>0</v>
      </c>
      <c r="T1071" s="14" t="str">
        <f>VLOOKUP(E1071,[1]Lookups!$H$3:$I$71,2,FALSE)</f>
        <v>1. Grant</v>
      </c>
      <c r="U1071" s="14" t="e">
        <f>VLOOKUP(K1071,[1]Lookups!$B$3:$C$142,2,FALSE)</f>
        <v>#N/A</v>
      </c>
      <c r="V1071" s="14">
        <f t="shared" si="1230"/>
        <v>2019</v>
      </c>
      <c r="W1071" s="14">
        <f t="shared" si="1231"/>
        <v>5</v>
      </c>
      <c r="X1071" s="14">
        <f>VLOOKUP(W1071,[1]Lookups!$P$3:$S$15,2,FALSE)</f>
        <v>2</v>
      </c>
      <c r="Y1071" s="16">
        <f>VLOOKUP(W1071,[1]Lookups!$P$3:$U$15,3,FALSE)</f>
        <v>1</v>
      </c>
      <c r="Z1071" s="16">
        <f t="shared" si="1232"/>
        <v>1</v>
      </c>
      <c r="AA1071" s="16" t="str">
        <f t="shared" ca="1" si="1386"/>
        <v>Algebra Ventures</v>
      </c>
      <c r="AB1071" s="16">
        <f t="shared" si="1386"/>
        <v>0</v>
      </c>
      <c r="AC1071" s="16">
        <f t="shared" si="1386"/>
        <v>0</v>
      </c>
      <c r="AD1071" s="16">
        <f t="shared" si="1386"/>
        <v>0</v>
      </c>
      <c r="AE1071" s="16">
        <f t="shared" si="1386"/>
        <v>0</v>
      </c>
      <c r="AF1071" s="16">
        <f t="shared" si="1386"/>
        <v>0</v>
      </c>
      <c r="AG1071" s="16">
        <f t="shared" si="1386"/>
        <v>0</v>
      </c>
      <c r="AH1071" s="16">
        <f t="shared" si="1386"/>
        <v>0</v>
      </c>
      <c r="AI1071" s="16">
        <f t="shared" si="1386"/>
        <v>0</v>
      </c>
      <c r="AJ1071" s="16">
        <f t="shared" si="1386"/>
        <v>0</v>
      </c>
      <c r="AK1071" s="16">
        <f t="shared" si="1386"/>
        <v>0</v>
      </c>
      <c r="AL1071" s="16">
        <f t="shared" si="1386"/>
        <v>0</v>
      </c>
      <c r="AM1071" s="16">
        <f t="shared" si="1386"/>
        <v>0</v>
      </c>
      <c r="AN1071" s="16">
        <f t="shared" si="1386"/>
        <v>0</v>
      </c>
      <c r="AO1071" s="16">
        <f t="shared" si="1386"/>
        <v>0</v>
      </c>
      <c r="AP1071" s="10"/>
      <c r="AQ1071" s="10"/>
      <c r="AR1071" s="10"/>
      <c r="AS1071" s="10" t="str">
        <f t="shared" ref="AS1071" ca="1" si="1394">IFERROR(__xludf.DUMMYFUNCTION("split(F968,"","",true,true)"),"Algebra Ventures")</f>
        <v>Algebra Ventures</v>
      </c>
      <c r="AT1071" s="10"/>
      <c r="AU1071" s="10"/>
      <c r="AV1071" s="10"/>
      <c r="AW1071" s="10"/>
      <c r="AX1071" s="10"/>
      <c r="AY1071" s="10"/>
      <c r="AZ1071" s="10"/>
      <c r="BA1071" s="10"/>
      <c r="BB1071" s="10"/>
      <c r="BC1071" s="10"/>
      <c r="BD1071" s="10"/>
      <c r="BE1071" s="10"/>
      <c r="BF1071" s="10"/>
      <c r="BG1071" s="10"/>
      <c r="BH1071" s="10"/>
      <c r="BI1071" s="10"/>
      <c r="BJ1071" s="10"/>
      <c r="BK1071" s="10"/>
      <c r="BM1071" s="10"/>
    </row>
    <row r="1072" spans="1:65" ht="12.75">
      <c r="A1072" s="9">
        <v>43588</v>
      </c>
      <c r="B1072" s="10" t="s">
        <v>2257</v>
      </c>
      <c r="C1072" s="11">
        <v>95000</v>
      </c>
      <c r="D1072" s="12"/>
      <c r="E1072" s="10" t="s">
        <v>55</v>
      </c>
      <c r="F1072" s="10" t="s">
        <v>2253</v>
      </c>
      <c r="G1072" s="13" t="s">
        <v>2254</v>
      </c>
      <c r="H1072" s="14" t="str">
        <f t="array" ref="H1072">IFERROR(INDEX([1]Companies!$G:$G,MATCH(B1072,[1]Companies!$A:$A,0)),"")</f>
        <v/>
      </c>
      <c r="I1072" s="14" t="str">
        <f t="shared" si="1299"/>
        <v/>
      </c>
      <c r="J1072" s="14" t="str">
        <f t="array" ref="J1072">IFERROR(INDEX([1]Companies!$Y:$Y,MATCH(B1072,[1]Companies!$A:$A,0)),"")</f>
        <v/>
      </c>
      <c r="K1072" s="14" t="str">
        <f t="array" ref="K1072">IFERROR(INDEX([1]Companies!$X:$X,MATCH(B1072,[1]Companies!$A:$A,0)),"")</f>
        <v/>
      </c>
      <c r="L1072" s="14" t="e">
        <f>VLOOKUP(B1072,[1]Companies!$A$1:$C$5243,1,FALSE)</f>
        <v>#N/A</v>
      </c>
      <c r="M1072" s="15">
        <f t="shared" si="1300"/>
        <v>0.6428571428571429</v>
      </c>
      <c r="N1072" s="10" t="str">
        <f t="shared" si="1301"/>
        <v>43588Savanna Circuit Technologies95000</v>
      </c>
      <c r="O1072" s="14" t="str">
        <f t="shared" si="1302"/>
        <v/>
      </c>
      <c r="P1072" s="14">
        <f t="shared" si="1303"/>
        <v>1</v>
      </c>
      <c r="Q1072" s="14" t="str">
        <f t="array" ref="Q1072">IFERROR(INDEX([1]Companies!$D:$D,MATCH(B1072,[1]Companies!$A:$A,0)),"")</f>
        <v/>
      </c>
      <c r="R1072" s="17">
        <f t="shared" si="1304"/>
        <v>95000</v>
      </c>
      <c r="S1072" s="14" t="e">
        <f>VLOOKUP(I1072,[1]Lookups!$V$3:$Y$197,4,FALSE)</f>
        <v>#N/A</v>
      </c>
      <c r="T1072" s="14" t="str">
        <f>VLOOKUP(E1072,[1]Lookups!$H$3:$I$71,2,FALSE)</f>
        <v>1. Grant</v>
      </c>
      <c r="U1072" s="14" t="e">
        <f>VLOOKUP(K1072,[1]Lookups!$B$3:$C$142,2,FALSE)</f>
        <v>#N/A</v>
      </c>
      <c r="V1072" s="14">
        <f t="shared" si="1230"/>
        <v>2019</v>
      </c>
      <c r="W1072" s="14">
        <f t="shared" si="1231"/>
        <v>5</v>
      </c>
      <c r="X1072" s="14">
        <f>VLOOKUP(W1072,[1]Lookups!$P$3:$S$15,2,FALSE)</f>
        <v>2</v>
      </c>
      <c r="Y1072" s="16">
        <f>VLOOKUP(W1072,[1]Lookups!$P$3:$U$15,3,FALSE)</f>
        <v>1</v>
      </c>
      <c r="Z1072" s="16">
        <f t="shared" si="1232"/>
        <v>1</v>
      </c>
      <c r="AA1072" s="16" t="str">
        <f t="shared" ca="1" si="1386"/>
        <v>Algebra Ventures</v>
      </c>
      <c r="AB1072" s="16">
        <f t="shared" si="1386"/>
        <v>0</v>
      </c>
      <c r="AC1072" s="16">
        <f t="shared" si="1386"/>
        <v>0</v>
      </c>
      <c r="AD1072" s="16">
        <f t="shared" si="1386"/>
        <v>0</v>
      </c>
      <c r="AE1072" s="16">
        <f t="shared" si="1386"/>
        <v>0</v>
      </c>
      <c r="AF1072" s="16">
        <f t="shared" si="1386"/>
        <v>0</v>
      </c>
      <c r="AG1072" s="16">
        <f t="shared" si="1386"/>
        <v>0</v>
      </c>
      <c r="AH1072" s="16">
        <f t="shared" si="1386"/>
        <v>0</v>
      </c>
      <c r="AI1072" s="16">
        <f t="shared" si="1386"/>
        <v>0</v>
      </c>
      <c r="AJ1072" s="16">
        <f t="shared" si="1386"/>
        <v>0</v>
      </c>
      <c r="AK1072" s="16">
        <f t="shared" si="1386"/>
        <v>0</v>
      </c>
      <c r="AL1072" s="16">
        <f t="shared" si="1386"/>
        <v>0</v>
      </c>
      <c r="AM1072" s="16">
        <f t="shared" si="1386"/>
        <v>0</v>
      </c>
      <c r="AN1072" s="16">
        <f t="shared" si="1386"/>
        <v>0</v>
      </c>
      <c r="AO1072" s="16">
        <f t="shared" si="1386"/>
        <v>0</v>
      </c>
      <c r="AP1072" s="10"/>
      <c r="AQ1072" s="10"/>
      <c r="AR1072" s="10"/>
      <c r="AS1072" s="10" t="str">
        <f t="shared" ref="AS1072" ca="1" si="1395">IFERROR(__xludf.DUMMYFUNCTION("split(F968,"","",true,true)"),"Algebra Ventures")</f>
        <v>Algebra Ventures</v>
      </c>
      <c r="AT1072" s="10"/>
      <c r="AU1072" s="10"/>
      <c r="AV1072" s="10"/>
      <c r="AW1072" s="10"/>
      <c r="AX1072" s="10"/>
      <c r="AY1072" s="10"/>
      <c r="AZ1072" s="10"/>
      <c r="BA1072" s="10"/>
      <c r="BB1072" s="10"/>
      <c r="BC1072" s="10"/>
      <c r="BD1072" s="10"/>
      <c r="BE1072" s="10"/>
      <c r="BF1072" s="10"/>
      <c r="BG1072" s="10"/>
      <c r="BH1072" s="10"/>
      <c r="BI1072" s="10"/>
      <c r="BJ1072" s="10"/>
      <c r="BK1072" s="10"/>
      <c r="BM1072" s="10"/>
    </row>
    <row r="1073" spans="1:65" ht="12.75">
      <c r="A1073" s="9">
        <v>43588</v>
      </c>
      <c r="B1073" s="10" t="s">
        <v>2258</v>
      </c>
      <c r="C1073" s="11">
        <v>3000</v>
      </c>
      <c r="D1073" s="12"/>
      <c r="E1073" s="10" t="s">
        <v>55</v>
      </c>
      <c r="F1073" s="10" t="s">
        <v>2236</v>
      </c>
      <c r="G1073" s="13" t="s">
        <v>2237</v>
      </c>
      <c r="H1073" s="14" t="str">
        <f t="array" ref="H1073">IFERROR(INDEX([1]Companies!$G:$G,MATCH(B1073,[1]Companies!$A:$A,0)),"")</f>
        <v>Ghana</v>
      </c>
      <c r="I1073" s="14" t="str">
        <f t="shared" si="1299"/>
        <v>Ghana</v>
      </c>
      <c r="J1073" s="14" t="str">
        <f t="array" ref="J1073">IFERROR(INDEX([1]Companies!$Y:$Y,MATCH(B1073,[1]Companies!$A:$A,0)),"")</f>
        <v>Video Game</v>
      </c>
      <c r="K1073" s="14" t="str">
        <f t="array" ref="K1073">IFERROR(INDEX([1]Companies!$X:$X,MATCH(B1073,[1]Companies!$A:$A,0)),"")</f>
        <v>Media &amp; Entertainment</v>
      </c>
      <c r="L1073" s="14" t="str">
        <f>VLOOKUP(B1073,[1]Companies!$A$1:$C$5243,1,FALSE)</f>
        <v>Mancala Plus</v>
      </c>
      <c r="M1073" s="15">
        <f t="shared" si="1300"/>
        <v>0.9</v>
      </c>
      <c r="N1073" s="10" t="str">
        <f t="shared" si="1301"/>
        <v>43588Mancala Plus3000</v>
      </c>
      <c r="O1073" s="14" t="str">
        <f t="shared" si="1302"/>
        <v/>
      </c>
      <c r="P1073" s="14">
        <f t="shared" si="1303"/>
        <v>1</v>
      </c>
      <c r="Q1073" s="14">
        <f t="array" ref="Q1073">IFERROR(INDEX([1]Companies!$D:$D,MATCH(B1073,[1]Companies!$A:$A,0)),"")</f>
        <v>2018</v>
      </c>
      <c r="R1073" s="17">
        <f t="shared" si="1304"/>
        <v>3000</v>
      </c>
      <c r="S1073" s="14">
        <f>VLOOKUP(I1073,[1]Lookups!$V$3:$Y$197,4,FALSE)</f>
        <v>0</v>
      </c>
      <c r="T1073" s="14" t="str">
        <f>VLOOKUP(E1073,[1]Lookups!$H$3:$I$71,2,FALSE)</f>
        <v>1. Grant</v>
      </c>
      <c r="U1073" s="14" t="str">
        <f>VLOOKUP(K1073,[1]Lookups!$B$3:$C$142,2,FALSE)</f>
        <v>Media &amp; Entertainment</v>
      </c>
      <c r="V1073" s="14">
        <f t="shared" si="1230"/>
        <v>2019</v>
      </c>
      <c r="W1073" s="14">
        <f t="shared" si="1231"/>
        <v>5</v>
      </c>
      <c r="X1073" s="14">
        <f>VLOOKUP(W1073,[1]Lookups!$P$3:$S$15,2,FALSE)</f>
        <v>2</v>
      </c>
      <c r="Y1073" s="16">
        <f>VLOOKUP(W1073,[1]Lookups!$P$3:$U$15,3,FALSE)</f>
        <v>1</v>
      </c>
      <c r="Z1073" s="16">
        <f t="shared" si="1232"/>
        <v>2</v>
      </c>
      <c r="AA1073" s="16" t="str">
        <f t="shared" ca="1" si="1386"/>
        <v>Algebra Ventures</v>
      </c>
      <c r="AB1073" s="16" t="str">
        <f t="shared" ca="1" si="1386"/>
        <v xml:space="preserve"> French Institute in South Africa (IFAS)</v>
      </c>
      <c r="AC1073" s="16">
        <f t="shared" si="1386"/>
        <v>0</v>
      </c>
      <c r="AD1073" s="16">
        <f t="shared" si="1386"/>
        <v>0</v>
      </c>
      <c r="AE1073" s="16">
        <f t="shared" si="1386"/>
        <v>0</v>
      </c>
      <c r="AF1073" s="16">
        <f t="shared" si="1386"/>
        <v>0</v>
      </c>
      <c r="AG1073" s="16">
        <f t="shared" si="1386"/>
        <v>0</v>
      </c>
      <c r="AH1073" s="16">
        <f t="shared" si="1386"/>
        <v>0</v>
      </c>
      <c r="AI1073" s="16">
        <f t="shared" si="1386"/>
        <v>0</v>
      </c>
      <c r="AJ1073" s="16">
        <f t="shared" si="1386"/>
        <v>0</v>
      </c>
      <c r="AK1073" s="16">
        <f t="shared" si="1386"/>
        <v>0</v>
      </c>
      <c r="AL1073" s="16">
        <f t="shared" si="1386"/>
        <v>0</v>
      </c>
      <c r="AM1073" s="16">
        <f t="shared" si="1386"/>
        <v>0</v>
      </c>
      <c r="AN1073" s="16">
        <f t="shared" si="1386"/>
        <v>0</v>
      </c>
      <c r="AO1073" s="16">
        <f t="shared" si="1386"/>
        <v>0</v>
      </c>
      <c r="AP1073" s="10"/>
      <c r="AQ1073" s="10"/>
      <c r="AR1073" s="10"/>
      <c r="AS1073" s="10" t="str">
        <f t="shared" ref="AS1073" ca="1" si="1396">IFERROR(__xludf.DUMMYFUNCTION("split(F968,"","",true,true)"),"Algebra Ventures")</f>
        <v>Algebra Ventures</v>
      </c>
      <c r="AT1073" s="10" t="str">
        <f ca="1">IFERROR(__xludf.DUMMYFUNCTION("""COMPUTED_VALUE""")," French Institute in South Africa (IFAS)")</f>
        <v xml:space="preserve"> French Institute in South Africa (IFAS)</v>
      </c>
      <c r="AU1073" s="10"/>
      <c r="AV1073" s="10"/>
      <c r="AW1073" s="10"/>
      <c r="AX1073" s="10"/>
      <c r="AY1073" s="10"/>
      <c r="AZ1073" s="10"/>
      <c r="BA1073" s="10"/>
      <c r="BB1073" s="10"/>
      <c r="BC1073" s="10"/>
      <c r="BD1073" s="10"/>
      <c r="BE1073" s="10"/>
      <c r="BF1073" s="10"/>
      <c r="BG1073" s="10"/>
      <c r="BH1073" s="10"/>
      <c r="BI1073" s="10"/>
      <c r="BJ1073" s="10"/>
      <c r="BK1073" s="10"/>
      <c r="BM1073" s="10"/>
    </row>
    <row r="1074" spans="1:65" ht="12.75">
      <c r="A1074" s="18">
        <v>43589</v>
      </c>
      <c r="B1074" s="14" t="s">
        <v>1327</v>
      </c>
      <c r="C1074" s="19">
        <v>230000</v>
      </c>
      <c r="D1074" s="19"/>
      <c r="E1074" s="14" t="s">
        <v>45</v>
      </c>
      <c r="F1074" s="14" t="s">
        <v>2259</v>
      </c>
      <c r="G1074" s="13" t="s">
        <v>2260</v>
      </c>
      <c r="H1074" s="14" t="str">
        <f t="array" ref="H1074">IFERROR(INDEX([1]Companies!$G:$G,MATCH(B1074,[1]Companies!$A:$A,0)),"")</f>
        <v>Nigeria</v>
      </c>
      <c r="I1074" s="14" t="str">
        <f t="shared" si="1299"/>
        <v>Nigeria</v>
      </c>
      <c r="J1074" s="14" t="str">
        <f t="array" ref="J1074">IFERROR(INDEX([1]Companies!$Y:$Y,MATCH(B1074,[1]Companies!$A:$A,0)),"")</f>
        <v>Delivery Services, Location Based Services, Logistics</v>
      </c>
      <c r="K1074" s="14" t="str">
        <f t="array" ref="K1074">IFERROR(INDEX([1]Companies!$X:$X,MATCH(B1074,[1]Companies!$A:$A,0)),"")</f>
        <v>Transport &amp; Logistics</v>
      </c>
      <c r="L1074" s="14" t="str">
        <f>VLOOKUP(B1074,[1]Companies!$A$1:$C$5243,1,FALSE)</f>
        <v>Africa Delivery Technologies Ltd</v>
      </c>
      <c r="M1074" s="15">
        <f t="shared" si="1300"/>
        <v>0.9</v>
      </c>
      <c r="N1074" s="10" t="str">
        <f t="shared" si="1301"/>
        <v>43589Africa Delivery Technologies Ltd230000</v>
      </c>
      <c r="O1074" s="14" t="str">
        <f t="shared" si="1302"/>
        <v/>
      </c>
      <c r="P1074" s="14">
        <f t="shared" si="1303"/>
        <v>1</v>
      </c>
      <c r="Q1074" s="14">
        <f t="array" ref="Q1074">IFERROR(INDEX([1]Companies!$D:$D,MATCH(B1074,[1]Companies!$A:$A,0)),"")</f>
        <v>2018</v>
      </c>
      <c r="R1074" s="17">
        <f t="shared" si="1304"/>
        <v>560000</v>
      </c>
      <c r="S1074" s="14">
        <f>VLOOKUP(I1074,[1]Lookups!$V$3:$Y$197,4,FALSE)</f>
        <v>0</v>
      </c>
      <c r="T1074" s="14" t="str">
        <f>VLOOKUP(E1074,[1]Lookups!$H$3:$I$71,2,FALSE)</f>
        <v>2. Seed</v>
      </c>
      <c r="U1074" s="14" t="str">
        <f>VLOOKUP(K1074,[1]Lookups!$B$3:$C$142,2,FALSE)</f>
        <v>Transport &amp; Logistics</v>
      </c>
      <c r="V1074" s="14">
        <f t="shared" si="1230"/>
        <v>2019</v>
      </c>
      <c r="W1074" s="14">
        <f t="shared" si="1231"/>
        <v>5</v>
      </c>
      <c r="X1074" s="14">
        <f>VLOOKUP(W1074,[1]Lookups!$P$3:$S$15,2,FALSE)</f>
        <v>2</v>
      </c>
      <c r="Y1074" s="16">
        <f>VLOOKUP(W1074,[1]Lookups!$P$3:$U$15,3,FALSE)</f>
        <v>1</v>
      </c>
      <c r="Z1074" s="16">
        <f t="shared" si="1232"/>
        <v>1</v>
      </c>
      <c r="AA1074" s="16" t="str">
        <f t="shared" ca="1" si="1386"/>
        <v>Algebra Ventures</v>
      </c>
      <c r="AB1074" s="16">
        <f t="shared" si="1386"/>
        <v>0</v>
      </c>
      <c r="AC1074" s="16">
        <f t="shared" si="1386"/>
        <v>0</v>
      </c>
      <c r="AD1074" s="16">
        <f t="shared" si="1386"/>
        <v>0</v>
      </c>
      <c r="AE1074" s="16">
        <f t="shared" si="1386"/>
        <v>0</v>
      </c>
      <c r="AF1074" s="16">
        <f t="shared" si="1386"/>
        <v>0</v>
      </c>
      <c r="AG1074" s="16">
        <f t="shared" si="1386"/>
        <v>0</v>
      </c>
      <c r="AH1074" s="16">
        <f t="shared" si="1386"/>
        <v>0</v>
      </c>
      <c r="AI1074" s="16">
        <f t="shared" si="1386"/>
        <v>0</v>
      </c>
      <c r="AJ1074" s="16">
        <f t="shared" si="1386"/>
        <v>0</v>
      </c>
      <c r="AK1074" s="16">
        <f t="shared" si="1386"/>
        <v>0</v>
      </c>
      <c r="AL1074" s="16">
        <f t="shared" si="1386"/>
        <v>0</v>
      </c>
      <c r="AM1074" s="16">
        <f t="shared" si="1386"/>
        <v>0</v>
      </c>
      <c r="AN1074" s="16">
        <f t="shared" si="1386"/>
        <v>0</v>
      </c>
      <c r="AO1074" s="16">
        <f t="shared" si="1386"/>
        <v>0</v>
      </c>
      <c r="AP1074" s="10"/>
      <c r="AQ1074" s="10"/>
      <c r="AR1074" s="10"/>
      <c r="AS1074" s="10" t="str">
        <f t="shared" ref="AS1074" ca="1" si="1397">IFERROR(__xludf.DUMMYFUNCTION("split(F968,"","",true,true)"),"Algebra Ventures")</f>
        <v>Algebra Ventures</v>
      </c>
      <c r="AT1074" s="10"/>
      <c r="AU1074" s="10"/>
      <c r="AV1074" s="10"/>
      <c r="AW1074" s="10"/>
      <c r="AX1074" s="10"/>
      <c r="AY1074" s="10"/>
      <c r="AZ1074" s="10"/>
      <c r="BA1074" s="10"/>
      <c r="BB1074" s="10"/>
      <c r="BC1074" s="10"/>
      <c r="BD1074" s="10"/>
      <c r="BE1074" s="10"/>
      <c r="BF1074" s="10"/>
      <c r="BG1074" s="10"/>
      <c r="BH1074" s="10"/>
      <c r="BI1074" s="10"/>
      <c r="BJ1074" s="10"/>
      <c r="BK1074" s="10"/>
      <c r="BM1074" s="10"/>
    </row>
    <row r="1075" spans="1:65" ht="12.75">
      <c r="A1075" s="9">
        <v>43591</v>
      </c>
      <c r="B1075" s="10" t="s">
        <v>2261</v>
      </c>
      <c r="C1075" s="11" t="s">
        <v>49</v>
      </c>
      <c r="D1075" s="12"/>
      <c r="E1075" s="10" t="s">
        <v>45</v>
      </c>
      <c r="F1075" s="10" t="s">
        <v>2262</v>
      </c>
      <c r="G1075" s="13" t="s">
        <v>2263</v>
      </c>
      <c r="H1075" s="14" t="str">
        <f t="array" ref="H1075">IFERROR(INDEX([1]Companies!$G:$G,MATCH(B1075,[1]Companies!$A:$A,0)),"")</f>
        <v>Kenya</v>
      </c>
      <c r="I1075" s="14" t="str">
        <f t="shared" si="1299"/>
        <v>Kenya</v>
      </c>
      <c r="J1075" s="14" t="str">
        <f t="array" ref="J1075">IFERROR(INDEX([1]Companies!$Y:$Y,MATCH(B1075,[1]Companies!$A:$A,0)),"")</f>
        <v>FinTech, Loans</v>
      </c>
      <c r="K1075" s="14" t="str">
        <f t="array" ref="K1075">IFERROR(INDEX([1]Companies!$X:$X,MATCH(B1075,[1]Companies!$A:$A,0)),"")</f>
        <v>Financial Services</v>
      </c>
      <c r="L1075" s="14" t="str">
        <f>VLOOKUP(B1075,[1]Companies!$A$1:$C$5243,1,FALSE)</f>
        <v>Umba</v>
      </c>
      <c r="M1075" s="15">
        <f t="shared" si="1300"/>
        <v>0.9</v>
      </c>
      <c r="N1075" s="10" t="str">
        <f t="shared" si="1301"/>
        <v>43591UmbaUndisclosed</v>
      </c>
      <c r="O1075" s="14"/>
      <c r="P1075" s="14"/>
      <c r="Q1075" s="14"/>
      <c r="R1075" s="14"/>
      <c r="S1075" s="14"/>
      <c r="T1075" s="14"/>
      <c r="U1075" s="14"/>
      <c r="V1075" s="14">
        <f t="shared" si="1230"/>
        <v>2019</v>
      </c>
      <c r="W1075" s="14">
        <f t="shared" si="1231"/>
        <v>5</v>
      </c>
      <c r="X1075" s="14">
        <f>VLOOKUP(W1075,[1]Lookups!$P$3:$S$15,2,FALSE)</f>
        <v>2</v>
      </c>
      <c r="Y1075" s="16">
        <f>VLOOKUP(W1075,[1]Lookups!$P$3:$U$15,3,FALSE)</f>
        <v>1</v>
      </c>
      <c r="Z1075" s="16">
        <f t="shared" si="1232"/>
        <v>3</v>
      </c>
      <c r="AA1075" s="16" t="str">
        <f t="shared" ca="1" si="1386"/>
        <v>Algebra Ventures</v>
      </c>
      <c r="AB1075" s="16" t="str">
        <f t="shared" ca="1" si="1386"/>
        <v xml:space="preserve"> Bloom Equity</v>
      </c>
      <c r="AC1075" s="16" t="str">
        <f t="shared" ca="1" si="1386"/>
        <v xml:space="preserve"> Frontline Ventures</v>
      </c>
      <c r="AD1075" s="16">
        <f t="shared" si="1386"/>
        <v>0</v>
      </c>
      <c r="AE1075" s="16">
        <f t="shared" si="1386"/>
        <v>0</v>
      </c>
      <c r="AF1075" s="16">
        <f t="shared" si="1386"/>
        <v>0</v>
      </c>
      <c r="AG1075" s="16">
        <f t="shared" si="1386"/>
        <v>0</v>
      </c>
      <c r="AH1075" s="16">
        <f t="shared" si="1386"/>
        <v>0</v>
      </c>
      <c r="AI1075" s="16">
        <f t="shared" si="1386"/>
        <v>0</v>
      </c>
      <c r="AJ1075" s="16">
        <f t="shared" si="1386"/>
        <v>0</v>
      </c>
      <c r="AK1075" s="16">
        <f t="shared" si="1386"/>
        <v>0</v>
      </c>
      <c r="AL1075" s="16">
        <f t="shared" si="1386"/>
        <v>0</v>
      </c>
      <c r="AM1075" s="16">
        <f t="shared" si="1386"/>
        <v>0</v>
      </c>
      <c r="AN1075" s="16">
        <f t="shared" si="1386"/>
        <v>0</v>
      </c>
      <c r="AO1075" s="16">
        <f t="shared" si="1386"/>
        <v>0</v>
      </c>
      <c r="AP1075" s="10"/>
      <c r="AQ1075" s="10"/>
      <c r="AR1075" s="10"/>
      <c r="AS1075" s="10" t="str">
        <f t="shared" ref="AS1075" ca="1" si="1398">IFERROR(__xludf.DUMMYFUNCTION("split(F968,"","",true,true)"),"Algebra Ventures")</f>
        <v>Algebra Ventures</v>
      </c>
      <c r="AT1075" s="10" t="str">
        <f ca="1">IFERROR(__xludf.DUMMYFUNCTION("""COMPUTED_VALUE""")," Bloom Equity")</f>
        <v xml:space="preserve"> Bloom Equity</v>
      </c>
      <c r="AU1075" s="10" t="str">
        <f ca="1">IFERROR(__xludf.DUMMYFUNCTION("""COMPUTED_VALUE""")," Frontline Ventures")</f>
        <v xml:space="preserve"> Frontline Ventures</v>
      </c>
      <c r="AV1075" s="10"/>
      <c r="AW1075" s="10"/>
      <c r="AX1075" s="10"/>
      <c r="AY1075" s="10"/>
      <c r="AZ1075" s="10"/>
      <c r="BA1075" s="10"/>
      <c r="BB1075" s="10"/>
      <c r="BC1075" s="10"/>
      <c r="BD1075" s="10"/>
      <c r="BE1075" s="10"/>
      <c r="BF1075" s="10"/>
      <c r="BG1075" s="10"/>
      <c r="BH1075" s="10"/>
      <c r="BI1075" s="10"/>
      <c r="BJ1075" s="10"/>
      <c r="BK1075" s="10"/>
      <c r="BM1075" s="10"/>
    </row>
    <row r="1076" spans="1:65" ht="12.75">
      <c r="A1076" s="9">
        <v>43592</v>
      </c>
      <c r="B1076" s="10" t="s">
        <v>421</v>
      </c>
      <c r="C1076" s="11" t="s">
        <v>49</v>
      </c>
      <c r="D1076" s="12"/>
      <c r="E1076" s="10" t="s">
        <v>112</v>
      </c>
      <c r="F1076" s="10" t="s">
        <v>2264</v>
      </c>
      <c r="G1076" s="13" t="s">
        <v>2265</v>
      </c>
      <c r="H1076" s="14" t="str">
        <f t="array" ref="H1076">IFERROR(INDEX([1]Companies!$G:$G,MATCH(B1076,[1]Companies!$A:$A,0)),"")</f>
        <v>Uganda</v>
      </c>
      <c r="I1076" s="14" t="str">
        <f t="shared" si="1299"/>
        <v>Uganda</v>
      </c>
      <c r="J1076" s="14" t="str">
        <f t="array" ref="J1076">IFERROR(INDEX([1]Companies!$Y:$Y,MATCH(B1076,[1]Companies!$A:$A,0)),"")</f>
        <v>Apps, Consumer, Transportation</v>
      </c>
      <c r="K1076" s="14" t="str">
        <f t="array" ref="K1076">IFERROR(INDEX([1]Companies!$X:$X,MATCH(B1076,[1]Companies!$A:$A,0)),"")</f>
        <v>Transport &amp; Logistics</v>
      </c>
      <c r="L1076" s="14" t="str">
        <f>VLOOKUP(B1076,[1]Companies!$A$1:$C$5243,1,FALSE)</f>
        <v>Safeboda</v>
      </c>
      <c r="M1076" s="15">
        <f t="shared" si="1300"/>
        <v>0.9</v>
      </c>
      <c r="N1076" s="10" t="str">
        <f t="shared" si="1301"/>
        <v>43592SafeBodaUndisclosed</v>
      </c>
      <c r="O1076" s="14" t="str">
        <f t="shared" ref="O1076:O1161" si="1399">IF(A1076 = "","",IF(COUNTIF(N:N,CONCATENATE(A1076,B1076,C1076))&gt;1,"Duplicated",""))</f>
        <v/>
      </c>
      <c r="P1076" s="14">
        <f t="shared" ref="P1076:P1161" si="1400">IF(C1076="Undisclosed",0,1)</f>
        <v>0</v>
      </c>
      <c r="Q1076" s="14">
        <f t="array" ref="Q1076">IFERROR(INDEX([1]Companies!$D:$D,MATCH(B1076,[1]Companies!$A:$A,0)),"")</f>
        <v>2015</v>
      </c>
      <c r="R1076" s="17">
        <f t="shared" ref="R1076:R1161" si="1401">SUMIF(B:B,B1076,C:C)</f>
        <v>1327000</v>
      </c>
      <c r="S1076" s="14">
        <f>VLOOKUP(I1076,[1]Lookups!$V$3:$Y$197,4,FALSE)</f>
        <v>0</v>
      </c>
      <c r="T1076" s="14" t="str">
        <f>VLOOKUP(E1076,[1]Lookups!$H$3:$I$71,2,FALSE)</f>
        <v>3. Early Venture</v>
      </c>
      <c r="U1076" s="14" t="str">
        <f>VLOOKUP(K1076,[1]Lookups!$B$3:$C$142,2,FALSE)</f>
        <v>Transport &amp; Logistics</v>
      </c>
      <c r="V1076" s="14">
        <f t="shared" si="1230"/>
        <v>2019</v>
      </c>
      <c r="W1076" s="14">
        <f t="shared" si="1231"/>
        <v>5</v>
      </c>
      <c r="X1076" s="14">
        <f>VLOOKUP(W1076,[1]Lookups!$P$3:$S$15,2,FALSE)</f>
        <v>2</v>
      </c>
      <c r="Y1076" s="16">
        <f>VLOOKUP(W1076,[1]Lookups!$P$3:$U$15,3,FALSE)</f>
        <v>1</v>
      </c>
      <c r="Z1076" s="16">
        <f t="shared" si="1232"/>
        <v>2</v>
      </c>
      <c r="AA1076" s="16" t="str">
        <f t="shared" ca="1" si="1386"/>
        <v>Algebra Ventures</v>
      </c>
      <c r="AB1076" s="16" t="str">
        <f t="shared" ca="1" si="1386"/>
        <v xml:space="preserve"> Go-Ventures</v>
      </c>
      <c r="AC1076" s="16">
        <f t="shared" si="1386"/>
        <v>0</v>
      </c>
      <c r="AD1076" s="16">
        <f t="shared" si="1386"/>
        <v>0</v>
      </c>
      <c r="AE1076" s="16">
        <f t="shared" si="1386"/>
        <v>0</v>
      </c>
      <c r="AF1076" s="16">
        <f t="shared" si="1386"/>
        <v>0</v>
      </c>
      <c r="AG1076" s="16">
        <f t="shared" si="1386"/>
        <v>0</v>
      </c>
      <c r="AH1076" s="16">
        <f t="shared" si="1386"/>
        <v>0</v>
      </c>
      <c r="AI1076" s="16">
        <f t="shared" si="1386"/>
        <v>0</v>
      </c>
      <c r="AJ1076" s="16">
        <f t="shared" si="1386"/>
        <v>0</v>
      </c>
      <c r="AK1076" s="16">
        <f t="shared" si="1386"/>
        <v>0</v>
      </c>
      <c r="AL1076" s="16">
        <f t="shared" si="1386"/>
        <v>0</v>
      </c>
      <c r="AM1076" s="16">
        <f t="shared" si="1386"/>
        <v>0</v>
      </c>
      <c r="AN1076" s="16">
        <f t="shared" si="1386"/>
        <v>0</v>
      </c>
      <c r="AO1076" s="16">
        <f t="shared" si="1386"/>
        <v>0</v>
      </c>
      <c r="AP1076" s="10"/>
      <c r="AQ1076" s="10"/>
      <c r="AR1076" s="10"/>
      <c r="AS1076" s="10" t="str">
        <f t="shared" ref="AS1076" ca="1" si="1402">IFERROR(__xludf.DUMMYFUNCTION("split(F968,"","",true,true)"),"Algebra Ventures")</f>
        <v>Algebra Ventures</v>
      </c>
      <c r="AT1076" s="10" t="str">
        <f ca="1">IFERROR(__xludf.DUMMYFUNCTION("""COMPUTED_VALUE""")," Go-Ventures")</f>
        <v xml:space="preserve"> Go-Ventures</v>
      </c>
      <c r="AU1076" s="10"/>
      <c r="AV1076" s="10"/>
      <c r="AW1076" s="10"/>
      <c r="AX1076" s="10"/>
      <c r="AY1076" s="10"/>
      <c r="AZ1076" s="10"/>
      <c r="BA1076" s="10"/>
      <c r="BB1076" s="10"/>
      <c r="BC1076" s="10"/>
      <c r="BD1076" s="10"/>
      <c r="BE1076" s="10"/>
      <c r="BF1076" s="10"/>
      <c r="BG1076" s="10"/>
      <c r="BH1076" s="10"/>
      <c r="BI1076" s="10"/>
      <c r="BJ1076" s="10"/>
      <c r="BK1076" s="10"/>
      <c r="BM1076" s="10"/>
    </row>
    <row r="1077" spans="1:65" ht="12.75">
      <c r="A1077" s="9">
        <v>43592</v>
      </c>
      <c r="B1077" s="10" t="s">
        <v>2266</v>
      </c>
      <c r="C1077" s="11" t="s">
        <v>49</v>
      </c>
      <c r="D1077" s="12"/>
      <c r="E1077" s="10" t="s">
        <v>55</v>
      </c>
      <c r="F1077" s="10" t="s">
        <v>2267</v>
      </c>
      <c r="G1077" s="13" t="s">
        <v>2268</v>
      </c>
      <c r="H1077" s="14" t="str">
        <f t="array" ref="H1077">IFERROR(INDEX([1]Companies!$G:$G,MATCH(B1077,[1]Companies!$A:$A,0)),"")</f>
        <v/>
      </c>
      <c r="I1077" s="14" t="str">
        <f t="shared" si="1299"/>
        <v/>
      </c>
      <c r="J1077" s="14" t="str">
        <f t="array" ref="J1077">IFERROR(INDEX([1]Companies!$Y:$Y,MATCH(B1077,[1]Companies!$A:$A,0)),"")</f>
        <v/>
      </c>
      <c r="K1077" s="14" t="str">
        <f t="array" ref="K1077">IFERROR(INDEX([1]Companies!$X:$X,MATCH(B1077,[1]Companies!$A:$A,0)),"")</f>
        <v/>
      </c>
      <c r="L1077" s="14" t="e">
        <f>VLOOKUP(B1077,[1]Companies!$A$1:$C$5243,1,FALSE)</f>
        <v>#N/A</v>
      </c>
      <c r="M1077" s="15">
        <f t="shared" si="1300"/>
        <v>0.6428571428571429</v>
      </c>
      <c r="N1077" s="10" t="str">
        <f t="shared" si="1301"/>
        <v>43592GESRUndisclosed</v>
      </c>
      <c r="O1077" s="14" t="str">
        <f t="shared" si="1399"/>
        <v/>
      </c>
      <c r="P1077" s="14">
        <f t="shared" si="1400"/>
        <v>0</v>
      </c>
      <c r="Q1077" s="14" t="str">
        <f t="array" ref="Q1077">IFERROR(INDEX([1]Companies!$D:$D,MATCH(B1077,[1]Companies!$A:$A,0)),"")</f>
        <v/>
      </c>
      <c r="R1077" s="17">
        <f t="shared" si="1401"/>
        <v>0</v>
      </c>
      <c r="S1077" s="14" t="e">
        <f>VLOOKUP(I1077,[1]Lookups!$V$3:$Y$197,4,FALSE)</f>
        <v>#N/A</v>
      </c>
      <c r="T1077" s="14" t="str">
        <f>VLOOKUP(E1077,[1]Lookups!$H$3:$I$71,2,FALSE)</f>
        <v>1. Grant</v>
      </c>
      <c r="U1077" s="14" t="e">
        <f>VLOOKUP(K1077,[1]Lookups!$B$3:$C$142,2,FALSE)</f>
        <v>#N/A</v>
      </c>
      <c r="V1077" s="14">
        <f t="shared" si="1230"/>
        <v>2019</v>
      </c>
      <c r="W1077" s="14">
        <f t="shared" si="1231"/>
        <v>5</v>
      </c>
      <c r="X1077" s="14">
        <f>VLOOKUP(W1077,[1]Lookups!$P$3:$S$15,2,FALSE)</f>
        <v>2</v>
      </c>
      <c r="Y1077" s="16">
        <f>VLOOKUP(W1077,[1]Lookups!$P$3:$U$15,3,FALSE)</f>
        <v>1</v>
      </c>
      <c r="Z1077" s="16">
        <f t="shared" si="1232"/>
        <v>1</v>
      </c>
      <c r="AA1077" s="16" t="str">
        <f t="shared" ca="1" si="1386"/>
        <v>Algebra Ventures</v>
      </c>
      <c r="AB1077" s="16">
        <f t="shared" si="1386"/>
        <v>0</v>
      </c>
      <c r="AC1077" s="16">
        <f t="shared" si="1386"/>
        <v>0</v>
      </c>
      <c r="AD1077" s="16">
        <f t="shared" si="1386"/>
        <v>0</v>
      </c>
      <c r="AE1077" s="16">
        <f t="shared" si="1386"/>
        <v>0</v>
      </c>
      <c r="AF1077" s="16">
        <f t="shared" si="1386"/>
        <v>0</v>
      </c>
      <c r="AG1077" s="16">
        <f t="shared" si="1386"/>
        <v>0</v>
      </c>
      <c r="AH1077" s="16">
        <f t="shared" si="1386"/>
        <v>0</v>
      </c>
      <c r="AI1077" s="16">
        <f t="shared" si="1386"/>
        <v>0</v>
      </c>
      <c r="AJ1077" s="16">
        <f t="shared" si="1386"/>
        <v>0</v>
      </c>
      <c r="AK1077" s="16">
        <f t="shared" si="1386"/>
        <v>0</v>
      </c>
      <c r="AL1077" s="16">
        <f t="shared" si="1386"/>
        <v>0</v>
      </c>
      <c r="AM1077" s="16">
        <f t="shared" si="1386"/>
        <v>0</v>
      </c>
      <c r="AN1077" s="16">
        <f t="shared" si="1386"/>
        <v>0</v>
      </c>
      <c r="AO1077" s="16">
        <f t="shared" si="1386"/>
        <v>0</v>
      </c>
      <c r="AP1077" s="10"/>
      <c r="AQ1077" s="10"/>
      <c r="AR1077" s="10"/>
      <c r="AS1077" s="10" t="str">
        <f t="shared" ref="AS1077" ca="1" si="1403">IFERROR(__xludf.DUMMYFUNCTION("split(F968,"","",true,true)"),"Algebra Ventures")</f>
        <v>Algebra Ventures</v>
      </c>
      <c r="AT1077" s="10"/>
      <c r="AU1077" s="10"/>
      <c r="AV1077" s="10"/>
      <c r="AW1077" s="10"/>
      <c r="AX1077" s="10"/>
      <c r="AY1077" s="10"/>
      <c r="AZ1077" s="10"/>
      <c r="BA1077" s="10"/>
      <c r="BB1077" s="10"/>
      <c r="BC1077" s="10"/>
      <c r="BD1077" s="10"/>
      <c r="BE1077" s="10"/>
      <c r="BF1077" s="10"/>
      <c r="BG1077" s="10"/>
      <c r="BH1077" s="10"/>
      <c r="BI1077" s="10"/>
      <c r="BJ1077" s="10"/>
      <c r="BK1077" s="10"/>
      <c r="BM1077" s="10"/>
    </row>
    <row r="1078" spans="1:65" ht="12.75">
      <c r="A1078" s="9">
        <v>43592</v>
      </c>
      <c r="B1078" s="10" t="s">
        <v>2269</v>
      </c>
      <c r="C1078" s="11">
        <v>13000000</v>
      </c>
      <c r="D1078" s="12"/>
      <c r="E1078" s="10" t="s">
        <v>69</v>
      </c>
      <c r="F1078" s="10" t="s">
        <v>2270</v>
      </c>
      <c r="G1078" s="13" t="s">
        <v>2271</v>
      </c>
      <c r="H1078" s="14" t="str">
        <f t="array" ref="H1078">IFERROR(INDEX([1]Companies!$G:$G,MATCH(B1078,[1]Companies!$A:$A,0)),"")</f>
        <v>Zimbabwe</v>
      </c>
      <c r="I1078" s="14" t="str">
        <f t="shared" si="1299"/>
        <v>Zimbabwe</v>
      </c>
      <c r="J1078" s="14" t="str">
        <f t="array" ref="J1078">IFERROR(INDEX([1]Companies!$Y:$Y,MATCH(B1078,[1]Companies!$A:$A,0)),"")</f>
        <v>Fintech, Payments</v>
      </c>
      <c r="K1078" s="14" t="str">
        <f t="array" ref="K1078">IFERROR(INDEX([1]Companies!$X:$X,MATCH(B1078,[1]Companies!$A:$A,0)),"")</f>
        <v>Financial Services</v>
      </c>
      <c r="L1078" s="14" t="str">
        <f>VLOOKUP(B1078,[1]Companies!$A$1:$C$5243,1,FALSE)</f>
        <v>Payitup</v>
      </c>
      <c r="M1078" s="15">
        <f t="shared" si="1300"/>
        <v>0.9</v>
      </c>
      <c r="N1078" s="10" t="str">
        <f t="shared" si="1301"/>
        <v>43592Payitup13000000</v>
      </c>
      <c r="O1078" s="14" t="str">
        <f t="shared" si="1399"/>
        <v/>
      </c>
      <c r="P1078" s="14">
        <f t="shared" si="1400"/>
        <v>1</v>
      </c>
      <c r="Q1078" s="14">
        <f t="array" ref="Q1078">IFERROR(INDEX([1]Companies!$D:$D,MATCH(B1078,[1]Companies!$A:$A,0)),"")</f>
        <v>2017</v>
      </c>
      <c r="R1078" s="17">
        <f t="shared" si="1401"/>
        <v>13000000</v>
      </c>
      <c r="S1078" s="14">
        <f>VLOOKUP(I1078,[1]Lookups!$V$3:$Y$197,4,FALSE)</f>
        <v>0</v>
      </c>
      <c r="T1078" s="14" t="str">
        <f>VLOOKUP(E1078,[1]Lookups!$H$3:$I$71,2,FALSE)</f>
        <v>3. Early Venture</v>
      </c>
      <c r="U1078" s="14" t="str">
        <f>VLOOKUP(K1078,[1]Lookups!$B$3:$C$142,2,FALSE)</f>
        <v>Financial Services</v>
      </c>
      <c r="V1078" s="14">
        <f t="shared" si="1230"/>
        <v>2019</v>
      </c>
      <c r="W1078" s="14">
        <f t="shared" si="1231"/>
        <v>5</v>
      </c>
      <c r="X1078" s="14">
        <f>VLOOKUP(W1078,[1]Lookups!$P$3:$S$15,2,FALSE)</f>
        <v>2</v>
      </c>
      <c r="Y1078" s="16">
        <f>VLOOKUP(W1078,[1]Lookups!$P$3:$U$15,3,FALSE)</f>
        <v>1</v>
      </c>
      <c r="Z1078" s="16">
        <f t="shared" si="1232"/>
        <v>1</v>
      </c>
      <c r="AA1078" s="16" t="str">
        <f t="shared" ca="1" si="1386"/>
        <v>Algebra Ventures</v>
      </c>
      <c r="AB1078" s="16">
        <f t="shared" si="1386"/>
        <v>0</v>
      </c>
      <c r="AC1078" s="16">
        <f t="shared" si="1386"/>
        <v>0</v>
      </c>
      <c r="AD1078" s="16">
        <f t="shared" si="1386"/>
        <v>0</v>
      </c>
      <c r="AE1078" s="16">
        <f t="shared" si="1386"/>
        <v>0</v>
      </c>
      <c r="AF1078" s="16">
        <f t="shared" si="1386"/>
        <v>0</v>
      </c>
      <c r="AG1078" s="16">
        <f t="shared" si="1386"/>
        <v>0</v>
      </c>
      <c r="AH1078" s="16">
        <f t="shared" si="1386"/>
        <v>0</v>
      </c>
      <c r="AI1078" s="16">
        <f t="shared" si="1386"/>
        <v>0</v>
      </c>
      <c r="AJ1078" s="16">
        <f t="shared" si="1386"/>
        <v>0</v>
      </c>
      <c r="AK1078" s="16">
        <f t="shared" si="1386"/>
        <v>0</v>
      </c>
      <c r="AL1078" s="16">
        <f t="shared" si="1386"/>
        <v>0</v>
      </c>
      <c r="AM1078" s="16">
        <f t="shared" si="1386"/>
        <v>0</v>
      </c>
      <c r="AN1078" s="16">
        <f t="shared" si="1386"/>
        <v>0</v>
      </c>
      <c r="AO1078" s="16">
        <f t="shared" si="1386"/>
        <v>0</v>
      </c>
      <c r="AP1078" s="10"/>
      <c r="AQ1078" s="10"/>
      <c r="AR1078" s="10"/>
      <c r="AS1078" s="10" t="str">
        <f t="shared" ref="AS1078" ca="1" si="1404">IFERROR(__xludf.DUMMYFUNCTION("split(F968,"","",true,true)"),"Algebra Ventures")</f>
        <v>Algebra Ventures</v>
      </c>
      <c r="AT1078" s="10"/>
      <c r="AU1078" s="10"/>
      <c r="AV1078" s="10"/>
      <c r="AW1078" s="10"/>
      <c r="AX1078" s="10"/>
      <c r="AY1078" s="10"/>
      <c r="AZ1078" s="10"/>
      <c r="BA1078" s="10"/>
      <c r="BB1078" s="10"/>
      <c r="BC1078" s="10"/>
      <c r="BD1078" s="10"/>
      <c r="BE1078" s="10"/>
      <c r="BF1078" s="10"/>
      <c r="BG1078" s="10"/>
      <c r="BH1078" s="10"/>
      <c r="BI1078" s="10"/>
      <c r="BJ1078" s="10"/>
      <c r="BK1078" s="10"/>
      <c r="BM1078" s="10"/>
    </row>
    <row r="1079" spans="1:65" ht="12.75">
      <c r="A1079" s="9">
        <v>43592</v>
      </c>
      <c r="B1079" s="10" t="s">
        <v>636</v>
      </c>
      <c r="C1079" s="11">
        <v>3000000</v>
      </c>
      <c r="D1079" s="12"/>
      <c r="E1079" s="10" t="s">
        <v>69</v>
      </c>
      <c r="F1079" s="10" t="s">
        <v>2272</v>
      </c>
      <c r="G1079" s="13" t="s">
        <v>2273</v>
      </c>
      <c r="H1079" s="14" t="str">
        <f t="array" ref="H1079">IFERROR(INDEX([1]Companies!$G:$G,MATCH(B1079,[1]Companies!$A:$A,0)),"")</f>
        <v>Kenya</v>
      </c>
      <c r="I1079" s="14" t="str">
        <f t="shared" si="1299"/>
        <v>Kenya</v>
      </c>
      <c r="J1079" s="14" t="str">
        <f t="array" ref="J1079">IFERROR(INDEX([1]Companies!$Y:$Y,MATCH(B1079,[1]Companies!$A:$A,0)),"")</f>
        <v>Apps, Mobile Apps, Wellness</v>
      </c>
      <c r="K1079" s="14" t="str">
        <f t="array" ref="K1079">IFERROR(INDEX([1]Companies!$X:$X,MATCH(B1079,[1]Companies!$A:$A,0)),"")</f>
        <v>Healthcare &amp; Pharma</v>
      </c>
      <c r="L1079" s="14" t="str">
        <f>VLOOKUP(B1079,[1]Companies!$A$1:$C$5243,1,FALSE)</f>
        <v>Mydawa</v>
      </c>
      <c r="M1079" s="15">
        <f t="shared" si="1300"/>
        <v>0.9</v>
      </c>
      <c r="N1079" s="10" t="str">
        <f t="shared" si="1301"/>
        <v>43592Mydawa3000000</v>
      </c>
      <c r="O1079" s="14" t="str">
        <f t="shared" si="1399"/>
        <v/>
      </c>
      <c r="P1079" s="14">
        <f t="shared" si="1400"/>
        <v>1</v>
      </c>
      <c r="Q1079" s="14">
        <f t="array" ref="Q1079">IFERROR(INDEX([1]Companies!$D:$D,MATCH(B1079,[1]Companies!$A:$A,0)),"")</f>
        <v>2015</v>
      </c>
      <c r="R1079" s="17">
        <f t="shared" si="1401"/>
        <v>8000000</v>
      </c>
      <c r="S1079" s="14">
        <f>VLOOKUP(I1079,[1]Lookups!$V$3:$Y$197,4,FALSE)</f>
        <v>0</v>
      </c>
      <c r="T1079" s="14" t="str">
        <f>VLOOKUP(E1079,[1]Lookups!$H$3:$I$71,2,FALSE)</f>
        <v>3. Early Venture</v>
      </c>
      <c r="U1079" s="14" t="str">
        <f>VLOOKUP(K1079,[1]Lookups!$B$3:$C$142,2,FALSE)</f>
        <v>Health &amp; Pharmaceuticals</v>
      </c>
      <c r="V1079" s="14">
        <f t="shared" si="1230"/>
        <v>2019</v>
      </c>
      <c r="W1079" s="14">
        <f t="shared" si="1231"/>
        <v>5</v>
      </c>
      <c r="X1079" s="14">
        <f>VLOOKUP(W1079,[1]Lookups!$P$3:$S$15,2,FALSE)</f>
        <v>2</v>
      </c>
      <c r="Y1079" s="16">
        <f>VLOOKUP(W1079,[1]Lookups!$P$3:$U$15,3,FALSE)</f>
        <v>1</v>
      </c>
      <c r="Z1079" s="16">
        <f t="shared" si="1232"/>
        <v>2</v>
      </c>
      <c r="AA1079" s="16" t="str">
        <f t="shared" ca="1" si="1386"/>
        <v>Algebra Ventures</v>
      </c>
      <c r="AB1079" s="16" t="str">
        <f t="shared" ca="1" si="1386"/>
        <v xml:space="preserve"> Indigo Venture Partners</v>
      </c>
      <c r="AC1079" s="16">
        <f t="shared" si="1386"/>
        <v>0</v>
      </c>
      <c r="AD1079" s="16">
        <f t="shared" si="1386"/>
        <v>0</v>
      </c>
      <c r="AE1079" s="16">
        <f t="shared" si="1386"/>
        <v>0</v>
      </c>
      <c r="AF1079" s="16">
        <f t="shared" si="1386"/>
        <v>0</v>
      </c>
      <c r="AG1079" s="16">
        <f t="shared" si="1386"/>
        <v>0</v>
      </c>
      <c r="AH1079" s="16">
        <f t="shared" si="1386"/>
        <v>0</v>
      </c>
      <c r="AI1079" s="16">
        <f t="shared" si="1386"/>
        <v>0</v>
      </c>
      <c r="AJ1079" s="16">
        <f t="shared" si="1386"/>
        <v>0</v>
      </c>
      <c r="AK1079" s="16">
        <f t="shared" si="1386"/>
        <v>0</v>
      </c>
      <c r="AL1079" s="16">
        <f t="shared" si="1386"/>
        <v>0</v>
      </c>
      <c r="AM1079" s="16">
        <f t="shared" si="1386"/>
        <v>0</v>
      </c>
      <c r="AN1079" s="16">
        <f t="shared" si="1386"/>
        <v>0</v>
      </c>
      <c r="AO1079" s="16">
        <f t="shared" si="1386"/>
        <v>0</v>
      </c>
      <c r="AP1079" s="10"/>
      <c r="AQ1079" s="10"/>
      <c r="AR1079" s="10"/>
      <c r="AS1079" s="10" t="str">
        <f t="shared" ref="AS1079" ca="1" si="1405">IFERROR(__xludf.DUMMYFUNCTION("split(F968,"","",true,true)"),"Algebra Ventures")</f>
        <v>Algebra Ventures</v>
      </c>
      <c r="AT1079" s="10" t="str">
        <f ca="1">IFERROR(__xludf.DUMMYFUNCTION("""COMPUTED_VALUE""")," Indigo Venture Partners")</f>
        <v xml:space="preserve"> Indigo Venture Partners</v>
      </c>
      <c r="AU1079" s="10"/>
      <c r="AV1079" s="10"/>
      <c r="AW1079" s="10"/>
      <c r="AX1079" s="10"/>
      <c r="AY1079" s="10"/>
      <c r="AZ1079" s="10"/>
      <c r="BA1079" s="10"/>
      <c r="BB1079" s="10"/>
      <c r="BC1079" s="10"/>
      <c r="BD1079" s="10"/>
      <c r="BE1079" s="10"/>
      <c r="BF1079" s="10"/>
      <c r="BG1079" s="10"/>
      <c r="BH1079" s="10"/>
      <c r="BI1079" s="10"/>
      <c r="BJ1079" s="10"/>
      <c r="BK1079" s="10"/>
      <c r="BM1079" s="10"/>
    </row>
    <row r="1080" spans="1:65" ht="12.75">
      <c r="A1080" s="9">
        <v>43592</v>
      </c>
      <c r="B1080" s="10" t="s">
        <v>2274</v>
      </c>
      <c r="C1080" s="11">
        <v>180000</v>
      </c>
      <c r="D1080" s="12"/>
      <c r="E1080" s="10" t="s">
        <v>45</v>
      </c>
      <c r="F1080" s="10" t="s">
        <v>2275</v>
      </c>
      <c r="G1080" s="13" t="s">
        <v>2276</v>
      </c>
      <c r="H1080" s="14" t="str">
        <f t="array" ref="H1080">IFERROR(INDEX([1]Companies!$G:$G,MATCH(B1080,[1]Companies!$A:$A,0)),"")</f>
        <v>Egypt</v>
      </c>
      <c r="I1080" s="14" t="str">
        <f t="shared" si="1299"/>
        <v>Egypt</v>
      </c>
      <c r="J1080" s="14" t="str">
        <f t="array" ref="J1080">IFERROR(INDEX([1]Companies!$Y:$Y,MATCH(B1080,[1]Companies!$A:$A,0)),"")</f>
        <v>Automotive, E-Commerce, Mobile Apps</v>
      </c>
      <c r="K1080" s="14" t="str">
        <f t="array" ref="K1080">IFERROR(INDEX([1]Companies!$X:$X,MATCH(B1080,[1]Companies!$A:$A,0)),"")</f>
        <v>E-Commerce &amp; Retail</v>
      </c>
      <c r="L1080" s="14" t="str">
        <f>VLOOKUP(B1080,[1]Companies!$A$1:$C$5243,1,FALSE)</f>
        <v>Odiggo</v>
      </c>
      <c r="M1080" s="15">
        <f t="shared" si="1300"/>
        <v>0.9</v>
      </c>
      <c r="N1080" s="10" t="str">
        <f t="shared" si="1301"/>
        <v>43592Odiggo180000</v>
      </c>
      <c r="O1080" s="14" t="str">
        <f t="shared" si="1399"/>
        <v/>
      </c>
      <c r="P1080" s="14">
        <f t="shared" si="1400"/>
        <v>1</v>
      </c>
      <c r="Q1080" s="14">
        <f t="array" ref="Q1080">IFERROR(INDEX([1]Companies!$D:$D,MATCH(B1080,[1]Companies!$A:$A,0)),"")</f>
        <v>2017</v>
      </c>
      <c r="R1080" s="17">
        <f t="shared" si="1401"/>
        <v>180000</v>
      </c>
      <c r="S1080" s="14">
        <f>VLOOKUP(I1080,[1]Lookups!$V$3:$Y$197,4,FALSE)</f>
        <v>0</v>
      </c>
      <c r="T1080" s="14" t="str">
        <f>VLOOKUP(E1080,[1]Lookups!$H$3:$I$71,2,FALSE)</f>
        <v>2. Seed</v>
      </c>
      <c r="U1080" s="14" t="str">
        <f>VLOOKUP(K1080,[1]Lookups!$B$3:$C$142,2,FALSE)</f>
        <v>E-commerce &amp; Retail</v>
      </c>
      <c r="V1080" s="14">
        <f t="shared" si="1230"/>
        <v>2019</v>
      </c>
      <c r="W1080" s="14">
        <f t="shared" si="1231"/>
        <v>5</v>
      </c>
      <c r="X1080" s="14">
        <f>VLOOKUP(W1080,[1]Lookups!$P$3:$S$15,2,FALSE)</f>
        <v>2</v>
      </c>
      <c r="Y1080" s="16">
        <f>VLOOKUP(W1080,[1]Lookups!$P$3:$U$15,3,FALSE)</f>
        <v>1</v>
      </c>
      <c r="Z1080" s="16">
        <f t="shared" si="1232"/>
        <v>1</v>
      </c>
      <c r="AA1080" s="16" t="str">
        <f t="shared" ref="AA1080:AO1095" ca="1" si="1406">AS1080</f>
        <v>Algebra Ventures</v>
      </c>
      <c r="AB1080" s="16">
        <f t="shared" si="1406"/>
        <v>0</v>
      </c>
      <c r="AC1080" s="16">
        <f t="shared" si="1406"/>
        <v>0</v>
      </c>
      <c r="AD1080" s="16">
        <f t="shared" si="1406"/>
        <v>0</v>
      </c>
      <c r="AE1080" s="16">
        <f t="shared" si="1406"/>
        <v>0</v>
      </c>
      <c r="AF1080" s="16">
        <f t="shared" si="1406"/>
        <v>0</v>
      </c>
      <c r="AG1080" s="16">
        <f t="shared" si="1406"/>
        <v>0</v>
      </c>
      <c r="AH1080" s="16">
        <f t="shared" si="1406"/>
        <v>0</v>
      </c>
      <c r="AI1080" s="16">
        <f t="shared" si="1406"/>
        <v>0</v>
      </c>
      <c r="AJ1080" s="16">
        <f t="shared" si="1406"/>
        <v>0</v>
      </c>
      <c r="AK1080" s="16">
        <f t="shared" si="1406"/>
        <v>0</v>
      </c>
      <c r="AL1080" s="16">
        <f t="shared" si="1406"/>
        <v>0</v>
      </c>
      <c r="AM1080" s="16">
        <f t="shared" si="1406"/>
        <v>0</v>
      </c>
      <c r="AN1080" s="16">
        <f t="shared" si="1406"/>
        <v>0</v>
      </c>
      <c r="AO1080" s="16">
        <f t="shared" si="1406"/>
        <v>0</v>
      </c>
      <c r="AP1080" s="10"/>
      <c r="AQ1080" s="10"/>
      <c r="AR1080" s="10"/>
      <c r="AS1080" s="10" t="str">
        <f t="shared" ref="AS1080" ca="1" si="1407">IFERROR(__xludf.DUMMYFUNCTION("split(F968,"","",true,true)"),"Algebra Ventures")</f>
        <v>Algebra Ventures</v>
      </c>
      <c r="AT1080" s="10"/>
      <c r="AU1080" s="10"/>
      <c r="AV1080" s="10"/>
      <c r="AW1080" s="10"/>
      <c r="AX1080" s="10"/>
      <c r="AY1080" s="10"/>
      <c r="AZ1080" s="10"/>
      <c r="BA1080" s="10"/>
      <c r="BB1080" s="10"/>
      <c r="BC1080" s="10"/>
      <c r="BD1080" s="10"/>
      <c r="BE1080" s="10"/>
      <c r="BF1080" s="10"/>
      <c r="BG1080" s="10"/>
      <c r="BH1080" s="10"/>
      <c r="BI1080" s="10"/>
      <c r="BJ1080" s="10"/>
      <c r="BK1080" s="10"/>
      <c r="BM1080" s="10"/>
    </row>
    <row r="1081" spans="1:65" ht="12.75">
      <c r="A1081" s="9">
        <v>43593</v>
      </c>
      <c r="B1081" s="10" t="s">
        <v>2277</v>
      </c>
      <c r="C1081" s="11">
        <v>1300000</v>
      </c>
      <c r="D1081" s="12"/>
      <c r="E1081" s="10" t="s">
        <v>55</v>
      </c>
      <c r="F1081" s="10" t="s">
        <v>2078</v>
      </c>
      <c r="G1081" s="13" t="s">
        <v>2278</v>
      </c>
      <c r="H1081" s="14" t="str">
        <f t="array" ref="H1081">IFERROR(INDEX([1]Companies!$G:$G,MATCH(B1081,[1]Companies!$A:$A,0)),"")</f>
        <v>Uganda</v>
      </c>
      <c r="I1081" s="14" t="str">
        <f t="shared" si="1299"/>
        <v>Uganda</v>
      </c>
      <c r="J1081" s="14" t="str">
        <f t="array" ref="J1081">IFERROR(INDEX([1]Companies!$Y:$Y,MATCH(B1081,[1]Companies!$A:$A,0)),"")</f>
        <v>Environmental Consulting</v>
      </c>
      <c r="K1081" s="14" t="str">
        <f t="array" ref="K1081">IFERROR(INDEX([1]Companies!$X:$X,MATCH(B1081,[1]Companies!$A:$A,0)),"")</f>
        <v>Resource &amp; Energy</v>
      </c>
      <c r="L1081" s="14" t="str">
        <f>VLOOKUP(B1081,[1]Companies!$A$1:$C$5243,1,FALSE)</f>
        <v>AirQo</v>
      </c>
      <c r="M1081" s="15">
        <f t="shared" si="1300"/>
        <v>0.9</v>
      </c>
      <c r="N1081" s="10" t="str">
        <f t="shared" si="1301"/>
        <v>43593AirQo1300000</v>
      </c>
      <c r="O1081" s="14" t="str">
        <f t="shared" si="1399"/>
        <v/>
      </c>
      <c r="P1081" s="14">
        <f t="shared" si="1400"/>
        <v>1</v>
      </c>
      <c r="Q1081" s="14">
        <f t="array" ref="Q1081">IFERROR(INDEX([1]Companies!$D:$D,MATCH(B1081,[1]Companies!$A:$A,0)),"")</f>
        <v>2018</v>
      </c>
      <c r="R1081" s="17">
        <f t="shared" si="1401"/>
        <v>1300000</v>
      </c>
      <c r="S1081" s="14">
        <f>VLOOKUP(I1081,[1]Lookups!$V$3:$Y$197,4,FALSE)</f>
        <v>0</v>
      </c>
      <c r="T1081" s="14" t="str">
        <f>VLOOKUP(E1081,[1]Lookups!$H$3:$I$71,2,FALSE)</f>
        <v>1. Grant</v>
      </c>
      <c r="U1081" s="14" t="str">
        <f>VLOOKUP(K1081,[1]Lookups!$B$3:$C$142,2,FALSE)</f>
        <v>Energy &amp; Resources</v>
      </c>
      <c r="V1081" s="14">
        <f t="shared" si="1230"/>
        <v>2019</v>
      </c>
      <c r="W1081" s="14">
        <f t="shared" si="1231"/>
        <v>5</v>
      </c>
      <c r="X1081" s="14">
        <f>VLOOKUP(W1081,[1]Lookups!$P$3:$S$15,2,FALSE)</f>
        <v>2</v>
      </c>
      <c r="Y1081" s="16">
        <f>VLOOKUP(W1081,[1]Lookups!$P$3:$U$15,3,FALSE)</f>
        <v>1</v>
      </c>
      <c r="Z1081" s="16">
        <f t="shared" si="1232"/>
        <v>1</v>
      </c>
      <c r="AA1081" s="16" t="str">
        <f t="shared" ca="1" si="1406"/>
        <v>Algebra Ventures</v>
      </c>
      <c r="AB1081" s="16">
        <f t="shared" si="1406"/>
        <v>0</v>
      </c>
      <c r="AC1081" s="16">
        <f t="shared" si="1406"/>
        <v>0</v>
      </c>
      <c r="AD1081" s="16">
        <f t="shared" si="1406"/>
        <v>0</v>
      </c>
      <c r="AE1081" s="16">
        <f t="shared" si="1406"/>
        <v>0</v>
      </c>
      <c r="AF1081" s="16">
        <f t="shared" si="1406"/>
        <v>0</v>
      </c>
      <c r="AG1081" s="16">
        <f t="shared" si="1406"/>
        <v>0</v>
      </c>
      <c r="AH1081" s="16">
        <f t="shared" si="1406"/>
        <v>0</v>
      </c>
      <c r="AI1081" s="16">
        <f t="shared" si="1406"/>
        <v>0</v>
      </c>
      <c r="AJ1081" s="16">
        <f t="shared" si="1406"/>
        <v>0</v>
      </c>
      <c r="AK1081" s="16">
        <f t="shared" si="1406"/>
        <v>0</v>
      </c>
      <c r="AL1081" s="16">
        <f t="shared" si="1406"/>
        <v>0</v>
      </c>
      <c r="AM1081" s="16">
        <f t="shared" si="1406"/>
        <v>0</v>
      </c>
      <c r="AN1081" s="16">
        <f t="shared" si="1406"/>
        <v>0</v>
      </c>
      <c r="AO1081" s="16">
        <f t="shared" si="1406"/>
        <v>0</v>
      </c>
      <c r="AP1081" s="10"/>
      <c r="AQ1081" s="10"/>
      <c r="AR1081" s="10"/>
      <c r="AS1081" s="10" t="str">
        <f t="shared" ref="AS1081" ca="1" si="1408">IFERROR(__xludf.DUMMYFUNCTION("split(F968,"","",true,true)"),"Algebra Ventures")</f>
        <v>Algebra Ventures</v>
      </c>
      <c r="AT1081" s="10"/>
      <c r="AU1081" s="10"/>
      <c r="AV1081" s="10"/>
      <c r="AW1081" s="10"/>
      <c r="AX1081" s="10"/>
      <c r="AY1081" s="10"/>
      <c r="AZ1081" s="10"/>
      <c r="BA1081" s="10"/>
      <c r="BB1081" s="10"/>
      <c r="BC1081" s="10"/>
      <c r="BD1081" s="10"/>
      <c r="BE1081" s="10"/>
      <c r="BF1081" s="10"/>
      <c r="BG1081" s="10"/>
      <c r="BH1081" s="10"/>
      <c r="BI1081" s="10"/>
      <c r="BJ1081" s="10"/>
      <c r="BK1081" s="10"/>
      <c r="BM1081" s="10"/>
    </row>
    <row r="1082" spans="1:65" ht="12.75">
      <c r="A1082" s="9">
        <v>43593</v>
      </c>
      <c r="B1082" s="10" t="s">
        <v>601</v>
      </c>
      <c r="C1082" s="11">
        <v>560000</v>
      </c>
      <c r="D1082" s="12"/>
      <c r="E1082" s="10" t="s">
        <v>2279</v>
      </c>
      <c r="F1082" s="10" t="s">
        <v>2070</v>
      </c>
      <c r="G1082" s="13" t="s">
        <v>2280</v>
      </c>
      <c r="H1082" s="14" t="str">
        <f t="array" ref="H1082">IFERROR(INDEX([1]Companies!$G:$G,MATCH(B1082,[1]Companies!$A:$A,0)),"")</f>
        <v>Mauritius</v>
      </c>
      <c r="I1082" s="14" t="str">
        <f t="shared" si="1299"/>
        <v>Mauritius</v>
      </c>
      <c r="J1082" s="14" t="str">
        <f t="array" ref="J1082">IFERROR(INDEX([1]Companies!$Y:$Y,MATCH(B1082,[1]Companies!$A:$A,0)),"")</f>
        <v>Electronics, Solar</v>
      </c>
      <c r="K1082" s="14" t="str">
        <f t="array" ref="K1082">IFERROR(INDEX([1]Companies!$X:$X,MATCH(B1082,[1]Companies!$A:$A,0)),"")</f>
        <v>Renewables &amp; Environment</v>
      </c>
      <c r="L1082" s="14" t="str">
        <f>VLOOKUP(B1082,[1]Companies!$A$1:$C$5243,1,FALSE)</f>
        <v>Daystar Power Africa</v>
      </c>
      <c r="M1082" s="15">
        <f t="shared" si="1300"/>
        <v>0.9</v>
      </c>
      <c r="N1082" s="10" t="str">
        <f t="shared" si="1301"/>
        <v>43593Daystar Power Africa560000</v>
      </c>
      <c r="O1082" s="14" t="str">
        <f t="shared" si="1399"/>
        <v/>
      </c>
      <c r="P1082" s="14">
        <f t="shared" si="1400"/>
        <v>1</v>
      </c>
      <c r="Q1082" s="14">
        <f t="array" ref="Q1082">IFERROR(INDEX([1]Companies!$D:$D,MATCH(B1082,[1]Companies!$A:$A,0)),"")</f>
        <v>2017</v>
      </c>
      <c r="R1082" s="17">
        <f t="shared" si="1401"/>
        <v>26560000</v>
      </c>
      <c r="S1082" s="14">
        <f>VLOOKUP(I1082,[1]Lookups!$V$3:$Y$197,4,FALSE)</f>
        <v>0</v>
      </c>
      <c r="T1082" s="14" t="str">
        <f>VLOOKUP(E1082,[1]Lookups!$H$3:$I$71,2,FALSE)</f>
        <v>7. Offerings</v>
      </c>
      <c r="U1082" s="14" t="str">
        <f>VLOOKUP(K1082,[1]Lookups!$B$3:$C$142,2,FALSE)</f>
        <v>Energy &amp; Resources</v>
      </c>
      <c r="V1082" s="14">
        <f t="shared" si="1230"/>
        <v>2019</v>
      </c>
      <c r="W1082" s="14">
        <f t="shared" si="1231"/>
        <v>5</v>
      </c>
      <c r="X1082" s="14">
        <f>VLOOKUP(W1082,[1]Lookups!$P$3:$S$15,2,FALSE)</f>
        <v>2</v>
      </c>
      <c r="Y1082" s="16">
        <f>VLOOKUP(W1082,[1]Lookups!$P$3:$U$15,3,FALSE)</f>
        <v>1</v>
      </c>
      <c r="Z1082" s="16">
        <f t="shared" si="1232"/>
        <v>1</v>
      </c>
      <c r="AA1082" s="16" t="str">
        <f t="shared" ca="1" si="1406"/>
        <v>Algebra Ventures</v>
      </c>
      <c r="AB1082" s="16">
        <f t="shared" si="1406"/>
        <v>0</v>
      </c>
      <c r="AC1082" s="16">
        <f t="shared" si="1406"/>
        <v>0</v>
      </c>
      <c r="AD1082" s="16">
        <f t="shared" si="1406"/>
        <v>0</v>
      </c>
      <c r="AE1082" s="16">
        <f t="shared" si="1406"/>
        <v>0</v>
      </c>
      <c r="AF1082" s="16">
        <f t="shared" si="1406"/>
        <v>0</v>
      </c>
      <c r="AG1082" s="16">
        <f t="shared" si="1406"/>
        <v>0</v>
      </c>
      <c r="AH1082" s="16">
        <f t="shared" si="1406"/>
        <v>0</v>
      </c>
      <c r="AI1082" s="16">
        <f t="shared" si="1406"/>
        <v>0</v>
      </c>
      <c r="AJ1082" s="16">
        <f t="shared" si="1406"/>
        <v>0</v>
      </c>
      <c r="AK1082" s="16">
        <f t="shared" si="1406"/>
        <v>0</v>
      </c>
      <c r="AL1082" s="16">
        <f t="shared" si="1406"/>
        <v>0</v>
      </c>
      <c r="AM1082" s="16">
        <f t="shared" si="1406"/>
        <v>0</v>
      </c>
      <c r="AN1082" s="16">
        <f t="shared" si="1406"/>
        <v>0</v>
      </c>
      <c r="AO1082" s="16">
        <f t="shared" si="1406"/>
        <v>0</v>
      </c>
      <c r="AP1082" s="10"/>
      <c r="AQ1082" s="10"/>
      <c r="AR1082" s="10"/>
      <c r="AS1082" s="10" t="str">
        <f t="shared" ref="AS1082" ca="1" si="1409">IFERROR(__xludf.DUMMYFUNCTION("split(F968,"","",true,true)"),"Algebra Ventures")</f>
        <v>Algebra Ventures</v>
      </c>
      <c r="AT1082" s="10"/>
      <c r="AU1082" s="10"/>
      <c r="AV1082" s="10"/>
      <c r="AW1082" s="10"/>
      <c r="AX1082" s="10"/>
      <c r="AY1082" s="10"/>
      <c r="AZ1082" s="10"/>
      <c r="BA1082" s="10"/>
      <c r="BB1082" s="10"/>
      <c r="BC1082" s="10"/>
      <c r="BD1082" s="10"/>
      <c r="BE1082" s="10"/>
      <c r="BF1082" s="10"/>
      <c r="BG1082" s="10"/>
      <c r="BH1082" s="10"/>
      <c r="BI1082" s="10"/>
      <c r="BJ1082" s="10"/>
      <c r="BK1082" s="10"/>
      <c r="BM1082" s="10"/>
    </row>
    <row r="1083" spans="1:65" ht="12.75">
      <c r="A1083" s="9">
        <v>43594</v>
      </c>
      <c r="B1083" s="10" t="s">
        <v>2281</v>
      </c>
      <c r="C1083" s="11">
        <v>2400000</v>
      </c>
      <c r="D1083" s="12"/>
      <c r="E1083" s="10" t="s">
        <v>45</v>
      </c>
      <c r="F1083" s="10" t="s">
        <v>2282</v>
      </c>
      <c r="G1083" s="13" t="s">
        <v>2283</v>
      </c>
      <c r="H1083" s="14" t="str">
        <f t="array" ref="H1083">IFERROR(INDEX([1]Companies!$G:$G,MATCH(B1083,[1]Companies!$A:$A,0)),"")</f>
        <v>United States</v>
      </c>
      <c r="I1083" s="14" t="str">
        <f t="shared" si="1299"/>
        <v>United States</v>
      </c>
      <c r="J1083" s="14" t="str">
        <f t="array" ref="J1083">IFERROR(INDEX([1]Companies!$Y:$Y,MATCH(B1083,[1]Companies!$A:$A,0)),"")</f>
        <v>Financial Services, Mobile Apps, Mobile Payments, Payments</v>
      </c>
      <c r="K1083" s="14" t="str">
        <f t="array" ref="K1083">IFERROR(INDEX([1]Companies!$X:$X,MATCH(B1083,[1]Companies!$A:$A,0)),"")</f>
        <v>Financial Services</v>
      </c>
      <c r="L1083" s="14" t="str">
        <f>VLOOKUP(B1083,[1]Companies!$A$1:$C$5243,1,FALSE)</f>
        <v>Chipper Cash</v>
      </c>
      <c r="M1083" s="15">
        <f t="shared" si="1300"/>
        <v>0.9</v>
      </c>
      <c r="N1083" s="10" t="str">
        <f t="shared" si="1301"/>
        <v>43594Chipper Cash2400000</v>
      </c>
      <c r="O1083" s="14" t="str">
        <f t="shared" si="1399"/>
        <v/>
      </c>
      <c r="P1083" s="14">
        <f t="shared" si="1400"/>
        <v>1</v>
      </c>
      <c r="Q1083" s="14">
        <f t="array" ref="Q1083">IFERROR(INDEX([1]Companies!$D:$D,MATCH(B1083,[1]Companies!$A:$A,0)),"")</f>
        <v>2017</v>
      </c>
      <c r="R1083" s="17">
        <f t="shared" si="1401"/>
        <v>2400000</v>
      </c>
      <c r="S1083" s="14" t="e">
        <f>VLOOKUP(I1083,[1]Lookups!$V$3:$Y$197,4,FALSE)</f>
        <v>#N/A</v>
      </c>
      <c r="T1083" s="14" t="str">
        <f>VLOOKUP(E1083,[1]Lookups!$H$3:$I$71,2,FALSE)</f>
        <v>2. Seed</v>
      </c>
      <c r="U1083" s="14" t="str">
        <f>VLOOKUP(K1083,[1]Lookups!$B$3:$C$142,2,FALSE)</f>
        <v>Financial Services</v>
      </c>
      <c r="V1083" s="14">
        <f t="shared" si="1230"/>
        <v>2019</v>
      </c>
      <c r="W1083" s="14">
        <f t="shared" si="1231"/>
        <v>5</v>
      </c>
      <c r="X1083" s="14">
        <f>VLOOKUP(W1083,[1]Lookups!$P$3:$S$15,2,FALSE)</f>
        <v>2</v>
      </c>
      <c r="Y1083" s="16">
        <f>VLOOKUP(W1083,[1]Lookups!$P$3:$U$15,3,FALSE)</f>
        <v>1</v>
      </c>
      <c r="Z1083" s="16">
        <f t="shared" si="1232"/>
        <v>1</v>
      </c>
      <c r="AA1083" s="16" t="str">
        <f t="shared" ca="1" si="1406"/>
        <v>Algebra Ventures</v>
      </c>
      <c r="AB1083" s="16">
        <f t="shared" si="1406"/>
        <v>0</v>
      </c>
      <c r="AC1083" s="16">
        <f t="shared" si="1406"/>
        <v>0</v>
      </c>
      <c r="AD1083" s="16">
        <f t="shared" si="1406"/>
        <v>0</v>
      </c>
      <c r="AE1083" s="16">
        <f t="shared" si="1406"/>
        <v>0</v>
      </c>
      <c r="AF1083" s="16">
        <f t="shared" si="1406"/>
        <v>0</v>
      </c>
      <c r="AG1083" s="16">
        <f t="shared" si="1406"/>
        <v>0</v>
      </c>
      <c r="AH1083" s="16">
        <f t="shared" si="1406"/>
        <v>0</v>
      </c>
      <c r="AI1083" s="16">
        <f t="shared" si="1406"/>
        <v>0</v>
      </c>
      <c r="AJ1083" s="16">
        <f t="shared" si="1406"/>
        <v>0</v>
      </c>
      <c r="AK1083" s="16">
        <f t="shared" si="1406"/>
        <v>0</v>
      </c>
      <c r="AL1083" s="16">
        <f t="shared" si="1406"/>
        <v>0</v>
      </c>
      <c r="AM1083" s="16">
        <f t="shared" si="1406"/>
        <v>0</v>
      </c>
      <c r="AN1083" s="16">
        <f t="shared" si="1406"/>
        <v>0</v>
      </c>
      <c r="AO1083" s="16">
        <f t="shared" si="1406"/>
        <v>0</v>
      </c>
      <c r="AP1083" s="10"/>
      <c r="AQ1083" s="10"/>
      <c r="AR1083" s="10"/>
      <c r="AS1083" s="10" t="str">
        <f t="shared" ref="AS1083" ca="1" si="1410">IFERROR(__xludf.DUMMYFUNCTION("split(F968,"","",true,true)"),"Algebra Ventures")</f>
        <v>Algebra Ventures</v>
      </c>
      <c r="AT1083" s="10"/>
      <c r="AU1083" s="10"/>
      <c r="AV1083" s="10"/>
      <c r="AW1083" s="10"/>
      <c r="AX1083" s="10"/>
      <c r="AY1083" s="10"/>
      <c r="AZ1083" s="10"/>
      <c r="BA1083" s="10"/>
      <c r="BB1083" s="10"/>
      <c r="BC1083" s="10"/>
      <c r="BD1083" s="10"/>
      <c r="BE1083" s="10"/>
      <c r="BF1083" s="10"/>
      <c r="BG1083" s="10"/>
      <c r="BH1083" s="10"/>
      <c r="BI1083" s="10"/>
      <c r="BJ1083" s="10"/>
      <c r="BK1083" s="10"/>
      <c r="BM1083" s="10"/>
    </row>
    <row r="1084" spans="1:65" ht="12.75">
      <c r="A1084" s="9">
        <v>43598</v>
      </c>
      <c r="B1084" s="10" t="s">
        <v>907</v>
      </c>
      <c r="C1084" s="11">
        <v>95000</v>
      </c>
      <c r="D1084" s="12"/>
      <c r="E1084" s="10" t="s">
        <v>55</v>
      </c>
      <c r="F1084" s="10" t="s">
        <v>2253</v>
      </c>
      <c r="G1084" s="13" t="s">
        <v>2254</v>
      </c>
      <c r="H1084" s="14" t="str">
        <f t="array" ref="H1084">IFERROR(INDEX([1]Companies!$G:$G,MATCH(B1084,[1]Companies!$A:$A,0)),"")</f>
        <v>Kenya</v>
      </c>
      <c r="I1084" s="14" t="str">
        <f t="shared" si="1299"/>
        <v>Kenya</v>
      </c>
      <c r="J1084" s="14" t="str">
        <f t="array" ref="J1084">IFERROR(INDEX([1]Companies!$Y:$Y,MATCH(B1084,[1]Companies!$A:$A,0)),"")</f>
        <v>Professional Services, Labour</v>
      </c>
      <c r="K1084" s="14" t="str">
        <f t="array" ref="K1084">IFERROR(INDEX([1]Companies!$X:$X,MATCH(B1084,[1]Companies!$A:$A,0)),"")</f>
        <v>Commercial &amp; Professional Services</v>
      </c>
      <c r="L1084" s="14" t="str">
        <f>VLOOKUP(B1084,[1]Companies!$A$1:$C$5243,1,FALSE)</f>
        <v>Lynk</v>
      </c>
      <c r="M1084" s="15">
        <f t="shared" si="1300"/>
        <v>0.9</v>
      </c>
      <c r="N1084" s="10" t="str">
        <f t="shared" si="1301"/>
        <v>43598Lynk95000</v>
      </c>
      <c r="O1084" s="14" t="str">
        <f t="shared" si="1399"/>
        <v/>
      </c>
      <c r="P1084" s="14">
        <f t="shared" si="1400"/>
        <v>1</v>
      </c>
      <c r="Q1084" s="14">
        <f t="array" ref="Q1084">IFERROR(INDEX([1]Companies!$D:$D,MATCH(B1084,[1]Companies!$A:$A,0)),"")</f>
        <v>2017</v>
      </c>
      <c r="R1084" s="17">
        <f t="shared" si="1401"/>
        <v>3895000</v>
      </c>
      <c r="S1084" s="14">
        <f>VLOOKUP(I1084,[1]Lookups!$V$3:$Y$197,4,FALSE)</f>
        <v>0</v>
      </c>
      <c r="T1084" s="14" t="str">
        <f>VLOOKUP(E1084,[1]Lookups!$H$3:$I$71,2,FALSE)</f>
        <v>1. Grant</v>
      </c>
      <c r="U1084" s="14" t="str">
        <f>VLOOKUP(K1084,[1]Lookups!$B$3:$C$142,2,FALSE)</f>
        <v>Other Technologies &amp; Information Technology</v>
      </c>
      <c r="V1084" s="14">
        <f t="shared" si="1230"/>
        <v>2019</v>
      </c>
      <c r="W1084" s="14">
        <f t="shared" si="1231"/>
        <v>5</v>
      </c>
      <c r="X1084" s="14">
        <f>VLOOKUP(W1084,[1]Lookups!$P$3:$S$15,2,FALSE)</f>
        <v>2</v>
      </c>
      <c r="Y1084" s="16">
        <f>VLOOKUP(W1084,[1]Lookups!$P$3:$U$15,3,FALSE)</f>
        <v>1</v>
      </c>
      <c r="Z1084" s="16">
        <f t="shared" si="1232"/>
        <v>1</v>
      </c>
      <c r="AA1084" s="16" t="str">
        <f t="shared" ca="1" si="1406"/>
        <v>Algebra Ventures</v>
      </c>
      <c r="AB1084" s="16">
        <f t="shared" si="1406"/>
        <v>0</v>
      </c>
      <c r="AC1084" s="16">
        <f t="shared" si="1406"/>
        <v>0</v>
      </c>
      <c r="AD1084" s="16">
        <f t="shared" si="1406"/>
        <v>0</v>
      </c>
      <c r="AE1084" s="16">
        <f t="shared" si="1406"/>
        <v>0</v>
      </c>
      <c r="AF1084" s="16">
        <f t="shared" si="1406"/>
        <v>0</v>
      </c>
      <c r="AG1084" s="16">
        <f t="shared" si="1406"/>
        <v>0</v>
      </c>
      <c r="AH1084" s="16">
        <f t="shared" si="1406"/>
        <v>0</v>
      </c>
      <c r="AI1084" s="16">
        <f t="shared" si="1406"/>
        <v>0</v>
      </c>
      <c r="AJ1084" s="16">
        <f t="shared" si="1406"/>
        <v>0</v>
      </c>
      <c r="AK1084" s="16">
        <f t="shared" si="1406"/>
        <v>0</v>
      </c>
      <c r="AL1084" s="16">
        <f t="shared" si="1406"/>
        <v>0</v>
      </c>
      <c r="AM1084" s="16">
        <f t="shared" si="1406"/>
        <v>0</v>
      </c>
      <c r="AN1084" s="16">
        <f t="shared" si="1406"/>
        <v>0</v>
      </c>
      <c r="AO1084" s="16">
        <f t="shared" si="1406"/>
        <v>0</v>
      </c>
      <c r="AP1084" s="10"/>
      <c r="AQ1084" s="10"/>
      <c r="AR1084" s="10"/>
      <c r="AS1084" s="10" t="str">
        <f t="shared" ref="AS1084" ca="1" si="1411">IFERROR(__xludf.DUMMYFUNCTION("split(F968,"","",true,true)"),"Algebra Ventures")</f>
        <v>Algebra Ventures</v>
      </c>
      <c r="AT1084" s="10"/>
      <c r="AU1084" s="10"/>
      <c r="AV1084" s="10"/>
      <c r="AW1084" s="10"/>
      <c r="AX1084" s="10"/>
      <c r="AY1084" s="10"/>
      <c r="AZ1084" s="10"/>
      <c r="BA1084" s="10"/>
      <c r="BB1084" s="10"/>
      <c r="BC1084" s="10"/>
      <c r="BD1084" s="10"/>
      <c r="BE1084" s="10"/>
      <c r="BF1084" s="10"/>
      <c r="BG1084" s="10"/>
      <c r="BH1084" s="10"/>
      <c r="BI1084" s="10"/>
      <c r="BJ1084" s="10"/>
      <c r="BK1084" s="10"/>
      <c r="BM1084" s="10"/>
    </row>
    <row r="1085" spans="1:65" ht="12.75">
      <c r="A1085" s="9">
        <v>43599</v>
      </c>
      <c r="B1085" s="10" t="s">
        <v>2284</v>
      </c>
      <c r="C1085" s="11">
        <v>45000000</v>
      </c>
      <c r="D1085" s="12"/>
      <c r="E1085" s="10" t="s">
        <v>69</v>
      </c>
      <c r="F1085" s="10" t="s">
        <v>2285</v>
      </c>
      <c r="G1085" s="13" t="s">
        <v>2286</v>
      </c>
      <c r="H1085" s="14" t="str">
        <f t="array" ref="H1085">IFERROR(INDEX([1]Companies!$G:$G,MATCH(B1085,[1]Companies!$A:$A,0)),"")</f>
        <v>Kenya</v>
      </c>
      <c r="I1085" s="14" t="str">
        <f t="shared" si="1299"/>
        <v>Kenya</v>
      </c>
      <c r="J1085" s="14" t="str">
        <f t="array" ref="J1085">IFERROR(INDEX([1]Companies!$Y:$Y,MATCH(B1085,[1]Companies!$A:$A,0)),"")</f>
        <v>Finance, FinTech, Health Care, Hospital, InsurTech</v>
      </c>
      <c r="K1085" s="14" t="str">
        <f t="array" ref="K1085">IFERROR(INDEX([1]Companies!$X:$X,MATCH(B1085,[1]Companies!$A:$A,0)),"")</f>
        <v>Financial Services</v>
      </c>
      <c r="L1085" s="14" t="str">
        <f>VLOOKUP(B1085,[1]Companies!$A$1:$C$5243,1,FALSE)</f>
        <v>CarePay</v>
      </c>
      <c r="M1085" s="15">
        <f t="shared" si="1300"/>
        <v>0.9</v>
      </c>
      <c r="N1085" s="10" t="str">
        <f t="shared" si="1301"/>
        <v>43599CarePay45000000</v>
      </c>
      <c r="O1085" s="14" t="str">
        <f t="shared" si="1399"/>
        <v/>
      </c>
      <c r="P1085" s="14">
        <f t="shared" si="1400"/>
        <v>1</v>
      </c>
      <c r="Q1085" s="14">
        <f t="array" ref="Q1085">IFERROR(INDEX([1]Companies!$D:$D,MATCH(B1085,[1]Companies!$A:$A,0)),"")</f>
        <v>2015</v>
      </c>
      <c r="R1085" s="17">
        <f t="shared" si="1401"/>
        <v>45000000</v>
      </c>
      <c r="S1085" s="14">
        <f>VLOOKUP(I1085,[1]Lookups!$V$3:$Y$197,4,FALSE)</f>
        <v>0</v>
      </c>
      <c r="T1085" s="14" t="str">
        <f>VLOOKUP(E1085,[1]Lookups!$H$3:$I$71,2,FALSE)</f>
        <v>3. Early Venture</v>
      </c>
      <c r="U1085" s="14" t="str">
        <f>VLOOKUP(K1085,[1]Lookups!$B$3:$C$142,2,FALSE)</f>
        <v>Financial Services</v>
      </c>
      <c r="V1085" s="14">
        <f t="shared" si="1230"/>
        <v>2019</v>
      </c>
      <c r="W1085" s="14">
        <f t="shared" si="1231"/>
        <v>5</v>
      </c>
      <c r="X1085" s="14">
        <f>VLOOKUP(W1085,[1]Lookups!$P$3:$S$15,2,FALSE)</f>
        <v>2</v>
      </c>
      <c r="Y1085" s="16">
        <f>VLOOKUP(W1085,[1]Lookups!$P$3:$U$15,3,FALSE)</f>
        <v>1</v>
      </c>
      <c r="Z1085" s="16">
        <f t="shared" si="1232"/>
        <v>2</v>
      </c>
      <c r="AA1085" s="16" t="str">
        <f t="shared" ca="1" si="1406"/>
        <v>Algebra Ventures</v>
      </c>
      <c r="AB1085" s="16" t="str">
        <f t="shared" ca="1" si="1406"/>
        <v xml:space="preserve"> ELMA Investments</v>
      </c>
      <c r="AC1085" s="16">
        <f t="shared" si="1406"/>
        <v>0</v>
      </c>
      <c r="AD1085" s="16">
        <f t="shared" si="1406"/>
        <v>0</v>
      </c>
      <c r="AE1085" s="16">
        <f t="shared" si="1406"/>
        <v>0</v>
      </c>
      <c r="AF1085" s="16">
        <f t="shared" si="1406"/>
        <v>0</v>
      </c>
      <c r="AG1085" s="16">
        <f t="shared" si="1406"/>
        <v>0</v>
      </c>
      <c r="AH1085" s="16">
        <f t="shared" si="1406"/>
        <v>0</v>
      </c>
      <c r="AI1085" s="16">
        <f t="shared" si="1406"/>
        <v>0</v>
      </c>
      <c r="AJ1085" s="16">
        <f t="shared" si="1406"/>
        <v>0</v>
      </c>
      <c r="AK1085" s="16">
        <f t="shared" si="1406"/>
        <v>0</v>
      </c>
      <c r="AL1085" s="16">
        <f t="shared" si="1406"/>
        <v>0</v>
      </c>
      <c r="AM1085" s="16">
        <f t="shared" si="1406"/>
        <v>0</v>
      </c>
      <c r="AN1085" s="16">
        <f t="shared" si="1406"/>
        <v>0</v>
      </c>
      <c r="AO1085" s="16">
        <f t="shared" si="1406"/>
        <v>0</v>
      </c>
      <c r="AP1085" s="10"/>
      <c r="AQ1085" s="10"/>
      <c r="AR1085" s="10"/>
      <c r="AS1085" s="10" t="str">
        <f t="shared" ref="AS1085" ca="1" si="1412">IFERROR(__xludf.DUMMYFUNCTION("split(F968,"","",true,true)"),"Algebra Ventures")</f>
        <v>Algebra Ventures</v>
      </c>
      <c r="AT1085" s="10" t="str">
        <f ca="1">IFERROR(__xludf.DUMMYFUNCTION("""COMPUTED_VALUE""")," ELMA Investments")</f>
        <v xml:space="preserve"> ELMA Investments</v>
      </c>
      <c r="AU1085" s="10"/>
      <c r="AV1085" s="10"/>
      <c r="AW1085" s="10"/>
      <c r="AX1085" s="10"/>
      <c r="AY1085" s="10"/>
      <c r="AZ1085" s="10"/>
      <c r="BA1085" s="10"/>
      <c r="BB1085" s="10"/>
      <c r="BC1085" s="10"/>
      <c r="BD1085" s="10"/>
      <c r="BE1085" s="10"/>
      <c r="BF1085" s="10"/>
      <c r="BG1085" s="10"/>
      <c r="BH1085" s="10"/>
      <c r="BI1085" s="10"/>
      <c r="BJ1085" s="10"/>
      <c r="BK1085" s="10"/>
      <c r="BM1085" s="10"/>
    </row>
    <row r="1086" spans="1:65" ht="12.75">
      <c r="A1086" s="9">
        <v>43601</v>
      </c>
      <c r="B1086" s="10" t="s">
        <v>2287</v>
      </c>
      <c r="C1086" s="11" t="s">
        <v>49</v>
      </c>
      <c r="D1086" s="12"/>
      <c r="E1086" s="10" t="s">
        <v>45</v>
      </c>
      <c r="F1086" s="10" t="s">
        <v>2288</v>
      </c>
      <c r="G1086" s="13" t="s">
        <v>2289</v>
      </c>
      <c r="H1086" s="14" t="str">
        <f t="array" ref="H1086">IFERROR(INDEX([1]Companies!$G:$G,MATCH(B1086,[1]Companies!$A:$A,0)),"")</f>
        <v>Kenya</v>
      </c>
      <c r="I1086" s="14" t="str">
        <f t="shared" si="1299"/>
        <v>Kenya</v>
      </c>
      <c r="J1086" s="14" t="str">
        <f t="array" ref="J1086">IFERROR(INDEX([1]Companies!$Y:$Y,MATCH(B1086,[1]Companies!$A:$A,0)),"")</f>
        <v>Jobs,  Employment</v>
      </c>
      <c r="K1086" s="14" t="str">
        <f t="array" ref="K1086">IFERROR(INDEX([1]Companies!$X:$X,MATCH(B1086,[1]Companies!$A:$A,0)),"")</f>
        <v>Commercial &amp; Professional Services</v>
      </c>
      <c r="L1086" s="14" t="str">
        <f>VLOOKUP(B1086,[1]Companies!$A$1:$C$5243,1,FALSE)</f>
        <v>Fundis</v>
      </c>
      <c r="M1086" s="15">
        <f t="shared" si="1300"/>
        <v>0.9</v>
      </c>
      <c r="N1086" s="10" t="str">
        <f t="shared" si="1301"/>
        <v>43601FundisUndisclosed</v>
      </c>
      <c r="O1086" s="14" t="str">
        <f t="shared" si="1399"/>
        <v/>
      </c>
      <c r="P1086" s="14">
        <f t="shared" si="1400"/>
        <v>0</v>
      </c>
      <c r="Q1086" s="14">
        <f t="array" ref="Q1086">IFERROR(INDEX([1]Companies!$D:$D,MATCH(B1086,[1]Companies!$A:$A,0)),"")</f>
        <v>2016</v>
      </c>
      <c r="R1086" s="17">
        <f t="shared" si="1401"/>
        <v>0</v>
      </c>
      <c r="S1086" s="14">
        <f>VLOOKUP(I1086,[1]Lookups!$V$3:$Y$197,4,FALSE)</f>
        <v>0</v>
      </c>
      <c r="T1086" s="14" t="str">
        <f>VLOOKUP(E1086,[1]Lookups!$H$3:$I$71,2,FALSE)</f>
        <v>2. Seed</v>
      </c>
      <c r="U1086" s="14" t="str">
        <f>VLOOKUP(K1086,[1]Lookups!$B$3:$C$142,2,FALSE)</f>
        <v>Other Technologies &amp; Information Technology</v>
      </c>
      <c r="V1086" s="14">
        <f t="shared" si="1230"/>
        <v>2019</v>
      </c>
      <c r="W1086" s="14">
        <f t="shared" si="1231"/>
        <v>5</v>
      </c>
      <c r="X1086" s="14">
        <f>VLOOKUP(W1086,[1]Lookups!$P$3:$S$15,2,FALSE)</f>
        <v>2</v>
      </c>
      <c r="Y1086" s="16">
        <f>VLOOKUP(W1086,[1]Lookups!$P$3:$U$15,3,FALSE)</f>
        <v>1</v>
      </c>
      <c r="Z1086" s="16">
        <f t="shared" si="1232"/>
        <v>1</v>
      </c>
      <c r="AA1086" s="16" t="str">
        <f t="shared" ca="1" si="1406"/>
        <v>Algebra Ventures</v>
      </c>
      <c r="AB1086" s="16">
        <f t="shared" si="1406"/>
        <v>0</v>
      </c>
      <c r="AC1086" s="16">
        <f t="shared" si="1406"/>
        <v>0</v>
      </c>
      <c r="AD1086" s="16">
        <f t="shared" si="1406"/>
        <v>0</v>
      </c>
      <c r="AE1086" s="16">
        <f t="shared" si="1406"/>
        <v>0</v>
      </c>
      <c r="AF1086" s="16">
        <f t="shared" si="1406"/>
        <v>0</v>
      </c>
      <c r="AG1086" s="16">
        <f t="shared" si="1406"/>
        <v>0</v>
      </c>
      <c r="AH1086" s="16">
        <f t="shared" si="1406"/>
        <v>0</v>
      </c>
      <c r="AI1086" s="16">
        <f t="shared" si="1406"/>
        <v>0</v>
      </c>
      <c r="AJ1086" s="16">
        <f t="shared" si="1406"/>
        <v>0</v>
      </c>
      <c r="AK1086" s="16">
        <f t="shared" si="1406"/>
        <v>0</v>
      </c>
      <c r="AL1086" s="16">
        <f t="shared" si="1406"/>
        <v>0</v>
      </c>
      <c r="AM1086" s="16">
        <f t="shared" si="1406"/>
        <v>0</v>
      </c>
      <c r="AN1086" s="16">
        <f t="shared" si="1406"/>
        <v>0</v>
      </c>
      <c r="AO1086" s="16">
        <f t="shared" si="1406"/>
        <v>0</v>
      </c>
      <c r="AP1086" s="10"/>
      <c r="AQ1086" s="10"/>
      <c r="AR1086" s="10"/>
      <c r="AS1086" s="10" t="str">
        <f t="shared" ref="AS1086" ca="1" si="1413">IFERROR(__xludf.DUMMYFUNCTION("split(F968,"","",true,true)"),"Algebra Ventures")</f>
        <v>Algebra Ventures</v>
      </c>
      <c r="AT1086" s="10"/>
      <c r="AU1086" s="10"/>
      <c r="AV1086" s="10"/>
      <c r="AW1086" s="10"/>
      <c r="AX1086" s="10"/>
      <c r="AY1086" s="10"/>
      <c r="AZ1086" s="10"/>
      <c r="BA1086" s="10"/>
      <c r="BB1086" s="10"/>
      <c r="BC1086" s="10"/>
      <c r="BD1086" s="10"/>
      <c r="BE1086" s="10"/>
      <c r="BF1086" s="10"/>
      <c r="BG1086" s="10"/>
      <c r="BH1086" s="10"/>
      <c r="BI1086" s="10"/>
      <c r="BJ1086" s="10"/>
      <c r="BK1086" s="10"/>
      <c r="BM1086" s="10"/>
    </row>
    <row r="1087" spans="1:65" ht="12.75">
      <c r="A1087" s="9">
        <v>43602</v>
      </c>
      <c r="B1087" s="10" t="s">
        <v>923</v>
      </c>
      <c r="C1087" s="11">
        <v>250000</v>
      </c>
      <c r="D1087" s="12"/>
      <c r="E1087" s="14" t="s">
        <v>234</v>
      </c>
      <c r="F1087" s="10" t="s">
        <v>49</v>
      </c>
      <c r="G1087" s="13" t="s">
        <v>2290</v>
      </c>
      <c r="H1087" s="14" t="str">
        <f t="array" ref="H1087">IFERROR(INDEX([1]Companies!$G:$G,MATCH(B1087,[1]Companies!$A:$A,0)),"")</f>
        <v>Egypt</v>
      </c>
      <c r="I1087" s="14" t="str">
        <f t="shared" si="1299"/>
        <v>Egypt</v>
      </c>
      <c r="J1087" s="14" t="str">
        <f t="array" ref="J1087">IFERROR(INDEX([1]Companies!$Y:$Y,MATCH(B1087,[1]Companies!$A:$A,0)),"")</f>
        <v>FinTech</v>
      </c>
      <c r="K1087" s="14" t="str">
        <f t="array" ref="K1087">IFERROR(INDEX([1]Companies!$X:$X,MATCH(B1087,[1]Companies!$A:$A,0)),"")</f>
        <v>Financial Services</v>
      </c>
      <c r="L1087" s="14" t="str">
        <f>VLOOKUP(B1087,[1]Companies!$A$1:$C$5243,1,FALSE)</f>
        <v>Xpay</v>
      </c>
      <c r="M1087" s="15">
        <f t="shared" si="1300"/>
        <v>0.9</v>
      </c>
      <c r="N1087" s="10" t="str">
        <f t="shared" si="1301"/>
        <v>43602Xpay250000</v>
      </c>
      <c r="O1087" s="14" t="str">
        <f t="shared" si="1399"/>
        <v/>
      </c>
      <c r="P1087" s="14">
        <f t="shared" si="1400"/>
        <v>1</v>
      </c>
      <c r="Q1087" s="14">
        <f t="array" ref="Q1087">IFERROR(INDEX([1]Companies!$D:$D,MATCH(B1087,[1]Companies!$A:$A,0)),"")</f>
        <v>2018</v>
      </c>
      <c r="R1087" s="17">
        <f t="shared" si="1401"/>
        <v>285000</v>
      </c>
      <c r="S1087" s="14">
        <f>VLOOKUP(I1087,[1]Lookups!$V$3:$Y$197,4,FALSE)</f>
        <v>0</v>
      </c>
      <c r="T1087" s="14" t="str">
        <f>VLOOKUP(E1087,[1]Lookups!$H$3:$I$71,2,FALSE)</f>
        <v>2. Seed</v>
      </c>
      <c r="U1087" s="14" t="str">
        <f>VLOOKUP(K1087,[1]Lookups!$B$3:$C$142,2,FALSE)</f>
        <v>Financial Services</v>
      </c>
      <c r="V1087" s="14">
        <f t="shared" si="1230"/>
        <v>2019</v>
      </c>
      <c r="W1087" s="14">
        <f t="shared" si="1231"/>
        <v>5</v>
      </c>
      <c r="X1087" s="14">
        <f>VLOOKUP(W1087,[1]Lookups!$P$3:$S$15,2,FALSE)</f>
        <v>2</v>
      </c>
      <c r="Y1087" s="16">
        <f>VLOOKUP(W1087,[1]Lookups!$P$3:$U$15,3,FALSE)</f>
        <v>1</v>
      </c>
      <c r="Z1087" s="16">
        <f t="shared" si="1232"/>
        <v>1</v>
      </c>
      <c r="AA1087" s="16" t="str">
        <f t="shared" ca="1" si="1406"/>
        <v>Algebra Ventures</v>
      </c>
      <c r="AB1087" s="16">
        <f t="shared" si="1406"/>
        <v>0</v>
      </c>
      <c r="AC1087" s="16">
        <f t="shared" si="1406"/>
        <v>0</v>
      </c>
      <c r="AD1087" s="16">
        <f t="shared" si="1406"/>
        <v>0</v>
      </c>
      <c r="AE1087" s="16">
        <f t="shared" si="1406"/>
        <v>0</v>
      </c>
      <c r="AF1087" s="16">
        <f t="shared" si="1406"/>
        <v>0</v>
      </c>
      <c r="AG1087" s="16">
        <f t="shared" si="1406"/>
        <v>0</v>
      </c>
      <c r="AH1087" s="16">
        <f t="shared" si="1406"/>
        <v>0</v>
      </c>
      <c r="AI1087" s="16">
        <f t="shared" si="1406"/>
        <v>0</v>
      </c>
      <c r="AJ1087" s="16">
        <f t="shared" si="1406"/>
        <v>0</v>
      </c>
      <c r="AK1087" s="16">
        <f t="shared" si="1406"/>
        <v>0</v>
      </c>
      <c r="AL1087" s="16">
        <f t="shared" si="1406"/>
        <v>0</v>
      </c>
      <c r="AM1087" s="16">
        <f t="shared" si="1406"/>
        <v>0</v>
      </c>
      <c r="AN1087" s="16">
        <f t="shared" si="1406"/>
        <v>0</v>
      </c>
      <c r="AO1087" s="16">
        <f t="shared" si="1406"/>
        <v>0</v>
      </c>
      <c r="AP1087" s="10"/>
      <c r="AQ1087" s="10"/>
      <c r="AR1087" s="10"/>
      <c r="AS1087" s="10" t="str">
        <f t="shared" ref="AS1087" ca="1" si="1414">IFERROR(__xludf.DUMMYFUNCTION("split(F968,"","",true,true)"),"Algebra Ventures")</f>
        <v>Algebra Ventures</v>
      </c>
      <c r="AT1087" s="10"/>
      <c r="AU1087" s="10"/>
      <c r="AV1087" s="10"/>
      <c r="AW1087" s="10"/>
      <c r="AX1087" s="10"/>
      <c r="AY1087" s="10"/>
      <c r="AZ1087" s="10"/>
      <c r="BA1087" s="10"/>
      <c r="BB1087" s="10"/>
      <c r="BC1087" s="10"/>
      <c r="BD1087" s="10"/>
      <c r="BE1087" s="10"/>
      <c r="BF1087" s="10"/>
      <c r="BG1087" s="10"/>
      <c r="BH1087" s="10"/>
      <c r="BI1087" s="10"/>
      <c r="BJ1087" s="10"/>
      <c r="BK1087" s="10"/>
      <c r="BM1087" s="10"/>
    </row>
    <row r="1088" spans="1:65" ht="12.75">
      <c r="A1088" s="9">
        <v>43606</v>
      </c>
      <c r="B1088" s="10" t="s">
        <v>2291</v>
      </c>
      <c r="C1088" s="11">
        <v>2000000</v>
      </c>
      <c r="D1088" s="12"/>
      <c r="E1088" s="10" t="s">
        <v>2279</v>
      </c>
      <c r="F1088" s="10" t="s">
        <v>49</v>
      </c>
      <c r="G1088" s="13" t="s">
        <v>2292</v>
      </c>
      <c r="H1088" s="14" t="str">
        <f t="array" ref="H1088">IFERROR(INDEX([1]Companies!$G:$G,MATCH(B1088,[1]Companies!$A:$A,0)),"")</f>
        <v>South Africa</v>
      </c>
      <c r="I1088" s="14" t="str">
        <f t="shared" si="1299"/>
        <v>South Africa</v>
      </c>
      <c r="J1088" s="14" t="str">
        <f t="array" ref="J1088">IFERROR(INDEX([1]Companies!$Y:$Y,MATCH(B1088,[1]Companies!$A:$A,0)),"")</f>
        <v>FinTech, Professional Services</v>
      </c>
      <c r="K1088" s="14" t="str">
        <f t="array" ref="K1088">IFERROR(INDEX([1]Companies!$X:$X,MATCH(B1088,[1]Companies!$A:$A,0)),"")</f>
        <v>Information Technology</v>
      </c>
      <c r="L1088" s="14" t="str">
        <f>VLOOKUP(B1088,[1]Companies!$A$1:$C$5243,1,FALSE)</f>
        <v>Intergreatme</v>
      </c>
      <c r="M1088" s="15">
        <f t="shared" si="1300"/>
        <v>0.9</v>
      </c>
      <c r="N1088" s="10" t="str">
        <f t="shared" si="1301"/>
        <v>43606Intergreatme2000000</v>
      </c>
      <c r="O1088" s="14" t="str">
        <f t="shared" si="1399"/>
        <v/>
      </c>
      <c r="P1088" s="14">
        <f t="shared" si="1400"/>
        <v>1</v>
      </c>
      <c r="Q1088" s="14">
        <f t="array" ref="Q1088">IFERROR(INDEX([1]Companies!$D:$D,MATCH(B1088,[1]Companies!$A:$A,0)),"")</f>
        <v>2017</v>
      </c>
      <c r="R1088" s="17">
        <f t="shared" si="1401"/>
        <v>4190000</v>
      </c>
      <c r="S1088" s="14">
        <f>VLOOKUP(I1088,[1]Lookups!$V$3:$Y$197,4,FALSE)</f>
        <v>0</v>
      </c>
      <c r="T1088" s="14" t="str">
        <f>VLOOKUP(E1088,[1]Lookups!$H$3:$I$71,2,FALSE)</f>
        <v>7. Offerings</v>
      </c>
      <c r="U1088" s="14" t="str">
        <f>VLOOKUP(K1088,[1]Lookups!$B$3:$C$142,2,FALSE)</f>
        <v>Other Technologies &amp; Information Technology</v>
      </c>
      <c r="V1088" s="14">
        <f t="shared" si="1230"/>
        <v>2019</v>
      </c>
      <c r="W1088" s="14">
        <f t="shared" si="1231"/>
        <v>5</v>
      </c>
      <c r="X1088" s="14">
        <f>VLOOKUP(W1088,[1]Lookups!$P$3:$S$15,2,FALSE)</f>
        <v>2</v>
      </c>
      <c r="Y1088" s="16">
        <f>VLOOKUP(W1088,[1]Lookups!$P$3:$U$15,3,FALSE)</f>
        <v>1</v>
      </c>
      <c r="Z1088" s="16">
        <f t="shared" si="1232"/>
        <v>1</v>
      </c>
      <c r="AA1088" s="16" t="str">
        <f t="shared" ca="1" si="1406"/>
        <v>Algebra Ventures</v>
      </c>
      <c r="AB1088" s="16">
        <f t="shared" si="1406"/>
        <v>0</v>
      </c>
      <c r="AC1088" s="16">
        <f t="shared" si="1406"/>
        <v>0</v>
      </c>
      <c r="AD1088" s="16">
        <f t="shared" si="1406"/>
        <v>0</v>
      </c>
      <c r="AE1088" s="16">
        <f t="shared" si="1406"/>
        <v>0</v>
      </c>
      <c r="AF1088" s="16">
        <f t="shared" si="1406"/>
        <v>0</v>
      </c>
      <c r="AG1088" s="16">
        <f t="shared" si="1406"/>
        <v>0</v>
      </c>
      <c r="AH1088" s="16">
        <f t="shared" si="1406"/>
        <v>0</v>
      </c>
      <c r="AI1088" s="16">
        <f t="shared" si="1406"/>
        <v>0</v>
      </c>
      <c r="AJ1088" s="16">
        <f t="shared" si="1406"/>
        <v>0</v>
      </c>
      <c r="AK1088" s="16">
        <f t="shared" si="1406"/>
        <v>0</v>
      </c>
      <c r="AL1088" s="16">
        <f t="shared" si="1406"/>
        <v>0</v>
      </c>
      <c r="AM1088" s="16">
        <f t="shared" si="1406"/>
        <v>0</v>
      </c>
      <c r="AN1088" s="16">
        <f t="shared" si="1406"/>
        <v>0</v>
      </c>
      <c r="AO1088" s="16">
        <f t="shared" si="1406"/>
        <v>0</v>
      </c>
      <c r="AP1088" s="10"/>
      <c r="AQ1088" s="10"/>
      <c r="AR1088" s="10"/>
      <c r="AS1088" s="10" t="str">
        <f t="shared" ref="AS1088" ca="1" si="1415">IFERROR(__xludf.DUMMYFUNCTION("split(F968,"","",true,true)"),"Algebra Ventures")</f>
        <v>Algebra Ventures</v>
      </c>
      <c r="AT1088" s="10"/>
      <c r="AU1088" s="10"/>
      <c r="AV1088" s="10"/>
      <c r="AW1088" s="10"/>
      <c r="AX1088" s="10"/>
      <c r="AY1088" s="10"/>
      <c r="AZ1088" s="10"/>
      <c r="BA1088" s="10"/>
      <c r="BB1088" s="10"/>
      <c r="BC1088" s="10"/>
      <c r="BD1088" s="10"/>
      <c r="BE1088" s="10"/>
      <c r="BF1088" s="10"/>
      <c r="BG1088" s="10"/>
      <c r="BH1088" s="10"/>
      <c r="BI1088" s="10"/>
      <c r="BJ1088" s="10"/>
      <c r="BK1088" s="10"/>
      <c r="BM1088" s="10"/>
    </row>
    <row r="1089" spans="1:65" ht="12.75">
      <c r="A1089" s="18">
        <v>43606</v>
      </c>
      <c r="B1089" s="14" t="s">
        <v>530</v>
      </c>
      <c r="C1089" s="19">
        <v>760000</v>
      </c>
      <c r="D1089" s="19"/>
      <c r="E1089" s="14" t="s">
        <v>45</v>
      </c>
      <c r="F1089" s="14" t="s">
        <v>49</v>
      </c>
      <c r="G1089" s="27" t="s">
        <v>2293</v>
      </c>
      <c r="H1089" s="14" t="str">
        <f t="array" ref="H1089">IFERROR(INDEX([1]Companies!$G:$G,MATCH(B1089,[1]Companies!$A:$A,0)),"")</f>
        <v>South Africa</v>
      </c>
      <c r="I1089" s="14" t="str">
        <f t="shared" si="1299"/>
        <v>South Africa</v>
      </c>
      <c r="J1089" s="14" t="str">
        <f t="array" ref="J1089">IFERROR(INDEX([1]Companies!$Y:$Y,MATCH(B1089,[1]Companies!$A:$A,0)),"")</f>
        <v>Solar Energy Project Financing, Solar Power, Blockchain, Internet of Things, Ethereum Smart Contracts, Bitcoin</v>
      </c>
      <c r="K1089" s="14" t="str">
        <f t="array" ref="K1089">IFERROR(INDEX([1]Companies!$X:$X,MATCH(B1089,[1]Companies!$A:$A,0)),"")</f>
        <v>Financial Services</v>
      </c>
      <c r="L1089" s="14" t="str">
        <f>VLOOKUP(B1089,[1]Companies!$A$1:$C$5243,1,FALSE)</f>
        <v xml:space="preserve">The Sun Exchange </v>
      </c>
      <c r="M1089" s="15">
        <f t="shared" si="1300"/>
        <v>0.9</v>
      </c>
      <c r="N1089" s="10" t="str">
        <f t="shared" si="1301"/>
        <v>43606The Sun Exchange 760000</v>
      </c>
      <c r="O1089" s="14" t="str">
        <f t="shared" si="1399"/>
        <v/>
      </c>
      <c r="P1089" s="14">
        <f t="shared" si="1400"/>
        <v>1</v>
      </c>
      <c r="Q1089" s="14">
        <f t="array" ref="Q1089">IFERROR(INDEX([1]Companies!$D:$D,MATCH(B1089,[1]Companies!$A:$A,0)),"")</f>
        <v>2015</v>
      </c>
      <c r="R1089" s="17">
        <f t="shared" si="1401"/>
        <v>3920000</v>
      </c>
      <c r="S1089" s="14">
        <f>VLOOKUP(I1089,[1]Lookups!$V$3:$Y$197,4,FALSE)</f>
        <v>0</v>
      </c>
      <c r="T1089" s="14" t="str">
        <f>VLOOKUP(E1089,[1]Lookups!$H$3:$I$71,2,FALSE)</f>
        <v>2. Seed</v>
      </c>
      <c r="U1089" s="14" t="str">
        <f>VLOOKUP(K1089,[1]Lookups!$B$3:$C$142,2,FALSE)</f>
        <v>Financial Services</v>
      </c>
      <c r="V1089" s="14">
        <f t="shared" si="1230"/>
        <v>2019</v>
      </c>
      <c r="W1089" s="14">
        <f t="shared" si="1231"/>
        <v>5</v>
      </c>
      <c r="X1089" s="14">
        <f>VLOOKUP(W1089,[1]Lookups!$P$3:$S$15,2,FALSE)</f>
        <v>2</v>
      </c>
      <c r="Y1089" s="16">
        <f>VLOOKUP(W1089,[1]Lookups!$P$3:$U$15,3,FALSE)</f>
        <v>1</v>
      </c>
      <c r="Z1089" s="16">
        <f t="shared" si="1232"/>
        <v>1</v>
      </c>
      <c r="AA1089" s="16" t="str">
        <f t="shared" ca="1" si="1406"/>
        <v>Algebra Ventures</v>
      </c>
      <c r="AB1089" s="16">
        <f t="shared" si="1406"/>
        <v>0</v>
      </c>
      <c r="AC1089" s="16">
        <f t="shared" si="1406"/>
        <v>0</v>
      </c>
      <c r="AD1089" s="16">
        <f t="shared" si="1406"/>
        <v>0</v>
      </c>
      <c r="AE1089" s="16">
        <f t="shared" si="1406"/>
        <v>0</v>
      </c>
      <c r="AF1089" s="16">
        <f t="shared" si="1406"/>
        <v>0</v>
      </c>
      <c r="AG1089" s="16">
        <f t="shared" si="1406"/>
        <v>0</v>
      </c>
      <c r="AH1089" s="16">
        <f t="shared" si="1406"/>
        <v>0</v>
      </c>
      <c r="AI1089" s="16">
        <f t="shared" si="1406"/>
        <v>0</v>
      </c>
      <c r="AJ1089" s="16">
        <f t="shared" si="1406"/>
        <v>0</v>
      </c>
      <c r="AK1089" s="16">
        <f t="shared" si="1406"/>
        <v>0</v>
      </c>
      <c r="AL1089" s="16">
        <f t="shared" si="1406"/>
        <v>0</v>
      </c>
      <c r="AM1089" s="16">
        <f t="shared" si="1406"/>
        <v>0</v>
      </c>
      <c r="AN1089" s="16">
        <f t="shared" si="1406"/>
        <v>0</v>
      </c>
      <c r="AO1089" s="16">
        <f t="shared" si="1406"/>
        <v>0</v>
      </c>
      <c r="AP1089" s="10"/>
      <c r="AQ1089" s="10"/>
      <c r="AR1089" s="10"/>
      <c r="AS1089" s="10" t="str">
        <f t="shared" ref="AS1089" ca="1" si="1416">IFERROR(__xludf.DUMMYFUNCTION("split(F968,"","",true,true)"),"Algebra Ventures")</f>
        <v>Algebra Ventures</v>
      </c>
      <c r="AT1089" s="10"/>
      <c r="AU1089" s="10"/>
      <c r="AV1089" s="10"/>
      <c r="AW1089" s="10"/>
      <c r="AX1089" s="10"/>
      <c r="AY1089" s="10"/>
      <c r="AZ1089" s="10"/>
      <c r="BA1089" s="10"/>
      <c r="BB1089" s="10"/>
      <c r="BC1089" s="10"/>
      <c r="BD1089" s="10"/>
      <c r="BE1089" s="10"/>
      <c r="BF1089" s="10"/>
      <c r="BG1089" s="10"/>
      <c r="BH1089" s="10"/>
      <c r="BI1089" s="10"/>
      <c r="BJ1089" s="10"/>
      <c r="BK1089" s="10"/>
      <c r="BM1089" s="10"/>
    </row>
    <row r="1090" spans="1:65" ht="12.75">
      <c r="A1090" s="9">
        <v>43607</v>
      </c>
      <c r="B1090" s="10" t="s">
        <v>1950</v>
      </c>
      <c r="C1090" s="11">
        <v>8000000</v>
      </c>
      <c r="D1090" s="12"/>
      <c r="E1090" s="10" t="s">
        <v>91</v>
      </c>
      <c r="F1090" s="10" t="s">
        <v>2294</v>
      </c>
      <c r="G1090" s="13" t="s">
        <v>2295</v>
      </c>
      <c r="H1090" s="14" t="str">
        <f t="array" ref="H1090">IFERROR(INDEX([1]Companies!$G:$G,MATCH(B1090,[1]Companies!$A:$A,0)),"")</f>
        <v>United Kingdom</v>
      </c>
      <c r="I1090" s="14" t="str">
        <f t="shared" si="1299"/>
        <v>United Kingdom</v>
      </c>
      <c r="J1090" s="14" t="str">
        <f t="array" ref="J1090">IFERROR(INDEX([1]Companies!$Y:$Y,MATCH(B1090,[1]Companies!$A:$A,0)),"")</f>
        <v>Electrical Distribution, Energy, Energy Management, Manufacturing, Product Design, Renewable Energy, Solar</v>
      </c>
      <c r="K1090" s="14" t="str">
        <f t="array" ref="K1090">IFERROR(INDEX([1]Companies!$X:$X,MATCH(B1090,[1]Companies!$A:$A,0)),"")</f>
        <v>Energy &amp; Environment Resources</v>
      </c>
      <c r="L1090" s="14" t="str">
        <f>VLOOKUP(B1090,[1]Companies!$A$1:$C$5243,1,FALSE)</f>
        <v>Bboxx</v>
      </c>
      <c r="M1090" s="15">
        <f t="shared" si="1300"/>
        <v>0.9</v>
      </c>
      <c r="N1090" s="10" t="str">
        <f t="shared" si="1301"/>
        <v>43607Bboxx8000000</v>
      </c>
      <c r="O1090" s="14" t="str">
        <f t="shared" si="1399"/>
        <v/>
      </c>
      <c r="P1090" s="14">
        <f t="shared" si="1400"/>
        <v>1</v>
      </c>
      <c r="Q1090" s="14">
        <f t="array" ref="Q1090">IFERROR(INDEX([1]Companies!$D:$D,MATCH(B1090,[1]Companies!$A:$A,0)),"")</f>
        <v>2010</v>
      </c>
      <c r="R1090" s="17">
        <f t="shared" si="1401"/>
        <v>120700000</v>
      </c>
      <c r="S1090" s="14">
        <f>VLOOKUP(I1090,[1]Lookups!$V$3:$Y$197,4,FALSE)</f>
        <v>1</v>
      </c>
      <c r="T1090" s="14" t="str">
        <f>VLOOKUP(E1090,[1]Lookups!$H$3:$I$71,2,FALSE)</f>
        <v>5. Debt Financing</v>
      </c>
      <c r="U1090" s="14" t="e">
        <f>VLOOKUP(K1090,[1]Lookups!$B$3:$C$142,2,FALSE)</f>
        <v>#N/A</v>
      </c>
      <c r="V1090" s="14">
        <f t="shared" si="1230"/>
        <v>2019</v>
      </c>
      <c r="W1090" s="14">
        <f t="shared" si="1231"/>
        <v>5</v>
      </c>
      <c r="X1090" s="14">
        <f>VLOOKUP(W1090,[1]Lookups!$P$3:$S$15,2,FALSE)</f>
        <v>2</v>
      </c>
      <c r="Y1090" s="16">
        <f>VLOOKUP(W1090,[1]Lookups!$P$3:$U$15,3,FALSE)</f>
        <v>1</v>
      </c>
      <c r="Z1090" s="16">
        <f t="shared" si="1232"/>
        <v>1</v>
      </c>
      <c r="AA1090" s="16" t="str">
        <f t="shared" ca="1" si="1406"/>
        <v>Algebra Ventures</v>
      </c>
      <c r="AB1090" s="16">
        <f t="shared" si="1406"/>
        <v>0</v>
      </c>
      <c r="AC1090" s="16">
        <f t="shared" si="1406"/>
        <v>0</v>
      </c>
      <c r="AD1090" s="16">
        <f t="shared" si="1406"/>
        <v>0</v>
      </c>
      <c r="AE1090" s="16">
        <f t="shared" si="1406"/>
        <v>0</v>
      </c>
      <c r="AF1090" s="16">
        <f t="shared" si="1406"/>
        <v>0</v>
      </c>
      <c r="AG1090" s="16">
        <f t="shared" si="1406"/>
        <v>0</v>
      </c>
      <c r="AH1090" s="16">
        <f t="shared" si="1406"/>
        <v>0</v>
      </c>
      <c r="AI1090" s="16">
        <f t="shared" si="1406"/>
        <v>0</v>
      </c>
      <c r="AJ1090" s="16">
        <f t="shared" si="1406"/>
        <v>0</v>
      </c>
      <c r="AK1090" s="16">
        <f t="shared" si="1406"/>
        <v>0</v>
      </c>
      <c r="AL1090" s="16">
        <f t="shared" si="1406"/>
        <v>0</v>
      </c>
      <c r="AM1090" s="16">
        <f t="shared" si="1406"/>
        <v>0</v>
      </c>
      <c r="AN1090" s="16">
        <f t="shared" si="1406"/>
        <v>0</v>
      </c>
      <c r="AO1090" s="16">
        <f t="shared" si="1406"/>
        <v>0</v>
      </c>
      <c r="AP1090" s="10"/>
      <c r="AQ1090" s="10"/>
      <c r="AR1090" s="10"/>
      <c r="AS1090" s="10" t="str">
        <f t="shared" ref="AS1090" ca="1" si="1417">IFERROR(__xludf.DUMMYFUNCTION("split(F968,"","",true,true)"),"Algebra Ventures")</f>
        <v>Algebra Ventures</v>
      </c>
      <c r="AT1090" s="10"/>
      <c r="AU1090" s="10"/>
      <c r="AV1090" s="10"/>
      <c r="AW1090" s="10"/>
      <c r="AX1090" s="10"/>
      <c r="AY1090" s="10"/>
      <c r="AZ1090" s="10"/>
      <c r="BA1090" s="10"/>
      <c r="BB1090" s="10"/>
      <c r="BC1090" s="10"/>
      <c r="BD1090" s="10"/>
      <c r="BE1090" s="10"/>
      <c r="BF1090" s="10"/>
      <c r="BG1090" s="10"/>
      <c r="BH1090" s="10"/>
      <c r="BI1090" s="10"/>
      <c r="BJ1090" s="10"/>
      <c r="BK1090" s="10"/>
      <c r="BM1090" s="10"/>
    </row>
    <row r="1091" spans="1:65" ht="12.75">
      <c r="A1091" s="9">
        <v>43607</v>
      </c>
      <c r="B1091" s="10" t="s">
        <v>224</v>
      </c>
      <c r="C1091" s="11">
        <v>1500000</v>
      </c>
      <c r="D1091" s="12"/>
      <c r="E1091" s="10" t="s">
        <v>45</v>
      </c>
      <c r="F1091" s="10" t="s">
        <v>2296</v>
      </c>
      <c r="G1091" s="13" t="s">
        <v>2297</v>
      </c>
      <c r="H1091" s="14" t="str">
        <f t="array" ref="H1091">IFERROR(INDEX([1]Companies!$G:$G,MATCH(B1091,[1]Companies!$A:$A,0)),"")</f>
        <v>Egypt</v>
      </c>
      <c r="I1091" s="14" t="str">
        <f t="shared" si="1299"/>
        <v>Egypt</v>
      </c>
      <c r="J1091" s="14" t="str">
        <f t="array" ref="J1091">IFERROR(INDEX([1]Companies!$Y:$Y,MATCH(B1091,[1]Companies!$A:$A,0)),"")</f>
        <v>Catering, Delivery, Food and Beverage, Food Delivery, Marketplace, Subscription Service</v>
      </c>
      <c r="K1091" s="14" t="str">
        <f t="array" ref="K1091">IFERROR(INDEX([1]Companies!$X:$X,MATCH(B1091,[1]Companies!$A:$A,0)),"")</f>
        <v>E-Commerce &amp; Retail</v>
      </c>
      <c r="L1091" s="14" t="str">
        <f>VLOOKUP(B1091,[1]Companies!$A$1:$C$5243,1,FALSE)</f>
        <v>Yumamia</v>
      </c>
      <c r="M1091" s="15">
        <f t="shared" si="1300"/>
        <v>0.9</v>
      </c>
      <c r="N1091" s="10" t="str">
        <f t="shared" si="1301"/>
        <v>43607Yumamia1500000</v>
      </c>
      <c r="O1091" s="14" t="str">
        <f t="shared" si="1399"/>
        <v/>
      </c>
      <c r="P1091" s="14">
        <f t="shared" si="1400"/>
        <v>1</v>
      </c>
      <c r="Q1091" s="14">
        <f t="array" ref="Q1091">IFERROR(INDEX([1]Companies!$D:$D,MATCH(B1091,[1]Companies!$A:$A,0)),"")</f>
        <v>2014</v>
      </c>
      <c r="R1091" s="17">
        <f t="shared" si="1401"/>
        <v>2750000</v>
      </c>
      <c r="S1091" s="14">
        <f>VLOOKUP(I1091,[1]Lookups!$V$3:$Y$197,4,FALSE)</f>
        <v>0</v>
      </c>
      <c r="T1091" s="14" t="str">
        <f>VLOOKUP(E1091,[1]Lookups!$H$3:$I$71,2,FALSE)</f>
        <v>2. Seed</v>
      </c>
      <c r="U1091" s="14" t="str">
        <f>VLOOKUP(K1091,[1]Lookups!$B$3:$C$142,2,FALSE)</f>
        <v>E-commerce &amp; Retail</v>
      </c>
      <c r="V1091" s="14">
        <f t="shared" si="1230"/>
        <v>2019</v>
      </c>
      <c r="W1091" s="14">
        <f t="shared" si="1231"/>
        <v>5</v>
      </c>
      <c r="X1091" s="14">
        <f>VLOOKUP(W1091,[1]Lookups!$P$3:$S$15,2,FALSE)</f>
        <v>2</v>
      </c>
      <c r="Y1091" s="16">
        <f>VLOOKUP(W1091,[1]Lookups!$P$3:$U$15,3,FALSE)</f>
        <v>1</v>
      </c>
      <c r="Z1091" s="16">
        <f t="shared" si="1232"/>
        <v>1</v>
      </c>
      <c r="AA1091" s="16" t="str">
        <f t="shared" ca="1" si="1406"/>
        <v>Algebra Ventures</v>
      </c>
      <c r="AB1091" s="16">
        <f t="shared" si="1406"/>
        <v>0</v>
      </c>
      <c r="AC1091" s="16">
        <f t="shared" si="1406"/>
        <v>0</v>
      </c>
      <c r="AD1091" s="16">
        <f t="shared" si="1406"/>
        <v>0</v>
      </c>
      <c r="AE1091" s="16">
        <f t="shared" si="1406"/>
        <v>0</v>
      </c>
      <c r="AF1091" s="16">
        <f t="shared" si="1406"/>
        <v>0</v>
      </c>
      <c r="AG1091" s="16">
        <f t="shared" si="1406"/>
        <v>0</v>
      </c>
      <c r="AH1091" s="16">
        <f t="shared" si="1406"/>
        <v>0</v>
      </c>
      <c r="AI1091" s="16">
        <f t="shared" si="1406"/>
        <v>0</v>
      </c>
      <c r="AJ1091" s="16">
        <f t="shared" si="1406"/>
        <v>0</v>
      </c>
      <c r="AK1091" s="16">
        <f t="shared" si="1406"/>
        <v>0</v>
      </c>
      <c r="AL1091" s="16">
        <f t="shared" si="1406"/>
        <v>0</v>
      </c>
      <c r="AM1091" s="16">
        <f t="shared" si="1406"/>
        <v>0</v>
      </c>
      <c r="AN1091" s="16">
        <f t="shared" si="1406"/>
        <v>0</v>
      </c>
      <c r="AO1091" s="16">
        <f t="shared" si="1406"/>
        <v>0</v>
      </c>
      <c r="AP1091" s="10"/>
      <c r="AQ1091" s="10"/>
      <c r="AR1091" s="10"/>
      <c r="AS1091" s="10" t="str">
        <f t="shared" ref="AS1091" ca="1" si="1418">IFERROR(__xludf.DUMMYFUNCTION("split(F968,"","",true,true)"),"Algebra Ventures")</f>
        <v>Algebra Ventures</v>
      </c>
      <c r="AT1091" s="10"/>
      <c r="AU1091" s="10"/>
      <c r="AV1091" s="10"/>
      <c r="AW1091" s="10"/>
      <c r="AX1091" s="10"/>
      <c r="AY1091" s="10"/>
      <c r="AZ1091" s="10"/>
      <c r="BA1091" s="10"/>
      <c r="BB1091" s="10"/>
      <c r="BC1091" s="10"/>
      <c r="BD1091" s="10"/>
      <c r="BE1091" s="10"/>
      <c r="BF1091" s="10"/>
      <c r="BG1091" s="10"/>
      <c r="BH1091" s="10"/>
      <c r="BI1091" s="10"/>
      <c r="BJ1091" s="10"/>
      <c r="BK1091" s="10"/>
      <c r="BM1091" s="10"/>
    </row>
    <row r="1092" spans="1:65" ht="12.75">
      <c r="A1092" s="9">
        <v>43608</v>
      </c>
      <c r="B1092" s="10" t="s">
        <v>482</v>
      </c>
      <c r="C1092" s="11" t="s">
        <v>49</v>
      </c>
      <c r="D1092" s="12"/>
      <c r="E1092" s="10" t="s">
        <v>45</v>
      </c>
      <c r="F1092" s="10" t="s">
        <v>2298</v>
      </c>
      <c r="G1092" s="13" t="s">
        <v>2299</v>
      </c>
      <c r="H1092" s="14" t="str">
        <f t="array" ref="H1092">IFERROR(INDEX([1]Companies!$G:$G,MATCH(B1092,[1]Companies!$A:$A,0)),"")</f>
        <v>Egypt</v>
      </c>
      <c r="I1092" s="14" t="str">
        <f t="shared" si="1299"/>
        <v>Egypt</v>
      </c>
      <c r="J1092" s="14" t="str">
        <f t="array" ref="J1092">IFERROR(INDEX([1]Companies!$Y:$Y,MATCH(B1092,[1]Companies!$A:$A,0)),"")</f>
        <v>E-Commerce, Food and Beverage, Food Delivery, Marketplace</v>
      </c>
      <c r="K1092" s="14" t="str">
        <f t="array" ref="K1092">IFERROR(INDEX([1]Companies!$X:$X,MATCH(B1092,[1]Companies!$A:$A,0)),"")</f>
        <v>E-Commerce &amp; Retail</v>
      </c>
      <c r="L1092" s="14" t="str">
        <f>VLOOKUP(B1092,[1]Companies!$A$1:$C$5243,1,FALSE)</f>
        <v>Mumm</v>
      </c>
      <c r="M1092" s="15">
        <f t="shared" si="1300"/>
        <v>0.9</v>
      </c>
      <c r="N1092" s="10" t="str">
        <f t="shared" si="1301"/>
        <v>43608MummUndisclosed</v>
      </c>
      <c r="O1092" s="14" t="str">
        <f t="shared" si="1399"/>
        <v/>
      </c>
      <c r="P1092" s="14">
        <f t="shared" si="1400"/>
        <v>0</v>
      </c>
      <c r="Q1092" s="14">
        <f t="array" ref="Q1092">IFERROR(INDEX([1]Companies!$D:$D,MATCH(B1092,[1]Companies!$A:$A,0)),"")</f>
        <v>2015</v>
      </c>
      <c r="R1092" s="17">
        <f t="shared" si="1401"/>
        <v>450000</v>
      </c>
      <c r="S1092" s="14">
        <f>VLOOKUP(I1092,[1]Lookups!$V$3:$Y$197,4,FALSE)</f>
        <v>0</v>
      </c>
      <c r="T1092" s="14" t="str">
        <f>VLOOKUP(E1092,[1]Lookups!$H$3:$I$71,2,FALSE)</f>
        <v>2. Seed</v>
      </c>
      <c r="U1092" s="14" t="str">
        <f>VLOOKUP(K1092,[1]Lookups!$B$3:$C$142,2,FALSE)</f>
        <v>E-commerce &amp; Retail</v>
      </c>
      <c r="V1092" s="14">
        <f t="shared" si="1230"/>
        <v>2019</v>
      </c>
      <c r="W1092" s="14">
        <f t="shared" si="1231"/>
        <v>5</v>
      </c>
      <c r="X1092" s="14">
        <f>VLOOKUP(W1092,[1]Lookups!$P$3:$S$15,2,FALSE)</f>
        <v>2</v>
      </c>
      <c r="Y1092" s="16">
        <f>VLOOKUP(W1092,[1]Lookups!$P$3:$U$15,3,FALSE)</f>
        <v>1</v>
      </c>
      <c r="Z1092" s="16">
        <f t="shared" si="1232"/>
        <v>2</v>
      </c>
      <c r="AA1092" s="16" t="str">
        <f t="shared" ca="1" si="1406"/>
        <v>Algebra Ventures</v>
      </c>
      <c r="AB1092" s="16" t="str">
        <f t="shared" ca="1" si="1406"/>
        <v xml:space="preserve"> A15</v>
      </c>
      <c r="AC1092" s="16">
        <f t="shared" si="1406"/>
        <v>0</v>
      </c>
      <c r="AD1092" s="16">
        <f t="shared" si="1406"/>
        <v>0</v>
      </c>
      <c r="AE1092" s="16">
        <f t="shared" si="1406"/>
        <v>0</v>
      </c>
      <c r="AF1092" s="16">
        <f t="shared" si="1406"/>
        <v>0</v>
      </c>
      <c r="AG1092" s="16">
        <f t="shared" si="1406"/>
        <v>0</v>
      </c>
      <c r="AH1092" s="16">
        <f t="shared" si="1406"/>
        <v>0</v>
      </c>
      <c r="AI1092" s="16">
        <f t="shared" si="1406"/>
        <v>0</v>
      </c>
      <c r="AJ1092" s="16">
        <f t="shared" si="1406"/>
        <v>0</v>
      </c>
      <c r="AK1092" s="16">
        <f t="shared" si="1406"/>
        <v>0</v>
      </c>
      <c r="AL1092" s="16">
        <f t="shared" si="1406"/>
        <v>0</v>
      </c>
      <c r="AM1092" s="16">
        <f t="shared" si="1406"/>
        <v>0</v>
      </c>
      <c r="AN1092" s="16">
        <f t="shared" si="1406"/>
        <v>0</v>
      </c>
      <c r="AO1092" s="16">
        <f t="shared" si="1406"/>
        <v>0</v>
      </c>
      <c r="AP1092" s="10"/>
      <c r="AQ1092" s="10"/>
      <c r="AR1092" s="10"/>
      <c r="AS1092" s="10" t="str">
        <f t="shared" ref="AS1092" ca="1" si="1419">IFERROR(__xludf.DUMMYFUNCTION("split(F968,"","",true,true)"),"Algebra Ventures")</f>
        <v>Algebra Ventures</v>
      </c>
      <c r="AT1092" s="10" t="str">
        <f ca="1">IFERROR(__xludf.DUMMYFUNCTION("""COMPUTED_VALUE""")," A15")</f>
        <v xml:space="preserve"> A15</v>
      </c>
      <c r="AU1092" s="10"/>
      <c r="AV1092" s="10"/>
      <c r="AW1092" s="10"/>
      <c r="AX1092" s="10"/>
      <c r="AY1092" s="10"/>
      <c r="AZ1092" s="10"/>
      <c r="BA1092" s="10"/>
      <c r="BB1092" s="10"/>
      <c r="BC1092" s="10"/>
      <c r="BD1092" s="10"/>
      <c r="BE1092" s="10"/>
      <c r="BF1092" s="10"/>
      <c r="BG1092" s="10"/>
      <c r="BH1092" s="10"/>
      <c r="BI1092" s="10"/>
      <c r="BJ1092" s="10"/>
      <c r="BK1092" s="10"/>
      <c r="BM1092" s="10"/>
    </row>
    <row r="1093" spans="1:65" ht="12.75">
      <c r="A1093" s="9">
        <v>43609</v>
      </c>
      <c r="B1093" s="10" t="s">
        <v>1071</v>
      </c>
      <c r="C1093" s="11">
        <v>5300000</v>
      </c>
      <c r="D1093" s="12"/>
      <c r="E1093" s="10" t="s">
        <v>69</v>
      </c>
      <c r="F1093" s="10" t="s">
        <v>2300</v>
      </c>
      <c r="G1093" s="13" t="s">
        <v>2301</v>
      </c>
      <c r="H1093" s="14" t="str">
        <f t="array" ref="H1093">IFERROR(INDEX([1]Companies!$G:$G,MATCH(B1093,[1]Companies!$A:$A,0)),"")</f>
        <v>Nigeria</v>
      </c>
      <c r="I1093" s="14" t="str">
        <f t="shared" si="1299"/>
        <v>Nigeria</v>
      </c>
      <c r="J1093" s="14" t="str">
        <f t="array" ref="J1093">IFERROR(INDEX([1]Companies!$Y:$Y,MATCH(B1093,[1]Companies!$A:$A,0)),"")</f>
        <v>Private Transport, Logistics, Ride-Hailing, Transportation, Moto-Taxi, Okada, logistics</v>
      </c>
      <c r="K1093" s="14" t="str">
        <f t="array" ref="K1093">IFERROR(INDEX([1]Companies!$X:$X,MATCH(B1093,[1]Companies!$A:$A,0)),"")</f>
        <v>Transport &amp; Logistics</v>
      </c>
      <c r="L1093" s="14" t="str">
        <f>VLOOKUP(B1093,[1]Companies!$A$1:$C$5243,1,FALSE)</f>
        <v>Gokada</v>
      </c>
      <c r="M1093" s="15">
        <f t="shared" si="1300"/>
        <v>0.9</v>
      </c>
      <c r="N1093" s="10" t="str">
        <f t="shared" si="1301"/>
        <v>43609Gokada5300000</v>
      </c>
      <c r="O1093" s="14" t="str">
        <f t="shared" si="1399"/>
        <v/>
      </c>
      <c r="P1093" s="14">
        <f t="shared" si="1400"/>
        <v>1</v>
      </c>
      <c r="Q1093" s="14">
        <f t="array" ref="Q1093">IFERROR(INDEX([1]Companies!$D:$D,MATCH(B1093,[1]Companies!$A:$A,0)),"")</f>
        <v>2017</v>
      </c>
      <c r="R1093" s="17">
        <f t="shared" si="1401"/>
        <v>12507300</v>
      </c>
      <c r="S1093" s="14">
        <f>VLOOKUP(I1093,[1]Lookups!$V$3:$Y$197,4,FALSE)</f>
        <v>0</v>
      </c>
      <c r="T1093" s="14" t="str">
        <f>VLOOKUP(E1093,[1]Lookups!$H$3:$I$71,2,FALSE)</f>
        <v>3. Early Venture</v>
      </c>
      <c r="U1093" s="14" t="str">
        <f>VLOOKUP(K1093,[1]Lookups!$B$3:$C$142,2,FALSE)</f>
        <v>Transport &amp; Logistics</v>
      </c>
      <c r="V1093" s="14">
        <f t="shared" si="1230"/>
        <v>2019</v>
      </c>
      <c r="W1093" s="14">
        <f t="shared" si="1231"/>
        <v>5</v>
      </c>
      <c r="X1093" s="14">
        <f>VLOOKUP(W1093,[1]Lookups!$P$3:$S$15,2,FALSE)</f>
        <v>2</v>
      </c>
      <c r="Y1093" s="16">
        <f>VLOOKUP(W1093,[1]Lookups!$P$3:$U$15,3,FALSE)</f>
        <v>1</v>
      </c>
      <c r="Z1093" s="16">
        <f t="shared" si="1232"/>
        <v>4</v>
      </c>
      <c r="AA1093" s="16" t="str">
        <f t="shared" ca="1" si="1406"/>
        <v>Algebra Ventures</v>
      </c>
      <c r="AB1093" s="16" t="str">
        <f t="shared" ca="1" si="1406"/>
        <v xml:space="preserve"> Adventure Capital</v>
      </c>
      <c r="AC1093" s="16" t="str">
        <f t="shared" ca="1" si="1406"/>
        <v xml:space="preserve">  First MidWest Group</v>
      </c>
      <c r="AD1093" s="16" t="str">
        <f t="shared" ca="1" si="1406"/>
        <v xml:space="preserve"> IC Global Partners</v>
      </c>
      <c r="AE1093" s="16">
        <f t="shared" si="1406"/>
        <v>0</v>
      </c>
      <c r="AF1093" s="16">
        <f t="shared" si="1406"/>
        <v>0</v>
      </c>
      <c r="AG1093" s="16">
        <f t="shared" si="1406"/>
        <v>0</v>
      </c>
      <c r="AH1093" s="16">
        <f t="shared" si="1406"/>
        <v>0</v>
      </c>
      <c r="AI1093" s="16">
        <f t="shared" si="1406"/>
        <v>0</v>
      </c>
      <c r="AJ1093" s="16">
        <f t="shared" si="1406"/>
        <v>0</v>
      </c>
      <c r="AK1093" s="16">
        <f t="shared" si="1406"/>
        <v>0</v>
      </c>
      <c r="AL1093" s="16">
        <f t="shared" si="1406"/>
        <v>0</v>
      </c>
      <c r="AM1093" s="16">
        <f t="shared" si="1406"/>
        <v>0</v>
      </c>
      <c r="AN1093" s="16">
        <f t="shared" si="1406"/>
        <v>0</v>
      </c>
      <c r="AO1093" s="16">
        <f t="shared" si="1406"/>
        <v>0</v>
      </c>
      <c r="AP1093" s="10"/>
      <c r="AQ1093" s="10"/>
      <c r="AR1093" s="10"/>
      <c r="AS1093" s="10" t="str">
        <f t="shared" ref="AS1093" ca="1" si="1420">IFERROR(__xludf.DUMMYFUNCTION("split(F968,"","",true,true)"),"Algebra Ventures")</f>
        <v>Algebra Ventures</v>
      </c>
      <c r="AT1093" s="10" t="str">
        <f ca="1">IFERROR(__xludf.DUMMYFUNCTION("""COMPUTED_VALUE""")," Adventure Capital")</f>
        <v xml:space="preserve"> Adventure Capital</v>
      </c>
      <c r="AU1093" s="10" t="str">
        <f ca="1">IFERROR(__xludf.DUMMYFUNCTION("""COMPUTED_VALUE"""),"  First MidWest Group")</f>
        <v xml:space="preserve">  First MidWest Group</v>
      </c>
      <c r="AV1093" s="10" t="str">
        <f ca="1">IFERROR(__xludf.DUMMYFUNCTION("""COMPUTED_VALUE""")," IC Global Partners")</f>
        <v xml:space="preserve"> IC Global Partners</v>
      </c>
      <c r="AW1093" s="10"/>
      <c r="AX1093" s="10"/>
      <c r="AY1093" s="10"/>
      <c r="AZ1093" s="10"/>
      <c r="BA1093" s="10"/>
      <c r="BB1093" s="10"/>
      <c r="BC1093" s="10"/>
      <c r="BD1093" s="10"/>
      <c r="BE1093" s="10"/>
      <c r="BF1093" s="10"/>
      <c r="BG1093" s="10"/>
      <c r="BH1093" s="10"/>
      <c r="BI1093" s="10"/>
      <c r="BJ1093" s="10"/>
      <c r="BK1093" s="10"/>
      <c r="BM1093" s="10"/>
    </row>
    <row r="1094" spans="1:65" ht="12.75">
      <c r="A1094" s="9">
        <v>43609</v>
      </c>
      <c r="B1094" s="10" t="s">
        <v>2302</v>
      </c>
      <c r="C1094" s="11">
        <v>10000</v>
      </c>
      <c r="D1094" s="12"/>
      <c r="E1094" s="14" t="s">
        <v>234</v>
      </c>
      <c r="F1094" s="10" t="s">
        <v>49</v>
      </c>
      <c r="G1094" s="13" t="s">
        <v>2303</v>
      </c>
      <c r="H1094" s="14" t="str">
        <f t="array" ref="H1094">IFERROR(INDEX([1]Companies!$G:$G,MATCH(B1094,[1]Companies!$A:$A,0)),"")</f>
        <v>Nigeria</v>
      </c>
      <c r="I1094" s="14" t="str">
        <f t="shared" si="1299"/>
        <v>Nigeria</v>
      </c>
      <c r="J1094" s="14" t="str">
        <f t="array" ref="J1094">IFERROR(INDEX([1]Companies!$Y:$Y,MATCH(B1094,[1]Companies!$A:$A,0)),"")</f>
        <v>Agriculture, Blockchain, Cryptocurrency, E-Commerce, Financial Services, Human Resources, Retail</v>
      </c>
      <c r="K1094" s="14" t="str">
        <f t="array" ref="K1094">IFERROR(INDEX([1]Companies!$X:$X,MATCH(B1094,[1]Companies!$A:$A,0)),"")</f>
        <v>Agriculture</v>
      </c>
      <c r="L1094" s="14" t="str">
        <f>VLOOKUP(B1094,[1]Companies!$A$1:$C$5243,1,FALSE)</f>
        <v>Rucove</v>
      </c>
      <c r="M1094" s="15">
        <f t="shared" si="1300"/>
        <v>0.9</v>
      </c>
      <c r="N1094" s="10" t="str">
        <f t="shared" si="1301"/>
        <v>43609Rucove10000</v>
      </c>
      <c r="O1094" s="14" t="str">
        <f t="shared" si="1399"/>
        <v/>
      </c>
      <c r="P1094" s="14">
        <f t="shared" si="1400"/>
        <v>1</v>
      </c>
      <c r="Q1094" s="14">
        <f t="array" ref="Q1094">IFERROR(INDEX([1]Companies!$D:$D,MATCH(B1094,[1]Companies!$A:$A,0)),"")</f>
        <v>2018</v>
      </c>
      <c r="R1094" s="17">
        <f t="shared" si="1401"/>
        <v>10000</v>
      </c>
      <c r="S1094" s="14">
        <f>VLOOKUP(I1094,[1]Lookups!$V$3:$Y$197,4,FALSE)</f>
        <v>0</v>
      </c>
      <c r="T1094" s="14" t="str">
        <f>VLOOKUP(E1094,[1]Lookups!$H$3:$I$71,2,FALSE)</f>
        <v>2. Seed</v>
      </c>
      <c r="U1094" s="14" t="str">
        <f>VLOOKUP(K1094,[1]Lookups!$B$3:$C$142,2,FALSE)</f>
        <v>Agriculture</v>
      </c>
      <c r="V1094" s="14">
        <f t="shared" si="1230"/>
        <v>2019</v>
      </c>
      <c r="W1094" s="14">
        <f t="shared" si="1231"/>
        <v>5</v>
      </c>
      <c r="X1094" s="14">
        <f>VLOOKUP(W1094,[1]Lookups!$P$3:$S$15,2,FALSE)</f>
        <v>2</v>
      </c>
      <c r="Y1094" s="16">
        <f>VLOOKUP(W1094,[1]Lookups!$P$3:$U$15,3,FALSE)</f>
        <v>1</v>
      </c>
      <c r="Z1094" s="16">
        <f t="shared" si="1232"/>
        <v>1</v>
      </c>
      <c r="AA1094" s="16" t="str">
        <f t="shared" ca="1" si="1406"/>
        <v>Algebra Ventures</v>
      </c>
      <c r="AB1094" s="16">
        <f t="shared" si="1406"/>
        <v>0</v>
      </c>
      <c r="AC1094" s="16">
        <f t="shared" si="1406"/>
        <v>0</v>
      </c>
      <c r="AD1094" s="16">
        <f t="shared" si="1406"/>
        <v>0</v>
      </c>
      <c r="AE1094" s="16">
        <f t="shared" si="1406"/>
        <v>0</v>
      </c>
      <c r="AF1094" s="16">
        <f t="shared" si="1406"/>
        <v>0</v>
      </c>
      <c r="AG1094" s="16">
        <f t="shared" si="1406"/>
        <v>0</v>
      </c>
      <c r="AH1094" s="16">
        <f t="shared" si="1406"/>
        <v>0</v>
      </c>
      <c r="AI1094" s="16">
        <f t="shared" si="1406"/>
        <v>0</v>
      </c>
      <c r="AJ1094" s="16">
        <f t="shared" si="1406"/>
        <v>0</v>
      </c>
      <c r="AK1094" s="16">
        <f t="shared" si="1406"/>
        <v>0</v>
      </c>
      <c r="AL1094" s="16">
        <f t="shared" si="1406"/>
        <v>0</v>
      </c>
      <c r="AM1094" s="16">
        <f t="shared" si="1406"/>
        <v>0</v>
      </c>
      <c r="AN1094" s="16">
        <f t="shared" si="1406"/>
        <v>0</v>
      </c>
      <c r="AO1094" s="16">
        <f t="shared" si="1406"/>
        <v>0</v>
      </c>
      <c r="AP1094" s="10"/>
      <c r="AQ1094" s="10"/>
      <c r="AR1094" s="10"/>
      <c r="AS1094" s="10" t="str">
        <f t="shared" ref="AS1094" ca="1" si="1421">IFERROR(__xludf.DUMMYFUNCTION("split(F968,"","",true,true)"),"Algebra Ventures")</f>
        <v>Algebra Ventures</v>
      </c>
      <c r="AT1094" s="10"/>
      <c r="AU1094" s="10"/>
      <c r="AV1094" s="10"/>
      <c r="AW1094" s="10"/>
      <c r="AX1094" s="10"/>
      <c r="AY1094" s="10"/>
      <c r="AZ1094" s="10"/>
      <c r="BA1094" s="10"/>
      <c r="BB1094" s="10"/>
      <c r="BC1094" s="10"/>
      <c r="BD1094" s="10"/>
      <c r="BE1094" s="10"/>
      <c r="BF1094" s="10"/>
      <c r="BG1094" s="10"/>
      <c r="BH1094" s="10"/>
      <c r="BI1094" s="10"/>
      <c r="BJ1094" s="10"/>
      <c r="BK1094" s="10"/>
      <c r="BM1094" s="10"/>
    </row>
    <row r="1095" spans="1:65" ht="12.75">
      <c r="A1095" s="9">
        <v>43612</v>
      </c>
      <c r="B1095" s="10" t="s">
        <v>2304</v>
      </c>
      <c r="C1095" s="11">
        <v>500000</v>
      </c>
      <c r="D1095" s="12"/>
      <c r="E1095" s="10" t="s">
        <v>45</v>
      </c>
      <c r="F1095" s="10" t="s">
        <v>2305</v>
      </c>
      <c r="G1095" s="13" t="s">
        <v>2306</v>
      </c>
      <c r="H1095" s="14" t="str">
        <f t="array" ref="H1095">IFERROR(INDEX([1]Companies!$G:$G,MATCH(B1095,[1]Companies!$A:$A,0)),"")</f>
        <v>Egypt</v>
      </c>
      <c r="I1095" s="14" t="str">
        <f t="shared" si="1299"/>
        <v>Egypt</v>
      </c>
      <c r="J1095" s="14" t="str">
        <f t="array" ref="J1095">IFERROR(INDEX([1]Companies!$Y:$Y,MATCH(B1095,[1]Companies!$A:$A,0)),"")</f>
        <v>Analytics, Big Data, Content Creators, Content Marketing</v>
      </c>
      <c r="K1095" s="14" t="str">
        <f t="array" ref="K1095">IFERROR(INDEX([1]Companies!$X:$X,MATCH(B1095,[1]Companies!$A:$A,0)),"")</f>
        <v>Information Technology</v>
      </c>
      <c r="L1095" s="14" t="str">
        <f>VLOOKUP(B1095,[1]Companies!$A$1:$C$5243,1,FALSE)</f>
        <v>Mintrics</v>
      </c>
      <c r="M1095" s="15">
        <f t="shared" si="1300"/>
        <v>0.9</v>
      </c>
      <c r="N1095" s="10" t="str">
        <f t="shared" si="1301"/>
        <v>43612Mintrics500000</v>
      </c>
      <c r="O1095" s="14" t="str">
        <f t="shared" si="1399"/>
        <v/>
      </c>
      <c r="P1095" s="14">
        <f t="shared" si="1400"/>
        <v>1</v>
      </c>
      <c r="Q1095" s="14">
        <f t="array" ref="Q1095">IFERROR(INDEX([1]Companies!$D:$D,MATCH(B1095,[1]Companies!$A:$A,0)),"")</f>
        <v>2016</v>
      </c>
      <c r="R1095" s="17">
        <f t="shared" si="1401"/>
        <v>500000</v>
      </c>
      <c r="S1095" s="14">
        <f>VLOOKUP(I1095,[1]Lookups!$V$3:$Y$197,4,FALSE)</f>
        <v>0</v>
      </c>
      <c r="T1095" s="14" t="str">
        <f>VLOOKUP(E1095,[1]Lookups!$H$3:$I$71,2,FALSE)</f>
        <v>2. Seed</v>
      </c>
      <c r="U1095" s="14" t="str">
        <f>VLOOKUP(K1095,[1]Lookups!$B$3:$C$142,2,FALSE)</f>
        <v>Other Technologies &amp; Information Technology</v>
      </c>
      <c r="V1095" s="14">
        <f t="shared" si="1230"/>
        <v>2019</v>
      </c>
      <c r="W1095" s="14">
        <f t="shared" si="1231"/>
        <v>5</v>
      </c>
      <c r="X1095" s="14">
        <f>VLOOKUP(W1095,[1]Lookups!$P$3:$S$15,2,FALSE)</f>
        <v>2</v>
      </c>
      <c r="Y1095" s="16">
        <f>VLOOKUP(W1095,[1]Lookups!$P$3:$U$15,3,FALSE)</f>
        <v>1</v>
      </c>
      <c r="Z1095" s="16">
        <f t="shared" si="1232"/>
        <v>1</v>
      </c>
      <c r="AA1095" s="16" t="str">
        <f t="shared" ca="1" si="1406"/>
        <v>Algebra Ventures</v>
      </c>
      <c r="AB1095" s="16">
        <f t="shared" si="1406"/>
        <v>0</v>
      </c>
      <c r="AC1095" s="16">
        <f t="shared" si="1406"/>
        <v>0</v>
      </c>
      <c r="AD1095" s="16">
        <f t="shared" si="1406"/>
        <v>0</v>
      </c>
      <c r="AE1095" s="16">
        <f t="shared" si="1406"/>
        <v>0</v>
      </c>
      <c r="AF1095" s="16">
        <f t="shared" si="1406"/>
        <v>0</v>
      </c>
      <c r="AG1095" s="16">
        <f t="shared" si="1406"/>
        <v>0</v>
      </c>
      <c r="AH1095" s="16">
        <f t="shared" si="1406"/>
        <v>0</v>
      </c>
      <c r="AI1095" s="16">
        <f t="shared" si="1406"/>
        <v>0</v>
      </c>
      <c r="AJ1095" s="16">
        <f t="shared" si="1406"/>
        <v>0</v>
      </c>
      <c r="AK1095" s="16">
        <f t="shared" si="1406"/>
        <v>0</v>
      </c>
      <c r="AL1095" s="16">
        <f t="shared" si="1406"/>
        <v>0</v>
      </c>
      <c r="AM1095" s="16">
        <f t="shared" si="1406"/>
        <v>0</v>
      </c>
      <c r="AN1095" s="16">
        <f t="shared" si="1406"/>
        <v>0</v>
      </c>
      <c r="AO1095" s="16">
        <f t="shared" si="1406"/>
        <v>0</v>
      </c>
      <c r="AP1095" s="10"/>
      <c r="AQ1095" s="10"/>
      <c r="AR1095" s="10"/>
      <c r="AS1095" s="10" t="str">
        <f t="shared" ref="AS1095" ca="1" si="1422">IFERROR(__xludf.DUMMYFUNCTION("split(F968,"","",true,true)"),"Algebra Ventures")</f>
        <v>Algebra Ventures</v>
      </c>
      <c r="AT1095" s="10"/>
      <c r="AU1095" s="10"/>
      <c r="AV1095" s="10"/>
      <c r="AW1095" s="10"/>
      <c r="AX1095" s="10"/>
      <c r="AY1095" s="10"/>
      <c r="AZ1095" s="10"/>
      <c r="BA1095" s="10"/>
      <c r="BB1095" s="10"/>
      <c r="BC1095" s="10"/>
      <c r="BD1095" s="10"/>
      <c r="BE1095" s="10"/>
      <c r="BF1095" s="10"/>
      <c r="BG1095" s="10"/>
      <c r="BH1095" s="10"/>
      <c r="BI1095" s="10"/>
      <c r="BJ1095" s="10"/>
      <c r="BK1095" s="10"/>
      <c r="BM1095" s="10"/>
    </row>
    <row r="1096" spans="1:65" ht="12.75">
      <c r="A1096" s="9">
        <v>43612</v>
      </c>
      <c r="B1096" s="10" t="s">
        <v>2307</v>
      </c>
      <c r="C1096" s="11">
        <v>100000</v>
      </c>
      <c r="D1096" s="12"/>
      <c r="E1096" s="14" t="s">
        <v>234</v>
      </c>
      <c r="F1096" s="10" t="s">
        <v>2308</v>
      </c>
      <c r="G1096" s="13" t="s">
        <v>2309</v>
      </c>
      <c r="H1096" s="14" t="str">
        <f t="array" ref="H1096">IFERROR(INDEX([1]Companies!$G:$G,MATCH(B1096,[1]Companies!$A:$A,0)),"")</f>
        <v>Nigeria</v>
      </c>
      <c r="I1096" s="14" t="str">
        <f t="shared" si="1299"/>
        <v>Nigeria</v>
      </c>
      <c r="J1096" s="14" t="str">
        <f t="array" ref="J1096">IFERROR(INDEX([1]Companies!$Y:$Y,MATCH(B1096,[1]Companies!$A:$A,0)),"")</f>
        <v>Transport, Logistics</v>
      </c>
      <c r="K1096" s="14" t="str">
        <f t="array" ref="K1096">IFERROR(INDEX([1]Companies!$X:$X,MATCH(B1096,[1]Companies!$A:$A,0)),"")</f>
        <v>Transport &amp; Logistics</v>
      </c>
      <c r="L1096" s="14" t="str">
        <f>VLOOKUP(B1096,[1]Companies!$A$1:$C$5243,1,FALSE)</f>
        <v xml:space="preserve">MVXchange </v>
      </c>
      <c r="M1096" s="15">
        <f t="shared" si="1300"/>
        <v>0.9</v>
      </c>
      <c r="N1096" s="10" t="str">
        <f t="shared" si="1301"/>
        <v>43612MVXchange 100000</v>
      </c>
      <c r="O1096" s="14" t="str">
        <f t="shared" si="1399"/>
        <v/>
      </c>
      <c r="P1096" s="14">
        <f t="shared" si="1400"/>
        <v>1</v>
      </c>
      <c r="Q1096" s="14">
        <f t="array" ref="Q1096">IFERROR(INDEX([1]Companies!$D:$D,MATCH(B1096,[1]Companies!$A:$A,0)),"")</f>
        <v>2018</v>
      </c>
      <c r="R1096" s="17">
        <f t="shared" si="1401"/>
        <v>100000</v>
      </c>
      <c r="S1096" s="14">
        <f>VLOOKUP(I1096,[1]Lookups!$V$3:$Y$197,4,FALSE)</f>
        <v>0</v>
      </c>
      <c r="T1096" s="14" t="str">
        <f>VLOOKUP(E1096,[1]Lookups!$H$3:$I$71,2,FALSE)</f>
        <v>2. Seed</v>
      </c>
      <c r="U1096" s="14" t="str">
        <f>VLOOKUP(K1096,[1]Lookups!$B$3:$C$142,2,FALSE)</f>
        <v>Transport &amp; Logistics</v>
      </c>
      <c r="V1096" s="14">
        <f t="shared" si="1230"/>
        <v>2019</v>
      </c>
      <c r="W1096" s="14">
        <f t="shared" si="1231"/>
        <v>5</v>
      </c>
      <c r="X1096" s="14">
        <f>VLOOKUP(W1096,[1]Lookups!$P$3:$S$15,2,FALSE)</f>
        <v>2</v>
      </c>
      <c r="Y1096" s="16">
        <f>VLOOKUP(W1096,[1]Lookups!$P$3:$U$15,3,FALSE)</f>
        <v>1</v>
      </c>
      <c r="Z1096" s="16">
        <f t="shared" si="1232"/>
        <v>3</v>
      </c>
      <c r="AA1096" s="16" t="str">
        <f t="shared" ref="AA1096:AO1111" ca="1" si="1423">AS1096</f>
        <v>Algebra Ventures</v>
      </c>
      <c r="AB1096" s="16" t="str">
        <f t="shared" ca="1" si="1423"/>
        <v xml:space="preserve"> Neon Ventures</v>
      </c>
      <c r="AC1096" s="16" t="str">
        <f t="shared" ca="1" si="1423"/>
        <v xml:space="preserve"> Zircon Marine</v>
      </c>
      <c r="AD1096" s="16">
        <f t="shared" si="1423"/>
        <v>0</v>
      </c>
      <c r="AE1096" s="16">
        <f t="shared" si="1423"/>
        <v>0</v>
      </c>
      <c r="AF1096" s="16">
        <f t="shared" si="1423"/>
        <v>0</v>
      </c>
      <c r="AG1096" s="16">
        <f t="shared" si="1423"/>
        <v>0</v>
      </c>
      <c r="AH1096" s="16">
        <f t="shared" si="1423"/>
        <v>0</v>
      </c>
      <c r="AI1096" s="16">
        <f t="shared" si="1423"/>
        <v>0</v>
      </c>
      <c r="AJ1096" s="16">
        <f t="shared" si="1423"/>
        <v>0</v>
      </c>
      <c r="AK1096" s="16">
        <f t="shared" si="1423"/>
        <v>0</v>
      </c>
      <c r="AL1096" s="16">
        <f t="shared" si="1423"/>
        <v>0</v>
      </c>
      <c r="AM1096" s="16">
        <f t="shared" si="1423"/>
        <v>0</v>
      </c>
      <c r="AN1096" s="16">
        <f t="shared" si="1423"/>
        <v>0</v>
      </c>
      <c r="AO1096" s="16">
        <f t="shared" si="1423"/>
        <v>0</v>
      </c>
      <c r="AP1096" s="10"/>
      <c r="AQ1096" s="10"/>
      <c r="AR1096" s="10"/>
      <c r="AS1096" s="10" t="str">
        <f t="shared" ref="AS1096" ca="1" si="1424">IFERROR(__xludf.DUMMYFUNCTION("split(F968,"","",true,true)"),"Algebra Ventures")</f>
        <v>Algebra Ventures</v>
      </c>
      <c r="AT1096" s="10" t="str">
        <f ca="1">IFERROR(__xludf.DUMMYFUNCTION("""COMPUTED_VALUE""")," Neon Ventures")</f>
        <v xml:space="preserve"> Neon Ventures</v>
      </c>
      <c r="AU1096" s="10" t="str">
        <f ca="1">IFERROR(__xludf.DUMMYFUNCTION("""COMPUTED_VALUE""")," Zircon Marine")</f>
        <v xml:space="preserve"> Zircon Marine</v>
      </c>
      <c r="AV1096" s="10"/>
      <c r="AW1096" s="10"/>
      <c r="AX1096" s="10"/>
      <c r="AY1096" s="10"/>
      <c r="AZ1096" s="10"/>
      <c r="BA1096" s="10"/>
      <c r="BB1096" s="10"/>
      <c r="BC1096" s="10"/>
      <c r="BD1096" s="10"/>
      <c r="BE1096" s="10"/>
      <c r="BF1096" s="10"/>
      <c r="BG1096" s="10"/>
      <c r="BH1096" s="10"/>
      <c r="BI1096" s="10"/>
      <c r="BJ1096" s="10"/>
      <c r="BK1096" s="10"/>
      <c r="BM1096" s="10"/>
    </row>
    <row r="1097" spans="1:65" ht="12.75">
      <c r="A1097" s="9">
        <v>43613</v>
      </c>
      <c r="B1097" s="10" t="s">
        <v>2310</v>
      </c>
      <c r="C1097" s="11" t="s">
        <v>49</v>
      </c>
      <c r="D1097" s="12"/>
      <c r="E1097" s="10" t="s">
        <v>91</v>
      </c>
      <c r="F1097" s="10" t="s">
        <v>2311</v>
      </c>
      <c r="G1097" s="13" t="s">
        <v>2312</v>
      </c>
      <c r="H1097" s="14" t="str">
        <f t="array" ref="H1097">IFERROR(INDEX([1]Companies!$G:$G,MATCH(B1097,[1]Companies!$A:$A,0)),"")</f>
        <v>South Africa</v>
      </c>
      <c r="I1097" s="14" t="str">
        <f t="shared" si="1299"/>
        <v>South Africa</v>
      </c>
      <c r="J1097" s="14" t="str">
        <f t="array" ref="J1097">IFERROR(INDEX([1]Companies!$Y:$Y,MATCH(B1097,[1]Companies!$A:$A,0)),"")</f>
        <v>Flights, Hotels, Car Hire, Package Holidays, Travel Tech, e-commerce, Technology, and Travel</v>
      </c>
      <c r="K1097" s="14" t="str">
        <f t="array" ref="K1097">IFERROR(INDEX([1]Companies!$X:$X,MATCH(B1097,[1]Companies!$A:$A,0)),"")</f>
        <v>Travel &amp; Leisure</v>
      </c>
      <c r="L1097" s="14" t="str">
        <f>VLOOKUP(B1097,[1]Companies!$A$1:$C$5243,1,FALSE)</f>
        <v>Travelstart</v>
      </c>
      <c r="M1097" s="15">
        <f t="shared" si="1300"/>
        <v>0.9</v>
      </c>
      <c r="N1097" s="10" t="str">
        <f t="shared" si="1301"/>
        <v>43613TravelstartUndisclosed</v>
      </c>
      <c r="O1097" s="14" t="str">
        <f t="shared" si="1399"/>
        <v/>
      </c>
      <c r="P1097" s="14">
        <f t="shared" si="1400"/>
        <v>0</v>
      </c>
      <c r="Q1097" s="14">
        <f t="array" ref="Q1097">IFERROR(INDEX([1]Companies!$D:$D,MATCH(B1097,[1]Companies!$A:$A,0)),"")</f>
        <v>1999</v>
      </c>
      <c r="R1097" s="17">
        <f t="shared" si="1401"/>
        <v>40000000</v>
      </c>
      <c r="S1097" s="14">
        <f>VLOOKUP(I1097,[1]Lookups!$V$3:$Y$197,4,FALSE)</f>
        <v>0</v>
      </c>
      <c r="T1097" s="14" t="str">
        <f>VLOOKUP(E1097,[1]Lookups!$H$3:$I$71,2,FALSE)</f>
        <v>5. Debt Financing</v>
      </c>
      <c r="U1097" s="14" t="str">
        <f>VLOOKUP(K1097,[1]Lookups!$B$3:$C$142,2,FALSE)</f>
        <v>Travel &amp; Leisure</v>
      </c>
      <c r="V1097" s="14">
        <f t="shared" si="1230"/>
        <v>2019</v>
      </c>
      <c r="W1097" s="14">
        <f t="shared" si="1231"/>
        <v>5</v>
      </c>
      <c r="X1097" s="14">
        <f>VLOOKUP(W1097,[1]Lookups!$P$3:$S$15,2,FALSE)</f>
        <v>2</v>
      </c>
      <c r="Y1097" s="16">
        <f>VLOOKUP(W1097,[1]Lookups!$P$3:$U$15,3,FALSE)</f>
        <v>1</v>
      </c>
      <c r="Z1097" s="16">
        <f t="shared" si="1232"/>
        <v>1</v>
      </c>
      <c r="AA1097" s="16" t="str">
        <f t="shared" ca="1" si="1423"/>
        <v>Algebra Ventures</v>
      </c>
      <c r="AB1097" s="16">
        <f t="shared" si="1423"/>
        <v>0</v>
      </c>
      <c r="AC1097" s="16">
        <f t="shared" si="1423"/>
        <v>0</v>
      </c>
      <c r="AD1097" s="16">
        <f t="shared" si="1423"/>
        <v>0</v>
      </c>
      <c r="AE1097" s="16">
        <f t="shared" si="1423"/>
        <v>0</v>
      </c>
      <c r="AF1097" s="16">
        <f t="shared" si="1423"/>
        <v>0</v>
      </c>
      <c r="AG1097" s="16">
        <f t="shared" si="1423"/>
        <v>0</v>
      </c>
      <c r="AH1097" s="16">
        <f t="shared" si="1423"/>
        <v>0</v>
      </c>
      <c r="AI1097" s="16">
        <f t="shared" si="1423"/>
        <v>0</v>
      </c>
      <c r="AJ1097" s="16">
        <f t="shared" si="1423"/>
        <v>0</v>
      </c>
      <c r="AK1097" s="16">
        <f t="shared" si="1423"/>
        <v>0</v>
      </c>
      <c r="AL1097" s="16">
        <f t="shared" si="1423"/>
        <v>0</v>
      </c>
      <c r="AM1097" s="16">
        <f t="shared" si="1423"/>
        <v>0</v>
      </c>
      <c r="AN1097" s="16">
        <f t="shared" si="1423"/>
        <v>0</v>
      </c>
      <c r="AO1097" s="16">
        <f t="shared" si="1423"/>
        <v>0</v>
      </c>
      <c r="AP1097" s="10"/>
      <c r="AQ1097" s="10"/>
      <c r="AR1097" s="10"/>
      <c r="AS1097" s="10" t="str">
        <f t="shared" ref="AS1097" ca="1" si="1425">IFERROR(__xludf.DUMMYFUNCTION("split(F968,"","",true,true)"),"Algebra Ventures")</f>
        <v>Algebra Ventures</v>
      </c>
      <c r="AT1097" s="10"/>
      <c r="AU1097" s="10"/>
      <c r="AV1097" s="10"/>
      <c r="AW1097" s="10"/>
      <c r="AX1097" s="10"/>
      <c r="AY1097" s="10"/>
      <c r="AZ1097" s="10"/>
      <c r="BA1097" s="10"/>
      <c r="BB1097" s="10"/>
      <c r="BC1097" s="10"/>
      <c r="BD1097" s="10"/>
      <c r="BE1097" s="10"/>
      <c r="BF1097" s="10"/>
      <c r="BG1097" s="10"/>
      <c r="BH1097" s="10"/>
      <c r="BI1097" s="10"/>
      <c r="BJ1097" s="10"/>
      <c r="BK1097" s="10"/>
      <c r="BM1097" s="10"/>
    </row>
    <row r="1098" spans="1:65" ht="12.75">
      <c r="A1098" s="9">
        <v>43613</v>
      </c>
      <c r="B1098" s="10" t="s">
        <v>2313</v>
      </c>
      <c r="C1098" s="11">
        <v>1400000</v>
      </c>
      <c r="D1098" s="12"/>
      <c r="E1098" s="10" t="s">
        <v>91</v>
      </c>
      <c r="F1098" s="10" t="s">
        <v>2314</v>
      </c>
      <c r="G1098" s="13" t="s">
        <v>2315</v>
      </c>
      <c r="H1098" s="14" t="str">
        <f t="array" ref="H1098">IFERROR(INDEX([1]Companies!$G:$G,MATCH(B1098,[1]Companies!$A:$A,0)),"")</f>
        <v>South Africa</v>
      </c>
      <c r="I1098" s="14" t="str">
        <f t="shared" si="1299"/>
        <v>South Africa</v>
      </c>
      <c r="J1098" s="14" t="str">
        <f t="array" ref="J1098">IFERROR(INDEX([1]Companies!$Y:$Y,MATCH(B1098,[1]Companies!$A:$A,0)),"")</f>
        <v>Communications Infrastructure</v>
      </c>
      <c r="K1098" s="14" t="str">
        <f t="array" ref="K1098">IFERROR(INDEX([1]Companies!$X:$X,MATCH(B1098,[1]Companies!$A:$A,0)),"")</f>
        <v>Information Technology</v>
      </c>
      <c r="L1098" s="14" t="str">
        <f>VLOOKUP(B1098,[1]Companies!$A$1:$C$5243,1,FALSE)</f>
        <v>GovChat</v>
      </c>
      <c r="M1098" s="15">
        <f t="shared" si="1300"/>
        <v>0.9</v>
      </c>
      <c r="N1098" s="10" t="str">
        <f t="shared" si="1301"/>
        <v>43613GovChat1400000</v>
      </c>
      <c r="O1098" s="14" t="str">
        <f t="shared" si="1399"/>
        <v/>
      </c>
      <c r="P1098" s="14">
        <f t="shared" si="1400"/>
        <v>1</v>
      </c>
      <c r="Q1098" s="14">
        <f t="array" ref="Q1098">IFERROR(INDEX([1]Companies!$D:$D,MATCH(B1098,[1]Companies!$A:$A,0)),"")</f>
        <v>2016</v>
      </c>
      <c r="R1098" s="17">
        <f t="shared" si="1401"/>
        <v>1400000</v>
      </c>
      <c r="S1098" s="14">
        <f>VLOOKUP(I1098,[1]Lookups!$V$3:$Y$197,4,FALSE)</f>
        <v>0</v>
      </c>
      <c r="T1098" s="14" t="str">
        <f>VLOOKUP(E1098,[1]Lookups!$H$3:$I$71,2,FALSE)</f>
        <v>5. Debt Financing</v>
      </c>
      <c r="U1098" s="14" t="str">
        <f>VLOOKUP(K1098,[1]Lookups!$B$3:$C$142,2,FALSE)</f>
        <v>Other Technologies &amp; Information Technology</v>
      </c>
      <c r="V1098" s="14">
        <f t="shared" si="1230"/>
        <v>2019</v>
      </c>
      <c r="W1098" s="14">
        <f t="shared" si="1231"/>
        <v>5</v>
      </c>
      <c r="X1098" s="14">
        <f>VLOOKUP(W1098,[1]Lookups!$P$3:$S$15,2,FALSE)</f>
        <v>2</v>
      </c>
      <c r="Y1098" s="16">
        <f>VLOOKUP(W1098,[1]Lookups!$P$3:$U$15,3,FALSE)</f>
        <v>1</v>
      </c>
      <c r="Z1098" s="16">
        <f t="shared" si="1232"/>
        <v>1</v>
      </c>
      <c r="AA1098" s="16" t="str">
        <f t="shared" ca="1" si="1423"/>
        <v>Algebra Ventures</v>
      </c>
      <c r="AB1098" s="16">
        <f t="shared" si="1423"/>
        <v>0</v>
      </c>
      <c r="AC1098" s="16">
        <f t="shared" si="1423"/>
        <v>0</v>
      </c>
      <c r="AD1098" s="16">
        <f t="shared" si="1423"/>
        <v>0</v>
      </c>
      <c r="AE1098" s="16">
        <f t="shared" si="1423"/>
        <v>0</v>
      </c>
      <c r="AF1098" s="16">
        <f t="shared" si="1423"/>
        <v>0</v>
      </c>
      <c r="AG1098" s="16">
        <f t="shared" si="1423"/>
        <v>0</v>
      </c>
      <c r="AH1098" s="16">
        <f t="shared" si="1423"/>
        <v>0</v>
      </c>
      <c r="AI1098" s="16">
        <f t="shared" si="1423"/>
        <v>0</v>
      </c>
      <c r="AJ1098" s="16">
        <f t="shared" si="1423"/>
        <v>0</v>
      </c>
      <c r="AK1098" s="16">
        <f t="shared" si="1423"/>
        <v>0</v>
      </c>
      <c r="AL1098" s="16">
        <f t="shared" si="1423"/>
        <v>0</v>
      </c>
      <c r="AM1098" s="16">
        <f t="shared" si="1423"/>
        <v>0</v>
      </c>
      <c r="AN1098" s="16">
        <f t="shared" si="1423"/>
        <v>0</v>
      </c>
      <c r="AO1098" s="16">
        <f t="shared" si="1423"/>
        <v>0</v>
      </c>
      <c r="AP1098" s="10"/>
      <c r="AQ1098" s="10"/>
      <c r="AR1098" s="10"/>
      <c r="AS1098" s="10" t="str">
        <f t="shared" ref="AS1098" ca="1" si="1426">IFERROR(__xludf.DUMMYFUNCTION("split(F968,"","",true,true)"),"Algebra Ventures")</f>
        <v>Algebra Ventures</v>
      </c>
      <c r="AT1098" s="23"/>
      <c r="AU1098" s="23"/>
      <c r="AV1098" s="23"/>
      <c r="AW1098" s="23"/>
      <c r="AX1098" s="23"/>
      <c r="AY1098" s="23"/>
      <c r="AZ1098" s="23"/>
      <c r="BA1098" s="23"/>
      <c r="BB1098" s="23"/>
      <c r="BC1098" s="23"/>
      <c r="BD1098" s="23"/>
      <c r="BE1098" s="23"/>
      <c r="BF1098" s="23"/>
      <c r="BG1098" s="23"/>
      <c r="BH1098" s="23"/>
      <c r="BI1098" s="23"/>
      <c r="BJ1098" s="23"/>
      <c r="BK1098" s="23"/>
      <c r="BM1098" s="23"/>
    </row>
    <row r="1099" spans="1:65" ht="12.75">
      <c r="A1099" s="9">
        <v>43614</v>
      </c>
      <c r="B1099" s="10" t="s">
        <v>807</v>
      </c>
      <c r="C1099" s="11">
        <v>8700000</v>
      </c>
      <c r="D1099" s="12"/>
      <c r="E1099" s="10" t="s">
        <v>69</v>
      </c>
      <c r="F1099" s="10" t="s">
        <v>49</v>
      </c>
      <c r="G1099" s="13" t="s">
        <v>2316</v>
      </c>
      <c r="H1099" s="14" t="str">
        <f t="array" ref="H1099">IFERROR(INDEX([1]Companies!$G:$G,MATCH(B1099,[1]Companies!$A:$A,0)),"")</f>
        <v>Kenya</v>
      </c>
      <c r="I1099" s="14" t="str">
        <f t="shared" si="1299"/>
        <v>Kenya</v>
      </c>
      <c r="J1099" s="14" t="str">
        <f t="array" ref="J1099">IFERROR(INDEX([1]Companies!$Y:$Y,MATCH(B1099,[1]Companies!$A:$A,0)),"")</f>
        <v>Logistics, Railroad, Transportation</v>
      </c>
      <c r="K1099" s="14" t="str">
        <f t="array" ref="K1099">IFERROR(INDEX([1]Companies!$X:$X,MATCH(B1099,[1]Companies!$A:$A,0)),"")</f>
        <v>Transport &amp; Logistics</v>
      </c>
      <c r="L1099" s="14" t="str">
        <f>VLOOKUP(B1099,[1]Companies!$A$1:$C$5243,1,FALSE)</f>
        <v>Lori Systems</v>
      </c>
      <c r="M1099" s="15">
        <f t="shared" si="1300"/>
        <v>0.9</v>
      </c>
      <c r="N1099" s="10" t="str">
        <f t="shared" si="1301"/>
        <v>43614Lori Systems8700000</v>
      </c>
      <c r="O1099" s="14" t="str">
        <f t="shared" si="1399"/>
        <v/>
      </c>
      <c r="P1099" s="14">
        <f t="shared" si="1400"/>
        <v>1</v>
      </c>
      <c r="Q1099" s="14">
        <f t="array" ref="Q1099">IFERROR(INDEX([1]Companies!$D:$D,MATCH(B1099,[1]Companies!$A:$A,0)),"")</f>
        <v>2016</v>
      </c>
      <c r="R1099" s="17">
        <f t="shared" si="1401"/>
        <v>14895000</v>
      </c>
      <c r="S1099" s="14">
        <f>VLOOKUP(I1099,[1]Lookups!$V$3:$Y$197,4,FALSE)</f>
        <v>0</v>
      </c>
      <c r="T1099" s="14" t="str">
        <f>VLOOKUP(E1099,[1]Lookups!$H$3:$I$71,2,FALSE)</f>
        <v>3. Early Venture</v>
      </c>
      <c r="U1099" s="14" t="str">
        <f>VLOOKUP(K1099,[1]Lookups!$B$3:$C$142,2,FALSE)</f>
        <v>Transport &amp; Logistics</v>
      </c>
      <c r="V1099" s="14">
        <f t="shared" si="1230"/>
        <v>2019</v>
      </c>
      <c r="W1099" s="14">
        <f t="shared" si="1231"/>
        <v>5</v>
      </c>
      <c r="X1099" s="14">
        <f>VLOOKUP(W1099,[1]Lookups!$P$3:$S$15,2,FALSE)</f>
        <v>2</v>
      </c>
      <c r="Y1099" s="16">
        <f>VLOOKUP(W1099,[1]Lookups!$P$3:$U$15,3,FALSE)</f>
        <v>1</v>
      </c>
      <c r="Z1099" s="16">
        <f t="shared" si="1232"/>
        <v>1</v>
      </c>
      <c r="AA1099" s="16" t="str">
        <f t="shared" ca="1" si="1423"/>
        <v>Algebra Ventures</v>
      </c>
      <c r="AB1099" s="16">
        <f t="shared" si="1423"/>
        <v>0</v>
      </c>
      <c r="AC1099" s="16">
        <f t="shared" si="1423"/>
        <v>0</v>
      </c>
      <c r="AD1099" s="16">
        <f t="shared" si="1423"/>
        <v>0</v>
      </c>
      <c r="AE1099" s="16">
        <f t="shared" si="1423"/>
        <v>0</v>
      </c>
      <c r="AF1099" s="16">
        <f t="shared" si="1423"/>
        <v>0</v>
      </c>
      <c r="AG1099" s="16">
        <f t="shared" si="1423"/>
        <v>0</v>
      </c>
      <c r="AH1099" s="16">
        <f t="shared" si="1423"/>
        <v>0</v>
      </c>
      <c r="AI1099" s="16">
        <f t="shared" si="1423"/>
        <v>0</v>
      </c>
      <c r="AJ1099" s="16">
        <f t="shared" si="1423"/>
        <v>0</v>
      </c>
      <c r="AK1099" s="16">
        <f t="shared" si="1423"/>
        <v>0</v>
      </c>
      <c r="AL1099" s="16">
        <f t="shared" si="1423"/>
        <v>0</v>
      </c>
      <c r="AM1099" s="16">
        <f t="shared" si="1423"/>
        <v>0</v>
      </c>
      <c r="AN1099" s="16">
        <f t="shared" si="1423"/>
        <v>0</v>
      </c>
      <c r="AO1099" s="16">
        <f t="shared" si="1423"/>
        <v>0</v>
      </c>
      <c r="AP1099" s="10"/>
      <c r="AQ1099" s="10"/>
      <c r="AR1099" s="10"/>
      <c r="AS1099" s="10" t="str">
        <f t="shared" ref="AS1099" ca="1" si="1427">IFERROR(__xludf.DUMMYFUNCTION("split(F968,"","",true,true)"),"Algebra Ventures")</f>
        <v>Algebra Ventures</v>
      </c>
      <c r="AT1099" s="10"/>
      <c r="AU1099" s="10"/>
      <c r="AV1099" s="10"/>
      <c r="AW1099" s="10"/>
      <c r="AX1099" s="10"/>
      <c r="AY1099" s="10"/>
      <c r="AZ1099" s="10"/>
      <c r="BA1099" s="10"/>
      <c r="BB1099" s="10"/>
      <c r="BC1099" s="10"/>
      <c r="BD1099" s="10"/>
      <c r="BE1099" s="10"/>
      <c r="BF1099" s="10"/>
      <c r="BG1099" s="10"/>
      <c r="BH1099" s="10"/>
      <c r="BI1099" s="10"/>
      <c r="BJ1099" s="10"/>
      <c r="BK1099" s="10"/>
      <c r="BM1099" s="10"/>
    </row>
    <row r="1100" spans="1:65" ht="12.75">
      <c r="A1100" s="9">
        <v>43615</v>
      </c>
      <c r="B1100" s="10" t="s">
        <v>2291</v>
      </c>
      <c r="C1100" s="11">
        <v>2190000</v>
      </c>
      <c r="D1100" s="12"/>
      <c r="E1100" s="14" t="s">
        <v>564</v>
      </c>
      <c r="F1100" s="10" t="s">
        <v>49</v>
      </c>
      <c r="G1100" s="13" t="s">
        <v>2317</v>
      </c>
      <c r="H1100" s="14" t="str">
        <f t="array" ref="H1100">IFERROR(INDEX([1]Companies!$G:$G,MATCH(B1100,[1]Companies!$A:$A,0)),"")</f>
        <v>South Africa</v>
      </c>
      <c r="I1100" s="14" t="str">
        <f t="shared" si="1299"/>
        <v>South Africa</v>
      </c>
      <c r="J1100" s="14" t="str">
        <f t="array" ref="J1100">IFERROR(INDEX([1]Companies!$Y:$Y,MATCH(B1100,[1]Companies!$A:$A,0)),"")</f>
        <v>FinTech, Professional Services</v>
      </c>
      <c r="K1100" s="14" t="str">
        <f t="array" ref="K1100">IFERROR(INDEX([1]Companies!$X:$X,MATCH(B1100,[1]Companies!$A:$A,0)),"")</f>
        <v>Information Technology</v>
      </c>
      <c r="L1100" s="14" t="str">
        <f>VLOOKUP(B1100,[1]Companies!$A$1:$C$5243,1,FALSE)</f>
        <v>Intergreatme</v>
      </c>
      <c r="M1100" s="15">
        <f t="shared" si="1300"/>
        <v>0.9</v>
      </c>
      <c r="N1100" s="10" t="str">
        <f t="shared" si="1301"/>
        <v>43615Intergreatme2190000</v>
      </c>
      <c r="O1100" s="14" t="str">
        <f t="shared" si="1399"/>
        <v/>
      </c>
      <c r="P1100" s="14">
        <f t="shared" si="1400"/>
        <v>1</v>
      </c>
      <c r="Q1100" s="14">
        <f t="array" ref="Q1100">IFERROR(INDEX([1]Companies!$D:$D,MATCH(B1100,[1]Companies!$A:$A,0)),"")</f>
        <v>2017</v>
      </c>
      <c r="R1100" s="17">
        <f t="shared" si="1401"/>
        <v>4190000</v>
      </c>
      <c r="S1100" s="14">
        <f>VLOOKUP(I1100,[1]Lookups!$V$3:$Y$197,4,FALSE)</f>
        <v>0</v>
      </c>
      <c r="T1100" s="14" t="str">
        <f>VLOOKUP(E1100,[1]Lookups!$H$3:$I$71,2,FALSE)</f>
        <v>7. Offerings</v>
      </c>
      <c r="U1100" s="14" t="str">
        <f>VLOOKUP(K1100,[1]Lookups!$B$3:$C$142,2,FALSE)</f>
        <v>Other Technologies &amp; Information Technology</v>
      </c>
      <c r="V1100" s="14">
        <f t="shared" si="1230"/>
        <v>2019</v>
      </c>
      <c r="W1100" s="14">
        <f t="shared" si="1231"/>
        <v>5</v>
      </c>
      <c r="X1100" s="14">
        <f>VLOOKUP(W1100,[1]Lookups!$P$3:$S$15,2,FALSE)</f>
        <v>2</v>
      </c>
      <c r="Y1100" s="16">
        <f>VLOOKUP(W1100,[1]Lookups!$P$3:$U$15,3,FALSE)</f>
        <v>1</v>
      </c>
      <c r="Z1100" s="16">
        <f t="shared" si="1232"/>
        <v>1</v>
      </c>
      <c r="AA1100" s="16" t="str">
        <f t="shared" ca="1" si="1423"/>
        <v>Algebra Ventures</v>
      </c>
      <c r="AB1100" s="16">
        <f t="shared" si="1423"/>
        <v>0</v>
      </c>
      <c r="AC1100" s="16">
        <f t="shared" si="1423"/>
        <v>0</v>
      </c>
      <c r="AD1100" s="16">
        <f t="shared" si="1423"/>
        <v>0</v>
      </c>
      <c r="AE1100" s="16">
        <f t="shared" si="1423"/>
        <v>0</v>
      </c>
      <c r="AF1100" s="16">
        <f t="shared" si="1423"/>
        <v>0</v>
      </c>
      <c r="AG1100" s="16">
        <f t="shared" si="1423"/>
        <v>0</v>
      </c>
      <c r="AH1100" s="16">
        <f t="shared" si="1423"/>
        <v>0</v>
      </c>
      <c r="AI1100" s="16">
        <f t="shared" si="1423"/>
        <v>0</v>
      </c>
      <c r="AJ1100" s="16">
        <f t="shared" si="1423"/>
        <v>0</v>
      </c>
      <c r="AK1100" s="16">
        <f t="shared" si="1423"/>
        <v>0</v>
      </c>
      <c r="AL1100" s="16">
        <f t="shared" si="1423"/>
        <v>0</v>
      </c>
      <c r="AM1100" s="16">
        <f t="shared" si="1423"/>
        <v>0</v>
      </c>
      <c r="AN1100" s="16">
        <f t="shared" si="1423"/>
        <v>0</v>
      </c>
      <c r="AO1100" s="16">
        <f t="shared" si="1423"/>
        <v>0</v>
      </c>
      <c r="AP1100" s="10"/>
      <c r="AQ1100" s="10"/>
      <c r="AR1100" s="10"/>
      <c r="AS1100" s="10" t="str">
        <f t="shared" ref="AS1100" ca="1" si="1428">IFERROR(__xludf.DUMMYFUNCTION("split(F968,"","",true,true)"),"Algebra Ventures")</f>
        <v>Algebra Ventures</v>
      </c>
      <c r="AT1100" s="10"/>
      <c r="AU1100" s="10"/>
      <c r="AV1100" s="10"/>
      <c r="AW1100" s="10"/>
      <c r="AX1100" s="10"/>
      <c r="AY1100" s="10"/>
      <c r="AZ1100" s="10"/>
      <c r="BA1100" s="10"/>
      <c r="BB1100" s="10"/>
      <c r="BC1100" s="10"/>
      <c r="BD1100" s="10"/>
      <c r="BE1100" s="10"/>
      <c r="BF1100" s="10"/>
      <c r="BG1100" s="10"/>
      <c r="BH1100" s="10"/>
      <c r="BI1100" s="10"/>
      <c r="BJ1100" s="10"/>
      <c r="BK1100" s="10"/>
      <c r="BM1100" s="10"/>
    </row>
    <row r="1101" spans="1:65" ht="12.75">
      <c r="A1101" s="9">
        <v>43615</v>
      </c>
      <c r="B1101" s="10" t="s">
        <v>2318</v>
      </c>
      <c r="C1101" s="11">
        <v>25000</v>
      </c>
      <c r="D1101" s="12"/>
      <c r="E1101" s="14" t="s">
        <v>234</v>
      </c>
      <c r="F1101" s="10" t="s">
        <v>2021</v>
      </c>
      <c r="G1101" s="13" t="s">
        <v>2319</v>
      </c>
      <c r="H1101" s="14" t="str">
        <f t="array" ref="H1101">IFERROR(INDEX([1]Companies!$G:$G,MATCH(B1101,[1]Companies!$A:$A,0)),"")</f>
        <v>Egypt</v>
      </c>
      <c r="I1101" s="14" t="str">
        <f t="shared" si="1299"/>
        <v>Egypt</v>
      </c>
      <c r="J1101" s="14" t="str">
        <f t="array" ref="J1101">IFERROR(INDEX([1]Companies!$Y:$Y,MATCH(B1101,[1]Companies!$A:$A,0)),"")</f>
        <v>Information Technology, Fintech</v>
      </c>
      <c r="K1101" s="14" t="str">
        <f t="array" ref="K1101">IFERROR(INDEX([1]Companies!$X:$X,MATCH(B1101,[1]Companies!$A:$A,0)),"")</f>
        <v>Financial Services</v>
      </c>
      <c r="L1101" s="14" t="str">
        <f>VLOOKUP(B1101,[1]Companies!$A$1:$C$5243,1,FALSE)</f>
        <v>ElGameya</v>
      </c>
      <c r="M1101" s="15">
        <f t="shared" si="1300"/>
        <v>0.9</v>
      </c>
      <c r="N1101" s="10" t="str">
        <f t="shared" si="1301"/>
        <v>43615ElGameya25000</v>
      </c>
      <c r="O1101" s="14" t="str">
        <f t="shared" si="1399"/>
        <v/>
      </c>
      <c r="P1101" s="14">
        <f t="shared" si="1400"/>
        <v>1</v>
      </c>
      <c r="Q1101" s="14">
        <f t="array" ref="Q1101">IFERROR(INDEX([1]Companies!$D:$D,MATCH(B1101,[1]Companies!$A:$A,0)),"")</f>
        <v>2016</v>
      </c>
      <c r="R1101" s="17">
        <f t="shared" si="1401"/>
        <v>25000</v>
      </c>
      <c r="S1101" s="14">
        <f>VLOOKUP(I1101,[1]Lookups!$V$3:$Y$197,4,FALSE)</f>
        <v>0</v>
      </c>
      <c r="T1101" s="14" t="str">
        <f>VLOOKUP(E1101,[1]Lookups!$H$3:$I$71,2,FALSE)</f>
        <v>2. Seed</v>
      </c>
      <c r="U1101" s="14" t="str">
        <f>VLOOKUP(K1101,[1]Lookups!$B$3:$C$142,2,FALSE)</f>
        <v>Financial Services</v>
      </c>
      <c r="V1101" s="14">
        <f t="shared" si="1230"/>
        <v>2019</v>
      </c>
      <c r="W1101" s="14">
        <f t="shared" si="1231"/>
        <v>5</v>
      </c>
      <c r="X1101" s="14">
        <f>VLOOKUP(W1101,[1]Lookups!$P$3:$S$15,2,FALSE)</f>
        <v>2</v>
      </c>
      <c r="Y1101" s="16">
        <f>VLOOKUP(W1101,[1]Lookups!$P$3:$U$15,3,FALSE)</f>
        <v>1</v>
      </c>
      <c r="Z1101" s="16">
        <f t="shared" si="1232"/>
        <v>8</v>
      </c>
      <c r="AA1101" s="16" t="str">
        <f t="shared" ca="1" si="1423"/>
        <v>Algebra Ventures</v>
      </c>
      <c r="AB1101" s="16" t="str">
        <f t="shared" ca="1" si="1423"/>
        <v xml:space="preserve"> Pharos Holding</v>
      </c>
      <c r="AC1101" s="16" t="str">
        <f t="shared" ca="1" si="1423"/>
        <v xml:space="preserve"> AlexBank</v>
      </c>
      <c r="AD1101" s="16" t="str">
        <f t="shared" ca="1" si="1423"/>
        <v xml:space="preserve"> German Agency for International Cooperation and Sustainable Development (GIZ)</v>
      </c>
      <c r="AE1101" s="16" t="str">
        <f t="shared" ca="1" si="1423"/>
        <v xml:space="preserve"> Visa</v>
      </c>
      <c r="AF1101" s="16" t="str">
        <f t="shared" ca="1" si="1423"/>
        <v xml:space="preserve"> Ayady</v>
      </c>
      <c r="AG1101" s="16" t="str">
        <f t="shared" ca="1" si="1423"/>
        <v xml:space="preserve"> Sanad’s Entrepreneurship Academy</v>
      </c>
      <c r="AH1101" s="16" t="str">
        <f t="shared" ca="1" si="1423"/>
        <v xml:space="preserve"> Export Development Bank of Egypt (EBE)</v>
      </c>
      <c r="AI1101" s="16">
        <f t="shared" si="1423"/>
        <v>0</v>
      </c>
      <c r="AJ1101" s="16">
        <f t="shared" si="1423"/>
        <v>0</v>
      </c>
      <c r="AK1101" s="16">
        <f t="shared" si="1423"/>
        <v>0</v>
      </c>
      <c r="AL1101" s="16">
        <f t="shared" si="1423"/>
        <v>0</v>
      </c>
      <c r="AM1101" s="16">
        <f t="shared" si="1423"/>
        <v>0</v>
      </c>
      <c r="AN1101" s="16">
        <f t="shared" si="1423"/>
        <v>0</v>
      </c>
      <c r="AO1101" s="16">
        <f t="shared" si="1423"/>
        <v>0</v>
      </c>
      <c r="AP1101" s="10"/>
      <c r="AQ1101" s="10"/>
      <c r="AR1101" s="10"/>
      <c r="AS1101" s="10" t="str">
        <f t="shared" ref="AS1101" ca="1" si="1429">IFERROR(__xludf.DUMMYFUNCTION("split(F968,"","",true,true)"),"Algebra Ventures")</f>
        <v>Algebra Ventures</v>
      </c>
      <c r="AT1101" s="10" t="str">
        <f ca="1">IFERROR(__xludf.DUMMYFUNCTION("""COMPUTED_VALUE""")," Pharos Holding")</f>
        <v xml:space="preserve"> Pharos Holding</v>
      </c>
      <c r="AU1101" s="10" t="str">
        <f ca="1">IFERROR(__xludf.DUMMYFUNCTION("""COMPUTED_VALUE""")," AlexBank")</f>
        <v xml:space="preserve"> AlexBank</v>
      </c>
      <c r="AV1101" s="10" t="str">
        <f ca="1">IFERROR(__xludf.DUMMYFUNCTION("""COMPUTED_VALUE""")," German Agency for International Cooperation and Sustainable Development (GIZ)")</f>
        <v xml:space="preserve"> German Agency for International Cooperation and Sustainable Development (GIZ)</v>
      </c>
      <c r="AW1101" s="10" t="str">
        <f ca="1">IFERROR(__xludf.DUMMYFUNCTION("""COMPUTED_VALUE""")," Visa")</f>
        <v xml:space="preserve"> Visa</v>
      </c>
      <c r="AX1101" s="10" t="str">
        <f ca="1">IFERROR(__xludf.DUMMYFUNCTION("""COMPUTED_VALUE""")," Ayady")</f>
        <v xml:space="preserve"> Ayady</v>
      </c>
      <c r="AY1101" s="10" t="str">
        <f ca="1">IFERROR(__xludf.DUMMYFUNCTION("""COMPUTED_VALUE""")," Sanad’s Entrepreneurship Academy")</f>
        <v xml:space="preserve"> Sanad’s Entrepreneurship Academy</v>
      </c>
      <c r="AZ1101" s="10" t="str">
        <f ca="1">IFERROR(__xludf.DUMMYFUNCTION("""COMPUTED_VALUE""")," Export Development Bank of Egypt (EBE)")</f>
        <v xml:space="preserve"> Export Development Bank of Egypt (EBE)</v>
      </c>
      <c r="BA1101" s="10"/>
      <c r="BB1101" s="10"/>
      <c r="BC1101" s="10"/>
      <c r="BD1101" s="10"/>
      <c r="BE1101" s="10"/>
      <c r="BF1101" s="10"/>
      <c r="BG1101" s="10"/>
      <c r="BH1101" s="10"/>
      <c r="BI1101" s="10"/>
      <c r="BJ1101" s="10"/>
      <c r="BK1101" s="10"/>
      <c r="BM1101" s="10"/>
    </row>
    <row r="1102" spans="1:65" ht="12.75">
      <c r="A1102" s="9">
        <v>43615</v>
      </c>
      <c r="B1102" s="10" t="s">
        <v>2320</v>
      </c>
      <c r="C1102" s="11">
        <v>25000</v>
      </c>
      <c r="D1102" s="12"/>
      <c r="E1102" s="14" t="s">
        <v>234</v>
      </c>
      <c r="F1102" s="10" t="s">
        <v>2021</v>
      </c>
      <c r="G1102" s="13" t="s">
        <v>2319</v>
      </c>
      <c r="H1102" s="14" t="str">
        <f t="array" ref="H1102">IFERROR(INDEX([1]Companies!$G:$G,MATCH(B1102,[1]Companies!$A:$A,0)),"")</f>
        <v>Egypt</v>
      </c>
      <c r="I1102" s="14" t="str">
        <f t="shared" si="1299"/>
        <v>Egypt</v>
      </c>
      <c r="J1102" s="14" t="str">
        <f t="array" ref="J1102">IFERROR(INDEX([1]Companies!$Y:$Y,MATCH(B1102,[1]Companies!$A:$A,0)),"")</f>
        <v>Computer Software</v>
      </c>
      <c r="K1102" s="14" t="str">
        <f t="array" ref="K1102">IFERROR(INDEX([1]Companies!$X:$X,MATCH(B1102,[1]Companies!$A:$A,0)),"")</f>
        <v>Financial Services</v>
      </c>
      <c r="L1102" s="14" t="str">
        <f>VLOOKUP(B1102,[1]Companies!$A$1:$C$5243,1,FALSE)</f>
        <v>El Zatona</v>
      </c>
      <c r="M1102" s="15">
        <f t="shared" si="1300"/>
        <v>0.9</v>
      </c>
      <c r="N1102" s="10" t="str">
        <f t="shared" si="1301"/>
        <v>43615El Zatona25000</v>
      </c>
      <c r="O1102" s="14" t="str">
        <f t="shared" si="1399"/>
        <v/>
      </c>
      <c r="P1102" s="14">
        <f t="shared" si="1400"/>
        <v>1</v>
      </c>
      <c r="Q1102" s="14">
        <f t="array" ref="Q1102">IFERROR(INDEX([1]Companies!$D:$D,MATCH(B1102,[1]Companies!$A:$A,0)),"")</f>
        <v>2018</v>
      </c>
      <c r="R1102" s="17">
        <f t="shared" si="1401"/>
        <v>25000</v>
      </c>
      <c r="S1102" s="14">
        <f>VLOOKUP(I1102,[1]Lookups!$V$3:$Y$197,4,FALSE)</f>
        <v>0</v>
      </c>
      <c r="T1102" s="14" t="str">
        <f>VLOOKUP(E1102,[1]Lookups!$H$3:$I$71,2,FALSE)</f>
        <v>2. Seed</v>
      </c>
      <c r="U1102" s="14" t="str">
        <f>VLOOKUP(K1102,[1]Lookups!$B$3:$C$142,2,FALSE)</f>
        <v>Financial Services</v>
      </c>
      <c r="V1102" s="14">
        <f t="shared" si="1230"/>
        <v>2019</v>
      </c>
      <c r="W1102" s="14">
        <f t="shared" si="1231"/>
        <v>5</v>
      </c>
      <c r="X1102" s="14">
        <f>VLOOKUP(W1102,[1]Lookups!$P$3:$S$15,2,FALSE)</f>
        <v>2</v>
      </c>
      <c r="Y1102" s="16">
        <f>VLOOKUP(W1102,[1]Lookups!$P$3:$U$15,3,FALSE)</f>
        <v>1</v>
      </c>
      <c r="Z1102" s="16">
        <f t="shared" si="1232"/>
        <v>8</v>
      </c>
      <c r="AA1102" s="16" t="str">
        <f t="shared" ca="1" si="1423"/>
        <v>Algebra Ventures</v>
      </c>
      <c r="AB1102" s="16" t="str">
        <f t="shared" ca="1" si="1423"/>
        <v xml:space="preserve"> Pharos Holding</v>
      </c>
      <c r="AC1102" s="16" t="str">
        <f t="shared" ca="1" si="1423"/>
        <v xml:space="preserve"> AlexBank</v>
      </c>
      <c r="AD1102" s="16" t="str">
        <f t="shared" ca="1" si="1423"/>
        <v xml:space="preserve"> German Agency for International Cooperation and Sustainable Development (GIZ)</v>
      </c>
      <c r="AE1102" s="16" t="str">
        <f t="shared" ca="1" si="1423"/>
        <v xml:space="preserve"> Visa</v>
      </c>
      <c r="AF1102" s="16" t="str">
        <f t="shared" ca="1" si="1423"/>
        <v xml:space="preserve"> Ayady</v>
      </c>
      <c r="AG1102" s="16" t="str">
        <f t="shared" ca="1" si="1423"/>
        <v xml:space="preserve"> Sanad’s Entrepreneurship Academy</v>
      </c>
      <c r="AH1102" s="16" t="str">
        <f t="shared" ca="1" si="1423"/>
        <v xml:space="preserve"> Export Development Bank of Egypt (EBE)</v>
      </c>
      <c r="AI1102" s="16">
        <f t="shared" si="1423"/>
        <v>0</v>
      </c>
      <c r="AJ1102" s="16">
        <f t="shared" si="1423"/>
        <v>0</v>
      </c>
      <c r="AK1102" s="16">
        <f t="shared" si="1423"/>
        <v>0</v>
      </c>
      <c r="AL1102" s="16">
        <f t="shared" si="1423"/>
        <v>0</v>
      </c>
      <c r="AM1102" s="16">
        <f t="shared" si="1423"/>
        <v>0</v>
      </c>
      <c r="AN1102" s="16">
        <f t="shared" si="1423"/>
        <v>0</v>
      </c>
      <c r="AO1102" s="16">
        <f t="shared" si="1423"/>
        <v>0</v>
      </c>
      <c r="AP1102" s="10"/>
      <c r="AQ1102" s="10"/>
      <c r="AR1102" s="10"/>
      <c r="AS1102" s="10" t="str">
        <f t="shared" ref="AS1102" ca="1" si="1430">IFERROR(__xludf.DUMMYFUNCTION("split(F968,"","",true,true)"),"Algebra Ventures")</f>
        <v>Algebra Ventures</v>
      </c>
      <c r="AT1102" s="10" t="str">
        <f ca="1">IFERROR(__xludf.DUMMYFUNCTION("""COMPUTED_VALUE""")," Pharos Holding")</f>
        <v xml:space="preserve"> Pharos Holding</v>
      </c>
      <c r="AU1102" s="10" t="str">
        <f ca="1">IFERROR(__xludf.DUMMYFUNCTION("""COMPUTED_VALUE""")," AlexBank")</f>
        <v xml:space="preserve"> AlexBank</v>
      </c>
      <c r="AV1102" s="10" t="str">
        <f ca="1">IFERROR(__xludf.DUMMYFUNCTION("""COMPUTED_VALUE""")," German Agency for International Cooperation and Sustainable Development (GIZ)")</f>
        <v xml:space="preserve"> German Agency for International Cooperation and Sustainable Development (GIZ)</v>
      </c>
      <c r="AW1102" s="10" t="str">
        <f ca="1">IFERROR(__xludf.DUMMYFUNCTION("""COMPUTED_VALUE""")," Visa")</f>
        <v xml:space="preserve"> Visa</v>
      </c>
      <c r="AX1102" s="10" t="str">
        <f ca="1">IFERROR(__xludf.DUMMYFUNCTION("""COMPUTED_VALUE""")," Ayady")</f>
        <v xml:space="preserve"> Ayady</v>
      </c>
      <c r="AY1102" s="10" t="str">
        <f ca="1">IFERROR(__xludf.DUMMYFUNCTION("""COMPUTED_VALUE""")," Sanad’s Entrepreneurship Academy")</f>
        <v xml:space="preserve"> Sanad’s Entrepreneurship Academy</v>
      </c>
      <c r="AZ1102" s="10" t="str">
        <f ca="1">IFERROR(__xludf.DUMMYFUNCTION("""COMPUTED_VALUE""")," Export Development Bank of Egypt (EBE)")</f>
        <v xml:space="preserve"> Export Development Bank of Egypt (EBE)</v>
      </c>
      <c r="BA1102" s="10"/>
      <c r="BB1102" s="10"/>
      <c r="BC1102" s="10"/>
      <c r="BD1102" s="10"/>
      <c r="BE1102" s="10"/>
      <c r="BF1102" s="10"/>
      <c r="BG1102" s="10"/>
      <c r="BH1102" s="10"/>
      <c r="BI1102" s="10"/>
      <c r="BJ1102" s="10"/>
      <c r="BK1102" s="10"/>
      <c r="BM1102" s="10"/>
    </row>
    <row r="1103" spans="1:65" ht="12.75">
      <c r="A1103" s="9">
        <v>43615</v>
      </c>
      <c r="B1103" s="10" t="s">
        <v>2321</v>
      </c>
      <c r="C1103" s="11">
        <v>25000</v>
      </c>
      <c r="D1103" s="12"/>
      <c r="E1103" s="14" t="s">
        <v>234</v>
      </c>
      <c r="F1103" s="10" t="s">
        <v>2021</v>
      </c>
      <c r="G1103" s="13" t="s">
        <v>2319</v>
      </c>
      <c r="H1103" s="14" t="str">
        <f t="array" ref="H1103">IFERROR(INDEX([1]Companies!$G:$G,MATCH(B1103,[1]Companies!$A:$A,0)),"")</f>
        <v>Egypt</v>
      </c>
      <c r="I1103" s="14" t="str">
        <f t="shared" si="1299"/>
        <v>Egypt</v>
      </c>
      <c r="J1103" s="14" t="str">
        <f t="array" ref="J1103">IFERROR(INDEX([1]Companies!$Y:$Y,MATCH(B1103,[1]Companies!$A:$A,0)),"")</f>
        <v>FinTech</v>
      </c>
      <c r="K1103" s="14" t="str">
        <f t="array" ref="K1103">IFERROR(INDEX([1]Companies!$X:$X,MATCH(B1103,[1]Companies!$A:$A,0)),"")</f>
        <v>Financial Services</v>
      </c>
      <c r="L1103" s="14" t="str">
        <f>VLOOKUP(B1103,[1]Companies!$A$1:$C$5243,1,FALSE)</f>
        <v>Fawaterak</v>
      </c>
      <c r="M1103" s="15">
        <f t="shared" si="1300"/>
        <v>0.9</v>
      </c>
      <c r="N1103" s="10" t="str">
        <f t="shared" si="1301"/>
        <v>43615Fawaterak25000</v>
      </c>
      <c r="O1103" s="14" t="str">
        <f t="shared" si="1399"/>
        <v/>
      </c>
      <c r="P1103" s="14">
        <f t="shared" si="1400"/>
        <v>1</v>
      </c>
      <c r="Q1103" s="14">
        <f t="array" ref="Q1103">IFERROR(INDEX([1]Companies!$D:$D,MATCH(B1103,[1]Companies!$A:$A,0)),"")</f>
        <v>2018</v>
      </c>
      <c r="R1103" s="17">
        <f t="shared" si="1401"/>
        <v>25000</v>
      </c>
      <c r="S1103" s="14">
        <f>VLOOKUP(I1103,[1]Lookups!$V$3:$Y$197,4,FALSE)</f>
        <v>0</v>
      </c>
      <c r="T1103" s="14" t="str">
        <f>VLOOKUP(E1103,[1]Lookups!$H$3:$I$71,2,FALSE)</f>
        <v>2. Seed</v>
      </c>
      <c r="U1103" s="14" t="str">
        <f>VLOOKUP(K1103,[1]Lookups!$B$3:$C$142,2,FALSE)</f>
        <v>Financial Services</v>
      </c>
      <c r="V1103" s="14">
        <f t="shared" si="1230"/>
        <v>2019</v>
      </c>
      <c r="W1103" s="14">
        <f t="shared" si="1231"/>
        <v>5</v>
      </c>
      <c r="X1103" s="14">
        <f>VLOOKUP(W1103,[1]Lookups!$P$3:$S$15,2,FALSE)</f>
        <v>2</v>
      </c>
      <c r="Y1103" s="16">
        <f>VLOOKUP(W1103,[1]Lookups!$P$3:$U$15,3,FALSE)</f>
        <v>1</v>
      </c>
      <c r="Z1103" s="16">
        <f t="shared" si="1232"/>
        <v>8</v>
      </c>
      <c r="AA1103" s="16" t="str">
        <f t="shared" ca="1" si="1423"/>
        <v>Algebra Ventures</v>
      </c>
      <c r="AB1103" s="16" t="str">
        <f t="shared" ca="1" si="1423"/>
        <v xml:space="preserve"> Pharos Holding</v>
      </c>
      <c r="AC1103" s="16" t="str">
        <f t="shared" ca="1" si="1423"/>
        <v xml:space="preserve"> AlexBank</v>
      </c>
      <c r="AD1103" s="16" t="str">
        <f t="shared" ca="1" si="1423"/>
        <v xml:space="preserve"> German Agency for International Cooperation and Sustainable Development (GIZ)</v>
      </c>
      <c r="AE1103" s="16" t="str">
        <f t="shared" ca="1" si="1423"/>
        <v xml:space="preserve"> Visa</v>
      </c>
      <c r="AF1103" s="16" t="str">
        <f t="shared" ca="1" si="1423"/>
        <v xml:space="preserve"> Ayady</v>
      </c>
      <c r="AG1103" s="16" t="str">
        <f t="shared" ca="1" si="1423"/>
        <v xml:space="preserve"> Sanad’s Entrepreneurship Academy</v>
      </c>
      <c r="AH1103" s="16" t="str">
        <f t="shared" ca="1" si="1423"/>
        <v xml:space="preserve"> Export Development Bank of Egypt (EBE)</v>
      </c>
      <c r="AI1103" s="16">
        <f t="shared" si="1423"/>
        <v>0</v>
      </c>
      <c r="AJ1103" s="16">
        <f t="shared" si="1423"/>
        <v>0</v>
      </c>
      <c r="AK1103" s="16">
        <f t="shared" si="1423"/>
        <v>0</v>
      </c>
      <c r="AL1103" s="16">
        <f t="shared" si="1423"/>
        <v>0</v>
      </c>
      <c r="AM1103" s="16">
        <f t="shared" si="1423"/>
        <v>0</v>
      </c>
      <c r="AN1103" s="16">
        <f t="shared" si="1423"/>
        <v>0</v>
      </c>
      <c r="AO1103" s="16">
        <f t="shared" si="1423"/>
        <v>0</v>
      </c>
      <c r="AP1103" s="10"/>
      <c r="AQ1103" s="10"/>
      <c r="AR1103" s="10"/>
      <c r="AS1103" s="10" t="str">
        <f t="shared" ref="AS1103" ca="1" si="1431">IFERROR(__xludf.DUMMYFUNCTION("split(F968,"","",true,true)"),"Algebra Ventures")</f>
        <v>Algebra Ventures</v>
      </c>
      <c r="AT1103" s="10" t="str">
        <f ca="1">IFERROR(__xludf.DUMMYFUNCTION("""COMPUTED_VALUE""")," Pharos Holding")</f>
        <v xml:space="preserve"> Pharos Holding</v>
      </c>
      <c r="AU1103" s="10" t="str">
        <f ca="1">IFERROR(__xludf.DUMMYFUNCTION("""COMPUTED_VALUE""")," AlexBank")</f>
        <v xml:space="preserve"> AlexBank</v>
      </c>
      <c r="AV1103" s="10" t="str">
        <f ca="1">IFERROR(__xludf.DUMMYFUNCTION("""COMPUTED_VALUE""")," German Agency for International Cooperation and Sustainable Development (GIZ)")</f>
        <v xml:space="preserve"> German Agency for International Cooperation and Sustainable Development (GIZ)</v>
      </c>
      <c r="AW1103" s="10" t="str">
        <f ca="1">IFERROR(__xludf.DUMMYFUNCTION("""COMPUTED_VALUE""")," Visa")</f>
        <v xml:space="preserve"> Visa</v>
      </c>
      <c r="AX1103" s="10" t="str">
        <f ca="1">IFERROR(__xludf.DUMMYFUNCTION("""COMPUTED_VALUE""")," Ayady")</f>
        <v xml:space="preserve"> Ayady</v>
      </c>
      <c r="AY1103" s="10" t="str">
        <f ca="1">IFERROR(__xludf.DUMMYFUNCTION("""COMPUTED_VALUE""")," Sanad’s Entrepreneurship Academy")</f>
        <v xml:space="preserve"> Sanad’s Entrepreneurship Academy</v>
      </c>
      <c r="AZ1103" s="10" t="str">
        <f ca="1">IFERROR(__xludf.DUMMYFUNCTION("""COMPUTED_VALUE""")," Export Development Bank of Egypt (EBE)")</f>
        <v xml:space="preserve"> Export Development Bank of Egypt (EBE)</v>
      </c>
      <c r="BA1103" s="10"/>
      <c r="BB1103" s="10"/>
      <c r="BC1103" s="10"/>
      <c r="BD1103" s="10"/>
      <c r="BE1103" s="10"/>
      <c r="BF1103" s="10"/>
      <c r="BG1103" s="10"/>
      <c r="BH1103" s="10"/>
      <c r="BI1103" s="10"/>
      <c r="BJ1103" s="10"/>
      <c r="BK1103" s="10"/>
      <c r="BM1103" s="10"/>
    </row>
    <row r="1104" spans="1:65" ht="12.75">
      <c r="A1104" s="9">
        <v>43615</v>
      </c>
      <c r="B1104" s="10" t="s">
        <v>2322</v>
      </c>
      <c r="C1104" s="11">
        <v>25000</v>
      </c>
      <c r="D1104" s="12"/>
      <c r="E1104" s="14" t="s">
        <v>234</v>
      </c>
      <c r="F1104" s="10" t="s">
        <v>2021</v>
      </c>
      <c r="G1104" s="13" t="s">
        <v>2319</v>
      </c>
      <c r="H1104" s="14" t="str">
        <f t="array" ref="H1104">IFERROR(INDEX([1]Companies!$G:$G,MATCH(B1104,[1]Companies!$A:$A,0)),"")</f>
        <v>Egypt</v>
      </c>
      <c r="I1104" s="14" t="str">
        <f t="shared" si="1299"/>
        <v>Egypt</v>
      </c>
      <c r="J1104" s="14" t="str">
        <f t="array" ref="J1104">IFERROR(INDEX([1]Companies!$Y:$Y,MATCH(B1104,[1]Companies!$A:$A,0)),"")</f>
        <v>Fintech, Health</v>
      </c>
      <c r="K1104" s="14" t="str">
        <f t="array" ref="K1104">IFERROR(INDEX([1]Companies!$X:$X,MATCH(B1104,[1]Companies!$A:$A,0)),"")</f>
        <v>Financial Services</v>
      </c>
      <c r="L1104" s="14" t="str">
        <f>VLOOKUP(B1104,[1]Companies!$A$1:$C$5243,1,FALSE)</f>
        <v>Neqabty</v>
      </c>
      <c r="M1104" s="15">
        <f t="shared" si="1300"/>
        <v>0.9</v>
      </c>
      <c r="N1104" s="10" t="str">
        <f t="shared" si="1301"/>
        <v>43615Neqabty25000</v>
      </c>
      <c r="O1104" s="14" t="str">
        <f t="shared" si="1399"/>
        <v/>
      </c>
      <c r="P1104" s="14">
        <f t="shared" si="1400"/>
        <v>1</v>
      </c>
      <c r="Q1104" s="14">
        <f t="array" ref="Q1104">IFERROR(INDEX([1]Companies!$D:$D,MATCH(B1104,[1]Companies!$A:$A,0)),"")</f>
        <v>2016</v>
      </c>
      <c r="R1104" s="17">
        <f t="shared" si="1401"/>
        <v>25000</v>
      </c>
      <c r="S1104" s="14">
        <f>VLOOKUP(I1104,[1]Lookups!$V$3:$Y$197,4,FALSE)</f>
        <v>0</v>
      </c>
      <c r="T1104" s="14" t="str">
        <f>VLOOKUP(E1104,[1]Lookups!$H$3:$I$71,2,FALSE)</f>
        <v>2. Seed</v>
      </c>
      <c r="U1104" s="14" t="str">
        <f>VLOOKUP(K1104,[1]Lookups!$B$3:$C$142,2,FALSE)</f>
        <v>Financial Services</v>
      </c>
      <c r="V1104" s="14">
        <f t="shared" si="1230"/>
        <v>2019</v>
      </c>
      <c r="W1104" s="14">
        <f t="shared" si="1231"/>
        <v>5</v>
      </c>
      <c r="X1104" s="14">
        <f>VLOOKUP(W1104,[1]Lookups!$P$3:$S$15,2,FALSE)</f>
        <v>2</v>
      </c>
      <c r="Y1104" s="16">
        <f>VLOOKUP(W1104,[1]Lookups!$P$3:$U$15,3,FALSE)</f>
        <v>1</v>
      </c>
      <c r="Z1104" s="16">
        <f t="shared" si="1232"/>
        <v>8</v>
      </c>
      <c r="AA1104" s="16" t="str">
        <f t="shared" ca="1" si="1423"/>
        <v>Algebra Ventures</v>
      </c>
      <c r="AB1104" s="16" t="str">
        <f t="shared" ca="1" si="1423"/>
        <v xml:space="preserve"> Pharos Holding</v>
      </c>
      <c r="AC1104" s="16" t="str">
        <f t="shared" ca="1" si="1423"/>
        <v xml:space="preserve"> AlexBank</v>
      </c>
      <c r="AD1104" s="16" t="str">
        <f t="shared" ca="1" si="1423"/>
        <v xml:space="preserve"> German Agency for International Cooperation and Sustainable Development (GIZ)</v>
      </c>
      <c r="AE1104" s="16" t="str">
        <f t="shared" ca="1" si="1423"/>
        <v xml:space="preserve"> Visa</v>
      </c>
      <c r="AF1104" s="16" t="str">
        <f t="shared" ca="1" si="1423"/>
        <v xml:space="preserve"> Ayady</v>
      </c>
      <c r="AG1104" s="16" t="str">
        <f t="shared" ca="1" si="1423"/>
        <v xml:space="preserve"> Sanad’s Entrepreneurship Academy</v>
      </c>
      <c r="AH1104" s="16" t="str">
        <f t="shared" ca="1" si="1423"/>
        <v xml:space="preserve"> Export Development Bank of Egypt (EBE)</v>
      </c>
      <c r="AI1104" s="16">
        <f t="shared" si="1423"/>
        <v>0</v>
      </c>
      <c r="AJ1104" s="16">
        <f t="shared" si="1423"/>
        <v>0</v>
      </c>
      <c r="AK1104" s="16">
        <f t="shared" si="1423"/>
        <v>0</v>
      </c>
      <c r="AL1104" s="16">
        <f t="shared" si="1423"/>
        <v>0</v>
      </c>
      <c r="AM1104" s="16">
        <f t="shared" si="1423"/>
        <v>0</v>
      </c>
      <c r="AN1104" s="16">
        <f t="shared" si="1423"/>
        <v>0</v>
      </c>
      <c r="AO1104" s="16">
        <f t="shared" si="1423"/>
        <v>0</v>
      </c>
      <c r="AP1104" s="10"/>
      <c r="AQ1104" s="10"/>
      <c r="AR1104" s="10"/>
      <c r="AS1104" s="10" t="str">
        <f t="shared" ref="AS1104" ca="1" si="1432">IFERROR(__xludf.DUMMYFUNCTION("split(F968,"","",true,true)"),"Algebra Ventures")</f>
        <v>Algebra Ventures</v>
      </c>
      <c r="AT1104" s="10" t="str">
        <f ca="1">IFERROR(__xludf.DUMMYFUNCTION("""COMPUTED_VALUE""")," Pharos Holding")</f>
        <v xml:space="preserve"> Pharos Holding</v>
      </c>
      <c r="AU1104" s="10" t="str">
        <f ca="1">IFERROR(__xludf.DUMMYFUNCTION("""COMPUTED_VALUE""")," AlexBank")</f>
        <v xml:space="preserve"> AlexBank</v>
      </c>
      <c r="AV1104" s="10" t="str">
        <f ca="1">IFERROR(__xludf.DUMMYFUNCTION("""COMPUTED_VALUE""")," German Agency for International Cooperation and Sustainable Development (GIZ)")</f>
        <v xml:space="preserve"> German Agency for International Cooperation and Sustainable Development (GIZ)</v>
      </c>
      <c r="AW1104" s="10" t="str">
        <f ca="1">IFERROR(__xludf.DUMMYFUNCTION("""COMPUTED_VALUE""")," Visa")</f>
        <v xml:space="preserve"> Visa</v>
      </c>
      <c r="AX1104" s="10" t="str">
        <f ca="1">IFERROR(__xludf.DUMMYFUNCTION("""COMPUTED_VALUE""")," Ayady")</f>
        <v xml:space="preserve"> Ayady</v>
      </c>
      <c r="AY1104" s="10" t="str">
        <f ca="1">IFERROR(__xludf.DUMMYFUNCTION("""COMPUTED_VALUE""")," Sanad’s Entrepreneurship Academy")</f>
        <v xml:space="preserve"> Sanad’s Entrepreneurship Academy</v>
      </c>
      <c r="AZ1104" s="10" t="str">
        <f ca="1">IFERROR(__xludf.DUMMYFUNCTION("""COMPUTED_VALUE""")," Export Development Bank of Egypt (EBE)")</f>
        <v xml:space="preserve"> Export Development Bank of Egypt (EBE)</v>
      </c>
      <c r="BA1104" s="10"/>
      <c r="BB1104" s="10"/>
      <c r="BC1104" s="10"/>
      <c r="BD1104" s="10"/>
      <c r="BE1104" s="10"/>
      <c r="BF1104" s="10"/>
      <c r="BG1104" s="10"/>
      <c r="BH1104" s="10"/>
      <c r="BI1104" s="10"/>
      <c r="BJ1104" s="10"/>
      <c r="BK1104" s="10"/>
      <c r="BM1104" s="10"/>
    </row>
    <row r="1105" spans="1:65" ht="12.75">
      <c r="A1105" s="9">
        <v>43615</v>
      </c>
      <c r="B1105" s="10" t="s">
        <v>2323</v>
      </c>
      <c r="C1105" s="11">
        <v>25000</v>
      </c>
      <c r="D1105" s="12"/>
      <c r="E1105" s="14" t="s">
        <v>234</v>
      </c>
      <c r="F1105" s="10" t="s">
        <v>2021</v>
      </c>
      <c r="G1105" s="13" t="s">
        <v>2319</v>
      </c>
      <c r="H1105" s="14" t="str">
        <f t="array" ref="H1105">IFERROR(INDEX([1]Companies!$G:$G,MATCH(B1105,[1]Companies!$A:$A,0)),"")</f>
        <v>Egypt</v>
      </c>
      <c r="I1105" s="14" t="str">
        <f t="shared" si="1299"/>
        <v>Egypt</v>
      </c>
      <c r="J1105" s="14" t="str">
        <f t="array" ref="J1105">IFERROR(INDEX([1]Companies!$Y:$Y,MATCH(B1105,[1]Companies!$A:$A,0)),"")</f>
        <v>FinTech, Crowdfunding</v>
      </c>
      <c r="K1105" s="14" t="str">
        <f t="array" ref="K1105">IFERROR(INDEX([1]Companies!$X:$X,MATCH(B1105,[1]Companies!$A:$A,0)),"")</f>
        <v>Financial Services</v>
      </c>
      <c r="L1105" s="14" t="str">
        <f>VLOOKUP(B1105,[1]Companies!$A$1:$C$5243,1,FALSE)</f>
        <v>Netsahem</v>
      </c>
      <c r="M1105" s="15">
        <f t="shared" si="1300"/>
        <v>0.9</v>
      </c>
      <c r="N1105" s="10" t="str">
        <f t="shared" si="1301"/>
        <v>43615Netsahem25000</v>
      </c>
      <c r="O1105" s="14" t="str">
        <f t="shared" si="1399"/>
        <v/>
      </c>
      <c r="P1105" s="14">
        <f t="shared" si="1400"/>
        <v>1</v>
      </c>
      <c r="Q1105" s="14">
        <f t="array" ref="Q1105">IFERROR(INDEX([1]Companies!$D:$D,MATCH(B1105,[1]Companies!$A:$A,0)),"")</f>
        <v>2019</v>
      </c>
      <c r="R1105" s="17">
        <f t="shared" si="1401"/>
        <v>25000</v>
      </c>
      <c r="S1105" s="14">
        <f>VLOOKUP(I1105,[1]Lookups!$V$3:$Y$197,4,FALSE)</f>
        <v>0</v>
      </c>
      <c r="T1105" s="14" t="str">
        <f>VLOOKUP(E1105,[1]Lookups!$H$3:$I$71,2,FALSE)</f>
        <v>2. Seed</v>
      </c>
      <c r="U1105" s="14" t="str">
        <f>VLOOKUP(K1105,[1]Lookups!$B$3:$C$142,2,FALSE)</f>
        <v>Financial Services</v>
      </c>
      <c r="V1105" s="14">
        <f t="shared" si="1230"/>
        <v>2019</v>
      </c>
      <c r="W1105" s="14">
        <f t="shared" si="1231"/>
        <v>5</v>
      </c>
      <c r="X1105" s="14">
        <f>VLOOKUP(W1105,[1]Lookups!$P$3:$S$15,2,FALSE)</f>
        <v>2</v>
      </c>
      <c r="Y1105" s="16">
        <f>VLOOKUP(W1105,[1]Lookups!$P$3:$U$15,3,FALSE)</f>
        <v>1</v>
      </c>
      <c r="Z1105" s="16">
        <f t="shared" si="1232"/>
        <v>8</v>
      </c>
      <c r="AA1105" s="16" t="str">
        <f t="shared" ca="1" si="1423"/>
        <v>Algebra Ventures</v>
      </c>
      <c r="AB1105" s="16" t="str">
        <f t="shared" ca="1" si="1423"/>
        <v xml:space="preserve"> Pharos Holding</v>
      </c>
      <c r="AC1105" s="16" t="str">
        <f t="shared" ca="1" si="1423"/>
        <v xml:space="preserve"> AlexBank</v>
      </c>
      <c r="AD1105" s="16" t="str">
        <f t="shared" ca="1" si="1423"/>
        <v xml:space="preserve"> German Agency for International Cooperation and Sustainable Development (GIZ)</v>
      </c>
      <c r="AE1105" s="16" t="str">
        <f t="shared" ca="1" si="1423"/>
        <v xml:space="preserve"> Visa</v>
      </c>
      <c r="AF1105" s="16" t="str">
        <f t="shared" ca="1" si="1423"/>
        <v xml:space="preserve"> Ayady</v>
      </c>
      <c r="AG1105" s="16" t="str">
        <f t="shared" ca="1" si="1423"/>
        <v xml:space="preserve"> Sanad’s Entrepreneurship Academy</v>
      </c>
      <c r="AH1105" s="16" t="str">
        <f t="shared" ca="1" si="1423"/>
        <v xml:space="preserve"> Export Development Bank of Egypt (EBE)</v>
      </c>
      <c r="AI1105" s="16">
        <f t="shared" si="1423"/>
        <v>0</v>
      </c>
      <c r="AJ1105" s="16">
        <f t="shared" si="1423"/>
        <v>0</v>
      </c>
      <c r="AK1105" s="16">
        <f t="shared" si="1423"/>
        <v>0</v>
      </c>
      <c r="AL1105" s="16">
        <f t="shared" si="1423"/>
        <v>0</v>
      </c>
      <c r="AM1105" s="16">
        <f t="shared" si="1423"/>
        <v>0</v>
      </c>
      <c r="AN1105" s="16">
        <f t="shared" si="1423"/>
        <v>0</v>
      </c>
      <c r="AO1105" s="16">
        <f t="shared" si="1423"/>
        <v>0</v>
      </c>
      <c r="AP1105" s="10"/>
      <c r="AQ1105" s="10"/>
      <c r="AR1105" s="10"/>
      <c r="AS1105" s="10" t="str">
        <f t="shared" ref="AS1105" ca="1" si="1433">IFERROR(__xludf.DUMMYFUNCTION("split(F968,"","",true,true)"),"Algebra Ventures")</f>
        <v>Algebra Ventures</v>
      </c>
      <c r="AT1105" s="10" t="str">
        <f ca="1">IFERROR(__xludf.DUMMYFUNCTION("""COMPUTED_VALUE""")," Pharos Holding")</f>
        <v xml:space="preserve"> Pharos Holding</v>
      </c>
      <c r="AU1105" s="10" t="str">
        <f ca="1">IFERROR(__xludf.DUMMYFUNCTION("""COMPUTED_VALUE""")," AlexBank")</f>
        <v xml:space="preserve"> AlexBank</v>
      </c>
      <c r="AV1105" s="10" t="str">
        <f ca="1">IFERROR(__xludf.DUMMYFUNCTION("""COMPUTED_VALUE""")," German Agency for International Cooperation and Sustainable Development (GIZ)")</f>
        <v xml:space="preserve"> German Agency for International Cooperation and Sustainable Development (GIZ)</v>
      </c>
      <c r="AW1105" s="10" t="str">
        <f ca="1">IFERROR(__xludf.DUMMYFUNCTION("""COMPUTED_VALUE""")," Visa")</f>
        <v xml:space="preserve"> Visa</v>
      </c>
      <c r="AX1105" s="10" t="str">
        <f ca="1">IFERROR(__xludf.DUMMYFUNCTION("""COMPUTED_VALUE""")," Ayady")</f>
        <v xml:space="preserve"> Ayady</v>
      </c>
      <c r="AY1105" s="10" t="str">
        <f ca="1">IFERROR(__xludf.DUMMYFUNCTION("""COMPUTED_VALUE""")," Sanad’s Entrepreneurship Academy")</f>
        <v xml:space="preserve"> Sanad’s Entrepreneurship Academy</v>
      </c>
      <c r="AZ1105" s="10" t="str">
        <f ca="1">IFERROR(__xludf.DUMMYFUNCTION("""COMPUTED_VALUE""")," Export Development Bank of Egypt (EBE)")</f>
        <v xml:space="preserve"> Export Development Bank of Egypt (EBE)</v>
      </c>
      <c r="BA1105" s="10"/>
      <c r="BB1105" s="10"/>
      <c r="BC1105" s="10"/>
      <c r="BD1105" s="10"/>
      <c r="BE1105" s="10"/>
      <c r="BF1105" s="10"/>
      <c r="BG1105" s="10"/>
      <c r="BH1105" s="10"/>
      <c r="BI1105" s="10"/>
      <c r="BJ1105" s="10"/>
      <c r="BK1105" s="10"/>
      <c r="BM1105" s="10"/>
    </row>
    <row r="1106" spans="1:65" ht="12.75">
      <c r="A1106" s="9">
        <v>43615</v>
      </c>
      <c r="B1106" s="10" t="s">
        <v>2324</v>
      </c>
      <c r="C1106" s="11">
        <v>25000</v>
      </c>
      <c r="D1106" s="12"/>
      <c r="E1106" s="14" t="s">
        <v>234</v>
      </c>
      <c r="F1106" s="10" t="s">
        <v>2021</v>
      </c>
      <c r="G1106" s="13" t="s">
        <v>2319</v>
      </c>
      <c r="H1106" s="14" t="str">
        <f t="array" ref="H1106">IFERROR(INDEX([1]Companies!$G:$G,MATCH(B1106,[1]Companies!$A:$A,0)),"")</f>
        <v>Egypt</v>
      </c>
      <c r="I1106" s="14" t="str">
        <f t="shared" si="1299"/>
        <v>Egypt</v>
      </c>
      <c r="J1106" s="14" t="str">
        <f t="array" ref="J1106">IFERROR(INDEX([1]Companies!$Y:$Y,MATCH(B1106,[1]Companies!$A:$A,0)),"")</f>
        <v>FinTech, Internet, Retail Technology, Software, Supply Chain Management</v>
      </c>
      <c r="K1106" s="14" t="str">
        <f t="array" ref="K1106">IFERROR(INDEX([1]Companies!$X:$X,MATCH(B1106,[1]Companies!$A:$A,0)),"")</f>
        <v>E-Commerce &amp; Retail</v>
      </c>
      <c r="L1106" s="14" t="str">
        <f>VLOOKUP(B1106,[1]Companies!$A$1:$C$5243,1,FALSE)</f>
        <v>Seventail</v>
      </c>
      <c r="M1106" s="15">
        <f t="shared" si="1300"/>
        <v>0.9</v>
      </c>
      <c r="N1106" s="10" t="str">
        <f t="shared" si="1301"/>
        <v>43615Seventail25000</v>
      </c>
      <c r="O1106" s="14" t="str">
        <f t="shared" si="1399"/>
        <v/>
      </c>
      <c r="P1106" s="14">
        <f t="shared" si="1400"/>
        <v>1</v>
      </c>
      <c r="Q1106" s="14">
        <f t="array" ref="Q1106">IFERROR(INDEX([1]Companies!$D:$D,MATCH(B1106,[1]Companies!$A:$A,0)),"")</f>
        <v>2018</v>
      </c>
      <c r="R1106" s="17">
        <f t="shared" si="1401"/>
        <v>25000</v>
      </c>
      <c r="S1106" s="14">
        <f>VLOOKUP(I1106,[1]Lookups!$V$3:$Y$197,4,FALSE)</f>
        <v>0</v>
      </c>
      <c r="T1106" s="14" t="str">
        <f>VLOOKUP(E1106,[1]Lookups!$H$3:$I$71,2,FALSE)</f>
        <v>2. Seed</v>
      </c>
      <c r="U1106" s="14" t="str">
        <f>VLOOKUP(K1106,[1]Lookups!$B$3:$C$142,2,FALSE)</f>
        <v>E-commerce &amp; Retail</v>
      </c>
      <c r="V1106" s="14">
        <f t="shared" si="1230"/>
        <v>2019</v>
      </c>
      <c r="W1106" s="14">
        <f t="shared" si="1231"/>
        <v>5</v>
      </c>
      <c r="X1106" s="14">
        <f>VLOOKUP(W1106,[1]Lookups!$P$3:$S$15,2,FALSE)</f>
        <v>2</v>
      </c>
      <c r="Y1106" s="16">
        <f>VLOOKUP(W1106,[1]Lookups!$P$3:$U$15,3,FALSE)</f>
        <v>1</v>
      </c>
      <c r="Z1106" s="16">
        <f t="shared" si="1232"/>
        <v>8</v>
      </c>
      <c r="AA1106" s="16" t="str">
        <f t="shared" ca="1" si="1423"/>
        <v>Algebra Ventures</v>
      </c>
      <c r="AB1106" s="16" t="str">
        <f t="shared" ca="1" si="1423"/>
        <v xml:space="preserve"> Pharos Holding</v>
      </c>
      <c r="AC1106" s="16" t="str">
        <f t="shared" ca="1" si="1423"/>
        <v xml:space="preserve"> AlexBank</v>
      </c>
      <c r="AD1106" s="16" t="str">
        <f t="shared" ca="1" si="1423"/>
        <v xml:space="preserve"> German Agency for International Cooperation and Sustainable Development (GIZ)</v>
      </c>
      <c r="AE1106" s="16" t="str">
        <f t="shared" ca="1" si="1423"/>
        <v xml:space="preserve"> Visa</v>
      </c>
      <c r="AF1106" s="16" t="str">
        <f t="shared" ca="1" si="1423"/>
        <v xml:space="preserve"> Ayady</v>
      </c>
      <c r="AG1106" s="16" t="str">
        <f t="shared" ca="1" si="1423"/>
        <v xml:space="preserve"> Sanad’s Entrepreneurship Academy</v>
      </c>
      <c r="AH1106" s="16" t="str">
        <f t="shared" ca="1" si="1423"/>
        <v xml:space="preserve"> Export Development Bank of Egypt (EBE)</v>
      </c>
      <c r="AI1106" s="16">
        <f t="shared" si="1423"/>
        <v>0</v>
      </c>
      <c r="AJ1106" s="16">
        <f t="shared" si="1423"/>
        <v>0</v>
      </c>
      <c r="AK1106" s="16">
        <f t="shared" si="1423"/>
        <v>0</v>
      </c>
      <c r="AL1106" s="16">
        <f t="shared" si="1423"/>
        <v>0</v>
      </c>
      <c r="AM1106" s="16">
        <f t="shared" si="1423"/>
        <v>0</v>
      </c>
      <c r="AN1106" s="16">
        <f t="shared" si="1423"/>
        <v>0</v>
      </c>
      <c r="AO1106" s="16">
        <f t="shared" si="1423"/>
        <v>0</v>
      </c>
      <c r="AP1106" s="10"/>
      <c r="AQ1106" s="10"/>
      <c r="AR1106" s="10"/>
      <c r="AS1106" s="10" t="str">
        <f t="shared" ref="AS1106" ca="1" si="1434">IFERROR(__xludf.DUMMYFUNCTION("split(F968,"","",true,true)"),"Algebra Ventures")</f>
        <v>Algebra Ventures</v>
      </c>
      <c r="AT1106" s="10" t="str">
        <f ca="1">IFERROR(__xludf.DUMMYFUNCTION("""COMPUTED_VALUE""")," Pharos Holding")</f>
        <v xml:space="preserve"> Pharos Holding</v>
      </c>
      <c r="AU1106" s="10" t="str">
        <f ca="1">IFERROR(__xludf.DUMMYFUNCTION("""COMPUTED_VALUE""")," AlexBank")</f>
        <v xml:space="preserve"> AlexBank</v>
      </c>
      <c r="AV1106" s="10" t="str">
        <f ca="1">IFERROR(__xludf.DUMMYFUNCTION("""COMPUTED_VALUE""")," German Agency for International Cooperation and Sustainable Development (GIZ)")</f>
        <v xml:space="preserve"> German Agency for International Cooperation and Sustainable Development (GIZ)</v>
      </c>
      <c r="AW1106" s="10" t="str">
        <f ca="1">IFERROR(__xludf.DUMMYFUNCTION("""COMPUTED_VALUE""")," Visa")</f>
        <v xml:space="preserve"> Visa</v>
      </c>
      <c r="AX1106" s="10" t="str">
        <f ca="1">IFERROR(__xludf.DUMMYFUNCTION("""COMPUTED_VALUE""")," Ayady")</f>
        <v xml:space="preserve"> Ayady</v>
      </c>
      <c r="AY1106" s="10" t="str">
        <f ca="1">IFERROR(__xludf.DUMMYFUNCTION("""COMPUTED_VALUE""")," Sanad’s Entrepreneurship Academy")</f>
        <v xml:space="preserve"> Sanad’s Entrepreneurship Academy</v>
      </c>
      <c r="AZ1106" s="10" t="str">
        <f ca="1">IFERROR(__xludf.DUMMYFUNCTION("""COMPUTED_VALUE""")," Export Development Bank of Egypt (EBE)")</f>
        <v xml:space="preserve"> Export Development Bank of Egypt (EBE)</v>
      </c>
      <c r="BA1106" s="10"/>
      <c r="BB1106" s="10"/>
      <c r="BC1106" s="10"/>
      <c r="BD1106" s="10"/>
      <c r="BE1106" s="10"/>
      <c r="BF1106" s="10"/>
      <c r="BG1106" s="10"/>
      <c r="BH1106" s="10"/>
      <c r="BI1106" s="10"/>
      <c r="BJ1106" s="10"/>
      <c r="BK1106" s="10"/>
      <c r="BM1106" s="10"/>
    </row>
    <row r="1107" spans="1:65" ht="12.75">
      <c r="A1107" s="9">
        <v>43615</v>
      </c>
      <c r="B1107" s="10" t="s">
        <v>2325</v>
      </c>
      <c r="C1107" s="11">
        <v>25000</v>
      </c>
      <c r="D1107" s="12"/>
      <c r="E1107" s="14" t="s">
        <v>234</v>
      </c>
      <c r="F1107" s="10" t="s">
        <v>2021</v>
      </c>
      <c r="G1107" s="13" t="s">
        <v>2319</v>
      </c>
      <c r="H1107" s="14" t="str">
        <f t="array" ref="H1107">IFERROR(INDEX([1]Companies!$G:$G,MATCH(B1107,[1]Companies!$A:$A,0)),"")</f>
        <v>Egypt</v>
      </c>
      <c r="I1107" s="14" t="str">
        <f t="shared" si="1299"/>
        <v>Egypt</v>
      </c>
      <c r="J1107" s="14" t="str">
        <f t="array" ref="J1107">IFERROR(INDEX([1]Companies!$Y:$Y,MATCH(B1107,[1]Companies!$A:$A,0)),"")</f>
        <v>Health, Wellness and Fitness, Fintech</v>
      </c>
      <c r="K1107" s="14" t="str">
        <f t="array" ref="K1107">IFERROR(INDEX([1]Companies!$X:$X,MATCH(B1107,[1]Companies!$A:$A,0)),"")</f>
        <v>Financial Services</v>
      </c>
      <c r="L1107" s="14" t="str">
        <f>VLOOKUP(B1107,[1]Companies!$A$1:$C$5243,1,FALSE)</f>
        <v>Youspital</v>
      </c>
      <c r="M1107" s="15">
        <f t="shared" si="1300"/>
        <v>0.9</v>
      </c>
      <c r="N1107" s="10" t="str">
        <f t="shared" si="1301"/>
        <v>43615Youspital25000</v>
      </c>
      <c r="O1107" s="14" t="str">
        <f t="shared" si="1399"/>
        <v/>
      </c>
      <c r="P1107" s="14">
        <f t="shared" si="1400"/>
        <v>1</v>
      </c>
      <c r="Q1107" s="14">
        <f t="array" ref="Q1107">IFERROR(INDEX([1]Companies!$D:$D,MATCH(B1107,[1]Companies!$A:$A,0)),"")</f>
        <v>2019</v>
      </c>
      <c r="R1107" s="17">
        <f t="shared" si="1401"/>
        <v>25000</v>
      </c>
      <c r="S1107" s="14">
        <f>VLOOKUP(I1107,[1]Lookups!$V$3:$Y$197,4,FALSE)</f>
        <v>0</v>
      </c>
      <c r="T1107" s="14" t="str">
        <f>VLOOKUP(E1107,[1]Lookups!$H$3:$I$71,2,FALSE)</f>
        <v>2. Seed</v>
      </c>
      <c r="U1107" s="14" t="str">
        <f>VLOOKUP(K1107,[1]Lookups!$B$3:$C$142,2,FALSE)</f>
        <v>Financial Services</v>
      </c>
      <c r="V1107" s="14">
        <f t="shared" si="1230"/>
        <v>2019</v>
      </c>
      <c r="W1107" s="14">
        <f t="shared" si="1231"/>
        <v>5</v>
      </c>
      <c r="X1107" s="14">
        <f>VLOOKUP(W1107,[1]Lookups!$P$3:$S$15,2,FALSE)</f>
        <v>2</v>
      </c>
      <c r="Y1107" s="16">
        <f>VLOOKUP(W1107,[1]Lookups!$P$3:$U$15,3,FALSE)</f>
        <v>1</v>
      </c>
      <c r="Z1107" s="16">
        <f t="shared" si="1232"/>
        <v>8</v>
      </c>
      <c r="AA1107" s="16" t="str">
        <f t="shared" ca="1" si="1423"/>
        <v>Algebra Ventures</v>
      </c>
      <c r="AB1107" s="16" t="str">
        <f t="shared" ca="1" si="1423"/>
        <v xml:space="preserve"> Pharos Holding</v>
      </c>
      <c r="AC1107" s="16" t="str">
        <f t="shared" ca="1" si="1423"/>
        <v xml:space="preserve"> AlexBank</v>
      </c>
      <c r="AD1107" s="16" t="str">
        <f t="shared" ca="1" si="1423"/>
        <v xml:space="preserve"> German Agency for International Cooperation and Sustainable Development (GIZ)</v>
      </c>
      <c r="AE1107" s="16" t="str">
        <f t="shared" ca="1" si="1423"/>
        <v xml:space="preserve"> Visa</v>
      </c>
      <c r="AF1107" s="16" t="str">
        <f t="shared" ca="1" si="1423"/>
        <v xml:space="preserve"> Ayady</v>
      </c>
      <c r="AG1107" s="16" t="str">
        <f t="shared" ca="1" si="1423"/>
        <v xml:space="preserve"> Sanad’s Entrepreneurship Academy</v>
      </c>
      <c r="AH1107" s="16" t="str">
        <f t="shared" ca="1" si="1423"/>
        <v xml:space="preserve"> Export Development Bank of Egypt (EBE)</v>
      </c>
      <c r="AI1107" s="16">
        <f t="shared" si="1423"/>
        <v>0</v>
      </c>
      <c r="AJ1107" s="16">
        <f t="shared" si="1423"/>
        <v>0</v>
      </c>
      <c r="AK1107" s="16">
        <f t="shared" si="1423"/>
        <v>0</v>
      </c>
      <c r="AL1107" s="16">
        <f t="shared" si="1423"/>
        <v>0</v>
      </c>
      <c r="AM1107" s="16">
        <f t="shared" si="1423"/>
        <v>0</v>
      </c>
      <c r="AN1107" s="16">
        <f t="shared" si="1423"/>
        <v>0</v>
      </c>
      <c r="AO1107" s="16">
        <f t="shared" si="1423"/>
        <v>0</v>
      </c>
      <c r="AP1107" s="10"/>
      <c r="AQ1107" s="10"/>
      <c r="AR1107" s="10"/>
      <c r="AS1107" s="10" t="str">
        <f t="shared" ref="AS1107" ca="1" si="1435">IFERROR(__xludf.DUMMYFUNCTION("split(F968,"","",true,true)"),"Algebra Ventures")</f>
        <v>Algebra Ventures</v>
      </c>
      <c r="AT1107" s="10" t="str">
        <f ca="1">IFERROR(__xludf.DUMMYFUNCTION("""COMPUTED_VALUE""")," Pharos Holding")</f>
        <v xml:space="preserve"> Pharos Holding</v>
      </c>
      <c r="AU1107" s="10" t="str">
        <f ca="1">IFERROR(__xludf.DUMMYFUNCTION("""COMPUTED_VALUE""")," AlexBank")</f>
        <v xml:space="preserve"> AlexBank</v>
      </c>
      <c r="AV1107" s="10" t="str">
        <f ca="1">IFERROR(__xludf.DUMMYFUNCTION("""COMPUTED_VALUE""")," German Agency for International Cooperation and Sustainable Development (GIZ)")</f>
        <v xml:space="preserve"> German Agency for International Cooperation and Sustainable Development (GIZ)</v>
      </c>
      <c r="AW1107" s="10" t="str">
        <f ca="1">IFERROR(__xludf.DUMMYFUNCTION("""COMPUTED_VALUE""")," Visa")</f>
        <v xml:space="preserve"> Visa</v>
      </c>
      <c r="AX1107" s="10" t="str">
        <f ca="1">IFERROR(__xludf.DUMMYFUNCTION("""COMPUTED_VALUE""")," Ayady")</f>
        <v xml:space="preserve"> Ayady</v>
      </c>
      <c r="AY1107" s="10" t="str">
        <f ca="1">IFERROR(__xludf.DUMMYFUNCTION("""COMPUTED_VALUE""")," Sanad’s Entrepreneurship Academy")</f>
        <v xml:space="preserve"> Sanad’s Entrepreneurship Academy</v>
      </c>
      <c r="AZ1107" s="10" t="str">
        <f ca="1">IFERROR(__xludf.DUMMYFUNCTION("""COMPUTED_VALUE""")," Export Development Bank of Egypt (EBE)")</f>
        <v xml:space="preserve"> Export Development Bank of Egypt (EBE)</v>
      </c>
      <c r="BA1107" s="10"/>
      <c r="BB1107" s="10"/>
      <c r="BC1107" s="10"/>
      <c r="BD1107" s="10"/>
      <c r="BE1107" s="10"/>
      <c r="BF1107" s="10"/>
      <c r="BG1107" s="10"/>
      <c r="BH1107" s="10"/>
      <c r="BI1107" s="10"/>
      <c r="BJ1107" s="10"/>
      <c r="BK1107" s="10"/>
      <c r="BM1107" s="10"/>
    </row>
    <row r="1108" spans="1:65" ht="12.75">
      <c r="A1108" s="9">
        <v>43619</v>
      </c>
      <c r="B1108" s="10" t="s">
        <v>1759</v>
      </c>
      <c r="C1108" s="11">
        <v>57000</v>
      </c>
      <c r="D1108" s="12"/>
      <c r="E1108" s="10" t="s">
        <v>45</v>
      </c>
      <c r="F1108" s="10" t="s">
        <v>49</v>
      </c>
      <c r="G1108" s="13" t="s">
        <v>2326</v>
      </c>
      <c r="H1108" s="14" t="str">
        <f t="array" ref="H1108">IFERROR(INDEX([1]Companies!$G:$G,MATCH(B1108,[1]Companies!$A:$A,0)),"")</f>
        <v>Nigeria</v>
      </c>
      <c r="I1108" s="14" t="str">
        <f t="shared" si="1299"/>
        <v>Nigeria</v>
      </c>
      <c r="J1108" s="14" t="str">
        <f t="array" ref="J1108">IFERROR(INDEX([1]Companies!$Y:$Y,MATCH(B1108,[1]Companies!$A:$A,0)),"")</f>
        <v>Solar, Clean Technology</v>
      </c>
      <c r="K1108" s="14" t="str">
        <f t="array" ref="K1108">IFERROR(INDEX([1]Companies!$X:$X,MATCH(B1108,[1]Companies!$A:$A,0)),"")</f>
        <v>Energy &amp; Environment Resources</v>
      </c>
      <c r="L1108" s="14" t="str">
        <f>VLOOKUP(B1108,[1]Companies!$A$1:$C$5243,1,FALSE)</f>
        <v>Greenage Technologies</v>
      </c>
      <c r="M1108" s="15">
        <f t="shared" si="1300"/>
        <v>0.9</v>
      </c>
      <c r="N1108" s="10" t="str">
        <f t="shared" si="1301"/>
        <v>43619Greenage Technologies57000</v>
      </c>
      <c r="O1108" s="14" t="str">
        <f t="shared" si="1399"/>
        <v/>
      </c>
      <c r="P1108" s="14">
        <f t="shared" si="1400"/>
        <v>1</v>
      </c>
      <c r="Q1108" s="14">
        <f t="array" ref="Q1108">IFERROR(INDEX([1]Companies!$D:$D,MATCH(B1108,[1]Companies!$A:$A,0)),"")</f>
        <v>2007</v>
      </c>
      <c r="R1108" s="17">
        <f t="shared" si="1401"/>
        <v>92000</v>
      </c>
      <c r="S1108" s="14">
        <f>VLOOKUP(I1108,[1]Lookups!$V$3:$Y$197,4,FALSE)</f>
        <v>0</v>
      </c>
      <c r="T1108" s="14" t="str">
        <f>VLOOKUP(E1108,[1]Lookups!$H$3:$I$71,2,FALSE)</f>
        <v>2. Seed</v>
      </c>
      <c r="U1108" s="14" t="e">
        <f>VLOOKUP(K1108,[1]Lookups!$B$3:$C$142,2,FALSE)</f>
        <v>#N/A</v>
      </c>
      <c r="V1108" s="14">
        <f t="shared" si="1230"/>
        <v>2019</v>
      </c>
      <c r="W1108" s="14">
        <f t="shared" si="1231"/>
        <v>6</v>
      </c>
      <c r="X1108" s="14">
        <f>VLOOKUP(W1108,[1]Lookups!$P$3:$S$15,2,FALSE)</f>
        <v>2</v>
      </c>
      <c r="Y1108" s="16">
        <f>VLOOKUP(W1108,[1]Lookups!$P$3:$U$15,3,FALSE)</f>
        <v>1</v>
      </c>
      <c r="Z1108" s="16">
        <f t="shared" si="1232"/>
        <v>1</v>
      </c>
      <c r="AA1108" s="16" t="str">
        <f t="shared" ca="1" si="1423"/>
        <v>Algebra Ventures</v>
      </c>
      <c r="AB1108" s="16">
        <f t="shared" si="1423"/>
        <v>0</v>
      </c>
      <c r="AC1108" s="16">
        <f t="shared" si="1423"/>
        <v>0</v>
      </c>
      <c r="AD1108" s="16">
        <f t="shared" si="1423"/>
        <v>0</v>
      </c>
      <c r="AE1108" s="16">
        <f t="shared" si="1423"/>
        <v>0</v>
      </c>
      <c r="AF1108" s="16">
        <f t="shared" si="1423"/>
        <v>0</v>
      </c>
      <c r="AG1108" s="16">
        <f t="shared" si="1423"/>
        <v>0</v>
      </c>
      <c r="AH1108" s="16">
        <f t="shared" si="1423"/>
        <v>0</v>
      </c>
      <c r="AI1108" s="16">
        <f t="shared" si="1423"/>
        <v>0</v>
      </c>
      <c r="AJ1108" s="16">
        <f t="shared" si="1423"/>
        <v>0</v>
      </c>
      <c r="AK1108" s="16">
        <f t="shared" si="1423"/>
        <v>0</v>
      </c>
      <c r="AL1108" s="16">
        <f t="shared" si="1423"/>
        <v>0</v>
      </c>
      <c r="AM1108" s="16">
        <f t="shared" si="1423"/>
        <v>0</v>
      </c>
      <c r="AN1108" s="16">
        <f t="shared" si="1423"/>
        <v>0</v>
      </c>
      <c r="AO1108" s="16">
        <f t="shared" si="1423"/>
        <v>0</v>
      </c>
      <c r="AP1108" s="10"/>
      <c r="AQ1108" s="10"/>
      <c r="AR1108" s="10"/>
      <c r="AS1108" s="10" t="str">
        <f t="shared" ref="AS1108" ca="1" si="1436">IFERROR(__xludf.DUMMYFUNCTION("split(F968,"","",true,true)"),"Algebra Ventures")</f>
        <v>Algebra Ventures</v>
      </c>
      <c r="AT1108" s="10"/>
      <c r="AU1108" s="10"/>
      <c r="AV1108" s="10"/>
      <c r="AW1108" s="10"/>
      <c r="AX1108" s="10"/>
      <c r="AY1108" s="10"/>
      <c r="AZ1108" s="10"/>
      <c r="BA1108" s="10"/>
      <c r="BB1108" s="10"/>
      <c r="BC1108" s="10"/>
      <c r="BD1108" s="10"/>
      <c r="BE1108" s="10"/>
      <c r="BF1108" s="10"/>
      <c r="BG1108" s="10"/>
      <c r="BH1108" s="10"/>
      <c r="BI1108" s="10"/>
      <c r="BJ1108" s="10"/>
      <c r="BK1108" s="10"/>
      <c r="BM1108" s="10"/>
    </row>
    <row r="1109" spans="1:65" ht="12.75">
      <c r="A1109" s="18">
        <v>43620</v>
      </c>
      <c r="B1109" s="14" t="s">
        <v>614</v>
      </c>
      <c r="C1109" s="19">
        <v>26000000</v>
      </c>
      <c r="D1109" s="19"/>
      <c r="E1109" s="14" t="s">
        <v>653</v>
      </c>
      <c r="F1109" s="14" t="s">
        <v>2327</v>
      </c>
      <c r="G1109" s="27" t="s">
        <v>2328</v>
      </c>
      <c r="H1109" s="14" t="str">
        <f t="array" ref="H1109">IFERROR(INDEX([1]Companies!$G:$G,MATCH(B1109,[1]Companies!$A:$A,0)),"")</f>
        <v>United Kingdom</v>
      </c>
      <c r="I1109" s="14" t="str">
        <f t="shared" si="1299"/>
        <v>United Kingdom</v>
      </c>
      <c r="J1109" s="14" t="str">
        <f t="array" ref="J1109">IFERROR(INDEX([1]Companies!$Y:$Y,MATCH(B1109,[1]Companies!$A:$A,0)),"")</f>
        <v>Energy, Renewable Energy, Solar</v>
      </c>
      <c r="K1109" s="14" t="str">
        <f t="array" ref="K1109">IFERROR(INDEX([1]Companies!$X:$X,MATCH(B1109,[1]Companies!$A:$A,0)),"")</f>
        <v>Energy &amp; Environment Resources</v>
      </c>
      <c r="L1109" s="14" t="str">
        <f>VLOOKUP(B1109,[1]Companies!$A$1:$C$5243,1,FALSE)</f>
        <v>Azuri Technologies</v>
      </c>
      <c r="M1109" s="15">
        <f t="shared" si="1300"/>
        <v>0.9</v>
      </c>
      <c r="N1109" s="10" t="str">
        <f t="shared" si="1301"/>
        <v>43620Azuri Technologies26000000</v>
      </c>
      <c r="O1109" s="14" t="str">
        <f t="shared" si="1399"/>
        <v/>
      </c>
      <c r="P1109" s="14">
        <f t="shared" si="1400"/>
        <v>1</v>
      </c>
      <c r="Q1109" s="14">
        <f t="array" ref="Q1109">IFERROR(INDEX([1]Companies!$D:$D,MATCH(B1109,[1]Companies!$A:$A,0)),"")</f>
        <v>2012</v>
      </c>
      <c r="R1109" s="17">
        <f t="shared" si="1401"/>
        <v>53511500</v>
      </c>
      <c r="S1109" s="14">
        <f>VLOOKUP(I1109,[1]Lookups!$V$3:$Y$197,4,FALSE)</f>
        <v>1</v>
      </c>
      <c r="T1109" s="14" t="str">
        <f>VLOOKUP(E1109,[1]Lookups!$H$3:$I$71,2,FALSE)</f>
        <v>4. Late Venture</v>
      </c>
      <c r="U1109" s="14" t="e">
        <f>VLOOKUP(K1109,[1]Lookups!$B$3:$C$142,2,FALSE)</f>
        <v>#N/A</v>
      </c>
      <c r="V1109" s="14">
        <f t="shared" si="1230"/>
        <v>2019</v>
      </c>
      <c r="W1109" s="14">
        <f t="shared" si="1231"/>
        <v>6</v>
      </c>
      <c r="X1109" s="14">
        <f>VLOOKUP(W1109,[1]Lookups!$P$3:$S$15,2,FALSE)</f>
        <v>2</v>
      </c>
      <c r="Y1109" s="16">
        <f>VLOOKUP(W1109,[1]Lookups!$P$3:$U$15,3,FALSE)</f>
        <v>1</v>
      </c>
      <c r="Z1109" s="16">
        <f t="shared" si="1232"/>
        <v>1</v>
      </c>
      <c r="AA1109" s="16" t="str">
        <f t="shared" ca="1" si="1423"/>
        <v>Algebra Ventures</v>
      </c>
      <c r="AB1109" s="16">
        <f t="shared" si="1423"/>
        <v>0</v>
      </c>
      <c r="AC1109" s="16">
        <f t="shared" si="1423"/>
        <v>0</v>
      </c>
      <c r="AD1109" s="16">
        <f t="shared" si="1423"/>
        <v>0</v>
      </c>
      <c r="AE1109" s="16">
        <f t="shared" si="1423"/>
        <v>0</v>
      </c>
      <c r="AF1109" s="16">
        <f t="shared" si="1423"/>
        <v>0</v>
      </c>
      <c r="AG1109" s="16">
        <f t="shared" si="1423"/>
        <v>0</v>
      </c>
      <c r="AH1109" s="16">
        <f t="shared" si="1423"/>
        <v>0</v>
      </c>
      <c r="AI1109" s="16">
        <f t="shared" si="1423"/>
        <v>0</v>
      </c>
      <c r="AJ1109" s="16">
        <f t="shared" si="1423"/>
        <v>0</v>
      </c>
      <c r="AK1109" s="16">
        <f t="shared" si="1423"/>
        <v>0</v>
      </c>
      <c r="AL1109" s="16">
        <f t="shared" si="1423"/>
        <v>0</v>
      </c>
      <c r="AM1109" s="16">
        <f t="shared" si="1423"/>
        <v>0</v>
      </c>
      <c r="AN1109" s="16">
        <f t="shared" si="1423"/>
        <v>0</v>
      </c>
      <c r="AO1109" s="16">
        <f t="shared" si="1423"/>
        <v>0</v>
      </c>
      <c r="AP1109" s="10"/>
      <c r="AQ1109" s="10"/>
      <c r="AR1109" s="10"/>
      <c r="AS1109" s="10" t="str">
        <f t="shared" ref="AS1109" ca="1" si="1437">IFERROR(__xludf.DUMMYFUNCTION("split(F968,"","",true,true)"),"Algebra Ventures")</f>
        <v>Algebra Ventures</v>
      </c>
      <c r="AT1109" s="10"/>
      <c r="AU1109" s="10"/>
      <c r="AV1109" s="10"/>
      <c r="AW1109" s="10"/>
      <c r="AX1109" s="10"/>
      <c r="AY1109" s="10"/>
      <c r="AZ1109" s="10"/>
      <c r="BA1109" s="10"/>
      <c r="BB1109" s="10"/>
      <c r="BC1109" s="10"/>
      <c r="BD1109" s="10"/>
      <c r="BE1109" s="10"/>
      <c r="BF1109" s="10"/>
      <c r="BG1109" s="10"/>
      <c r="BH1109" s="10"/>
      <c r="BI1109" s="10"/>
      <c r="BJ1109" s="10"/>
      <c r="BK1109" s="10"/>
      <c r="BM1109" s="10"/>
    </row>
    <row r="1110" spans="1:65" ht="12.75">
      <c r="A1110" s="9">
        <v>43622</v>
      </c>
      <c r="B1110" s="10" t="s">
        <v>886</v>
      </c>
      <c r="C1110" s="11">
        <v>640000</v>
      </c>
      <c r="D1110" s="12"/>
      <c r="E1110" s="10" t="s">
        <v>45</v>
      </c>
      <c r="F1110" s="10" t="s">
        <v>2329</v>
      </c>
      <c r="G1110" s="39" t="s">
        <v>2330</v>
      </c>
      <c r="H1110" s="14" t="str">
        <f t="array" ref="H1110">IFERROR(INDEX([1]Companies!$G:$G,MATCH(B1110,[1]Companies!$A:$A,0)),"")</f>
        <v>South Africa</v>
      </c>
      <c r="I1110" s="14" t="str">
        <f t="shared" si="1299"/>
        <v>South Africa</v>
      </c>
      <c r="J1110" s="14" t="str">
        <f t="array" ref="J1110">IFERROR(INDEX([1]Companies!$Y:$Y,MATCH(B1110,[1]Companies!$A:$A,0)),"")</f>
        <v>Apps, Hospital, Video</v>
      </c>
      <c r="K1110" s="14" t="str">
        <f t="array" ref="K1110">IFERROR(INDEX([1]Companies!$X:$X,MATCH(B1110,[1]Companies!$A:$A,0)),"")</f>
        <v>Healthcare &amp; Pharma</v>
      </c>
      <c r="L1110" s="14" t="str">
        <f>VLOOKUP(B1110,[1]Companies!$A$1:$C$5243,1,FALSE)</f>
        <v>SmartBlade</v>
      </c>
      <c r="M1110" s="15">
        <f t="shared" si="1300"/>
        <v>0.9</v>
      </c>
      <c r="N1110" s="10" t="str">
        <f t="shared" si="1301"/>
        <v>43622SmartBlade640000</v>
      </c>
      <c r="O1110" s="14" t="str">
        <f t="shared" si="1399"/>
        <v/>
      </c>
      <c r="P1110" s="14">
        <f t="shared" si="1400"/>
        <v>1</v>
      </c>
      <c r="Q1110" s="14">
        <f t="array" ref="Q1110">IFERROR(INDEX([1]Companies!$D:$D,MATCH(B1110,[1]Companies!$A:$A,0)),"")</f>
        <v>2016</v>
      </c>
      <c r="R1110" s="17">
        <f t="shared" si="1401"/>
        <v>665000</v>
      </c>
      <c r="S1110" s="14">
        <f>VLOOKUP(I1110,[1]Lookups!$V$3:$Y$197,4,FALSE)</f>
        <v>0</v>
      </c>
      <c r="T1110" s="14" t="str">
        <f>VLOOKUP(E1110,[1]Lookups!$H$3:$I$71,2,FALSE)</f>
        <v>2. Seed</v>
      </c>
      <c r="U1110" s="14" t="str">
        <f>VLOOKUP(K1110,[1]Lookups!$B$3:$C$142,2,FALSE)</f>
        <v>Health &amp; Pharmaceuticals</v>
      </c>
      <c r="V1110" s="14">
        <f t="shared" si="1230"/>
        <v>2019</v>
      </c>
      <c r="W1110" s="14">
        <f t="shared" si="1231"/>
        <v>6</v>
      </c>
      <c r="X1110" s="14">
        <f>VLOOKUP(W1110,[1]Lookups!$P$3:$S$15,2,FALSE)</f>
        <v>2</v>
      </c>
      <c r="Y1110" s="16">
        <f>VLOOKUP(W1110,[1]Lookups!$P$3:$U$15,3,FALSE)</f>
        <v>1</v>
      </c>
      <c r="Z1110" s="16">
        <f t="shared" si="1232"/>
        <v>1</v>
      </c>
      <c r="AA1110" s="16" t="str">
        <f t="shared" ca="1" si="1423"/>
        <v>Algebra Ventures</v>
      </c>
      <c r="AB1110" s="16">
        <f t="shared" si="1423"/>
        <v>0</v>
      </c>
      <c r="AC1110" s="16">
        <f t="shared" si="1423"/>
        <v>0</v>
      </c>
      <c r="AD1110" s="16">
        <f t="shared" si="1423"/>
        <v>0</v>
      </c>
      <c r="AE1110" s="16">
        <f t="shared" si="1423"/>
        <v>0</v>
      </c>
      <c r="AF1110" s="16">
        <f t="shared" si="1423"/>
        <v>0</v>
      </c>
      <c r="AG1110" s="16">
        <f t="shared" si="1423"/>
        <v>0</v>
      </c>
      <c r="AH1110" s="16">
        <f t="shared" si="1423"/>
        <v>0</v>
      </c>
      <c r="AI1110" s="16">
        <f t="shared" si="1423"/>
        <v>0</v>
      </c>
      <c r="AJ1110" s="16">
        <f t="shared" si="1423"/>
        <v>0</v>
      </c>
      <c r="AK1110" s="16">
        <f t="shared" si="1423"/>
        <v>0</v>
      </c>
      <c r="AL1110" s="16">
        <f t="shared" si="1423"/>
        <v>0</v>
      </c>
      <c r="AM1110" s="16">
        <f t="shared" si="1423"/>
        <v>0</v>
      </c>
      <c r="AN1110" s="16">
        <f t="shared" si="1423"/>
        <v>0</v>
      </c>
      <c r="AO1110" s="16">
        <f t="shared" si="1423"/>
        <v>0</v>
      </c>
      <c r="AP1110" s="10"/>
      <c r="AQ1110" s="10"/>
      <c r="AR1110" s="10"/>
      <c r="AS1110" s="10" t="str">
        <f t="shared" ref="AS1110" ca="1" si="1438">IFERROR(__xludf.DUMMYFUNCTION("split(F968,"","",true,true)"),"Algebra Ventures")</f>
        <v>Algebra Ventures</v>
      </c>
      <c r="AT1110" s="10"/>
      <c r="AU1110" s="10"/>
      <c r="AV1110" s="10"/>
      <c r="AW1110" s="10"/>
      <c r="AX1110" s="10"/>
      <c r="AY1110" s="10"/>
      <c r="AZ1110" s="10"/>
      <c r="BA1110" s="10"/>
      <c r="BB1110" s="10"/>
      <c r="BC1110" s="10"/>
      <c r="BD1110" s="10"/>
      <c r="BE1110" s="10"/>
      <c r="BF1110" s="10"/>
      <c r="BG1110" s="10"/>
      <c r="BH1110" s="10"/>
      <c r="BI1110" s="10"/>
      <c r="BJ1110" s="10"/>
      <c r="BK1110" s="10"/>
      <c r="BM1110" s="10"/>
    </row>
    <row r="1111" spans="1:65" ht="12.75">
      <c r="A1111" s="9">
        <v>43622</v>
      </c>
      <c r="B1111" s="10" t="s">
        <v>2331</v>
      </c>
      <c r="C1111" s="11">
        <v>32000</v>
      </c>
      <c r="D1111" s="12"/>
      <c r="E1111" s="10" t="s">
        <v>55</v>
      </c>
      <c r="F1111" s="10" t="s">
        <v>2332</v>
      </c>
      <c r="G1111" s="13" t="s">
        <v>2333</v>
      </c>
      <c r="H1111" s="14" t="str">
        <f t="array" ref="H1111">IFERROR(INDEX([1]Companies!$G:$G,MATCH(B1111,[1]Companies!$A:$A,0)),"")</f>
        <v>South Africa</v>
      </c>
      <c r="I1111" s="14" t="str">
        <f t="shared" si="1299"/>
        <v>South Africa</v>
      </c>
      <c r="J1111" s="14" t="str">
        <f t="array" ref="J1111">IFERROR(INDEX([1]Companies!$Y:$Y,MATCH(B1111,[1]Companies!$A:$A,0)),"")</f>
        <v>Health Services, Information Technology</v>
      </c>
      <c r="K1111" s="14" t="str">
        <f t="array" ref="K1111">IFERROR(INDEX([1]Companies!$X:$X,MATCH(B1111,[1]Companies!$A:$A,0)),"")</f>
        <v>Healthcare &amp; Pharma</v>
      </c>
      <c r="L1111" s="14" t="str">
        <f>VLOOKUP(B1111,[1]Companies!$A$1:$C$5243,1,FALSE)</f>
        <v>Pelebox</v>
      </c>
      <c r="M1111" s="15">
        <f t="shared" si="1300"/>
        <v>0.9</v>
      </c>
      <c r="N1111" s="10" t="str">
        <f t="shared" si="1301"/>
        <v>43622Pelebox32000</v>
      </c>
      <c r="O1111" s="14" t="str">
        <f t="shared" si="1399"/>
        <v/>
      </c>
      <c r="P1111" s="14">
        <f t="shared" si="1400"/>
        <v>1</v>
      </c>
      <c r="Q1111" s="14">
        <f t="array" ref="Q1111">IFERROR(INDEX([1]Companies!$D:$D,MATCH(B1111,[1]Companies!$A:$A,0)),"")</f>
        <v>2015</v>
      </c>
      <c r="R1111" s="17">
        <f t="shared" si="1401"/>
        <v>32000</v>
      </c>
      <c r="S1111" s="14">
        <f>VLOOKUP(I1111,[1]Lookups!$V$3:$Y$197,4,FALSE)</f>
        <v>0</v>
      </c>
      <c r="T1111" s="14" t="str">
        <f>VLOOKUP(E1111,[1]Lookups!$H$3:$I$71,2,FALSE)</f>
        <v>1. Grant</v>
      </c>
      <c r="U1111" s="14" t="str">
        <f>VLOOKUP(K1111,[1]Lookups!$B$3:$C$142,2,FALSE)</f>
        <v>Health &amp; Pharmaceuticals</v>
      </c>
      <c r="V1111" s="14">
        <f t="shared" si="1230"/>
        <v>2019</v>
      </c>
      <c r="W1111" s="14">
        <f t="shared" si="1231"/>
        <v>6</v>
      </c>
      <c r="X1111" s="14">
        <f>VLOOKUP(W1111,[1]Lookups!$P$3:$S$15,2,FALSE)</f>
        <v>2</v>
      </c>
      <c r="Y1111" s="16">
        <f>VLOOKUP(W1111,[1]Lookups!$P$3:$U$15,3,FALSE)</f>
        <v>1</v>
      </c>
      <c r="Z1111" s="16">
        <f t="shared" si="1232"/>
        <v>1</v>
      </c>
      <c r="AA1111" s="16" t="str">
        <f t="shared" ca="1" si="1423"/>
        <v>Algebra Ventures</v>
      </c>
      <c r="AB1111" s="16">
        <f t="shared" si="1423"/>
        <v>0</v>
      </c>
      <c r="AC1111" s="16">
        <f t="shared" si="1423"/>
        <v>0</v>
      </c>
      <c r="AD1111" s="16">
        <f t="shared" si="1423"/>
        <v>0</v>
      </c>
      <c r="AE1111" s="16">
        <f t="shared" si="1423"/>
        <v>0</v>
      </c>
      <c r="AF1111" s="16">
        <f t="shared" si="1423"/>
        <v>0</v>
      </c>
      <c r="AG1111" s="16">
        <f t="shared" si="1423"/>
        <v>0</v>
      </c>
      <c r="AH1111" s="16">
        <f t="shared" si="1423"/>
        <v>0</v>
      </c>
      <c r="AI1111" s="16">
        <f t="shared" si="1423"/>
        <v>0</v>
      </c>
      <c r="AJ1111" s="16">
        <f t="shared" si="1423"/>
        <v>0</v>
      </c>
      <c r="AK1111" s="16">
        <f t="shared" si="1423"/>
        <v>0</v>
      </c>
      <c r="AL1111" s="16">
        <f t="shared" si="1423"/>
        <v>0</v>
      </c>
      <c r="AM1111" s="16">
        <f t="shared" si="1423"/>
        <v>0</v>
      </c>
      <c r="AN1111" s="16">
        <f t="shared" si="1423"/>
        <v>0</v>
      </c>
      <c r="AO1111" s="16">
        <f t="shared" si="1423"/>
        <v>0</v>
      </c>
      <c r="AP1111" s="10"/>
      <c r="AQ1111" s="10"/>
      <c r="AR1111" s="10"/>
      <c r="AS1111" s="10" t="str">
        <f t="shared" ref="AS1111" ca="1" si="1439">IFERROR(__xludf.DUMMYFUNCTION("split(F968,"","",true,true)"),"Algebra Ventures")</f>
        <v>Algebra Ventures</v>
      </c>
      <c r="AT1111" s="10"/>
      <c r="AU1111" s="10"/>
      <c r="AV1111" s="10"/>
      <c r="AW1111" s="10"/>
      <c r="AX1111" s="10"/>
      <c r="AY1111" s="10"/>
      <c r="AZ1111" s="10"/>
      <c r="BA1111" s="10"/>
      <c r="BB1111" s="10"/>
      <c r="BC1111" s="10"/>
      <c r="BD1111" s="10"/>
      <c r="BE1111" s="10"/>
      <c r="BF1111" s="10"/>
      <c r="BG1111" s="10"/>
      <c r="BH1111" s="10"/>
      <c r="BI1111" s="10"/>
      <c r="BJ1111" s="10"/>
      <c r="BK1111" s="10"/>
      <c r="BM1111" s="10"/>
    </row>
    <row r="1112" spans="1:65" ht="12.75">
      <c r="A1112" s="9">
        <v>43626</v>
      </c>
      <c r="B1112" s="10" t="s">
        <v>2334</v>
      </c>
      <c r="C1112" s="11">
        <v>13630000</v>
      </c>
      <c r="D1112" s="12"/>
      <c r="E1112" s="10" t="s">
        <v>51</v>
      </c>
      <c r="F1112" s="10" t="s">
        <v>2335</v>
      </c>
      <c r="G1112" s="13" t="s">
        <v>2336</v>
      </c>
      <c r="H1112" s="14" t="str">
        <f t="array" ref="H1112">IFERROR(INDEX([1]Companies!$G:$G,MATCH(B1112,[1]Companies!$A:$A,0)),"")</f>
        <v>South Africa</v>
      </c>
      <c r="I1112" s="14" t="str">
        <f t="shared" si="1299"/>
        <v>South Africa</v>
      </c>
      <c r="J1112" s="14" t="str">
        <f t="array" ref="J1112">IFERROR(INDEX([1]Companies!$Y:$Y,MATCH(B1112,[1]Companies!$A:$A,0)),"")</f>
        <v>Banking, Financial Services, Information Technology, Payments</v>
      </c>
      <c r="K1112" s="14" t="str">
        <f t="array" ref="K1112">IFERROR(INDEX([1]Companies!$X:$X,MATCH(B1112,[1]Companies!$A:$A,0)),"")</f>
        <v>Financial Services</v>
      </c>
      <c r="L1112" s="14" t="str">
        <f>VLOOKUP(B1112,[1]Companies!$A$1:$C$5243,1,FALSE)</f>
        <v>Tymebank</v>
      </c>
      <c r="M1112" s="15">
        <f t="shared" si="1300"/>
        <v>0.9</v>
      </c>
      <c r="N1112" s="10" t="str">
        <f t="shared" si="1301"/>
        <v>43626Tymebank13630000</v>
      </c>
      <c r="O1112" s="14" t="str">
        <f t="shared" si="1399"/>
        <v/>
      </c>
      <c r="P1112" s="14">
        <f t="shared" si="1400"/>
        <v>1</v>
      </c>
      <c r="Q1112" s="14">
        <f t="array" ref="Q1112">IFERROR(INDEX([1]Companies!$D:$D,MATCH(B1112,[1]Companies!$A:$A,0)),"")</f>
        <v>2012</v>
      </c>
      <c r="R1112" s="17">
        <f t="shared" si="1401"/>
        <v>13630000</v>
      </c>
      <c r="S1112" s="14">
        <f>VLOOKUP(I1112,[1]Lookups!$V$3:$Y$197,4,FALSE)</f>
        <v>0</v>
      </c>
      <c r="T1112" s="14" t="str">
        <f>VLOOKUP(E1112,[1]Lookups!$H$3:$I$71,2,FALSE)</f>
        <v>6. Private Equity</v>
      </c>
      <c r="U1112" s="14" t="str">
        <f>VLOOKUP(K1112,[1]Lookups!$B$3:$C$142,2,FALSE)</f>
        <v>Financial Services</v>
      </c>
      <c r="V1112" s="14">
        <f t="shared" si="1230"/>
        <v>2019</v>
      </c>
      <c r="W1112" s="14">
        <f t="shared" si="1231"/>
        <v>6</v>
      </c>
      <c r="X1112" s="14">
        <f>VLOOKUP(W1112,[1]Lookups!$P$3:$S$15,2,FALSE)</f>
        <v>2</v>
      </c>
      <c r="Y1112" s="16">
        <f>VLOOKUP(W1112,[1]Lookups!$P$3:$U$15,3,FALSE)</f>
        <v>1</v>
      </c>
      <c r="Z1112" s="16">
        <f t="shared" si="1232"/>
        <v>2</v>
      </c>
      <c r="AA1112" s="16" t="str">
        <f t="shared" ref="AA1112:AO1127" ca="1" si="1440">AS1112</f>
        <v>Algebra Ventures</v>
      </c>
      <c r="AB1112" s="16" t="str">
        <f t="shared" ca="1" si="1440"/>
        <v xml:space="preserve"> African Rainbow Partners</v>
      </c>
      <c r="AC1112" s="16">
        <f t="shared" si="1440"/>
        <v>0</v>
      </c>
      <c r="AD1112" s="16">
        <f t="shared" si="1440"/>
        <v>0</v>
      </c>
      <c r="AE1112" s="16">
        <f t="shared" si="1440"/>
        <v>0</v>
      </c>
      <c r="AF1112" s="16">
        <f t="shared" si="1440"/>
        <v>0</v>
      </c>
      <c r="AG1112" s="16">
        <f t="shared" si="1440"/>
        <v>0</v>
      </c>
      <c r="AH1112" s="16">
        <f t="shared" si="1440"/>
        <v>0</v>
      </c>
      <c r="AI1112" s="16">
        <f t="shared" si="1440"/>
        <v>0</v>
      </c>
      <c r="AJ1112" s="16">
        <f t="shared" si="1440"/>
        <v>0</v>
      </c>
      <c r="AK1112" s="16">
        <f t="shared" si="1440"/>
        <v>0</v>
      </c>
      <c r="AL1112" s="16">
        <f t="shared" si="1440"/>
        <v>0</v>
      </c>
      <c r="AM1112" s="16">
        <f t="shared" si="1440"/>
        <v>0</v>
      </c>
      <c r="AN1112" s="16">
        <f t="shared" si="1440"/>
        <v>0</v>
      </c>
      <c r="AO1112" s="16">
        <f t="shared" si="1440"/>
        <v>0</v>
      </c>
      <c r="AP1112" s="10"/>
      <c r="AQ1112" s="10"/>
      <c r="AR1112" s="10"/>
      <c r="AS1112" s="10" t="str">
        <f t="shared" ref="AS1112" ca="1" si="1441">IFERROR(__xludf.DUMMYFUNCTION("split(F968,"","",true,true)"),"Algebra Ventures")</f>
        <v>Algebra Ventures</v>
      </c>
      <c r="AT1112" s="10" t="str">
        <f ca="1">IFERROR(__xludf.DUMMYFUNCTION("""COMPUTED_VALUE""")," African Rainbow Partners")</f>
        <v xml:space="preserve"> African Rainbow Partners</v>
      </c>
      <c r="AU1112" s="10"/>
      <c r="AV1112" s="10"/>
      <c r="AW1112" s="10"/>
      <c r="AX1112" s="10"/>
      <c r="AY1112" s="10"/>
      <c r="AZ1112" s="10"/>
      <c r="BA1112" s="10"/>
      <c r="BB1112" s="10"/>
      <c r="BC1112" s="10"/>
      <c r="BD1112" s="10"/>
      <c r="BE1112" s="10"/>
      <c r="BF1112" s="10"/>
      <c r="BG1112" s="10"/>
      <c r="BH1112" s="10"/>
      <c r="BI1112" s="10"/>
      <c r="BJ1112" s="10"/>
      <c r="BK1112" s="10"/>
      <c r="BM1112" s="10"/>
    </row>
    <row r="1113" spans="1:65" ht="12.75">
      <c r="A1113" s="9">
        <v>43627</v>
      </c>
      <c r="B1113" s="10" t="s">
        <v>1363</v>
      </c>
      <c r="C1113" s="11" t="s">
        <v>49</v>
      </c>
      <c r="D1113" s="12"/>
      <c r="E1113" s="10" t="s">
        <v>45</v>
      </c>
      <c r="F1113" s="10" t="s">
        <v>472</v>
      </c>
      <c r="G1113" s="13" t="s">
        <v>2337</v>
      </c>
      <c r="H1113" s="14" t="str">
        <f t="array" ref="H1113">IFERROR(INDEX([1]Companies!$G:$G,MATCH(B1113,[1]Companies!$A:$A,0)),"")</f>
        <v>Kenya</v>
      </c>
      <c r="I1113" s="14" t="str">
        <f t="shared" si="1299"/>
        <v>Kenya</v>
      </c>
      <c r="J1113" s="14" t="str">
        <f t="array" ref="J1113">IFERROR(INDEX([1]Companies!$Y:$Y,MATCH(B1113,[1]Companies!$A:$A,0)),"")</f>
        <v>Mobile, Mobile Apps</v>
      </c>
      <c r="K1113" s="14" t="str">
        <f t="array" ref="K1113">IFERROR(INDEX([1]Companies!$X:$X,MATCH(B1113,[1]Companies!$A:$A,0)),"")</f>
        <v>Information Technology</v>
      </c>
      <c r="L1113" s="14" t="str">
        <f>VLOOKUP(B1113,[1]Companies!$A$1:$C$5243,1,FALSE)</f>
        <v>MPost</v>
      </c>
      <c r="M1113" s="15">
        <f t="shared" si="1300"/>
        <v>0.9</v>
      </c>
      <c r="N1113" s="10" t="str">
        <f t="shared" si="1301"/>
        <v>43627MPostUndisclosed</v>
      </c>
      <c r="O1113" s="14" t="str">
        <f t="shared" si="1399"/>
        <v/>
      </c>
      <c r="P1113" s="14">
        <f t="shared" si="1400"/>
        <v>0</v>
      </c>
      <c r="Q1113" s="14">
        <f t="array" ref="Q1113">IFERROR(INDEX([1]Companies!$D:$D,MATCH(B1113,[1]Companies!$A:$A,0)),"")</f>
        <v>2016</v>
      </c>
      <c r="R1113" s="17">
        <f t="shared" si="1401"/>
        <v>117000</v>
      </c>
      <c r="S1113" s="14">
        <f>VLOOKUP(I1113,[1]Lookups!$V$3:$Y$197,4,FALSE)</f>
        <v>0</v>
      </c>
      <c r="T1113" s="14" t="str">
        <f>VLOOKUP(E1113,[1]Lookups!$H$3:$I$71,2,FALSE)</f>
        <v>2. Seed</v>
      </c>
      <c r="U1113" s="14" t="str">
        <f>VLOOKUP(K1113,[1]Lookups!$B$3:$C$142,2,FALSE)</f>
        <v>Other Technologies &amp; Information Technology</v>
      </c>
      <c r="V1113" s="14">
        <f t="shared" si="1230"/>
        <v>2019</v>
      </c>
      <c r="W1113" s="14">
        <f t="shared" si="1231"/>
        <v>6</v>
      </c>
      <c r="X1113" s="14">
        <f>VLOOKUP(W1113,[1]Lookups!$P$3:$S$15,2,FALSE)</f>
        <v>2</v>
      </c>
      <c r="Y1113" s="16">
        <f>VLOOKUP(W1113,[1]Lookups!$P$3:$U$15,3,FALSE)</f>
        <v>1</v>
      </c>
      <c r="Z1113" s="16">
        <f t="shared" si="1232"/>
        <v>1</v>
      </c>
      <c r="AA1113" s="16" t="str">
        <f t="shared" ca="1" si="1440"/>
        <v>Algebra Ventures</v>
      </c>
      <c r="AB1113" s="16">
        <f t="shared" si="1440"/>
        <v>0</v>
      </c>
      <c r="AC1113" s="16">
        <f t="shared" si="1440"/>
        <v>0</v>
      </c>
      <c r="AD1113" s="16">
        <f t="shared" si="1440"/>
        <v>0</v>
      </c>
      <c r="AE1113" s="16">
        <f t="shared" si="1440"/>
        <v>0</v>
      </c>
      <c r="AF1113" s="16">
        <f t="shared" si="1440"/>
        <v>0</v>
      </c>
      <c r="AG1113" s="16">
        <f t="shared" si="1440"/>
        <v>0</v>
      </c>
      <c r="AH1113" s="16">
        <f t="shared" si="1440"/>
        <v>0</v>
      </c>
      <c r="AI1113" s="16">
        <f t="shared" si="1440"/>
        <v>0</v>
      </c>
      <c r="AJ1113" s="16">
        <f t="shared" si="1440"/>
        <v>0</v>
      </c>
      <c r="AK1113" s="16">
        <f t="shared" si="1440"/>
        <v>0</v>
      </c>
      <c r="AL1113" s="16">
        <f t="shared" si="1440"/>
        <v>0</v>
      </c>
      <c r="AM1113" s="16">
        <f t="shared" si="1440"/>
        <v>0</v>
      </c>
      <c r="AN1113" s="16">
        <f t="shared" si="1440"/>
        <v>0</v>
      </c>
      <c r="AO1113" s="16">
        <f t="shared" si="1440"/>
        <v>0</v>
      </c>
      <c r="AP1113" s="10"/>
      <c r="AQ1113" s="10"/>
      <c r="AR1113" s="10"/>
      <c r="AS1113" s="10" t="str">
        <f t="shared" ref="AS1113" ca="1" si="1442">IFERROR(__xludf.DUMMYFUNCTION("split(F968,"","",true,true)"),"Algebra Ventures")</f>
        <v>Algebra Ventures</v>
      </c>
      <c r="AT1113" s="10"/>
      <c r="AU1113" s="10"/>
      <c r="AV1113" s="10"/>
      <c r="AW1113" s="10"/>
      <c r="AX1113" s="10"/>
      <c r="AY1113" s="10"/>
      <c r="AZ1113" s="10"/>
      <c r="BA1113" s="10"/>
      <c r="BB1113" s="10"/>
      <c r="BC1113" s="10"/>
      <c r="BD1113" s="10"/>
      <c r="BE1113" s="10"/>
      <c r="BF1113" s="10"/>
      <c r="BG1113" s="10"/>
      <c r="BH1113" s="10"/>
      <c r="BI1113" s="10"/>
      <c r="BJ1113" s="10"/>
      <c r="BK1113" s="10"/>
      <c r="BM1113" s="10"/>
    </row>
    <row r="1114" spans="1:65" ht="12.75">
      <c r="A1114" s="9">
        <v>43627</v>
      </c>
      <c r="B1114" s="10" t="s">
        <v>477</v>
      </c>
      <c r="C1114" s="11">
        <v>500000</v>
      </c>
      <c r="D1114" s="12"/>
      <c r="E1114" s="10" t="s">
        <v>45</v>
      </c>
      <c r="F1114" s="10" t="s">
        <v>2338</v>
      </c>
      <c r="G1114" s="13" t="s">
        <v>2339</v>
      </c>
      <c r="H1114" s="14" t="str">
        <f t="array" ref="H1114">IFERROR(INDEX([1]Companies!$G:$G,MATCH(B1114,[1]Companies!$A:$A,0)),"")</f>
        <v>Egypt</v>
      </c>
      <c r="I1114" s="14" t="str">
        <f t="shared" si="1299"/>
        <v>Egypt</v>
      </c>
      <c r="J1114" s="14" t="str">
        <f t="array" ref="J1114">IFERROR(INDEX([1]Companies!$Y:$Y,MATCH(B1114,[1]Companies!$A:$A,0)),"")</f>
        <v>E-Commerce, Education, Internet</v>
      </c>
      <c r="K1114" s="14" t="str">
        <f t="array" ref="K1114">IFERROR(INDEX([1]Companies!$X:$X,MATCH(B1114,[1]Companies!$A:$A,0)),"")</f>
        <v>Education</v>
      </c>
      <c r="L1114" s="14" t="str">
        <f>VLOOKUP(B1114,[1]Companies!$A$1:$C$5243,1,FALSE)</f>
        <v>Orcas​</v>
      </c>
      <c r="M1114" s="15">
        <f t="shared" si="1300"/>
        <v>0.9</v>
      </c>
      <c r="N1114" s="10" t="str">
        <f t="shared" si="1301"/>
        <v>43627Orcas​500000</v>
      </c>
      <c r="O1114" s="14" t="str">
        <f t="shared" si="1399"/>
        <v/>
      </c>
      <c r="P1114" s="14">
        <f t="shared" si="1400"/>
        <v>1</v>
      </c>
      <c r="Q1114" s="14">
        <f t="array" ref="Q1114">IFERROR(INDEX([1]Companies!$D:$D,MATCH(B1114,[1]Companies!$A:$A,0)),"")</f>
        <v>2014</v>
      </c>
      <c r="R1114" s="17">
        <f t="shared" si="1401"/>
        <v>500000</v>
      </c>
      <c r="S1114" s="14">
        <f>VLOOKUP(I1114,[1]Lookups!$V$3:$Y$197,4,FALSE)</f>
        <v>0</v>
      </c>
      <c r="T1114" s="14" t="str">
        <f>VLOOKUP(E1114,[1]Lookups!$H$3:$I$71,2,FALSE)</f>
        <v>2. Seed</v>
      </c>
      <c r="U1114" s="14" t="str">
        <f>VLOOKUP(K1114,[1]Lookups!$B$3:$C$142,2,FALSE)</f>
        <v>Education</v>
      </c>
      <c r="V1114" s="14">
        <f t="shared" si="1230"/>
        <v>2019</v>
      </c>
      <c r="W1114" s="14">
        <f t="shared" si="1231"/>
        <v>6</v>
      </c>
      <c r="X1114" s="14">
        <f>VLOOKUP(W1114,[1]Lookups!$P$3:$S$15,2,FALSE)</f>
        <v>2</v>
      </c>
      <c r="Y1114" s="16">
        <f>VLOOKUP(W1114,[1]Lookups!$P$3:$U$15,3,FALSE)</f>
        <v>1</v>
      </c>
      <c r="Z1114" s="16">
        <f t="shared" si="1232"/>
        <v>2</v>
      </c>
      <c r="AA1114" s="16" t="str">
        <f t="shared" ca="1" si="1440"/>
        <v>Algebra Ventures</v>
      </c>
      <c r="AB1114" s="16" t="str">
        <f t="shared" ca="1" si="1440"/>
        <v xml:space="preserve"> NFX Capital</v>
      </c>
      <c r="AC1114" s="16">
        <f t="shared" si="1440"/>
        <v>0</v>
      </c>
      <c r="AD1114" s="16">
        <f t="shared" si="1440"/>
        <v>0</v>
      </c>
      <c r="AE1114" s="16">
        <f t="shared" si="1440"/>
        <v>0</v>
      </c>
      <c r="AF1114" s="16">
        <f t="shared" si="1440"/>
        <v>0</v>
      </c>
      <c r="AG1114" s="16">
        <f t="shared" si="1440"/>
        <v>0</v>
      </c>
      <c r="AH1114" s="16">
        <f t="shared" si="1440"/>
        <v>0</v>
      </c>
      <c r="AI1114" s="16">
        <f t="shared" si="1440"/>
        <v>0</v>
      </c>
      <c r="AJ1114" s="16">
        <f t="shared" si="1440"/>
        <v>0</v>
      </c>
      <c r="AK1114" s="16">
        <f t="shared" si="1440"/>
        <v>0</v>
      </c>
      <c r="AL1114" s="16">
        <f t="shared" si="1440"/>
        <v>0</v>
      </c>
      <c r="AM1114" s="16">
        <f t="shared" si="1440"/>
        <v>0</v>
      </c>
      <c r="AN1114" s="16">
        <f t="shared" si="1440"/>
        <v>0</v>
      </c>
      <c r="AO1114" s="16">
        <f t="shared" si="1440"/>
        <v>0</v>
      </c>
      <c r="AP1114" s="10"/>
      <c r="AQ1114" s="10"/>
      <c r="AR1114" s="10"/>
      <c r="AS1114" s="10" t="str">
        <f t="shared" ref="AS1114" ca="1" si="1443">IFERROR(__xludf.DUMMYFUNCTION("split(F968,"","",true,true)"),"Algebra Ventures")</f>
        <v>Algebra Ventures</v>
      </c>
      <c r="AT1114" s="10" t="str">
        <f ca="1">IFERROR(__xludf.DUMMYFUNCTION("""COMPUTED_VALUE""")," NFX Capital")</f>
        <v xml:space="preserve"> NFX Capital</v>
      </c>
      <c r="AU1114" s="10"/>
      <c r="AV1114" s="10"/>
      <c r="AW1114" s="10"/>
      <c r="AX1114" s="10"/>
      <c r="AY1114" s="10"/>
      <c r="AZ1114" s="10"/>
      <c r="BA1114" s="10"/>
      <c r="BB1114" s="10"/>
      <c r="BC1114" s="10"/>
      <c r="BD1114" s="10"/>
      <c r="BE1114" s="10"/>
      <c r="BF1114" s="10"/>
      <c r="BG1114" s="10"/>
      <c r="BH1114" s="10"/>
      <c r="BI1114" s="10"/>
      <c r="BJ1114" s="10"/>
      <c r="BK1114" s="10"/>
      <c r="BM1114" s="10"/>
    </row>
    <row r="1115" spans="1:65" ht="12.75">
      <c r="A1115" s="9">
        <v>43628</v>
      </c>
      <c r="B1115" s="10" t="s">
        <v>399</v>
      </c>
      <c r="C1115" s="11">
        <v>5000000</v>
      </c>
      <c r="D1115" s="12"/>
      <c r="E1115" s="10" t="s">
        <v>51</v>
      </c>
      <c r="F1115" s="10" t="s">
        <v>2340</v>
      </c>
      <c r="G1115" s="13" t="s">
        <v>2341</v>
      </c>
      <c r="H1115" s="14" t="str">
        <f t="array" ref="H1115">IFERROR(INDEX([1]Companies!$G:$G,MATCH(B1115,[1]Companies!$A:$A,0)),"")</f>
        <v>Kenya</v>
      </c>
      <c r="I1115" s="14" t="str">
        <f t="shared" si="1299"/>
        <v>Kenya</v>
      </c>
      <c r="J1115" s="14" t="str">
        <f t="array" ref="J1115">IFERROR(INDEX([1]Companies!$Y:$Y,MATCH(B1115,[1]Companies!$A:$A,0)),"")</f>
        <v>mCommerce, Distribution, and Agriculture</v>
      </c>
      <c r="K1115" s="14" t="str">
        <f t="array" ref="K1115">IFERROR(INDEX([1]Companies!$X:$X,MATCH(B1115,[1]Companies!$A:$A,0)),"")</f>
        <v>E-Commerce &amp; Retail</v>
      </c>
      <c r="L1115" s="14" t="str">
        <f>VLOOKUP(B1115,[1]Companies!$A$1:$C$5243,1,FALSE)</f>
        <v>Twiga Foods</v>
      </c>
      <c r="M1115" s="15">
        <f t="shared" si="1300"/>
        <v>0.9</v>
      </c>
      <c r="N1115" s="10" t="str">
        <f t="shared" si="1301"/>
        <v>43628Twiga Foods5000000</v>
      </c>
      <c r="O1115" s="14" t="str">
        <f t="shared" si="1399"/>
        <v/>
      </c>
      <c r="P1115" s="14">
        <f t="shared" si="1400"/>
        <v>1</v>
      </c>
      <c r="Q1115" s="14">
        <f t="array" ref="Q1115">IFERROR(INDEX([1]Companies!$D:$D,MATCH(B1115,[1]Companies!$A:$A,0)),"")</f>
        <v>2013</v>
      </c>
      <c r="R1115" s="17">
        <f t="shared" si="1401"/>
        <v>40350000</v>
      </c>
      <c r="S1115" s="14">
        <f>VLOOKUP(I1115,[1]Lookups!$V$3:$Y$197,4,FALSE)</f>
        <v>0</v>
      </c>
      <c r="T1115" s="14" t="str">
        <f>VLOOKUP(E1115,[1]Lookups!$H$3:$I$71,2,FALSE)</f>
        <v>6. Private Equity</v>
      </c>
      <c r="U1115" s="14" t="str">
        <f>VLOOKUP(K1115,[1]Lookups!$B$3:$C$142,2,FALSE)</f>
        <v>E-commerce &amp; Retail</v>
      </c>
      <c r="V1115" s="14">
        <f t="shared" si="1230"/>
        <v>2019</v>
      </c>
      <c r="W1115" s="14">
        <f t="shared" si="1231"/>
        <v>6</v>
      </c>
      <c r="X1115" s="14">
        <f>VLOOKUP(W1115,[1]Lookups!$P$3:$S$15,2,FALSE)</f>
        <v>2</v>
      </c>
      <c r="Y1115" s="16">
        <f>VLOOKUP(W1115,[1]Lookups!$P$3:$U$15,3,FALSE)</f>
        <v>1</v>
      </c>
      <c r="Z1115" s="16">
        <f t="shared" si="1232"/>
        <v>1</v>
      </c>
      <c r="AA1115" s="16" t="str">
        <f t="shared" ca="1" si="1440"/>
        <v>Algebra Ventures</v>
      </c>
      <c r="AB1115" s="16">
        <f t="shared" si="1440"/>
        <v>0</v>
      </c>
      <c r="AC1115" s="16">
        <f t="shared" si="1440"/>
        <v>0</v>
      </c>
      <c r="AD1115" s="16">
        <f t="shared" si="1440"/>
        <v>0</v>
      </c>
      <c r="AE1115" s="16">
        <f t="shared" si="1440"/>
        <v>0</v>
      </c>
      <c r="AF1115" s="16">
        <f t="shared" si="1440"/>
        <v>0</v>
      </c>
      <c r="AG1115" s="16">
        <f t="shared" si="1440"/>
        <v>0</v>
      </c>
      <c r="AH1115" s="16">
        <f t="shared" si="1440"/>
        <v>0</v>
      </c>
      <c r="AI1115" s="16">
        <f t="shared" si="1440"/>
        <v>0</v>
      </c>
      <c r="AJ1115" s="16">
        <f t="shared" si="1440"/>
        <v>0</v>
      </c>
      <c r="AK1115" s="16">
        <f t="shared" si="1440"/>
        <v>0</v>
      </c>
      <c r="AL1115" s="16">
        <f t="shared" si="1440"/>
        <v>0</v>
      </c>
      <c r="AM1115" s="16">
        <f t="shared" si="1440"/>
        <v>0</v>
      </c>
      <c r="AN1115" s="16">
        <f t="shared" si="1440"/>
        <v>0</v>
      </c>
      <c r="AO1115" s="16">
        <f t="shared" si="1440"/>
        <v>0</v>
      </c>
      <c r="AP1115" s="10"/>
      <c r="AQ1115" s="10"/>
      <c r="AR1115" s="10"/>
      <c r="AS1115" s="10" t="str">
        <f t="shared" ref="AS1115" ca="1" si="1444">IFERROR(__xludf.DUMMYFUNCTION("split(F968,"","",true,true)"),"Algebra Ventures")</f>
        <v>Algebra Ventures</v>
      </c>
      <c r="AT1115" s="10"/>
      <c r="AU1115" s="10"/>
      <c r="AV1115" s="10"/>
      <c r="AW1115" s="10"/>
      <c r="AX1115" s="10"/>
      <c r="AY1115" s="10"/>
      <c r="AZ1115" s="10"/>
      <c r="BA1115" s="10"/>
      <c r="BB1115" s="10"/>
      <c r="BC1115" s="10"/>
      <c r="BD1115" s="10"/>
      <c r="BE1115" s="10"/>
      <c r="BF1115" s="10"/>
      <c r="BG1115" s="10"/>
      <c r="BH1115" s="10"/>
      <c r="BI1115" s="10"/>
      <c r="BJ1115" s="10"/>
      <c r="BK1115" s="10"/>
      <c r="BM1115" s="10"/>
    </row>
    <row r="1116" spans="1:65" ht="12.75">
      <c r="A1116" s="9">
        <v>43628</v>
      </c>
      <c r="B1116" s="10" t="s">
        <v>907</v>
      </c>
      <c r="C1116" s="11">
        <v>2500000</v>
      </c>
      <c r="D1116" s="10"/>
      <c r="E1116" s="10" t="s">
        <v>69</v>
      </c>
      <c r="F1116" s="10" t="s">
        <v>266</v>
      </c>
      <c r="G1116" s="10" t="s">
        <v>2342</v>
      </c>
      <c r="H1116" s="14" t="str">
        <f t="array" ref="H1116">IFERROR(INDEX([1]Companies!$G:$G,MATCH(B1116,[1]Companies!$A:$A,0)),"")</f>
        <v>Kenya</v>
      </c>
      <c r="I1116" s="14" t="str">
        <f t="shared" si="1299"/>
        <v>Kenya</v>
      </c>
      <c r="J1116" s="14" t="str">
        <f t="array" ref="J1116">IFERROR(INDEX([1]Companies!$Y:$Y,MATCH(B1116,[1]Companies!$A:$A,0)),"")</f>
        <v>Professional Services, Labour</v>
      </c>
      <c r="K1116" s="14" t="str">
        <f t="array" ref="K1116">IFERROR(INDEX([1]Companies!$X:$X,MATCH(B1116,[1]Companies!$A:$A,0)),"")</f>
        <v>Commercial &amp; Professional Services</v>
      </c>
      <c r="L1116" s="14" t="str">
        <f>VLOOKUP(B1116,[1]Companies!$A$1:$C$5243,1,FALSE)</f>
        <v>Lynk</v>
      </c>
      <c r="M1116" s="15">
        <f t="shared" si="1300"/>
        <v>0.9</v>
      </c>
      <c r="N1116" s="10" t="str">
        <f t="shared" si="1301"/>
        <v>43628Lynk2500000</v>
      </c>
      <c r="O1116" s="14" t="str">
        <f t="shared" si="1399"/>
        <v/>
      </c>
      <c r="P1116" s="14">
        <f t="shared" si="1400"/>
        <v>1</v>
      </c>
      <c r="Q1116" s="14">
        <f t="array" ref="Q1116">IFERROR(INDEX([1]Companies!$D:$D,MATCH(B1116,[1]Companies!$A:$A,0)),"")</f>
        <v>2017</v>
      </c>
      <c r="R1116" s="17">
        <f t="shared" si="1401"/>
        <v>3895000</v>
      </c>
      <c r="S1116" s="14">
        <f>VLOOKUP(I1116,[1]Lookups!$V$3:$Y$197,4,FALSE)</f>
        <v>0</v>
      </c>
      <c r="T1116" s="14" t="str">
        <f>VLOOKUP(E1116,[1]Lookups!$H$3:$I$71,2,FALSE)</f>
        <v>3. Early Venture</v>
      </c>
      <c r="U1116" s="14" t="str">
        <f>VLOOKUP(K1116,[1]Lookups!$B$3:$C$142,2,FALSE)</f>
        <v>Other Technologies &amp; Information Technology</v>
      </c>
      <c r="V1116" s="14">
        <f t="shared" si="1230"/>
        <v>2019</v>
      </c>
      <c r="W1116" s="14">
        <f t="shared" si="1231"/>
        <v>6</v>
      </c>
      <c r="X1116" s="14">
        <f>VLOOKUP(W1116,[1]Lookups!$P$3:$S$15,2,FALSE)</f>
        <v>2</v>
      </c>
      <c r="Y1116" s="16">
        <f>VLOOKUP(W1116,[1]Lookups!$P$3:$U$15,3,FALSE)</f>
        <v>1</v>
      </c>
      <c r="Z1116" s="16">
        <f t="shared" si="1232"/>
        <v>1</v>
      </c>
      <c r="AA1116" s="16" t="str">
        <f t="shared" ca="1" si="1440"/>
        <v>Algebra Ventures</v>
      </c>
      <c r="AB1116" s="16">
        <f t="shared" si="1440"/>
        <v>0</v>
      </c>
      <c r="AC1116" s="16">
        <f t="shared" si="1440"/>
        <v>0</v>
      </c>
      <c r="AD1116" s="16">
        <f t="shared" si="1440"/>
        <v>0</v>
      </c>
      <c r="AE1116" s="16">
        <f t="shared" si="1440"/>
        <v>0</v>
      </c>
      <c r="AF1116" s="16">
        <f t="shared" si="1440"/>
        <v>0</v>
      </c>
      <c r="AG1116" s="16">
        <f t="shared" si="1440"/>
        <v>0</v>
      </c>
      <c r="AH1116" s="16">
        <f t="shared" si="1440"/>
        <v>0</v>
      </c>
      <c r="AI1116" s="16">
        <f t="shared" si="1440"/>
        <v>0</v>
      </c>
      <c r="AJ1116" s="16">
        <f t="shared" si="1440"/>
        <v>0</v>
      </c>
      <c r="AK1116" s="16">
        <f t="shared" si="1440"/>
        <v>0</v>
      </c>
      <c r="AL1116" s="16">
        <f t="shared" si="1440"/>
        <v>0</v>
      </c>
      <c r="AM1116" s="16">
        <f t="shared" si="1440"/>
        <v>0</v>
      </c>
      <c r="AN1116" s="16">
        <f t="shared" si="1440"/>
        <v>0</v>
      </c>
      <c r="AO1116" s="16">
        <f t="shared" si="1440"/>
        <v>0</v>
      </c>
      <c r="AP1116" s="10"/>
      <c r="AQ1116" s="10"/>
      <c r="AR1116" s="10"/>
      <c r="AS1116" s="10" t="str">
        <f t="shared" ref="AS1116" ca="1" si="1445">IFERROR(__xludf.DUMMYFUNCTION("split(F968,"","",true,true)"),"Algebra Ventures")</f>
        <v>Algebra Ventures</v>
      </c>
      <c r="AT1116" s="10"/>
      <c r="AU1116" s="10"/>
      <c r="AV1116" s="10"/>
      <c r="AW1116" s="10"/>
      <c r="AX1116" s="10"/>
      <c r="AY1116" s="10"/>
      <c r="AZ1116" s="10"/>
      <c r="BA1116" s="10"/>
      <c r="BB1116" s="10"/>
      <c r="BC1116" s="10"/>
      <c r="BD1116" s="10"/>
      <c r="BE1116" s="10"/>
      <c r="BF1116" s="10"/>
      <c r="BG1116" s="10"/>
      <c r="BH1116" s="10"/>
      <c r="BI1116" s="10"/>
      <c r="BJ1116" s="10"/>
      <c r="BK1116" s="10"/>
      <c r="BM1116" s="10"/>
    </row>
    <row r="1117" spans="1:65" ht="12.75">
      <c r="A1117" s="9">
        <v>43628</v>
      </c>
      <c r="B1117" s="10" t="s">
        <v>1588</v>
      </c>
      <c r="C1117" s="11">
        <v>2700</v>
      </c>
      <c r="D1117" s="12"/>
      <c r="E1117" s="10" t="s">
        <v>55</v>
      </c>
      <c r="F1117" s="10" t="s">
        <v>2343</v>
      </c>
      <c r="G1117" s="13" t="s">
        <v>2344</v>
      </c>
      <c r="H1117" s="14" t="str">
        <f t="array" ref="H1117">IFERROR(INDEX([1]Companies!$G:$G,MATCH(B1117,[1]Companies!$A:$A,0)),"")</f>
        <v>Ghana</v>
      </c>
      <c r="I1117" s="14" t="str">
        <f t="shared" si="1299"/>
        <v>Ghana</v>
      </c>
      <c r="J1117" s="14" t="str">
        <f t="array" ref="J1117">IFERROR(INDEX([1]Companies!$Y:$Y,MATCH(B1117,[1]Companies!$A:$A,0)),"")</f>
        <v>logistics, transportation, IoT, road-freight, tracking, cargo, and technology</v>
      </c>
      <c r="K1117" s="14" t="str">
        <f t="array" ref="K1117">IFERROR(INDEX([1]Companies!$X:$X,MATCH(B1117,[1]Companies!$A:$A,0)),"")</f>
        <v>Transport &amp; Logistics</v>
      </c>
      <c r="L1117" s="14" t="str">
        <f>VLOOKUP(B1117,[1]Companies!$A$1:$C$5243,1,FALSE)</f>
        <v>Truckr Technologies</v>
      </c>
      <c r="M1117" s="15">
        <f t="shared" si="1300"/>
        <v>0.9</v>
      </c>
      <c r="N1117" s="10" t="str">
        <f t="shared" si="1301"/>
        <v>43628Truckr Technologies2700</v>
      </c>
      <c r="O1117" s="14" t="str">
        <f t="shared" si="1399"/>
        <v/>
      </c>
      <c r="P1117" s="14">
        <f t="shared" si="1400"/>
        <v>1</v>
      </c>
      <c r="Q1117" s="14">
        <f t="array" ref="Q1117">IFERROR(INDEX([1]Companies!$D:$D,MATCH(B1117,[1]Companies!$A:$A,0)),"")</f>
        <v>2018</v>
      </c>
      <c r="R1117" s="17">
        <f t="shared" si="1401"/>
        <v>102700</v>
      </c>
      <c r="S1117" s="14">
        <f>VLOOKUP(I1117,[1]Lookups!$V$3:$Y$197,4,FALSE)</f>
        <v>0</v>
      </c>
      <c r="T1117" s="14" t="str">
        <f>VLOOKUP(E1117,[1]Lookups!$H$3:$I$71,2,FALSE)</f>
        <v>1. Grant</v>
      </c>
      <c r="U1117" s="14" t="str">
        <f>VLOOKUP(K1117,[1]Lookups!$B$3:$C$142,2,FALSE)</f>
        <v>Transport &amp; Logistics</v>
      </c>
      <c r="V1117" s="14">
        <f t="shared" si="1230"/>
        <v>2019</v>
      </c>
      <c r="W1117" s="14">
        <f t="shared" si="1231"/>
        <v>6</v>
      </c>
      <c r="X1117" s="14">
        <f>VLOOKUP(W1117,[1]Lookups!$P$3:$S$15,2,FALSE)</f>
        <v>2</v>
      </c>
      <c r="Y1117" s="16">
        <f>VLOOKUP(W1117,[1]Lookups!$P$3:$U$15,3,FALSE)</f>
        <v>1</v>
      </c>
      <c r="Z1117" s="16">
        <f t="shared" si="1232"/>
        <v>1</v>
      </c>
      <c r="AA1117" s="16" t="str">
        <f t="shared" ca="1" si="1440"/>
        <v>Algebra Ventures</v>
      </c>
      <c r="AB1117" s="16">
        <f t="shared" si="1440"/>
        <v>0</v>
      </c>
      <c r="AC1117" s="16">
        <f t="shared" si="1440"/>
        <v>0</v>
      </c>
      <c r="AD1117" s="16">
        <f t="shared" si="1440"/>
        <v>0</v>
      </c>
      <c r="AE1117" s="16">
        <f t="shared" si="1440"/>
        <v>0</v>
      </c>
      <c r="AF1117" s="16">
        <f t="shared" si="1440"/>
        <v>0</v>
      </c>
      <c r="AG1117" s="16">
        <f t="shared" si="1440"/>
        <v>0</v>
      </c>
      <c r="AH1117" s="16">
        <f t="shared" si="1440"/>
        <v>0</v>
      </c>
      <c r="AI1117" s="16">
        <f t="shared" si="1440"/>
        <v>0</v>
      </c>
      <c r="AJ1117" s="16">
        <f t="shared" si="1440"/>
        <v>0</v>
      </c>
      <c r="AK1117" s="16">
        <f t="shared" si="1440"/>
        <v>0</v>
      </c>
      <c r="AL1117" s="16">
        <f t="shared" si="1440"/>
        <v>0</v>
      </c>
      <c r="AM1117" s="16">
        <f t="shared" si="1440"/>
        <v>0</v>
      </c>
      <c r="AN1117" s="16">
        <f t="shared" si="1440"/>
        <v>0</v>
      </c>
      <c r="AO1117" s="16">
        <f t="shared" si="1440"/>
        <v>0</v>
      </c>
      <c r="AP1117" s="10"/>
      <c r="AQ1117" s="10"/>
      <c r="AR1117" s="10"/>
      <c r="AS1117" s="10" t="str">
        <f t="shared" ref="AS1117" ca="1" si="1446">IFERROR(__xludf.DUMMYFUNCTION("split(F968,"","",true,true)"),"Algebra Ventures")</f>
        <v>Algebra Ventures</v>
      </c>
      <c r="AT1117" s="10"/>
      <c r="AU1117" s="10"/>
      <c r="AV1117" s="10"/>
      <c r="AW1117" s="10"/>
      <c r="AX1117" s="10"/>
      <c r="AY1117" s="10"/>
      <c r="AZ1117" s="10"/>
      <c r="BA1117" s="10"/>
      <c r="BB1117" s="10"/>
      <c r="BC1117" s="10"/>
      <c r="BD1117" s="10"/>
      <c r="BE1117" s="10"/>
      <c r="BF1117" s="10"/>
      <c r="BG1117" s="10"/>
      <c r="BH1117" s="10"/>
      <c r="BI1117" s="10"/>
      <c r="BJ1117" s="10"/>
      <c r="BK1117" s="10"/>
      <c r="BM1117" s="10"/>
    </row>
    <row r="1118" spans="1:65" ht="12.75">
      <c r="A1118" s="9">
        <v>43629</v>
      </c>
      <c r="B1118" s="10" t="s">
        <v>2345</v>
      </c>
      <c r="C1118" s="11">
        <v>1560000</v>
      </c>
      <c r="D1118" s="12"/>
      <c r="E1118" s="10" t="s">
        <v>69</v>
      </c>
      <c r="F1118" s="10" t="s">
        <v>2346</v>
      </c>
      <c r="G1118" s="13" t="s">
        <v>2347</v>
      </c>
      <c r="H1118" s="14" t="str">
        <f t="array" ref="H1118">IFERROR(INDEX([1]Companies!$G:$G,MATCH(B1118,[1]Companies!$A:$A,0)),"")</f>
        <v>South Africa</v>
      </c>
      <c r="I1118" s="14" t="str">
        <f t="shared" si="1299"/>
        <v>South Africa</v>
      </c>
      <c r="J1118" s="14" t="str">
        <f t="array" ref="J1118">IFERROR(INDEX([1]Companies!$Y:$Y,MATCH(B1118,[1]Companies!$A:$A,0)),"")</f>
        <v>Emerging Markets, FinTech, Insurance, InsurTech</v>
      </c>
      <c r="K1118" s="14" t="str">
        <f t="array" ref="K1118">IFERROR(INDEX([1]Companies!$X:$X,MATCH(B1118,[1]Companies!$A:$A,0)),"")</f>
        <v>Financial Services</v>
      </c>
      <c r="L1118" s="14" t="str">
        <f>VLOOKUP(B1118,[1]Companies!$A$1:$C$5243,1,FALSE)</f>
        <v>Inclusivity Solutions</v>
      </c>
      <c r="M1118" s="15">
        <f t="shared" si="1300"/>
        <v>0.9</v>
      </c>
      <c r="N1118" s="10" t="str">
        <f t="shared" si="1301"/>
        <v>43629Inclusivity Solutions1560000</v>
      </c>
      <c r="O1118" s="14" t="str">
        <f t="shared" si="1399"/>
        <v/>
      </c>
      <c r="P1118" s="14">
        <f t="shared" si="1400"/>
        <v>1</v>
      </c>
      <c r="Q1118" s="14">
        <f t="array" ref="Q1118">IFERROR(INDEX([1]Companies!$D:$D,MATCH(B1118,[1]Companies!$A:$A,0)),"")</f>
        <v>2015</v>
      </c>
      <c r="R1118" s="17">
        <f t="shared" si="1401"/>
        <v>1560000</v>
      </c>
      <c r="S1118" s="14">
        <f>VLOOKUP(I1118,[1]Lookups!$V$3:$Y$197,4,FALSE)</f>
        <v>0</v>
      </c>
      <c r="T1118" s="14" t="str">
        <f>VLOOKUP(E1118,[1]Lookups!$H$3:$I$71,2,FALSE)</f>
        <v>3. Early Venture</v>
      </c>
      <c r="U1118" s="14" t="str">
        <f>VLOOKUP(K1118,[1]Lookups!$B$3:$C$142,2,FALSE)</f>
        <v>Financial Services</v>
      </c>
      <c r="V1118" s="14">
        <f t="shared" si="1230"/>
        <v>2019</v>
      </c>
      <c r="W1118" s="14">
        <f t="shared" si="1231"/>
        <v>6</v>
      </c>
      <c r="X1118" s="14">
        <f>VLOOKUP(W1118,[1]Lookups!$P$3:$S$15,2,FALSE)</f>
        <v>2</v>
      </c>
      <c r="Y1118" s="16">
        <f>VLOOKUP(W1118,[1]Lookups!$P$3:$U$15,3,FALSE)</f>
        <v>1</v>
      </c>
      <c r="Z1118" s="16">
        <f t="shared" si="1232"/>
        <v>3</v>
      </c>
      <c r="AA1118" s="16" t="str">
        <f t="shared" ca="1" si="1440"/>
        <v>Algebra Ventures</v>
      </c>
      <c r="AB1118" s="16" t="str">
        <f t="shared" ca="1" si="1440"/>
        <v xml:space="preserve"> RGAx</v>
      </c>
      <c r="AC1118" s="16" t="str">
        <f t="shared" ca="1" si="1440"/>
        <v xml:space="preserve"> Allan Gray</v>
      </c>
      <c r="AD1118" s="16">
        <f t="shared" si="1440"/>
        <v>0</v>
      </c>
      <c r="AE1118" s="16">
        <f t="shared" si="1440"/>
        <v>0</v>
      </c>
      <c r="AF1118" s="16">
        <f t="shared" si="1440"/>
        <v>0</v>
      </c>
      <c r="AG1118" s="16">
        <f t="shared" si="1440"/>
        <v>0</v>
      </c>
      <c r="AH1118" s="16">
        <f t="shared" si="1440"/>
        <v>0</v>
      </c>
      <c r="AI1118" s="16">
        <f t="shared" si="1440"/>
        <v>0</v>
      </c>
      <c r="AJ1118" s="16">
        <f t="shared" si="1440"/>
        <v>0</v>
      </c>
      <c r="AK1118" s="16">
        <f t="shared" si="1440"/>
        <v>0</v>
      </c>
      <c r="AL1118" s="16">
        <f t="shared" si="1440"/>
        <v>0</v>
      </c>
      <c r="AM1118" s="16">
        <f t="shared" si="1440"/>
        <v>0</v>
      </c>
      <c r="AN1118" s="16">
        <f t="shared" si="1440"/>
        <v>0</v>
      </c>
      <c r="AO1118" s="16">
        <f t="shared" si="1440"/>
        <v>0</v>
      </c>
      <c r="AP1118" s="10"/>
      <c r="AQ1118" s="10"/>
      <c r="AR1118" s="10"/>
      <c r="AS1118" s="10" t="str">
        <f t="shared" ref="AS1118" ca="1" si="1447">IFERROR(__xludf.DUMMYFUNCTION("split(F968,"","",true,true)"),"Algebra Ventures")</f>
        <v>Algebra Ventures</v>
      </c>
      <c r="AT1118" s="10" t="str">
        <f ca="1">IFERROR(__xludf.DUMMYFUNCTION("""COMPUTED_VALUE""")," RGAx")</f>
        <v xml:space="preserve"> RGAx</v>
      </c>
      <c r="AU1118" s="10" t="str">
        <f ca="1">IFERROR(__xludf.DUMMYFUNCTION("""COMPUTED_VALUE""")," Allan Gray")</f>
        <v xml:space="preserve"> Allan Gray</v>
      </c>
      <c r="AV1118" s="10"/>
      <c r="AW1118" s="10"/>
      <c r="AX1118" s="10"/>
      <c r="AY1118" s="10"/>
      <c r="AZ1118" s="10"/>
      <c r="BA1118" s="10"/>
      <c r="BB1118" s="10"/>
      <c r="BC1118" s="10"/>
      <c r="BD1118" s="10"/>
      <c r="BE1118" s="10"/>
      <c r="BF1118" s="10"/>
      <c r="BG1118" s="10"/>
      <c r="BH1118" s="10"/>
      <c r="BI1118" s="10"/>
      <c r="BJ1118" s="10"/>
      <c r="BK1118" s="10"/>
      <c r="BM1118" s="10"/>
    </row>
    <row r="1119" spans="1:65" ht="12.75">
      <c r="A1119" s="9">
        <v>43629</v>
      </c>
      <c r="B1119" s="10" t="s">
        <v>2348</v>
      </c>
      <c r="C1119" s="11">
        <v>50000</v>
      </c>
      <c r="D1119" s="12"/>
      <c r="E1119" s="10" t="s">
        <v>55</v>
      </c>
      <c r="F1119" s="10" t="s">
        <v>2349</v>
      </c>
      <c r="G1119" s="13" t="s">
        <v>2350</v>
      </c>
      <c r="H1119" s="14" t="str">
        <f t="array" ref="H1119">IFERROR(INDEX([1]Companies!$G:$G,MATCH(B1119,[1]Companies!$A:$A,0)),"")</f>
        <v>South Africa</v>
      </c>
      <c r="I1119" s="14" t="str">
        <f t="shared" si="1299"/>
        <v>South Africa</v>
      </c>
      <c r="J1119" s="14" t="str">
        <f t="array" ref="J1119">IFERROR(INDEX([1]Companies!$Y:$Y,MATCH(B1119,[1]Companies!$A:$A,0)),"")</f>
        <v>Computer, Network Security</v>
      </c>
      <c r="K1119" s="14" t="str">
        <f t="array" ref="K1119">IFERROR(INDEX([1]Companies!$X:$X,MATCH(B1119,[1]Companies!$A:$A,0)),"")</f>
        <v>Information Technology</v>
      </c>
      <c r="L1119" s="14" t="str">
        <f>VLOOKUP(B1119,[1]Companies!$A$1:$C$5243,1,FALSE)</f>
        <v>Snode Technologies</v>
      </c>
      <c r="M1119" s="15">
        <f t="shared" si="1300"/>
        <v>0.9</v>
      </c>
      <c r="N1119" s="10" t="str">
        <f t="shared" si="1301"/>
        <v>43629Snode Technologies50000</v>
      </c>
      <c r="O1119" s="14" t="str">
        <f t="shared" si="1399"/>
        <v/>
      </c>
      <c r="P1119" s="14">
        <f t="shared" si="1400"/>
        <v>1</v>
      </c>
      <c r="Q1119" s="14">
        <f t="array" ref="Q1119">IFERROR(INDEX([1]Companies!$D:$D,MATCH(B1119,[1]Companies!$A:$A,0)),"")</f>
        <v>2016</v>
      </c>
      <c r="R1119" s="17">
        <f t="shared" si="1401"/>
        <v>75000</v>
      </c>
      <c r="S1119" s="14">
        <f>VLOOKUP(I1119,[1]Lookups!$V$3:$Y$197,4,FALSE)</f>
        <v>0</v>
      </c>
      <c r="T1119" s="14" t="str">
        <f>VLOOKUP(E1119,[1]Lookups!$H$3:$I$71,2,FALSE)</f>
        <v>1. Grant</v>
      </c>
      <c r="U1119" s="14" t="str">
        <f>VLOOKUP(K1119,[1]Lookups!$B$3:$C$142,2,FALSE)</f>
        <v>Other Technologies &amp; Information Technology</v>
      </c>
      <c r="V1119" s="14">
        <f t="shared" si="1230"/>
        <v>2019</v>
      </c>
      <c r="W1119" s="14">
        <f t="shared" si="1231"/>
        <v>6</v>
      </c>
      <c r="X1119" s="14">
        <f>VLOOKUP(W1119,[1]Lookups!$P$3:$S$15,2,FALSE)</f>
        <v>2</v>
      </c>
      <c r="Y1119" s="16">
        <f>VLOOKUP(W1119,[1]Lookups!$P$3:$U$15,3,FALSE)</f>
        <v>1</v>
      </c>
      <c r="Z1119" s="16">
        <f t="shared" si="1232"/>
        <v>1</v>
      </c>
      <c r="AA1119" s="16" t="str">
        <f t="shared" ca="1" si="1440"/>
        <v>Algebra Ventures</v>
      </c>
      <c r="AB1119" s="16">
        <f t="shared" si="1440"/>
        <v>0</v>
      </c>
      <c r="AC1119" s="16">
        <f t="shared" si="1440"/>
        <v>0</v>
      </c>
      <c r="AD1119" s="16">
        <f t="shared" si="1440"/>
        <v>0</v>
      </c>
      <c r="AE1119" s="16">
        <f t="shared" si="1440"/>
        <v>0</v>
      </c>
      <c r="AF1119" s="16">
        <f t="shared" si="1440"/>
        <v>0</v>
      </c>
      <c r="AG1119" s="16">
        <f t="shared" si="1440"/>
        <v>0</v>
      </c>
      <c r="AH1119" s="16">
        <f t="shared" si="1440"/>
        <v>0</v>
      </c>
      <c r="AI1119" s="16">
        <f t="shared" si="1440"/>
        <v>0</v>
      </c>
      <c r="AJ1119" s="16">
        <f t="shared" si="1440"/>
        <v>0</v>
      </c>
      <c r="AK1119" s="16">
        <f t="shared" si="1440"/>
        <v>0</v>
      </c>
      <c r="AL1119" s="16">
        <f t="shared" si="1440"/>
        <v>0</v>
      </c>
      <c r="AM1119" s="16">
        <f t="shared" si="1440"/>
        <v>0</v>
      </c>
      <c r="AN1119" s="16">
        <f t="shared" si="1440"/>
        <v>0</v>
      </c>
      <c r="AO1119" s="16">
        <f t="shared" si="1440"/>
        <v>0</v>
      </c>
      <c r="AP1119" s="10"/>
      <c r="AQ1119" s="10"/>
      <c r="AR1119" s="10"/>
      <c r="AS1119" s="10" t="str">
        <f t="shared" ref="AS1119" ca="1" si="1448">IFERROR(__xludf.DUMMYFUNCTION("split(F968,"","",true,true)"),"Algebra Ventures")</f>
        <v>Algebra Ventures</v>
      </c>
      <c r="AT1119" s="10"/>
      <c r="AU1119" s="10"/>
      <c r="AV1119" s="10"/>
      <c r="AW1119" s="10"/>
      <c r="AX1119" s="10"/>
      <c r="AY1119" s="10"/>
      <c r="AZ1119" s="10"/>
      <c r="BA1119" s="10"/>
      <c r="BB1119" s="10"/>
      <c r="BC1119" s="10"/>
      <c r="BD1119" s="10"/>
      <c r="BE1119" s="10"/>
      <c r="BF1119" s="10"/>
      <c r="BG1119" s="10"/>
      <c r="BH1119" s="10"/>
      <c r="BI1119" s="10"/>
      <c r="BJ1119" s="10"/>
      <c r="BK1119" s="10"/>
      <c r="BM1119" s="10"/>
    </row>
    <row r="1120" spans="1:65" ht="12.75">
      <c r="A1120" s="9">
        <v>43629</v>
      </c>
      <c r="B1120" s="10" t="s">
        <v>2351</v>
      </c>
      <c r="C1120" s="11">
        <v>50000</v>
      </c>
      <c r="D1120" s="12"/>
      <c r="E1120" s="10" t="s">
        <v>55</v>
      </c>
      <c r="F1120" s="10" t="s">
        <v>2349</v>
      </c>
      <c r="G1120" s="13" t="s">
        <v>2350</v>
      </c>
      <c r="H1120" s="14" t="str">
        <f t="array" ref="H1120">IFERROR(INDEX([1]Companies!$G:$G,MATCH(B1120,[1]Companies!$A:$A,0)),"")</f>
        <v>Kenya</v>
      </c>
      <c r="I1120" s="14" t="str">
        <f t="shared" si="1299"/>
        <v>Kenya</v>
      </c>
      <c r="J1120" s="14" t="str">
        <f t="array" ref="J1120">IFERROR(INDEX([1]Companies!$Y:$Y,MATCH(B1120,[1]Companies!$A:$A,0)),"")</f>
        <v>E-Commerce, Financial Services, FinTech, Mobile, Mobile Payments</v>
      </c>
      <c r="K1120" s="14" t="str">
        <f t="array" ref="K1120">IFERROR(INDEX([1]Companies!$X:$X,MATCH(B1120,[1]Companies!$A:$A,0)),"")</f>
        <v>Financial Services</v>
      </c>
      <c r="L1120" s="14" t="str">
        <f>VLOOKUP(B1120,[1]Companies!$A$1:$C$5243,1,FALSE)</f>
        <v>WayaWaya</v>
      </c>
      <c r="M1120" s="15">
        <f t="shared" si="1300"/>
        <v>0.9</v>
      </c>
      <c r="N1120" s="10" t="str">
        <f t="shared" si="1301"/>
        <v>43629WayaWaya50000</v>
      </c>
      <c r="O1120" s="14" t="str">
        <f t="shared" si="1399"/>
        <v/>
      </c>
      <c r="P1120" s="14">
        <f t="shared" si="1400"/>
        <v>1</v>
      </c>
      <c r="Q1120" s="14">
        <f t="array" ref="Q1120">IFERROR(INDEX([1]Companies!$D:$D,MATCH(B1120,[1]Companies!$A:$A,0)),"")</f>
        <v>2016</v>
      </c>
      <c r="R1120" s="17">
        <f t="shared" si="1401"/>
        <v>75000</v>
      </c>
      <c r="S1120" s="14">
        <f>VLOOKUP(I1120,[1]Lookups!$V$3:$Y$197,4,FALSE)</f>
        <v>0</v>
      </c>
      <c r="T1120" s="14" t="str">
        <f>VLOOKUP(E1120,[1]Lookups!$H$3:$I$71,2,FALSE)</f>
        <v>1. Grant</v>
      </c>
      <c r="U1120" s="14" t="str">
        <f>VLOOKUP(K1120,[1]Lookups!$B$3:$C$142,2,FALSE)</f>
        <v>Financial Services</v>
      </c>
      <c r="V1120" s="14">
        <f t="shared" si="1230"/>
        <v>2019</v>
      </c>
      <c r="W1120" s="14">
        <f t="shared" si="1231"/>
        <v>6</v>
      </c>
      <c r="X1120" s="14">
        <f>VLOOKUP(W1120,[1]Lookups!$P$3:$S$15,2,FALSE)</f>
        <v>2</v>
      </c>
      <c r="Y1120" s="16">
        <f>VLOOKUP(W1120,[1]Lookups!$P$3:$U$15,3,FALSE)</f>
        <v>1</v>
      </c>
      <c r="Z1120" s="16">
        <f t="shared" si="1232"/>
        <v>1</v>
      </c>
      <c r="AA1120" s="16" t="str">
        <f t="shared" ca="1" si="1440"/>
        <v>Algebra Ventures</v>
      </c>
      <c r="AB1120" s="16">
        <f t="shared" si="1440"/>
        <v>0</v>
      </c>
      <c r="AC1120" s="16">
        <f t="shared" si="1440"/>
        <v>0</v>
      </c>
      <c r="AD1120" s="16">
        <f t="shared" si="1440"/>
        <v>0</v>
      </c>
      <c r="AE1120" s="16">
        <f t="shared" si="1440"/>
        <v>0</v>
      </c>
      <c r="AF1120" s="16">
        <f t="shared" si="1440"/>
        <v>0</v>
      </c>
      <c r="AG1120" s="16">
        <f t="shared" si="1440"/>
        <v>0</v>
      </c>
      <c r="AH1120" s="16">
        <f t="shared" si="1440"/>
        <v>0</v>
      </c>
      <c r="AI1120" s="16">
        <f t="shared" si="1440"/>
        <v>0</v>
      </c>
      <c r="AJ1120" s="16">
        <f t="shared" si="1440"/>
        <v>0</v>
      </c>
      <c r="AK1120" s="16">
        <f t="shared" si="1440"/>
        <v>0</v>
      </c>
      <c r="AL1120" s="16">
        <f t="shared" si="1440"/>
        <v>0</v>
      </c>
      <c r="AM1120" s="16">
        <f t="shared" si="1440"/>
        <v>0</v>
      </c>
      <c r="AN1120" s="16">
        <f t="shared" si="1440"/>
        <v>0</v>
      </c>
      <c r="AO1120" s="16">
        <f t="shared" si="1440"/>
        <v>0</v>
      </c>
      <c r="AP1120" s="10"/>
      <c r="AQ1120" s="10"/>
      <c r="AR1120" s="10"/>
      <c r="AS1120" s="10" t="str">
        <f t="shared" ref="AS1120" ca="1" si="1449">IFERROR(__xludf.DUMMYFUNCTION("split(F968,"","",true,true)"),"Algebra Ventures")</f>
        <v>Algebra Ventures</v>
      </c>
      <c r="AT1120" s="10"/>
      <c r="AU1120" s="10"/>
      <c r="AV1120" s="10"/>
      <c r="AW1120" s="10"/>
      <c r="AX1120" s="10"/>
      <c r="AY1120" s="10"/>
      <c r="AZ1120" s="10"/>
      <c r="BA1120" s="10"/>
      <c r="BB1120" s="10"/>
      <c r="BC1120" s="10"/>
      <c r="BD1120" s="10"/>
      <c r="BE1120" s="10"/>
      <c r="BF1120" s="10"/>
      <c r="BG1120" s="10"/>
      <c r="BH1120" s="10"/>
      <c r="BI1120" s="10"/>
      <c r="BJ1120" s="10"/>
      <c r="BK1120" s="10"/>
      <c r="BM1120" s="10"/>
    </row>
    <row r="1121" spans="1:65" ht="12.75">
      <c r="A1121" s="9">
        <v>43629</v>
      </c>
      <c r="B1121" s="10" t="s">
        <v>2348</v>
      </c>
      <c r="C1121" s="11">
        <v>25000</v>
      </c>
      <c r="D1121" s="12"/>
      <c r="E1121" s="10" t="s">
        <v>91</v>
      </c>
      <c r="F1121" s="10" t="s">
        <v>2352</v>
      </c>
      <c r="G1121" s="13" t="s">
        <v>2350</v>
      </c>
      <c r="H1121" s="14" t="str">
        <f t="array" ref="H1121">IFERROR(INDEX([1]Companies!$G:$G,MATCH(B1121,[1]Companies!$A:$A,0)),"")</f>
        <v>South Africa</v>
      </c>
      <c r="I1121" s="14" t="str">
        <f t="shared" si="1299"/>
        <v>South Africa</v>
      </c>
      <c r="J1121" s="14" t="str">
        <f t="array" ref="J1121">IFERROR(INDEX([1]Companies!$Y:$Y,MATCH(B1121,[1]Companies!$A:$A,0)),"")</f>
        <v>Computer, Network Security</v>
      </c>
      <c r="K1121" s="14" t="str">
        <f t="array" ref="K1121">IFERROR(INDEX([1]Companies!$X:$X,MATCH(B1121,[1]Companies!$A:$A,0)),"")</f>
        <v>Information Technology</v>
      </c>
      <c r="L1121" s="14" t="str">
        <f>VLOOKUP(B1121,[1]Companies!$A$1:$C$5243,1,FALSE)</f>
        <v>Snode Technologies</v>
      </c>
      <c r="M1121" s="15">
        <f t="shared" si="1300"/>
        <v>0.9</v>
      </c>
      <c r="N1121" s="10" t="str">
        <f t="shared" si="1301"/>
        <v>43629Snode Technologies25000</v>
      </c>
      <c r="O1121" s="14" t="str">
        <f t="shared" si="1399"/>
        <v/>
      </c>
      <c r="P1121" s="14">
        <f t="shared" si="1400"/>
        <v>1</v>
      </c>
      <c r="Q1121" s="14">
        <f t="array" ref="Q1121">IFERROR(INDEX([1]Companies!$D:$D,MATCH(B1121,[1]Companies!$A:$A,0)),"")</f>
        <v>2016</v>
      </c>
      <c r="R1121" s="17">
        <f t="shared" si="1401"/>
        <v>75000</v>
      </c>
      <c r="S1121" s="14">
        <f>VLOOKUP(I1121,[1]Lookups!$V$3:$Y$197,4,FALSE)</f>
        <v>0</v>
      </c>
      <c r="T1121" s="14" t="str">
        <f>VLOOKUP(E1121,[1]Lookups!$H$3:$I$71,2,FALSE)</f>
        <v>5. Debt Financing</v>
      </c>
      <c r="U1121" s="14" t="str">
        <f>VLOOKUP(K1121,[1]Lookups!$B$3:$C$142,2,FALSE)</f>
        <v>Other Technologies &amp; Information Technology</v>
      </c>
      <c r="V1121" s="14">
        <f t="shared" si="1230"/>
        <v>2019</v>
      </c>
      <c r="W1121" s="14">
        <f t="shared" si="1231"/>
        <v>6</v>
      </c>
      <c r="X1121" s="14">
        <f>VLOOKUP(W1121,[1]Lookups!$P$3:$S$15,2,FALSE)</f>
        <v>2</v>
      </c>
      <c r="Y1121" s="16">
        <f>VLOOKUP(W1121,[1]Lookups!$P$3:$U$15,3,FALSE)</f>
        <v>1</v>
      </c>
      <c r="Z1121" s="16">
        <f t="shared" si="1232"/>
        <v>1</v>
      </c>
      <c r="AA1121" s="16" t="str">
        <f t="shared" ca="1" si="1440"/>
        <v>Algebra Ventures</v>
      </c>
      <c r="AB1121" s="16">
        <f t="shared" si="1440"/>
        <v>0</v>
      </c>
      <c r="AC1121" s="16">
        <f t="shared" si="1440"/>
        <v>0</v>
      </c>
      <c r="AD1121" s="16">
        <f t="shared" si="1440"/>
        <v>0</v>
      </c>
      <c r="AE1121" s="16">
        <f t="shared" si="1440"/>
        <v>0</v>
      </c>
      <c r="AF1121" s="16">
        <f t="shared" si="1440"/>
        <v>0</v>
      </c>
      <c r="AG1121" s="16">
        <f t="shared" si="1440"/>
        <v>0</v>
      </c>
      <c r="AH1121" s="16">
        <f t="shared" si="1440"/>
        <v>0</v>
      </c>
      <c r="AI1121" s="16">
        <f t="shared" si="1440"/>
        <v>0</v>
      </c>
      <c r="AJ1121" s="16">
        <f t="shared" si="1440"/>
        <v>0</v>
      </c>
      <c r="AK1121" s="16">
        <f t="shared" si="1440"/>
        <v>0</v>
      </c>
      <c r="AL1121" s="16">
        <f t="shared" si="1440"/>
        <v>0</v>
      </c>
      <c r="AM1121" s="16">
        <f t="shared" si="1440"/>
        <v>0</v>
      </c>
      <c r="AN1121" s="16">
        <f t="shared" si="1440"/>
        <v>0</v>
      </c>
      <c r="AO1121" s="16">
        <f t="shared" si="1440"/>
        <v>0</v>
      </c>
      <c r="AP1121" s="10"/>
      <c r="AQ1121" s="10"/>
      <c r="AR1121" s="10"/>
      <c r="AS1121" s="10" t="str">
        <f t="shared" ref="AS1121" ca="1" si="1450">IFERROR(__xludf.DUMMYFUNCTION("split(F968,"","",true,true)"),"Algebra Ventures")</f>
        <v>Algebra Ventures</v>
      </c>
      <c r="AT1121" s="10"/>
      <c r="AU1121" s="10"/>
      <c r="AV1121" s="10"/>
      <c r="AW1121" s="10"/>
      <c r="AX1121" s="10"/>
      <c r="AY1121" s="10"/>
      <c r="AZ1121" s="10"/>
      <c r="BA1121" s="10"/>
      <c r="BB1121" s="10"/>
      <c r="BC1121" s="10"/>
      <c r="BD1121" s="10"/>
      <c r="BE1121" s="10"/>
      <c r="BF1121" s="10"/>
      <c r="BG1121" s="10"/>
      <c r="BH1121" s="10"/>
      <c r="BI1121" s="10"/>
      <c r="BJ1121" s="10"/>
      <c r="BK1121" s="10"/>
      <c r="BM1121" s="10"/>
    </row>
    <row r="1122" spans="1:65" ht="12.75">
      <c r="A1122" s="9">
        <v>43629</v>
      </c>
      <c r="B1122" s="10" t="s">
        <v>2351</v>
      </c>
      <c r="C1122" s="11">
        <v>25000</v>
      </c>
      <c r="D1122" s="12"/>
      <c r="E1122" s="10" t="s">
        <v>91</v>
      </c>
      <c r="F1122" s="10" t="s">
        <v>2352</v>
      </c>
      <c r="G1122" s="13" t="s">
        <v>2350</v>
      </c>
      <c r="H1122" s="14" t="str">
        <f t="array" ref="H1122">IFERROR(INDEX([1]Companies!$G:$G,MATCH(B1122,[1]Companies!$A:$A,0)),"")</f>
        <v>Kenya</v>
      </c>
      <c r="I1122" s="14" t="str">
        <f t="shared" si="1299"/>
        <v>Kenya</v>
      </c>
      <c r="J1122" s="14" t="str">
        <f t="array" ref="J1122">IFERROR(INDEX([1]Companies!$Y:$Y,MATCH(B1122,[1]Companies!$A:$A,0)),"")</f>
        <v>E-Commerce, Financial Services, FinTech, Mobile, Mobile Payments</v>
      </c>
      <c r="K1122" s="14" t="str">
        <f t="array" ref="K1122">IFERROR(INDEX([1]Companies!$X:$X,MATCH(B1122,[1]Companies!$A:$A,0)),"")</f>
        <v>Financial Services</v>
      </c>
      <c r="L1122" s="14" t="str">
        <f>VLOOKUP(B1122,[1]Companies!$A$1:$C$5243,1,FALSE)</f>
        <v>WayaWaya</v>
      </c>
      <c r="M1122" s="15">
        <f t="shared" si="1300"/>
        <v>0.9</v>
      </c>
      <c r="N1122" s="10" t="str">
        <f t="shared" si="1301"/>
        <v>43629WayaWaya25000</v>
      </c>
      <c r="O1122" s="14" t="str">
        <f t="shared" si="1399"/>
        <v/>
      </c>
      <c r="P1122" s="14">
        <f t="shared" si="1400"/>
        <v>1</v>
      </c>
      <c r="Q1122" s="14">
        <f t="array" ref="Q1122">IFERROR(INDEX([1]Companies!$D:$D,MATCH(B1122,[1]Companies!$A:$A,0)),"")</f>
        <v>2016</v>
      </c>
      <c r="R1122" s="17">
        <f t="shared" si="1401"/>
        <v>75000</v>
      </c>
      <c r="S1122" s="14">
        <f>VLOOKUP(I1122,[1]Lookups!$V$3:$Y$197,4,FALSE)</f>
        <v>0</v>
      </c>
      <c r="T1122" s="14" t="str">
        <f>VLOOKUP(E1122,[1]Lookups!$H$3:$I$71,2,FALSE)</f>
        <v>5. Debt Financing</v>
      </c>
      <c r="U1122" s="14" t="str">
        <f>VLOOKUP(K1122,[1]Lookups!$B$3:$C$142,2,FALSE)</f>
        <v>Financial Services</v>
      </c>
      <c r="V1122" s="14">
        <f t="shared" si="1230"/>
        <v>2019</v>
      </c>
      <c r="W1122" s="14">
        <f t="shared" si="1231"/>
        <v>6</v>
      </c>
      <c r="X1122" s="14">
        <f>VLOOKUP(W1122,[1]Lookups!$P$3:$S$15,2,FALSE)</f>
        <v>2</v>
      </c>
      <c r="Y1122" s="16">
        <f>VLOOKUP(W1122,[1]Lookups!$P$3:$U$15,3,FALSE)</f>
        <v>1</v>
      </c>
      <c r="Z1122" s="16">
        <f t="shared" si="1232"/>
        <v>1</v>
      </c>
      <c r="AA1122" s="16" t="str">
        <f t="shared" ca="1" si="1440"/>
        <v>Algebra Ventures</v>
      </c>
      <c r="AB1122" s="16">
        <f t="shared" si="1440"/>
        <v>0</v>
      </c>
      <c r="AC1122" s="16">
        <f t="shared" si="1440"/>
        <v>0</v>
      </c>
      <c r="AD1122" s="16">
        <f t="shared" si="1440"/>
        <v>0</v>
      </c>
      <c r="AE1122" s="16">
        <f t="shared" si="1440"/>
        <v>0</v>
      </c>
      <c r="AF1122" s="16">
        <f t="shared" si="1440"/>
        <v>0</v>
      </c>
      <c r="AG1122" s="16">
        <f t="shared" si="1440"/>
        <v>0</v>
      </c>
      <c r="AH1122" s="16">
        <f t="shared" si="1440"/>
        <v>0</v>
      </c>
      <c r="AI1122" s="16">
        <f t="shared" si="1440"/>
        <v>0</v>
      </c>
      <c r="AJ1122" s="16">
        <f t="shared" si="1440"/>
        <v>0</v>
      </c>
      <c r="AK1122" s="16">
        <f t="shared" si="1440"/>
        <v>0</v>
      </c>
      <c r="AL1122" s="16">
        <f t="shared" si="1440"/>
        <v>0</v>
      </c>
      <c r="AM1122" s="16">
        <f t="shared" si="1440"/>
        <v>0</v>
      </c>
      <c r="AN1122" s="16">
        <f t="shared" si="1440"/>
        <v>0</v>
      </c>
      <c r="AO1122" s="16">
        <f t="shared" si="1440"/>
        <v>0</v>
      </c>
      <c r="AP1122" s="10"/>
      <c r="AQ1122" s="10"/>
      <c r="AR1122" s="10"/>
      <c r="AS1122" s="10" t="str">
        <f t="shared" ref="AS1122" ca="1" si="1451">IFERROR(__xludf.DUMMYFUNCTION("split(F968,"","",true,true)"),"Algebra Ventures")</f>
        <v>Algebra Ventures</v>
      </c>
      <c r="AT1122" s="10"/>
      <c r="AU1122" s="10"/>
      <c r="AV1122" s="10"/>
      <c r="AW1122" s="10"/>
      <c r="AX1122" s="10"/>
      <c r="AY1122" s="10"/>
      <c r="AZ1122" s="10"/>
      <c r="BA1122" s="10"/>
      <c r="BB1122" s="10"/>
      <c r="BC1122" s="10"/>
      <c r="BD1122" s="10"/>
      <c r="BE1122" s="10"/>
      <c r="BF1122" s="10"/>
      <c r="BG1122" s="10"/>
      <c r="BH1122" s="10"/>
      <c r="BI1122" s="10"/>
      <c r="BJ1122" s="10"/>
      <c r="BK1122" s="10"/>
      <c r="BM1122" s="10"/>
    </row>
    <row r="1123" spans="1:65" ht="12.75">
      <c r="A1123" s="9">
        <v>43631</v>
      </c>
      <c r="B1123" s="10" t="s">
        <v>309</v>
      </c>
      <c r="C1123" s="11">
        <v>6000000</v>
      </c>
      <c r="D1123" s="12"/>
      <c r="E1123" s="10" t="s">
        <v>69</v>
      </c>
      <c r="F1123" s="10" t="s">
        <v>2353</v>
      </c>
      <c r="G1123" s="13" t="s">
        <v>2354</v>
      </c>
      <c r="H1123" s="14" t="str">
        <f t="array" ref="H1123">IFERROR(INDEX([1]Companies!$G:$G,MATCH(B1123,[1]Companies!$A:$A,0)),"")</f>
        <v>Nigeria</v>
      </c>
      <c r="I1123" s="14" t="str">
        <f t="shared" si="1299"/>
        <v>Nigeria</v>
      </c>
      <c r="J1123" s="14" t="str">
        <f t="array" ref="J1123">IFERROR(INDEX([1]Companies!$Y:$Y,MATCH(B1123,[1]Companies!$A:$A,0)),"")</f>
        <v>Hyperlocal logistics, On-demand Delivery, Transportation, Delivery Services, E-Commerce Logsitics, Okada, and Moto-Taxi, Ride-Hailing</v>
      </c>
      <c r="K1123" s="14" t="str">
        <f t="array" ref="K1123">IFERROR(INDEX([1]Companies!$X:$X,MATCH(B1123,[1]Companies!$A:$A,0)),"")</f>
        <v>Transport &amp; Logistics</v>
      </c>
      <c r="L1123" s="21" t="str">
        <f>VLOOKUP(B1123,[1]Companies!$A$1:$C$5243,1,FALSE)</f>
        <v>Max.ng</v>
      </c>
      <c r="M1123" s="15">
        <f t="shared" si="1300"/>
        <v>0.9</v>
      </c>
      <c r="N1123" s="10" t="str">
        <f t="shared" si="1301"/>
        <v>43631Max.ng6000000</v>
      </c>
      <c r="O1123" s="14" t="str">
        <f t="shared" si="1399"/>
        <v/>
      </c>
      <c r="P1123" s="14">
        <f t="shared" si="1400"/>
        <v>1</v>
      </c>
      <c r="Q1123" s="14">
        <f t="array" ref="Q1123">IFERROR(INDEX([1]Companies!$D:$D,MATCH(B1123,[1]Companies!$A:$A,0)),"")</f>
        <v>2015</v>
      </c>
      <c r="R1123" s="17">
        <f t="shared" si="1401"/>
        <v>8100000</v>
      </c>
      <c r="S1123" s="14">
        <f>VLOOKUP(I1123,[1]Lookups!$V$3:$Y$197,4,FALSE)</f>
        <v>0</v>
      </c>
      <c r="T1123" s="14" t="str">
        <f>VLOOKUP(E1123,[1]Lookups!$H$3:$I$71,2,FALSE)</f>
        <v>3. Early Venture</v>
      </c>
      <c r="U1123" s="14" t="str">
        <f>VLOOKUP(K1123,[1]Lookups!$B$3:$C$142,2,FALSE)</f>
        <v>Transport &amp; Logistics</v>
      </c>
      <c r="V1123" s="14">
        <f t="shared" si="1230"/>
        <v>2019</v>
      </c>
      <c r="W1123" s="14">
        <f t="shared" si="1231"/>
        <v>6</v>
      </c>
      <c r="X1123" s="14">
        <f>VLOOKUP(W1123,[1]Lookups!$P$3:$S$15,2,FALSE)</f>
        <v>2</v>
      </c>
      <c r="Y1123" s="16">
        <f>VLOOKUP(W1123,[1]Lookups!$P$3:$U$15,3,FALSE)</f>
        <v>1</v>
      </c>
      <c r="Z1123" s="16">
        <f t="shared" si="1232"/>
        <v>5</v>
      </c>
      <c r="AA1123" s="16" t="str">
        <f t="shared" ca="1" si="1440"/>
        <v>Algebra Ventures</v>
      </c>
      <c r="AB1123" s="16" t="str">
        <f t="shared" ca="1" si="1440"/>
        <v xml:space="preserve"> Yamaha</v>
      </c>
      <c r="AC1123" s="16" t="str">
        <f t="shared" ca="1" si="1440"/>
        <v xml:space="preserve"> Breakthrough Energy Ventures</v>
      </c>
      <c r="AD1123" s="16" t="str">
        <f t="shared" ca="1" si="1440"/>
        <v xml:space="preserve"> Zrosk Investment Management</v>
      </c>
      <c r="AE1123" s="16" t="str">
        <f t="shared" ca="1" si="1440"/>
        <v xml:space="preserve"> Alitheia Capital</v>
      </c>
      <c r="AF1123" s="16">
        <f t="shared" si="1440"/>
        <v>0</v>
      </c>
      <c r="AG1123" s="16">
        <f t="shared" si="1440"/>
        <v>0</v>
      </c>
      <c r="AH1123" s="16">
        <f t="shared" si="1440"/>
        <v>0</v>
      </c>
      <c r="AI1123" s="16">
        <f t="shared" si="1440"/>
        <v>0</v>
      </c>
      <c r="AJ1123" s="16">
        <f t="shared" si="1440"/>
        <v>0</v>
      </c>
      <c r="AK1123" s="16">
        <f t="shared" si="1440"/>
        <v>0</v>
      </c>
      <c r="AL1123" s="16">
        <f t="shared" si="1440"/>
        <v>0</v>
      </c>
      <c r="AM1123" s="16">
        <f t="shared" si="1440"/>
        <v>0</v>
      </c>
      <c r="AN1123" s="16">
        <f t="shared" si="1440"/>
        <v>0</v>
      </c>
      <c r="AO1123" s="16">
        <f t="shared" si="1440"/>
        <v>0</v>
      </c>
      <c r="AP1123" s="10"/>
      <c r="AQ1123" s="10"/>
      <c r="AR1123" s="10"/>
      <c r="AS1123" s="10" t="str">
        <f t="shared" ref="AS1123" ca="1" si="1452">IFERROR(__xludf.DUMMYFUNCTION("split(F968,"","",true,true)"),"Algebra Ventures")</f>
        <v>Algebra Ventures</v>
      </c>
      <c r="AT1123" s="10" t="str">
        <f ca="1">IFERROR(__xludf.DUMMYFUNCTION("""COMPUTED_VALUE""")," Yamaha")</f>
        <v xml:space="preserve"> Yamaha</v>
      </c>
      <c r="AU1123" s="10" t="str">
        <f ca="1">IFERROR(__xludf.DUMMYFUNCTION("""COMPUTED_VALUE""")," Breakthrough Energy Ventures")</f>
        <v xml:space="preserve"> Breakthrough Energy Ventures</v>
      </c>
      <c r="AV1123" s="10" t="str">
        <f ca="1">IFERROR(__xludf.DUMMYFUNCTION("""COMPUTED_VALUE""")," Zrosk Investment Management")</f>
        <v xml:space="preserve"> Zrosk Investment Management</v>
      </c>
      <c r="AW1123" s="10" t="str">
        <f ca="1">IFERROR(__xludf.DUMMYFUNCTION("""COMPUTED_VALUE""")," Alitheia Capital")</f>
        <v xml:space="preserve"> Alitheia Capital</v>
      </c>
      <c r="AX1123" s="10"/>
      <c r="AY1123" s="10"/>
      <c r="AZ1123" s="10"/>
      <c r="BA1123" s="10"/>
      <c r="BB1123" s="10"/>
      <c r="BC1123" s="10"/>
      <c r="BD1123" s="10"/>
      <c r="BE1123" s="10"/>
      <c r="BF1123" s="10"/>
      <c r="BG1123" s="10"/>
      <c r="BH1123" s="10"/>
      <c r="BI1123" s="10"/>
      <c r="BJ1123" s="10"/>
      <c r="BK1123" s="10"/>
      <c r="BM1123" s="10"/>
    </row>
    <row r="1124" spans="1:65" ht="12.75">
      <c r="A1124" s="9">
        <v>43631</v>
      </c>
      <c r="B1124" s="13" t="s">
        <v>309</v>
      </c>
      <c r="C1124" s="11">
        <v>1000000</v>
      </c>
      <c r="D1124" s="12"/>
      <c r="E1124" s="10" t="s">
        <v>55</v>
      </c>
      <c r="F1124" s="10" t="s">
        <v>2353</v>
      </c>
      <c r="G1124" s="13" t="s">
        <v>2354</v>
      </c>
      <c r="H1124" s="14" t="str">
        <f t="array" ref="H1124">IFERROR(INDEX([1]Companies!$G:$G,MATCH(B1124,[1]Companies!$A:$A,0)),"")</f>
        <v>Nigeria</v>
      </c>
      <c r="I1124" s="14" t="str">
        <f t="shared" si="1299"/>
        <v>Nigeria</v>
      </c>
      <c r="J1124" s="14" t="str">
        <f t="array" ref="J1124">IFERROR(INDEX([1]Companies!$Y:$Y,MATCH(B1124,[1]Companies!$A:$A,0)),"")</f>
        <v>Hyperlocal logistics, On-demand Delivery, Transportation, Delivery Services, E-Commerce Logsitics, Okada, and Moto-Taxi, Ride-Hailing</v>
      </c>
      <c r="K1124" s="14" t="str">
        <f t="array" ref="K1124">IFERROR(INDEX([1]Companies!$X:$X,MATCH(B1124,[1]Companies!$A:$A,0)),"")</f>
        <v>Transport &amp; Logistics</v>
      </c>
      <c r="L1124" s="21" t="str">
        <f>VLOOKUP(B1124,[1]Companies!$A$1:$C$5243,1,FALSE)</f>
        <v>Max.ng</v>
      </c>
      <c r="M1124" s="15">
        <f t="shared" si="1300"/>
        <v>0.9</v>
      </c>
      <c r="N1124" s="10" t="str">
        <f t="shared" si="1301"/>
        <v>43631Max.ng1000000</v>
      </c>
      <c r="O1124" s="14" t="str">
        <f t="shared" si="1399"/>
        <v/>
      </c>
      <c r="P1124" s="14">
        <f t="shared" si="1400"/>
        <v>1</v>
      </c>
      <c r="Q1124" s="14">
        <f t="array" ref="Q1124">IFERROR(INDEX([1]Companies!$D:$D,MATCH(B1124,[1]Companies!$A:$A,0)),"")</f>
        <v>2015</v>
      </c>
      <c r="R1124" s="17">
        <f t="shared" si="1401"/>
        <v>8100000</v>
      </c>
      <c r="S1124" s="14">
        <f>VLOOKUP(I1124,[1]Lookups!$V$3:$Y$197,4,FALSE)</f>
        <v>0</v>
      </c>
      <c r="T1124" s="14" t="str">
        <f>VLOOKUP(E1124,[1]Lookups!$H$3:$I$71,2,FALSE)</f>
        <v>1. Grant</v>
      </c>
      <c r="U1124" s="14" t="str">
        <f>VLOOKUP(K1124,[1]Lookups!$B$3:$C$142,2,FALSE)</f>
        <v>Transport &amp; Logistics</v>
      </c>
      <c r="V1124" s="14">
        <f t="shared" si="1230"/>
        <v>2019</v>
      </c>
      <c r="W1124" s="14">
        <f t="shared" si="1231"/>
        <v>6</v>
      </c>
      <c r="X1124" s="14">
        <f>VLOOKUP(W1124,[1]Lookups!$P$3:$S$15,2,FALSE)</f>
        <v>2</v>
      </c>
      <c r="Y1124" s="16">
        <f>VLOOKUP(W1124,[1]Lookups!$P$3:$U$15,3,FALSE)</f>
        <v>1</v>
      </c>
      <c r="Z1124" s="16">
        <f t="shared" si="1232"/>
        <v>5</v>
      </c>
      <c r="AA1124" s="16" t="str">
        <f t="shared" ca="1" si="1440"/>
        <v>Algebra Ventures</v>
      </c>
      <c r="AB1124" s="16" t="str">
        <f t="shared" ca="1" si="1440"/>
        <v xml:space="preserve"> Yamaha</v>
      </c>
      <c r="AC1124" s="16" t="str">
        <f t="shared" ca="1" si="1440"/>
        <v xml:space="preserve"> Breakthrough Energy Ventures</v>
      </c>
      <c r="AD1124" s="16" t="str">
        <f t="shared" ca="1" si="1440"/>
        <v xml:space="preserve"> Zrosk Investment Management</v>
      </c>
      <c r="AE1124" s="16" t="str">
        <f t="shared" ca="1" si="1440"/>
        <v xml:space="preserve"> Alitheia Capital</v>
      </c>
      <c r="AF1124" s="16">
        <f t="shared" si="1440"/>
        <v>0</v>
      </c>
      <c r="AG1124" s="16">
        <f t="shared" si="1440"/>
        <v>0</v>
      </c>
      <c r="AH1124" s="16">
        <f t="shared" si="1440"/>
        <v>0</v>
      </c>
      <c r="AI1124" s="16">
        <f t="shared" si="1440"/>
        <v>0</v>
      </c>
      <c r="AJ1124" s="16">
        <f t="shared" si="1440"/>
        <v>0</v>
      </c>
      <c r="AK1124" s="16">
        <f t="shared" si="1440"/>
        <v>0</v>
      </c>
      <c r="AL1124" s="16">
        <f t="shared" si="1440"/>
        <v>0</v>
      </c>
      <c r="AM1124" s="16">
        <f t="shared" si="1440"/>
        <v>0</v>
      </c>
      <c r="AN1124" s="16">
        <f t="shared" si="1440"/>
        <v>0</v>
      </c>
      <c r="AO1124" s="16">
        <f t="shared" si="1440"/>
        <v>0</v>
      </c>
      <c r="AP1124" s="10"/>
      <c r="AQ1124" s="10"/>
      <c r="AR1124" s="10"/>
      <c r="AS1124" s="10" t="str">
        <f t="shared" ref="AS1124" ca="1" si="1453">IFERROR(__xludf.DUMMYFUNCTION("split(F968,"","",true,true)"),"Algebra Ventures")</f>
        <v>Algebra Ventures</v>
      </c>
      <c r="AT1124" s="10" t="str">
        <f ca="1">IFERROR(__xludf.DUMMYFUNCTION("""COMPUTED_VALUE""")," Yamaha")</f>
        <v xml:space="preserve"> Yamaha</v>
      </c>
      <c r="AU1124" s="10" t="str">
        <f ca="1">IFERROR(__xludf.DUMMYFUNCTION("""COMPUTED_VALUE""")," Breakthrough Energy Ventures")</f>
        <v xml:space="preserve"> Breakthrough Energy Ventures</v>
      </c>
      <c r="AV1124" s="10" t="str">
        <f ca="1">IFERROR(__xludf.DUMMYFUNCTION("""COMPUTED_VALUE""")," Zrosk Investment Management")</f>
        <v xml:space="preserve"> Zrosk Investment Management</v>
      </c>
      <c r="AW1124" s="10" t="str">
        <f ca="1">IFERROR(__xludf.DUMMYFUNCTION("""COMPUTED_VALUE""")," Alitheia Capital")</f>
        <v xml:space="preserve"> Alitheia Capital</v>
      </c>
      <c r="AX1124" s="10"/>
      <c r="AY1124" s="10"/>
      <c r="AZ1124" s="10"/>
      <c r="BA1124" s="10"/>
      <c r="BB1124" s="10"/>
      <c r="BC1124" s="10"/>
      <c r="BD1124" s="10"/>
      <c r="BE1124" s="10"/>
      <c r="BF1124" s="10"/>
      <c r="BG1124" s="10"/>
      <c r="BH1124" s="10"/>
      <c r="BI1124" s="10"/>
      <c r="BJ1124" s="10"/>
      <c r="BK1124" s="10"/>
      <c r="BM1124" s="10"/>
    </row>
    <row r="1125" spans="1:65" ht="12.75">
      <c r="A1125" s="9">
        <v>43632</v>
      </c>
      <c r="B1125" s="10" t="s">
        <v>2355</v>
      </c>
      <c r="C1125" s="11" t="s">
        <v>49</v>
      </c>
      <c r="D1125" s="12"/>
      <c r="E1125" s="10" t="s">
        <v>45</v>
      </c>
      <c r="F1125" s="10" t="s">
        <v>226</v>
      </c>
      <c r="G1125" s="13" t="s">
        <v>2356</v>
      </c>
      <c r="H1125" s="14" t="str">
        <f t="array" ref="H1125">IFERROR(INDEX([1]Companies!$G:$G,MATCH(B1125,[1]Companies!$A:$A,0)),"")</f>
        <v>Egypt</v>
      </c>
      <c r="I1125" s="14" t="str">
        <f t="shared" si="1299"/>
        <v>Egypt</v>
      </c>
      <c r="J1125" s="14" t="str">
        <f t="array" ref="J1125">IFERROR(INDEX([1]Companies!$Y:$Y,MATCH(B1125,[1]Companies!$A:$A,0)),"")</f>
        <v>Fantasy Sports</v>
      </c>
      <c r="K1125" s="14" t="str">
        <f t="array" ref="K1125">IFERROR(INDEX([1]Companies!$X:$X,MATCH(B1125,[1]Companies!$A:$A,0)),"")</f>
        <v>Media/ Entertainment</v>
      </c>
      <c r="L1125" s="14" t="str">
        <f>VLOOKUP(B1125,[1]Companies!$A$1:$C$5243,1,FALSE)</f>
        <v>Eksab</v>
      </c>
      <c r="M1125" s="15">
        <f t="shared" si="1300"/>
        <v>0.9</v>
      </c>
      <c r="N1125" s="10" t="str">
        <f t="shared" si="1301"/>
        <v>43632EksabUndisclosed</v>
      </c>
      <c r="O1125" s="14" t="str">
        <f t="shared" si="1399"/>
        <v/>
      </c>
      <c r="P1125" s="14">
        <f t="shared" si="1400"/>
        <v>0</v>
      </c>
      <c r="Q1125" s="14">
        <f t="array" ref="Q1125">IFERROR(INDEX([1]Companies!$D:$D,MATCH(B1125,[1]Companies!$A:$A,0)),"")</f>
        <v>2017</v>
      </c>
      <c r="R1125" s="17">
        <f t="shared" si="1401"/>
        <v>0</v>
      </c>
      <c r="S1125" s="14">
        <f>VLOOKUP(I1125,[1]Lookups!$V$3:$Y$197,4,FALSE)</f>
        <v>0</v>
      </c>
      <c r="T1125" s="14" t="str">
        <f>VLOOKUP(E1125,[1]Lookups!$H$3:$I$71,2,FALSE)</f>
        <v>2. Seed</v>
      </c>
      <c r="U1125" s="14" t="str">
        <f>VLOOKUP(K1125,[1]Lookups!$B$3:$C$142,2,FALSE)</f>
        <v>Media &amp; Entertainment</v>
      </c>
      <c r="V1125" s="14">
        <f t="shared" si="1230"/>
        <v>2019</v>
      </c>
      <c r="W1125" s="14">
        <f t="shared" si="1231"/>
        <v>6</v>
      </c>
      <c r="X1125" s="14">
        <f>VLOOKUP(W1125,[1]Lookups!$P$3:$S$15,2,FALSE)</f>
        <v>2</v>
      </c>
      <c r="Y1125" s="16">
        <f>VLOOKUP(W1125,[1]Lookups!$P$3:$U$15,3,FALSE)</f>
        <v>1</v>
      </c>
      <c r="Z1125" s="16">
        <f t="shared" si="1232"/>
        <v>1</v>
      </c>
      <c r="AA1125" s="16" t="str">
        <f t="shared" ca="1" si="1440"/>
        <v>Algebra Ventures</v>
      </c>
      <c r="AB1125" s="16">
        <f t="shared" si="1440"/>
        <v>0</v>
      </c>
      <c r="AC1125" s="16">
        <f t="shared" si="1440"/>
        <v>0</v>
      </c>
      <c r="AD1125" s="16">
        <f t="shared" si="1440"/>
        <v>0</v>
      </c>
      <c r="AE1125" s="16">
        <f t="shared" si="1440"/>
        <v>0</v>
      </c>
      <c r="AF1125" s="16">
        <f t="shared" si="1440"/>
        <v>0</v>
      </c>
      <c r="AG1125" s="16">
        <f t="shared" si="1440"/>
        <v>0</v>
      </c>
      <c r="AH1125" s="16">
        <f t="shared" si="1440"/>
        <v>0</v>
      </c>
      <c r="AI1125" s="16">
        <f t="shared" si="1440"/>
        <v>0</v>
      </c>
      <c r="AJ1125" s="16">
        <f t="shared" si="1440"/>
        <v>0</v>
      </c>
      <c r="AK1125" s="16">
        <f t="shared" si="1440"/>
        <v>0</v>
      </c>
      <c r="AL1125" s="16">
        <f t="shared" si="1440"/>
        <v>0</v>
      </c>
      <c r="AM1125" s="16">
        <f t="shared" si="1440"/>
        <v>0</v>
      </c>
      <c r="AN1125" s="16">
        <f t="shared" si="1440"/>
        <v>0</v>
      </c>
      <c r="AO1125" s="16">
        <f t="shared" si="1440"/>
        <v>0</v>
      </c>
      <c r="AP1125" s="10"/>
      <c r="AQ1125" s="10"/>
      <c r="AR1125" s="10"/>
      <c r="AS1125" s="10" t="str">
        <f t="shared" ref="AS1125" ca="1" si="1454">IFERROR(__xludf.DUMMYFUNCTION("split(F968,"","",true,true)"),"Algebra Ventures")</f>
        <v>Algebra Ventures</v>
      </c>
      <c r="AT1125" s="10"/>
      <c r="AU1125" s="10"/>
      <c r="AV1125" s="10"/>
      <c r="AW1125" s="10"/>
      <c r="AX1125" s="10"/>
      <c r="AY1125" s="10"/>
      <c r="AZ1125" s="10"/>
      <c r="BA1125" s="10"/>
      <c r="BB1125" s="10"/>
      <c r="BC1125" s="10"/>
      <c r="BD1125" s="10"/>
      <c r="BE1125" s="10"/>
      <c r="BF1125" s="10"/>
      <c r="BG1125" s="10"/>
      <c r="BH1125" s="10"/>
      <c r="BI1125" s="10"/>
      <c r="BJ1125" s="10"/>
      <c r="BK1125" s="10"/>
      <c r="BM1125" s="10"/>
    </row>
    <row r="1126" spans="1:65" ht="12.75">
      <c r="A1126" s="9">
        <v>43633</v>
      </c>
      <c r="B1126" s="14" t="s">
        <v>346</v>
      </c>
      <c r="C1126" s="11" t="s">
        <v>49</v>
      </c>
      <c r="D1126" s="12"/>
      <c r="E1126" s="10" t="s">
        <v>55</v>
      </c>
      <c r="F1126" s="10" t="s">
        <v>2357</v>
      </c>
      <c r="G1126" s="13" t="s">
        <v>2358</v>
      </c>
      <c r="H1126" s="14" t="str">
        <f t="array" ref="H1126">IFERROR(INDEX([1]Companies!$G:$G,MATCH(B1126,[1]Companies!$A:$A,0)),"")</f>
        <v>Ghana</v>
      </c>
      <c r="I1126" s="14" t="str">
        <f t="shared" si="1299"/>
        <v>Ghana</v>
      </c>
      <c r="J1126" s="14" t="str">
        <f t="array" ref="J1126">IFERROR(INDEX([1]Companies!$Y:$Y,MATCH(B1126,[1]Companies!$A:$A,0)),"")</f>
        <v>Agtech, Data Analytics</v>
      </c>
      <c r="K1126" s="14" t="str">
        <f t="array" ref="K1126">IFERROR(INDEX([1]Companies!$X:$X,MATCH(B1126,[1]Companies!$A:$A,0)),"")</f>
        <v>Agriculture</v>
      </c>
      <c r="L1126" s="14" t="str">
        <f>VLOOKUP(B1126,[1]Companies!$A$1:$C$5243,1,FALSE)</f>
        <v>Farmerline</v>
      </c>
      <c r="M1126" s="15">
        <f t="shared" si="1300"/>
        <v>0.9</v>
      </c>
      <c r="N1126" s="10" t="str">
        <f t="shared" si="1301"/>
        <v>43633FarmerlineUndisclosed</v>
      </c>
      <c r="O1126" s="14" t="str">
        <f t="shared" si="1399"/>
        <v/>
      </c>
      <c r="P1126" s="14">
        <f t="shared" si="1400"/>
        <v>0</v>
      </c>
      <c r="Q1126" s="14">
        <f t="array" ref="Q1126">IFERROR(INDEX([1]Companies!$D:$D,MATCH(B1126,[1]Companies!$A:$A,0)),"")</f>
        <v>2012</v>
      </c>
      <c r="R1126" s="17">
        <f t="shared" si="1401"/>
        <v>742000</v>
      </c>
      <c r="S1126" s="14">
        <f>VLOOKUP(I1126,[1]Lookups!$V$3:$Y$197,4,FALSE)</f>
        <v>0</v>
      </c>
      <c r="T1126" s="14" t="str">
        <f>VLOOKUP(E1126,[1]Lookups!$H$3:$I$71,2,FALSE)</f>
        <v>1. Grant</v>
      </c>
      <c r="U1126" s="14" t="str">
        <f>VLOOKUP(K1126,[1]Lookups!$B$3:$C$142,2,FALSE)</f>
        <v>Agriculture</v>
      </c>
      <c r="V1126" s="14">
        <f t="shared" si="1230"/>
        <v>2019</v>
      </c>
      <c r="W1126" s="14">
        <f t="shared" si="1231"/>
        <v>6</v>
      </c>
      <c r="X1126" s="14">
        <f>VLOOKUP(W1126,[1]Lookups!$P$3:$S$15,2,FALSE)</f>
        <v>2</v>
      </c>
      <c r="Y1126" s="16">
        <f>VLOOKUP(W1126,[1]Lookups!$P$3:$U$15,3,FALSE)</f>
        <v>1</v>
      </c>
      <c r="Z1126" s="16">
        <f t="shared" si="1232"/>
        <v>1</v>
      </c>
      <c r="AA1126" s="16" t="str">
        <f t="shared" ca="1" si="1440"/>
        <v>Algebra Ventures</v>
      </c>
      <c r="AB1126" s="16">
        <f t="shared" si="1440"/>
        <v>0</v>
      </c>
      <c r="AC1126" s="16">
        <f t="shared" si="1440"/>
        <v>0</v>
      </c>
      <c r="AD1126" s="16">
        <f t="shared" si="1440"/>
        <v>0</v>
      </c>
      <c r="AE1126" s="16">
        <f t="shared" si="1440"/>
        <v>0</v>
      </c>
      <c r="AF1126" s="16">
        <f t="shared" si="1440"/>
        <v>0</v>
      </c>
      <c r="AG1126" s="16">
        <f t="shared" si="1440"/>
        <v>0</v>
      </c>
      <c r="AH1126" s="16">
        <f t="shared" si="1440"/>
        <v>0</v>
      </c>
      <c r="AI1126" s="16">
        <f t="shared" si="1440"/>
        <v>0</v>
      </c>
      <c r="AJ1126" s="16">
        <f t="shared" si="1440"/>
        <v>0</v>
      </c>
      <c r="AK1126" s="16">
        <f t="shared" si="1440"/>
        <v>0</v>
      </c>
      <c r="AL1126" s="16">
        <f t="shared" si="1440"/>
        <v>0</v>
      </c>
      <c r="AM1126" s="16">
        <f t="shared" si="1440"/>
        <v>0</v>
      </c>
      <c r="AN1126" s="16">
        <f t="shared" si="1440"/>
        <v>0</v>
      </c>
      <c r="AO1126" s="16">
        <f t="shared" si="1440"/>
        <v>0</v>
      </c>
      <c r="AP1126" s="10"/>
      <c r="AQ1126" s="10"/>
      <c r="AR1126" s="10"/>
      <c r="AS1126" s="10" t="str">
        <f t="shared" ref="AS1126" ca="1" si="1455">IFERROR(__xludf.DUMMYFUNCTION("split(F968,"","",true,true)"),"Algebra Ventures")</f>
        <v>Algebra Ventures</v>
      </c>
      <c r="AT1126" s="10"/>
      <c r="AU1126" s="10"/>
      <c r="AV1126" s="10"/>
      <c r="AW1126" s="10"/>
      <c r="AX1126" s="10"/>
      <c r="AY1126" s="10"/>
      <c r="AZ1126" s="10"/>
      <c r="BA1126" s="10"/>
      <c r="BB1126" s="10"/>
      <c r="BC1126" s="10"/>
      <c r="BD1126" s="10"/>
      <c r="BE1126" s="10"/>
      <c r="BF1126" s="10"/>
      <c r="BG1126" s="10"/>
      <c r="BH1126" s="10"/>
      <c r="BI1126" s="10"/>
      <c r="BJ1126" s="10"/>
      <c r="BK1126" s="10"/>
      <c r="BM1126" s="10"/>
    </row>
    <row r="1127" spans="1:65" ht="12.75">
      <c r="A1127" s="9">
        <v>43634</v>
      </c>
      <c r="B1127" s="10" t="s">
        <v>2359</v>
      </c>
      <c r="C1127" s="11" t="s">
        <v>49</v>
      </c>
      <c r="D1127" s="12"/>
      <c r="E1127" s="10" t="s">
        <v>45</v>
      </c>
      <c r="F1127" s="10" t="s">
        <v>2360</v>
      </c>
      <c r="G1127" s="13" t="s">
        <v>2361</v>
      </c>
      <c r="H1127" s="14" t="str">
        <f t="array" ref="H1127">IFERROR(INDEX([1]Companies!$G:$G,MATCH(B1127,[1]Companies!$A:$A,0)),"")</f>
        <v>Kenya</v>
      </c>
      <c r="I1127" s="14" t="str">
        <f t="shared" si="1299"/>
        <v>Kenya</v>
      </c>
      <c r="J1127" s="14" t="str">
        <f t="array" ref="J1127">IFERROR(INDEX([1]Companies!$Y:$Y,MATCH(B1127,[1]Companies!$A:$A,0)),"")</f>
        <v>Food and Beverages</v>
      </c>
      <c r="K1127" s="14" t="str">
        <f t="array" ref="K1127">IFERROR(INDEX([1]Companies!$X:$X,MATCH(B1127,[1]Companies!$A:$A,0)),"")</f>
        <v>E-Commerce &amp; Retail</v>
      </c>
      <c r="L1127" s="14" t="str">
        <f>VLOOKUP(B1127,[1]Companies!$A$1:$C$5243,1,FALSE)</f>
        <v>Savannah Brands</v>
      </c>
      <c r="M1127" s="15">
        <f t="shared" si="1300"/>
        <v>0.9</v>
      </c>
      <c r="N1127" s="10" t="str">
        <f t="shared" si="1301"/>
        <v>43634Savannah BrandsUndisclosed</v>
      </c>
      <c r="O1127" s="14" t="str">
        <f t="shared" si="1399"/>
        <v/>
      </c>
      <c r="P1127" s="14">
        <f t="shared" si="1400"/>
        <v>0</v>
      </c>
      <c r="Q1127" s="14">
        <f t="array" ref="Q1127">IFERROR(INDEX([1]Companies!$D:$D,MATCH(B1127,[1]Companies!$A:$A,0)),"")</f>
        <v>2017</v>
      </c>
      <c r="R1127" s="17">
        <f t="shared" si="1401"/>
        <v>0</v>
      </c>
      <c r="S1127" s="14">
        <f>VLOOKUP(I1127,[1]Lookups!$V$3:$Y$197,4,FALSE)</f>
        <v>0</v>
      </c>
      <c r="T1127" s="14" t="str">
        <f>VLOOKUP(E1127,[1]Lookups!$H$3:$I$71,2,FALSE)</f>
        <v>2. Seed</v>
      </c>
      <c r="U1127" s="14" t="str">
        <f>VLOOKUP(K1127,[1]Lookups!$B$3:$C$142,2,FALSE)</f>
        <v>E-commerce &amp; Retail</v>
      </c>
      <c r="V1127" s="14">
        <f t="shared" si="1230"/>
        <v>2019</v>
      </c>
      <c r="W1127" s="14">
        <f t="shared" si="1231"/>
        <v>6</v>
      </c>
      <c r="X1127" s="14">
        <f>VLOOKUP(W1127,[1]Lookups!$P$3:$S$15,2,FALSE)</f>
        <v>2</v>
      </c>
      <c r="Y1127" s="16">
        <f>VLOOKUP(W1127,[1]Lookups!$P$3:$U$15,3,FALSE)</f>
        <v>1</v>
      </c>
      <c r="Z1127" s="16">
        <f t="shared" si="1232"/>
        <v>1</v>
      </c>
      <c r="AA1127" s="16" t="str">
        <f t="shared" ca="1" si="1440"/>
        <v>Algebra Ventures</v>
      </c>
      <c r="AB1127" s="16">
        <f t="shared" si="1440"/>
        <v>0</v>
      </c>
      <c r="AC1127" s="16">
        <f t="shared" si="1440"/>
        <v>0</v>
      </c>
      <c r="AD1127" s="16">
        <f t="shared" si="1440"/>
        <v>0</v>
      </c>
      <c r="AE1127" s="16">
        <f t="shared" si="1440"/>
        <v>0</v>
      </c>
      <c r="AF1127" s="16">
        <f t="shared" si="1440"/>
        <v>0</v>
      </c>
      <c r="AG1127" s="16">
        <f t="shared" si="1440"/>
        <v>0</v>
      </c>
      <c r="AH1127" s="16">
        <f t="shared" si="1440"/>
        <v>0</v>
      </c>
      <c r="AI1127" s="16">
        <f t="shared" si="1440"/>
        <v>0</v>
      </c>
      <c r="AJ1127" s="16">
        <f t="shared" si="1440"/>
        <v>0</v>
      </c>
      <c r="AK1127" s="16">
        <f t="shared" si="1440"/>
        <v>0</v>
      </c>
      <c r="AL1127" s="16">
        <f t="shared" si="1440"/>
        <v>0</v>
      </c>
      <c r="AM1127" s="16">
        <f t="shared" si="1440"/>
        <v>0</v>
      </c>
      <c r="AN1127" s="16">
        <f t="shared" si="1440"/>
        <v>0</v>
      </c>
      <c r="AO1127" s="16">
        <f t="shared" si="1440"/>
        <v>0</v>
      </c>
      <c r="AP1127" s="10"/>
      <c r="AQ1127" s="10"/>
      <c r="AR1127" s="10"/>
      <c r="AS1127" s="10" t="str">
        <f t="shared" ref="AS1127" ca="1" si="1456">IFERROR(__xludf.DUMMYFUNCTION("split(F968,"","",true,true)"),"Algebra Ventures")</f>
        <v>Algebra Ventures</v>
      </c>
      <c r="AT1127" s="10"/>
      <c r="AU1127" s="10"/>
      <c r="AV1127" s="10"/>
      <c r="AW1127" s="10"/>
      <c r="AX1127" s="10"/>
      <c r="AY1127" s="10"/>
      <c r="AZ1127" s="10"/>
      <c r="BA1127" s="10"/>
      <c r="BB1127" s="10"/>
      <c r="BC1127" s="10"/>
      <c r="BD1127" s="10"/>
      <c r="BE1127" s="10"/>
      <c r="BF1127" s="10"/>
      <c r="BG1127" s="10"/>
      <c r="BH1127" s="10"/>
      <c r="BI1127" s="10"/>
      <c r="BJ1127" s="10"/>
      <c r="BK1127" s="10"/>
      <c r="BM1127" s="10"/>
    </row>
    <row r="1128" spans="1:65" ht="12.75">
      <c r="A1128" s="9">
        <v>43634</v>
      </c>
      <c r="B1128" s="10" t="s">
        <v>2362</v>
      </c>
      <c r="C1128" s="11">
        <v>20000</v>
      </c>
      <c r="D1128" s="12"/>
      <c r="E1128" s="10" t="s">
        <v>55</v>
      </c>
      <c r="F1128" s="10" t="s">
        <v>2363</v>
      </c>
      <c r="G1128" s="13" t="s">
        <v>2364</v>
      </c>
      <c r="H1128" s="14" t="str">
        <f t="array" ref="H1128">IFERROR(INDEX([1]Companies!$G:$G,MATCH(B1128,[1]Companies!$A:$A,0)),"")</f>
        <v>Kenya</v>
      </c>
      <c r="I1128" s="14" t="str">
        <f t="shared" si="1299"/>
        <v>Kenya</v>
      </c>
      <c r="J1128" s="14" t="str">
        <f t="array" ref="J1128">IFERROR(INDEX([1]Companies!$Y:$Y,MATCH(B1128,[1]Companies!$A:$A,0)),"")</f>
        <v>Construction, Housing Solutions</v>
      </c>
      <c r="K1128" s="14" t="str">
        <f t="array" ref="K1128">IFERROR(INDEX([1]Companies!$X:$X,MATCH(B1128,[1]Companies!$A:$A,0)),"")</f>
        <v>Real Estate</v>
      </c>
      <c r="L1128" s="14" t="str">
        <f>VLOOKUP(B1128,[1]Companies!$A$1:$C$5243,1,FALSE)</f>
        <v>Kwangu Kwako</v>
      </c>
      <c r="M1128" s="15">
        <f t="shared" si="1300"/>
        <v>0.9</v>
      </c>
      <c r="N1128" s="10" t="str">
        <f t="shared" si="1301"/>
        <v>43634Kwangu Kwako20000</v>
      </c>
      <c r="O1128" s="14" t="str">
        <f t="shared" si="1399"/>
        <v/>
      </c>
      <c r="P1128" s="14">
        <f t="shared" si="1400"/>
        <v>1</v>
      </c>
      <c r="Q1128" s="14">
        <f t="array" ref="Q1128">IFERROR(INDEX([1]Companies!$D:$D,MATCH(B1128,[1]Companies!$A:$A,0)),"")</f>
        <v>2015</v>
      </c>
      <c r="R1128" s="17">
        <f t="shared" si="1401"/>
        <v>20000</v>
      </c>
      <c r="S1128" s="14">
        <f>VLOOKUP(I1128,[1]Lookups!$V$3:$Y$197,4,FALSE)</f>
        <v>0</v>
      </c>
      <c r="T1128" s="14" t="str">
        <f>VLOOKUP(E1128,[1]Lookups!$H$3:$I$71,2,FALSE)</f>
        <v>1. Grant</v>
      </c>
      <c r="U1128" s="14" t="str">
        <f>VLOOKUP(K1128,[1]Lookups!$B$3:$C$142,2,FALSE)</f>
        <v>Construction &amp; Real Estate</v>
      </c>
      <c r="V1128" s="14">
        <f t="shared" si="1230"/>
        <v>2019</v>
      </c>
      <c r="W1128" s="14">
        <f t="shared" si="1231"/>
        <v>6</v>
      </c>
      <c r="X1128" s="14">
        <f>VLOOKUP(W1128,[1]Lookups!$P$3:$S$15,2,FALSE)</f>
        <v>2</v>
      </c>
      <c r="Y1128" s="16">
        <f>VLOOKUP(W1128,[1]Lookups!$P$3:$U$15,3,FALSE)</f>
        <v>1</v>
      </c>
      <c r="Z1128" s="16">
        <f t="shared" si="1232"/>
        <v>1</v>
      </c>
      <c r="AA1128" s="16" t="str">
        <f t="shared" ref="AA1128:AO1143" ca="1" si="1457">AS1128</f>
        <v>Algebra Ventures</v>
      </c>
      <c r="AB1128" s="16">
        <f t="shared" si="1457"/>
        <v>0</v>
      </c>
      <c r="AC1128" s="16">
        <f t="shared" si="1457"/>
        <v>0</v>
      </c>
      <c r="AD1128" s="16">
        <f t="shared" si="1457"/>
        <v>0</v>
      </c>
      <c r="AE1128" s="16">
        <f t="shared" si="1457"/>
        <v>0</v>
      </c>
      <c r="AF1128" s="16">
        <f t="shared" si="1457"/>
        <v>0</v>
      </c>
      <c r="AG1128" s="16">
        <f t="shared" si="1457"/>
        <v>0</v>
      </c>
      <c r="AH1128" s="16">
        <f t="shared" si="1457"/>
        <v>0</v>
      </c>
      <c r="AI1128" s="16">
        <f t="shared" si="1457"/>
        <v>0</v>
      </c>
      <c r="AJ1128" s="16">
        <f t="shared" si="1457"/>
        <v>0</v>
      </c>
      <c r="AK1128" s="16">
        <f t="shared" si="1457"/>
        <v>0</v>
      </c>
      <c r="AL1128" s="16">
        <f t="shared" si="1457"/>
        <v>0</v>
      </c>
      <c r="AM1128" s="16">
        <f t="shared" si="1457"/>
        <v>0</v>
      </c>
      <c r="AN1128" s="16">
        <f t="shared" si="1457"/>
        <v>0</v>
      </c>
      <c r="AO1128" s="16">
        <f t="shared" si="1457"/>
        <v>0</v>
      </c>
      <c r="AP1128" s="10"/>
      <c r="AQ1128" s="10"/>
      <c r="AR1128" s="10"/>
      <c r="AS1128" s="10" t="str">
        <f t="shared" ref="AS1128" ca="1" si="1458">IFERROR(__xludf.DUMMYFUNCTION("split(F968,"","",true,true)"),"Algebra Ventures")</f>
        <v>Algebra Ventures</v>
      </c>
      <c r="AT1128" s="10"/>
      <c r="AU1128" s="10"/>
      <c r="AV1128" s="10"/>
      <c r="AW1128" s="10"/>
      <c r="AX1128" s="10"/>
      <c r="AY1128" s="10"/>
      <c r="AZ1128" s="10"/>
      <c r="BA1128" s="10"/>
      <c r="BB1128" s="10"/>
      <c r="BC1128" s="10"/>
      <c r="BD1128" s="10"/>
      <c r="BE1128" s="10"/>
      <c r="BF1128" s="10"/>
      <c r="BG1128" s="10"/>
      <c r="BH1128" s="10"/>
      <c r="BI1128" s="10"/>
      <c r="BJ1128" s="10"/>
      <c r="BK1128" s="10"/>
      <c r="BM1128" s="10"/>
    </row>
    <row r="1129" spans="1:65" ht="12.75">
      <c r="A1129" s="9">
        <v>43634</v>
      </c>
      <c r="B1129" s="10" t="s">
        <v>2365</v>
      </c>
      <c r="C1129" s="11">
        <v>20000</v>
      </c>
      <c r="D1129" s="12"/>
      <c r="E1129" s="10" t="s">
        <v>55</v>
      </c>
      <c r="F1129" s="10" t="s">
        <v>2363</v>
      </c>
      <c r="G1129" s="13" t="s">
        <v>2364</v>
      </c>
      <c r="H1129" s="14" t="str">
        <f t="array" ref="H1129">IFERROR(INDEX([1]Companies!$G:$G,MATCH(B1129,[1]Companies!$A:$A,0)),"")</f>
        <v>Kenya</v>
      </c>
      <c r="I1129" s="14" t="str">
        <f t="shared" si="1299"/>
        <v>Kenya</v>
      </c>
      <c r="J1129" s="14" t="str">
        <f t="array" ref="J1129">IFERROR(INDEX([1]Companies!$Y:$Y,MATCH(B1129,[1]Companies!$A:$A,0)),"")</f>
        <v>Clean Energy, Solar</v>
      </c>
      <c r="K1129" s="14" t="str">
        <f t="array" ref="K1129">IFERROR(INDEX([1]Companies!$X:$X,MATCH(B1129,[1]Companies!$A:$A,0)),"")</f>
        <v>Energy &amp; Environment Resources</v>
      </c>
      <c r="L1129" s="14" t="str">
        <f>VLOOKUP(B1129,[1]Companies!$A$1:$C$5243,1,FALSE)</f>
        <v>Solar Freeze</v>
      </c>
      <c r="M1129" s="15">
        <f t="shared" si="1300"/>
        <v>0.9</v>
      </c>
      <c r="N1129" s="10" t="str">
        <f t="shared" si="1301"/>
        <v>43634Solar Freeze20000</v>
      </c>
      <c r="O1129" s="14" t="str">
        <f t="shared" si="1399"/>
        <v/>
      </c>
      <c r="P1129" s="14">
        <f t="shared" si="1400"/>
        <v>1</v>
      </c>
      <c r="Q1129" s="14">
        <f t="array" ref="Q1129">IFERROR(INDEX([1]Companies!$D:$D,MATCH(B1129,[1]Companies!$A:$A,0)),"")</f>
        <v>2016</v>
      </c>
      <c r="R1129" s="17">
        <f t="shared" si="1401"/>
        <v>95000</v>
      </c>
      <c r="S1129" s="14">
        <f>VLOOKUP(I1129,[1]Lookups!$V$3:$Y$197,4,FALSE)</f>
        <v>0</v>
      </c>
      <c r="T1129" s="14" t="str">
        <f>VLOOKUP(E1129,[1]Lookups!$H$3:$I$71,2,FALSE)</f>
        <v>1. Grant</v>
      </c>
      <c r="U1129" s="14" t="e">
        <f>VLOOKUP(K1129,[1]Lookups!$B$3:$C$142,2,FALSE)</f>
        <v>#N/A</v>
      </c>
      <c r="V1129" s="14">
        <f t="shared" si="1230"/>
        <v>2019</v>
      </c>
      <c r="W1129" s="14">
        <f t="shared" si="1231"/>
        <v>6</v>
      </c>
      <c r="X1129" s="14">
        <f>VLOOKUP(W1129,[1]Lookups!$P$3:$S$15,2,FALSE)</f>
        <v>2</v>
      </c>
      <c r="Y1129" s="16">
        <f>VLOOKUP(W1129,[1]Lookups!$P$3:$U$15,3,FALSE)</f>
        <v>1</v>
      </c>
      <c r="Z1129" s="16">
        <f t="shared" si="1232"/>
        <v>1</v>
      </c>
      <c r="AA1129" s="16" t="str">
        <f t="shared" ca="1" si="1457"/>
        <v>Algebra Ventures</v>
      </c>
      <c r="AB1129" s="16">
        <f t="shared" si="1457"/>
        <v>0</v>
      </c>
      <c r="AC1129" s="16">
        <f t="shared" si="1457"/>
        <v>0</v>
      </c>
      <c r="AD1129" s="16">
        <f t="shared" si="1457"/>
        <v>0</v>
      </c>
      <c r="AE1129" s="16">
        <f t="shared" si="1457"/>
        <v>0</v>
      </c>
      <c r="AF1129" s="16">
        <f t="shared" si="1457"/>
        <v>0</v>
      </c>
      <c r="AG1129" s="16">
        <f t="shared" si="1457"/>
        <v>0</v>
      </c>
      <c r="AH1129" s="16">
        <f t="shared" si="1457"/>
        <v>0</v>
      </c>
      <c r="AI1129" s="16">
        <f t="shared" si="1457"/>
        <v>0</v>
      </c>
      <c r="AJ1129" s="16">
        <f t="shared" si="1457"/>
        <v>0</v>
      </c>
      <c r="AK1129" s="16">
        <f t="shared" si="1457"/>
        <v>0</v>
      </c>
      <c r="AL1129" s="16">
        <f t="shared" si="1457"/>
        <v>0</v>
      </c>
      <c r="AM1129" s="16">
        <f t="shared" si="1457"/>
        <v>0</v>
      </c>
      <c r="AN1129" s="16">
        <f t="shared" si="1457"/>
        <v>0</v>
      </c>
      <c r="AO1129" s="16">
        <f t="shared" si="1457"/>
        <v>0</v>
      </c>
      <c r="AP1129" s="10"/>
      <c r="AQ1129" s="10"/>
      <c r="AR1129" s="10"/>
      <c r="AS1129" s="10" t="str">
        <f t="shared" ref="AS1129" ca="1" si="1459">IFERROR(__xludf.DUMMYFUNCTION("split(F968,"","",true,true)"),"Algebra Ventures")</f>
        <v>Algebra Ventures</v>
      </c>
      <c r="AT1129" s="10"/>
      <c r="AU1129" s="10"/>
      <c r="AV1129" s="10"/>
      <c r="AW1129" s="10"/>
      <c r="AX1129" s="10"/>
      <c r="AY1129" s="10"/>
      <c r="AZ1129" s="10"/>
      <c r="BA1129" s="10"/>
      <c r="BB1129" s="10"/>
      <c r="BC1129" s="10"/>
      <c r="BD1129" s="10"/>
      <c r="BE1129" s="10"/>
      <c r="BF1129" s="10"/>
      <c r="BG1129" s="10"/>
      <c r="BH1129" s="10"/>
      <c r="BI1129" s="10"/>
      <c r="BJ1129" s="10"/>
      <c r="BK1129" s="10"/>
      <c r="BM1129" s="10"/>
    </row>
    <row r="1130" spans="1:65" ht="12.75">
      <c r="A1130" s="9">
        <v>43634</v>
      </c>
      <c r="B1130" s="10" t="s">
        <v>2366</v>
      </c>
      <c r="C1130" s="11">
        <v>20000</v>
      </c>
      <c r="D1130" s="12"/>
      <c r="E1130" s="10" t="s">
        <v>55</v>
      </c>
      <c r="F1130" s="10" t="s">
        <v>2363</v>
      </c>
      <c r="G1130" s="13" t="s">
        <v>2364</v>
      </c>
      <c r="H1130" s="14" t="str">
        <f t="array" ref="H1130">IFERROR(INDEX([1]Companies!$G:$G,MATCH(B1130,[1]Companies!$A:$A,0)),"")</f>
        <v>Tanzania</v>
      </c>
      <c r="I1130" s="14" t="str">
        <f t="shared" si="1299"/>
        <v>Tanzania</v>
      </c>
      <c r="J1130" s="14" t="str">
        <f t="array" ref="J1130">IFERROR(INDEX([1]Companies!$Y:$Y,MATCH(B1130,[1]Companies!$A:$A,0)),"")</f>
        <v>Recycling, Waste management</v>
      </c>
      <c r="K1130" s="14" t="str">
        <f t="array" ref="K1130">IFERROR(INDEX([1]Companies!$X:$X,MATCH(B1130,[1]Companies!$A:$A,0)),"")</f>
        <v>Energy &amp; Environment Resources</v>
      </c>
      <c r="L1130" s="14" t="str">
        <f>VLOOKUP(B1130,[1]Companies!$A$1:$C$5243,1,FALSE)</f>
        <v>EcoAct Tanzania</v>
      </c>
      <c r="M1130" s="15">
        <f t="shared" si="1300"/>
        <v>0.9</v>
      </c>
      <c r="N1130" s="10" t="str">
        <f t="shared" si="1301"/>
        <v>43634EcoAct Tanzania20000</v>
      </c>
      <c r="O1130" s="14" t="str">
        <f t="shared" si="1399"/>
        <v/>
      </c>
      <c r="P1130" s="14">
        <f t="shared" si="1400"/>
        <v>1</v>
      </c>
      <c r="Q1130" s="14">
        <f t="array" ref="Q1130">IFERROR(INDEX([1]Companies!$D:$D,MATCH(B1130,[1]Companies!$A:$A,0)),"")</f>
        <v>2015</v>
      </c>
      <c r="R1130" s="17">
        <f t="shared" si="1401"/>
        <v>20000</v>
      </c>
      <c r="S1130" s="14">
        <f>VLOOKUP(I1130,[1]Lookups!$V$3:$Y$197,4,FALSE)</f>
        <v>0</v>
      </c>
      <c r="T1130" s="14" t="str">
        <f>VLOOKUP(E1130,[1]Lookups!$H$3:$I$71,2,FALSE)</f>
        <v>1. Grant</v>
      </c>
      <c r="U1130" s="14" t="e">
        <f>VLOOKUP(K1130,[1]Lookups!$B$3:$C$142,2,FALSE)</f>
        <v>#N/A</v>
      </c>
      <c r="V1130" s="14">
        <f t="shared" si="1230"/>
        <v>2019</v>
      </c>
      <c r="W1130" s="14">
        <f t="shared" si="1231"/>
        <v>6</v>
      </c>
      <c r="X1130" s="14">
        <f>VLOOKUP(W1130,[1]Lookups!$P$3:$S$15,2,FALSE)</f>
        <v>2</v>
      </c>
      <c r="Y1130" s="16">
        <f>VLOOKUP(W1130,[1]Lookups!$P$3:$U$15,3,FALSE)</f>
        <v>1</v>
      </c>
      <c r="Z1130" s="16">
        <f t="shared" si="1232"/>
        <v>1</v>
      </c>
      <c r="AA1130" s="16" t="str">
        <f t="shared" ca="1" si="1457"/>
        <v>Algebra Ventures</v>
      </c>
      <c r="AB1130" s="16">
        <f t="shared" si="1457"/>
        <v>0</v>
      </c>
      <c r="AC1130" s="16">
        <f t="shared" si="1457"/>
        <v>0</v>
      </c>
      <c r="AD1130" s="16">
        <f t="shared" si="1457"/>
        <v>0</v>
      </c>
      <c r="AE1130" s="16">
        <f t="shared" si="1457"/>
        <v>0</v>
      </c>
      <c r="AF1130" s="16">
        <f t="shared" si="1457"/>
        <v>0</v>
      </c>
      <c r="AG1130" s="16">
        <f t="shared" si="1457"/>
        <v>0</v>
      </c>
      <c r="AH1130" s="16">
        <f t="shared" si="1457"/>
        <v>0</v>
      </c>
      <c r="AI1130" s="16">
        <f t="shared" si="1457"/>
        <v>0</v>
      </c>
      <c r="AJ1130" s="16">
        <f t="shared" si="1457"/>
        <v>0</v>
      </c>
      <c r="AK1130" s="16">
        <f t="shared" si="1457"/>
        <v>0</v>
      </c>
      <c r="AL1130" s="16">
        <f t="shared" si="1457"/>
        <v>0</v>
      </c>
      <c r="AM1130" s="16">
        <f t="shared" si="1457"/>
        <v>0</v>
      </c>
      <c r="AN1130" s="16">
        <f t="shared" si="1457"/>
        <v>0</v>
      </c>
      <c r="AO1130" s="16">
        <f t="shared" si="1457"/>
        <v>0</v>
      </c>
      <c r="AP1130" s="10"/>
      <c r="AQ1130" s="10"/>
      <c r="AR1130" s="10"/>
      <c r="AS1130" s="10" t="str">
        <f t="shared" ref="AS1130" ca="1" si="1460">IFERROR(__xludf.DUMMYFUNCTION("split(F968,"","",true,true)"),"Algebra Ventures")</f>
        <v>Algebra Ventures</v>
      </c>
      <c r="AT1130" s="10"/>
      <c r="AU1130" s="10"/>
      <c r="AV1130" s="10"/>
      <c r="AW1130" s="10"/>
      <c r="AX1130" s="10"/>
      <c r="AY1130" s="10"/>
      <c r="AZ1130" s="10"/>
      <c r="BA1130" s="10"/>
      <c r="BB1130" s="10"/>
      <c r="BC1130" s="10"/>
      <c r="BD1130" s="10"/>
      <c r="BE1130" s="10"/>
      <c r="BF1130" s="10"/>
      <c r="BG1130" s="10"/>
      <c r="BH1130" s="10"/>
      <c r="BI1130" s="10"/>
      <c r="BJ1130" s="10"/>
      <c r="BK1130" s="10"/>
      <c r="BM1130" s="10"/>
    </row>
    <row r="1131" spans="1:65" ht="12.75">
      <c r="A1131" s="9">
        <v>43634</v>
      </c>
      <c r="B1131" s="10" t="s">
        <v>2367</v>
      </c>
      <c r="C1131" s="11">
        <v>20000</v>
      </c>
      <c r="D1131" s="12"/>
      <c r="E1131" s="10" t="s">
        <v>55</v>
      </c>
      <c r="F1131" s="10" t="s">
        <v>2363</v>
      </c>
      <c r="G1131" s="13" t="s">
        <v>2364</v>
      </c>
      <c r="H1131" s="14" t="str">
        <f t="array" ref="H1131">IFERROR(INDEX([1]Companies!$G:$G,MATCH(B1131,[1]Companies!$A:$A,0)),"")</f>
        <v>Kenya</v>
      </c>
      <c r="I1131" s="14" t="str">
        <f t="shared" si="1299"/>
        <v>Kenya</v>
      </c>
      <c r="J1131" s="14" t="str">
        <f t="array" ref="J1131">IFERROR(INDEX([1]Companies!$Y:$Y,MATCH(B1131,[1]Companies!$A:$A,0)),"")</f>
        <v>Water access, Environment</v>
      </c>
      <c r="K1131" s="14" t="str">
        <f t="array" ref="K1131">IFERROR(INDEX([1]Companies!$X:$X,MATCH(B1131,[1]Companies!$A:$A,0)),"")</f>
        <v>Resource&amp; Energy</v>
      </c>
      <c r="L1131" s="14" t="str">
        <f>VLOOKUP(B1131,[1]Companies!$A$1:$C$5243,1,FALSE)</f>
        <v>Expressions Global Group</v>
      </c>
      <c r="M1131" s="15">
        <f t="shared" si="1300"/>
        <v>0.9</v>
      </c>
      <c r="N1131" s="10" t="str">
        <f t="shared" si="1301"/>
        <v>43634Expressions Global Group20000</v>
      </c>
      <c r="O1131" s="14" t="str">
        <f t="shared" si="1399"/>
        <v/>
      </c>
      <c r="P1131" s="14">
        <f t="shared" si="1400"/>
        <v>1</v>
      </c>
      <c r="Q1131" s="14">
        <f t="array" ref="Q1131">IFERROR(INDEX([1]Companies!$D:$D,MATCH(B1131,[1]Companies!$A:$A,0)),"")</f>
        <v>2015</v>
      </c>
      <c r="R1131" s="17">
        <f t="shared" si="1401"/>
        <v>20000</v>
      </c>
      <c r="S1131" s="14">
        <f>VLOOKUP(I1131,[1]Lookups!$V$3:$Y$197,4,FALSE)</f>
        <v>0</v>
      </c>
      <c r="T1131" s="14" t="str">
        <f>VLOOKUP(E1131,[1]Lookups!$H$3:$I$71,2,FALSE)</f>
        <v>1. Grant</v>
      </c>
      <c r="U1131" s="14" t="e">
        <f>VLOOKUP(K1131,[1]Lookups!$B$3:$C$142,2,FALSE)</f>
        <v>#N/A</v>
      </c>
      <c r="V1131" s="14">
        <f t="shared" si="1230"/>
        <v>2019</v>
      </c>
      <c r="W1131" s="14">
        <f t="shared" si="1231"/>
        <v>6</v>
      </c>
      <c r="X1131" s="14">
        <f>VLOOKUP(W1131,[1]Lookups!$P$3:$S$15,2,FALSE)</f>
        <v>2</v>
      </c>
      <c r="Y1131" s="16">
        <f>VLOOKUP(W1131,[1]Lookups!$P$3:$U$15,3,FALSE)</f>
        <v>1</v>
      </c>
      <c r="Z1131" s="16">
        <f t="shared" si="1232"/>
        <v>1</v>
      </c>
      <c r="AA1131" s="16" t="str">
        <f t="shared" ca="1" si="1457"/>
        <v>Algebra Ventures</v>
      </c>
      <c r="AB1131" s="16">
        <f t="shared" si="1457"/>
        <v>0</v>
      </c>
      <c r="AC1131" s="16">
        <f t="shared" si="1457"/>
        <v>0</v>
      </c>
      <c r="AD1131" s="16">
        <f t="shared" si="1457"/>
        <v>0</v>
      </c>
      <c r="AE1131" s="16">
        <f t="shared" si="1457"/>
        <v>0</v>
      </c>
      <c r="AF1131" s="16">
        <f t="shared" si="1457"/>
        <v>0</v>
      </c>
      <c r="AG1131" s="16">
        <f t="shared" si="1457"/>
        <v>0</v>
      </c>
      <c r="AH1131" s="16">
        <f t="shared" si="1457"/>
        <v>0</v>
      </c>
      <c r="AI1131" s="16">
        <f t="shared" si="1457"/>
        <v>0</v>
      </c>
      <c r="AJ1131" s="16">
        <f t="shared" si="1457"/>
        <v>0</v>
      </c>
      <c r="AK1131" s="16">
        <f t="shared" si="1457"/>
        <v>0</v>
      </c>
      <c r="AL1131" s="16">
        <f t="shared" si="1457"/>
        <v>0</v>
      </c>
      <c r="AM1131" s="16">
        <f t="shared" si="1457"/>
        <v>0</v>
      </c>
      <c r="AN1131" s="16">
        <f t="shared" si="1457"/>
        <v>0</v>
      </c>
      <c r="AO1131" s="16">
        <f t="shared" si="1457"/>
        <v>0</v>
      </c>
      <c r="AP1131" s="10"/>
      <c r="AQ1131" s="10"/>
      <c r="AR1131" s="10"/>
      <c r="AS1131" s="10" t="str">
        <f t="shared" ref="AS1131" ca="1" si="1461">IFERROR(__xludf.DUMMYFUNCTION("split(F968,"","",true,true)"),"Algebra Ventures")</f>
        <v>Algebra Ventures</v>
      </c>
      <c r="AT1131" s="10"/>
      <c r="AU1131" s="10"/>
      <c r="AV1131" s="10"/>
      <c r="AW1131" s="10"/>
      <c r="AX1131" s="10"/>
      <c r="AY1131" s="10"/>
      <c r="AZ1131" s="10"/>
      <c r="BA1131" s="10"/>
      <c r="BB1131" s="10"/>
      <c r="BC1131" s="10"/>
      <c r="BD1131" s="10"/>
      <c r="BE1131" s="10"/>
      <c r="BF1131" s="10"/>
      <c r="BG1131" s="10"/>
      <c r="BH1131" s="10"/>
      <c r="BI1131" s="10"/>
      <c r="BJ1131" s="10"/>
      <c r="BK1131" s="10"/>
      <c r="BM1131" s="10"/>
    </row>
    <row r="1132" spans="1:65" ht="12.75">
      <c r="A1132" s="9">
        <v>43634</v>
      </c>
      <c r="B1132" s="10" t="s">
        <v>2368</v>
      </c>
      <c r="C1132" s="11">
        <v>20000</v>
      </c>
      <c r="D1132" s="12"/>
      <c r="E1132" s="10" t="s">
        <v>55</v>
      </c>
      <c r="F1132" s="10" t="s">
        <v>2363</v>
      </c>
      <c r="G1132" s="13" t="s">
        <v>2364</v>
      </c>
      <c r="H1132" s="14" t="str">
        <f t="array" ref="H1132">IFERROR(INDEX([1]Companies!$G:$G,MATCH(B1132,[1]Companies!$A:$A,0)),"")</f>
        <v>Uganda</v>
      </c>
      <c r="I1132" s="14" t="str">
        <f t="shared" si="1299"/>
        <v>Uganda</v>
      </c>
      <c r="J1132" s="14" t="str">
        <f t="array" ref="J1132">IFERROR(INDEX([1]Companies!$Y:$Y,MATCH(B1132,[1]Companies!$A:$A,0)),"")</f>
        <v>Healthcare, MicroSavings, Financial Services</v>
      </c>
      <c r="K1132" s="14" t="str">
        <f t="array" ref="K1132">IFERROR(INDEX([1]Companies!$X:$X,MATCH(B1132,[1]Companies!$A:$A,0)),"")</f>
        <v>Financial Services</v>
      </c>
      <c r="L1132" s="14" t="str">
        <f>VLOOKUP(B1132,[1]Companies!$A$1:$C$5243,1,FALSE)</f>
        <v>Clinicpesa</v>
      </c>
      <c r="M1132" s="15">
        <f t="shared" si="1300"/>
        <v>0.9</v>
      </c>
      <c r="N1132" s="10" t="str">
        <f t="shared" si="1301"/>
        <v>43634Clinicpesa20000</v>
      </c>
      <c r="O1132" s="14" t="str">
        <f t="shared" si="1399"/>
        <v/>
      </c>
      <c r="P1132" s="14">
        <f t="shared" si="1400"/>
        <v>1</v>
      </c>
      <c r="Q1132" s="14">
        <f t="array" ref="Q1132">IFERROR(INDEX([1]Companies!$D:$D,MATCH(B1132,[1]Companies!$A:$A,0)),"")</f>
        <v>2016</v>
      </c>
      <c r="R1132" s="17">
        <f t="shared" si="1401"/>
        <v>20000</v>
      </c>
      <c r="S1132" s="14">
        <f>VLOOKUP(I1132,[1]Lookups!$V$3:$Y$197,4,FALSE)</f>
        <v>0</v>
      </c>
      <c r="T1132" s="14" t="str">
        <f>VLOOKUP(E1132,[1]Lookups!$H$3:$I$71,2,FALSE)</f>
        <v>1. Grant</v>
      </c>
      <c r="U1132" s="14" t="str">
        <f>VLOOKUP(K1132,[1]Lookups!$B$3:$C$142,2,FALSE)</f>
        <v>Financial Services</v>
      </c>
      <c r="V1132" s="14">
        <f t="shared" si="1230"/>
        <v>2019</v>
      </c>
      <c r="W1132" s="14">
        <f t="shared" si="1231"/>
        <v>6</v>
      </c>
      <c r="X1132" s="14">
        <f>VLOOKUP(W1132,[1]Lookups!$P$3:$S$15,2,FALSE)</f>
        <v>2</v>
      </c>
      <c r="Y1132" s="16">
        <f>VLOOKUP(W1132,[1]Lookups!$P$3:$U$15,3,FALSE)</f>
        <v>1</v>
      </c>
      <c r="Z1132" s="16">
        <f t="shared" si="1232"/>
        <v>1</v>
      </c>
      <c r="AA1132" s="16" t="str">
        <f t="shared" ca="1" si="1457"/>
        <v>Algebra Ventures</v>
      </c>
      <c r="AB1132" s="16">
        <f t="shared" si="1457"/>
        <v>0</v>
      </c>
      <c r="AC1132" s="16">
        <f t="shared" si="1457"/>
        <v>0</v>
      </c>
      <c r="AD1132" s="16">
        <f t="shared" si="1457"/>
        <v>0</v>
      </c>
      <c r="AE1132" s="16">
        <f t="shared" si="1457"/>
        <v>0</v>
      </c>
      <c r="AF1132" s="16">
        <f t="shared" si="1457"/>
        <v>0</v>
      </c>
      <c r="AG1132" s="16">
        <f t="shared" si="1457"/>
        <v>0</v>
      </c>
      <c r="AH1132" s="16">
        <f t="shared" si="1457"/>
        <v>0</v>
      </c>
      <c r="AI1132" s="16">
        <f t="shared" si="1457"/>
        <v>0</v>
      </c>
      <c r="AJ1132" s="16">
        <f t="shared" si="1457"/>
        <v>0</v>
      </c>
      <c r="AK1132" s="16">
        <f t="shared" si="1457"/>
        <v>0</v>
      </c>
      <c r="AL1132" s="16">
        <f t="shared" si="1457"/>
        <v>0</v>
      </c>
      <c r="AM1132" s="16">
        <f t="shared" si="1457"/>
        <v>0</v>
      </c>
      <c r="AN1132" s="16">
        <f t="shared" si="1457"/>
        <v>0</v>
      </c>
      <c r="AO1132" s="16">
        <f t="shared" si="1457"/>
        <v>0</v>
      </c>
      <c r="AP1132" s="10"/>
      <c r="AQ1132" s="10"/>
      <c r="AR1132" s="10"/>
      <c r="AS1132" s="10" t="str">
        <f t="shared" ref="AS1132" ca="1" si="1462">IFERROR(__xludf.DUMMYFUNCTION("split(F968,"","",true,true)"),"Algebra Ventures")</f>
        <v>Algebra Ventures</v>
      </c>
      <c r="AT1132" s="10"/>
      <c r="AU1132" s="10"/>
      <c r="AV1132" s="10"/>
      <c r="AW1132" s="10"/>
      <c r="AX1132" s="10"/>
      <c r="AY1132" s="10"/>
      <c r="AZ1132" s="10"/>
      <c r="BA1132" s="10"/>
      <c r="BB1132" s="10"/>
      <c r="BC1132" s="10"/>
      <c r="BD1132" s="10"/>
      <c r="BE1132" s="10"/>
      <c r="BF1132" s="10"/>
      <c r="BG1132" s="10"/>
      <c r="BH1132" s="10"/>
      <c r="BI1132" s="10"/>
      <c r="BJ1132" s="10"/>
      <c r="BK1132" s="10"/>
      <c r="BM1132" s="10"/>
    </row>
    <row r="1133" spans="1:65" ht="12.75">
      <c r="A1133" s="9">
        <v>43634</v>
      </c>
      <c r="B1133" s="10" t="s">
        <v>2369</v>
      </c>
      <c r="C1133" s="11">
        <v>20000</v>
      </c>
      <c r="D1133" s="12"/>
      <c r="E1133" s="10" t="s">
        <v>55</v>
      </c>
      <c r="F1133" s="10" t="s">
        <v>2363</v>
      </c>
      <c r="G1133" s="13" t="s">
        <v>2364</v>
      </c>
      <c r="H1133" s="14" t="str">
        <f t="array" ref="H1133">IFERROR(INDEX([1]Companies!$G:$G,MATCH(B1133,[1]Companies!$A:$A,0)),"")</f>
        <v>Tanzania</v>
      </c>
      <c r="I1133" s="14" t="str">
        <f t="shared" si="1299"/>
        <v>Tanzania</v>
      </c>
      <c r="J1133" s="14" t="str">
        <f t="array" ref="J1133">IFERROR(INDEX([1]Companies!$Y:$Y,MATCH(B1133,[1]Companies!$A:$A,0)),"")</f>
        <v>Repair needs</v>
      </c>
      <c r="K1133" s="14" t="str">
        <f t="array" ref="K1133">IFERROR(INDEX([1]Companies!$X:$X,MATCH(B1133,[1]Companies!$A:$A,0)),"")</f>
        <v>Information Technology</v>
      </c>
      <c r="L1133" s="14" t="str">
        <f>VLOOKUP(B1133,[1]Companies!$A$1:$C$5243,1,FALSE)</f>
        <v>FixChap</v>
      </c>
      <c r="M1133" s="15">
        <f t="shared" si="1300"/>
        <v>0.9</v>
      </c>
      <c r="N1133" s="10" t="str">
        <f t="shared" si="1301"/>
        <v>43634FixChap20000</v>
      </c>
      <c r="O1133" s="14" t="str">
        <f t="shared" si="1399"/>
        <v/>
      </c>
      <c r="P1133" s="14">
        <f t="shared" si="1400"/>
        <v>1</v>
      </c>
      <c r="Q1133" s="14">
        <f t="array" ref="Q1133">IFERROR(INDEX([1]Companies!$D:$D,MATCH(B1133,[1]Companies!$A:$A,0)),"")</f>
        <v>2017</v>
      </c>
      <c r="R1133" s="17">
        <f t="shared" si="1401"/>
        <v>20000</v>
      </c>
      <c r="S1133" s="14">
        <f>VLOOKUP(I1133,[1]Lookups!$V$3:$Y$197,4,FALSE)</f>
        <v>0</v>
      </c>
      <c r="T1133" s="14" t="str">
        <f>VLOOKUP(E1133,[1]Lookups!$H$3:$I$71,2,FALSE)</f>
        <v>1. Grant</v>
      </c>
      <c r="U1133" s="14" t="str">
        <f>VLOOKUP(K1133,[1]Lookups!$B$3:$C$142,2,FALSE)</f>
        <v>Other Technologies &amp; Information Technology</v>
      </c>
      <c r="V1133" s="14">
        <f t="shared" si="1230"/>
        <v>2019</v>
      </c>
      <c r="W1133" s="14">
        <f t="shared" si="1231"/>
        <v>6</v>
      </c>
      <c r="X1133" s="14">
        <f>VLOOKUP(W1133,[1]Lookups!$P$3:$S$15,2,FALSE)</f>
        <v>2</v>
      </c>
      <c r="Y1133" s="16">
        <f>VLOOKUP(W1133,[1]Lookups!$P$3:$U$15,3,FALSE)</f>
        <v>1</v>
      </c>
      <c r="Z1133" s="16">
        <f t="shared" si="1232"/>
        <v>1</v>
      </c>
      <c r="AA1133" s="16" t="str">
        <f t="shared" ca="1" si="1457"/>
        <v>Algebra Ventures</v>
      </c>
      <c r="AB1133" s="16">
        <f t="shared" si="1457"/>
        <v>0</v>
      </c>
      <c r="AC1133" s="16">
        <f t="shared" si="1457"/>
        <v>0</v>
      </c>
      <c r="AD1133" s="16">
        <f t="shared" si="1457"/>
        <v>0</v>
      </c>
      <c r="AE1133" s="16">
        <f t="shared" si="1457"/>
        <v>0</v>
      </c>
      <c r="AF1133" s="16">
        <f t="shared" si="1457"/>
        <v>0</v>
      </c>
      <c r="AG1133" s="16">
        <f t="shared" si="1457"/>
        <v>0</v>
      </c>
      <c r="AH1133" s="16">
        <f t="shared" si="1457"/>
        <v>0</v>
      </c>
      <c r="AI1133" s="16">
        <f t="shared" si="1457"/>
        <v>0</v>
      </c>
      <c r="AJ1133" s="16">
        <f t="shared" si="1457"/>
        <v>0</v>
      </c>
      <c r="AK1133" s="16">
        <f t="shared" si="1457"/>
        <v>0</v>
      </c>
      <c r="AL1133" s="16">
        <f t="shared" si="1457"/>
        <v>0</v>
      </c>
      <c r="AM1133" s="16">
        <f t="shared" si="1457"/>
        <v>0</v>
      </c>
      <c r="AN1133" s="16">
        <f t="shared" si="1457"/>
        <v>0</v>
      </c>
      <c r="AO1133" s="16">
        <f t="shared" si="1457"/>
        <v>0</v>
      </c>
      <c r="AP1133" s="10"/>
      <c r="AQ1133" s="10"/>
      <c r="AR1133" s="10"/>
      <c r="AS1133" s="10" t="str">
        <f t="shared" ref="AS1133" ca="1" si="1463">IFERROR(__xludf.DUMMYFUNCTION("split(F968,"","",true,true)"),"Algebra Ventures")</f>
        <v>Algebra Ventures</v>
      </c>
      <c r="AT1133" s="10"/>
      <c r="AU1133" s="10"/>
      <c r="AV1133" s="10"/>
      <c r="AW1133" s="10"/>
      <c r="AX1133" s="10"/>
      <c r="AY1133" s="10"/>
      <c r="AZ1133" s="10"/>
      <c r="BA1133" s="10"/>
      <c r="BB1133" s="10"/>
      <c r="BC1133" s="10"/>
      <c r="BD1133" s="10"/>
      <c r="BE1133" s="10"/>
      <c r="BF1133" s="10"/>
      <c r="BG1133" s="10"/>
      <c r="BH1133" s="10"/>
      <c r="BI1133" s="10"/>
      <c r="BJ1133" s="10"/>
      <c r="BK1133" s="10"/>
      <c r="BM1133" s="10"/>
    </row>
    <row r="1134" spans="1:65" ht="12.75">
      <c r="A1134" s="9">
        <v>43635</v>
      </c>
      <c r="B1134" s="10" t="s">
        <v>2355</v>
      </c>
      <c r="C1134" s="11" t="s">
        <v>49</v>
      </c>
      <c r="D1134" s="12"/>
      <c r="E1134" s="10" t="s">
        <v>45</v>
      </c>
      <c r="F1134" s="10" t="s">
        <v>226</v>
      </c>
      <c r="G1134" s="13" t="s">
        <v>2370</v>
      </c>
      <c r="H1134" s="14" t="str">
        <f t="array" ref="H1134">IFERROR(INDEX([1]Companies!$G:$G,MATCH(B1134,[1]Companies!$A:$A,0)),"")</f>
        <v>Egypt</v>
      </c>
      <c r="I1134" s="14" t="str">
        <f t="shared" si="1299"/>
        <v>Egypt</v>
      </c>
      <c r="J1134" s="14" t="str">
        <f t="array" ref="J1134">IFERROR(INDEX([1]Companies!$Y:$Y,MATCH(B1134,[1]Companies!$A:$A,0)),"")</f>
        <v>Fantasy Sports</v>
      </c>
      <c r="K1134" s="14" t="str">
        <f t="array" ref="K1134">IFERROR(INDEX([1]Companies!$X:$X,MATCH(B1134,[1]Companies!$A:$A,0)),"")</f>
        <v>Media/ Entertainment</v>
      </c>
      <c r="L1134" s="14" t="str">
        <f>VLOOKUP(B1134,[1]Companies!$A$1:$C$5243,1,FALSE)</f>
        <v>Eksab</v>
      </c>
      <c r="M1134" s="15">
        <f t="shared" si="1300"/>
        <v>0.9</v>
      </c>
      <c r="N1134" s="10" t="str">
        <f t="shared" si="1301"/>
        <v>43635EksabUndisclosed</v>
      </c>
      <c r="O1134" s="14" t="str">
        <f t="shared" si="1399"/>
        <v/>
      </c>
      <c r="P1134" s="14">
        <f t="shared" si="1400"/>
        <v>0</v>
      </c>
      <c r="Q1134" s="14">
        <f t="array" ref="Q1134">IFERROR(INDEX([1]Companies!$D:$D,MATCH(B1134,[1]Companies!$A:$A,0)),"")</f>
        <v>2017</v>
      </c>
      <c r="R1134" s="17">
        <f t="shared" si="1401"/>
        <v>0</v>
      </c>
      <c r="S1134" s="14">
        <f>VLOOKUP(I1134,[1]Lookups!$V$3:$Y$197,4,FALSE)</f>
        <v>0</v>
      </c>
      <c r="T1134" s="14" t="str">
        <f>VLOOKUP(E1134,[1]Lookups!$H$3:$I$71,2,FALSE)</f>
        <v>2. Seed</v>
      </c>
      <c r="U1134" s="14" t="str">
        <f>VLOOKUP(K1134,[1]Lookups!$B$3:$C$142,2,FALSE)</f>
        <v>Media &amp; Entertainment</v>
      </c>
      <c r="V1134" s="14">
        <f t="shared" si="1230"/>
        <v>2019</v>
      </c>
      <c r="W1134" s="14">
        <f t="shared" si="1231"/>
        <v>6</v>
      </c>
      <c r="X1134" s="14">
        <f>VLOOKUP(W1134,[1]Lookups!$P$3:$S$15,2,FALSE)</f>
        <v>2</v>
      </c>
      <c r="Y1134" s="16">
        <f>VLOOKUP(W1134,[1]Lookups!$P$3:$U$15,3,FALSE)</f>
        <v>1</v>
      </c>
      <c r="Z1134" s="16">
        <f t="shared" si="1232"/>
        <v>1</v>
      </c>
      <c r="AA1134" s="16" t="str">
        <f t="shared" ca="1" si="1457"/>
        <v>Algebra Ventures</v>
      </c>
      <c r="AB1134" s="16">
        <f t="shared" si="1457"/>
        <v>0</v>
      </c>
      <c r="AC1134" s="16">
        <f t="shared" si="1457"/>
        <v>0</v>
      </c>
      <c r="AD1134" s="16">
        <f t="shared" si="1457"/>
        <v>0</v>
      </c>
      <c r="AE1134" s="16">
        <f t="shared" si="1457"/>
        <v>0</v>
      </c>
      <c r="AF1134" s="16">
        <f t="shared" si="1457"/>
        <v>0</v>
      </c>
      <c r="AG1134" s="16">
        <f t="shared" si="1457"/>
        <v>0</v>
      </c>
      <c r="AH1134" s="16">
        <f t="shared" si="1457"/>
        <v>0</v>
      </c>
      <c r="AI1134" s="16">
        <f t="shared" si="1457"/>
        <v>0</v>
      </c>
      <c r="AJ1134" s="16">
        <f t="shared" si="1457"/>
        <v>0</v>
      </c>
      <c r="AK1134" s="16">
        <f t="shared" si="1457"/>
        <v>0</v>
      </c>
      <c r="AL1134" s="16">
        <f t="shared" si="1457"/>
        <v>0</v>
      </c>
      <c r="AM1134" s="16">
        <f t="shared" si="1457"/>
        <v>0</v>
      </c>
      <c r="AN1134" s="16">
        <f t="shared" si="1457"/>
        <v>0</v>
      </c>
      <c r="AO1134" s="16">
        <f t="shared" si="1457"/>
        <v>0</v>
      </c>
      <c r="AP1134" s="10"/>
      <c r="AQ1134" s="10"/>
      <c r="AR1134" s="10"/>
      <c r="AS1134" s="10" t="str">
        <f t="shared" ref="AS1134" ca="1" si="1464">IFERROR(__xludf.DUMMYFUNCTION("split(F968,"","",true,true)"),"Algebra Ventures")</f>
        <v>Algebra Ventures</v>
      </c>
      <c r="AT1134" s="10"/>
      <c r="AU1134" s="10"/>
      <c r="AV1134" s="10"/>
      <c r="AW1134" s="10"/>
      <c r="AX1134" s="10"/>
      <c r="AY1134" s="10"/>
      <c r="AZ1134" s="10"/>
      <c r="BA1134" s="10"/>
      <c r="BB1134" s="10"/>
      <c r="BC1134" s="10"/>
      <c r="BD1134" s="10"/>
      <c r="BE1134" s="10"/>
      <c r="BF1134" s="10"/>
      <c r="BG1134" s="10"/>
      <c r="BH1134" s="10"/>
      <c r="BI1134" s="10"/>
      <c r="BJ1134" s="10"/>
      <c r="BK1134" s="10"/>
      <c r="BM1134" s="10"/>
    </row>
    <row r="1135" spans="1:65" ht="12.75">
      <c r="A1135" s="9">
        <v>43636</v>
      </c>
      <c r="B1135" s="10" t="s">
        <v>2371</v>
      </c>
      <c r="C1135" s="11">
        <v>42000000</v>
      </c>
      <c r="D1135" s="12"/>
      <c r="E1135" s="10" t="s">
        <v>84</v>
      </c>
      <c r="F1135" s="10" t="s">
        <v>2372</v>
      </c>
      <c r="G1135" s="13" t="s">
        <v>2373</v>
      </c>
      <c r="H1135" s="14" t="str">
        <f t="array" ref="H1135">IFERROR(INDEX([1]Companies!$G:$G,MATCH(B1135,[1]Companies!$A:$A,0)),"")</f>
        <v>Egypt</v>
      </c>
      <c r="I1135" s="14" t="str">
        <f t="shared" si="1299"/>
        <v>Egypt</v>
      </c>
      <c r="J1135" s="14" t="str">
        <f t="array" ref="J1135">IFERROR(INDEX([1]Companies!$Y:$Y,MATCH(B1135,[1]Companies!$A:$A,0)),"")</f>
        <v>Internet, Mobile Apps, Transportation, Travel, Ride hailing</v>
      </c>
      <c r="K1135" s="14" t="str">
        <f t="array" ref="K1135">IFERROR(INDEX([1]Companies!$X:$X,MATCH(B1135,[1]Companies!$A:$A,0)),"")</f>
        <v>Transport &amp; Logistics</v>
      </c>
      <c r="L1135" s="14" t="str">
        <f>VLOOKUP(B1135,[1]Companies!$A$1:$C$5243,1,FALSE)</f>
        <v>Swvl</v>
      </c>
      <c r="M1135" s="15">
        <f t="shared" si="1300"/>
        <v>0.9</v>
      </c>
      <c r="N1135" s="10" t="str">
        <f t="shared" si="1301"/>
        <v>43636Swvl42000000</v>
      </c>
      <c r="O1135" s="14" t="str">
        <f t="shared" si="1399"/>
        <v/>
      </c>
      <c r="P1135" s="14">
        <f t="shared" si="1400"/>
        <v>1</v>
      </c>
      <c r="Q1135" s="14">
        <f t="array" ref="Q1135">IFERROR(INDEX([1]Companies!$D:$D,MATCH(B1135,[1]Companies!$A:$A,0)),"")</f>
        <v>2017</v>
      </c>
      <c r="R1135" s="17">
        <f t="shared" si="1401"/>
        <v>80500000</v>
      </c>
      <c r="S1135" s="14">
        <f>VLOOKUP(I1135,[1]Lookups!$V$3:$Y$197,4,FALSE)</f>
        <v>0</v>
      </c>
      <c r="T1135" s="14" t="str">
        <f>VLOOKUP(E1135,[1]Lookups!$H$3:$I$71,2,FALSE)</f>
        <v>4. Late Venture</v>
      </c>
      <c r="U1135" s="14" t="str">
        <f>VLOOKUP(K1135,[1]Lookups!$B$3:$C$142,2,FALSE)</f>
        <v>Transport &amp; Logistics</v>
      </c>
      <c r="V1135" s="14">
        <f t="shared" si="1230"/>
        <v>2019</v>
      </c>
      <c r="W1135" s="14">
        <f t="shared" si="1231"/>
        <v>6</v>
      </c>
      <c r="X1135" s="14">
        <f>VLOOKUP(W1135,[1]Lookups!$P$3:$S$15,2,FALSE)</f>
        <v>2</v>
      </c>
      <c r="Y1135" s="16">
        <f>VLOOKUP(W1135,[1]Lookups!$P$3:$U$15,3,FALSE)</f>
        <v>1</v>
      </c>
      <c r="Z1135" s="16">
        <f t="shared" si="1232"/>
        <v>6</v>
      </c>
      <c r="AA1135" s="16" t="str">
        <f t="shared" ca="1" si="1457"/>
        <v>Algebra Ventures</v>
      </c>
      <c r="AB1135" s="16" t="str">
        <f t="shared" ca="1" si="1457"/>
        <v xml:space="preserve"> BECO Capital</v>
      </c>
      <c r="AC1135" s="16" t="str">
        <f t="shared" ca="1" si="1457"/>
        <v xml:space="preserve"> Endeavor Catalyst</v>
      </c>
      <c r="AD1135" s="16" t="str">
        <f t="shared" ca="1" si="1457"/>
        <v xml:space="preserve"> OTF Jasoor Venture</v>
      </c>
      <c r="AE1135" s="16" t="str">
        <f t="shared" ca="1" si="1457"/>
        <v xml:space="preserve"> Sawari Ventures</v>
      </c>
      <c r="AF1135" s="16" t="str">
        <f t="shared" ca="1" si="1457"/>
        <v xml:space="preserve"> DASH Ventures</v>
      </c>
      <c r="AG1135" s="16">
        <f t="shared" si="1457"/>
        <v>0</v>
      </c>
      <c r="AH1135" s="16">
        <f t="shared" si="1457"/>
        <v>0</v>
      </c>
      <c r="AI1135" s="16">
        <f t="shared" si="1457"/>
        <v>0</v>
      </c>
      <c r="AJ1135" s="16">
        <f t="shared" si="1457"/>
        <v>0</v>
      </c>
      <c r="AK1135" s="16">
        <f t="shared" si="1457"/>
        <v>0</v>
      </c>
      <c r="AL1135" s="16">
        <f t="shared" si="1457"/>
        <v>0</v>
      </c>
      <c r="AM1135" s="16">
        <f t="shared" si="1457"/>
        <v>0</v>
      </c>
      <c r="AN1135" s="16">
        <f t="shared" si="1457"/>
        <v>0</v>
      </c>
      <c r="AO1135" s="16">
        <f t="shared" si="1457"/>
        <v>0</v>
      </c>
      <c r="AP1135" s="10"/>
      <c r="AQ1135" s="10"/>
      <c r="AR1135" s="10"/>
      <c r="AS1135" s="10" t="str">
        <f t="shared" ref="AS1135" ca="1" si="1465">IFERROR(__xludf.DUMMYFUNCTION("split(F968,"","",true,true)"),"Algebra Ventures")</f>
        <v>Algebra Ventures</v>
      </c>
      <c r="AT1135" s="10" t="str">
        <f ca="1">IFERROR(__xludf.DUMMYFUNCTION("""COMPUTED_VALUE""")," BECO Capital")</f>
        <v xml:space="preserve"> BECO Capital</v>
      </c>
      <c r="AU1135" s="10" t="str">
        <f ca="1">IFERROR(__xludf.DUMMYFUNCTION("""COMPUTED_VALUE""")," Endeavor Catalyst")</f>
        <v xml:space="preserve"> Endeavor Catalyst</v>
      </c>
      <c r="AV1135" s="10" t="str">
        <f ca="1">IFERROR(__xludf.DUMMYFUNCTION("""COMPUTED_VALUE""")," OTF Jasoor Venture")</f>
        <v xml:space="preserve"> OTF Jasoor Venture</v>
      </c>
      <c r="AW1135" s="10" t="str">
        <f ca="1">IFERROR(__xludf.DUMMYFUNCTION("""COMPUTED_VALUE""")," Sawari Ventures")</f>
        <v xml:space="preserve"> Sawari Ventures</v>
      </c>
      <c r="AX1135" s="10" t="str">
        <f ca="1">IFERROR(__xludf.DUMMYFUNCTION("""COMPUTED_VALUE""")," DASH Ventures")</f>
        <v xml:space="preserve"> DASH Ventures</v>
      </c>
      <c r="AY1135" s="10"/>
      <c r="AZ1135" s="10"/>
      <c r="BA1135" s="10"/>
      <c r="BB1135" s="10"/>
      <c r="BC1135" s="10"/>
      <c r="BD1135" s="10"/>
      <c r="BE1135" s="10"/>
      <c r="BF1135" s="10"/>
      <c r="BG1135" s="10"/>
      <c r="BH1135" s="10"/>
      <c r="BI1135" s="10"/>
      <c r="BJ1135" s="10"/>
      <c r="BK1135" s="10"/>
      <c r="BM1135" s="10"/>
    </row>
    <row r="1136" spans="1:65" ht="12.75">
      <c r="A1136" s="9">
        <v>43636</v>
      </c>
      <c r="B1136" s="10" t="s">
        <v>278</v>
      </c>
      <c r="C1136" s="11">
        <v>2100000</v>
      </c>
      <c r="D1136" s="12"/>
      <c r="E1136" s="10" t="s">
        <v>112</v>
      </c>
      <c r="F1136" s="10" t="s">
        <v>2374</v>
      </c>
      <c r="G1136" s="13" t="s">
        <v>2375</v>
      </c>
      <c r="H1136" s="14" t="str">
        <f t="array" ref="H1136">IFERROR(INDEX([1]Companies!$G:$G,MATCH(B1136,[1]Companies!$A:$A,0)),"")</f>
        <v>South Africa</v>
      </c>
      <c r="I1136" s="14" t="str">
        <f t="shared" si="1299"/>
        <v>South Africa</v>
      </c>
      <c r="J1136" s="14" t="str">
        <f t="array" ref="J1136">IFERROR(INDEX([1]Companies!$Y:$Y,MATCH(B1136,[1]Companies!$A:$A,0)),"")</f>
        <v>Home Improvement, Home Services, Internet</v>
      </c>
      <c r="K1136" s="14" t="str">
        <f t="array" ref="K1136">IFERROR(INDEX([1]Companies!$X:$X,MATCH(B1136,[1]Companies!$A:$A,0)),"")</f>
        <v>Commercial &amp; Professional Services</v>
      </c>
      <c r="L1136" s="14" t="str">
        <f>VLOOKUP(B1136,[1]Companies!$A$1:$C$5243,1,FALSE)</f>
        <v>Sweepsouth</v>
      </c>
      <c r="M1136" s="15">
        <f t="shared" si="1300"/>
        <v>0.9</v>
      </c>
      <c r="N1136" s="10" t="str">
        <f t="shared" si="1301"/>
        <v>43636Sweepsouth2100000</v>
      </c>
      <c r="O1136" s="14" t="str">
        <f t="shared" si="1399"/>
        <v/>
      </c>
      <c r="P1136" s="14">
        <f t="shared" si="1400"/>
        <v>1</v>
      </c>
      <c r="Q1136" s="14">
        <f t="array" ref="Q1136">IFERROR(INDEX([1]Companies!$D:$D,MATCH(B1136,[1]Companies!$A:$A,0)),"")</f>
        <v>2014</v>
      </c>
      <c r="R1136" s="17">
        <f t="shared" si="1401"/>
        <v>2700000</v>
      </c>
      <c r="S1136" s="14">
        <f>VLOOKUP(I1136,[1]Lookups!$V$3:$Y$197,4,FALSE)</f>
        <v>0</v>
      </c>
      <c r="T1136" s="14" t="str">
        <f>VLOOKUP(E1136,[1]Lookups!$H$3:$I$71,2,FALSE)</f>
        <v>3. Early Venture</v>
      </c>
      <c r="U1136" s="14" t="str">
        <f>VLOOKUP(K1136,[1]Lookups!$B$3:$C$142,2,FALSE)</f>
        <v>Other Technologies &amp; Information Technology</v>
      </c>
      <c r="V1136" s="14">
        <f t="shared" si="1230"/>
        <v>2019</v>
      </c>
      <c r="W1136" s="14">
        <f t="shared" si="1231"/>
        <v>6</v>
      </c>
      <c r="X1136" s="14">
        <f>VLOOKUP(W1136,[1]Lookups!$P$3:$S$15,2,FALSE)</f>
        <v>2</v>
      </c>
      <c r="Y1136" s="16">
        <f>VLOOKUP(W1136,[1]Lookups!$P$3:$U$15,3,FALSE)</f>
        <v>1</v>
      </c>
      <c r="Z1136" s="16">
        <f t="shared" si="1232"/>
        <v>1</v>
      </c>
      <c r="AA1136" s="16" t="str">
        <f t="shared" ca="1" si="1457"/>
        <v>Algebra Ventures</v>
      </c>
      <c r="AB1136" s="16">
        <f t="shared" si="1457"/>
        <v>0</v>
      </c>
      <c r="AC1136" s="16">
        <f t="shared" si="1457"/>
        <v>0</v>
      </c>
      <c r="AD1136" s="16">
        <f t="shared" si="1457"/>
        <v>0</v>
      </c>
      <c r="AE1136" s="16">
        <f t="shared" si="1457"/>
        <v>0</v>
      </c>
      <c r="AF1136" s="16">
        <f t="shared" si="1457"/>
        <v>0</v>
      </c>
      <c r="AG1136" s="16">
        <f t="shared" si="1457"/>
        <v>0</v>
      </c>
      <c r="AH1136" s="16">
        <f t="shared" si="1457"/>
        <v>0</v>
      </c>
      <c r="AI1136" s="16">
        <f t="shared" si="1457"/>
        <v>0</v>
      </c>
      <c r="AJ1136" s="16">
        <f t="shared" si="1457"/>
        <v>0</v>
      </c>
      <c r="AK1136" s="16">
        <f t="shared" si="1457"/>
        <v>0</v>
      </c>
      <c r="AL1136" s="16">
        <f t="shared" si="1457"/>
        <v>0</v>
      </c>
      <c r="AM1136" s="16">
        <f t="shared" si="1457"/>
        <v>0</v>
      </c>
      <c r="AN1136" s="16">
        <f t="shared" si="1457"/>
        <v>0</v>
      </c>
      <c r="AO1136" s="16">
        <f t="shared" si="1457"/>
        <v>0</v>
      </c>
      <c r="AP1136" s="10"/>
      <c r="AQ1136" s="10"/>
      <c r="AR1136" s="10"/>
      <c r="AS1136" s="10" t="str">
        <f t="shared" ref="AS1136" ca="1" si="1466">IFERROR(__xludf.DUMMYFUNCTION("split(F968,"","",true,true)"),"Algebra Ventures")</f>
        <v>Algebra Ventures</v>
      </c>
      <c r="AT1136" s="10"/>
      <c r="AU1136" s="10"/>
      <c r="AV1136" s="10"/>
      <c r="AW1136" s="10"/>
      <c r="AX1136" s="10"/>
      <c r="AY1136" s="10"/>
      <c r="AZ1136" s="10"/>
      <c r="BA1136" s="10"/>
      <c r="BB1136" s="10"/>
      <c r="BC1136" s="10"/>
      <c r="BD1136" s="10"/>
      <c r="BE1136" s="10"/>
      <c r="BF1136" s="10"/>
      <c r="BG1136" s="10"/>
      <c r="BH1136" s="10"/>
      <c r="BI1136" s="10"/>
      <c r="BJ1136" s="10"/>
      <c r="BK1136" s="10"/>
      <c r="BM1136" s="10"/>
    </row>
    <row r="1137" spans="1:65" ht="12.75">
      <c r="A1137" s="18">
        <v>43636</v>
      </c>
      <c r="B1137" s="14" t="s">
        <v>1269</v>
      </c>
      <c r="C1137" s="19">
        <v>1060000</v>
      </c>
      <c r="D1137" s="19"/>
      <c r="E1137" s="14" t="s">
        <v>45</v>
      </c>
      <c r="F1137" s="14" t="s">
        <v>2376</v>
      </c>
      <c r="G1137" s="21" t="s">
        <v>2377</v>
      </c>
      <c r="H1137" s="14" t="str">
        <f t="array" ref="H1137">IFERROR(INDEX([1]Companies!$G:$G,MATCH(B1137,[1]Companies!$A:$A,0)),"")</f>
        <v>Nigeria</v>
      </c>
      <c r="I1137" s="14" t="str">
        <f t="shared" si="1299"/>
        <v>Nigeria</v>
      </c>
      <c r="J1137" s="14" t="str">
        <f t="array" ref="J1137">IFERROR(INDEX([1]Companies!$Y:$Y,MATCH(B1137,[1]Companies!$A:$A,0)),"")</f>
        <v>Medical Equipment, Medical Equipment Maintenance &amp; Repair, Training, Medical Equipment Financing, Economic Development, Shipping and Logistics, Biomedical Training, Medical Diagnostics, and Primary Care</v>
      </c>
      <c r="K1137" s="14" t="str">
        <f t="array" ref="K1137">IFERROR(INDEX([1]Companies!$X:$X,MATCH(B1137,[1]Companies!$A:$A,0)),"")</f>
        <v>Healthcare &amp; Pharma</v>
      </c>
      <c r="L1137" s="14" t="str">
        <f>VLOOKUP(B1137,[1]Companies!$A$1:$C$5243,1,FALSE)</f>
        <v>Mdaas Global</v>
      </c>
      <c r="M1137" s="15">
        <f t="shared" si="1300"/>
        <v>0.9</v>
      </c>
      <c r="N1137" s="10" t="str">
        <f t="shared" si="1301"/>
        <v>43636MDaas Global1060000</v>
      </c>
      <c r="O1137" s="14" t="str">
        <f t="shared" si="1399"/>
        <v/>
      </c>
      <c r="P1137" s="14">
        <f t="shared" si="1400"/>
        <v>1</v>
      </c>
      <c r="Q1137" s="14">
        <f t="array" ref="Q1137">IFERROR(INDEX([1]Companies!$D:$D,MATCH(B1137,[1]Companies!$A:$A,0)),"")</f>
        <v>2016</v>
      </c>
      <c r="R1137" s="17">
        <f t="shared" si="1401"/>
        <v>1280000</v>
      </c>
      <c r="S1137" s="14">
        <f>VLOOKUP(I1137,[1]Lookups!$V$3:$Y$197,4,FALSE)</f>
        <v>0</v>
      </c>
      <c r="T1137" s="14" t="str">
        <f>VLOOKUP(E1137,[1]Lookups!$H$3:$I$71,2,FALSE)</f>
        <v>2. Seed</v>
      </c>
      <c r="U1137" s="14" t="str">
        <f>VLOOKUP(K1137,[1]Lookups!$B$3:$C$142,2,FALSE)</f>
        <v>Health &amp; Pharmaceuticals</v>
      </c>
      <c r="V1137" s="14">
        <f t="shared" si="1230"/>
        <v>2019</v>
      </c>
      <c r="W1137" s="14">
        <f t="shared" si="1231"/>
        <v>6</v>
      </c>
      <c r="X1137" s="14">
        <f>VLOOKUP(W1137,[1]Lookups!$P$3:$S$15,2,FALSE)</f>
        <v>2</v>
      </c>
      <c r="Y1137" s="16">
        <f>VLOOKUP(W1137,[1]Lookups!$P$3:$U$15,3,FALSE)</f>
        <v>1</v>
      </c>
      <c r="Z1137" s="16">
        <f t="shared" si="1232"/>
        <v>4</v>
      </c>
      <c r="AA1137" s="16" t="str">
        <f t="shared" ca="1" si="1457"/>
        <v>Algebra Ventures</v>
      </c>
      <c r="AB1137" s="16" t="str">
        <f t="shared" ca="1" si="1457"/>
        <v xml:space="preserve"> Techstars</v>
      </c>
      <c r="AC1137" s="16" t="str">
        <f t="shared" ca="1" si="1457"/>
        <v xml:space="preserve"> Finca Ventures</v>
      </c>
      <c r="AD1137" s="16" t="str">
        <f t="shared" ca="1" si="1457"/>
        <v xml:space="preserve"> Greetree Investment Company</v>
      </c>
      <c r="AE1137" s="16">
        <f t="shared" si="1457"/>
        <v>0</v>
      </c>
      <c r="AF1137" s="16">
        <f t="shared" si="1457"/>
        <v>0</v>
      </c>
      <c r="AG1137" s="16">
        <f t="shared" si="1457"/>
        <v>0</v>
      </c>
      <c r="AH1137" s="16">
        <f t="shared" si="1457"/>
        <v>0</v>
      </c>
      <c r="AI1137" s="16">
        <f t="shared" si="1457"/>
        <v>0</v>
      </c>
      <c r="AJ1137" s="16">
        <f t="shared" si="1457"/>
        <v>0</v>
      </c>
      <c r="AK1137" s="16">
        <f t="shared" si="1457"/>
        <v>0</v>
      </c>
      <c r="AL1137" s="16">
        <f t="shared" si="1457"/>
        <v>0</v>
      </c>
      <c r="AM1137" s="16">
        <f t="shared" si="1457"/>
        <v>0</v>
      </c>
      <c r="AN1137" s="16">
        <f t="shared" si="1457"/>
        <v>0</v>
      </c>
      <c r="AO1137" s="16">
        <f t="shared" si="1457"/>
        <v>0</v>
      </c>
      <c r="AP1137" s="10"/>
      <c r="AQ1137" s="10"/>
      <c r="AR1137" s="10"/>
      <c r="AS1137" s="10" t="str">
        <f t="shared" ref="AS1137" ca="1" si="1467">IFERROR(__xludf.DUMMYFUNCTION("split(F968,"","",true,true)"),"Algebra Ventures")</f>
        <v>Algebra Ventures</v>
      </c>
      <c r="AT1137" s="10" t="str">
        <f ca="1">IFERROR(__xludf.DUMMYFUNCTION("""COMPUTED_VALUE""")," Techstars")</f>
        <v xml:space="preserve"> Techstars</v>
      </c>
      <c r="AU1137" s="10" t="str">
        <f ca="1">IFERROR(__xludf.DUMMYFUNCTION("""COMPUTED_VALUE""")," Finca Ventures")</f>
        <v xml:space="preserve"> Finca Ventures</v>
      </c>
      <c r="AV1137" s="10" t="str">
        <f ca="1">IFERROR(__xludf.DUMMYFUNCTION("""COMPUTED_VALUE""")," Greetree Investment Company")</f>
        <v xml:space="preserve"> Greetree Investment Company</v>
      </c>
      <c r="AW1137" s="10"/>
      <c r="AX1137" s="10"/>
      <c r="AY1137" s="10"/>
      <c r="AZ1137" s="10"/>
      <c r="BA1137" s="10"/>
      <c r="BB1137" s="10"/>
      <c r="BC1137" s="10"/>
      <c r="BD1137" s="10"/>
      <c r="BE1137" s="10"/>
      <c r="BF1137" s="10"/>
      <c r="BG1137" s="10"/>
      <c r="BH1137" s="10"/>
      <c r="BI1137" s="10"/>
      <c r="BJ1137" s="10"/>
      <c r="BK1137" s="10"/>
      <c r="BM1137" s="10"/>
    </row>
    <row r="1138" spans="1:65" ht="12.75">
      <c r="A1138" s="9">
        <v>43636</v>
      </c>
      <c r="B1138" s="10" t="s">
        <v>2378</v>
      </c>
      <c r="C1138" s="11">
        <v>50000</v>
      </c>
      <c r="D1138" s="12"/>
      <c r="E1138" s="10" t="s">
        <v>55</v>
      </c>
      <c r="F1138" s="10" t="s">
        <v>2379</v>
      </c>
      <c r="G1138" s="13" t="s">
        <v>2380</v>
      </c>
      <c r="H1138" s="14" t="str">
        <f t="array" ref="H1138">IFERROR(INDEX([1]Companies!$G:$G,MATCH(B1138,[1]Companies!$A:$A,0)),"")</f>
        <v>Egypt</v>
      </c>
      <c r="I1138" s="14" t="str">
        <f t="shared" si="1299"/>
        <v>Egypt</v>
      </c>
      <c r="J1138" s="14" t="str">
        <f t="array" ref="J1138">IFERROR(INDEX([1]Companies!$Y:$Y,MATCH(B1138,[1]Companies!$A:$A,0)),"")</f>
        <v>E-Commerce</v>
      </c>
      <c r="K1138" s="14" t="str">
        <f t="array" ref="K1138">IFERROR(INDEX([1]Companies!$X:$X,MATCH(B1138,[1]Companies!$A:$A,0)),"")</f>
        <v>Financial Services</v>
      </c>
      <c r="L1138" s="14" t="str">
        <f>VLOOKUP(B1138,[1]Companies!$A$1:$C$5243,1,FALSE)</f>
        <v>PayNas</v>
      </c>
      <c r="M1138" s="15">
        <f t="shared" si="1300"/>
        <v>0.9</v>
      </c>
      <c r="N1138" s="10" t="str">
        <f t="shared" si="1301"/>
        <v>43636PayNas50000</v>
      </c>
      <c r="O1138" s="14" t="str">
        <f t="shared" si="1399"/>
        <v/>
      </c>
      <c r="P1138" s="14">
        <f t="shared" si="1400"/>
        <v>1</v>
      </c>
      <c r="Q1138" s="14">
        <f t="array" ref="Q1138">IFERROR(INDEX([1]Companies!$D:$D,MATCH(B1138,[1]Companies!$A:$A,0)),"")</f>
        <v>2018</v>
      </c>
      <c r="R1138" s="17">
        <f t="shared" si="1401"/>
        <v>50000</v>
      </c>
      <c r="S1138" s="14">
        <f>VLOOKUP(I1138,[1]Lookups!$V$3:$Y$197,4,FALSE)</f>
        <v>0</v>
      </c>
      <c r="T1138" s="14" t="str">
        <f>VLOOKUP(E1138,[1]Lookups!$H$3:$I$71,2,FALSE)</f>
        <v>1. Grant</v>
      </c>
      <c r="U1138" s="14" t="str">
        <f>VLOOKUP(K1138,[1]Lookups!$B$3:$C$142,2,FALSE)</f>
        <v>Financial Services</v>
      </c>
      <c r="V1138" s="14">
        <f t="shared" si="1230"/>
        <v>2019</v>
      </c>
      <c r="W1138" s="14">
        <f t="shared" si="1231"/>
        <v>6</v>
      </c>
      <c r="X1138" s="14">
        <f>VLOOKUP(W1138,[1]Lookups!$P$3:$S$15,2,FALSE)</f>
        <v>2</v>
      </c>
      <c r="Y1138" s="16">
        <f>VLOOKUP(W1138,[1]Lookups!$P$3:$U$15,3,FALSE)</f>
        <v>1</v>
      </c>
      <c r="Z1138" s="16">
        <f t="shared" si="1232"/>
        <v>1</v>
      </c>
      <c r="AA1138" s="16" t="str">
        <f t="shared" ca="1" si="1457"/>
        <v>Algebra Ventures</v>
      </c>
      <c r="AB1138" s="16">
        <f t="shared" si="1457"/>
        <v>0</v>
      </c>
      <c r="AC1138" s="16">
        <f t="shared" si="1457"/>
        <v>0</v>
      </c>
      <c r="AD1138" s="16">
        <f t="shared" si="1457"/>
        <v>0</v>
      </c>
      <c r="AE1138" s="16">
        <f t="shared" si="1457"/>
        <v>0</v>
      </c>
      <c r="AF1138" s="16">
        <f t="shared" si="1457"/>
        <v>0</v>
      </c>
      <c r="AG1138" s="16">
        <f t="shared" si="1457"/>
        <v>0</v>
      </c>
      <c r="AH1138" s="16">
        <f t="shared" si="1457"/>
        <v>0</v>
      </c>
      <c r="AI1138" s="16">
        <f t="shared" si="1457"/>
        <v>0</v>
      </c>
      <c r="AJ1138" s="16">
        <f t="shared" si="1457"/>
        <v>0</v>
      </c>
      <c r="AK1138" s="16">
        <f t="shared" si="1457"/>
        <v>0</v>
      </c>
      <c r="AL1138" s="16">
        <f t="shared" si="1457"/>
        <v>0</v>
      </c>
      <c r="AM1138" s="16">
        <f t="shared" si="1457"/>
        <v>0</v>
      </c>
      <c r="AN1138" s="16">
        <f t="shared" si="1457"/>
        <v>0</v>
      </c>
      <c r="AO1138" s="16">
        <f t="shared" si="1457"/>
        <v>0</v>
      </c>
      <c r="AP1138" s="10"/>
      <c r="AQ1138" s="10"/>
      <c r="AR1138" s="10"/>
      <c r="AS1138" s="10" t="str">
        <f t="shared" ref="AS1138" ca="1" si="1468">IFERROR(__xludf.DUMMYFUNCTION("split(F968,"","",true,true)"),"Algebra Ventures")</f>
        <v>Algebra Ventures</v>
      </c>
      <c r="AT1138" s="10"/>
      <c r="AU1138" s="10"/>
      <c r="AV1138" s="10"/>
      <c r="AW1138" s="10"/>
      <c r="AX1138" s="10"/>
      <c r="AY1138" s="10"/>
      <c r="AZ1138" s="10"/>
      <c r="BA1138" s="10"/>
      <c r="BB1138" s="10"/>
      <c r="BC1138" s="10"/>
      <c r="BD1138" s="10"/>
      <c r="BE1138" s="10"/>
      <c r="BF1138" s="10"/>
      <c r="BG1138" s="10"/>
      <c r="BH1138" s="10"/>
      <c r="BI1138" s="10"/>
      <c r="BJ1138" s="10"/>
      <c r="BK1138" s="10"/>
      <c r="BM1138" s="10"/>
    </row>
    <row r="1139" spans="1:65" ht="12.75">
      <c r="A1139" s="9">
        <v>43636</v>
      </c>
      <c r="B1139" s="10" t="s">
        <v>2381</v>
      </c>
      <c r="C1139" s="11">
        <v>100000</v>
      </c>
      <c r="D1139" s="10"/>
      <c r="E1139" s="10" t="s">
        <v>45</v>
      </c>
      <c r="F1139" s="10" t="s">
        <v>1341</v>
      </c>
      <c r="G1139" s="32" t="s">
        <v>2382</v>
      </c>
      <c r="H1139" s="14" t="str">
        <f t="array" ref="H1139">IFERROR(INDEX([1]Companies!$G:$G,MATCH(B1139,[1]Companies!$A:$A,0)),"")</f>
        <v>Kenya</v>
      </c>
      <c r="I1139" s="14" t="str">
        <f t="shared" si="1299"/>
        <v>Kenya</v>
      </c>
      <c r="J1139" s="14" t="str">
        <f t="array" ref="J1139">IFERROR(INDEX([1]Companies!$Y:$Y,MATCH(B1139,[1]Companies!$A:$A,0)),"")</f>
        <v>Agribusiness</v>
      </c>
      <c r="K1139" s="14" t="str">
        <f t="array" ref="K1139">IFERROR(INDEX([1]Companies!$X:$X,MATCH(B1139,[1]Companies!$A:$A,0)),"")</f>
        <v>Agriculture</v>
      </c>
      <c r="L1139" s="14" t="str">
        <f>VLOOKUP(B1139,[1]Companies!$A$1:$C$5243,1,FALSE)</f>
        <v>Taimba Limited</v>
      </c>
      <c r="M1139" s="15">
        <f t="shared" si="1300"/>
        <v>0.9</v>
      </c>
      <c r="N1139" s="10" t="str">
        <f t="shared" si="1301"/>
        <v>43636Taimba Limited100000</v>
      </c>
      <c r="O1139" s="14" t="str">
        <f t="shared" si="1399"/>
        <v/>
      </c>
      <c r="P1139" s="14">
        <f t="shared" si="1400"/>
        <v>1</v>
      </c>
      <c r="Q1139" s="14">
        <f t="array" ref="Q1139">IFERROR(INDEX([1]Companies!$D:$D,MATCH(B1139,[1]Companies!$A:$A,0)),"")</f>
        <v>2016</v>
      </c>
      <c r="R1139" s="17">
        <f t="shared" si="1401"/>
        <v>100000</v>
      </c>
      <c r="S1139" s="14">
        <f>VLOOKUP(I1139,[1]Lookups!$V$3:$Y$197,4,FALSE)</f>
        <v>0</v>
      </c>
      <c r="T1139" s="14" t="str">
        <f>VLOOKUP(E1139,[1]Lookups!$H$3:$I$71,2,FALSE)</f>
        <v>2. Seed</v>
      </c>
      <c r="U1139" s="14" t="str">
        <f>VLOOKUP(K1139,[1]Lookups!$B$3:$C$142,2,FALSE)</f>
        <v>Agriculture</v>
      </c>
      <c r="V1139" s="14">
        <f t="shared" si="1230"/>
        <v>2019</v>
      </c>
      <c r="W1139" s="14">
        <f t="shared" si="1231"/>
        <v>6</v>
      </c>
      <c r="X1139" s="14">
        <f>VLOOKUP(W1139,[1]Lookups!$P$3:$S$15,2,FALSE)</f>
        <v>2</v>
      </c>
      <c r="Y1139" s="16">
        <f>VLOOKUP(W1139,[1]Lookups!$P$3:$U$15,3,FALSE)</f>
        <v>1</v>
      </c>
      <c r="Z1139" s="16">
        <f t="shared" si="1232"/>
        <v>1</v>
      </c>
      <c r="AA1139" s="16" t="str">
        <f t="shared" ca="1" si="1457"/>
        <v>Algebra Ventures</v>
      </c>
      <c r="AB1139" s="16">
        <f t="shared" si="1457"/>
        <v>0</v>
      </c>
      <c r="AC1139" s="16">
        <f t="shared" si="1457"/>
        <v>0</v>
      </c>
      <c r="AD1139" s="16">
        <f t="shared" si="1457"/>
        <v>0</v>
      </c>
      <c r="AE1139" s="16">
        <f t="shared" si="1457"/>
        <v>0</v>
      </c>
      <c r="AF1139" s="16">
        <f t="shared" si="1457"/>
        <v>0</v>
      </c>
      <c r="AG1139" s="16">
        <f t="shared" si="1457"/>
        <v>0</v>
      </c>
      <c r="AH1139" s="16">
        <f t="shared" si="1457"/>
        <v>0</v>
      </c>
      <c r="AI1139" s="16">
        <f t="shared" si="1457"/>
        <v>0</v>
      </c>
      <c r="AJ1139" s="16">
        <f t="shared" si="1457"/>
        <v>0</v>
      </c>
      <c r="AK1139" s="16">
        <f t="shared" si="1457"/>
        <v>0</v>
      </c>
      <c r="AL1139" s="16">
        <f t="shared" si="1457"/>
        <v>0</v>
      </c>
      <c r="AM1139" s="16">
        <f t="shared" si="1457"/>
        <v>0</v>
      </c>
      <c r="AN1139" s="16">
        <f t="shared" si="1457"/>
        <v>0</v>
      </c>
      <c r="AO1139" s="16">
        <f t="shared" si="1457"/>
        <v>0</v>
      </c>
      <c r="AP1139" s="10"/>
      <c r="AQ1139" s="10"/>
      <c r="AR1139" s="10"/>
      <c r="AS1139" s="10" t="str">
        <f t="shared" ref="AS1139" ca="1" si="1469">IFERROR(__xludf.DUMMYFUNCTION("split(F968,"","",true,true)"),"Algebra Ventures")</f>
        <v>Algebra Ventures</v>
      </c>
    </row>
    <row r="1140" spans="1:65" ht="12.75">
      <c r="A1140" s="9">
        <v>43637</v>
      </c>
      <c r="B1140" s="10" t="s">
        <v>1918</v>
      </c>
      <c r="C1140" s="11" t="s">
        <v>49</v>
      </c>
      <c r="D1140" s="12"/>
      <c r="E1140" s="10" t="s">
        <v>45</v>
      </c>
      <c r="F1140" s="10" t="s">
        <v>430</v>
      </c>
      <c r="G1140" s="13" t="s">
        <v>2383</v>
      </c>
      <c r="H1140" s="14" t="str">
        <f t="array" ref="H1140">IFERROR(INDEX([1]Companies!$G:$G,MATCH(B1140,[1]Companies!$A:$A,0)),"")</f>
        <v>Kenya</v>
      </c>
      <c r="I1140" s="14" t="str">
        <f t="shared" si="1299"/>
        <v>Kenya</v>
      </c>
      <c r="J1140" s="14" t="str">
        <f t="array" ref="J1140">IFERROR(INDEX([1]Companies!$Y:$Y,MATCH(B1140,[1]Companies!$A:$A,0)),"")</f>
        <v>Health, Information Technology, FinTech</v>
      </c>
      <c r="K1140" s="14" t="str">
        <f t="array" ref="K1140">IFERROR(INDEX([1]Companies!$X:$X,MATCH(B1140,[1]Companies!$A:$A,0)),"")</f>
        <v>Financial Services</v>
      </c>
      <c r="L1140" s="14" t="str">
        <f>VLOOKUP(B1140,[1]Companies!$A$1:$C$5243,1,FALSE)</f>
        <v>Turaco</v>
      </c>
      <c r="M1140" s="15">
        <f t="shared" si="1300"/>
        <v>0.9</v>
      </c>
      <c r="N1140" s="10" t="str">
        <f t="shared" si="1301"/>
        <v>43637TuracoUndisclosed</v>
      </c>
      <c r="O1140" s="14" t="str">
        <f t="shared" si="1399"/>
        <v/>
      </c>
      <c r="P1140" s="14">
        <f t="shared" si="1400"/>
        <v>0</v>
      </c>
      <c r="Q1140" s="14">
        <f t="array" ref="Q1140">IFERROR(INDEX([1]Companies!$D:$D,MATCH(B1140,[1]Companies!$A:$A,0)),"")</f>
        <v>2018</v>
      </c>
      <c r="R1140" s="17">
        <f t="shared" si="1401"/>
        <v>100000</v>
      </c>
      <c r="S1140" s="14">
        <f>VLOOKUP(I1140,[1]Lookups!$V$3:$Y$197,4,FALSE)</f>
        <v>0</v>
      </c>
      <c r="T1140" s="14" t="str">
        <f>VLOOKUP(E1140,[1]Lookups!$H$3:$I$71,2,FALSE)</f>
        <v>2. Seed</v>
      </c>
      <c r="U1140" s="14" t="str">
        <f>VLOOKUP(K1140,[1]Lookups!$B$3:$C$142,2,FALSE)</f>
        <v>Financial Services</v>
      </c>
      <c r="V1140" s="14">
        <f t="shared" si="1230"/>
        <v>2019</v>
      </c>
      <c r="W1140" s="14">
        <f t="shared" si="1231"/>
        <v>6</v>
      </c>
      <c r="X1140" s="14">
        <f>VLOOKUP(W1140,[1]Lookups!$P$3:$S$15,2,FALSE)</f>
        <v>2</v>
      </c>
      <c r="Y1140" s="16">
        <f>VLOOKUP(W1140,[1]Lookups!$P$3:$U$15,3,FALSE)</f>
        <v>1</v>
      </c>
      <c r="Z1140" s="16">
        <f t="shared" si="1232"/>
        <v>1</v>
      </c>
      <c r="AA1140" s="16" t="str">
        <f t="shared" ca="1" si="1457"/>
        <v>Algebra Ventures</v>
      </c>
      <c r="AB1140" s="16">
        <f t="shared" si="1457"/>
        <v>0</v>
      </c>
      <c r="AC1140" s="16">
        <f t="shared" si="1457"/>
        <v>0</v>
      </c>
      <c r="AD1140" s="16">
        <f t="shared" si="1457"/>
        <v>0</v>
      </c>
      <c r="AE1140" s="16">
        <f t="shared" si="1457"/>
        <v>0</v>
      </c>
      <c r="AF1140" s="16">
        <f t="shared" si="1457"/>
        <v>0</v>
      </c>
      <c r="AG1140" s="16">
        <f t="shared" si="1457"/>
        <v>0</v>
      </c>
      <c r="AH1140" s="16">
        <f t="shared" si="1457"/>
        <v>0</v>
      </c>
      <c r="AI1140" s="16">
        <f t="shared" si="1457"/>
        <v>0</v>
      </c>
      <c r="AJ1140" s="16">
        <f t="shared" si="1457"/>
        <v>0</v>
      </c>
      <c r="AK1140" s="16">
        <f t="shared" si="1457"/>
        <v>0</v>
      </c>
      <c r="AL1140" s="16">
        <f t="shared" si="1457"/>
        <v>0</v>
      </c>
      <c r="AM1140" s="16">
        <f t="shared" si="1457"/>
        <v>0</v>
      </c>
      <c r="AN1140" s="16">
        <f t="shared" si="1457"/>
        <v>0</v>
      </c>
      <c r="AO1140" s="16">
        <f t="shared" si="1457"/>
        <v>0</v>
      </c>
      <c r="AP1140" s="10"/>
      <c r="AQ1140" s="10"/>
      <c r="AR1140" s="10"/>
      <c r="AS1140" s="10" t="str">
        <f t="shared" ref="AS1140" ca="1" si="1470">IFERROR(__xludf.DUMMYFUNCTION("split(F968,"","",true,true)"),"Algebra Ventures")</f>
        <v>Algebra Ventures</v>
      </c>
      <c r="AT1140" s="10"/>
      <c r="AU1140" s="10"/>
      <c r="AV1140" s="10"/>
      <c r="AW1140" s="10"/>
      <c r="AX1140" s="10"/>
      <c r="AY1140" s="10"/>
      <c r="AZ1140" s="10"/>
      <c r="BA1140" s="10"/>
      <c r="BB1140" s="10"/>
      <c r="BC1140" s="10"/>
      <c r="BD1140" s="10"/>
      <c r="BE1140" s="10"/>
      <c r="BF1140" s="10"/>
      <c r="BG1140" s="10"/>
      <c r="BH1140" s="10"/>
      <c r="BI1140" s="10"/>
      <c r="BJ1140" s="10"/>
      <c r="BK1140" s="10"/>
      <c r="BM1140" s="10"/>
    </row>
    <row r="1141" spans="1:65" ht="12.75">
      <c r="A1141" s="9">
        <v>43637</v>
      </c>
      <c r="B1141" s="10" t="s">
        <v>2384</v>
      </c>
      <c r="C1141" s="11" t="s">
        <v>49</v>
      </c>
      <c r="D1141" s="12"/>
      <c r="E1141" s="10" t="s">
        <v>45</v>
      </c>
      <c r="F1141" s="10" t="s">
        <v>49</v>
      </c>
      <c r="G1141" s="13" t="s">
        <v>2385</v>
      </c>
      <c r="H1141" s="14" t="str">
        <f t="array" ref="H1141">IFERROR(INDEX([1]Companies!$G:$G,MATCH(B1141,[1]Companies!$A:$A,0)),"")</f>
        <v>Nigeria</v>
      </c>
      <c r="I1141" s="14" t="str">
        <f t="shared" si="1299"/>
        <v>Nigeria</v>
      </c>
      <c r="J1141" s="14" t="str">
        <f t="array" ref="J1141">IFERROR(INDEX([1]Companies!$Y:$Y,MATCH(B1141,[1]Companies!$A:$A,0)),"")</f>
        <v>Information Technology</v>
      </c>
      <c r="K1141" s="14" t="str">
        <f t="array" ref="K1141">IFERROR(INDEX([1]Companies!$X:$X,MATCH(B1141,[1]Companies!$A:$A,0)),"")</f>
        <v>Information Technology</v>
      </c>
      <c r="L1141" s="14" t="str">
        <f>VLOOKUP(B1141,[1]Companies!$A$1:$C$5243,1,FALSE)</f>
        <v>Enoch Diary</v>
      </c>
      <c r="M1141" s="15">
        <f t="shared" si="1300"/>
        <v>0.9</v>
      </c>
      <c r="N1141" s="10" t="str">
        <f t="shared" si="1301"/>
        <v>43637Enoch DiaryUndisclosed</v>
      </c>
      <c r="O1141" s="14" t="str">
        <f t="shared" si="1399"/>
        <v/>
      </c>
      <c r="P1141" s="14">
        <f t="shared" si="1400"/>
        <v>0</v>
      </c>
      <c r="Q1141" s="14">
        <f t="array" ref="Q1141">IFERROR(INDEX([1]Companies!$D:$D,MATCH(B1141,[1]Companies!$A:$A,0)),"")</f>
        <v>2013</v>
      </c>
      <c r="R1141" s="17">
        <f t="shared" si="1401"/>
        <v>0</v>
      </c>
      <c r="S1141" s="14">
        <f>VLOOKUP(I1141,[1]Lookups!$V$3:$Y$197,4,FALSE)</f>
        <v>0</v>
      </c>
      <c r="T1141" s="14" t="str">
        <f>VLOOKUP(E1141,[1]Lookups!$H$3:$I$71,2,FALSE)</f>
        <v>2. Seed</v>
      </c>
      <c r="U1141" s="14" t="str">
        <f>VLOOKUP(K1141,[1]Lookups!$B$3:$C$142,2,FALSE)</f>
        <v>Other Technologies &amp; Information Technology</v>
      </c>
      <c r="V1141" s="14">
        <f t="shared" si="1230"/>
        <v>2019</v>
      </c>
      <c r="W1141" s="14">
        <f t="shared" si="1231"/>
        <v>6</v>
      </c>
      <c r="X1141" s="14">
        <f>VLOOKUP(W1141,[1]Lookups!$P$3:$S$15,2,FALSE)</f>
        <v>2</v>
      </c>
      <c r="Y1141" s="16">
        <f>VLOOKUP(W1141,[1]Lookups!$P$3:$U$15,3,FALSE)</f>
        <v>1</v>
      </c>
      <c r="Z1141" s="16">
        <f t="shared" si="1232"/>
        <v>1</v>
      </c>
      <c r="AA1141" s="16" t="str">
        <f t="shared" ca="1" si="1457"/>
        <v>Algebra Ventures</v>
      </c>
      <c r="AB1141" s="16">
        <f t="shared" si="1457"/>
        <v>0</v>
      </c>
      <c r="AC1141" s="16">
        <f t="shared" si="1457"/>
        <v>0</v>
      </c>
      <c r="AD1141" s="16">
        <f t="shared" si="1457"/>
        <v>0</v>
      </c>
      <c r="AE1141" s="16">
        <f t="shared" si="1457"/>
        <v>0</v>
      </c>
      <c r="AF1141" s="16">
        <f t="shared" si="1457"/>
        <v>0</v>
      </c>
      <c r="AG1141" s="16">
        <f t="shared" si="1457"/>
        <v>0</v>
      </c>
      <c r="AH1141" s="16">
        <f t="shared" si="1457"/>
        <v>0</v>
      </c>
      <c r="AI1141" s="16">
        <f t="shared" si="1457"/>
        <v>0</v>
      </c>
      <c r="AJ1141" s="16">
        <f t="shared" si="1457"/>
        <v>0</v>
      </c>
      <c r="AK1141" s="16">
        <f t="shared" si="1457"/>
        <v>0</v>
      </c>
      <c r="AL1141" s="16">
        <f t="shared" si="1457"/>
        <v>0</v>
      </c>
      <c r="AM1141" s="16">
        <f t="shared" si="1457"/>
        <v>0</v>
      </c>
      <c r="AN1141" s="16">
        <f t="shared" si="1457"/>
        <v>0</v>
      </c>
      <c r="AO1141" s="16">
        <f t="shared" si="1457"/>
        <v>0</v>
      </c>
      <c r="AP1141" s="10"/>
      <c r="AQ1141" s="10"/>
      <c r="AR1141" s="10"/>
      <c r="AS1141" s="10" t="str">
        <f t="shared" ref="AS1141" ca="1" si="1471">IFERROR(__xludf.DUMMYFUNCTION("split(F968,"","",true,true)"),"Algebra Ventures")</f>
        <v>Algebra Ventures</v>
      </c>
      <c r="AT1141" s="10"/>
      <c r="AU1141" s="10"/>
      <c r="AV1141" s="10"/>
      <c r="AW1141" s="10"/>
      <c r="AX1141" s="10"/>
      <c r="AY1141" s="10"/>
      <c r="AZ1141" s="10"/>
      <c r="BA1141" s="10"/>
      <c r="BB1141" s="10"/>
      <c r="BC1141" s="10"/>
      <c r="BD1141" s="10"/>
      <c r="BE1141" s="10"/>
      <c r="BF1141" s="10"/>
      <c r="BG1141" s="10"/>
      <c r="BH1141" s="10"/>
      <c r="BI1141" s="10"/>
      <c r="BJ1141" s="10"/>
      <c r="BK1141" s="10"/>
      <c r="BM1141" s="10"/>
    </row>
    <row r="1142" spans="1:65" ht="12.75">
      <c r="A1142" s="9">
        <v>43637</v>
      </c>
      <c r="B1142" s="10" t="s">
        <v>2386</v>
      </c>
      <c r="C1142" s="11" t="s">
        <v>49</v>
      </c>
      <c r="D1142" s="12"/>
      <c r="E1142" s="10" t="s">
        <v>45</v>
      </c>
      <c r="F1142" s="10" t="s">
        <v>1325</v>
      </c>
      <c r="G1142" s="13" t="s">
        <v>2387</v>
      </c>
      <c r="H1142" s="14" t="str">
        <f t="array" ref="H1142">IFERROR(INDEX([1]Companies!$G:$G,MATCH(B1142,[1]Companies!$A:$A,0)),"")</f>
        <v>Zambia</v>
      </c>
      <c r="I1142" s="14" t="str">
        <f t="shared" si="1299"/>
        <v>Zambia</v>
      </c>
      <c r="J1142" s="14" t="str">
        <f t="array" ref="J1142">IFERROR(INDEX([1]Companies!$Y:$Y,MATCH(B1142,[1]Companies!$A:$A,0)),"")</f>
        <v>Energy and Resources</v>
      </c>
      <c r="K1142" s="14" t="str">
        <f t="array" ref="K1142">IFERROR(INDEX([1]Companies!$X:$X,MATCH(B1142,[1]Companies!$A:$A,0)),"")</f>
        <v>Solar Energy, Energy and Resources</v>
      </c>
      <c r="L1142" s="14" t="str">
        <f>VLOOKUP(B1142,[1]Companies!$A$1:$C$5243,1,FALSE)</f>
        <v>WidEnergy Africa Ltd</v>
      </c>
      <c r="M1142" s="15">
        <f t="shared" si="1300"/>
        <v>0.9</v>
      </c>
      <c r="N1142" s="10" t="str">
        <f t="shared" si="1301"/>
        <v>43637WidEnergy Africa LtdUndisclosed</v>
      </c>
      <c r="O1142" s="14" t="str">
        <f t="shared" si="1399"/>
        <v/>
      </c>
      <c r="P1142" s="14">
        <f t="shared" si="1400"/>
        <v>0</v>
      </c>
      <c r="Q1142" s="14">
        <f t="array" ref="Q1142">IFERROR(INDEX([1]Companies!$D:$D,MATCH(B1142,[1]Companies!$A:$A,0)),"")</f>
        <v>2016</v>
      </c>
      <c r="R1142" s="17">
        <f t="shared" si="1401"/>
        <v>0</v>
      </c>
      <c r="S1142" s="14">
        <f>VLOOKUP(I1142,[1]Lookups!$V$3:$Y$197,4,FALSE)</f>
        <v>0</v>
      </c>
      <c r="T1142" s="14" t="str">
        <f>VLOOKUP(E1142,[1]Lookups!$H$3:$I$71,2,FALSE)</f>
        <v>2. Seed</v>
      </c>
      <c r="U1142" s="14" t="str">
        <f>VLOOKUP(K1142,[1]Lookups!$B$3:$C$142,2,FALSE)</f>
        <v>Energy &amp; Resources</v>
      </c>
      <c r="V1142" s="14">
        <f t="shared" si="1230"/>
        <v>2019</v>
      </c>
      <c r="W1142" s="14">
        <f t="shared" si="1231"/>
        <v>6</v>
      </c>
      <c r="X1142" s="14">
        <f>VLOOKUP(W1142,[1]Lookups!$P$3:$S$15,2,FALSE)</f>
        <v>2</v>
      </c>
      <c r="Y1142" s="16">
        <f>VLOOKUP(W1142,[1]Lookups!$P$3:$U$15,3,FALSE)</f>
        <v>1</v>
      </c>
      <c r="Z1142" s="16">
        <f t="shared" si="1232"/>
        <v>1</v>
      </c>
      <c r="AA1142" s="16" t="str">
        <f t="shared" ca="1" si="1457"/>
        <v>Algebra Ventures</v>
      </c>
      <c r="AB1142" s="16">
        <f t="shared" si="1457"/>
        <v>0</v>
      </c>
      <c r="AC1142" s="16">
        <f t="shared" si="1457"/>
        <v>0</v>
      </c>
      <c r="AD1142" s="16">
        <f t="shared" si="1457"/>
        <v>0</v>
      </c>
      <c r="AE1142" s="16">
        <f t="shared" si="1457"/>
        <v>0</v>
      </c>
      <c r="AF1142" s="16">
        <f t="shared" si="1457"/>
        <v>0</v>
      </c>
      <c r="AG1142" s="16">
        <f t="shared" si="1457"/>
        <v>0</v>
      </c>
      <c r="AH1142" s="16">
        <f t="shared" si="1457"/>
        <v>0</v>
      </c>
      <c r="AI1142" s="16">
        <f t="shared" si="1457"/>
        <v>0</v>
      </c>
      <c r="AJ1142" s="16">
        <f t="shared" si="1457"/>
        <v>0</v>
      </c>
      <c r="AK1142" s="16">
        <f t="shared" si="1457"/>
        <v>0</v>
      </c>
      <c r="AL1142" s="16">
        <f t="shared" si="1457"/>
        <v>0</v>
      </c>
      <c r="AM1142" s="16">
        <f t="shared" si="1457"/>
        <v>0</v>
      </c>
      <c r="AN1142" s="16">
        <f t="shared" si="1457"/>
        <v>0</v>
      </c>
      <c r="AO1142" s="16">
        <f t="shared" si="1457"/>
        <v>0</v>
      </c>
      <c r="AP1142" s="10"/>
      <c r="AQ1142" s="10"/>
      <c r="AR1142" s="10"/>
      <c r="AS1142" s="10" t="str">
        <f t="shared" ref="AS1142" ca="1" si="1472">IFERROR(__xludf.DUMMYFUNCTION("split(F968,"","",true,true)"),"Algebra Ventures")</f>
        <v>Algebra Ventures</v>
      </c>
      <c r="AT1142" s="10"/>
      <c r="AU1142" s="10"/>
      <c r="AV1142" s="10"/>
      <c r="AW1142" s="10"/>
      <c r="AX1142" s="10"/>
      <c r="AY1142" s="10"/>
      <c r="AZ1142" s="10"/>
      <c r="BA1142" s="10"/>
      <c r="BB1142" s="10"/>
      <c r="BC1142" s="10"/>
      <c r="BD1142" s="10"/>
      <c r="BE1142" s="10"/>
      <c r="BF1142" s="10"/>
      <c r="BG1142" s="10"/>
      <c r="BH1142" s="10"/>
      <c r="BI1142" s="10"/>
      <c r="BJ1142" s="10"/>
      <c r="BK1142" s="10"/>
      <c r="BM1142" s="10"/>
    </row>
    <row r="1143" spans="1:65" ht="12.75">
      <c r="A1143" s="9">
        <v>43640</v>
      </c>
      <c r="B1143" s="10" t="s">
        <v>854</v>
      </c>
      <c r="C1143" s="11" t="s">
        <v>49</v>
      </c>
      <c r="D1143" s="12"/>
      <c r="E1143" s="10" t="s">
        <v>69</v>
      </c>
      <c r="F1143" s="10" t="s">
        <v>855</v>
      </c>
      <c r="G1143" s="13" t="s">
        <v>2388</v>
      </c>
      <c r="H1143" s="14" t="str">
        <f t="array" ref="H1143">IFERROR(INDEX([1]Companies!$G:$G,MATCH(B1143,[1]Companies!$A:$A,0)),"")</f>
        <v>South Africa</v>
      </c>
      <c r="I1143" s="14" t="str">
        <f t="shared" si="1299"/>
        <v>South Africa</v>
      </c>
      <c r="J1143" s="14" t="str">
        <f t="array" ref="J1143">IFERROR(INDEX([1]Companies!$Y:$Y,MATCH(B1143,[1]Companies!$A:$A,0)),"")</f>
        <v>Instant EFT Payments</v>
      </c>
      <c r="K1143" s="14" t="str">
        <f t="array" ref="K1143">IFERROR(INDEX([1]Companies!$X:$X,MATCH(B1143,[1]Companies!$A:$A,0)),"")</f>
        <v>Financial Services</v>
      </c>
      <c r="L1143" s="14" t="str">
        <f>VLOOKUP(B1143,[1]Companies!$A$1:$C$5243,1,FALSE)</f>
        <v>Ozow</v>
      </c>
      <c r="M1143" s="15">
        <f t="shared" si="1300"/>
        <v>0.9</v>
      </c>
      <c r="N1143" s="10" t="str">
        <f t="shared" si="1301"/>
        <v>43640OzowUndisclosed</v>
      </c>
      <c r="O1143" s="14" t="str">
        <f t="shared" si="1399"/>
        <v/>
      </c>
      <c r="P1143" s="14">
        <f t="shared" si="1400"/>
        <v>0</v>
      </c>
      <c r="Q1143" s="14">
        <f t="array" ref="Q1143">IFERROR(INDEX([1]Companies!$D:$D,MATCH(B1143,[1]Companies!$A:$A,0)),"")</f>
        <v>2014</v>
      </c>
      <c r="R1143" s="17">
        <f t="shared" si="1401"/>
        <v>710000</v>
      </c>
      <c r="S1143" s="14">
        <f>VLOOKUP(I1143,[1]Lookups!$V$3:$Y$197,4,FALSE)</f>
        <v>0</v>
      </c>
      <c r="T1143" s="14" t="str">
        <f>VLOOKUP(E1143,[1]Lookups!$H$3:$I$71,2,FALSE)</f>
        <v>3. Early Venture</v>
      </c>
      <c r="U1143" s="14" t="str">
        <f>VLOOKUP(K1143,[1]Lookups!$B$3:$C$142,2,FALSE)</f>
        <v>Financial Services</v>
      </c>
      <c r="V1143" s="14">
        <f t="shared" si="1230"/>
        <v>2019</v>
      </c>
      <c r="W1143" s="14">
        <f t="shared" si="1231"/>
        <v>6</v>
      </c>
      <c r="X1143" s="14">
        <f>VLOOKUP(W1143,[1]Lookups!$P$3:$S$15,2,FALSE)</f>
        <v>2</v>
      </c>
      <c r="Y1143" s="16">
        <f>VLOOKUP(W1143,[1]Lookups!$P$3:$U$15,3,FALSE)</f>
        <v>1</v>
      </c>
      <c r="Z1143" s="16">
        <f t="shared" si="1232"/>
        <v>1</v>
      </c>
      <c r="AA1143" s="16" t="str">
        <f t="shared" ca="1" si="1457"/>
        <v>Algebra Ventures</v>
      </c>
      <c r="AB1143" s="16">
        <f t="shared" si="1457"/>
        <v>0</v>
      </c>
      <c r="AC1143" s="16">
        <f t="shared" si="1457"/>
        <v>0</v>
      </c>
      <c r="AD1143" s="16">
        <f t="shared" si="1457"/>
        <v>0</v>
      </c>
      <c r="AE1143" s="16">
        <f t="shared" si="1457"/>
        <v>0</v>
      </c>
      <c r="AF1143" s="16">
        <f t="shared" si="1457"/>
        <v>0</v>
      </c>
      <c r="AG1143" s="16">
        <f t="shared" si="1457"/>
        <v>0</v>
      </c>
      <c r="AH1143" s="16">
        <f t="shared" si="1457"/>
        <v>0</v>
      </c>
      <c r="AI1143" s="16">
        <f t="shared" si="1457"/>
        <v>0</v>
      </c>
      <c r="AJ1143" s="16">
        <f t="shared" si="1457"/>
        <v>0</v>
      </c>
      <c r="AK1143" s="16">
        <f t="shared" si="1457"/>
        <v>0</v>
      </c>
      <c r="AL1143" s="16">
        <f t="shared" si="1457"/>
        <v>0</v>
      </c>
      <c r="AM1143" s="16">
        <f t="shared" si="1457"/>
        <v>0</v>
      </c>
      <c r="AN1143" s="16">
        <f t="shared" si="1457"/>
        <v>0</v>
      </c>
      <c r="AO1143" s="16">
        <f t="shared" si="1457"/>
        <v>0</v>
      </c>
      <c r="AP1143" s="10"/>
      <c r="AQ1143" s="10"/>
      <c r="AR1143" s="10"/>
      <c r="AS1143" s="10" t="str">
        <f t="shared" ref="AS1143" ca="1" si="1473">IFERROR(__xludf.DUMMYFUNCTION("split(F968,"","",true,true)"),"Algebra Ventures")</f>
        <v>Algebra Ventures</v>
      </c>
      <c r="AT1143" s="10"/>
      <c r="AU1143" s="10"/>
      <c r="AV1143" s="10"/>
      <c r="AW1143" s="10"/>
      <c r="AX1143" s="10"/>
      <c r="AY1143" s="10"/>
      <c r="AZ1143" s="10"/>
      <c r="BA1143" s="10"/>
      <c r="BB1143" s="10"/>
      <c r="BC1143" s="10"/>
      <c r="BD1143" s="10"/>
      <c r="BE1143" s="10"/>
      <c r="BF1143" s="10"/>
      <c r="BG1143" s="10"/>
      <c r="BH1143" s="10"/>
      <c r="BI1143" s="10"/>
      <c r="BJ1143" s="10"/>
      <c r="BK1143" s="10"/>
      <c r="BM1143" s="10"/>
    </row>
    <row r="1144" spans="1:65" ht="12.75">
      <c r="A1144" s="9">
        <v>43640</v>
      </c>
      <c r="B1144" s="10" t="s">
        <v>2389</v>
      </c>
      <c r="C1144" s="11">
        <v>9000000</v>
      </c>
      <c r="D1144" s="12"/>
      <c r="E1144" s="10" t="s">
        <v>69</v>
      </c>
      <c r="F1144" s="10" t="s">
        <v>2390</v>
      </c>
      <c r="G1144" s="13" t="s">
        <v>2391</v>
      </c>
      <c r="H1144" s="14" t="str">
        <f t="array" ref="H1144">IFERROR(INDEX([1]Companies!$G:$G,MATCH(B1144,[1]Companies!$A:$A,0)),"")</f>
        <v>Nigeria</v>
      </c>
      <c r="I1144" s="14" t="str">
        <f t="shared" si="1299"/>
        <v>Nigeria</v>
      </c>
      <c r="J1144" s="14" t="str">
        <f t="array" ref="J1144">IFERROR(INDEX([1]Companies!$Y:$Y,MATCH(B1144,[1]Companies!$A:$A,0)),"")</f>
        <v>Energy and Resources, Solar</v>
      </c>
      <c r="K1144" s="14" t="str">
        <f t="array" ref="K1144">IFERROR(INDEX([1]Companies!$X:$X,MATCH(B1144,[1]Companies!$A:$A,0)),"")</f>
        <v>Energy &amp; Environment Resources</v>
      </c>
      <c r="L1144" s="14" t="str">
        <f>VLOOKUP(B1144,[1]Companies!$A$1:$C$5243,1,FALSE)</f>
        <v>Arnergy</v>
      </c>
      <c r="M1144" s="15">
        <f t="shared" si="1300"/>
        <v>0.9</v>
      </c>
      <c r="N1144" s="10" t="str">
        <f t="shared" si="1301"/>
        <v>43640Arnergy9000000</v>
      </c>
      <c r="O1144" s="14" t="str">
        <f t="shared" si="1399"/>
        <v/>
      </c>
      <c r="P1144" s="14">
        <f t="shared" si="1400"/>
        <v>1</v>
      </c>
      <c r="Q1144" s="14">
        <f t="array" ref="Q1144">IFERROR(INDEX([1]Companies!$D:$D,MATCH(B1144,[1]Companies!$A:$A,0)),"")</f>
        <v>2013</v>
      </c>
      <c r="R1144" s="17">
        <f t="shared" si="1401"/>
        <v>9000000</v>
      </c>
      <c r="S1144" s="14">
        <f>VLOOKUP(I1144,[1]Lookups!$V$3:$Y$197,4,FALSE)</f>
        <v>0</v>
      </c>
      <c r="T1144" s="14" t="str">
        <f>VLOOKUP(E1144,[1]Lookups!$H$3:$I$71,2,FALSE)</f>
        <v>3. Early Venture</v>
      </c>
      <c r="U1144" s="14" t="e">
        <f>VLOOKUP(K1144,[1]Lookups!$B$3:$C$142,2,FALSE)</f>
        <v>#N/A</v>
      </c>
      <c r="V1144" s="14">
        <f t="shared" si="1230"/>
        <v>2019</v>
      </c>
      <c r="W1144" s="14">
        <f t="shared" si="1231"/>
        <v>6</v>
      </c>
      <c r="X1144" s="14">
        <f>VLOOKUP(W1144,[1]Lookups!$P$3:$S$15,2,FALSE)</f>
        <v>2</v>
      </c>
      <c r="Y1144" s="16">
        <f>VLOOKUP(W1144,[1]Lookups!$P$3:$U$15,3,FALSE)</f>
        <v>1</v>
      </c>
      <c r="Z1144" s="16">
        <f t="shared" si="1232"/>
        <v>4</v>
      </c>
      <c r="AA1144" s="16" t="str">
        <f t="shared" ref="AA1144:AO1159" ca="1" si="1474">AS1144</f>
        <v>Algebra Ventures</v>
      </c>
      <c r="AB1144" s="16" t="str">
        <f t="shared" ca="1" si="1474"/>
        <v xml:space="preserve"> All On Energy</v>
      </c>
      <c r="AC1144" s="16" t="str">
        <f t="shared" ca="1" si="1474"/>
        <v xml:space="preserve"> ElectriFI</v>
      </c>
      <c r="AD1144" s="16" t="str">
        <f t="shared" ca="1" si="1474"/>
        <v xml:space="preserve"> NorFund</v>
      </c>
      <c r="AE1144" s="16">
        <f t="shared" si="1474"/>
        <v>0</v>
      </c>
      <c r="AF1144" s="16">
        <f t="shared" si="1474"/>
        <v>0</v>
      </c>
      <c r="AG1144" s="16">
        <f t="shared" si="1474"/>
        <v>0</v>
      </c>
      <c r="AH1144" s="16">
        <f t="shared" si="1474"/>
        <v>0</v>
      </c>
      <c r="AI1144" s="16">
        <f t="shared" si="1474"/>
        <v>0</v>
      </c>
      <c r="AJ1144" s="16">
        <f t="shared" si="1474"/>
        <v>0</v>
      </c>
      <c r="AK1144" s="16">
        <f t="shared" si="1474"/>
        <v>0</v>
      </c>
      <c r="AL1144" s="16">
        <f t="shared" si="1474"/>
        <v>0</v>
      </c>
      <c r="AM1144" s="16">
        <f t="shared" si="1474"/>
        <v>0</v>
      </c>
      <c r="AN1144" s="16">
        <f t="shared" si="1474"/>
        <v>0</v>
      </c>
      <c r="AO1144" s="16">
        <f t="shared" si="1474"/>
        <v>0</v>
      </c>
      <c r="AP1144" s="10"/>
      <c r="AQ1144" s="10"/>
      <c r="AR1144" s="10"/>
      <c r="AS1144" s="10" t="str">
        <f t="shared" ref="AS1144" ca="1" si="1475">IFERROR(__xludf.DUMMYFUNCTION("split(F968,"","",true,true)"),"Algebra Ventures")</f>
        <v>Algebra Ventures</v>
      </c>
      <c r="AT1144" s="10" t="str">
        <f ca="1">IFERROR(__xludf.DUMMYFUNCTION("""COMPUTED_VALUE""")," All On Energy")</f>
        <v xml:space="preserve"> All On Energy</v>
      </c>
      <c r="AU1144" s="10" t="str">
        <f ca="1">IFERROR(__xludf.DUMMYFUNCTION("""COMPUTED_VALUE""")," ElectriFI")</f>
        <v xml:space="preserve"> ElectriFI</v>
      </c>
      <c r="AV1144" s="10" t="str">
        <f ca="1">IFERROR(__xludf.DUMMYFUNCTION("""COMPUTED_VALUE""")," NorFund")</f>
        <v xml:space="preserve"> NorFund</v>
      </c>
      <c r="AW1144" s="10"/>
      <c r="AX1144" s="10"/>
      <c r="AY1144" s="10"/>
      <c r="AZ1144" s="10"/>
      <c r="BA1144" s="10"/>
      <c r="BB1144" s="10"/>
      <c r="BC1144" s="10"/>
      <c r="BD1144" s="10"/>
      <c r="BE1144" s="10"/>
      <c r="BF1144" s="10"/>
      <c r="BG1144" s="10"/>
      <c r="BH1144" s="10"/>
      <c r="BI1144" s="10"/>
      <c r="BJ1144" s="10"/>
      <c r="BK1144" s="10"/>
      <c r="BM1144" s="10"/>
    </row>
    <row r="1145" spans="1:65" ht="12.75">
      <c r="A1145" s="9">
        <v>43640</v>
      </c>
      <c r="B1145" s="10" t="s">
        <v>1401</v>
      </c>
      <c r="C1145" s="11">
        <v>100000</v>
      </c>
      <c r="D1145" s="12"/>
      <c r="E1145" s="14" t="s">
        <v>234</v>
      </c>
      <c r="F1145" s="10" t="s">
        <v>49</v>
      </c>
      <c r="G1145" s="13" t="s">
        <v>2392</v>
      </c>
      <c r="H1145" s="14" t="str">
        <f t="array" ref="H1145">IFERROR(INDEX([1]Companies!$G:$G,MATCH(B1145,[1]Companies!$A:$A,0)),"")</f>
        <v>Nigeria</v>
      </c>
      <c r="I1145" s="14" t="str">
        <f t="shared" si="1299"/>
        <v>Nigeria</v>
      </c>
      <c r="J1145" s="14" t="str">
        <f t="array" ref="J1145">IFERROR(INDEX([1]Companies!$Y:$Y,MATCH(B1145,[1]Companies!$A:$A,0)),"")</f>
        <v>Education, Mobile Apps, Universities</v>
      </c>
      <c r="K1145" s="14" t="str">
        <f t="array" ref="K1145">IFERROR(INDEX([1]Companies!$X:$X,MATCH(B1145,[1]Companies!$A:$A,0)),"")</f>
        <v>Education</v>
      </c>
      <c r="L1145" s="14" t="str">
        <f>VLOOKUP(B1145,[1]Companies!$A$1:$C$5243,1,FALSE)</f>
        <v>ScholarX</v>
      </c>
      <c r="M1145" s="15">
        <f t="shared" si="1300"/>
        <v>0.9</v>
      </c>
      <c r="N1145" s="10" t="str">
        <f t="shared" si="1301"/>
        <v>43640ScholarX100000</v>
      </c>
      <c r="O1145" s="14" t="str">
        <f t="shared" si="1399"/>
        <v/>
      </c>
      <c r="P1145" s="14">
        <f t="shared" si="1400"/>
        <v>1</v>
      </c>
      <c r="Q1145" s="14">
        <f t="array" ref="Q1145">IFERROR(INDEX([1]Companies!$D:$D,MATCH(B1145,[1]Companies!$A:$A,0)),"")</f>
        <v>2016</v>
      </c>
      <c r="R1145" s="17">
        <f t="shared" si="1401"/>
        <v>140000</v>
      </c>
      <c r="S1145" s="14">
        <f>VLOOKUP(I1145,[1]Lookups!$V$3:$Y$197,4,FALSE)</f>
        <v>0</v>
      </c>
      <c r="T1145" s="14" t="str">
        <f>VLOOKUP(E1145,[1]Lookups!$H$3:$I$71,2,FALSE)</f>
        <v>2. Seed</v>
      </c>
      <c r="U1145" s="14" t="str">
        <f>VLOOKUP(K1145,[1]Lookups!$B$3:$C$142,2,FALSE)</f>
        <v>Education</v>
      </c>
      <c r="V1145" s="14">
        <f t="shared" si="1230"/>
        <v>2019</v>
      </c>
      <c r="W1145" s="14">
        <f t="shared" si="1231"/>
        <v>6</v>
      </c>
      <c r="X1145" s="14">
        <f>VLOOKUP(W1145,[1]Lookups!$P$3:$S$15,2,FALSE)</f>
        <v>2</v>
      </c>
      <c r="Y1145" s="16">
        <f>VLOOKUP(W1145,[1]Lookups!$P$3:$U$15,3,FALSE)</f>
        <v>1</v>
      </c>
      <c r="Z1145" s="16">
        <f t="shared" si="1232"/>
        <v>1</v>
      </c>
      <c r="AA1145" s="16" t="str">
        <f t="shared" ca="1" si="1474"/>
        <v>Algebra Ventures</v>
      </c>
      <c r="AB1145" s="16">
        <f t="shared" si="1474"/>
        <v>0</v>
      </c>
      <c r="AC1145" s="16">
        <f t="shared" si="1474"/>
        <v>0</v>
      </c>
      <c r="AD1145" s="16">
        <f t="shared" si="1474"/>
        <v>0</v>
      </c>
      <c r="AE1145" s="16">
        <f t="shared" si="1474"/>
        <v>0</v>
      </c>
      <c r="AF1145" s="16">
        <f t="shared" si="1474"/>
        <v>0</v>
      </c>
      <c r="AG1145" s="16">
        <f t="shared" si="1474"/>
        <v>0</v>
      </c>
      <c r="AH1145" s="16">
        <f t="shared" si="1474"/>
        <v>0</v>
      </c>
      <c r="AI1145" s="16">
        <f t="shared" si="1474"/>
        <v>0</v>
      </c>
      <c r="AJ1145" s="16">
        <f t="shared" si="1474"/>
        <v>0</v>
      </c>
      <c r="AK1145" s="16">
        <f t="shared" si="1474"/>
        <v>0</v>
      </c>
      <c r="AL1145" s="16">
        <f t="shared" si="1474"/>
        <v>0</v>
      </c>
      <c r="AM1145" s="16">
        <f t="shared" si="1474"/>
        <v>0</v>
      </c>
      <c r="AN1145" s="16">
        <f t="shared" si="1474"/>
        <v>0</v>
      </c>
      <c r="AO1145" s="16">
        <f t="shared" si="1474"/>
        <v>0</v>
      </c>
      <c r="AP1145" s="10"/>
      <c r="AQ1145" s="10"/>
      <c r="AR1145" s="10"/>
      <c r="AS1145" s="10" t="str">
        <f t="shared" ref="AS1145" ca="1" si="1476">IFERROR(__xludf.DUMMYFUNCTION("split(F968,"","",true,true)"),"Algebra Ventures")</f>
        <v>Algebra Ventures</v>
      </c>
      <c r="AT1145" s="10"/>
      <c r="AU1145" s="10"/>
      <c r="AV1145" s="10"/>
      <c r="AW1145" s="10"/>
      <c r="AX1145" s="10"/>
      <c r="AY1145" s="10"/>
      <c r="AZ1145" s="10"/>
      <c r="BA1145" s="10"/>
      <c r="BB1145" s="10"/>
      <c r="BC1145" s="10"/>
      <c r="BD1145" s="10"/>
      <c r="BE1145" s="10"/>
      <c r="BF1145" s="10"/>
      <c r="BG1145" s="10"/>
      <c r="BH1145" s="10"/>
      <c r="BI1145" s="10"/>
      <c r="BJ1145" s="10"/>
      <c r="BK1145" s="10"/>
      <c r="BM1145" s="10"/>
    </row>
    <row r="1146" spans="1:65" ht="12.75">
      <c r="A1146" s="9">
        <v>43641</v>
      </c>
      <c r="B1146" s="10" t="s">
        <v>650</v>
      </c>
      <c r="C1146" s="11" t="s">
        <v>49</v>
      </c>
      <c r="D1146" s="12"/>
      <c r="E1146" s="10" t="s">
        <v>112</v>
      </c>
      <c r="F1146" s="10" t="s">
        <v>2393</v>
      </c>
      <c r="G1146" s="13" t="s">
        <v>2394</v>
      </c>
      <c r="H1146" s="14" t="str">
        <f t="array" ref="H1146">IFERROR(INDEX([1]Companies!$G:$G,MATCH(B1146,[1]Companies!$A:$A,0)),"")</f>
        <v>Egypt</v>
      </c>
      <c r="I1146" s="14" t="str">
        <f t="shared" si="1299"/>
        <v>Egypt</v>
      </c>
      <c r="J1146" s="14" t="str">
        <f t="array" ref="J1146">IFERROR(INDEX([1]Companies!$Y:$Y,MATCH(B1146,[1]Companies!$A:$A,0)),"")</f>
        <v>Ediscovery, Hospitality, Mobile, Restaurants, Food and Beverages</v>
      </c>
      <c r="K1146" s="14" t="str">
        <f t="array" ref="K1146">IFERROR(INDEX([1]Companies!$X:$X,MATCH(B1146,[1]Companies!$A:$A,0)),"")</f>
        <v>E-Commerce &amp; Retail</v>
      </c>
      <c r="L1146" s="14" t="str">
        <f>VLOOKUP(B1146,[1]Companies!$A$1:$C$5243,1,FALSE)</f>
        <v>Elmenus</v>
      </c>
      <c r="M1146" s="15">
        <f t="shared" si="1300"/>
        <v>0.9</v>
      </c>
      <c r="N1146" s="10" t="str">
        <f t="shared" si="1301"/>
        <v>43641ElmenusUndisclosed</v>
      </c>
      <c r="O1146" s="14" t="str">
        <f t="shared" si="1399"/>
        <v/>
      </c>
      <c r="P1146" s="14">
        <f t="shared" si="1400"/>
        <v>0</v>
      </c>
      <c r="Q1146" s="14">
        <f t="array" ref="Q1146">IFERROR(INDEX([1]Companies!$D:$D,MATCH(B1146,[1]Companies!$A:$A,0)),"")</f>
        <v>2011</v>
      </c>
      <c r="R1146" s="17">
        <f t="shared" si="1401"/>
        <v>1500000</v>
      </c>
      <c r="S1146" s="14">
        <f>VLOOKUP(I1146,[1]Lookups!$V$3:$Y$197,4,FALSE)</f>
        <v>0</v>
      </c>
      <c r="T1146" s="14" t="str">
        <f>VLOOKUP(E1146,[1]Lookups!$H$3:$I$71,2,FALSE)</f>
        <v>3. Early Venture</v>
      </c>
      <c r="U1146" s="14" t="str">
        <f>VLOOKUP(K1146,[1]Lookups!$B$3:$C$142,2,FALSE)</f>
        <v>E-commerce &amp; Retail</v>
      </c>
      <c r="V1146" s="14">
        <f t="shared" si="1230"/>
        <v>2019</v>
      </c>
      <c r="W1146" s="14">
        <f t="shared" si="1231"/>
        <v>6</v>
      </c>
      <c r="X1146" s="14">
        <f>VLOOKUP(W1146,[1]Lookups!$P$3:$S$15,2,FALSE)</f>
        <v>2</v>
      </c>
      <c r="Y1146" s="16">
        <f>VLOOKUP(W1146,[1]Lookups!$P$3:$U$15,3,FALSE)</f>
        <v>1</v>
      </c>
      <c r="Z1146" s="16">
        <f t="shared" si="1232"/>
        <v>1</v>
      </c>
      <c r="AA1146" s="16" t="str">
        <f t="shared" ca="1" si="1474"/>
        <v>Algebra Ventures</v>
      </c>
      <c r="AB1146" s="16">
        <f t="shared" si="1474"/>
        <v>0</v>
      </c>
      <c r="AC1146" s="16">
        <f t="shared" si="1474"/>
        <v>0</v>
      </c>
      <c r="AD1146" s="16">
        <f t="shared" si="1474"/>
        <v>0</v>
      </c>
      <c r="AE1146" s="16">
        <f t="shared" si="1474"/>
        <v>0</v>
      </c>
      <c r="AF1146" s="16">
        <f t="shared" si="1474"/>
        <v>0</v>
      </c>
      <c r="AG1146" s="16">
        <f t="shared" si="1474"/>
        <v>0</v>
      </c>
      <c r="AH1146" s="16">
        <f t="shared" si="1474"/>
        <v>0</v>
      </c>
      <c r="AI1146" s="16">
        <f t="shared" si="1474"/>
        <v>0</v>
      </c>
      <c r="AJ1146" s="16">
        <f t="shared" si="1474"/>
        <v>0</v>
      </c>
      <c r="AK1146" s="16">
        <f t="shared" si="1474"/>
        <v>0</v>
      </c>
      <c r="AL1146" s="16">
        <f t="shared" si="1474"/>
        <v>0</v>
      </c>
      <c r="AM1146" s="16">
        <f t="shared" si="1474"/>
        <v>0</v>
      </c>
      <c r="AN1146" s="16">
        <f t="shared" si="1474"/>
        <v>0</v>
      </c>
      <c r="AO1146" s="16">
        <f t="shared" si="1474"/>
        <v>0</v>
      </c>
      <c r="AP1146" s="10"/>
      <c r="AQ1146" s="10"/>
      <c r="AR1146" s="10"/>
      <c r="AS1146" s="10" t="str">
        <f t="shared" ref="AS1146" ca="1" si="1477">IFERROR(__xludf.DUMMYFUNCTION("split(F968,"","",true,true)"),"Algebra Ventures")</f>
        <v>Algebra Ventures</v>
      </c>
      <c r="AT1146" s="10"/>
      <c r="AU1146" s="10"/>
      <c r="AV1146" s="10"/>
      <c r="AW1146" s="10"/>
      <c r="AX1146" s="10"/>
      <c r="AY1146" s="10"/>
      <c r="AZ1146" s="10"/>
      <c r="BA1146" s="10"/>
      <c r="BB1146" s="10"/>
      <c r="BC1146" s="10"/>
      <c r="BD1146" s="10"/>
      <c r="BE1146" s="10"/>
      <c r="BF1146" s="10"/>
      <c r="BG1146" s="10"/>
      <c r="BH1146" s="10"/>
      <c r="BI1146" s="10"/>
      <c r="BJ1146" s="10"/>
      <c r="BK1146" s="10"/>
      <c r="BM1146" s="10"/>
    </row>
    <row r="1147" spans="1:65" ht="12.75">
      <c r="A1147" s="9">
        <v>43641</v>
      </c>
      <c r="B1147" s="10" t="s">
        <v>2395</v>
      </c>
      <c r="C1147" s="11" t="s">
        <v>49</v>
      </c>
      <c r="D1147" s="12"/>
      <c r="E1147" s="10" t="s">
        <v>69</v>
      </c>
      <c r="F1147" s="10" t="s">
        <v>2396</v>
      </c>
      <c r="G1147" s="13" t="s">
        <v>2397</v>
      </c>
      <c r="H1147" s="14" t="str">
        <f t="array" ref="H1147">IFERROR(INDEX([1]Companies!$G:$G,MATCH(B1147,[1]Companies!$A:$A,0)),"")</f>
        <v>Egypt</v>
      </c>
      <c r="I1147" s="14" t="str">
        <f t="shared" si="1299"/>
        <v>Egypt</v>
      </c>
      <c r="J1147" s="14" t="str">
        <f t="array" ref="J1147">IFERROR(INDEX([1]Companies!$Y:$Y,MATCH(B1147,[1]Companies!$A:$A,0)),"")</f>
        <v>Food and Beverages</v>
      </c>
      <c r="K1147" s="14" t="str">
        <f t="array" ref="K1147">IFERROR(INDEX([1]Companies!$X:$X,MATCH(B1147,[1]Companies!$A:$A,0)),"")</f>
        <v>E-Commerce &amp; Retail</v>
      </c>
      <c r="L1147" s="14" t="str">
        <f>VLOOKUP(B1147,[1]Companies!$A$1:$C$5243,1,FALSE)</f>
        <v>Breadfast</v>
      </c>
      <c r="M1147" s="15">
        <f t="shared" si="1300"/>
        <v>0.9</v>
      </c>
      <c r="N1147" s="10" t="str">
        <f t="shared" si="1301"/>
        <v>43641BreadfastUndisclosed</v>
      </c>
      <c r="O1147" s="14" t="str">
        <f t="shared" si="1399"/>
        <v/>
      </c>
      <c r="P1147" s="14">
        <f t="shared" si="1400"/>
        <v>0</v>
      </c>
      <c r="Q1147" s="14">
        <f t="array" ref="Q1147">IFERROR(INDEX([1]Companies!$D:$D,MATCH(B1147,[1]Companies!$A:$A,0)),"")</f>
        <v>2017</v>
      </c>
      <c r="R1147" s="17">
        <f t="shared" si="1401"/>
        <v>150000</v>
      </c>
      <c r="S1147" s="14">
        <f>VLOOKUP(I1147,[1]Lookups!$V$3:$Y$197,4,FALSE)</f>
        <v>0</v>
      </c>
      <c r="T1147" s="14" t="str">
        <f>VLOOKUP(E1147,[1]Lookups!$H$3:$I$71,2,FALSE)</f>
        <v>3. Early Venture</v>
      </c>
      <c r="U1147" s="14" t="str">
        <f>VLOOKUP(K1147,[1]Lookups!$B$3:$C$142,2,FALSE)</f>
        <v>E-commerce &amp; Retail</v>
      </c>
      <c r="V1147" s="14">
        <f t="shared" si="1230"/>
        <v>2019</v>
      </c>
      <c r="W1147" s="14">
        <f t="shared" si="1231"/>
        <v>6</v>
      </c>
      <c r="X1147" s="14">
        <f>VLOOKUP(W1147,[1]Lookups!$P$3:$S$15,2,FALSE)</f>
        <v>2</v>
      </c>
      <c r="Y1147" s="16">
        <f>VLOOKUP(W1147,[1]Lookups!$P$3:$U$15,3,FALSE)</f>
        <v>1</v>
      </c>
      <c r="Z1147" s="16">
        <f t="shared" si="1232"/>
        <v>2</v>
      </c>
      <c r="AA1147" s="16" t="str">
        <f t="shared" ca="1" si="1474"/>
        <v>Algebra Ventures</v>
      </c>
      <c r="AB1147" s="16" t="str">
        <f t="shared" ca="1" si="1474"/>
        <v xml:space="preserve"> Mohamed El Sewedy</v>
      </c>
      <c r="AC1147" s="16">
        <f t="shared" si="1474"/>
        <v>0</v>
      </c>
      <c r="AD1147" s="16">
        <f t="shared" si="1474"/>
        <v>0</v>
      </c>
      <c r="AE1147" s="16">
        <f t="shared" si="1474"/>
        <v>0</v>
      </c>
      <c r="AF1147" s="16">
        <f t="shared" si="1474"/>
        <v>0</v>
      </c>
      <c r="AG1147" s="16">
        <f t="shared" si="1474"/>
        <v>0</v>
      </c>
      <c r="AH1147" s="16">
        <f t="shared" si="1474"/>
        <v>0</v>
      </c>
      <c r="AI1147" s="16">
        <f t="shared" si="1474"/>
        <v>0</v>
      </c>
      <c r="AJ1147" s="16">
        <f t="shared" si="1474"/>
        <v>0</v>
      </c>
      <c r="AK1147" s="16">
        <f t="shared" si="1474"/>
        <v>0</v>
      </c>
      <c r="AL1147" s="16">
        <f t="shared" si="1474"/>
        <v>0</v>
      </c>
      <c r="AM1147" s="16">
        <f t="shared" si="1474"/>
        <v>0</v>
      </c>
      <c r="AN1147" s="16">
        <f t="shared" si="1474"/>
        <v>0</v>
      </c>
      <c r="AO1147" s="16">
        <f t="shared" si="1474"/>
        <v>0</v>
      </c>
      <c r="AP1147" s="10"/>
      <c r="AQ1147" s="10"/>
      <c r="AR1147" s="10"/>
      <c r="AS1147" s="10" t="str">
        <f t="shared" ref="AS1147" ca="1" si="1478">IFERROR(__xludf.DUMMYFUNCTION("split(F968,"","",true,true)"),"Algebra Ventures")</f>
        <v>Algebra Ventures</v>
      </c>
      <c r="AT1147" s="10" t="str">
        <f ca="1">IFERROR(__xludf.DUMMYFUNCTION("""COMPUTED_VALUE""")," Mohamed El Sewedy")</f>
        <v xml:space="preserve"> Mohamed El Sewedy</v>
      </c>
      <c r="AU1147" s="10"/>
      <c r="AV1147" s="10"/>
      <c r="AW1147" s="10"/>
      <c r="AX1147" s="10"/>
      <c r="AY1147" s="10"/>
      <c r="AZ1147" s="10"/>
      <c r="BA1147" s="10"/>
      <c r="BB1147" s="10"/>
      <c r="BC1147" s="10"/>
      <c r="BD1147" s="10"/>
      <c r="BE1147" s="10"/>
      <c r="BF1147" s="10"/>
      <c r="BG1147" s="10"/>
      <c r="BH1147" s="10"/>
      <c r="BI1147" s="10"/>
      <c r="BJ1147" s="10"/>
      <c r="BK1147" s="10"/>
      <c r="BM1147" s="10"/>
    </row>
    <row r="1148" spans="1:65" ht="12.75">
      <c r="A1148" s="9">
        <v>43641</v>
      </c>
      <c r="B1148" s="10" t="s">
        <v>2398</v>
      </c>
      <c r="C1148" s="11" t="s">
        <v>49</v>
      </c>
      <c r="D1148" s="12"/>
      <c r="E1148" s="10" t="s">
        <v>45</v>
      </c>
      <c r="F1148" s="10" t="s">
        <v>2399</v>
      </c>
      <c r="G1148" s="13" t="s">
        <v>2400</v>
      </c>
      <c r="H1148" s="14" t="str">
        <f t="array" ref="H1148">IFERROR(INDEX([1]Companies!$G:$G,MATCH(B1148,[1]Companies!$A:$A,0)),"")</f>
        <v>Uganda</v>
      </c>
      <c r="I1148" s="14" t="str">
        <f t="shared" si="1299"/>
        <v>Uganda</v>
      </c>
      <c r="J1148" s="14" t="str">
        <f t="array" ref="J1148">IFERROR(INDEX([1]Companies!$Y:$Y,MATCH(B1148,[1]Companies!$A:$A,0)),"")</f>
        <v>Cloud services, Information Technology</v>
      </c>
      <c r="K1148" s="14" t="str">
        <f t="array" ref="K1148">IFERROR(INDEX([1]Companies!$X:$X,MATCH(B1148,[1]Companies!$A:$A,0)),"")</f>
        <v>Information Technology</v>
      </c>
      <c r="L1148" s="14" t="str">
        <f>VLOOKUP(B1148,[1]Companies!$A$1:$C$5243,1,FALSE)</f>
        <v>afriQloud</v>
      </c>
      <c r="M1148" s="15">
        <f t="shared" si="1300"/>
        <v>0.9</v>
      </c>
      <c r="N1148" s="10" t="str">
        <f t="shared" si="1301"/>
        <v>43641afriQloudUndisclosed</v>
      </c>
      <c r="O1148" s="14" t="str">
        <f t="shared" si="1399"/>
        <v/>
      </c>
      <c r="P1148" s="14">
        <f t="shared" si="1400"/>
        <v>0</v>
      </c>
      <c r="Q1148" s="14">
        <f t="array" ref="Q1148">IFERROR(INDEX([1]Companies!$D:$D,MATCH(B1148,[1]Companies!$A:$A,0)),"")</f>
        <v>2016</v>
      </c>
      <c r="R1148" s="17">
        <f t="shared" si="1401"/>
        <v>0</v>
      </c>
      <c r="S1148" s="14">
        <f>VLOOKUP(I1148,[1]Lookups!$V$3:$Y$197,4,FALSE)</f>
        <v>0</v>
      </c>
      <c r="T1148" s="14" t="str">
        <f>VLOOKUP(E1148,[1]Lookups!$H$3:$I$71,2,FALSE)</f>
        <v>2. Seed</v>
      </c>
      <c r="U1148" s="14" t="str">
        <f>VLOOKUP(K1148,[1]Lookups!$B$3:$C$142,2,FALSE)</f>
        <v>Other Technologies &amp; Information Technology</v>
      </c>
      <c r="V1148" s="14">
        <f t="shared" si="1230"/>
        <v>2019</v>
      </c>
      <c r="W1148" s="14">
        <f t="shared" si="1231"/>
        <v>6</v>
      </c>
      <c r="X1148" s="14">
        <f>VLOOKUP(W1148,[1]Lookups!$P$3:$S$15,2,FALSE)</f>
        <v>2</v>
      </c>
      <c r="Y1148" s="16">
        <f>VLOOKUP(W1148,[1]Lookups!$P$3:$U$15,3,FALSE)</f>
        <v>1</v>
      </c>
      <c r="Z1148" s="16">
        <f t="shared" si="1232"/>
        <v>1</v>
      </c>
      <c r="AA1148" s="16" t="str">
        <f t="shared" ca="1" si="1474"/>
        <v>Algebra Ventures</v>
      </c>
      <c r="AB1148" s="16">
        <f t="shared" si="1474"/>
        <v>0</v>
      </c>
      <c r="AC1148" s="16">
        <f t="shared" si="1474"/>
        <v>0</v>
      </c>
      <c r="AD1148" s="16">
        <f t="shared" si="1474"/>
        <v>0</v>
      </c>
      <c r="AE1148" s="16">
        <f t="shared" si="1474"/>
        <v>0</v>
      </c>
      <c r="AF1148" s="16">
        <f t="shared" si="1474"/>
        <v>0</v>
      </c>
      <c r="AG1148" s="16">
        <f t="shared" si="1474"/>
        <v>0</v>
      </c>
      <c r="AH1148" s="16">
        <f t="shared" si="1474"/>
        <v>0</v>
      </c>
      <c r="AI1148" s="16">
        <f t="shared" si="1474"/>
        <v>0</v>
      </c>
      <c r="AJ1148" s="16">
        <f t="shared" si="1474"/>
        <v>0</v>
      </c>
      <c r="AK1148" s="16">
        <f t="shared" si="1474"/>
        <v>0</v>
      </c>
      <c r="AL1148" s="16">
        <f t="shared" si="1474"/>
        <v>0</v>
      </c>
      <c r="AM1148" s="16">
        <f t="shared" si="1474"/>
        <v>0</v>
      </c>
      <c r="AN1148" s="16">
        <f t="shared" si="1474"/>
        <v>0</v>
      </c>
      <c r="AO1148" s="16">
        <f t="shared" si="1474"/>
        <v>0</v>
      </c>
      <c r="AP1148" s="10"/>
      <c r="AQ1148" s="10"/>
      <c r="AR1148" s="10"/>
      <c r="AS1148" s="10" t="str">
        <f t="shared" ref="AS1148" ca="1" si="1479">IFERROR(__xludf.DUMMYFUNCTION("split(F968,"","",true,true)"),"Algebra Ventures")</f>
        <v>Algebra Ventures</v>
      </c>
      <c r="AT1148" s="10"/>
      <c r="AU1148" s="10"/>
      <c r="AV1148" s="10"/>
      <c r="AW1148" s="10"/>
      <c r="AX1148" s="10"/>
      <c r="AY1148" s="10"/>
      <c r="AZ1148" s="10"/>
      <c r="BA1148" s="10"/>
      <c r="BB1148" s="10"/>
      <c r="BC1148" s="10"/>
      <c r="BD1148" s="10"/>
      <c r="BE1148" s="10"/>
      <c r="BF1148" s="10"/>
      <c r="BG1148" s="10"/>
      <c r="BH1148" s="10"/>
      <c r="BI1148" s="10"/>
      <c r="BJ1148" s="10"/>
      <c r="BK1148" s="10"/>
      <c r="BM1148" s="10"/>
    </row>
    <row r="1149" spans="1:65" ht="12.75">
      <c r="A1149" s="9">
        <v>43641</v>
      </c>
      <c r="B1149" s="10" t="s">
        <v>2395</v>
      </c>
      <c r="C1149" s="11">
        <v>150000</v>
      </c>
      <c r="D1149" s="38">
        <v>7.0000000000000007E-2</v>
      </c>
      <c r="E1149" s="10" t="s">
        <v>45</v>
      </c>
      <c r="F1149" s="10" t="s">
        <v>305</v>
      </c>
      <c r="G1149" s="13" t="s">
        <v>2401</v>
      </c>
      <c r="H1149" s="14" t="str">
        <f t="array" ref="H1149">IFERROR(INDEX([1]Companies!$G:$G,MATCH(B1149,[1]Companies!$A:$A,0)),"")</f>
        <v>Egypt</v>
      </c>
      <c r="I1149" s="14" t="str">
        <f t="shared" si="1299"/>
        <v>Egypt</v>
      </c>
      <c r="J1149" s="14" t="str">
        <f t="array" ref="J1149">IFERROR(INDEX([1]Companies!$Y:$Y,MATCH(B1149,[1]Companies!$A:$A,0)),"")</f>
        <v>Food and Beverages</v>
      </c>
      <c r="K1149" s="14" t="str">
        <f t="array" ref="K1149">IFERROR(INDEX([1]Companies!$X:$X,MATCH(B1149,[1]Companies!$A:$A,0)),"")</f>
        <v>E-Commerce &amp; Retail</v>
      </c>
      <c r="L1149" s="14" t="str">
        <f>VLOOKUP(B1149,[1]Companies!$A$1:$C$5243,1,FALSE)</f>
        <v>Breadfast</v>
      </c>
      <c r="M1149" s="15">
        <f t="shared" si="1300"/>
        <v>1</v>
      </c>
      <c r="N1149" s="10" t="str">
        <f t="shared" si="1301"/>
        <v>43641Breadfast150000</v>
      </c>
      <c r="O1149" s="14" t="str">
        <f t="shared" si="1399"/>
        <v/>
      </c>
      <c r="P1149" s="14">
        <f t="shared" si="1400"/>
        <v>1</v>
      </c>
      <c r="Q1149" s="14">
        <f t="array" ref="Q1149">IFERROR(INDEX([1]Companies!$D:$D,MATCH(B1149,[1]Companies!$A:$A,0)),"")</f>
        <v>2017</v>
      </c>
      <c r="R1149" s="17">
        <f t="shared" si="1401"/>
        <v>150000</v>
      </c>
      <c r="S1149" s="14">
        <f>VLOOKUP(I1149,[1]Lookups!$V$3:$Y$197,4,FALSE)</f>
        <v>0</v>
      </c>
      <c r="T1149" s="14" t="str">
        <f>VLOOKUP(E1149,[1]Lookups!$H$3:$I$71,2,FALSE)</f>
        <v>2. Seed</v>
      </c>
      <c r="U1149" s="14" t="str">
        <f>VLOOKUP(K1149,[1]Lookups!$B$3:$C$142,2,FALSE)</f>
        <v>E-commerce &amp; Retail</v>
      </c>
      <c r="V1149" s="14">
        <f t="shared" si="1230"/>
        <v>2019</v>
      </c>
      <c r="W1149" s="14">
        <f t="shared" si="1231"/>
        <v>6</v>
      </c>
      <c r="X1149" s="14">
        <f>VLOOKUP(W1149,[1]Lookups!$P$3:$S$15,2,FALSE)</f>
        <v>2</v>
      </c>
      <c r="Y1149" s="16">
        <f>VLOOKUP(W1149,[1]Lookups!$P$3:$U$15,3,FALSE)</f>
        <v>1</v>
      </c>
      <c r="Z1149" s="16">
        <f t="shared" si="1232"/>
        <v>1</v>
      </c>
      <c r="AA1149" s="16" t="str">
        <f t="shared" ca="1" si="1474"/>
        <v>Algebra Ventures</v>
      </c>
      <c r="AB1149" s="16">
        <f t="shared" si="1474"/>
        <v>0</v>
      </c>
      <c r="AC1149" s="16">
        <f t="shared" si="1474"/>
        <v>0</v>
      </c>
      <c r="AD1149" s="16">
        <f t="shared" si="1474"/>
        <v>0</v>
      </c>
      <c r="AE1149" s="16">
        <f t="shared" si="1474"/>
        <v>0</v>
      </c>
      <c r="AF1149" s="16">
        <f t="shared" si="1474"/>
        <v>0</v>
      </c>
      <c r="AG1149" s="16">
        <f t="shared" si="1474"/>
        <v>0</v>
      </c>
      <c r="AH1149" s="16">
        <f t="shared" si="1474"/>
        <v>0</v>
      </c>
      <c r="AI1149" s="16">
        <f t="shared" si="1474"/>
        <v>0</v>
      </c>
      <c r="AJ1149" s="16">
        <f t="shared" si="1474"/>
        <v>0</v>
      </c>
      <c r="AK1149" s="16">
        <f t="shared" si="1474"/>
        <v>0</v>
      </c>
      <c r="AL1149" s="16">
        <f t="shared" si="1474"/>
        <v>0</v>
      </c>
      <c r="AM1149" s="16">
        <f t="shared" si="1474"/>
        <v>0</v>
      </c>
      <c r="AN1149" s="16">
        <f t="shared" si="1474"/>
        <v>0</v>
      </c>
      <c r="AO1149" s="16">
        <f t="shared" si="1474"/>
        <v>0</v>
      </c>
      <c r="AP1149" s="10"/>
      <c r="AQ1149" s="10"/>
      <c r="AR1149" s="10"/>
      <c r="AS1149" s="10" t="str">
        <f t="shared" ref="AS1149" ca="1" si="1480">IFERROR(__xludf.DUMMYFUNCTION("split(F968,"","",true,true)"),"Algebra Ventures")</f>
        <v>Algebra Ventures</v>
      </c>
      <c r="AT1149" s="10"/>
      <c r="AU1149" s="10"/>
      <c r="AV1149" s="10"/>
      <c r="AW1149" s="10"/>
      <c r="AX1149" s="10"/>
      <c r="AY1149" s="10"/>
      <c r="AZ1149" s="10"/>
      <c r="BA1149" s="10"/>
      <c r="BB1149" s="10"/>
      <c r="BC1149" s="10"/>
      <c r="BD1149" s="10"/>
      <c r="BE1149" s="10"/>
      <c r="BF1149" s="10"/>
      <c r="BG1149" s="10"/>
      <c r="BH1149" s="10"/>
      <c r="BI1149" s="10"/>
      <c r="BJ1149" s="10"/>
      <c r="BK1149" s="10"/>
      <c r="BM1149" s="10"/>
    </row>
    <row r="1150" spans="1:65" ht="12.75">
      <c r="A1150" s="9">
        <v>43641</v>
      </c>
      <c r="B1150" s="10" t="s">
        <v>2365</v>
      </c>
      <c r="C1150" s="11">
        <v>75000</v>
      </c>
      <c r="D1150" s="12"/>
      <c r="E1150" s="10" t="s">
        <v>55</v>
      </c>
      <c r="F1150" s="10" t="s">
        <v>2402</v>
      </c>
      <c r="G1150" s="13" t="s">
        <v>2403</v>
      </c>
      <c r="H1150" s="14" t="str">
        <f t="array" ref="H1150">IFERROR(INDEX([1]Companies!$G:$G,MATCH(B1150,[1]Companies!$A:$A,0)),"")</f>
        <v>Kenya</v>
      </c>
      <c r="I1150" s="14" t="str">
        <f t="shared" si="1299"/>
        <v>Kenya</v>
      </c>
      <c r="J1150" s="14" t="str">
        <f t="array" ref="J1150">IFERROR(INDEX([1]Companies!$Y:$Y,MATCH(B1150,[1]Companies!$A:$A,0)),"")</f>
        <v>Clean Energy, Solar</v>
      </c>
      <c r="K1150" s="14" t="str">
        <f t="array" ref="K1150">IFERROR(INDEX([1]Companies!$X:$X,MATCH(B1150,[1]Companies!$A:$A,0)),"")</f>
        <v>Energy &amp; Environment Resources</v>
      </c>
      <c r="L1150" s="14" t="str">
        <f>VLOOKUP(B1150,[1]Companies!$A$1:$C$5243,1,FALSE)</f>
        <v>Solar Freeze</v>
      </c>
      <c r="M1150" s="15">
        <f t="shared" si="1300"/>
        <v>0.9</v>
      </c>
      <c r="N1150" s="10" t="str">
        <f t="shared" si="1301"/>
        <v>43641Solar Freeze75000</v>
      </c>
      <c r="O1150" s="14" t="str">
        <f t="shared" si="1399"/>
        <v/>
      </c>
      <c r="P1150" s="14">
        <f t="shared" si="1400"/>
        <v>1</v>
      </c>
      <c r="Q1150" s="14">
        <f t="array" ref="Q1150">IFERROR(INDEX([1]Companies!$D:$D,MATCH(B1150,[1]Companies!$A:$A,0)),"")</f>
        <v>2016</v>
      </c>
      <c r="R1150" s="17">
        <f t="shared" si="1401"/>
        <v>95000</v>
      </c>
      <c r="S1150" s="14">
        <f>VLOOKUP(I1150,[1]Lookups!$V$3:$Y$197,4,FALSE)</f>
        <v>0</v>
      </c>
      <c r="T1150" s="14" t="str">
        <f>VLOOKUP(E1150,[1]Lookups!$H$3:$I$71,2,FALSE)</f>
        <v>1. Grant</v>
      </c>
      <c r="U1150" s="14" t="e">
        <f>VLOOKUP(K1150,[1]Lookups!$B$3:$C$142,2,FALSE)</f>
        <v>#N/A</v>
      </c>
      <c r="V1150" s="14">
        <f t="shared" si="1230"/>
        <v>2019</v>
      </c>
      <c r="W1150" s="14">
        <f t="shared" si="1231"/>
        <v>6</v>
      </c>
      <c r="X1150" s="14">
        <f>VLOOKUP(W1150,[1]Lookups!$P$3:$S$15,2,FALSE)</f>
        <v>2</v>
      </c>
      <c r="Y1150" s="16">
        <f>VLOOKUP(W1150,[1]Lookups!$P$3:$U$15,3,FALSE)</f>
        <v>1</v>
      </c>
      <c r="Z1150" s="16">
        <f t="shared" si="1232"/>
        <v>1</v>
      </c>
      <c r="AA1150" s="16" t="str">
        <f t="shared" ca="1" si="1474"/>
        <v>Algebra Ventures</v>
      </c>
      <c r="AB1150" s="16">
        <f t="shared" si="1474"/>
        <v>0</v>
      </c>
      <c r="AC1150" s="16">
        <f t="shared" si="1474"/>
        <v>0</v>
      </c>
      <c r="AD1150" s="16">
        <f t="shared" si="1474"/>
        <v>0</v>
      </c>
      <c r="AE1150" s="16">
        <f t="shared" si="1474"/>
        <v>0</v>
      </c>
      <c r="AF1150" s="16">
        <f t="shared" si="1474"/>
        <v>0</v>
      </c>
      <c r="AG1150" s="16">
        <f t="shared" si="1474"/>
        <v>0</v>
      </c>
      <c r="AH1150" s="16">
        <f t="shared" si="1474"/>
        <v>0</v>
      </c>
      <c r="AI1150" s="16">
        <f t="shared" si="1474"/>
        <v>0</v>
      </c>
      <c r="AJ1150" s="16">
        <f t="shared" si="1474"/>
        <v>0</v>
      </c>
      <c r="AK1150" s="16">
        <f t="shared" si="1474"/>
        <v>0</v>
      </c>
      <c r="AL1150" s="16">
        <f t="shared" si="1474"/>
        <v>0</v>
      </c>
      <c r="AM1150" s="16">
        <f t="shared" si="1474"/>
        <v>0</v>
      </c>
      <c r="AN1150" s="16">
        <f t="shared" si="1474"/>
        <v>0</v>
      </c>
      <c r="AO1150" s="16">
        <f t="shared" si="1474"/>
        <v>0</v>
      </c>
      <c r="AP1150" s="10"/>
      <c r="AQ1150" s="10"/>
      <c r="AR1150" s="10"/>
      <c r="AS1150" s="10" t="str">
        <f t="shared" ref="AS1150" ca="1" si="1481">IFERROR(__xludf.DUMMYFUNCTION("split(F968,"","",true,true)"),"Algebra Ventures")</f>
        <v>Algebra Ventures</v>
      </c>
      <c r="AT1150" s="10"/>
      <c r="AU1150" s="10"/>
      <c r="AV1150" s="10"/>
      <c r="AW1150" s="10"/>
      <c r="AX1150" s="10"/>
      <c r="AY1150" s="10"/>
      <c r="AZ1150" s="10"/>
      <c r="BA1150" s="10"/>
      <c r="BB1150" s="10"/>
      <c r="BC1150" s="10"/>
      <c r="BD1150" s="10"/>
      <c r="BE1150" s="10"/>
      <c r="BF1150" s="10"/>
      <c r="BG1150" s="10"/>
      <c r="BH1150" s="10"/>
      <c r="BI1150" s="10"/>
      <c r="BJ1150" s="10"/>
      <c r="BK1150" s="10"/>
      <c r="BM1150" s="10"/>
    </row>
    <row r="1151" spans="1:65" ht="12.75">
      <c r="A1151" s="9">
        <v>43641</v>
      </c>
      <c r="B1151" s="10" t="s">
        <v>2404</v>
      </c>
      <c r="C1151" s="11">
        <v>8300</v>
      </c>
      <c r="D1151" s="12"/>
      <c r="E1151" s="10" t="s">
        <v>55</v>
      </c>
      <c r="F1151" s="10" t="s">
        <v>2405</v>
      </c>
      <c r="G1151" s="13" t="s">
        <v>2406</v>
      </c>
      <c r="H1151" s="14" t="str">
        <f t="array" ref="H1151">IFERROR(INDEX([1]Companies!$G:$G,MATCH(B1151,[1]Companies!$A:$A,0)),"")</f>
        <v>Nigeria</v>
      </c>
      <c r="I1151" s="14" t="str">
        <f t="shared" si="1299"/>
        <v>Nigeria</v>
      </c>
      <c r="J1151" s="14" t="str">
        <f t="array" ref="J1151">IFERROR(INDEX([1]Companies!$Y:$Y,MATCH(B1151,[1]Companies!$A:$A,0)),"")</f>
        <v>Commerce</v>
      </c>
      <c r="K1151" s="14" t="str">
        <f t="array" ref="K1151">IFERROR(INDEX([1]Companies!$X:$X,MATCH(B1151,[1]Companies!$A:$A,0)),"")</f>
        <v>E-Commerce &amp; Retail</v>
      </c>
      <c r="L1151" s="14" t="str">
        <f>VLOOKUP(B1151,[1]Companies!$A$1:$C$5243,1,FALSE)</f>
        <v>Ogaranya</v>
      </c>
      <c r="M1151" s="15">
        <f t="shared" si="1300"/>
        <v>0.9</v>
      </c>
      <c r="N1151" s="10" t="str">
        <f t="shared" si="1301"/>
        <v>43641Ogaranya8300</v>
      </c>
      <c r="O1151" s="14" t="str">
        <f t="shared" si="1399"/>
        <v/>
      </c>
      <c r="P1151" s="14">
        <f t="shared" si="1400"/>
        <v>1</v>
      </c>
      <c r="Q1151" s="14">
        <f t="array" ref="Q1151">IFERROR(INDEX([1]Companies!$D:$D,MATCH(B1151,[1]Companies!$A:$A,0)),"")</f>
        <v>2017</v>
      </c>
      <c r="R1151" s="17">
        <f t="shared" si="1401"/>
        <v>8300</v>
      </c>
      <c r="S1151" s="14">
        <f>VLOOKUP(I1151,[1]Lookups!$V$3:$Y$197,4,FALSE)</f>
        <v>0</v>
      </c>
      <c r="T1151" s="14" t="str">
        <f>VLOOKUP(E1151,[1]Lookups!$H$3:$I$71,2,FALSE)</f>
        <v>1. Grant</v>
      </c>
      <c r="U1151" s="14" t="str">
        <f>VLOOKUP(K1151,[1]Lookups!$B$3:$C$142,2,FALSE)</f>
        <v>E-commerce &amp; Retail</v>
      </c>
      <c r="V1151" s="14">
        <f t="shared" si="1230"/>
        <v>2019</v>
      </c>
      <c r="W1151" s="14">
        <f t="shared" si="1231"/>
        <v>6</v>
      </c>
      <c r="X1151" s="14">
        <f>VLOOKUP(W1151,[1]Lookups!$P$3:$S$15,2,FALSE)</f>
        <v>2</v>
      </c>
      <c r="Y1151" s="16">
        <f>VLOOKUP(W1151,[1]Lookups!$P$3:$U$15,3,FALSE)</f>
        <v>1</v>
      </c>
      <c r="Z1151" s="16">
        <f t="shared" si="1232"/>
        <v>2</v>
      </c>
      <c r="AA1151" s="16" t="str">
        <f t="shared" ca="1" si="1474"/>
        <v>Algebra Ventures</v>
      </c>
      <c r="AB1151" s="16" t="str">
        <f t="shared" ca="1" si="1474"/>
        <v xml:space="preserve"> Ventures Platform Foundation</v>
      </c>
      <c r="AC1151" s="16">
        <f t="shared" si="1474"/>
        <v>0</v>
      </c>
      <c r="AD1151" s="16">
        <f t="shared" si="1474"/>
        <v>0</v>
      </c>
      <c r="AE1151" s="16">
        <f t="shared" si="1474"/>
        <v>0</v>
      </c>
      <c r="AF1151" s="16">
        <f t="shared" si="1474"/>
        <v>0</v>
      </c>
      <c r="AG1151" s="16">
        <f t="shared" si="1474"/>
        <v>0</v>
      </c>
      <c r="AH1151" s="16">
        <f t="shared" si="1474"/>
        <v>0</v>
      </c>
      <c r="AI1151" s="16">
        <f t="shared" si="1474"/>
        <v>0</v>
      </c>
      <c r="AJ1151" s="16">
        <f t="shared" si="1474"/>
        <v>0</v>
      </c>
      <c r="AK1151" s="16">
        <f t="shared" si="1474"/>
        <v>0</v>
      </c>
      <c r="AL1151" s="16">
        <f t="shared" si="1474"/>
        <v>0</v>
      </c>
      <c r="AM1151" s="16">
        <f t="shared" si="1474"/>
        <v>0</v>
      </c>
      <c r="AN1151" s="16">
        <f t="shared" si="1474"/>
        <v>0</v>
      </c>
      <c r="AO1151" s="16">
        <f t="shared" si="1474"/>
        <v>0</v>
      </c>
      <c r="AP1151" s="10"/>
      <c r="AQ1151" s="10"/>
      <c r="AR1151" s="10"/>
      <c r="AS1151" s="10" t="str">
        <f t="shared" ref="AS1151" ca="1" si="1482">IFERROR(__xludf.DUMMYFUNCTION("split(F968,"","",true,true)"),"Algebra Ventures")</f>
        <v>Algebra Ventures</v>
      </c>
      <c r="AT1151" s="10" t="str">
        <f ca="1">IFERROR(__xludf.DUMMYFUNCTION("""COMPUTED_VALUE""")," Ventures Platform Foundation")</f>
        <v xml:space="preserve"> Ventures Platform Foundation</v>
      </c>
      <c r="AU1151" s="10"/>
      <c r="AV1151" s="10"/>
      <c r="AW1151" s="10"/>
      <c r="AX1151" s="10"/>
      <c r="AY1151" s="10"/>
      <c r="AZ1151" s="10"/>
      <c r="BA1151" s="10"/>
      <c r="BB1151" s="10"/>
      <c r="BC1151" s="10"/>
      <c r="BD1151" s="10"/>
      <c r="BE1151" s="10"/>
      <c r="BF1151" s="10"/>
      <c r="BG1151" s="10"/>
      <c r="BH1151" s="10"/>
      <c r="BI1151" s="10"/>
      <c r="BJ1151" s="10"/>
      <c r="BK1151" s="10"/>
      <c r="BM1151" s="10"/>
    </row>
    <row r="1152" spans="1:65" ht="12.75">
      <c r="A1152" s="9">
        <v>43641</v>
      </c>
      <c r="B1152" s="10" t="s">
        <v>2407</v>
      </c>
      <c r="C1152" s="11">
        <v>8300</v>
      </c>
      <c r="D1152" s="12"/>
      <c r="E1152" s="10" t="s">
        <v>55</v>
      </c>
      <c r="F1152" s="10" t="s">
        <v>2405</v>
      </c>
      <c r="G1152" s="13" t="s">
        <v>2406</v>
      </c>
      <c r="H1152" s="14" t="str">
        <f t="array" ref="H1152">IFERROR(INDEX([1]Companies!$G:$G,MATCH(B1152,[1]Companies!$A:$A,0)),"")</f>
        <v>Nigeria</v>
      </c>
      <c r="I1152" s="14" t="str">
        <f t="shared" si="1299"/>
        <v>Nigeria</v>
      </c>
      <c r="J1152" s="14" t="str">
        <f t="array" ref="J1152">IFERROR(INDEX([1]Companies!$Y:$Y,MATCH(B1152,[1]Companies!$A:$A,0)),"")</f>
        <v>FinTech, Loans, P2P Lending</v>
      </c>
      <c r="K1152" s="14" t="str">
        <f t="array" ref="K1152">IFERROR(INDEX([1]Companies!$X:$X,MATCH(B1152,[1]Companies!$A:$A,0)),"")</f>
        <v>Financial services</v>
      </c>
      <c r="L1152" s="14" t="str">
        <f>VLOOKUP(B1152,[1]Companies!$A$1:$C$5243,1,FALSE)</f>
        <v>FINT</v>
      </c>
      <c r="M1152" s="15">
        <f t="shared" si="1300"/>
        <v>0.9</v>
      </c>
      <c r="N1152" s="10" t="str">
        <f t="shared" si="1301"/>
        <v>43641FINT8300</v>
      </c>
      <c r="O1152" s="14" t="str">
        <f t="shared" si="1399"/>
        <v/>
      </c>
      <c r="P1152" s="14">
        <f t="shared" si="1400"/>
        <v>1</v>
      </c>
      <c r="Q1152" s="14">
        <f t="array" ref="Q1152">IFERROR(INDEX([1]Companies!$D:$D,MATCH(B1152,[1]Companies!$A:$A,0)),"")</f>
        <v>2017</v>
      </c>
      <c r="R1152" s="17">
        <f t="shared" si="1401"/>
        <v>8300</v>
      </c>
      <c r="S1152" s="14">
        <f>VLOOKUP(I1152,[1]Lookups!$V$3:$Y$197,4,FALSE)</f>
        <v>0</v>
      </c>
      <c r="T1152" s="14" t="str">
        <f>VLOOKUP(E1152,[1]Lookups!$H$3:$I$71,2,FALSE)</f>
        <v>1. Grant</v>
      </c>
      <c r="U1152" s="14" t="str">
        <f>VLOOKUP(K1152,[1]Lookups!$B$3:$C$142,2,FALSE)</f>
        <v>Financial Services</v>
      </c>
      <c r="V1152" s="14">
        <f t="shared" si="1230"/>
        <v>2019</v>
      </c>
      <c r="W1152" s="14">
        <f t="shared" si="1231"/>
        <v>6</v>
      </c>
      <c r="X1152" s="14">
        <f>VLOOKUP(W1152,[1]Lookups!$P$3:$S$15,2,FALSE)</f>
        <v>2</v>
      </c>
      <c r="Y1152" s="16">
        <f>VLOOKUP(W1152,[1]Lookups!$P$3:$U$15,3,FALSE)</f>
        <v>1</v>
      </c>
      <c r="Z1152" s="16">
        <f t="shared" si="1232"/>
        <v>2</v>
      </c>
      <c r="AA1152" s="16" t="str">
        <f t="shared" ca="1" si="1474"/>
        <v>Algebra Ventures</v>
      </c>
      <c r="AB1152" s="16" t="str">
        <f t="shared" ca="1" si="1474"/>
        <v xml:space="preserve"> Ventures Platform Foundation</v>
      </c>
      <c r="AC1152" s="16">
        <f t="shared" si="1474"/>
        <v>0</v>
      </c>
      <c r="AD1152" s="16">
        <f t="shared" si="1474"/>
        <v>0</v>
      </c>
      <c r="AE1152" s="16">
        <f t="shared" si="1474"/>
        <v>0</v>
      </c>
      <c r="AF1152" s="16">
        <f t="shared" si="1474"/>
        <v>0</v>
      </c>
      <c r="AG1152" s="16">
        <f t="shared" si="1474"/>
        <v>0</v>
      </c>
      <c r="AH1152" s="16">
        <f t="shared" si="1474"/>
        <v>0</v>
      </c>
      <c r="AI1152" s="16">
        <f t="shared" si="1474"/>
        <v>0</v>
      </c>
      <c r="AJ1152" s="16">
        <f t="shared" si="1474"/>
        <v>0</v>
      </c>
      <c r="AK1152" s="16">
        <f t="shared" si="1474"/>
        <v>0</v>
      </c>
      <c r="AL1152" s="16">
        <f t="shared" si="1474"/>
        <v>0</v>
      </c>
      <c r="AM1152" s="16">
        <f t="shared" si="1474"/>
        <v>0</v>
      </c>
      <c r="AN1152" s="16">
        <f t="shared" si="1474"/>
        <v>0</v>
      </c>
      <c r="AO1152" s="16">
        <f t="shared" si="1474"/>
        <v>0</v>
      </c>
      <c r="AP1152" s="10"/>
      <c r="AQ1152" s="10"/>
      <c r="AR1152" s="10"/>
      <c r="AS1152" s="10" t="str">
        <f t="shared" ref="AS1152" ca="1" si="1483">IFERROR(__xludf.DUMMYFUNCTION("split(F968,"","",true,true)"),"Algebra Ventures")</f>
        <v>Algebra Ventures</v>
      </c>
      <c r="AT1152" s="10" t="str">
        <f ca="1">IFERROR(__xludf.DUMMYFUNCTION("""COMPUTED_VALUE""")," Ventures Platform Foundation")</f>
        <v xml:space="preserve"> Ventures Platform Foundation</v>
      </c>
      <c r="AU1152" s="10"/>
      <c r="AV1152" s="10"/>
      <c r="AW1152" s="10"/>
      <c r="AX1152" s="10"/>
      <c r="AY1152" s="10"/>
      <c r="AZ1152" s="10"/>
      <c r="BA1152" s="10"/>
      <c r="BB1152" s="10"/>
      <c r="BC1152" s="10"/>
      <c r="BD1152" s="10"/>
      <c r="BE1152" s="10"/>
      <c r="BF1152" s="10"/>
      <c r="BG1152" s="10"/>
      <c r="BH1152" s="10"/>
      <c r="BI1152" s="10"/>
      <c r="BJ1152" s="10"/>
      <c r="BK1152" s="10"/>
      <c r="BM1152" s="10"/>
    </row>
    <row r="1153" spans="1:65" ht="12.75">
      <c r="A1153" s="9">
        <v>43641</v>
      </c>
      <c r="B1153" s="10" t="s">
        <v>2408</v>
      </c>
      <c r="C1153" s="11">
        <v>8300</v>
      </c>
      <c r="D1153" s="12"/>
      <c r="E1153" s="10" t="s">
        <v>55</v>
      </c>
      <c r="F1153" s="10" t="s">
        <v>2405</v>
      </c>
      <c r="G1153" s="13" t="s">
        <v>2406</v>
      </c>
      <c r="H1153" s="14" t="str">
        <f t="array" ref="H1153">IFERROR(INDEX([1]Companies!$G:$G,MATCH(B1153,[1]Companies!$A:$A,0)),"")</f>
        <v>Nigeria</v>
      </c>
      <c r="I1153" s="14" t="str">
        <f t="shared" si="1299"/>
        <v>Nigeria</v>
      </c>
      <c r="J1153" s="14" t="str">
        <f t="array" ref="J1153">IFERROR(INDEX([1]Companies!$Y:$Y,MATCH(B1153,[1]Companies!$A:$A,0)),"")</f>
        <v>Investments, Savings</v>
      </c>
      <c r="K1153" s="14" t="str">
        <f t="array" ref="K1153">IFERROR(INDEX([1]Companies!$X:$X,MATCH(B1153,[1]Companies!$A:$A,0)),"")</f>
        <v>Financial services</v>
      </c>
      <c r="L1153" s="14" t="str">
        <f>VLOOKUP(B1153,[1]Companies!$A$1:$C$5243,1,FALSE)</f>
        <v>Payday Investor</v>
      </c>
      <c r="M1153" s="15">
        <f t="shared" si="1300"/>
        <v>0.9</v>
      </c>
      <c r="N1153" s="10" t="str">
        <f t="shared" si="1301"/>
        <v>43641Payday Investor8300</v>
      </c>
      <c r="O1153" s="14" t="str">
        <f t="shared" si="1399"/>
        <v/>
      </c>
      <c r="P1153" s="14">
        <f t="shared" si="1400"/>
        <v>1</v>
      </c>
      <c r="Q1153" s="14">
        <f t="array" ref="Q1153">IFERROR(INDEX([1]Companies!$D:$D,MATCH(B1153,[1]Companies!$A:$A,0)),"")</f>
        <v>2018</v>
      </c>
      <c r="R1153" s="17">
        <f t="shared" si="1401"/>
        <v>8300</v>
      </c>
      <c r="S1153" s="14">
        <f>VLOOKUP(I1153,[1]Lookups!$V$3:$Y$197,4,FALSE)</f>
        <v>0</v>
      </c>
      <c r="T1153" s="14" t="str">
        <f>VLOOKUP(E1153,[1]Lookups!$H$3:$I$71,2,FALSE)</f>
        <v>1. Grant</v>
      </c>
      <c r="U1153" s="14" t="str">
        <f>VLOOKUP(K1153,[1]Lookups!$B$3:$C$142,2,FALSE)</f>
        <v>Financial Services</v>
      </c>
      <c r="V1153" s="14">
        <f t="shared" si="1230"/>
        <v>2019</v>
      </c>
      <c r="W1153" s="14">
        <f t="shared" si="1231"/>
        <v>6</v>
      </c>
      <c r="X1153" s="14">
        <f>VLOOKUP(W1153,[1]Lookups!$P$3:$S$15,2,FALSE)</f>
        <v>2</v>
      </c>
      <c r="Y1153" s="16">
        <f>VLOOKUP(W1153,[1]Lookups!$P$3:$U$15,3,FALSE)</f>
        <v>1</v>
      </c>
      <c r="Z1153" s="16">
        <f t="shared" si="1232"/>
        <v>2</v>
      </c>
      <c r="AA1153" s="16" t="str">
        <f t="shared" ca="1" si="1474"/>
        <v>Algebra Ventures</v>
      </c>
      <c r="AB1153" s="16" t="str">
        <f t="shared" ca="1" si="1474"/>
        <v xml:space="preserve"> Ventures Platform Foundation</v>
      </c>
      <c r="AC1153" s="16">
        <f t="shared" si="1474"/>
        <v>0</v>
      </c>
      <c r="AD1153" s="16">
        <f t="shared" si="1474"/>
        <v>0</v>
      </c>
      <c r="AE1153" s="16">
        <f t="shared" si="1474"/>
        <v>0</v>
      </c>
      <c r="AF1153" s="16">
        <f t="shared" si="1474"/>
        <v>0</v>
      </c>
      <c r="AG1153" s="16">
        <f t="shared" si="1474"/>
        <v>0</v>
      </c>
      <c r="AH1153" s="16">
        <f t="shared" si="1474"/>
        <v>0</v>
      </c>
      <c r="AI1153" s="16">
        <f t="shared" si="1474"/>
        <v>0</v>
      </c>
      <c r="AJ1153" s="16">
        <f t="shared" si="1474"/>
        <v>0</v>
      </c>
      <c r="AK1153" s="16">
        <f t="shared" si="1474"/>
        <v>0</v>
      </c>
      <c r="AL1153" s="16">
        <f t="shared" si="1474"/>
        <v>0</v>
      </c>
      <c r="AM1153" s="16">
        <f t="shared" si="1474"/>
        <v>0</v>
      </c>
      <c r="AN1153" s="16">
        <f t="shared" si="1474"/>
        <v>0</v>
      </c>
      <c r="AO1153" s="16">
        <f t="shared" si="1474"/>
        <v>0</v>
      </c>
      <c r="AP1153" s="10"/>
      <c r="AQ1153" s="10"/>
      <c r="AR1153" s="10"/>
      <c r="AS1153" s="10" t="str">
        <f t="shared" ref="AS1153" ca="1" si="1484">IFERROR(__xludf.DUMMYFUNCTION("split(F968,"","",true,true)"),"Algebra Ventures")</f>
        <v>Algebra Ventures</v>
      </c>
      <c r="AT1153" s="10" t="str">
        <f ca="1">IFERROR(__xludf.DUMMYFUNCTION("""COMPUTED_VALUE""")," Ventures Platform Foundation")</f>
        <v xml:space="preserve"> Ventures Platform Foundation</v>
      </c>
      <c r="AU1153" s="10"/>
      <c r="AV1153" s="10"/>
      <c r="AW1153" s="10"/>
      <c r="AX1153" s="10"/>
      <c r="AY1153" s="10"/>
      <c r="AZ1153" s="10"/>
      <c r="BA1153" s="10"/>
      <c r="BB1153" s="10"/>
      <c r="BC1153" s="10"/>
      <c r="BD1153" s="10"/>
      <c r="BE1153" s="10"/>
      <c r="BF1153" s="10"/>
      <c r="BG1153" s="10"/>
      <c r="BH1153" s="10"/>
      <c r="BI1153" s="10"/>
      <c r="BJ1153" s="10"/>
      <c r="BK1153" s="10"/>
      <c r="BM1153" s="10"/>
    </row>
    <row r="1154" spans="1:65" ht="12.75">
      <c r="A1154" s="9">
        <v>43641</v>
      </c>
      <c r="B1154" s="10" t="s">
        <v>2409</v>
      </c>
      <c r="C1154" s="11">
        <v>8300</v>
      </c>
      <c r="D1154" s="12"/>
      <c r="E1154" s="10" t="s">
        <v>55</v>
      </c>
      <c r="F1154" s="10" t="s">
        <v>2405</v>
      </c>
      <c r="G1154" s="13" t="s">
        <v>2406</v>
      </c>
      <c r="H1154" s="14" t="str">
        <f t="array" ref="H1154">IFERROR(INDEX([1]Companies!$G:$G,MATCH(B1154,[1]Companies!$A:$A,0)),"")</f>
        <v>Nigeria</v>
      </c>
      <c r="I1154" s="14" t="str">
        <f t="shared" si="1299"/>
        <v>Nigeria</v>
      </c>
      <c r="J1154" s="14" t="str">
        <f t="array" ref="J1154">IFERROR(INDEX([1]Companies!$Y:$Y,MATCH(B1154,[1]Companies!$A:$A,0)),"")</f>
        <v>Insur-Tech</v>
      </c>
      <c r="K1154" s="14" t="str">
        <f t="array" ref="K1154">IFERROR(INDEX([1]Companies!$X:$X,MATCH(B1154,[1]Companies!$A:$A,0)),"")</f>
        <v>Financial Services</v>
      </c>
      <c r="L1154" s="14" t="str">
        <f>VLOOKUP(B1154,[1]Companies!$A$1:$C$5243,1,FALSE)</f>
        <v>Tsaron Technologies</v>
      </c>
      <c r="M1154" s="15">
        <f t="shared" si="1300"/>
        <v>0.9</v>
      </c>
      <c r="N1154" s="10" t="str">
        <f t="shared" si="1301"/>
        <v>43641Tsaron Technologies8300</v>
      </c>
      <c r="O1154" s="14" t="str">
        <f t="shared" si="1399"/>
        <v/>
      </c>
      <c r="P1154" s="14">
        <f t="shared" si="1400"/>
        <v>1</v>
      </c>
      <c r="Q1154" s="14">
        <f t="array" ref="Q1154">IFERROR(INDEX([1]Companies!$D:$D,MATCH(B1154,[1]Companies!$A:$A,0)),"")</f>
        <v>2017</v>
      </c>
      <c r="R1154" s="17">
        <f t="shared" si="1401"/>
        <v>8300</v>
      </c>
      <c r="S1154" s="14">
        <f>VLOOKUP(I1154,[1]Lookups!$V$3:$Y$197,4,FALSE)</f>
        <v>0</v>
      </c>
      <c r="T1154" s="14" t="str">
        <f>VLOOKUP(E1154,[1]Lookups!$H$3:$I$71,2,FALSE)</f>
        <v>1. Grant</v>
      </c>
      <c r="U1154" s="14" t="str">
        <f>VLOOKUP(K1154,[1]Lookups!$B$3:$C$142,2,FALSE)</f>
        <v>Financial Services</v>
      </c>
      <c r="V1154" s="14">
        <f t="shared" si="1230"/>
        <v>2019</v>
      </c>
      <c r="W1154" s="14">
        <f t="shared" si="1231"/>
        <v>6</v>
      </c>
      <c r="X1154" s="14">
        <f>VLOOKUP(W1154,[1]Lookups!$P$3:$S$15,2,FALSE)</f>
        <v>2</v>
      </c>
      <c r="Y1154" s="16">
        <f>VLOOKUP(W1154,[1]Lookups!$P$3:$U$15,3,FALSE)</f>
        <v>1</v>
      </c>
      <c r="Z1154" s="16">
        <f t="shared" si="1232"/>
        <v>2</v>
      </c>
      <c r="AA1154" s="16" t="str">
        <f t="shared" ca="1" si="1474"/>
        <v>Algebra Ventures</v>
      </c>
      <c r="AB1154" s="16" t="str">
        <f t="shared" ca="1" si="1474"/>
        <v xml:space="preserve"> Ventures Platform Foundation</v>
      </c>
      <c r="AC1154" s="16">
        <f t="shared" si="1474"/>
        <v>0</v>
      </c>
      <c r="AD1154" s="16">
        <f t="shared" si="1474"/>
        <v>0</v>
      </c>
      <c r="AE1154" s="16">
        <f t="shared" si="1474"/>
        <v>0</v>
      </c>
      <c r="AF1154" s="16">
        <f t="shared" si="1474"/>
        <v>0</v>
      </c>
      <c r="AG1154" s="16">
        <f t="shared" si="1474"/>
        <v>0</v>
      </c>
      <c r="AH1154" s="16">
        <f t="shared" si="1474"/>
        <v>0</v>
      </c>
      <c r="AI1154" s="16">
        <f t="shared" si="1474"/>
        <v>0</v>
      </c>
      <c r="AJ1154" s="16">
        <f t="shared" si="1474"/>
        <v>0</v>
      </c>
      <c r="AK1154" s="16">
        <f t="shared" si="1474"/>
        <v>0</v>
      </c>
      <c r="AL1154" s="16">
        <f t="shared" si="1474"/>
        <v>0</v>
      </c>
      <c r="AM1154" s="16">
        <f t="shared" si="1474"/>
        <v>0</v>
      </c>
      <c r="AN1154" s="16">
        <f t="shared" si="1474"/>
        <v>0</v>
      </c>
      <c r="AO1154" s="16">
        <f t="shared" si="1474"/>
        <v>0</v>
      </c>
      <c r="AP1154" s="10"/>
      <c r="AQ1154" s="10"/>
      <c r="AR1154" s="10"/>
      <c r="AS1154" s="10" t="str">
        <f t="shared" ref="AS1154" ca="1" si="1485">IFERROR(__xludf.DUMMYFUNCTION("split(F968,"","",true,true)"),"Algebra Ventures")</f>
        <v>Algebra Ventures</v>
      </c>
      <c r="AT1154" s="10" t="str">
        <f ca="1">IFERROR(__xludf.DUMMYFUNCTION("""COMPUTED_VALUE""")," Ventures Platform Foundation")</f>
        <v xml:space="preserve"> Ventures Platform Foundation</v>
      </c>
      <c r="AU1154" s="10"/>
      <c r="AV1154" s="10"/>
      <c r="AW1154" s="10"/>
      <c r="AX1154" s="10"/>
      <c r="AY1154" s="10"/>
      <c r="AZ1154" s="10"/>
      <c r="BA1154" s="10"/>
      <c r="BB1154" s="10"/>
      <c r="BC1154" s="10"/>
      <c r="BD1154" s="10"/>
      <c r="BE1154" s="10"/>
      <c r="BF1154" s="10"/>
      <c r="BG1154" s="10"/>
      <c r="BH1154" s="10"/>
      <c r="BI1154" s="10"/>
      <c r="BJ1154" s="10"/>
      <c r="BK1154" s="10"/>
      <c r="BM1154" s="10"/>
    </row>
    <row r="1155" spans="1:65" ht="12.75">
      <c r="A1155" s="9">
        <v>43641</v>
      </c>
      <c r="B1155" s="10" t="s">
        <v>2244</v>
      </c>
      <c r="C1155" s="11">
        <v>8300</v>
      </c>
      <c r="D1155" s="12"/>
      <c r="E1155" s="10" t="s">
        <v>55</v>
      </c>
      <c r="F1155" s="10" t="s">
        <v>2405</v>
      </c>
      <c r="G1155" s="13" t="s">
        <v>2406</v>
      </c>
      <c r="H1155" s="14" t="str">
        <f t="array" ref="H1155">IFERROR(INDEX([1]Companies!$G:$G,MATCH(B1155,[1]Companies!$A:$A,0)),"")</f>
        <v>Nigeria</v>
      </c>
      <c r="I1155" s="14" t="str">
        <f t="shared" si="1299"/>
        <v>Nigeria</v>
      </c>
      <c r="J1155" s="14" t="str">
        <f t="array" ref="J1155">IFERROR(INDEX([1]Companies!$Y:$Y,MATCH(B1155,[1]Companies!$A:$A,0)),"")</f>
        <v>Cryptocurrency, Bitcoin, Bond trading</v>
      </c>
      <c r="K1155" s="14" t="str">
        <f t="array" ref="K1155">IFERROR(INDEX([1]Companies!$X:$X,MATCH(B1155,[1]Companies!$A:$A,0)),"")</f>
        <v>Financial Services</v>
      </c>
      <c r="L1155" s="14" t="str">
        <f>VLOOKUP(B1155,[1]Companies!$A$1:$C$5243,1,FALSE)</f>
        <v>Trove Finance</v>
      </c>
      <c r="M1155" s="15">
        <f t="shared" si="1300"/>
        <v>0.9</v>
      </c>
      <c r="N1155" s="10" t="str">
        <f t="shared" si="1301"/>
        <v>43641Trove Finance8300</v>
      </c>
      <c r="O1155" s="14" t="str">
        <f t="shared" si="1399"/>
        <v/>
      </c>
      <c r="P1155" s="14">
        <f t="shared" si="1400"/>
        <v>1</v>
      </c>
      <c r="Q1155" s="14">
        <f t="array" ref="Q1155">IFERROR(INDEX([1]Companies!$D:$D,MATCH(B1155,[1]Companies!$A:$A,0)),"")</f>
        <v>2016</v>
      </c>
      <c r="R1155" s="17">
        <f t="shared" si="1401"/>
        <v>8300</v>
      </c>
      <c r="S1155" s="14">
        <f>VLOOKUP(I1155,[1]Lookups!$V$3:$Y$197,4,FALSE)</f>
        <v>0</v>
      </c>
      <c r="T1155" s="14" t="str">
        <f>VLOOKUP(E1155,[1]Lookups!$H$3:$I$71,2,FALSE)</f>
        <v>1. Grant</v>
      </c>
      <c r="U1155" s="14" t="str">
        <f>VLOOKUP(K1155,[1]Lookups!$B$3:$C$142,2,FALSE)</f>
        <v>Financial Services</v>
      </c>
      <c r="V1155" s="14">
        <f t="shared" si="1230"/>
        <v>2019</v>
      </c>
      <c r="W1155" s="14">
        <f t="shared" si="1231"/>
        <v>6</v>
      </c>
      <c r="X1155" s="14">
        <f>VLOOKUP(W1155,[1]Lookups!$P$3:$S$15,2,FALSE)</f>
        <v>2</v>
      </c>
      <c r="Y1155" s="16">
        <f>VLOOKUP(W1155,[1]Lookups!$P$3:$U$15,3,FALSE)</f>
        <v>1</v>
      </c>
      <c r="Z1155" s="16">
        <f t="shared" si="1232"/>
        <v>2</v>
      </c>
      <c r="AA1155" s="16" t="str">
        <f t="shared" ca="1" si="1474"/>
        <v>Algebra Ventures</v>
      </c>
      <c r="AB1155" s="16" t="str">
        <f t="shared" ca="1" si="1474"/>
        <v xml:space="preserve"> Ventures Platform Foundation</v>
      </c>
      <c r="AC1155" s="16">
        <f t="shared" si="1474"/>
        <v>0</v>
      </c>
      <c r="AD1155" s="16">
        <f t="shared" si="1474"/>
        <v>0</v>
      </c>
      <c r="AE1155" s="16">
        <f t="shared" si="1474"/>
        <v>0</v>
      </c>
      <c r="AF1155" s="16">
        <f t="shared" si="1474"/>
        <v>0</v>
      </c>
      <c r="AG1155" s="16">
        <f t="shared" si="1474"/>
        <v>0</v>
      </c>
      <c r="AH1155" s="16">
        <f t="shared" si="1474"/>
        <v>0</v>
      </c>
      <c r="AI1155" s="16">
        <f t="shared" si="1474"/>
        <v>0</v>
      </c>
      <c r="AJ1155" s="16">
        <f t="shared" si="1474"/>
        <v>0</v>
      </c>
      <c r="AK1155" s="16">
        <f t="shared" si="1474"/>
        <v>0</v>
      </c>
      <c r="AL1155" s="16">
        <f t="shared" si="1474"/>
        <v>0</v>
      </c>
      <c r="AM1155" s="16">
        <f t="shared" si="1474"/>
        <v>0</v>
      </c>
      <c r="AN1155" s="16">
        <f t="shared" si="1474"/>
        <v>0</v>
      </c>
      <c r="AO1155" s="16">
        <f t="shared" si="1474"/>
        <v>0</v>
      </c>
      <c r="AP1155" s="10"/>
      <c r="AQ1155" s="10"/>
      <c r="AR1155" s="10"/>
      <c r="AS1155" s="10" t="str">
        <f t="shared" ref="AS1155" ca="1" si="1486">IFERROR(__xludf.DUMMYFUNCTION("split(F968,"","",true,true)"),"Algebra Ventures")</f>
        <v>Algebra Ventures</v>
      </c>
      <c r="AT1155" s="10" t="str">
        <f ca="1">IFERROR(__xludf.DUMMYFUNCTION("""COMPUTED_VALUE""")," Ventures Platform Foundation")</f>
        <v xml:space="preserve"> Ventures Platform Foundation</v>
      </c>
      <c r="AU1155" s="10"/>
      <c r="AV1155" s="10"/>
      <c r="AW1155" s="10"/>
      <c r="AX1155" s="10"/>
      <c r="AY1155" s="10"/>
      <c r="AZ1155" s="10"/>
      <c r="BA1155" s="10"/>
      <c r="BB1155" s="10"/>
      <c r="BC1155" s="10"/>
      <c r="BD1155" s="10"/>
      <c r="BE1155" s="10"/>
      <c r="BF1155" s="10"/>
      <c r="BG1155" s="10"/>
      <c r="BH1155" s="10"/>
      <c r="BI1155" s="10"/>
      <c r="BJ1155" s="10"/>
      <c r="BK1155" s="10"/>
      <c r="BM1155" s="10"/>
    </row>
    <row r="1156" spans="1:65" ht="12.75">
      <c r="A1156" s="9">
        <v>43641</v>
      </c>
      <c r="B1156" s="10" t="s">
        <v>2410</v>
      </c>
      <c r="C1156" s="11">
        <v>8300</v>
      </c>
      <c r="D1156" s="12"/>
      <c r="E1156" s="10" t="s">
        <v>55</v>
      </c>
      <c r="F1156" s="10" t="s">
        <v>2405</v>
      </c>
      <c r="G1156" s="13" t="s">
        <v>2406</v>
      </c>
      <c r="H1156" s="14" t="str">
        <f t="array" ref="H1156">IFERROR(INDEX([1]Companies!$G:$G,MATCH(B1156,[1]Companies!$A:$A,0)),"")</f>
        <v>Nigeria</v>
      </c>
      <c r="I1156" s="14" t="str">
        <f t="shared" si="1299"/>
        <v>Nigeria</v>
      </c>
      <c r="J1156" s="14" t="str">
        <f t="array" ref="J1156">IFERROR(INDEX([1]Companies!$Y:$Y,MATCH(B1156,[1]Companies!$A:$A,0)),"")</f>
        <v>Fintech, micro-loans, credit services</v>
      </c>
      <c r="K1156" s="14" t="str">
        <f t="array" ref="K1156">IFERROR(INDEX([1]Companies!$X:$X,MATCH(B1156,[1]Companies!$A:$A,0)),"")</f>
        <v>Financial Services</v>
      </c>
      <c r="L1156" s="14" t="str">
        <f>VLOOKUP(B1156,[1]Companies!$A$1:$C$5243,1,FALSE)</f>
        <v>Asusu Technology Limited</v>
      </c>
      <c r="M1156" s="15">
        <f t="shared" si="1300"/>
        <v>0.9</v>
      </c>
      <c r="N1156" s="10" t="str">
        <f t="shared" si="1301"/>
        <v>43641Asusu Technology Limited8300</v>
      </c>
      <c r="O1156" s="14" t="str">
        <f t="shared" si="1399"/>
        <v/>
      </c>
      <c r="P1156" s="14">
        <f t="shared" si="1400"/>
        <v>1</v>
      </c>
      <c r="Q1156" s="14">
        <f t="array" ref="Q1156">IFERROR(INDEX([1]Companies!$D:$D,MATCH(B1156,[1]Companies!$A:$A,0)),"")</f>
        <v>2017</v>
      </c>
      <c r="R1156" s="17">
        <f t="shared" si="1401"/>
        <v>8300</v>
      </c>
      <c r="S1156" s="14">
        <f>VLOOKUP(I1156,[1]Lookups!$V$3:$Y$197,4,FALSE)</f>
        <v>0</v>
      </c>
      <c r="T1156" s="14" t="str">
        <f>VLOOKUP(E1156,[1]Lookups!$H$3:$I$71,2,FALSE)</f>
        <v>1. Grant</v>
      </c>
      <c r="U1156" s="14" t="str">
        <f>VLOOKUP(K1156,[1]Lookups!$B$3:$C$142,2,FALSE)</f>
        <v>Financial Services</v>
      </c>
      <c r="V1156" s="14">
        <f t="shared" si="1230"/>
        <v>2019</v>
      </c>
      <c r="W1156" s="14">
        <f t="shared" si="1231"/>
        <v>6</v>
      </c>
      <c r="X1156" s="14">
        <f>VLOOKUP(W1156,[1]Lookups!$P$3:$S$15,2,FALSE)</f>
        <v>2</v>
      </c>
      <c r="Y1156" s="16">
        <f>VLOOKUP(W1156,[1]Lookups!$P$3:$U$15,3,FALSE)</f>
        <v>1</v>
      </c>
      <c r="Z1156" s="16">
        <f t="shared" si="1232"/>
        <v>2</v>
      </c>
      <c r="AA1156" s="16" t="str">
        <f t="shared" ca="1" si="1474"/>
        <v>Algebra Ventures</v>
      </c>
      <c r="AB1156" s="16" t="str">
        <f t="shared" ca="1" si="1474"/>
        <v xml:space="preserve"> Ventures Platform Foundation</v>
      </c>
      <c r="AC1156" s="16">
        <f t="shared" si="1474"/>
        <v>0</v>
      </c>
      <c r="AD1156" s="16">
        <f t="shared" si="1474"/>
        <v>0</v>
      </c>
      <c r="AE1156" s="16">
        <f t="shared" si="1474"/>
        <v>0</v>
      </c>
      <c r="AF1156" s="16">
        <f t="shared" si="1474"/>
        <v>0</v>
      </c>
      <c r="AG1156" s="16">
        <f t="shared" si="1474"/>
        <v>0</v>
      </c>
      <c r="AH1156" s="16">
        <f t="shared" si="1474"/>
        <v>0</v>
      </c>
      <c r="AI1156" s="16">
        <f t="shared" si="1474"/>
        <v>0</v>
      </c>
      <c r="AJ1156" s="16">
        <f t="shared" si="1474"/>
        <v>0</v>
      </c>
      <c r="AK1156" s="16">
        <f t="shared" si="1474"/>
        <v>0</v>
      </c>
      <c r="AL1156" s="16">
        <f t="shared" si="1474"/>
        <v>0</v>
      </c>
      <c r="AM1156" s="16">
        <f t="shared" si="1474"/>
        <v>0</v>
      </c>
      <c r="AN1156" s="16">
        <f t="shared" si="1474"/>
        <v>0</v>
      </c>
      <c r="AO1156" s="16">
        <f t="shared" si="1474"/>
        <v>0</v>
      </c>
      <c r="AP1156" s="10"/>
      <c r="AQ1156" s="10"/>
      <c r="AR1156" s="10"/>
      <c r="AS1156" s="10" t="str">
        <f t="shared" ref="AS1156" ca="1" si="1487">IFERROR(__xludf.DUMMYFUNCTION("split(F968,"","",true,true)"),"Algebra Ventures")</f>
        <v>Algebra Ventures</v>
      </c>
      <c r="AT1156" s="10" t="str">
        <f ca="1">IFERROR(__xludf.DUMMYFUNCTION("""COMPUTED_VALUE""")," Ventures Platform Foundation")</f>
        <v xml:space="preserve"> Ventures Platform Foundation</v>
      </c>
      <c r="AU1156" s="10"/>
      <c r="AV1156" s="10"/>
      <c r="AW1156" s="10"/>
      <c r="AX1156" s="10"/>
      <c r="AY1156" s="10"/>
      <c r="AZ1156" s="10"/>
      <c r="BA1156" s="10"/>
      <c r="BB1156" s="10"/>
      <c r="BC1156" s="10"/>
      <c r="BD1156" s="10"/>
      <c r="BE1156" s="10"/>
      <c r="BF1156" s="10"/>
      <c r="BG1156" s="10"/>
      <c r="BH1156" s="10"/>
      <c r="BI1156" s="10"/>
      <c r="BJ1156" s="10"/>
      <c r="BK1156" s="10"/>
      <c r="BM1156" s="10"/>
    </row>
    <row r="1157" spans="1:65" ht="12.75">
      <c r="A1157" s="9">
        <v>43642</v>
      </c>
      <c r="B1157" s="10" t="s">
        <v>2411</v>
      </c>
      <c r="C1157" s="11" t="s">
        <v>49</v>
      </c>
      <c r="D1157" s="38">
        <v>0.5</v>
      </c>
      <c r="E1157" s="10" t="s">
        <v>45</v>
      </c>
      <c r="F1157" s="10" t="s">
        <v>2412</v>
      </c>
      <c r="G1157" s="13" t="s">
        <v>2413</v>
      </c>
      <c r="H1157" s="14" t="str">
        <f t="array" ref="H1157">IFERROR(INDEX([1]Companies!$G:$G,MATCH(B1157,[1]Companies!$A:$A,0)),"")</f>
        <v>South Africa</v>
      </c>
      <c r="I1157" s="14" t="str">
        <f t="shared" si="1299"/>
        <v>South Africa</v>
      </c>
      <c r="J1157" s="14" t="str">
        <f t="array" ref="J1157">IFERROR(INDEX([1]Companies!$Y:$Y,MATCH(B1157,[1]Companies!$A:$A,0)),"")</f>
        <v>Insta Video, Film making, video Production</v>
      </c>
      <c r="K1157" s="14" t="str">
        <f t="array" ref="K1157">IFERROR(INDEX([1]Companies!$X:$X,MATCH(B1157,[1]Companies!$A:$A,0)),"")</f>
        <v>Media and Entertainment</v>
      </c>
      <c r="L1157" s="14" t="str">
        <f>VLOOKUP(B1157,[1]Companies!$A$1:$C$5243,1,FALSE)</f>
        <v>Vidr</v>
      </c>
      <c r="M1157" s="15">
        <f t="shared" si="1300"/>
        <v>1</v>
      </c>
      <c r="N1157" s="10" t="str">
        <f t="shared" si="1301"/>
        <v>43642VidrUndisclosed</v>
      </c>
      <c r="O1157" s="14" t="str">
        <f t="shared" si="1399"/>
        <v/>
      </c>
      <c r="P1157" s="14">
        <f t="shared" si="1400"/>
        <v>0</v>
      </c>
      <c r="Q1157" s="14">
        <f t="array" ref="Q1157">IFERROR(INDEX([1]Companies!$D:$D,MATCH(B1157,[1]Companies!$A:$A,0)),"")</f>
        <v>2017</v>
      </c>
      <c r="R1157" s="17">
        <f t="shared" si="1401"/>
        <v>0</v>
      </c>
      <c r="S1157" s="14">
        <f>VLOOKUP(I1157,[1]Lookups!$V$3:$Y$197,4,FALSE)</f>
        <v>0</v>
      </c>
      <c r="T1157" s="14" t="str">
        <f>VLOOKUP(E1157,[1]Lookups!$H$3:$I$71,2,FALSE)</f>
        <v>2. Seed</v>
      </c>
      <c r="U1157" s="14" t="str">
        <f>VLOOKUP(K1157,[1]Lookups!$B$3:$C$142,2,FALSE)</f>
        <v>Media &amp; Entertainment</v>
      </c>
      <c r="V1157" s="14">
        <f t="shared" si="1230"/>
        <v>2019</v>
      </c>
      <c r="W1157" s="14">
        <f t="shared" si="1231"/>
        <v>6</v>
      </c>
      <c r="X1157" s="14">
        <f>VLOOKUP(W1157,[1]Lookups!$P$3:$S$15,2,FALSE)</f>
        <v>2</v>
      </c>
      <c r="Y1157" s="16">
        <f>VLOOKUP(W1157,[1]Lookups!$P$3:$U$15,3,FALSE)</f>
        <v>1</v>
      </c>
      <c r="Z1157" s="16">
        <f t="shared" si="1232"/>
        <v>1</v>
      </c>
      <c r="AA1157" s="16" t="str">
        <f t="shared" ca="1" si="1474"/>
        <v>Algebra Ventures</v>
      </c>
      <c r="AB1157" s="16">
        <f t="shared" si="1474"/>
        <v>0</v>
      </c>
      <c r="AC1157" s="16">
        <f t="shared" si="1474"/>
        <v>0</v>
      </c>
      <c r="AD1157" s="16">
        <f t="shared" si="1474"/>
        <v>0</v>
      </c>
      <c r="AE1157" s="16">
        <f t="shared" si="1474"/>
        <v>0</v>
      </c>
      <c r="AF1157" s="16">
        <f t="shared" si="1474"/>
        <v>0</v>
      </c>
      <c r="AG1157" s="16">
        <f t="shared" si="1474"/>
        <v>0</v>
      </c>
      <c r="AH1157" s="16">
        <f t="shared" si="1474"/>
        <v>0</v>
      </c>
      <c r="AI1157" s="16">
        <f t="shared" si="1474"/>
        <v>0</v>
      </c>
      <c r="AJ1157" s="16">
        <f t="shared" si="1474"/>
        <v>0</v>
      </c>
      <c r="AK1157" s="16">
        <f t="shared" si="1474"/>
        <v>0</v>
      </c>
      <c r="AL1157" s="16">
        <f t="shared" si="1474"/>
        <v>0</v>
      </c>
      <c r="AM1157" s="16">
        <f t="shared" si="1474"/>
        <v>0</v>
      </c>
      <c r="AN1157" s="16">
        <f t="shared" si="1474"/>
        <v>0</v>
      </c>
      <c r="AO1157" s="16">
        <f t="shared" si="1474"/>
        <v>0</v>
      </c>
      <c r="AP1157" s="10"/>
      <c r="AQ1157" s="10"/>
      <c r="AR1157" s="10"/>
      <c r="AS1157" s="10" t="str">
        <f t="shared" ref="AS1157" ca="1" si="1488">IFERROR(__xludf.DUMMYFUNCTION("split(F968,"","",true,true)"),"Algebra Ventures")</f>
        <v>Algebra Ventures</v>
      </c>
      <c r="AT1157" s="10"/>
      <c r="AU1157" s="10"/>
      <c r="AV1157" s="10"/>
      <c r="AW1157" s="10"/>
      <c r="AX1157" s="10"/>
      <c r="AY1157" s="10"/>
      <c r="AZ1157" s="10"/>
      <c r="BA1157" s="10"/>
      <c r="BB1157" s="10"/>
      <c r="BC1157" s="10"/>
      <c r="BD1157" s="10"/>
      <c r="BE1157" s="10"/>
      <c r="BF1157" s="10"/>
      <c r="BG1157" s="10"/>
      <c r="BH1157" s="10"/>
      <c r="BI1157" s="10"/>
      <c r="BJ1157" s="10"/>
      <c r="BK1157" s="10"/>
      <c r="BM1157" s="10"/>
    </row>
    <row r="1158" spans="1:65" ht="12.75">
      <c r="A1158" s="9">
        <v>43642</v>
      </c>
      <c r="B1158" s="10" t="s">
        <v>546</v>
      </c>
      <c r="C1158" s="11">
        <v>6500000</v>
      </c>
      <c r="D1158" s="12"/>
      <c r="E1158" s="10" t="s">
        <v>69</v>
      </c>
      <c r="F1158" s="10" t="s">
        <v>2414</v>
      </c>
      <c r="G1158" s="13" t="s">
        <v>2415</v>
      </c>
      <c r="H1158" s="14" t="str">
        <f t="array" ref="H1158">IFERROR(INDEX([1]Companies!$G:$G,MATCH(B1158,[1]Companies!$A:$A,0)),"")</f>
        <v>South Africa</v>
      </c>
      <c r="I1158" s="14" t="str">
        <f t="shared" si="1299"/>
        <v>South Africa</v>
      </c>
      <c r="J1158" s="14" t="str">
        <f t="array" ref="J1158">IFERROR(INDEX([1]Companies!$Y:$Y,MATCH(B1158,[1]Companies!$A:$A,0)),"")</f>
        <v>Customer Service, Financial Services, FinTech</v>
      </c>
      <c r="K1158" s="14" t="str">
        <f t="array" ref="K1158">IFERROR(INDEX([1]Companies!$X:$X,MATCH(B1158,[1]Companies!$A:$A,0)),"")</f>
        <v>Financial Services</v>
      </c>
      <c r="L1158" s="14" t="str">
        <f>VLOOKUP(B1158,[1]Companies!$A$1:$C$5243,1,FALSE)</f>
        <v>Lulalend</v>
      </c>
      <c r="M1158" s="15">
        <f t="shared" si="1300"/>
        <v>0.9</v>
      </c>
      <c r="N1158" s="10" t="str">
        <f t="shared" si="1301"/>
        <v>43642Lulalend6500000</v>
      </c>
      <c r="O1158" s="14" t="str">
        <f t="shared" si="1399"/>
        <v/>
      </c>
      <c r="P1158" s="14">
        <f t="shared" si="1400"/>
        <v>1</v>
      </c>
      <c r="Q1158" s="14">
        <f t="array" ref="Q1158">IFERROR(INDEX([1]Companies!$D:$D,MATCH(B1158,[1]Companies!$A:$A,0)),"")</f>
        <v>2014</v>
      </c>
      <c r="R1158" s="17">
        <f t="shared" si="1401"/>
        <v>6500000</v>
      </c>
      <c r="S1158" s="14">
        <f>VLOOKUP(I1158,[1]Lookups!$V$3:$Y$197,4,FALSE)</f>
        <v>0</v>
      </c>
      <c r="T1158" s="14" t="str">
        <f>VLOOKUP(E1158,[1]Lookups!$H$3:$I$71,2,FALSE)</f>
        <v>3. Early Venture</v>
      </c>
      <c r="U1158" s="14" t="str">
        <f>VLOOKUP(K1158,[1]Lookups!$B$3:$C$142,2,FALSE)</f>
        <v>Financial Services</v>
      </c>
      <c r="V1158" s="14">
        <f t="shared" si="1230"/>
        <v>2019</v>
      </c>
      <c r="W1158" s="14">
        <f t="shared" si="1231"/>
        <v>6</v>
      </c>
      <c r="X1158" s="14">
        <f>VLOOKUP(W1158,[1]Lookups!$P$3:$S$15,2,FALSE)</f>
        <v>2</v>
      </c>
      <c r="Y1158" s="16">
        <f>VLOOKUP(W1158,[1]Lookups!$P$3:$U$15,3,FALSE)</f>
        <v>1</v>
      </c>
      <c r="Z1158" s="16">
        <f t="shared" si="1232"/>
        <v>2</v>
      </c>
      <c r="AA1158" s="16" t="str">
        <f t="shared" ca="1" si="1474"/>
        <v>Algebra Ventures</v>
      </c>
      <c r="AB1158" s="16" t="str">
        <f t="shared" ca="1" si="1474"/>
        <v xml:space="preserve"> Quona Capital</v>
      </c>
      <c r="AC1158" s="16">
        <f t="shared" si="1474"/>
        <v>0</v>
      </c>
      <c r="AD1158" s="16">
        <f t="shared" si="1474"/>
        <v>0</v>
      </c>
      <c r="AE1158" s="16">
        <f t="shared" si="1474"/>
        <v>0</v>
      </c>
      <c r="AF1158" s="16">
        <f t="shared" si="1474"/>
        <v>0</v>
      </c>
      <c r="AG1158" s="16">
        <f t="shared" si="1474"/>
        <v>0</v>
      </c>
      <c r="AH1158" s="16">
        <f t="shared" si="1474"/>
        <v>0</v>
      </c>
      <c r="AI1158" s="16">
        <f t="shared" si="1474"/>
        <v>0</v>
      </c>
      <c r="AJ1158" s="16">
        <f t="shared" si="1474"/>
        <v>0</v>
      </c>
      <c r="AK1158" s="16">
        <f t="shared" si="1474"/>
        <v>0</v>
      </c>
      <c r="AL1158" s="16">
        <f t="shared" si="1474"/>
        <v>0</v>
      </c>
      <c r="AM1158" s="16">
        <f t="shared" si="1474"/>
        <v>0</v>
      </c>
      <c r="AN1158" s="16">
        <f t="shared" si="1474"/>
        <v>0</v>
      </c>
      <c r="AO1158" s="16">
        <f t="shared" si="1474"/>
        <v>0</v>
      </c>
      <c r="AP1158" s="10"/>
      <c r="AQ1158" s="10"/>
      <c r="AR1158" s="10"/>
      <c r="AS1158" s="10" t="str">
        <f t="shared" ref="AS1158" ca="1" si="1489">IFERROR(__xludf.DUMMYFUNCTION("split(F968,"","",true,true)"),"Algebra Ventures")</f>
        <v>Algebra Ventures</v>
      </c>
      <c r="AT1158" s="10" t="str">
        <f ca="1">IFERROR(__xludf.DUMMYFUNCTION("""COMPUTED_VALUE""")," Quona Capital")</f>
        <v xml:space="preserve"> Quona Capital</v>
      </c>
      <c r="AU1158" s="10"/>
      <c r="AV1158" s="10"/>
      <c r="AW1158" s="10"/>
      <c r="AX1158" s="10"/>
      <c r="AY1158" s="10"/>
      <c r="AZ1158" s="10"/>
      <c r="BA1158" s="10"/>
      <c r="BB1158" s="10"/>
      <c r="BC1158" s="10"/>
      <c r="BD1158" s="10"/>
      <c r="BE1158" s="10"/>
      <c r="BF1158" s="10"/>
      <c r="BG1158" s="10"/>
      <c r="BH1158" s="10"/>
      <c r="BI1158" s="10"/>
      <c r="BJ1158" s="10"/>
      <c r="BK1158" s="10"/>
      <c r="BM1158" s="10"/>
    </row>
    <row r="1159" spans="1:65" ht="12.75">
      <c r="A1159" s="9">
        <v>43643</v>
      </c>
      <c r="B1159" s="10" t="s">
        <v>2416</v>
      </c>
      <c r="C1159" s="11">
        <v>1055000</v>
      </c>
      <c r="D1159" s="12"/>
      <c r="E1159" s="10" t="s">
        <v>51</v>
      </c>
      <c r="F1159" s="10" t="s">
        <v>2417</v>
      </c>
      <c r="G1159" s="13" t="s">
        <v>2418</v>
      </c>
      <c r="H1159" s="14" t="str">
        <f t="array" ref="H1159">IFERROR(INDEX([1]Companies!$G:$G,MATCH(B1159,[1]Companies!$A:$A,0)),"")</f>
        <v>Uganda</v>
      </c>
      <c r="I1159" s="14" t="str">
        <f t="shared" si="1299"/>
        <v>Uganda</v>
      </c>
      <c r="J1159" s="14" t="str">
        <f t="array" ref="J1159">IFERROR(INDEX([1]Companies!$Y:$Y,MATCH(B1159,[1]Companies!$A:$A,0)),"")</f>
        <v>Agriculture</v>
      </c>
      <c r="K1159" s="14" t="str">
        <f t="array" ref="K1159">IFERROR(INDEX([1]Companies!$X:$X,MATCH(B1159,[1]Companies!$A:$A,0)),"")</f>
        <v>Agriculture</v>
      </c>
      <c r="L1159" s="14" t="str">
        <f>VLOOKUP(B1159,[1]Companies!$A$1:$C$5243,1,FALSE)</f>
        <v>Raintree Farms</v>
      </c>
      <c r="M1159" s="15">
        <f t="shared" si="1300"/>
        <v>0.9</v>
      </c>
      <c r="N1159" s="10" t="str">
        <f t="shared" si="1301"/>
        <v>43643Raintree Farms1055000</v>
      </c>
      <c r="O1159" s="14" t="str">
        <f t="shared" si="1399"/>
        <v/>
      </c>
      <c r="P1159" s="14">
        <f t="shared" si="1400"/>
        <v>1</v>
      </c>
      <c r="Q1159" s="14">
        <f t="array" ref="Q1159">IFERROR(INDEX([1]Companies!$D:$D,MATCH(B1159,[1]Companies!$A:$A,0)),"")</f>
        <v>2012</v>
      </c>
      <c r="R1159" s="17">
        <f t="shared" si="1401"/>
        <v>1055000</v>
      </c>
      <c r="S1159" s="14">
        <f>VLOOKUP(I1159,[1]Lookups!$V$3:$Y$197,4,FALSE)</f>
        <v>0</v>
      </c>
      <c r="T1159" s="14" t="str">
        <f>VLOOKUP(E1159,[1]Lookups!$H$3:$I$71,2,FALSE)</f>
        <v>6. Private Equity</v>
      </c>
      <c r="U1159" s="14" t="str">
        <f>VLOOKUP(K1159,[1]Lookups!$B$3:$C$142,2,FALSE)</f>
        <v>Agriculture</v>
      </c>
      <c r="V1159" s="14">
        <f t="shared" si="1230"/>
        <v>2019</v>
      </c>
      <c r="W1159" s="14">
        <f t="shared" si="1231"/>
        <v>6</v>
      </c>
      <c r="X1159" s="14">
        <f>VLOOKUP(W1159,[1]Lookups!$P$3:$S$15,2,FALSE)</f>
        <v>2</v>
      </c>
      <c r="Y1159" s="16">
        <f>VLOOKUP(W1159,[1]Lookups!$P$3:$U$15,3,FALSE)</f>
        <v>1</v>
      </c>
      <c r="Z1159" s="16">
        <f t="shared" si="1232"/>
        <v>1</v>
      </c>
      <c r="AA1159" s="16" t="str">
        <f t="shared" ca="1" si="1474"/>
        <v>Algebra Ventures</v>
      </c>
      <c r="AB1159" s="16">
        <f t="shared" si="1474"/>
        <v>0</v>
      </c>
      <c r="AC1159" s="16">
        <f t="shared" si="1474"/>
        <v>0</v>
      </c>
      <c r="AD1159" s="16">
        <f t="shared" si="1474"/>
        <v>0</v>
      </c>
      <c r="AE1159" s="16">
        <f t="shared" si="1474"/>
        <v>0</v>
      </c>
      <c r="AF1159" s="16">
        <f t="shared" si="1474"/>
        <v>0</v>
      </c>
      <c r="AG1159" s="16">
        <f t="shared" si="1474"/>
        <v>0</v>
      </c>
      <c r="AH1159" s="16">
        <f t="shared" si="1474"/>
        <v>0</v>
      </c>
      <c r="AI1159" s="16">
        <f t="shared" si="1474"/>
        <v>0</v>
      </c>
      <c r="AJ1159" s="16">
        <f t="shared" si="1474"/>
        <v>0</v>
      </c>
      <c r="AK1159" s="16">
        <f t="shared" si="1474"/>
        <v>0</v>
      </c>
      <c r="AL1159" s="16">
        <f t="shared" si="1474"/>
        <v>0</v>
      </c>
      <c r="AM1159" s="16">
        <f t="shared" si="1474"/>
        <v>0</v>
      </c>
      <c r="AN1159" s="16">
        <f t="shared" si="1474"/>
        <v>0</v>
      </c>
      <c r="AO1159" s="16">
        <f t="shared" si="1474"/>
        <v>0</v>
      </c>
      <c r="AP1159" s="10"/>
      <c r="AQ1159" s="10"/>
      <c r="AR1159" s="10"/>
      <c r="AS1159" s="10" t="str">
        <f t="shared" ref="AS1159" ca="1" si="1490">IFERROR(__xludf.DUMMYFUNCTION("split(F968,"","",true,true)"),"Algebra Ventures")</f>
        <v>Algebra Ventures</v>
      </c>
      <c r="AT1159" s="10"/>
      <c r="AU1159" s="10"/>
      <c r="AV1159" s="10"/>
      <c r="AW1159" s="10"/>
      <c r="AX1159" s="10"/>
      <c r="AY1159" s="10"/>
      <c r="AZ1159" s="10"/>
      <c r="BA1159" s="10"/>
      <c r="BB1159" s="10"/>
      <c r="BC1159" s="10"/>
      <c r="BD1159" s="10"/>
      <c r="BE1159" s="10"/>
      <c r="BF1159" s="10"/>
      <c r="BG1159" s="10"/>
      <c r="BH1159" s="10"/>
      <c r="BI1159" s="10"/>
      <c r="BJ1159" s="10"/>
      <c r="BK1159" s="10"/>
      <c r="BM1159" s="10"/>
    </row>
    <row r="1160" spans="1:65" ht="12.75">
      <c r="A1160" s="9">
        <v>43643</v>
      </c>
      <c r="B1160" s="10" t="s">
        <v>1918</v>
      </c>
      <c r="C1160" s="11">
        <v>60000</v>
      </c>
      <c r="D1160" s="12"/>
      <c r="E1160" s="10" t="s">
        <v>55</v>
      </c>
      <c r="F1160" s="10" t="s">
        <v>430</v>
      </c>
      <c r="G1160" s="13" t="s">
        <v>2419</v>
      </c>
      <c r="H1160" s="14" t="str">
        <f t="array" ref="H1160">IFERROR(INDEX([1]Companies!$G:$G,MATCH(B1160,[1]Companies!$A:$A,0)),"")</f>
        <v>Kenya</v>
      </c>
      <c r="I1160" s="14" t="str">
        <f t="shared" si="1299"/>
        <v>Kenya</v>
      </c>
      <c r="J1160" s="14" t="str">
        <f t="array" ref="J1160">IFERROR(INDEX([1]Companies!$Y:$Y,MATCH(B1160,[1]Companies!$A:$A,0)),"")</f>
        <v>Health, Information Technology, FinTech</v>
      </c>
      <c r="K1160" s="14" t="str">
        <f t="array" ref="K1160">IFERROR(INDEX([1]Companies!$X:$X,MATCH(B1160,[1]Companies!$A:$A,0)),"")</f>
        <v>Financial Services</v>
      </c>
      <c r="L1160" s="14" t="str">
        <f>VLOOKUP(B1160,[1]Companies!$A$1:$C$5243,1,FALSE)</f>
        <v>Turaco</v>
      </c>
      <c r="M1160" s="15">
        <f t="shared" si="1300"/>
        <v>0.9</v>
      </c>
      <c r="N1160" s="10" t="str">
        <f t="shared" si="1301"/>
        <v>43643Turaco60000</v>
      </c>
      <c r="O1160" s="14" t="str">
        <f t="shared" si="1399"/>
        <v/>
      </c>
      <c r="P1160" s="14">
        <f t="shared" si="1400"/>
        <v>1</v>
      </c>
      <c r="Q1160" s="14">
        <f t="array" ref="Q1160">IFERROR(INDEX([1]Companies!$D:$D,MATCH(B1160,[1]Companies!$A:$A,0)),"")</f>
        <v>2018</v>
      </c>
      <c r="R1160" s="17">
        <f t="shared" si="1401"/>
        <v>100000</v>
      </c>
      <c r="S1160" s="14">
        <f>VLOOKUP(I1160,[1]Lookups!$V$3:$Y$197,4,FALSE)</f>
        <v>0</v>
      </c>
      <c r="T1160" s="14" t="str">
        <f>VLOOKUP(E1160,[1]Lookups!$H$3:$I$71,2,FALSE)</f>
        <v>1. Grant</v>
      </c>
      <c r="U1160" s="14" t="str">
        <f>VLOOKUP(K1160,[1]Lookups!$B$3:$C$142,2,FALSE)</f>
        <v>Financial Services</v>
      </c>
      <c r="V1160" s="14">
        <f t="shared" si="1230"/>
        <v>2019</v>
      </c>
      <c r="W1160" s="14">
        <f t="shared" si="1231"/>
        <v>6</v>
      </c>
      <c r="X1160" s="14">
        <f>VLOOKUP(W1160,[1]Lookups!$P$3:$S$15,2,FALSE)</f>
        <v>2</v>
      </c>
      <c r="Y1160" s="16">
        <f>VLOOKUP(W1160,[1]Lookups!$P$3:$U$15,3,FALSE)</f>
        <v>1</v>
      </c>
      <c r="Z1160" s="16">
        <f t="shared" si="1232"/>
        <v>1</v>
      </c>
      <c r="AA1160" s="16" t="str">
        <f t="shared" ref="AA1160:AO1161" ca="1" si="1491">AS1160</f>
        <v>Algebra Ventures</v>
      </c>
      <c r="AB1160" s="16">
        <f t="shared" si="1491"/>
        <v>0</v>
      </c>
      <c r="AC1160" s="16">
        <f t="shared" si="1491"/>
        <v>0</v>
      </c>
      <c r="AD1160" s="16">
        <f t="shared" si="1491"/>
        <v>0</v>
      </c>
      <c r="AE1160" s="16">
        <f t="shared" si="1491"/>
        <v>0</v>
      </c>
      <c r="AF1160" s="16">
        <f t="shared" si="1491"/>
        <v>0</v>
      </c>
      <c r="AG1160" s="16">
        <f t="shared" si="1491"/>
        <v>0</v>
      </c>
      <c r="AH1160" s="16">
        <f t="shared" si="1491"/>
        <v>0</v>
      </c>
      <c r="AI1160" s="16">
        <f t="shared" si="1491"/>
        <v>0</v>
      </c>
      <c r="AJ1160" s="16">
        <f t="shared" si="1491"/>
        <v>0</v>
      </c>
      <c r="AK1160" s="16">
        <f t="shared" si="1491"/>
        <v>0</v>
      </c>
      <c r="AL1160" s="16">
        <f t="shared" si="1491"/>
        <v>0</v>
      </c>
      <c r="AM1160" s="16">
        <f t="shared" si="1491"/>
        <v>0</v>
      </c>
      <c r="AN1160" s="16">
        <f t="shared" si="1491"/>
        <v>0</v>
      </c>
      <c r="AO1160" s="16">
        <f t="shared" si="1491"/>
        <v>0</v>
      </c>
      <c r="AP1160" s="10"/>
      <c r="AQ1160" s="10"/>
      <c r="AR1160" s="10"/>
      <c r="AS1160" s="10" t="str">
        <f t="shared" ref="AS1160" ca="1" si="1492">IFERROR(__xludf.DUMMYFUNCTION("split(F968,"","",true,true)"),"Algebra Ventures")</f>
        <v>Algebra Ventures</v>
      </c>
      <c r="AT1160" s="10"/>
      <c r="AU1160" s="10"/>
      <c r="AV1160" s="10"/>
      <c r="AW1160" s="10"/>
      <c r="AX1160" s="10"/>
      <c r="AY1160" s="10"/>
      <c r="AZ1160" s="10"/>
      <c r="BA1160" s="10"/>
      <c r="BB1160" s="10"/>
      <c r="BC1160" s="10"/>
      <c r="BD1160" s="10"/>
      <c r="BE1160" s="10"/>
      <c r="BF1160" s="10"/>
      <c r="BG1160" s="10"/>
      <c r="BH1160" s="10"/>
      <c r="BI1160" s="10"/>
      <c r="BJ1160" s="10"/>
      <c r="BK1160" s="10"/>
      <c r="BM1160" s="10"/>
    </row>
    <row r="1161" spans="1:65" ht="12.75">
      <c r="A1161" s="9">
        <v>43644</v>
      </c>
      <c r="B1161" s="40" t="s">
        <v>2420</v>
      </c>
      <c r="C1161" s="11" t="s">
        <v>49</v>
      </c>
      <c r="D1161" s="12"/>
      <c r="E1161" s="10" t="s">
        <v>45</v>
      </c>
      <c r="F1161" s="10" t="s">
        <v>2421</v>
      </c>
      <c r="G1161" s="41" t="s">
        <v>2422</v>
      </c>
      <c r="H1161" s="14" t="str">
        <f t="array" ref="H1161">IFERROR(INDEX([1]Companies!$G:$G,MATCH(B1161,[1]Companies!$A:$A,0)),"")</f>
        <v>Nigeria</v>
      </c>
      <c r="I1161" s="14" t="str">
        <f t="shared" si="1299"/>
        <v>Nigeria</v>
      </c>
      <c r="J1161" s="14" t="str">
        <f t="array" ref="J1161">IFERROR(INDEX([1]Companies!$Y:$Y,MATCH(B1161,[1]Companies!$A:$A,0)),"")</f>
        <v>Health, Pharmaceuticals</v>
      </c>
      <c r="K1161" s="14" t="str">
        <f t="array" ref="K1161">IFERROR(INDEX([1]Companies!$X:$X,MATCH(B1161,[1]Companies!$A:$A,0)),"")</f>
        <v>Healthcare &amp; Pharma</v>
      </c>
      <c r="L1161" s="14" t="str">
        <f>VLOOKUP(B1161,[1]Companies!$A$1:$C$5243,1,FALSE)</f>
        <v>DrugStoc</v>
      </c>
      <c r="M1161" s="15">
        <f t="shared" si="1300"/>
        <v>0.9</v>
      </c>
      <c r="N1161" s="10" t="str">
        <f t="shared" si="1301"/>
        <v>43644DrugStocUndisclosed</v>
      </c>
      <c r="O1161" s="14" t="str">
        <f t="shared" si="1399"/>
        <v/>
      </c>
      <c r="P1161" s="14">
        <f t="shared" si="1400"/>
        <v>0</v>
      </c>
      <c r="Q1161" s="14">
        <f t="array" ref="Q1161">IFERROR(INDEX([1]Companies!$D:$D,MATCH(B1161,[1]Companies!$A:$A,0)),"")</f>
        <v>2012</v>
      </c>
      <c r="R1161" s="17">
        <f t="shared" si="1401"/>
        <v>0</v>
      </c>
      <c r="S1161" s="14">
        <f>VLOOKUP(I1161,[1]Lookups!$V$3:$Y$197,4,FALSE)</f>
        <v>0</v>
      </c>
      <c r="T1161" s="14" t="str">
        <f>VLOOKUP(E1161,[1]Lookups!$H$3:$I$71,2,FALSE)</f>
        <v>2. Seed</v>
      </c>
      <c r="U1161" s="14" t="str">
        <f>VLOOKUP(K1161,[1]Lookups!$B$3:$C$142,2,FALSE)</f>
        <v>Health &amp; Pharmaceuticals</v>
      </c>
      <c r="V1161" s="14">
        <f t="shared" si="1230"/>
        <v>2019</v>
      </c>
      <c r="W1161" s="14">
        <f t="shared" si="1231"/>
        <v>6</v>
      </c>
      <c r="X1161" s="14">
        <f>VLOOKUP(W1161,[1]Lookups!$P$3:$S$15,2,FALSE)</f>
        <v>2</v>
      </c>
      <c r="Y1161" s="16">
        <f>VLOOKUP(W1161,[1]Lookups!$P$3:$U$15,3,FALSE)</f>
        <v>1</v>
      </c>
      <c r="Z1161" s="16">
        <f t="shared" si="1232"/>
        <v>1</v>
      </c>
      <c r="AA1161" s="16" t="str">
        <f t="shared" ca="1" si="1491"/>
        <v>Algebra Ventures</v>
      </c>
      <c r="AB1161" s="16">
        <f t="shared" si="1491"/>
        <v>0</v>
      </c>
      <c r="AC1161" s="16">
        <f t="shared" si="1491"/>
        <v>0</v>
      </c>
      <c r="AD1161" s="16">
        <f t="shared" si="1491"/>
        <v>0</v>
      </c>
      <c r="AE1161" s="16">
        <f t="shared" si="1491"/>
        <v>0</v>
      </c>
      <c r="AF1161" s="16">
        <f t="shared" si="1491"/>
        <v>0</v>
      </c>
      <c r="AG1161" s="16">
        <f t="shared" si="1491"/>
        <v>0</v>
      </c>
      <c r="AH1161" s="16">
        <f t="shared" si="1491"/>
        <v>0</v>
      </c>
      <c r="AI1161" s="16">
        <f t="shared" si="1491"/>
        <v>0</v>
      </c>
      <c r="AJ1161" s="16">
        <f t="shared" si="1491"/>
        <v>0</v>
      </c>
      <c r="AK1161" s="16">
        <f t="shared" si="1491"/>
        <v>0</v>
      </c>
      <c r="AL1161" s="16">
        <f t="shared" si="1491"/>
        <v>0</v>
      </c>
      <c r="AM1161" s="16">
        <f t="shared" si="1491"/>
        <v>0</v>
      </c>
      <c r="AN1161" s="16">
        <f t="shared" si="1491"/>
        <v>0</v>
      </c>
      <c r="AO1161" s="16">
        <f t="shared" si="1491"/>
        <v>0</v>
      </c>
      <c r="AP1161" s="10"/>
      <c r="AQ1161" s="10"/>
      <c r="AR1161" s="10"/>
      <c r="AS1161" s="10" t="str">
        <f t="shared" ref="AS1161" ca="1" si="1493">IFERROR(__xludf.DUMMYFUNCTION("split(F968,"","",true,true)"),"Algebra Ventures")</f>
        <v>Algebra Ventures</v>
      </c>
      <c r="AT1161" s="10"/>
      <c r="AU1161" s="10"/>
      <c r="AV1161" s="10"/>
      <c r="AW1161" s="10"/>
      <c r="AX1161" s="10"/>
      <c r="AY1161" s="10"/>
      <c r="AZ1161" s="10"/>
      <c r="BA1161" s="10"/>
      <c r="BB1161" s="10"/>
      <c r="BC1161" s="10"/>
      <c r="BD1161" s="10"/>
      <c r="BE1161" s="10"/>
      <c r="BF1161" s="10"/>
      <c r="BG1161" s="10"/>
      <c r="BH1161" s="10"/>
      <c r="BI1161" s="10"/>
      <c r="BJ1161" s="10"/>
      <c r="BK1161" s="10"/>
      <c r="BM1161" s="10"/>
    </row>
    <row r="1162" spans="1:65" ht="12.75">
      <c r="A1162" s="9">
        <v>43644</v>
      </c>
      <c r="B1162" s="10" t="s">
        <v>1071</v>
      </c>
      <c r="C1162" s="11">
        <v>6870000</v>
      </c>
      <c r="D1162" s="12"/>
      <c r="E1162" s="10" t="s">
        <v>115</v>
      </c>
      <c r="F1162" s="10" t="s">
        <v>49</v>
      </c>
      <c r="G1162" s="13" t="s">
        <v>2423</v>
      </c>
      <c r="H1162" s="14"/>
      <c r="I1162" s="14"/>
      <c r="J1162" s="14"/>
      <c r="K1162" s="14"/>
      <c r="L1162" s="14"/>
      <c r="M1162" s="15"/>
      <c r="N1162" s="10"/>
      <c r="O1162" s="14"/>
      <c r="P1162" s="14"/>
      <c r="Q1162" s="14"/>
      <c r="R1162" s="17"/>
      <c r="S1162" s="14"/>
      <c r="T1162" s="14"/>
      <c r="U1162" s="14"/>
      <c r="V1162" s="14">
        <f t="shared" si="1230"/>
        <v>2019</v>
      </c>
      <c r="W1162" s="14">
        <f t="shared" si="1231"/>
        <v>6</v>
      </c>
      <c r="X1162" s="14">
        <f>VLOOKUP(W1162,[1]Lookups!$P$3:$S$15,2,FALSE)</f>
        <v>2</v>
      </c>
      <c r="Y1162" s="16">
        <f>VLOOKUP(W1162,[1]Lookups!$P$3:$U$15,3,FALSE)</f>
        <v>1</v>
      </c>
      <c r="Z1162" s="16">
        <f t="shared" si="1232"/>
        <v>1</v>
      </c>
      <c r="AA1162" s="16"/>
      <c r="AB1162" s="16"/>
      <c r="AC1162" s="16"/>
      <c r="AD1162" s="16"/>
      <c r="AE1162" s="16"/>
      <c r="AF1162" s="16"/>
      <c r="AG1162" s="16"/>
      <c r="AH1162" s="16"/>
      <c r="AI1162" s="16"/>
      <c r="AJ1162" s="16"/>
      <c r="AK1162" s="16"/>
      <c r="AL1162" s="16"/>
      <c r="AM1162" s="16"/>
      <c r="AN1162" s="16"/>
      <c r="AO1162" s="16"/>
      <c r="AP1162" s="10"/>
      <c r="AQ1162" s="10"/>
      <c r="AR1162" s="10"/>
      <c r="AS1162" s="10"/>
      <c r="AT1162" s="10"/>
      <c r="AU1162" s="10"/>
      <c r="AV1162" s="10"/>
      <c r="AW1162" s="10"/>
      <c r="AX1162" s="10"/>
      <c r="AY1162" s="10"/>
      <c r="AZ1162" s="10"/>
      <c r="BA1162" s="10"/>
      <c r="BB1162" s="10"/>
      <c r="BC1162" s="10"/>
      <c r="BD1162" s="10"/>
      <c r="BE1162" s="10"/>
      <c r="BF1162" s="10"/>
      <c r="BG1162" s="10"/>
      <c r="BH1162" s="10"/>
      <c r="BI1162" s="10"/>
      <c r="BJ1162" s="10"/>
      <c r="BK1162" s="10"/>
      <c r="BM1162" s="10"/>
    </row>
    <row r="1163" spans="1:65" ht="12.75">
      <c r="A1163" s="9">
        <v>43645</v>
      </c>
      <c r="B1163" s="10" t="s">
        <v>898</v>
      </c>
      <c r="C1163" s="11" t="s">
        <v>49</v>
      </c>
      <c r="D1163" s="12"/>
      <c r="E1163" s="10" t="s">
        <v>45</v>
      </c>
      <c r="F1163" s="10" t="s">
        <v>2424</v>
      </c>
      <c r="G1163" s="13" t="s">
        <v>2425</v>
      </c>
      <c r="H1163" s="14" t="str">
        <f t="array" ref="H1163">IFERROR(INDEX([1]Companies!$G:$G,MATCH(B1163,[1]Companies!$A:$A,0)),"")</f>
        <v>Egypt</v>
      </c>
      <c r="I1163" s="14" t="str">
        <f t="shared" ref="I1163:I1173" si="1494">IF(LEN(TRIM(H1163))-LEN(SUBSTITUTE(TRIM(H1163),",","")) &gt; 0,TRIM(RIGHT(H1163,LEN(H1163)-FIND(",",H1163))),H1163)</f>
        <v>Egypt</v>
      </c>
      <c r="J1163" s="14" t="str">
        <f t="array" ref="J1163">IFERROR(INDEX([1]Companies!$Y:$Y,MATCH(B1163,[1]Companies!$A:$A,0)),"")</f>
        <v>Artificial Intelligence, Big Data, Machine Learning, Natural Language Processing</v>
      </c>
      <c r="K1163" s="14" t="str">
        <f t="array" ref="K1163">IFERROR(INDEX([1]Companies!$X:$X,MATCH(B1163,[1]Companies!$A:$A,0)),"")</f>
        <v>Information Technology</v>
      </c>
      <c r="L1163" s="14" t="str">
        <f>VLOOKUP(B1163,[1]Companies!$A$1:$C$5243,1,FALSE)</f>
        <v>WideBot</v>
      </c>
      <c r="M1163" s="15">
        <f t="shared" ref="M1163:M1173" si="1495">COUNTA(B1163:K1163)/(COUNTBLANK(B1163:K1163) + COUNTA(B1163:K1163))</f>
        <v>0.9</v>
      </c>
      <c r="N1163" s="10" t="str">
        <f t="shared" ref="N1163:N1173" si="1496">CONCATENATE(A1163,B1163,C1163)</f>
        <v>43645WideBotUndisclosed</v>
      </c>
      <c r="O1163" s="14" t="str">
        <f t="shared" ref="O1163:O1173" si="1497">IF(A1163 = "","",IF(COUNTIF(N:N,CONCATENATE(A1163,B1163,C1163))&gt;1,"Duplicated",""))</f>
        <v/>
      </c>
      <c r="P1163" s="14">
        <f t="shared" ref="P1163:P1173" si="1498">IF(C1163="Undisclosed",0,1)</f>
        <v>0</v>
      </c>
      <c r="Q1163" s="14">
        <f t="array" ref="Q1163">IFERROR(INDEX([1]Companies!$D:$D,MATCH(B1163,[1]Companies!$A:$A,0)),"")</f>
        <v>2016</v>
      </c>
      <c r="R1163" s="17">
        <f t="shared" ref="R1163:R1173" si="1499">SUMIF(B:B,B1163,C:C)</f>
        <v>50000</v>
      </c>
      <c r="S1163" s="14">
        <f>VLOOKUP(I1163,[1]Lookups!$V$3:$Y$197,4,FALSE)</f>
        <v>0</v>
      </c>
      <c r="T1163" s="14" t="str">
        <f>VLOOKUP(E1163,[1]Lookups!$H$3:$I$71,2,FALSE)</f>
        <v>2. Seed</v>
      </c>
      <c r="U1163" s="14" t="str">
        <f>VLOOKUP(K1163,[1]Lookups!$B$3:$C$142,2,FALSE)</f>
        <v>Other Technologies &amp; Information Technology</v>
      </c>
      <c r="V1163" s="14">
        <f t="shared" si="1230"/>
        <v>2019</v>
      </c>
      <c r="W1163" s="14">
        <f t="shared" si="1231"/>
        <v>6</v>
      </c>
      <c r="X1163" s="14">
        <f>VLOOKUP(W1163,[1]Lookups!$P$3:$S$15,2,FALSE)</f>
        <v>2</v>
      </c>
      <c r="Y1163" s="16">
        <f>VLOOKUP(W1163,[1]Lookups!$P$3:$U$15,3,FALSE)</f>
        <v>1</v>
      </c>
      <c r="Z1163" s="16">
        <f t="shared" si="1232"/>
        <v>1</v>
      </c>
      <c r="AA1163" s="16" t="str">
        <f t="shared" ref="AA1163:AO1178" ca="1" si="1500">AS1163</f>
        <v>Business Valley</v>
      </c>
      <c r="AB1163" s="16">
        <f t="shared" si="1500"/>
        <v>0</v>
      </c>
      <c r="AC1163" s="16">
        <f t="shared" si="1500"/>
        <v>0</v>
      </c>
      <c r="AD1163" s="16">
        <f t="shared" si="1500"/>
        <v>0</v>
      </c>
      <c r="AE1163" s="16">
        <f t="shared" si="1500"/>
        <v>0</v>
      </c>
      <c r="AF1163" s="16">
        <f t="shared" si="1500"/>
        <v>0</v>
      </c>
      <c r="AG1163" s="16">
        <f t="shared" si="1500"/>
        <v>0</v>
      </c>
      <c r="AH1163" s="16">
        <f t="shared" si="1500"/>
        <v>0</v>
      </c>
      <c r="AI1163" s="16">
        <f t="shared" si="1500"/>
        <v>0</v>
      </c>
      <c r="AJ1163" s="16">
        <f t="shared" si="1500"/>
        <v>0</v>
      </c>
      <c r="AK1163" s="16">
        <f t="shared" si="1500"/>
        <v>0</v>
      </c>
      <c r="AL1163" s="16">
        <f t="shared" si="1500"/>
        <v>0</v>
      </c>
      <c r="AM1163" s="16">
        <f t="shared" si="1500"/>
        <v>0</v>
      </c>
      <c r="AN1163" s="16">
        <f t="shared" si="1500"/>
        <v>0</v>
      </c>
      <c r="AO1163" s="16">
        <f t="shared" si="1500"/>
        <v>0</v>
      </c>
      <c r="AP1163" s="10"/>
      <c r="AQ1163" s="10"/>
      <c r="AR1163" s="10"/>
      <c r="AS1163" s="10" t="str">
        <f t="shared" ref="AS1163" ca="1" si="1501">IFERROR(__xludf.DUMMYFUNCTION("split(F1163,"","",true,true)"),"Business Valley")</f>
        <v>Business Valley</v>
      </c>
      <c r="AT1163" s="10"/>
      <c r="AU1163" s="10"/>
      <c r="AV1163" s="10"/>
      <c r="AW1163" s="10"/>
      <c r="AX1163" s="10"/>
      <c r="AY1163" s="10"/>
      <c r="AZ1163" s="10"/>
      <c r="BA1163" s="10"/>
      <c r="BB1163" s="10"/>
      <c r="BC1163" s="10"/>
      <c r="BD1163" s="10"/>
      <c r="BE1163" s="10"/>
      <c r="BF1163" s="10"/>
      <c r="BG1163" s="10"/>
      <c r="BH1163" s="10"/>
      <c r="BI1163" s="10"/>
      <c r="BJ1163" s="10"/>
      <c r="BK1163" s="10"/>
      <c r="BM1163" s="10"/>
    </row>
    <row r="1164" spans="1:65" ht="12.75">
      <c r="A1164" s="9">
        <v>43648</v>
      </c>
      <c r="B1164" s="10" t="s">
        <v>2426</v>
      </c>
      <c r="C1164" s="11" t="s">
        <v>49</v>
      </c>
      <c r="D1164" s="38">
        <v>0.15</v>
      </c>
      <c r="E1164" s="10" t="s">
        <v>45</v>
      </c>
      <c r="F1164" s="10" t="s">
        <v>49</v>
      </c>
      <c r="G1164" s="13" t="s">
        <v>2427</v>
      </c>
      <c r="H1164" s="14" t="str">
        <f t="array" ref="H1164">IFERROR(INDEX([1]Companies!$G:$G,MATCH(B1164,[1]Companies!$A:$A,0)),"")</f>
        <v>South Africa</v>
      </c>
      <c r="I1164" s="14" t="str">
        <f t="shared" si="1494"/>
        <v>South Africa</v>
      </c>
      <c r="J1164" s="14" t="str">
        <f t="array" ref="J1164">IFERROR(INDEX([1]Companies!$Y:$Y,MATCH(B1164,[1]Companies!$A:$A,0)),"")</f>
        <v>Financial Services, Credit Services</v>
      </c>
      <c r="K1164" s="14" t="str">
        <f t="array" ref="K1164">IFERROR(INDEX([1]Companies!$X:$X,MATCH(B1164,[1]Companies!$A:$A,0)),"")</f>
        <v>Financial Services</v>
      </c>
      <c r="L1164" s="14" t="str">
        <f>VLOOKUP(B1164,[1]Companies!$A$1:$C$5243,1,FALSE)</f>
        <v>Fundrr</v>
      </c>
      <c r="M1164" s="15">
        <f t="shared" si="1495"/>
        <v>1</v>
      </c>
      <c r="N1164" s="10" t="str">
        <f t="shared" si="1496"/>
        <v>43648FundrrUndisclosed</v>
      </c>
      <c r="O1164" s="14" t="str">
        <f t="shared" si="1497"/>
        <v/>
      </c>
      <c r="P1164" s="14">
        <f t="shared" si="1498"/>
        <v>0</v>
      </c>
      <c r="Q1164" s="14">
        <f t="array" ref="Q1164">IFERROR(INDEX([1]Companies!$D:$D,MATCH(B1164,[1]Companies!$A:$A,0)),"")</f>
        <v>2017</v>
      </c>
      <c r="R1164" s="17">
        <f t="shared" si="1499"/>
        <v>0</v>
      </c>
      <c r="S1164" s="14">
        <f>VLOOKUP(I1164,[1]Lookups!$V$3:$Y$197,4,FALSE)</f>
        <v>0</v>
      </c>
      <c r="T1164" s="14" t="str">
        <f>VLOOKUP(E1164,[1]Lookups!$H$3:$I$71,2,FALSE)</f>
        <v>2. Seed</v>
      </c>
      <c r="U1164" s="14" t="str">
        <f>VLOOKUP(K1164,[1]Lookups!$B$3:$C$142,2,FALSE)</f>
        <v>Financial Services</v>
      </c>
      <c r="V1164" s="14">
        <f t="shared" si="1230"/>
        <v>2019</v>
      </c>
      <c r="W1164" s="14">
        <f t="shared" si="1231"/>
        <v>7</v>
      </c>
      <c r="X1164" s="14">
        <f>VLOOKUP(W1164,[1]Lookups!$P$3:$S$15,2,FALSE)</f>
        <v>3</v>
      </c>
      <c r="Y1164" s="16">
        <f>VLOOKUP(W1164,[1]Lookups!$P$3:$U$15,3,FALSE)</f>
        <v>2</v>
      </c>
      <c r="Z1164" s="16">
        <f t="shared" si="1232"/>
        <v>1</v>
      </c>
      <c r="AA1164" s="16" t="str">
        <f t="shared" ca="1" si="1500"/>
        <v>Business Valley</v>
      </c>
      <c r="AB1164" s="16">
        <f t="shared" si="1500"/>
        <v>0</v>
      </c>
      <c r="AC1164" s="16">
        <f t="shared" si="1500"/>
        <v>0</v>
      </c>
      <c r="AD1164" s="16">
        <f t="shared" si="1500"/>
        <v>0</v>
      </c>
      <c r="AE1164" s="16">
        <f t="shared" si="1500"/>
        <v>0</v>
      </c>
      <c r="AF1164" s="16">
        <f t="shared" si="1500"/>
        <v>0</v>
      </c>
      <c r="AG1164" s="16">
        <f t="shared" si="1500"/>
        <v>0</v>
      </c>
      <c r="AH1164" s="16">
        <f t="shared" si="1500"/>
        <v>0</v>
      </c>
      <c r="AI1164" s="16">
        <f t="shared" si="1500"/>
        <v>0</v>
      </c>
      <c r="AJ1164" s="16">
        <f t="shared" si="1500"/>
        <v>0</v>
      </c>
      <c r="AK1164" s="16">
        <f t="shared" si="1500"/>
        <v>0</v>
      </c>
      <c r="AL1164" s="16">
        <f t="shared" si="1500"/>
        <v>0</v>
      </c>
      <c r="AM1164" s="16">
        <f t="shared" si="1500"/>
        <v>0</v>
      </c>
      <c r="AN1164" s="16">
        <f t="shared" si="1500"/>
        <v>0</v>
      </c>
      <c r="AO1164" s="16">
        <f t="shared" si="1500"/>
        <v>0</v>
      </c>
      <c r="AP1164" s="10"/>
      <c r="AQ1164" s="10"/>
      <c r="AR1164" s="10"/>
      <c r="AS1164" s="10" t="str">
        <f t="shared" ref="AS1164" ca="1" si="1502">IFERROR(__xludf.DUMMYFUNCTION("split(F1163,"","",true,true)"),"Business Valley")</f>
        <v>Business Valley</v>
      </c>
      <c r="AT1164" s="10"/>
      <c r="AU1164" s="10"/>
      <c r="AV1164" s="10"/>
      <c r="AW1164" s="10"/>
      <c r="AX1164" s="10"/>
      <c r="AY1164" s="10"/>
      <c r="AZ1164" s="10"/>
      <c r="BA1164" s="10"/>
      <c r="BB1164" s="10"/>
      <c r="BC1164" s="10"/>
      <c r="BD1164" s="10"/>
      <c r="BE1164" s="10"/>
      <c r="BF1164" s="10"/>
      <c r="BG1164" s="10"/>
      <c r="BH1164" s="10"/>
      <c r="BI1164" s="10"/>
      <c r="BJ1164" s="10"/>
      <c r="BK1164" s="10"/>
      <c r="BM1164" s="10"/>
    </row>
    <row r="1165" spans="1:65" ht="12.75">
      <c r="A1165" s="9">
        <v>43648</v>
      </c>
      <c r="B1165" s="10" t="s">
        <v>2135</v>
      </c>
      <c r="C1165" s="11">
        <v>4500000</v>
      </c>
      <c r="D1165" s="12"/>
      <c r="E1165" s="10" t="s">
        <v>45</v>
      </c>
      <c r="F1165" s="10" t="s">
        <v>2428</v>
      </c>
      <c r="G1165" s="13" t="s">
        <v>2429</v>
      </c>
      <c r="H1165" s="14" t="str">
        <f t="array" ref="H1165">IFERROR(INDEX([1]Companies!$G:$G,MATCH(B1165,[1]Companies!$A:$A,0)),"")</f>
        <v>Nigeria</v>
      </c>
      <c r="I1165" s="14" t="str">
        <f t="shared" si="1494"/>
        <v>Nigeria</v>
      </c>
      <c r="J1165" s="14" t="str">
        <f t="array" ref="J1165">IFERROR(INDEX([1]Companies!$Y:$Y,MATCH(B1165,[1]Companies!$A:$A,0)),"")</f>
        <v>HealthCare</v>
      </c>
      <c r="K1165" s="14" t="str">
        <f t="array" ref="K1165">IFERROR(INDEX([1]Companies!$X:$X,MATCH(B1165,[1]Companies!$A:$A,0)),"")</f>
        <v>Healthcare &amp; Pharma</v>
      </c>
      <c r="L1165" s="14" t="str">
        <f>VLOOKUP(B1165,[1]Companies!$A$1:$C$5243,1,FALSE)</f>
        <v>54gene</v>
      </c>
      <c r="M1165" s="15">
        <f t="shared" si="1495"/>
        <v>0.9</v>
      </c>
      <c r="N1165" s="10" t="str">
        <f t="shared" si="1496"/>
        <v>4364854gene4500000</v>
      </c>
      <c r="O1165" s="14" t="str">
        <f t="shared" si="1497"/>
        <v/>
      </c>
      <c r="P1165" s="14">
        <f t="shared" si="1498"/>
        <v>1</v>
      </c>
      <c r="Q1165" s="14">
        <f t="array" ref="Q1165">IFERROR(INDEX([1]Companies!$D:$D,MATCH(B1165,[1]Companies!$A:$A,0)),"")</f>
        <v>2019</v>
      </c>
      <c r="R1165" s="17">
        <f t="shared" si="1499"/>
        <v>4650000</v>
      </c>
      <c r="S1165" s="14">
        <f>VLOOKUP(I1165,[1]Lookups!$V$3:$Y$197,4,FALSE)</f>
        <v>0</v>
      </c>
      <c r="T1165" s="14" t="str">
        <f>VLOOKUP(E1165,[1]Lookups!$H$3:$I$71,2,FALSE)</f>
        <v>2. Seed</v>
      </c>
      <c r="U1165" s="14" t="str">
        <f>VLOOKUP(K1165,[1]Lookups!$B$3:$C$142,2,FALSE)</f>
        <v>Health &amp; Pharmaceuticals</v>
      </c>
      <c r="V1165" s="14">
        <f t="shared" si="1230"/>
        <v>2019</v>
      </c>
      <c r="W1165" s="14">
        <f t="shared" si="1231"/>
        <v>7</v>
      </c>
      <c r="X1165" s="14">
        <f>VLOOKUP(W1165,[1]Lookups!$P$3:$S$15,2,FALSE)</f>
        <v>3</v>
      </c>
      <c r="Y1165" s="16">
        <f>VLOOKUP(W1165,[1]Lookups!$P$3:$U$15,3,FALSE)</f>
        <v>2</v>
      </c>
      <c r="Z1165" s="16">
        <f t="shared" si="1232"/>
        <v>6</v>
      </c>
      <c r="AA1165" s="16" t="str">
        <f t="shared" ca="1" si="1500"/>
        <v>Business Valley</v>
      </c>
      <c r="AB1165" s="16" t="str">
        <f t="shared" ca="1" si="1500"/>
        <v xml:space="preserve">  Fifty Years Fund</v>
      </c>
      <c r="AC1165" s="16" t="str">
        <f t="shared" ca="1" si="1500"/>
        <v xml:space="preserve"> Hack VC</v>
      </c>
      <c r="AD1165" s="16" t="str">
        <f t="shared" ca="1" si="1500"/>
        <v xml:space="preserve"> Techammer</v>
      </c>
      <c r="AE1165" s="16" t="str">
        <f t="shared" ca="1" si="1500"/>
        <v xml:space="preserve"> KdT Ventures</v>
      </c>
      <c r="AF1165" s="16" t="str">
        <f t="shared" ca="1" si="1500"/>
        <v xml:space="preserve"> Y Combinator</v>
      </c>
      <c r="AG1165" s="16">
        <f t="shared" si="1500"/>
        <v>0</v>
      </c>
      <c r="AH1165" s="16">
        <f t="shared" si="1500"/>
        <v>0</v>
      </c>
      <c r="AI1165" s="16">
        <f t="shared" si="1500"/>
        <v>0</v>
      </c>
      <c r="AJ1165" s="16">
        <f t="shared" si="1500"/>
        <v>0</v>
      </c>
      <c r="AK1165" s="16">
        <f t="shared" si="1500"/>
        <v>0</v>
      </c>
      <c r="AL1165" s="16">
        <f t="shared" si="1500"/>
        <v>0</v>
      </c>
      <c r="AM1165" s="16">
        <f t="shared" si="1500"/>
        <v>0</v>
      </c>
      <c r="AN1165" s="16">
        <f t="shared" si="1500"/>
        <v>0</v>
      </c>
      <c r="AO1165" s="16">
        <f t="shared" si="1500"/>
        <v>0</v>
      </c>
      <c r="AP1165" s="10"/>
      <c r="AQ1165" s="10"/>
      <c r="AR1165" s="10"/>
      <c r="AS1165" s="10" t="str">
        <f t="shared" ref="AS1165" ca="1" si="1503">IFERROR(__xludf.DUMMYFUNCTION("split(F1163,"","",true,true)"),"Business Valley")</f>
        <v>Business Valley</v>
      </c>
      <c r="AT1165" s="10" t="str">
        <f ca="1">IFERROR(__xludf.DUMMYFUNCTION("""COMPUTED_VALUE"""),"  Fifty Years Fund")</f>
        <v xml:space="preserve">  Fifty Years Fund</v>
      </c>
      <c r="AU1165" s="10" t="str">
        <f ca="1">IFERROR(__xludf.DUMMYFUNCTION("""COMPUTED_VALUE""")," Hack VC")</f>
        <v xml:space="preserve"> Hack VC</v>
      </c>
      <c r="AV1165" s="10" t="str">
        <f ca="1">IFERROR(__xludf.DUMMYFUNCTION("""COMPUTED_VALUE""")," Techammer")</f>
        <v xml:space="preserve"> Techammer</v>
      </c>
      <c r="AW1165" s="10" t="str">
        <f ca="1">IFERROR(__xludf.DUMMYFUNCTION("""COMPUTED_VALUE""")," KdT Ventures")</f>
        <v xml:space="preserve"> KdT Ventures</v>
      </c>
      <c r="AX1165" s="10" t="str">
        <f ca="1">IFERROR(__xludf.DUMMYFUNCTION("""COMPUTED_VALUE""")," Y Combinator")</f>
        <v xml:space="preserve"> Y Combinator</v>
      </c>
      <c r="AY1165" s="10"/>
      <c r="AZ1165" s="10"/>
      <c r="BA1165" s="10"/>
      <c r="BB1165" s="10"/>
      <c r="BC1165" s="10"/>
      <c r="BD1165" s="10"/>
      <c r="BE1165" s="10"/>
      <c r="BF1165" s="10"/>
      <c r="BG1165" s="10"/>
      <c r="BH1165" s="10"/>
      <c r="BI1165" s="10"/>
      <c r="BJ1165" s="10"/>
      <c r="BK1165" s="10"/>
      <c r="BM1165" s="10"/>
    </row>
    <row r="1166" spans="1:65" ht="12.75">
      <c r="A1166" s="9">
        <v>43654</v>
      </c>
      <c r="B1166" s="10" t="s">
        <v>2430</v>
      </c>
      <c r="C1166" s="11" t="s">
        <v>49</v>
      </c>
      <c r="D1166" s="12"/>
      <c r="E1166" s="10" t="s">
        <v>69</v>
      </c>
      <c r="F1166" s="10" t="s">
        <v>2431</v>
      </c>
      <c r="G1166" s="13" t="s">
        <v>2432</v>
      </c>
      <c r="H1166" s="14" t="str">
        <f t="array" ref="H1166">IFERROR(INDEX([1]Companies!$G:$G,MATCH(B1166,[1]Companies!$A:$A,0)),"")</f>
        <v>South Africa</v>
      </c>
      <c r="I1166" s="14" t="str">
        <f t="shared" si="1494"/>
        <v>South Africa</v>
      </c>
      <c r="J1166" s="14" t="str">
        <f t="array" ref="J1166">IFERROR(INDEX([1]Companies!$Y:$Y,MATCH(B1166,[1]Companies!$A:$A,0)),"")</f>
        <v>Logistics, Warehouse solutions</v>
      </c>
      <c r="K1166" s="14" t="str">
        <f t="array" ref="K1166">IFERROR(INDEX([1]Companies!$X:$X,MATCH(B1166,[1]Companies!$A:$A,0)),"")</f>
        <v>Information Technology</v>
      </c>
      <c r="L1166" s="14" t="str">
        <f>VLOOKUP(B1166,[1]Companies!$A$1:$C$5243,1,FALSE)</f>
        <v>Cradle Technology Services</v>
      </c>
      <c r="M1166" s="15">
        <f t="shared" si="1495"/>
        <v>0.9</v>
      </c>
      <c r="N1166" s="10" t="str">
        <f t="shared" si="1496"/>
        <v>43654Cradle Technology ServicesUndisclosed</v>
      </c>
      <c r="O1166" s="14" t="str">
        <f t="shared" si="1497"/>
        <v/>
      </c>
      <c r="P1166" s="14">
        <f t="shared" si="1498"/>
        <v>0</v>
      </c>
      <c r="Q1166" s="14">
        <f t="array" ref="Q1166">IFERROR(INDEX([1]Companies!$D:$D,MATCH(B1166,[1]Companies!$A:$A,0)),"")</f>
        <v>2000</v>
      </c>
      <c r="R1166" s="17">
        <f t="shared" si="1499"/>
        <v>0</v>
      </c>
      <c r="S1166" s="14">
        <f>VLOOKUP(I1166,[1]Lookups!$V$3:$Y$197,4,FALSE)</f>
        <v>0</v>
      </c>
      <c r="T1166" s="14" t="str">
        <f>VLOOKUP(E1166,[1]Lookups!$H$3:$I$71,2,FALSE)</f>
        <v>3. Early Venture</v>
      </c>
      <c r="U1166" s="14" t="str">
        <f>VLOOKUP(K1166,[1]Lookups!$B$3:$C$142,2,FALSE)</f>
        <v>Other Technologies &amp; Information Technology</v>
      </c>
      <c r="V1166" s="14">
        <f t="shared" si="1230"/>
        <v>2019</v>
      </c>
      <c r="W1166" s="14">
        <f t="shared" si="1231"/>
        <v>7</v>
      </c>
      <c r="X1166" s="14">
        <f>VLOOKUP(W1166,[1]Lookups!$P$3:$S$15,2,FALSE)</f>
        <v>3</v>
      </c>
      <c r="Y1166" s="16">
        <f>VLOOKUP(W1166,[1]Lookups!$P$3:$U$15,3,FALSE)</f>
        <v>2</v>
      </c>
      <c r="Z1166" s="16">
        <f t="shared" si="1232"/>
        <v>2</v>
      </c>
      <c r="AA1166" s="16" t="str">
        <f t="shared" ca="1" si="1500"/>
        <v>Business Valley</v>
      </c>
      <c r="AB1166" s="16">
        <f t="shared" si="1500"/>
        <v>0</v>
      </c>
      <c r="AC1166" s="16">
        <f t="shared" si="1500"/>
        <v>0</v>
      </c>
      <c r="AD1166" s="16">
        <f t="shared" si="1500"/>
        <v>0</v>
      </c>
      <c r="AE1166" s="16">
        <f t="shared" si="1500"/>
        <v>0</v>
      </c>
      <c r="AF1166" s="16">
        <f t="shared" si="1500"/>
        <v>0</v>
      </c>
      <c r="AG1166" s="16">
        <f t="shared" si="1500"/>
        <v>0</v>
      </c>
      <c r="AH1166" s="16">
        <f t="shared" si="1500"/>
        <v>0</v>
      </c>
      <c r="AI1166" s="16">
        <f t="shared" si="1500"/>
        <v>0</v>
      </c>
      <c r="AJ1166" s="16">
        <f t="shared" si="1500"/>
        <v>0</v>
      </c>
      <c r="AK1166" s="16">
        <f t="shared" si="1500"/>
        <v>0</v>
      </c>
      <c r="AL1166" s="16">
        <f t="shared" si="1500"/>
        <v>0</v>
      </c>
      <c r="AM1166" s="16">
        <f t="shared" si="1500"/>
        <v>0</v>
      </c>
      <c r="AN1166" s="16">
        <f t="shared" si="1500"/>
        <v>0</v>
      </c>
      <c r="AO1166" s="16">
        <f t="shared" si="1500"/>
        <v>0</v>
      </c>
      <c r="AP1166" s="10"/>
      <c r="AQ1166" s="10"/>
      <c r="AR1166" s="10"/>
      <c r="AS1166" s="10" t="str">
        <f t="shared" ref="AS1166" ca="1" si="1504">IFERROR(__xludf.DUMMYFUNCTION("split(F1163,"","",true,true)"),"Business Valley")</f>
        <v>Business Valley</v>
      </c>
      <c r="AT1166" s="10"/>
      <c r="AU1166" s="10"/>
      <c r="AV1166" s="10"/>
      <c r="AW1166" s="10"/>
      <c r="AX1166" s="10"/>
      <c r="AY1166" s="10"/>
      <c r="AZ1166" s="10"/>
      <c r="BA1166" s="10"/>
      <c r="BB1166" s="10"/>
      <c r="BC1166" s="10"/>
      <c r="BD1166" s="10"/>
      <c r="BE1166" s="10"/>
      <c r="BF1166" s="10"/>
      <c r="BG1166" s="10"/>
      <c r="BH1166" s="10"/>
      <c r="BI1166" s="10"/>
      <c r="BJ1166" s="10"/>
      <c r="BK1166" s="10"/>
      <c r="BM1166" s="10"/>
    </row>
    <row r="1167" spans="1:65" ht="12.75">
      <c r="A1167" s="9">
        <v>43654</v>
      </c>
      <c r="B1167" s="10" t="s">
        <v>1883</v>
      </c>
      <c r="C1167" s="11">
        <v>1120000</v>
      </c>
      <c r="D1167" s="42"/>
      <c r="E1167" s="10" t="s">
        <v>51</v>
      </c>
      <c r="F1167" s="10" t="s">
        <v>2433</v>
      </c>
      <c r="G1167" s="32" t="s">
        <v>2434</v>
      </c>
      <c r="H1167" s="14" t="str">
        <f t="array" ref="H1167">IFERROR(INDEX([1]Companies!$G:$G,MATCH(B1167,[1]Companies!$A:$A,0)),"")</f>
        <v>Zambia</v>
      </c>
      <c r="I1167" s="14" t="str">
        <f t="shared" si="1494"/>
        <v>Zambia</v>
      </c>
      <c r="J1167" s="14" t="str">
        <f t="array" ref="J1167">IFERROR(INDEX([1]Companies!$Y:$Y,MATCH(B1167,[1]Companies!$A:$A,0)),"")</f>
        <v>Asset Financing, Pay As You Go Solar, Farm Machinery</v>
      </c>
      <c r="K1167" s="14" t="str">
        <f t="array" ref="K1167">IFERROR(INDEX([1]Companies!$X:$X,MATCH(B1167,[1]Companies!$A:$A,0)),"")</f>
        <v>Agriculture</v>
      </c>
      <c r="L1167" s="14" t="str">
        <f>VLOOKUP(B1167,[1]Companies!$A$1:$C$5243,1,FALSE)</f>
        <v>Rent To Own Africa</v>
      </c>
      <c r="M1167" s="15">
        <f t="shared" si="1495"/>
        <v>0.9</v>
      </c>
      <c r="N1167" s="10" t="str">
        <f t="shared" si="1496"/>
        <v>43654Rent To Own Africa1120000</v>
      </c>
      <c r="O1167" s="14" t="str">
        <f t="shared" si="1497"/>
        <v/>
      </c>
      <c r="P1167" s="14">
        <f t="shared" si="1498"/>
        <v>1</v>
      </c>
      <c r="Q1167" s="14">
        <f t="array" ref="Q1167">IFERROR(INDEX([1]Companies!$D:$D,MATCH(B1167,[1]Companies!$A:$A,0)),"")</f>
        <v>2010</v>
      </c>
      <c r="R1167" s="17">
        <f t="shared" si="1499"/>
        <v>2170000</v>
      </c>
      <c r="S1167" s="14">
        <f>VLOOKUP(I1167,[1]Lookups!$V$3:$Y$197,4,FALSE)</f>
        <v>0</v>
      </c>
      <c r="T1167" s="14" t="str">
        <f>VLOOKUP(E1167,[1]Lookups!$H$3:$I$71,2,FALSE)</f>
        <v>6. Private Equity</v>
      </c>
      <c r="U1167" s="14" t="str">
        <f>VLOOKUP(K1167,[1]Lookups!$B$3:$C$142,2,FALSE)</f>
        <v>Agriculture</v>
      </c>
      <c r="V1167" s="14">
        <f t="shared" si="1230"/>
        <v>2019</v>
      </c>
      <c r="W1167" s="14">
        <f t="shared" si="1231"/>
        <v>7</v>
      </c>
      <c r="X1167" s="14">
        <f>VLOOKUP(W1167,[1]Lookups!$P$3:$S$15,2,FALSE)</f>
        <v>3</v>
      </c>
      <c r="Y1167" s="16">
        <f>VLOOKUP(W1167,[1]Lookups!$P$3:$U$15,3,FALSE)</f>
        <v>2</v>
      </c>
      <c r="Z1167" s="16">
        <f t="shared" si="1232"/>
        <v>1</v>
      </c>
      <c r="AA1167" s="16" t="str">
        <f t="shared" ca="1" si="1500"/>
        <v>Business Valley</v>
      </c>
      <c r="AB1167" s="16">
        <f t="shared" si="1500"/>
        <v>0</v>
      </c>
      <c r="AC1167" s="16">
        <f t="shared" si="1500"/>
        <v>0</v>
      </c>
      <c r="AD1167" s="16">
        <f t="shared" si="1500"/>
        <v>0</v>
      </c>
      <c r="AE1167" s="16">
        <f t="shared" si="1500"/>
        <v>0</v>
      </c>
      <c r="AF1167" s="16">
        <f t="shared" si="1500"/>
        <v>0</v>
      </c>
      <c r="AG1167" s="16">
        <f t="shared" si="1500"/>
        <v>0</v>
      </c>
      <c r="AH1167" s="16">
        <f t="shared" si="1500"/>
        <v>0</v>
      </c>
      <c r="AI1167" s="16">
        <f t="shared" si="1500"/>
        <v>0</v>
      </c>
      <c r="AJ1167" s="16">
        <f t="shared" si="1500"/>
        <v>0</v>
      </c>
      <c r="AK1167" s="16">
        <f t="shared" si="1500"/>
        <v>0</v>
      </c>
      <c r="AL1167" s="16">
        <f t="shared" si="1500"/>
        <v>0</v>
      </c>
      <c r="AM1167" s="16">
        <f t="shared" si="1500"/>
        <v>0</v>
      </c>
      <c r="AN1167" s="16">
        <f t="shared" si="1500"/>
        <v>0</v>
      </c>
      <c r="AO1167" s="16">
        <f t="shared" si="1500"/>
        <v>0</v>
      </c>
      <c r="AP1167" s="10"/>
      <c r="AQ1167" s="10"/>
      <c r="AR1167" s="10"/>
      <c r="AS1167" s="10" t="str">
        <f t="shared" ref="AS1167" ca="1" si="1505">IFERROR(__xludf.DUMMYFUNCTION("split(F1163,"","",true,true)"),"Business Valley")</f>
        <v>Business Valley</v>
      </c>
      <c r="AT1167" s="10"/>
      <c r="AU1167" s="10"/>
      <c r="AV1167" s="10"/>
      <c r="AW1167" s="10"/>
      <c r="AX1167" s="10"/>
      <c r="AY1167" s="10"/>
      <c r="AZ1167" s="10"/>
      <c r="BA1167" s="10"/>
      <c r="BB1167" s="10"/>
      <c r="BC1167" s="10"/>
      <c r="BD1167" s="10"/>
      <c r="BE1167" s="10"/>
      <c r="BF1167" s="10"/>
      <c r="BG1167" s="10"/>
      <c r="BH1167" s="10"/>
      <c r="BI1167" s="10"/>
      <c r="BJ1167" s="10"/>
      <c r="BK1167" s="10"/>
      <c r="BM1167" s="10"/>
    </row>
    <row r="1168" spans="1:65" ht="12.75">
      <c r="A1168" s="9">
        <v>43654</v>
      </c>
      <c r="B1168" s="10" t="s">
        <v>1741</v>
      </c>
      <c r="C1168" s="11">
        <v>120000</v>
      </c>
      <c r="D1168" s="12"/>
      <c r="E1168" s="10" t="s">
        <v>45</v>
      </c>
      <c r="F1168" s="10" t="s">
        <v>2435</v>
      </c>
      <c r="G1168" s="13" t="s">
        <v>2436</v>
      </c>
      <c r="H1168" s="14" t="str">
        <f t="array" ref="H1168">IFERROR(INDEX([1]Companies!$G:$G,MATCH(B1168,[1]Companies!$A:$A,0)),"")</f>
        <v>Ghana</v>
      </c>
      <c r="I1168" s="14" t="str">
        <f t="shared" si="1494"/>
        <v>Ghana</v>
      </c>
      <c r="J1168" s="14" t="str">
        <f t="array" ref="J1168">IFERROR(INDEX([1]Companies!$Y:$Y,MATCH(B1168,[1]Companies!$A:$A,0)),"")</f>
        <v>Veterinary, Animal Health</v>
      </c>
      <c r="K1168" s="14" t="str">
        <f t="array" ref="K1168">IFERROR(INDEX([1]Companies!$X:$X,MATCH(B1168,[1]Companies!$A:$A,0)),"")</f>
        <v>Agriculture</v>
      </c>
      <c r="L1168" s="14" t="str">
        <f>VLOOKUP(B1168,[1]Companies!$A$1:$C$5243,1,FALSE)</f>
        <v>Cowtribe</v>
      </c>
      <c r="M1168" s="15">
        <f t="shared" si="1495"/>
        <v>0.9</v>
      </c>
      <c r="N1168" s="10" t="str">
        <f t="shared" si="1496"/>
        <v>43654CowTribe120000</v>
      </c>
      <c r="O1168" s="14" t="str">
        <f t="shared" si="1497"/>
        <v/>
      </c>
      <c r="P1168" s="14">
        <f t="shared" si="1498"/>
        <v>1</v>
      </c>
      <c r="Q1168" s="14">
        <f t="array" ref="Q1168">IFERROR(INDEX([1]Companies!$D:$D,MATCH(B1168,[1]Companies!$A:$A,0)),"")</f>
        <v>2016</v>
      </c>
      <c r="R1168" s="17">
        <f t="shared" si="1499"/>
        <v>420000</v>
      </c>
      <c r="S1168" s="14">
        <f>VLOOKUP(I1168,[1]Lookups!$V$3:$Y$197,4,FALSE)</f>
        <v>0</v>
      </c>
      <c r="T1168" s="14" t="str">
        <f>VLOOKUP(E1168,[1]Lookups!$H$3:$I$71,2,FALSE)</f>
        <v>2. Seed</v>
      </c>
      <c r="U1168" s="14" t="str">
        <f>VLOOKUP(K1168,[1]Lookups!$B$3:$C$142,2,FALSE)</f>
        <v>Agriculture</v>
      </c>
      <c r="V1168" s="14">
        <f t="shared" si="1230"/>
        <v>2019</v>
      </c>
      <c r="W1168" s="14">
        <f t="shared" si="1231"/>
        <v>7</v>
      </c>
      <c r="X1168" s="14">
        <f>VLOOKUP(W1168,[1]Lookups!$P$3:$S$15,2,FALSE)</f>
        <v>3</v>
      </c>
      <c r="Y1168" s="16">
        <f>VLOOKUP(W1168,[1]Lookups!$P$3:$U$15,3,FALSE)</f>
        <v>2</v>
      </c>
      <c r="Z1168" s="16">
        <f t="shared" si="1232"/>
        <v>1</v>
      </c>
      <c r="AA1168" s="16" t="str">
        <f t="shared" ca="1" si="1500"/>
        <v>Business Valley</v>
      </c>
      <c r="AB1168" s="16">
        <f t="shared" si="1500"/>
        <v>0</v>
      </c>
      <c r="AC1168" s="16">
        <f t="shared" si="1500"/>
        <v>0</v>
      </c>
      <c r="AD1168" s="16">
        <f t="shared" si="1500"/>
        <v>0</v>
      </c>
      <c r="AE1168" s="16">
        <f t="shared" si="1500"/>
        <v>0</v>
      </c>
      <c r="AF1168" s="16">
        <f t="shared" si="1500"/>
        <v>0</v>
      </c>
      <c r="AG1168" s="16">
        <f t="shared" si="1500"/>
        <v>0</v>
      </c>
      <c r="AH1168" s="16">
        <f t="shared" si="1500"/>
        <v>0</v>
      </c>
      <c r="AI1168" s="16">
        <f t="shared" si="1500"/>
        <v>0</v>
      </c>
      <c r="AJ1168" s="16">
        <f t="shared" si="1500"/>
        <v>0</v>
      </c>
      <c r="AK1168" s="16">
        <f t="shared" si="1500"/>
        <v>0</v>
      </c>
      <c r="AL1168" s="16">
        <f t="shared" si="1500"/>
        <v>0</v>
      </c>
      <c r="AM1168" s="16">
        <f t="shared" si="1500"/>
        <v>0</v>
      </c>
      <c r="AN1168" s="16">
        <f t="shared" si="1500"/>
        <v>0</v>
      </c>
      <c r="AO1168" s="16">
        <f t="shared" si="1500"/>
        <v>0</v>
      </c>
      <c r="AP1168" s="10"/>
      <c r="AQ1168" s="10"/>
      <c r="AR1168" s="10"/>
      <c r="AS1168" s="10" t="str">
        <f t="shared" ref="AS1168" ca="1" si="1506">IFERROR(__xludf.DUMMYFUNCTION("split(F1163,"","",true,true)"),"Business Valley")</f>
        <v>Business Valley</v>
      </c>
      <c r="AT1168" s="10"/>
      <c r="AU1168" s="10"/>
      <c r="AV1168" s="10"/>
      <c r="AW1168" s="10"/>
      <c r="AX1168" s="10"/>
      <c r="AY1168" s="10"/>
      <c r="AZ1168" s="10"/>
      <c r="BA1168" s="10"/>
      <c r="BB1168" s="10"/>
      <c r="BC1168" s="10"/>
      <c r="BD1168" s="10"/>
      <c r="BE1168" s="10"/>
      <c r="BF1168" s="10"/>
      <c r="BG1168" s="10"/>
      <c r="BH1168" s="10"/>
      <c r="BI1168" s="10"/>
      <c r="BJ1168" s="10"/>
      <c r="BK1168" s="10"/>
      <c r="BM1168" s="10"/>
    </row>
    <row r="1169" spans="1:65" ht="12.75">
      <c r="A1169" s="9">
        <v>43654</v>
      </c>
      <c r="B1169" s="10" t="s">
        <v>2437</v>
      </c>
      <c r="C1169" s="11">
        <v>120000</v>
      </c>
      <c r="D1169" s="12"/>
      <c r="E1169" s="10" t="s">
        <v>45</v>
      </c>
      <c r="F1169" s="10" t="s">
        <v>2435</v>
      </c>
      <c r="G1169" s="13" t="s">
        <v>2436</v>
      </c>
      <c r="H1169" s="14" t="str">
        <f t="array" ref="H1169">IFERROR(INDEX([1]Companies!$G:$G,MATCH(B1169,[1]Companies!$A:$A,0)),"")</f>
        <v>Nigeria</v>
      </c>
      <c r="I1169" s="14" t="str">
        <f t="shared" si="1494"/>
        <v>Nigeria</v>
      </c>
      <c r="J1169" s="14" t="str">
        <f t="array" ref="J1169">IFERROR(INDEX([1]Companies!$Y:$Y,MATCH(B1169,[1]Companies!$A:$A,0)),"")</f>
        <v>Health, Pharmaceuticas, Artificial Intelligence</v>
      </c>
      <c r="K1169" s="14" t="str">
        <f t="array" ref="K1169">IFERROR(INDEX([1]Companies!$X:$X,MATCH(B1169,[1]Companies!$A:$A,0)),"")</f>
        <v>Information Technology</v>
      </c>
      <c r="L1169" s="14" t="str">
        <f>VLOOKUP(B1169,[1]Companies!$A$1:$C$5243,1,FALSE)</f>
        <v>Wellahealth</v>
      </c>
      <c r="M1169" s="15">
        <f t="shared" si="1495"/>
        <v>0.9</v>
      </c>
      <c r="N1169" s="10" t="str">
        <f t="shared" si="1496"/>
        <v>43654WellaHealth120000</v>
      </c>
      <c r="O1169" s="14" t="str">
        <f t="shared" si="1497"/>
        <v/>
      </c>
      <c r="P1169" s="14">
        <f t="shared" si="1498"/>
        <v>1</v>
      </c>
      <c r="Q1169" s="14">
        <f t="array" ref="Q1169">IFERROR(INDEX([1]Companies!$D:$D,MATCH(B1169,[1]Companies!$A:$A,0)),"")</f>
        <v>2014</v>
      </c>
      <c r="R1169" s="17">
        <f t="shared" si="1499"/>
        <v>120000</v>
      </c>
      <c r="S1169" s="14">
        <f>VLOOKUP(I1169,[1]Lookups!$V$3:$Y$197,4,FALSE)</f>
        <v>0</v>
      </c>
      <c r="T1169" s="14" t="str">
        <f>VLOOKUP(E1169,[1]Lookups!$H$3:$I$71,2,FALSE)</f>
        <v>2. Seed</v>
      </c>
      <c r="U1169" s="14" t="str">
        <f>VLOOKUP(K1169,[1]Lookups!$B$3:$C$142,2,FALSE)</f>
        <v>Other Technologies &amp; Information Technology</v>
      </c>
      <c r="V1169" s="14">
        <f t="shared" si="1230"/>
        <v>2019</v>
      </c>
      <c r="W1169" s="14">
        <f t="shared" si="1231"/>
        <v>7</v>
      </c>
      <c r="X1169" s="14">
        <f>VLOOKUP(W1169,[1]Lookups!$P$3:$S$15,2,FALSE)</f>
        <v>3</v>
      </c>
      <c r="Y1169" s="16">
        <f>VLOOKUP(W1169,[1]Lookups!$P$3:$U$15,3,FALSE)</f>
        <v>2</v>
      </c>
      <c r="Z1169" s="16">
        <f t="shared" si="1232"/>
        <v>1</v>
      </c>
      <c r="AA1169" s="16" t="str">
        <f t="shared" ca="1" si="1500"/>
        <v>Business Valley</v>
      </c>
      <c r="AB1169" s="16">
        <f t="shared" si="1500"/>
        <v>0</v>
      </c>
      <c r="AC1169" s="16">
        <f t="shared" si="1500"/>
        <v>0</v>
      </c>
      <c r="AD1169" s="16">
        <f t="shared" si="1500"/>
        <v>0</v>
      </c>
      <c r="AE1169" s="16">
        <f t="shared" si="1500"/>
        <v>0</v>
      </c>
      <c r="AF1169" s="16">
        <f t="shared" si="1500"/>
        <v>0</v>
      </c>
      <c r="AG1169" s="16">
        <f t="shared" si="1500"/>
        <v>0</v>
      </c>
      <c r="AH1169" s="16">
        <f t="shared" si="1500"/>
        <v>0</v>
      </c>
      <c r="AI1169" s="16">
        <f t="shared" si="1500"/>
        <v>0</v>
      </c>
      <c r="AJ1169" s="16">
        <f t="shared" si="1500"/>
        <v>0</v>
      </c>
      <c r="AK1169" s="16">
        <f t="shared" si="1500"/>
        <v>0</v>
      </c>
      <c r="AL1169" s="16">
        <f t="shared" si="1500"/>
        <v>0</v>
      </c>
      <c r="AM1169" s="16">
        <f t="shared" si="1500"/>
        <v>0</v>
      </c>
      <c r="AN1169" s="16">
        <f t="shared" si="1500"/>
        <v>0</v>
      </c>
      <c r="AO1169" s="16">
        <f t="shared" si="1500"/>
        <v>0</v>
      </c>
      <c r="AP1169" s="10"/>
      <c r="AQ1169" s="10"/>
      <c r="AR1169" s="10"/>
      <c r="AS1169" s="10" t="str">
        <f t="shared" ref="AS1169" ca="1" si="1507">IFERROR(__xludf.DUMMYFUNCTION("split(F1163,"","",true,true)"),"Business Valley")</f>
        <v>Business Valley</v>
      </c>
      <c r="AT1169" s="10"/>
      <c r="AU1169" s="10"/>
      <c r="AV1169" s="10"/>
      <c r="AW1169" s="10"/>
      <c r="AX1169" s="10"/>
      <c r="AY1169" s="10"/>
      <c r="AZ1169" s="10"/>
      <c r="BA1169" s="10"/>
      <c r="BB1169" s="10"/>
      <c r="BC1169" s="10"/>
      <c r="BD1169" s="10"/>
      <c r="BE1169" s="10"/>
      <c r="BF1169" s="10"/>
      <c r="BG1169" s="10"/>
      <c r="BH1169" s="10"/>
      <c r="BI1169" s="10"/>
      <c r="BJ1169" s="10"/>
      <c r="BK1169" s="10"/>
      <c r="BM1169" s="10"/>
    </row>
    <row r="1170" spans="1:65" ht="12.75">
      <c r="A1170" s="18">
        <v>43655</v>
      </c>
      <c r="B1170" s="14" t="s">
        <v>2438</v>
      </c>
      <c r="C1170" s="19" t="s">
        <v>49</v>
      </c>
      <c r="D1170" s="19"/>
      <c r="E1170" s="14" t="s">
        <v>51</v>
      </c>
      <c r="F1170" s="14" t="s">
        <v>2439</v>
      </c>
      <c r="G1170" s="13" t="s">
        <v>2440</v>
      </c>
      <c r="H1170" s="14" t="str">
        <f t="array" ref="H1170">IFERROR(INDEX([1]Companies!$G:$G,MATCH(B1170,[1]Companies!$A:$A,0)),"")</f>
        <v>Lesotho</v>
      </c>
      <c r="I1170" s="14" t="str">
        <f t="shared" si="1494"/>
        <v>Lesotho</v>
      </c>
      <c r="J1170" s="14" t="str">
        <f t="array" ref="J1170">IFERROR(INDEX([1]Companies!$Y:$Y,MATCH(B1170,[1]Companies!$A:$A,0)),"")</f>
        <v>Agribusiness</v>
      </c>
      <c r="K1170" s="14" t="str">
        <f t="array" ref="K1170">IFERROR(INDEX([1]Companies!$X:$X,MATCH(B1170,[1]Companies!$A:$A,0)),"")</f>
        <v>Agriculture</v>
      </c>
      <c r="L1170" s="14" t="str">
        <f>VLOOKUP(B1170,[1]Companies!$A$1:$C$5243,1,FALSE)</f>
        <v>The Rosehip Company</v>
      </c>
      <c r="M1170" s="15">
        <f t="shared" si="1495"/>
        <v>0.9</v>
      </c>
      <c r="N1170" s="10" t="str">
        <f t="shared" si="1496"/>
        <v>43655The Rosehip CompanyUndisclosed</v>
      </c>
      <c r="O1170" s="14" t="str">
        <f t="shared" si="1497"/>
        <v/>
      </c>
      <c r="P1170" s="14">
        <f t="shared" si="1498"/>
        <v>0</v>
      </c>
      <c r="Q1170" s="14">
        <f t="array" ref="Q1170">IFERROR(INDEX([1]Companies!$D:$D,MATCH(B1170,[1]Companies!$A:$A,0)),"")</f>
        <v>2006</v>
      </c>
      <c r="R1170" s="17">
        <f t="shared" si="1499"/>
        <v>0</v>
      </c>
      <c r="S1170" s="14">
        <f>VLOOKUP(I1170,[1]Lookups!$V$3:$Y$197,4,FALSE)</f>
        <v>0</v>
      </c>
      <c r="T1170" s="14" t="str">
        <f>VLOOKUP(E1170,[1]Lookups!$H$3:$I$71,2,FALSE)</f>
        <v>6. Private Equity</v>
      </c>
      <c r="U1170" s="14" t="str">
        <f>VLOOKUP(K1170,[1]Lookups!$B$3:$C$142,2,FALSE)</f>
        <v>Agriculture</v>
      </c>
      <c r="V1170" s="14">
        <f t="shared" si="1230"/>
        <v>2019</v>
      </c>
      <c r="W1170" s="14">
        <f t="shared" si="1231"/>
        <v>7</v>
      </c>
      <c r="X1170" s="14">
        <f>VLOOKUP(W1170,[1]Lookups!$P$3:$S$15,2,FALSE)</f>
        <v>3</v>
      </c>
      <c r="Y1170" s="16">
        <f>VLOOKUP(W1170,[1]Lookups!$P$3:$U$15,3,FALSE)</f>
        <v>2</v>
      </c>
      <c r="Z1170" s="16">
        <f t="shared" si="1232"/>
        <v>1</v>
      </c>
      <c r="AA1170" s="16" t="str">
        <f t="shared" ca="1" si="1500"/>
        <v>Business Valley</v>
      </c>
      <c r="AB1170" s="16">
        <f t="shared" si="1500"/>
        <v>0</v>
      </c>
      <c r="AC1170" s="16">
        <f t="shared" si="1500"/>
        <v>0</v>
      </c>
      <c r="AD1170" s="16">
        <f t="shared" si="1500"/>
        <v>0</v>
      </c>
      <c r="AE1170" s="16">
        <f t="shared" si="1500"/>
        <v>0</v>
      </c>
      <c r="AF1170" s="16">
        <f t="shared" si="1500"/>
        <v>0</v>
      </c>
      <c r="AG1170" s="16">
        <f t="shared" si="1500"/>
        <v>0</v>
      </c>
      <c r="AH1170" s="16">
        <f t="shared" si="1500"/>
        <v>0</v>
      </c>
      <c r="AI1170" s="16">
        <f t="shared" si="1500"/>
        <v>0</v>
      </c>
      <c r="AJ1170" s="16">
        <f t="shared" si="1500"/>
        <v>0</v>
      </c>
      <c r="AK1170" s="16">
        <f t="shared" si="1500"/>
        <v>0</v>
      </c>
      <c r="AL1170" s="16">
        <f t="shared" si="1500"/>
        <v>0</v>
      </c>
      <c r="AM1170" s="16">
        <f t="shared" si="1500"/>
        <v>0</v>
      </c>
      <c r="AN1170" s="16">
        <f t="shared" si="1500"/>
        <v>0</v>
      </c>
      <c r="AO1170" s="16">
        <f t="shared" si="1500"/>
        <v>0</v>
      </c>
      <c r="AP1170" s="10"/>
      <c r="AQ1170" s="10"/>
      <c r="AR1170" s="10"/>
      <c r="AS1170" s="10" t="str">
        <f t="shared" ref="AS1170" ca="1" si="1508">IFERROR(__xludf.DUMMYFUNCTION("split(F1163,"","",true,true)"),"Business Valley")</f>
        <v>Business Valley</v>
      </c>
      <c r="AT1170" s="10"/>
      <c r="AU1170" s="10"/>
      <c r="AV1170" s="10"/>
      <c r="AW1170" s="10"/>
      <c r="AX1170" s="10"/>
      <c r="AY1170" s="10"/>
      <c r="AZ1170" s="10"/>
      <c r="BA1170" s="10"/>
      <c r="BB1170" s="10"/>
      <c r="BC1170" s="10"/>
      <c r="BD1170" s="10"/>
      <c r="BE1170" s="10"/>
      <c r="BF1170" s="10"/>
      <c r="BG1170" s="10"/>
      <c r="BH1170" s="10"/>
      <c r="BI1170" s="10"/>
      <c r="BJ1170" s="10"/>
      <c r="BK1170" s="10"/>
      <c r="BM1170" s="10"/>
    </row>
    <row r="1171" spans="1:65" ht="12.75">
      <c r="A1171" s="18">
        <v>43655</v>
      </c>
      <c r="B1171" s="14" t="s">
        <v>351</v>
      </c>
      <c r="C1171" s="19">
        <v>9300000</v>
      </c>
      <c r="D1171" s="19"/>
      <c r="E1171" s="14" t="s">
        <v>112</v>
      </c>
      <c r="F1171" s="14" t="s">
        <v>2441</v>
      </c>
      <c r="G1171" s="13" t="s">
        <v>2442</v>
      </c>
      <c r="H1171" s="14" t="str">
        <f t="array" ref="H1171">IFERROR(INDEX([1]Companies!$G:$G,MATCH(B1171,[1]Companies!$A:$A,0)),"")</f>
        <v>Kenya</v>
      </c>
      <c r="I1171" s="14" t="str">
        <f t="shared" si="1494"/>
        <v>Kenya</v>
      </c>
      <c r="J1171" s="14" t="str">
        <f t="array" ref="J1171">IFERROR(INDEX([1]Companies!$Y:$Y,MATCH(B1171,[1]Companies!$A:$A,0)),"")</f>
        <v>Cloud Computing, Energy, SaaS, Software, Solar</v>
      </c>
      <c r="K1171" s="14" t="str">
        <f t="array" ref="K1171">IFERROR(INDEX([1]Companies!$X:$X,MATCH(B1171,[1]Companies!$A:$A,0)),"")</f>
        <v>Energy &amp; Environment Resources</v>
      </c>
      <c r="L1171" s="14" t="str">
        <f>VLOOKUP(B1171,[1]Companies!$A$1:$C$5243,1,FALSE)</f>
        <v>Powerhive</v>
      </c>
      <c r="M1171" s="15">
        <f t="shared" si="1495"/>
        <v>0.9</v>
      </c>
      <c r="N1171" s="10" t="str">
        <f t="shared" si="1496"/>
        <v>43655Powerhive9300000</v>
      </c>
      <c r="O1171" s="14" t="str">
        <f t="shared" si="1497"/>
        <v/>
      </c>
      <c r="P1171" s="14">
        <f t="shared" si="1498"/>
        <v>1</v>
      </c>
      <c r="Q1171" s="14">
        <f t="array" ref="Q1171">IFERROR(INDEX([1]Companies!$D:$D,MATCH(B1171,[1]Companies!$A:$A,0)),"")</f>
        <v>2011</v>
      </c>
      <c r="R1171" s="17">
        <f t="shared" si="1499"/>
        <v>41300000</v>
      </c>
      <c r="S1171" s="14">
        <f>VLOOKUP(I1171,[1]Lookups!$V$3:$Y$197,4,FALSE)</f>
        <v>0</v>
      </c>
      <c r="T1171" s="14" t="str">
        <f>VLOOKUP(E1171,[1]Lookups!$H$3:$I$71,2,FALSE)</f>
        <v>3. Early Venture</v>
      </c>
      <c r="U1171" s="14" t="e">
        <f>VLOOKUP(K1171,[1]Lookups!$B$3:$C$142,2,FALSE)</f>
        <v>#N/A</v>
      </c>
      <c r="V1171" s="14">
        <f t="shared" si="1230"/>
        <v>2019</v>
      </c>
      <c r="W1171" s="14">
        <f t="shared" si="1231"/>
        <v>7</v>
      </c>
      <c r="X1171" s="14">
        <f>VLOOKUP(W1171,[1]Lookups!$P$3:$S$15,2,FALSE)</f>
        <v>3</v>
      </c>
      <c r="Y1171" s="16">
        <f>VLOOKUP(W1171,[1]Lookups!$P$3:$U$15,3,FALSE)</f>
        <v>2</v>
      </c>
      <c r="Z1171" s="16">
        <f t="shared" si="1232"/>
        <v>8</v>
      </c>
      <c r="AA1171" s="16" t="str">
        <f t="shared" ca="1" si="1500"/>
        <v>Business Valley</v>
      </c>
      <c r="AB1171" s="16" t="str">
        <f t="shared" ca="1" si="1500"/>
        <v xml:space="preserve"> Kouros</v>
      </c>
      <c r="AC1171" s="16" t="str">
        <f t="shared" ca="1" si="1500"/>
        <v xml:space="preserve"> To:org</v>
      </c>
      <c r="AD1171" s="16" t="str">
        <f t="shared" ca="1" si="1500"/>
        <v xml:space="preserve"> Tao Capital</v>
      </c>
      <c r="AE1171" s="16" t="str">
        <f t="shared" ca="1" si="1500"/>
        <v xml:space="preserve"> James Sandler</v>
      </c>
      <c r="AF1171" s="16" t="str">
        <f t="shared" ca="1" si="1500"/>
        <v xml:space="preserve"> Prelude Ventures</v>
      </c>
      <c r="AG1171" s="16" t="str">
        <f t="shared" ca="1" si="1500"/>
        <v xml:space="preserve"> Caterpillar Ventures</v>
      </c>
      <c r="AH1171" s="16" t="str">
        <f t="shared" ca="1" si="1500"/>
        <v xml:space="preserve"> Total Energy Ventures</v>
      </c>
      <c r="AI1171" s="16">
        <f t="shared" si="1500"/>
        <v>0</v>
      </c>
      <c r="AJ1171" s="16">
        <f t="shared" si="1500"/>
        <v>0</v>
      </c>
      <c r="AK1171" s="16">
        <f t="shared" si="1500"/>
        <v>0</v>
      </c>
      <c r="AL1171" s="16">
        <f t="shared" si="1500"/>
        <v>0</v>
      </c>
      <c r="AM1171" s="16">
        <f t="shared" si="1500"/>
        <v>0</v>
      </c>
      <c r="AN1171" s="16">
        <f t="shared" si="1500"/>
        <v>0</v>
      </c>
      <c r="AO1171" s="16">
        <f t="shared" si="1500"/>
        <v>0</v>
      </c>
      <c r="AP1171" s="10"/>
      <c r="AQ1171" s="10"/>
      <c r="AR1171" s="10"/>
      <c r="AS1171" s="10" t="str">
        <f t="shared" ref="AS1171" ca="1" si="1509">IFERROR(__xludf.DUMMYFUNCTION("split(F1163,"","",true,true)"),"Business Valley")</f>
        <v>Business Valley</v>
      </c>
      <c r="AT1171" s="10" t="str">
        <f ca="1">IFERROR(__xludf.DUMMYFUNCTION("""COMPUTED_VALUE""")," Kouros")</f>
        <v xml:space="preserve"> Kouros</v>
      </c>
      <c r="AU1171" s="10" t="str">
        <f ca="1">IFERROR(__xludf.DUMMYFUNCTION("""COMPUTED_VALUE""")," To:org")</f>
        <v xml:space="preserve"> To:org</v>
      </c>
      <c r="AV1171" s="10" t="str">
        <f ca="1">IFERROR(__xludf.DUMMYFUNCTION("""COMPUTED_VALUE""")," Tao Capital")</f>
        <v xml:space="preserve"> Tao Capital</v>
      </c>
      <c r="AW1171" s="10" t="str">
        <f ca="1">IFERROR(__xludf.DUMMYFUNCTION("""COMPUTED_VALUE""")," James Sandler")</f>
        <v xml:space="preserve"> James Sandler</v>
      </c>
      <c r="AX1171" s="10" t="str">
        <f ca="1">IFERROR(__xludf.DUMMYFUNCTION("""COMPUTED_VALUE""")," Prelude Ventures")</f>
        <v xml:space="preserve"> Prelude Ventures</v>
      </c>
      <c r="AY1171" s="10" t="str">
        <f ca="1">IFERROR(__xludf.DUMMYFUNCTION("""COMPUTED_VALUE""")," Caterpillar Ventures")</f>
        <v xml:space="preserve"> Caterpillar Ventures</v>
      </c>
      <c r="AZ1171" s="10" t="str">
        <f ca="1">IFERROR(__xludf.DUMMYFUNCTION("""COMPUTED_VALUE""")," Total Energy Ventures")</f>
        <v xml:space="preserve"> Total Energy Ventures</v>
      </c>
      <c r="BA1171" s="10"/>
      <c r="BB1171" s="10"/>
      <c r="BC1171" s="10"/>
      <c r="BD1171" s="10"/>
      <c r="BE1171" s="10"/>
      <c r="BF1171" s="10"/>
      <c r="BG1171" s="10"/>
      <c r="BH1171" s="10"/>
      <c r="BI1171" s="10"/>
      <c r="BJ1171" s="10"/>
      <c r="BK1171" s="10"/>
      <c r="BM1171" s="10"/>
    </row>
    <row r="1172" spans="1:65" ht="12.75">
      <c r="A1172" s="9">
        <v>43656</v>
      </c>
      <c r="B1172" s="40" t="s">
        <v>2443</v>
      </c>
      <c r="C1172" s="11">
        <v>50000000</v>
      </c>
      <c r="D1172" s="12"/>
      <c r="E1172" s="10" t="s">
        <v>69</v>
      </c>
      <c r="F1172" s="10" t="s">
        <v>2444</v>
      </c>
      <c r="G1172" s="13" t="s">
        <v>2445</v>
      </c>
      <c r="H1172" s="14" t="str">
        <f t="array" ref="H1172">IFERROR(INDEX([1]Companies!$G:$G,MATCH(B1172,[1]Companies!$A:$A,0)),"")</f>
        <v>Nigeria</v>
      </c>
      <c r="I1172" s="14" t="str">
        <f t="shared" si="1494"/>
        <v>Nigeria</v>
      </c>
      <c r="J1172" s="14" t="str">
        <f t="array" ref="J1172">IFERROR(INDEX([1]Companies!$Y:$Y,MATCH(B1172,[1]Companies!$A:$A,0)),"")</f>
        <v>E-Payment, Mobile Money Services</v>
      </c>
      <c r="K1172" s="14" t="str">
        <f t="array" ref="K1172">IFERROR(INDEX([1]Companies!$X:$X,MATCH(B1172,[1]Companies!$A:$A,0)),"")</f>
        <v>Financial Services</v>
      </c>
      <c r="L1172" s="14" t="str">
        <f>VLOOKUP(B1172,[1]Companies!$A$1:$C$5243,1,FALSE)</f>
        <v>OPay</v>
      </c>
      <c r="M1172" s="15">
        <f t="shared" si="1495"/>
        <v>0.9</v>
      </c>
      <c r="N1172" s="10" t="str">
        <f t="shared" si="1496"/>
        <v>43656OPay50000000</v>
      </c>
      <c r="O1172" s="14" t="str">
        <f t="shared" si="1497"/>
        <v/>
      </c>
      <c r="P1172" s="14">
        <f t="shared" si="1498"/>
        <v>1</v>
      </c>
      <c r="Q1172" s="14">
        <f t="array" ref="Q1172">IFERROR(INDEX([1]Companies!$D:$D,MATCH(B1172,[1]Companies!$A:$A,0)),"")</f>
        <v>2018</v>
      </c>
      <c r="R1172" s="17">
        <f t="shared" si="1499"/>
        <v>50000000</v>
      </c>
      <c r="S1172" s="14">
        <f>VLOOKUP(I1172,[1]Lookups!$V$3:$Y$197,4,FALSE)</f>
        <v>0</v>
      </c>
      <c r="T1172" s="14" t="str">
        <f>VLOOKUP(E1172,[1]Lookups!$H$3:$I$71,2,FALSE)</f>
        <v>3. Early Venture</v>
      </c>
      <c r="U1172" s="14" t="str">
        <f>VLOOKUP(K1172,[1]Lookups!$B$3:$C$142,2,FALSE)</f>
        <v>Financial Services</v>
      </c>
      <c r="V1172" s="14">
        <f t="shared" si="1230"/>
        <v>2019</v>
      </c>
      <c r="W1172" s="14">
        <f t="shared" si="1231"/>
        <v>7</v>
      </c>
      <c r="X1172" s="14">
        <f>VLOOKUP(W1172,[1]Lookups!$P$3:$S$15,2,FALSE)</f>
        <v>3</v>
      </c>
      <c r="Y1172" s="16">
        <f>VLOOKUP(W1172,[1]Lookups!$P$3:$U$15,3,FALSE)</f>
        <v>2</v>
      </c>
      <c r="Z1172" s="16">
        <f t="shared" si="1232"/>
        <v>6</v>
      </c>
      <c r="AA1172" s="16" t="str">
        <f t="shared" ca="1" si="1500"/>
        <v>Business Valley</v>
      </c>
      <c r="AB1172" s="16" t="str">
        <f t="shared" ca="1" si="1500"/>
        <v xml:space="preserve"> IDG Capital</v>
      </c>
      <c r="AC1172" s="16" t="str">
        <f t="shared" ca="1" si="1500"/>
        <v xml:space="preserve"> Meituan Dianping</v>
      </c>
      <c r="AD1172" s="16" t="str">
        <f t="shared" ca="1" si="1500"/>
        <v xml:space="preserve"> Opera</v>
      </c>
      <c r="AE1172" s="16" t="str">
        <f t="shared" ca="1" si="1500"/>
        <v xml:space="preserve"> Source Code Capital</v>
      </c>
      <c r="AF1172" s="16" t="str">
        <f t="shared" ca="1" si="1500"/>
        <v xml:space="preserve"> Sequoia Capital China</v>
      </c>
      <c r="AG1172" s="16">
        <f t="shared" si="1500"/>
        <v>0</v>
      </c>
      <c r="AH1172" s="16">
        <f t="shared" si="1500"/>
        <v>0</v>
      </c>
      <c r="AI1172" s="16">
        <f t="shared" si="1500"/>
        <v>0</v>
      </c>
      <c r="AJ1172" s="16">
        <f t="shared" si="1500"/>
        <v>0</v>
      </c>
      <c r="AK1172" s="16">
        <f t="shared" si="1500"/>
        <v>0</v>
      </c>
      <c r="AL1172" s="16">
        <f t="shared" si="1500"/>
        <v>0</v>
      </c>
      <c r="AM1172" s="16">
        <f t="shared" si="1500"/>
        <v>0</v>
      </c>
      <c r="AN1172" s="16">
        <f t="shared" si="1500"/>
        <v>0</v>
      </c>
      <c r="AO1172" s="16">
        <f t="shared" si="1500"/>
        <v>0</v>
      </c>
      <c r="AP1172" s="10"/>
      <c r="AQ1172" s="10"/>
      <c r="AR1172" s="10"/>
      <c r="AS1172" s="10" t="str">
        <f t="shared" ref="AS1172" ca="1" si="1510">IFERROR(__xludf.DUMMYFUNCTION("split(F1163,"","",true,true)"),"Business Valley")</f>
        <v>Business Valley</v>
      </c>
      <c r="AT1172" s="10" t="str">
        <f ca="1">IFERROR(__xludf.DUMMYFUNCTION("""COMPUTED_VALUE""")," IDG Capital")</f>
        <v xml:space="preserve"> IDG Capital</v>
      </c>
      <c r="AU1172" s="10" t="str">
        <f ca="1">IFERROR(__xludf.DUMMYFUNCTION("""COMPUTED_VALUE""")," Meituan Dianping")</f>
        <v xml:space="preserve"> Meituan Dianping</v>
      </c>
      <c r="AV1172" s="10" t="str">
        <f ca="1">IFERROR(__xludf.DUMMYFUNCTION("""COMPUTED_VALUE""")," Opera")</f>
        <v xml:space="preserve"> Opera</v>
      </c>
      <c r="AW1172" s="10" t="str">
        <f ca="1">IFERROR(__xludf.DUMMYFUNCTION("""COMPUTED_VALUE""")," Source Code Capital")</f>
        <v xml:space="preserve"> Source Code Capital</v>
      </c>
      <c r="AX1172" s="10" t="str">
        <f ca="1">IFERROR(__xludf.DUMMYFUNCTION("""COMPUTED_VALUE""")," Sequoia Capital China")</f>
        <v xml:space="preserve"> Sequoia Capital China</v>
      </c>
      <c r="AY1172" s="10"/>
      <c r="AZ1172" s="10"/>
      <c r="BA1172" s="10"/>
      <c r="BB1172" s="10"/>
      <c r="BC1172" s="10"/>
      <c r="BD1172" s="10"/>
      <c r="BE1172" s="10"/>
      <c r="BF1172" s="10"/>
      <c r="BG1172" s="10"/>
      <c r="BH1172" s="10"/>
      <c r="BI1172" s="10"/>
      <c r="BJ1172" s="10"/>
      <c r="BK1172" s="10"/>
      <c r="BM1172" s="10"/>
    </row>
    <row r="1173" spans="1:65" ht="12.75">
      <c r="A1173" s="9">
        <v>43657</v>
      </c>
      <c r="B1173" s="10" t="s">
        <v>2446</v>
      </c>
      <c r="C1173" s="11">
        <v>320000</v>
      </c>
      <c r="D1173" s="12"/>
      <c r="E1173" s="10" t="s">
        <v>45</v>
      </c>
      <c r="F1173" s="10" t="s">
        <v>2447</v>
      </c>
      <c r="G1173" s="13" t="s">
        <v>2448</v>
      </c>
      <c r="H1173" s="14" t="str">
        <f t="array" ref="H1173">IFERROR(INDEX([1]Companies!$G:$G,MATCH(B1173,[1]Companies!$A:$A,0)),"")</f>
        <v>Kenya</v>
      </c>
      <c r="I1173" s="14" t="str">
        <f t="shared" si="1494"/>
        <v>Kenya</v>
      </c>
      <c r="J1173" s="14" t="str">
        <f t="array" ref="J1173">IFERROR(INDEX([1]Companies!$Y:$Y,MATCH(B1173,[1]Companies!$A:$A,0)),"")</f>
        <v>Travel Bookings</v>
      </c>
      <c r="K1173" s="14" t="str">
        <f t="array" ref="K1173">IFERROR(INDEX([1]Companies!$X:$X,MATCH(B1173,[1]Companies!$A:$A,0)),"")</f>
        <v>Travel and Leisure</v>
      </c>
      <c r="L1173" s="14" t="str">
        <f>VLOOKUP(B1173,[1]Companies!$A$1:$C$5243,1,FALSE)</f>
        <v>HotelOnline</v>
      </c>
      <c r="M1173" s="15">
        <f t="shared" si="1495"/>
        <v>0.9</v>
      </c>
      <c r="N1173" s="10" t="str">
        <f t="shared" si="1496"/>
        <v>43657HotelOnline320000</v>
      </c>
      <c r="O1173" s="14" t="str">
        <f t="shared" si="1497"/>
        <v/>
      </c>
      <c r="P1173" s="14">
        <f t="shared" si="1498"/>
        <v>1</v>
      </c>
      <c r="Q1173" s="14">
        <f t="array" ref="Q1173">IFERROR(INDEX([1]Companies!$D:$D,MATCH(B1173,[1]Companies!$A:$A,0)),"")</f>
        <v>2014</v>
      </c>
      <c r="R1173" s="17">
        <f t="shared" si="1499"/>
        <v>320000</v>
      </c>
      <c r="S1173" s="14">
        <f>VLOOKUP(I1173,[1]Lookups!$V$3:$Y$197,4,FALSE)</f>
        <v>0</v>
      </c>
      <c r="T1173" s="14" t="str">
        <f>VLOOKUP(E1173,[1]Lookups!$H$3:$I$71,2,FALSE)</f>
        <v>2. Seed</v>
      </c>
      <c r="U1173" s="14" t="str">
        <f>VLOOKUP(K1173,[1]Lookups!$B$3:$C$142,2,FALSE)</f>
        <v>Travel &amp; Leisure</v>
      </c>
      <c r="V1173" s="14">
        <f t="shared" si="1230"/>
        <v>2019</v>
      </c>
      <c r="W1173" s="14">
        <f t="shared" si="1231"/>
        <v>7</v>
      </c>
      <c r="X1173" s="14">
        <f>VLOOKUP(W1173,[1]Lookups!$P$3:$S$15,2,FALSE)</f>
        <v>3</v>
      </c>
      <c r="Y1173" s="16">
        <f>VLOOKUP(W1173,[1]Lookups!$P$3:$U$15,3,FALSE)</f>
        <v>2</v>
      </c>
      <c r="Z1173" s="16">
        <f t="shared" si="1232"/>
        <v>2</v>
      </c>
      <c r="AA1173" s="16" t="str">
        <f t="shared" ca="1" si="1500"/>
        <v>Business Valley</v>
      </c>
      <c r="AB1173" s="16" t="str">
        <f t="shared" ca="1" si="1500"/>
        <v xml:space="preserve"> Shravan Shroff</v>
      </c>
      <c r="AC1173" s="16">
        <f t="shared" si="1500"/>
        <v>0</v>
      </c>
      <c r="AD1173" s="16">
        <f t="shared" si="1500"/>
        <v>0</v>
      </c>
      <c r="AE1173" s="16">
        <f t="shared" si="1500"/>
        <v>0</v>
      </c>
      <c r="AF1173" s="16">
        <f t="shared" si="1500"/>
        <v>0</v>
      </c>
      <c r="AG1173" s="16">
        <f t="shared" si="1500"/>
        <v>0</v>
      </c>
      <c r="AH1173" s="16">
        <f t="shared" si="1500"/>
        <v>0</v>
      </c>
      <c r="AI1173" s="16">
        <f t="shared" si="1500"/>
        <v>0</v>
      </c>
      <c r="AJ1173" s="16">
        <f t="shared" si="1500"/>
        <v>0</v>
      </c>
      <c r="AK1173" s="16">
        <f t="shared" si="1500"/>
        <v>0</v>
      </c>
      <c r="AL1173" s="16">
        <f t="shared" si="1500"/>
        <v>0</v>
      </c>
      <c r="AM1173" s="16">
        <f t="shared" si="1500"/>
        <v>0</v>
      </c>
      <c r="AN1173" s="16">
        <f t="shared" si="1500"/>
        <v>0</v>
      </c>
      <c r="AO1173" s="16">
        <f t="shared" si="1500"/>
        <v>0</v>
      </c>
      <c r="AP1173" s="10"/>
      <c r="AQ1173" s="10"/>
      <c r="AR1173" s="10"/>
      <c r="AS1173" s="10" t="str">
        <f t="shared" ref="AS1173:AS1174" ca="1" si="1511">IFERROR(__xludf.DUMMYFUNCTION("split(F1163,"","",true,true)"),"Business Valley")</f>
        <v>Business Valley</v>
      </c>
      <c r="AT1173" s="10" t="str">
        <f ca="1">IFERROR(__xludf.DUMMYFUNCTION("""COMPUTED_VALUE""")," Shravan Shroff")</f>
        <v xml:space="preserve"> Shravan Shroff</v>
      </c>
      <c r="AU1173" s="10"/>
      <c r="AV1173" s="10"/>
      <c r="AW1173" s="10"/>
      <c r="AX1173" s="10"/>
      <c r="AY1173" s="10"/>
      <c r="AZ1173" s="10"/>
      <c r="BA1173" s="10"/>
      <c r="BB1173" s="10"/>
      <c r="BC1173" s="10"/>
      <c r="BD1173" s="10"/>
      <c r="BE1173" s="10"/>
      <c r="BF1173" s="10"/>
      <c r="BG1173" s="10"/>
      <c r="BH1173" s="10"/>
      <c r="BI1173" s="10"/>
      <c r="BJ1173" s="10"/>
      <c r="BK1173" s="10"/>
      <c r="BM1173" s="10"/>
    </row>
    <row r="1174" spans="1:65" ht="12.75">
      <c r="A1174" s="43">
        <v>43657</v>
      </c>
      <c r="B1174" s="10" t="s">
        <v>2449</v>
      </c>
      <c r="C1174" s="11" t="s">
        <v>49</v>
      </c>
      <c r="D1174" s="10"/>
      <c r="E1174" s="10" t="s">
        <v>55</v>
      </c>
      <c r="F1174" s="10" t="s">
        <v>2450</v>
      </c>
      <c r="G1174" s="13" t="s">
        <v>2451</v>
      </c>
      <c r="H1174" s="10"/>
      <c r="I1174" s="10"/>
      <c r="J1174" s="10"/>
      <c r="K1174" s="10"/>
      <c r="L1174" s="10"/>
      <c r="M1174" s="44"/>
      <c r="N1174" s="10"/>
      <c r="O1174" s="10"/>
      <c r="P1174" s="10"/>
      <c r="Q1174" s="10"/>
      <c r="R1174" s="10"/>
      <c r="S1174" s="10"/>
      <c r="T1174" s="10"/>
      <c r="U1174" s="10"/>
      <c r="V1174" s="14">
        <f t="shared" si="1230"/>
        <v>2019</v>
      </c>
      <c r="W1174" s="14">
        <f t="shared" si="1231"/>
        <v>7</v>
      </c>
      <c r="X1174" s="14">
        <f>VLOOKUP(W1174,[1]Lookups!$P$3:$S$15,2,FALSE)</f>
        <v>3</v>
      </c>
      <c r="Y1174" s="16">
        <f>VLOOKUP(W1174,[1]Lookups!$P$3:$U$15,3,FALSE)</f>
        <v>2</v>
      </c>
      <c r="Z1174" s="16">
        <f t="shared" si="1232"/>
        <v>1</v>
      </c>
      <c r="AA1174" s="16" t="str">
        <f t="shared" ca="1" si="1500"/>
        <v>Business Valley</v>
      </c>
      <c r="AB1174" s="16">
        <f t="shared" si="1500"/>
        <v>0</v>
      </c>
      <c r="AC1174" s="16">
        <f t="shared" si="1500"/>
        <v>0</v>
      </c>
      <c r="AD1174" s="16">
        <f t="shared" si="1500"/>
        <v>0</v>
      </c>
      <c r="AE1174" s="16">
        <f t="shared" si="1500"/>
        <v>0</v>
      </c>
      <c r="AF1174" s="16">
        <f t="shared" si="1500"/>
        <v>0</v>
      </c>
      <c r="AG1174" s="16">
        <f t="shared" si="1500"/>
        <v>0</v>
      </c>
      <c r="AH1174" s="16">
        <f t="shared" si="1500"/>
        <v>0</v>
      </c>
      <c r="AI1174" s="16">
        <f t="shared" si="1500"/>
        <v>0</v>
      </c>
      <c r="AJ1174" s="16">
        <f t="shared" si="1500"/>
        <v>0</v>
      </c>
      <c r="AK1174" s="16">
        <f t="shared" si="1500"/>
        <v>0</v>
      </c>
      <c r="AL1174" s="16">
        <f t="shared" si="1500"/>
        <v>0</v>
      </c>
      <c r="AM1174" s="16">
        <f t="shared" si="1500"/>
        <v>0</v>
      </c>
      <c r="AN1174" s="16">
        <f t="shared" si="1500"/>
        <v>0</v>
      </c>
      <c r="AO1174" s="16">
        <f t="shared" si="1500"/>
        <v>0</v>
      </c>
      <c r="AP1174" s="10"/>
      <c r="AQ1174" s="10"/>
      <c r="AR1174" s="10"/>
      <c r="AS1174" s="10" t="str">
        <f t="shared" ca="1" si="1511"/>
        <v>Business Valley</v>
      </c>
      <c r="AT1174" s="10"/>
      <c r="AU1174" s="10"/>
      <c r="AV1174" s="10"/>
      <c r="AW1174" s="10"/>
      <c r="AX1174" s="10"/>
      <c r="AY1174" s="10"/>
      <c r="AZ1174" s="10"/>
      <c r="BA1174" s="10"/>
      <c r="BB1174" s="10"/>
      <c r="BC1174" s="10"/>
      <c r="BD1174" s="10"/>
      <c r="BE1174" s="10"/>
      <c r="BF1174" s="10"/>
      <c r="BG1174" s="10"/>
      <c r="BH1174" s="10"/>
      <c r="BI1174" s="10"/>
      <c r="BJ1174" s="10"/>
      <c r="BK1174" s="10"/>
      <c r="BL1174" s="10"/>
      <c r="BM1174" s="10"/>
    </row>
    <row r="1175" spans="1:65" ht="12.75">
      <c r="A1175" s="9">
        <v>43659</v>
      </c>
      <c r="B1175" s="10" t="s">
        <v>2452</v>
      </c>
      <c r="C1175" s="11">
        <v>500000</v>
      </c>
      <c r="D1175" s="12"/>
      <c r="E1175" s="10" t="s">
        <v>45</v>
      </c>
      <c r="F1175" s="10" t="s">
        <v>2453</v>
      </c>
      <c r="G1175" s="13" t="s">
        <v>2454</v>
      </c>
      <c r="H1175" s="14" t="str">
        <f t="array" ref="H1175">IFERROR(INDEX([1]Companies!$G:$G,MATCH(B1175,[1]Companies!$A:$A,0)),"")</f>
        <v>Kenya</v>
      </c>
      <c r="I1175" s="14" t="str">
        <f t="shared" ref="I1175:I1252" si="1512">IF(LEN(TRIM(H1175))-LEN(SUBSTITUTE(TRIM(H1175),",","")) &gt; 0,TRIM(RIGHT(H1175,LEN(H1175)-FIND(",",H1175))),H1175)</f>
        <v>Kenya</v>
      </c>
      <c r="J1175" s="14" t="str">
        <f t="array" ref="J1175">IFERROR(INDEX([1]Companies!$Y:$Y,MATCH(B1175,[1]Companies!$A:$A,0)),"")</f>
        <v>Manufacturing</v>
      </c>
      <c r="K1175" s="14" t="str">
        <f t="array" ref="K1175">IFERROR(INDEX([1]Companies!$X:$X,MATCH(B1175,[1]Companies!$A:$A,0)),"")</f>
        <v>Commercial &amp; Professional Services</v>
      </c>
      <c r="L1175" s="14" t="str">
        <f>VLOOKUP(B1175,[1]Companies!$A$1:$C$5243,1,FALSE)</f>
        <v>Ethnic Brand</v>
      </c>
      <c r="M1175" s="15">
        <f t="shared" ref="M1175:M1186" si="1513">COUNTA(B1175:K1175)/(COUNTBLANK(B1175:K1175) + COUNTA(B1175:K1175))</f>
        <v>0.9</v>
      </c>
      <c r="N1175" s="10" t="str">
        <f t="shared" ref="N1175:N1186" si="1514">CONCATENATE(A1175,B1175,C1175)</f>
        <v>43659Ethnic Brand500000</v>
      </c>
      <c r="O1175" s="14" t="str">
        <f t="shared" ref="O1175:O1183" si="1515">IF(A1175 = "","",IF(COUNTIF(N:N,CONCATENATE(A1175,B1175,C1175))&gt;1,"Duplicated",""))</f>
        <v/>
      </c>
      <c r="P1175" s="14">
        <f t="shared" ref="P1175:P1183" si="1516">IF(C1175="Undisclosed",0,1)</f>
        <v>1</v>
      </c>
      <c r="Q1175" s="14">
        <f t="array" ref="Q1175">IFERROR(INDEX([1]Companies!$D:$D,MATCH(B1175,[1]Companies!$A:$A,0)),"")</f>
        <v>2018</v>
      </c>
      <c r="R1175" s="17">
        <f t="shared" ref="R1175:R1183" si="1517">SUMIF(B:B,B1175,C:C)</f>
        <v>500000</v>
      </c>
      <c r="S1175" s="14">
        <f>VLOOKUP(I1175,[1]Lookups!$V$3:$Y$197,4,FALSE)</f>
        <v>0</v>
      </c>
      <c r="T1175" s="14" t="str">
        <f>VLOOKUP(E1175,[1]Lookups!$H$3:$I$71,2,FALSE)</f>
        <v>2. Seed</v>
      </c>
      <c r="U1175" s="14" t="str">
        <f>VLOOKUP(K1175,[1]Lookups!$B$3:$C$142,2,FALSE)</f>
        <v>Other Technologies &amp; Information Technology</v>
      </c>
      <c r="V1175" s="14">
        <f t="shared" si="1230"/>
        <v>2019</v>
      </c>
      <c r="W1175" s="14">
        <f t="shared" si="1231"/>
        <v>7</v>
      </c>
      <c r="X1175" s="14">
        <f>VLOOKUP(W1175,[1]Lookups!$P$3:$S$15,2,FALSE)</f>
        <v>3</v>
      </c>
      <c r="Y1175" s="16">
        <f>VLOOKUP(W1175,[1]Lookups!$P$3:$U$15,3,FALSE)</f>
        <v>2</v>
      </c>
      <c r="Z1175" s="16">
        <f t="shared" si="1232"/>
        <v>1</v>
      </c>
      <c r="AA1175" s="16" t="str">
        <f t="shared" ca="1" si="1500"/>
        <v>Business Valley</v>
      </c>
      <c r="AB1175" s="16">
        <f t="shared" si="1500"/>
        <v>0</v>
      </c>
      <c r="AC1175" s="16">
        <f t="shared" si="1500"/>
        <v>0</v>
      </c>
      <c r="AD1175" s="16">
        <f t="shared" si="1500"/>
        <v>0</v>
      </c>
      <c r="AE1175" s="16">
        <f t="shared" si="1500"/>
        <v>0</v>
      </c>
      <c r="AF1175" s="16">
        <f t="shared" si="1500"/>
        <v>0</v>
      </c>
      <c r="AG1175" s="16">
        <f t="shared" si="1500"/>
        <v>0</v>
      </c>
      <c r="AH1175" s="16">
        <f t="shared" si="1500"/>
        <v>0</v>
      </c>
      <c r="AI1175" s="16">
        <f t="shared" si="1500"/>
        <v>0</v>
      </c>
      <c r="AJ1175" s="16">
        <f t="shared" si="1500"/>
        <v>0</v>
      </c>
      <c r="AK1175" s="16">
        <f t="shared" si="1500"/>
        <v>0</v>
      </c>
      <c r="AL1175" s="16">
        <f t="shared" si="1500"/>
        <v>0</v>
      </c>
      <c r="AM1175" s="16">
        <f t="shared" si="1500"/>
        <v>0</v>
      </c>
      <c r="AN1175" s="16">
        <f t="shared" si="1500"/>
        <v>0</v>
      </c>
      <c r="AO1175" s="16">
        <f t="shared" si="1500"/>
        <v>0</v>
      </c>
      <c r="AP1175" s="10"/>
      <c r="AQ1175" s="10"/>
      <c r="AR1175" s="10"/>
      <c r="AS1175" s="10" t="str">
        <f t="shared" ref="AS1175" ca="1" si="1518">IFERROR(__xludf.DUMMYFUNCTION("split(F1163,"","",true,true)"),"Business Valley")</f>
        <v>Business Valley</v>
      </c>
      <c r="AT1175" s="23"/>
      <c r="AU1175" s="23"/>
      <c r="AV1175" s="23"/>
      <c r="AW1175" s="23"/>
      <c r="AX1175" s="23"/>
      <c r="AY1175" s="23"/>
      <c r="AZ1175" s="23"/>
      <c r="BA1175" s="23"/>
      <c r="BB1175" s="23"/>
      <c r="BC1175" s="23"/>
      <c r="BD1175" s="23"/>
      <c r="BE1175" s="23"/>
      <c r="BF1175" s="23"/>
      <c r="BG1175" s="23"/>
      <c r="BH1175" s="23"/>
      <c r="BI1175" s="23"/>
      <c r="BJ1175" s="23"/>
      <c r="BK1175" s="23"/>
      <c r="BM1175" s="23"/>
    </row>
    <row r="1176" spans="1:65" ht="12.75">
      <c r="A1176" s="9">
        <v>43661</v>
      </c>
      <c r="B1176" s="10" t="s">
        <v>2455</v>
      </c>
      <c r="C1176" s="11" t="s">
        <v>49</v>
      </c>
      <c r="D1176" s="12"/>
      <c r="E1176" s="10" t="s">
        <v>45</v>
      </c>
      <c r="F1176" s="10" t="s">
        <v>2456</v>
      </c>
      <c r="G1176" s="13" t="s">
        <v>2457</v>
      </c>
      <c r="H1176" s="14" t="str">
        <f t="array" ref="H1176">IFERROR(INDEX([1]Companies!$G:$G,MATCH(B1176,[1]Companies!$A:$A,0)),"")</f>
        <v>Nigeria</v>
      </c>
      <c r="I1176" s="14" t="str">
        <f t="shared" si="1512"/>
        <v>Nigeria</v>
      </c>
      <c r="J1176" s="14">
        <f t="array" ref="J1176">IFERROR(INDEX([1]Companies!$Y:$Y,MATCH(B1176,[1]Companies!$A:$A,0)),"")</f>
        <v>0</v>
      </c>
      <c r="K1176" s="14" t="str">
        <f t="array" ref="K1176">IFERROR(INDEX([1]Companies!$X:$X,MATCH(B1176,[1]Companies!$A:$A,0)),"")</f>
        <v>Information Technology</v>
      </c>
      <c r="L1176" s="14" t="str">
        <f>VLOOKUP(B1176,[1]Companies!$A$1:$C$5243,1,FALSE)</f>
        <v>Space In Africa</v>
      </c>
      <c r="M1176" s="15">
        <f t="shared" si="1513"/>
        <v>0.9</v>
      </c>
      <c r="N1176" s="10" t="str">
        <f t="shared" si="1514"/>
        <v>43661Space in AfricaUndisclosed</v>
      </c>
      <c r="O1176" s="14" t="str">
        <f t="shared" si="1515"/>
        <v/>
      </c>
      <c r="P1176" s="14">
        <f t="shared" si="1516"/>
        <v>0</v>
      </c>
      <c r="Q1176" s="14">
        <f t="array" ref="Q1176">IFERROR(INDEX([1]Companies!$D:$D,MATCH(B1176,[1]Companies!$A:$A,0)),"")</f>
        <v>2018</v>
      </c>
      <c r="R1176" s="17">
        <f t="shared" si="1517"/>
        <v>0</v>
      </c>
      <c r="S1176" s="14">
        <f>VLOOKUP(I1176,[1]Lookups!$V$3:$Y$197,4,FALSE)</f>
        <v>0</v>
      </c>
      <c r="T1176" s="14" t="str">
        <f>VLOOKUP(E1176,[1]Lookups!$H$3:$I$71,2,FALSE)</f>
        <v>2. Seed</v>
      </c>
      <c r="U1176" s="14" t="str">
        <f>VLOOKUP(K1176,[1]Lookups!$B$3:$C$142,2,FALSE)</f>
        <v>Other Technologies &amp; Information Technology</v>
      </c>
      <c r="V1176" s="14">
        <f t="shared" si="1230"/>
        <v>2019</v>
      </c>
      <c r="W1176" s="14">
        <f t="shared" si="1231"/>
        <v>7</v>
      </c>
      <c r="X1176" s="14">
        <f>VLOOKUP(W1176,[1]Lookups!$P$3:$S$15,2,FALSE)</f>
        <v>3</v>
      </c>
      <c r="Y1176" s="16">
        <f>VLOOKUP(W1176,[1]Lookups!$P$3:$U$15,3,FALSE)</f>
        <v>2</v>
      </c>
      <c r="Z1176" s="16">
        <f t="shared" si="1232"/>
        <v>1</v>
      </c>
      <c r="AA1176" s="16" t="str">
        <f t="shared" ca="1" si="1500"/>
        <v>Business Valley</v>
      </c>
      <c r="AB1176" s="16">
        <f t="shared" si="1500"/>
        <v>0</v>
      </c>
      <c r="AC1176" s="16">
        <f t="shared" si="1500"/>
        <v>0</v>
      </c>
      <c r="AD1176" s="16">
        <f t="shared" si="1500"/>
        <v>0</v>
      </c>
      <c r="AE1176" s="16">
        <f t="shared" si="1500"/>
        <v>0</v>
      </c>
      <c r="AF1176" s="16">
        <f t="shared" si="1500"/>
        <v>0</v>
      </c>
      <c r="AG1176" s="16">
        <f t="shared" si="1500"/>
        <v>0</v>
      </c>
      <c r="AH1176" s="16">
        <f t="shared" si="1500"/>
        <v>0</v>
      </c>
      <c r="AI1176" s="16">
        <f t="shared" si="1500"/>
        <v>0</v>
      </c>
      <c r="AJ1176" s="16">
        <f t="shared" si="1500"/>
        <v>0</v>
      </c>
      <c r="AK1176" s="16">
        <f t="shared" si="1500"/>
        <v>0</v>
      </c>
      <c r="AL1176" s="16">
        <f t="shared" si="1500"/>
        <v>0</v>
      </c>
      <c r="AM1176" s="16">
        <f t="shared" si="1500"/>
        <v>0</v>
      </c>
      <c r="AN1176" s="16">
        <f t="shared" si="1500"/>
        <v>0</v>
      </c>
      <c r="AO1176" s="16">
        <f t="shared" si="1500"/>
        <v>0</v>
      </c>
      <c r="AP1176" s="10"/>
      <c r="AQ1176" s="10"/>
      <c r="AR1176" s="10"/>
      <c r="AS1176" s="10" t="str">
        <f t="shared" ref="AS1176" ca="1" si="1519">IFERROR(__xludf.DUMMYFUNCTION("split(F1163,"","",true,true)"),"Business Valley")</f>
        <v>Business Valley</v>
      </c>
      <c r="AT1176" s="10"/>
      <c r="AU1176" s="10"/>
      <c r="AV1176" s="10"/>
      <c r="AW1176" s="10"/>
      <c r="AX1176" s="10"/>
      <c r="AY1176" s="10"/>
      <c r="AZ1176" s="10"/>
      <c r="BA1176" s="10"/>
      <c r="BB1176" s="10"/>
      <c r="BC1176" s="10"/>
      <c r="BD1176" s="10"/>
      <c r="BE1176" s="10"/>
      <c r="BF1176" s="10"/>
      <c r="BG1176" s="10"/>
      <c r="BH1176" s="10"/>
      <c r="BI1176" s="10"/>
      <c r="BJ1176" s="10"/>
      <c r="BK1176" s="10"/>
      <c r="BM1176" s="10"/>
    </row>
    <row r="1177" spans="1:65" ht="12.75">
      <c r="A1177" s="9">
        <v>43661</v>
      </c>
      <c r="B1177" s="10" t="s">
        <v>2458</v>
      </c>
      <c r="C1177" s="11">
        <v>100000</v>
      </c>
      <c r="D1177" s="12"/>
      <c r="E1177" s="10" t="s">
        <v>45</v>
      </c>
      <c r="F1177" s="10" t="s">
        <v>2459</v>
      </c>
      <c r="G1177" s="13" t="s">
        <v>2460</v>
      </c>
      <c r="H1177" s="14" t="str">
        <f t="array" ref="H1177">IFERROR(INDEX([1]Companies!$G:$G,MATCH(B1177,[1]Companies!$A:$A,0)),"")</f>
        <v>Egypt</v>
      </c>
      <c r="I1177" s="14" t="str">
        <f t="shared" si="1512"/>
        <v>Egypt</v>
      </c>
      <c r="J1177" s="14" t="str">
        <f t="array" ref="J1177">IFERROR(INDEX([1]Companies!$Y:$Y,MATCH(B1177,[1]Companies!$A:$A,0)),"")</f>
        <v>E-learning</v>
      </c>
      <c r="K1177" s="14" t="str">
        <f t="array" ref="K1177">IFERROR(INDEX([1]Companies!$X:$X,MATCH(B1177,[1]Companies!$A:$A,0)),"")</f>
        <v>Education</v>
      </c>
      <c r="L1177" s="14" t="str">
        <f>VLOOKUP(B1177,[1]Companies!$A$1:$C$5243,1,FALSE)</f>
        <v>COLNN</v>
      </c>
      <c r="M1177" s="15">
        <f t="shared" si="1513"/>
        <v>0.9</v>
      </c>
      <c r="N1177" s="10" t="str">
        <f t="shared" si="1514"/>
        <v>43661COLNN100000</v>
      </c>
      <c r="O1177" s="14" t="str">
        <f t="shared" si="1515"/>
        <v/>
      </c>
      <c r="P1177" s="14">
        <f t="shared" si="1516"/>
        <v>1</v>
      </c>
      <c r="Q1177" s="14">
        <f t="array" ref="Q1177">IFERROR(INDEX([1]Companies!$D:$D,MATCH(B1177,[1]Companies!$A:$A,0)),"")</f>
        <v>2015</v>
      </c>
      <c r="R1177" s="17">
        <f t="shared" si="1517"/>
        <v>100000</v>
      </c>
      <c r="S1177" s="14">
        <f>VLOOKUP(I1177,[1]Lookups!$V$3:$Y$197,4,FALSE)</f>
        <v>0</v>
      </c>
      <c r="T1177" s="14" t="str">
        <f>VLOOKUP(E1177,[1]Lookups!$H$3:$I$71,2,FALSE)</f>
        <v>2. Seed</v>
      </c>
      <c r="U1177" s="14" t="str">
        <f>VLOOKUP(K1177,[1]Lookups!$B$3:$C$142,2,FALSE)</f>
        <v>Education</v>
      </c>
      <c r="V1177" s="14">
        <f t="shared" si="1230"/>
        <v>2019</v>
      </c>
      <c r="W1177" s="14">
        <f t="shared" si="1231"/>
        <v>7</v>
      </c>
      <c r="X1177" s="14">
        <f>VLOOKUP(W1177,[1]Lookups!$P$3:$S$15,2,FALSE)</f>
        <v>3</v>
      </c>
      <c r="Y1177" s="16">
        <f>VLOOKUP(W1177,[1]Lookups!$P$3:$U$15,3,FALSE)</f>
        <v>2</v>
      </c>
      <c r="Z1177" s="16">
        <f t="shared" si="1232"/>
        <v>1</v>
      </c>
      <c r="AA1177" s="16" t="str">
        <f t="shared" ca="1" si="1500"/>
        <v>Business Valley</v>
      </c>
      <c r="AB1177" s="16">
        <f t="shared" si="1500"/>
        <v>0</v>
      </c>
      <c r="AC1177" s="16">
        <f t="shared" si="1500"/>
        <v>0</v>
      </c>
      <c r="AD1177" s="16">
        <f t="shared" si="1500"/>
        <v>0</v>
      </c>
      <c r="AE1177" s="16">
        <f t="shared" si="1500"/>
        <v>0</v>
      </c>
      <c r="AF1177" s="16">
        <f t="shared" si="1500"/>
        <v>0</v>
      </c>
      <c r="AG1177" s="16">
        <f t="shared" si="1500"/>
        <v>0</v>
      </c>
      <c r="AH1177" s="16">
        <f t="shared" si="1500"/>
        <v>0</v>
      </c>
      <c r="AI1177" s="16">
        <f t="shared" si="1500"/>
        <v>0</v>
      </c>
      <c r="AJ1177" s="16">
        <f t="shared" si="1500"/>
        <v>0</v>
      </c>
      <c r="AK1177" s="16">
        <f t="shared" si="1500"/>
        <v>0</v>
      </c>
      <c r="AL1177" s="16">
        <f t="shared" si="1500"/>
        <v>0</v>
      </c>
      <c r="AM1177" s="16">
        <f t="shared" si="1500"/>
        <v>0</v>
      </c>
      <c r="AN1177" s="16">
        <f t="shared" si="1500"/>
        <v>0</v>
      </c>
      <c r="AO1177" s="16">
        <f t="shared" si="1500"/>
        <v>0</v>
      </c>
      <c r="AP1177" s="10"/>
      <c r="AQ1177" s="10"/>
      <c r="AR1177" s="10"/>
      <c r="AS1177" s="10" t="str">
        <f t="shared" ref="AS1177" ca="1" si="1520">IFERROR(__xludf.DUMMYFUNCTION("split(F1163,"","",true,true)"),"Business Valley")</f>
        <v>Business Valley</v>
      </c>
      <c r="AT1177" s="10"/>
      <c r="AU1177" s="10"/>
      <c r="AV1177" s="10"/>
      <c r="AW1177" s="10"/>
      <c r="AX1177" s="10"/>
      <c r="AY1177" s="10"/>
      <c r="AZ1177" s="10"/>
      <c r="BA1177" s="10"/>
      <c r="BB1177" s="10"/>
      <c r="BC1177" s="10"/>
      <c r="BD1177" s="10"/>
      <c r="BE1177" s="10"/>
      <c r="BF1177" s="10"/>
      <c r="BG1177" s="10"/>
      <c r="BH1177" s="10"/>
      <c r="BI1177" s="10"/>
      <c r="BJ1177" s="10"/>
      <c r="BK1177" s="10"/>
      <c r="BM1177" s="10"/>
    </row>
    <row r="1178" spans="1:65" ht="12.75">
      <c r="A1178" s="9">
        <v>43662</v>
      </c>
      <c r="B1178" s="10" t="s">
        <v>2461</v>
      </c>
      <c r="C1178" s="11" t="s">
        <v>49</v>
      </c>
      <c r="D1178" s="12"/>
      <c r="E1178" s="10" t="s">
        <v>45</v>
      </c>
      <c r="F1178" s="10" t="s">
        <v>2462</v>
      </c>
      <c r="G1178" s="13" t="s">
        <v>2463</v>
      </c>
      <c r="H1178" s="14" t="str">
        <f t="array" ref="H1178">IFERROR(INDEX([1]Companies!$G:$G,MATCH(B1178,[1]Companies!$A:$A,0)),"")</f>
        <v>United States of America</v>
      </c>
      <c r="I1178" s="14" t="str">
        <f t="shared" si="1512"/>
        <v>United States of America</v>
      </c>
      <c r="J1178" s="14" t="str">
        <f t="array" ref="J1178">IFERROR(INDEX([1]Companies!$Y:$Y,MATCH(B1178,[1]Companies!$A:$A,0)),"")</f>
        <v>Mobile games</v>
      </c>
      <c r="K1178" s="14" t="str">
        <f t="array" ref="K1178">IFERROR(INDEX([1]Companies!$X:$X,MATCH(B1178,[1]Companies!$A:$A,0)),"")</f>
        <v>Media &amp; Entertainment</v>
      </c>
      <c r="L1178" s="14" t="str">
        <f>VLOOKUP(B1178,[1]Companies!$A$1:$C$5243,1,FALSE)</f>
        <v>Cryptyd Games</v>
      </c>
      <c r="M1178" s="15">
        <f t="shared" si="1513"/>
        <v>0.9</v>
      </c>
      <c r="N1178" s="10" t="str">
        <f t="shared" si="1514"/>
        <v>43662Cryptyd GamesUndisclosed</v>
      </c>
      <c r="O1178" s="14" t="str">
        <f t="shared" si="1515"/>
        <v/>
      </c>
      <c r="P1178" s="14">
        <f t="shared" si="1516"/>
        <v>0</v>
      </c>
      <c r="Q1178" s="14">
        <f t="array" ref="Q1178">IFERROR(INDEX([1]Companies!$D:$D,MATCH(B1178,[1]Companies!$A:$A,0)),"")</f>
        <v>2015</v>
      </c>
      <c r="R1178" s="17">
        <f t="shared" si="1517"/>
        <v>0</v>
      </c>
      <c r="S1178" s="14">
        <f>VLOOKUP(I1178,[1]Lookups!$V$3:$Y$197,4,FALSE)</f>
        <v>1</v>
      </c>
      <c r="T1178" s="14" t="str">
        <f>VLOOKUP(E1178,[1]Lookups!$H$3:$I$71,2,FALSE)</f>
        <v>2. Seed</v>
      </c>
      <c r="U1178" s="14" t="str">
        <f>VLOOKUP(K1178,[1]Lookups!$B$3:$C$142,2,FALSE)</f>
        <v>Media &amp; Entertainment</v>
      </c>
      <c r="V1178" s="14">
        <f t="shared" si="1230"/>
        <v>2019</v>
      </c>
      <c r="W1178" s="14">
        <f t="shared" si="1231"/>
        <v>7</v>
      </c>
      <c r="X1178" s="14">
        <f>VLOOKUP(W1178,[1]Lookups!$P$3:$S$15,2,FALSE)</f>
        <v>3</v>
      </c>
      <c r="Y1178" s="16">
        <f>VLOOKUP(W1178,[1]Lookups!$P$3:$U$15,3,FALSE)</f>
        <v>2</v>
      </c>
      <c r="Z1178" s="16">
        <f t="shared" si="1232"/>
        <v>2</v>
      </c>
      <c r="AA1178" s="16" t="str">
        <f t="shared" ca="1" si="1500"/>
        <v>Business Valley</v>
      </c>
      <c r="AB1178" s="16" t="str">
        <f t="shared" ca="1" si="1500"/>
        <v xml:space="preserve"> Cairo Angels</v>
      </c>
      <c r="AC1178" s="16">
        <f t="shared" si="1500"/>
        <v>0</v>
      </c>
      <c r="AD1178" s="16">
        <f t="shared" si="1500"/>
        <v>0</v>
      </c>
      <c r="AE1178" s="16">
        <f t="shared" si="1500"/>
        <v>0</v>
      </c>
      <c r="AF1178" s="16">
        <f t="shared" si="1500"/>
        <v>0</v>
      </c>
      <c r="AG1178" s="16">
        <f t="shared" si="1500"/>
        <v>0</v>
      </c>
      <c r="AH1178" s="16">
        <f t="shared" si="1500"/>
        <v>0</v>
      </c>
      <c r="AI1178" s="16">
        <f t="shared" si="1500"/>
        <v>0</v>
      </c>
      <c r="AJ1178" s="16">
        <f t="shared" si="1500"/>
        <v>0</v>
      </c>
      <c r="AK1178" s="16">
        <f t="shared" si="1500"/>
        <v>0</v>
      </c>
      <c r="AL1178" s="16">
        <f t="shared" si="1500"/>
        <v>0</v>
      </c>
      <c r="AM1178" s="16">
        <f t="shared" si="1500"/>
        <v>0</v>
      </c>
      <c r="AN1178" s="16">
        <f t="shared" si="1500"/>
        <v>0</v>
      </c>
      <c r="AO1178" s="16">
        <f t="shared" si="1500"/>
        <v>0</v>
      </c>
      <c r="AP1178" s="10"/>
      <c r="AQ1178" s="10"/>
      <c r="AR1178" s="10"/>
      <c r="AS1178" s="10" t="str">
        <f t="shared" ref="AS1178" ca="1" si="1521">IFERROR(__xludf.DUMMYFUNCTION("split(F1163,"","",true,true)"),"Business Valley")</f>
        <v>Business Valley</v>
      </c>
      <c r="AT1178" s="10" t="str">
        <f ca="1">IFERROR(__xludf.DUMMYFUNCTION("""COMPUTED_VALUE""")," Cairo Angels")</f>
        <v xml:space="preserve"> Cairo Angels</v>
      </c>
      <c r="AU1178" s="10"/>
      <c r="AV1178" s="10"/>
      <c r="AW1178" s="10"/>
      <c r="AX1178" s="10"/>
      <c r="AY1178" s="10"/>
      <c r="AZ1178" s="10"/>
      <c r="BA1178" s="10"/>
      <c r="BB1178" s="10"/>
      <c r="BC1178" s="10"/>
      <c r="BD1178" s="10"/>
      <c r="BE1178" s="10"/>
      <c r="BF1178" s="10"/>
      <c r="BG1178" s="10"/>
      <c r="BH1178" s="10"/>
      <c r="BI1178" s="10"/>
      <c r="BJ1178" s="10"/>
      <c r="BK1178" s="10"/>
      <c r="BM1178" s="10"/>
    </row>
    <row r="1179" spans="1:65" ht="12.75">
      <c r="A1179" s="9">
        <v>43663</v>
      </c>
      <c r="B1179" s="10" t="s">
        <v>2464</v>
      </c>
      <c r="C1179" s="11" t="s">
        <v>49</v>
      </c>
      <c r="D1179" s="12"/>
      <c r="E1179" s="10" t="s">
        <v>51</v>
      </c>
      <c r="F1179" s="10" t="s">
        <v>2465</v>
      </c>
      <c r="G1179" s="13" t="s">
        <v>2466</v>
      </c>
      <c r="H1179" s="14" t="str">
        <f t="array" ref="H1179">IFERROR(INDEX([1]Companies!$G:$G,MATCH(B1179,[1]Companies!$A:$A,0)),"")</f>
        <v>Kenya</v>
      </c>
      <c r="I1179" s="14" t="str">
        <f t="shared" si="1512"/>
        <v>Kenya</v>
      </c>
      <c r="J1179" s="14" t="str">
        <f t="array" ref="J1179">IFERROR(INDEX([1]Companies!$Y:$Y,MATCH(B1179,[1]Companies!$A:$A,0)),"")</f>
        <v>Soil testing, Agronomy Services, Crop Trials, Water testing, Environmental services, Laboratory Services</v>
      </c>
      <c r="K1179" s="14" t="str">
        <f t="array" ref="K1179">IFERROR(INDEX([1]Companies!$X:$X,MATCH(B1179,[1]Companies!$A:$A,0)),"")</f>
        <v>Agriculture</v>
      </c>
      <c r="L1179" s="14" t="str">
        <f>VLOOKUP(B1179,[1]Companies!$A$1:$C$5243,1,FALSE)</f>
        <v>Crop Nutrition Laboratory Services (Cropnuts)</v>
      </c>
      <c r="M1179" s="15">
        <f t="shared" si="1513"/>
        <v>0.9</v>
      </c>
      <c r="N1179" s="10" t="str">
        <f t="shared" si="1514"/>
        <v>43663Crop Nutrition Laboratory Services (Cropnuts)Undisclosed</v>
      </c>
      <c r="O1179" s="14" t="str">
        <f t="shared" si="1515"/>
        <v/>
      </c>
      <c r="P1179" s="14">
        <f t="shared" si="1516"/>
        <v>0</v>
      </c>
      <c r="Q1179" s="14">
        <f t="array" ref="Q1179">IFERROR(INDEX([1]Companies!$D:$D,MATCH(B1179,[1]Companies!$A:$A,0)),"")</f>
        <v>1998</v>
      </c>
      <c r="R1179" s="17">
        <f t="shared" si="1517"/>
        <v>0</v>
      </c>
      <c r="S1179" s="14">
        <f>VLOOKUP(I1179,[1]Lookups!$V$3:$Y$197,4,FALSE)</f>
        <v>0</v>
      </c>
      <c r="T1179" s="14" t="str">
        <f>VLOOKUP(E1179,[1]Lookups!$H$3:$I$71,2,FALSE)</f>
        <v>6. Private Equity</v>
      </c>
      <c r="U1179" s="14" t="str">
        <f>VLOOKUP(K1179,[1]Lookups!$B$3:$C$142,2,FALSE)</f>
        <v>Agriculture</v>
      </c>
      <c r="V1179" s="14">
        <f t="shared" si="1230"/>
        <v>2019</v>
      </c>
      <c r="W1179" s="14">
        <f t="shared" si="1231"/>
        <v>7</v>
      </c>
      <c r="X1179" s="14">
        <f>VLOOKUP(W1179,[1]Lookups!$P$3:$S$15,2,FALSE)</f>
        <v>3</v>
      </c>
      <c r="Y1179" s="16">
        <f>VLOOKUP(W1179,[1]Lookups!$P$3:$U$15,3,FALSE)</f>
        <v>2</v>
      </c>
      <c r="Z1179" s="16">
        <f t="shared" si="1232"/>
        <v>2</v>
      </c>
      <c r="AA1179" s="16" t="str">
        <f t="shared" ref="AA1179:AO1194" ca="1" si="1522">AS1179</f>
        <v>Business Valley</v>
      </c>
      <c r="AB1179" s="16" t="str">
        <f t="shared" ca="1" si="1522"/>
        <v xml:space="preserve"> DOB Equity</v>
      </c>
      <c r="AC1179" s="16">
        <f t="shared" si="1522"/>
        <v>0</v>
      </c>
      <c r="AD1179" s="16">
        <f t="shared" si="1522"/>
        <v>0</v>
      </c>
      <c r="AE1179" s="16">
        <f t="shared" si="1522"/>
        <v>0</v>
      </c>
      <c r="AF1179" s="16">
        <f t="shared" si="1522"/>
        <v>0</v>
      </c>
      <c r="AG1179" s="16">
        <f t="shared" si="1522"/>
        <v>0</v>
      </c>
      <c r="AH1179" s="16">
        <f t="shared" si="1522"/>
        <v>0</v>
      </c>
      <c r="AI1179" s="16">
        <f t="shared" si="1522"/>
        <v>0</v>
      </c>
      <c r="AJ1179" s="16">
        <f t="shared" si="1522"/>
        <v>0</v>
      </c>
      <c r="AK1179" s="16">
        <f t="shared" si="1522"/>
        <v>0</v>
      </c>
      <c r="AL1179" s="16">
        <f t="shared" si="1522"/>
        <v>0</v>
      </c>
      <c r="AM1179" s="16">
        <f t="shared" si="1522"/>
        <v>0</v>
      </c>
      <c r="AN1179" s="16">
        <f t="shared" si="1522"/>
        <v>0</v>
      </c>
      <c r="AO1179" s="16">
        <f t="shared" si="1522"/>
        <v>0</v>
      </c>
      <c r="AP1179" s="10"/>
      <c r="AQ1179" s="10"/>
      <c r="AR1179" s="10"/>
      <c r="AS1179" s="10" t="str">
        <f t="shared" ref="AS1179" ca="1" si="1523">IFERROR(__xludf.DUMMYFUNCTION("split(F1163,"","",true,true)"),"Business Valley")</f>
        <v>Business Valley</v>
      </c>
      <c r="AT1179" s="10" t="str">
        <f ca="1">IFERROR(__xludf.DUMMYFUNCTION("""COMPUTED_VALUE""")," DOB Equity")</f>
        <v xml:space="preserve"> DOB Equity</v>
      </c>
      <c r="AU1179" s="10"/>
      <c r="AV1179" s="10"/>
      <c r="AW1179" s="10"/>
      <c r="AX1179" s="10"/>
      <c r="AY1179" s="10"/>
      <c r="AZ1179" s="10"/>
      <c r="BA1179" s="10"/>
      <c r="BB1179" s="10"/>
      <c r="BC1179" s="10"/>
      <c r="BD1179" s="10"/>
      <c r="BE1179" s="10"/>
      <c r="BF1179" s="10"/>
      <c r="BG1179" s="10"/>
      <c r="BH1179" s="10"/>
      <c r="BI1179" s="10"/>
      <c r="BJ1179" s="10"/>
      <c r="BK1179" s="10"/>
      <c r="BM1179" s="10"/>
    </row>
    <row r="1180" spans="1:65" ht="12.75">
      <c r="A1180" s="9">
        <v>43663</v>
      </c>
      <c r="B1180" s="10" t="s">
        <v>2467</v>
      </c>
      <c r="C1180" s="11" t="s">
        <v>49</v>
      </c>
      <c r="D1180" s="12"/>
      <c r="E1180" s="10" t="s">
        <v>51</v>
      </c>
      <c r="F1180" s="10" t="s">
        <v>2468</v>
      </c>
      <c r="G1180" s="13" t="s">
        <v>2469</v>
      </c>
      <c r="H1180" s="14" t="str">
        <f t="array" ref="H1180">IFERROR(INDEX([1]Companies!$G:$G,MATCH(B1180,[1]Companies!$A:$A,0)),"")</f>
        <v>Tanzania</v>
      </c>
      <c r="I1180" s="14" t="str">
        <f t="shared" si="1512"/>
        <v>Tanzania</v>
      </c>
      <c r="J1180" s="14" t="str">
        <f t="array" ref="J1180">IFERROR(INDEX([1]Companies!$Y:$Y,MATCH(B1180,[1]Companies!$A:$A,0)),"")</f>
        <v>Agribusiness</v>
      </c>
      <c r="K1180" s="14" t="str">
        <f t="array" ref="K1180">IFERROR(INDEX([1]Companies!$X:$X,MATCH(B1180,[1]Companies!$A:$A,0)),"")</f>
        <v>Agriculture</v>
      </c>
      <c r="L1180" s="14" t="str">
        <f>VLOOKUP(B1180,[1]Companies!$A$1:$C$5243,1,FALSE)</f>
        <v>Africado</v>
      </c>
      <c r="M1180" s="15">
        <f t="shared" si="1513"/>
        <v>0.9</v>
      </c>
      <c r="N1180" s="10" t="str">
        <f t="shared" si="1514"/>
        <v>43663AfricadoUndisclosed</v>
      </c>
      <c r="O1180" s="14" t="str">
        <f t="shared" si="1515"/>
        <v/>
      </c>
      <c r="P1180" s="14">
        <f t="shared" si="1516"/>
        <v>0</v>
      </c>
      <c r="Q1180" s="14">
        <f t="array" ref="Q1180">IFERROR(INDEX([1]Companies!$D:$D,MATCH(B1180,[1]Companies!$A:$A,0)),"")</f>
        <v>2007</v>
      </c>
      <c r="R1180" s="17">
        <f t="shared" si="1517"/>
        <v>0</v>
      </c>
      <c r="S1180" s="14">
        <f>VLOOKUP(I1180,[1]Lookups!$V$3:$Y$197,4,FALSE)</f>
        <v>0</v>
      </c>
      <c r="T1180" s="14" t="str">
        <f>VLOOKUP(E1180,[1]Lookups!$H$3:$I$71,2,FALSE)</f>
        <v>6. Private Equity</v>
      </c>
      <c r="U1180" s="14" t="str">
        <f>VLOOKUP(K1180,[1]Lookups!$B$3:$C$142,2,FALSE)</f>
        <v>Agriculture</v>
      </c>
      <c r="V1180" s="14">
        <f t="shared" si="1230"/>
        <v>2019</v>
      </c>
      <c r="W1180" s="14">
        <f t="shared" si="1231"/>
        <v>7</v>
      </c>
      <c r="X1180" s="14">
        <f>VLOOKUP(W1180,[1]Lookups!$P$3:$S$15,2,FALSE)</f>
        <v>3</v>
      </c>
      <c r="Y1180" s="16">
        <f>VLOOKUP(W1180,[1]Lookups!$P$3:$U$15,3,FALSE)</f>
        <v>2</v>
      </c>
      <c r="Z1180" s="16">
        <f t="shared" si="1232"/>
        <v>1</v>
      </c>
      <c r="AA1180" s="16" t="str">
        <f t="shared" ca="1" si="1522"/>
        <v>Business Valley</v>
      </c>
      <c r="AB1180" s="16">
        <f t="shared" si="1522"/>
        <v>0</v>
      </c>
      <c r="AC1180" s="16">
        <f t="shared" si="1522"/>
        <v>0</v>
      </c>
      <c r="AD1180" s="16">
        <f t="shared" si="1522"/>
        <v>0</v>
      </c>
      <c r="AE1180" s="16">
        <f t="shared" si="1522"/>
        <v>0</v>
      </c>
      <c r="AF1180" s="16">
        <f t="shared" si="1522"/>
        <v>0</v>
      </c>
      <c r="AG1180" s="16">
        <f t="shared" si="1522"/>
        <v>0</v>
      </c>
      <c r="AH1180" s="16">
        <f t="shared" si="1522"/>
        <v>0</v>
      </c>
      <c r="AI1180" s="16">
        <f t="shared" si="1522"/>
        <v>0</v>
      </c>
      <c r="AJ1180" s="16">
        <f t="shared" si="1522"/>
        <v>0</v>
      </c>
      <c r="AK1180" s="16">
        <f t="shared" si="1522"/>
        <v>0</v>
      </c>
      <c r="AL1180" s="16">
        <f t="shared" si="1522"/>
        <v>0</v>
      </c>
      <c r="AM1180" s="16">
        <f t="shared" si="1522"/>
        <v>0</v>
      </c>
      <c r="AN1180" s="16">
        <f t="shared" si="1522"/>
        <v>0</v>
      </c>
      <c r="AO1180" s="16">
        <f t="shared" si="1522"/>
        <v>0</v>
      </c>
      <c r="AP1180" s="10"/>
      <c r="AQ1180" s="10"/>
      <c r="AR1180" s="10"/>
      <c r="AS1180" s="10" t="str">
        <f t="shared" ref="AS1180" ca="1" si="1524">IFERROR(__xludf.DUMMYFUNCTION("split(F1163,"","",true,true)"),"Business Valley")</f>
        <v>Business Valley</v>
      </c>
      <c r="AT1180" s="10"/>
      <c r="AU1180" s="10"/>
      <c r="AV1180" s="10"/>
      <c r="AW1180" s="10"/>
      <c r="AX1180" s="10"/>
      <c r="AY1180" s="10"/>
      <c r="AZ1180" s="10"/>
      <c r="BA1180" s="10"/>
      <c r="BB1180" s="10"/>
      <c r="BC1180" s="10"/>
      <c r="BD1180" s="10"/>
      <c r="BE1180" s="10"/>
      <c r="BF1180" s="10"/>
      <c r="BG1180" s="10"/>
      <c r="BH1180" s="10"/>
      <c r="BI1180" s="10"/>
      <c r="BJ1180" s="10"/>
      <c r="BK1180" s="10"/>
      <c r="BM1180" s="10"/>
    </row>
    <row r="1181" spans="1:65" ht="12.75">
      <c r="A1181" s="9">
        <v>43663</v>
      </c>
      <c r="B1181" s="40" t="s">
        <v>867</v>
      </c>
      <c r="C1181" s="11">
        <v>1400000</v>
      </c>
      <c r="D1181" s="12"/>
      <c r="E1181" s="10" t="s">
        <v>271</v>
      </c>
      <c r="F1181" s="10" t="s">
        <v>49</v>
      </c>
      <c r="G1181" s="13" t="s">
        <v>2470</v>
      </c>
      <c r="H1181" s="14" t="str">
        <f t="array" ref="H1181">IFERROR(INDEX([1]Companies!$G:$G,MATCH(B1181,[1]Companies!$A:$A,0)),"")</f>
        <v>South Africa</v>
      </c>
      <c r="I1181" s="14" t="str">
        <f t="shared" si="1512"/>
        <v>South Africa</v>
      </c>
      <c r="J1181" s="14">
        <f t="array" ref="J1181">IFERROR(INDEX([1]Companies!$Y:$Y,MATCH(B1181,[1]Companies!$A:$A,0)),"")</f>
        <v>0</v>
      </c>
      <c r="K1181" s="14" t="str">
        <f t="array" ref="K1181">IFERROR(INDEX([1]Companies!$X:$X,MATCH(B1181,[1]Companies!$A:$A,0)),"")</f>
        <v>Education</v>
      </c>
      <c r="L1181" s="14" t="str">
        <f>VLOOKUP(B1181,[1]Companies!$A$1:$C$5243,1,FALSE)</f>
        <v>Enko Education</v>
      </c>
      <c r="M1181" s="15">
        <f t="shared" si="1513"/>
        <v>0.9</v>
      </c>
      <c r="N1181" s="10" t="str">
        <f t="shared" si="1514"/>
        <v>43663Enko Education1400000</v>
      </c>
      <c r="O1181" s="14" t="str">
        <f t="shared" si="1515"/>
        <v/>
      </c>
      <c r="P1181" s="14">
        <f t="shared" si="1516"/>
        <v>1</v>
      </c>
      <c r="Q1181" s="14">
        <f t="array" ref="Q1181">IFERROR(INDEX([1]Companies!$D:$D,MATCH(B1181,[1]Companies!$A:$A,0)),"")</f>
        <v>2013</v>
      </c>
      <c r="R1181" s="17">
        <f t="shared" si="1517"/>
        <v>4700000</v>
      </c>
      <c r="S1181" s="14">
        <f>VLOOKUP(I1181,[1]Lookups!$V$3:$Y$197,4,FALSE)</f>
        <v>0</v>
      </c>
      <c r="T1181" s="14" t="str">
        <f>VLOOKUP(E1181,[1]Lookups!$H$3:$I$71,2,FALSE)</f>
        <v>3. Early Venture</v>
      </c>
      <c r="U1181" s="14" t="str">
        <f>VLOOKUP(K1181,[1]Lookups!$B$3:$C$142,2,FALSE)</f>
        <v>Education</v>
      </c>
      <c r="V1181" s="14">
        <f t="shared" si="1230"/>
        <v>2019</v>
      </c>
      <c r="W1181" s="14">
        <f t="shared" si="1231"/>
        <v>7</v>
      </c>
      <c r="X1181" s="14">
        <f>VLOOKUP(W1181,[1]Lookups!$P$3:$S$15,2,FALSE)</f>
        <v>3</v>
      </c>
      <c r="Y1181" s="16">
        <f>VLOOKUP(W1181,[1]Lookups!$P$3:$U$15,3,FALSE)</f>
        <v>2</v>
      </c>
      <c r="Z1181" s="16">
        <f t="shared" si="1232"/>
        <v>1</v>
      </c>
      <c r="AA1181" s="16" t="str">
        <f t="shared" ca="1" si="1522"/>
        <v>Business Valley</v>
      </c>
      <c r="AB1181" s="16">
        <f t="shared" si="1522"/>
        <v>0</v>
      </c>
      <c r="AC1181" s="16">
        <f t="shared" si="1522"/>
        <v>0</v>
      </c>
      <c r="AD1181" s="16">
        <f t="shared" si="1522"/>
        <v>0</v>
      </c>
      <c r="AE1181" s="16">
        <f t="shared" si="1522"/>
        <v>0</v>
      </c>
      <c r="AF1181" s="16">
        <f t="shared" si="1522"/>
        <v>0</v>
      </c>
      <c r="AG1181" s="16">
        <f t="shared" si="1522"/>
        <v>0</v>
      </c>
      <c r="AH1181" s="16">
        <f t="shared" si="1522"/>
        <v>0</v>
      </c>
      <c r="AI1181" s="16">
        <f t="shared" si="1522"/>
        <v>0</v>
      </c>
      <c r="AJ1181" s="16">
        <f t="shared" si="1522"/>
        <v>0</v>
      </c>
      <c r="AK1181" s="16">
        <f t="shared" si="1522"/>
        <v>0</v>
      </c>
      <c r="AL1181" s="16">
        <f t="shared" si="1522"/>
        <v>0</v>
      </c>
      <c r="AM1181" s="16">
        <f t="shared" si="1522"/>
        <v>0</v>
      </c>
      <c r="AN1181" s="16">
        <f t="shared" si="1522"/>
        <v>0</v>
      </c>
      <c r="AO1181" s="16">
        <f t="shared" si="1522"/>
        <v>0</v>
      </c>
      <c r="AP1181" s="10"/>
      <c r="AQ1181" s="10"/>
      <c r="AR1181" s="10"/>
      <c r="AS1181" s="10" t="str">
        <f t="shared" ref="AS1181" ca="1" si="1525">IFERROR(__xludf.DUMMYFUNCTION("split(F1163,"","",true,true)"),"Business Valley")</f>
        <v>Business Valley</v>
      </c>
      <c r="AT1181" s="10"/>
      <c r="AU1181" s="10"/>
      <c r="AV1181" s="10"/>
      <c r="AW1181" s="10"/>
      <c r="AX1181" s="10"/>
      <c r="AY1181" s="10"/>
      <c r="AZ1181" s="10"/>
      <c r="BA1181" s="10"/>
      <c r="BB1181" s="10"/>
      <c r="BC1181" s="10"/>
      <c r="BD1181" s="10"/>
      <c r="BE1181" s="10"/>
      <c r="BF1181" s="10"/>
      <c r="BG1181" s="10"/>
      <c r="BH1181" s="10"/>
      <c r="BI1181" s="10"/>
      <c r="BJ1181" s="10"/>
      <c r="BK1181" s="10"/>
      <c r="BM1181" s="10"/>
    </row>
    <row r="1182" spans="1:65" ht="12.75">
      <c r="A1182" s="30">
        <v>43669</v>
      </c>
      <c r="B1182" s="10" t="s">
        <v>2471</v>
      </c>
      <c r="C1182" s="11">
        <v>60000</v>
      </c>
      <c r="E1182" s="10" t="s">
        <v>45</v>
      </c>
      <c r="F1182" s="10" t="s">
        <v>2472</v>
      </c>
      <c r="G1182" s="13" t="s">
        <v>2473</v>
      </c>
      <c r="H1182" s="14" t="str">
        <f t="array" ref="H1182">IFERROR(INDEX([1]Companies!$G:$G,MATCH(B1182,[1]Companies!$A:$A,0)),"")</f>
        <v>Uganda</v>
      </c>
      <c r="I1182" s="14" t="str">
        <f t="shared" si="1512"/>
        <v>Uganda</v>
      </c>
      <c r="J1182" s="14" t="str">
        <f t="array" ref="J1182">IFERROR(INDEX([1]Companies!$Y:$Y,MATCH(B1182,[1]Companies!$A:$A,0)),"")</f>
        <v>Baby diapers</v>
      </c>
      <c r="K1182" s="14" t="str">
        <f t="array" ref="K1182">IFERROR(INDEX([1]Companies!$X:$X,MATCH(B1182,[1]Companies!$A:$A,0)),"")</f>
        <v>E-Commerce &amp; Retail</v>
      </c>
      <c r="L1182" s="14" t="str">
        <f>VLOOKUP(B1182,[1]Companies!$A$1:$C$5243,1,FALSE)</f>
        <v>Kijani Limited</v>
      </c>
      <c r="M1182" s="15">
        <f t="shared" si="1513"/>
        <v>0.9</v>
      </c>
      <c r="N1182" s="10" t="str">
        <f t="shared" si="1514"/>
        <v>43669Kijani Limited60000</v>
      </c>
      <c r="O1182" s="14" t="str">
        <f t="shared" si="1515"/>
        <v/>
      </c>
      <c r="P1182" s="14">
        <f t="shared" si="1516"/>
        <v>1</v>
      </c>
      <c r="Q1182" s="14">
        <f t="array" ref="Q1182">IFERROR(INDEX([1]Companies!$D:$D,MATCH(B1182,[1]Companies!$A:$A,0)),"")</f>
        <v>2014</v>
      </c>
      <c r="R1182" s="17">
        <f t="shared" si="1517"/>
        <v>60000</v>
      </c>
      <c r="S1182" s="14">
        <f>VLOOKUP(I1182,[1]Lookups!$V$3:$Y$197,4,FALSE)</f>
        <v>0</v>
      </c>
      <c r="T1182" s="14" t="str">
        <f>VLOOKUP(E1182,[1]Lookups!$H$3:$I$71,2,FALSE)</f>
        <v>2. Seed</v>
      </c>
      <c r="U1182" s="14" t="str">
        <f>VLOOKUP(K1182,[1]Lookups!$B$3:$C$142,2,FALSE)</f>
        <v>E-commerce &amp; Retail</v>
      </c>
      <c r="V1182" s="14">
        <f t="shared" si="1230"/>
        <v>2019</v>
      </c>
      <c r="W1182" s="14">
        <f t="shared" si="1231"/>
        <v>7</v>
      </c>
      <c r="X1182" s="14">
        <f>VLOOKUP(W1182,[1]Lookups!$P$3:$S$15,2,FALSE)</f>
        <v>3</v>
      </c>
      <c r="Y1182" s="16">
        <f>VLOOKUP(W1182,[1]Lookups!$P$3:$U$15,3,FALSE)</f>
        <v>2</v>
      </c>
      <c r="Z1182" s="16">
        <f t="shared" si="1232"/>
        <v>1</v>
      </c>
      <c r="AA1182" s="16" t="str">
        <f t="shared" ca="1" si="1522"/>
        <v>Business Valley</v>
      </c>
      <c r="AB1182" s="16">
        <f t="shared" si="1522"/>
        <v>0</v>
      </c>
      <c r="AC1182" s="16">
        <f t="shared" si="1522"/>
        <v>0</v>
      </c>
      <c r="AD1182" s="16">
        <f t="shared" si="1522"/>
        <v>0</v>
      </c>
      <c r="AE1182" s="16">
        <f t="shared" si="1522"/>
        <v>0</v>
      </c>
      <c r="AF1182" s="16">
        <f t="shared" si="1522"/>
        <v>0</v>
      </c>
      <c r="AG1182" s="16">
        <f t="shared" si="1522"/>
        <v>0</v>
      </c>
      <c r="AH1182" s="16">
        <f t="shared" si="1522"/>
        <v>0</v>
      </c>
      <c r="AI1182" s="16">
        <f t="shared" si="1522"/>
        <v>0</v>
      </c>
      <c r="AJ1182" s="16">
        <f t="shared" si="1522"/>
        <v>0</v>
      </c>
      <c r="AK1182" s="16">
        <f t="shared" si="1522"/>
        <v>0</v>
      </c>
      <c r="AL1182" s="16">
        <f t="shared" si="1522"/>
        <v>0</v>
      </c>
      <c r="AM1182" s="16">
        <f t="shared" si="1522"/>
        <v>0</v>
      </c>
      <c r="AN1182" s="16">
        <f t="shared" si="1522"/>
        <v>0</v>
      </c>
      <c r="AO1182" s="16">
        <f t="shared" si="1522"/>
        <v>0</v>
      </c>
      <c r="AP1182" s="10"/>
      <c r="AQ1182" s="10"/>
      <c r="AR1182" s="10"/>
      <c r="AS1182" s="10" t="str">
        <f t="shared" ref="AS1182" ca="1" si="1526">IFERROR(__xludf.DUMMYFUNCTION("split(F1163,"","",true,true)"),"Business Valley")</f>
        <v>Business Valley</v>
      </c>
      <c r="AT1182" s="10"/>
      <c r="AU1182" s="10"/>
      <c r="AV1182" s="10"/>
      <c r="AW1182" s="10"/>
      <c r="AX1182" s="10"/>
      <c r="AY1182" s="10"/>
      <c r="AZ1182" s="10"/>
      <c r="BA1182" s="10"/>
      <c r="BB1182" s="10"/>
      <c r="BC1182" s="10"/>
      <c r="BD1182" s="10"/>
      <c r="BE1182" s="10"/>
      <c r="BF1182" s="10"/>
      <c r="BG1182" s="10"/>
      <c r="BH1182" s="10"/>
      <c r="BI1182" s="10"/>
      <c r="BJ1182" s="10"/>
      <c r="BK1182" s="10"/>
      <c r="BL1182" s="10"/>
      <c r="BM1182" s="10"/>
    </row>
    <row r="1183" spans="1:65" ht="12.75">
      <c r="A1183" s="9">
        <v>43671</v>
      </c>
      <c r="B1183" s="10" t="s">
        <v>2474</v>
      </c>
      <c r="C1183" s="11">
        <v>330000</v>
      </c>
      <c r="D1183" s="12"/>
      <c r="E1183" s="10" t="s">
        <v>91</v>
      </c>
      <c r="F1183" s="10" t="s">
        <v>49</v>
      </c>
      <c r="G1183" s="13" t="s">
        <v>2475</v>
      </c>
      <c r="H1183" s="14" t="str">
        <f t="array" ref="H1183">IFERROR(INDEX([1]Companies!$G:$G,MATCH(B1183,[1]Companies!$A:$A,0)),"")</f>
        <v>Kenya</v>
      </c>
      <c r="I1183" s="14" t="str">
        <f t="shared" si="1512"/>
        <v>Kenya</v>
      </c>
      <c r="J1183" s="14" t="str">
        <f t="array" ref="J1183">IFERROR(INDEX([1]Companies!$Y:$Y,MATCH(B1183,[1]Companies!$A:$A,0)),"")</f>
        <v>Analytics, Emerging Markets, Enterprise Software, Retail Technology, Sales Automation</v>
      </c>
      <c r="K1183" s="14" t="str">
        <f t="array" ref="K1183">IFERROR(INDEX([1]Companies!$X:$X,MATCH(B1183,[1]Companies!$A:$A,0)),"")</f>
        <v>Transport &amp; Logistics</v>
      </c>
      <c r="L1183" s="14" t="str">
        <f>VLOOKUP(B1183,[1]Companies!$A$1:$C$5243,1,FALSE)</f>
        <v>Optimetriks</v>
      </c>
      <c r="M1183" s="15">
        <f t="shared" si="1513"/>
        <v>0.9</v>
      </c>
      <c r="N1183" s="10" t="str">
        <f t="shared" si="1514"/>
        <v>43671Optimetriks330000</v>
      </c>
      <c r="O1183" s="14" t="str">
        <f t="shared" si="1515"/>
        <v/>
      </c>
      <c r="P1183" s="14">
        <f t="shared" si="1516"/>
        <v>1</v>
      </c>
      <c r="Q1183" s="14">
        <f t="array" ref="Q1183">IFERROR(INDEX([1]Companies!$D:$D,MATCH(B1183,[1]Companies!$A:$A,0)),"")</f>
        <v>2015</v>
      </c>
      <c r="R1183" s="17">
        <f t="shared" si="1517"/>
        <v>330000</v>
      </c>
      <c r="S1183" s="14">
        <f>VLOOKUP(I1183,[1]Lookups!$V$3:$Y$197,4,FALSE)</f>
        <v>0</v>
      </c>
      <c r="T1183" s="14" t="str">
        <f>VLOOKUP(E1183,[1]Lookups!$H$3:$I$71,2,FALSE)</f>
        <v>5. Debt Financing</v>
      </c>
      <c r="U1183" s="14" t="str">
        <f>VLOOKUP(K1183,[1]Lookups!$B$3:$C$142,2,FALSE)</f>
        <v>Transport &amp; Logistics</v>
      </c>
      <c r="V1183" s="14">
        <f t="shared" si="1230"/>
        <v>2019</v>
      </c>
      <c r="W1183" s="14">
        <f t="shared" si="1231"/>
        <v>7</v>
      </c>
      <c r="X1183" s="14">
        <f>VLOOKUP(W1183,[1]Lookups!$P$3:$S$15,2,FALSE)</f>
        <v>3</v>
      </c>
      <c r="Y1183" s="16">
        <f>VLOOKUP(W1183,[1]Lookups!$P$3:$U$15,3,FALSE)</f>
        <v>2</v>
      </c>
      <c r="Z1183" s="16">
        <f t="shared" si="1232"/>
        <v>1</v>
      </c>
      <c r="AA1183" s="16" t="str">
        <f t="shared" ca="1" si="1522"/>
        <v>Business Valley</v>
      </c>
      <c r="AB1183" s="16">
        <f t="shared" si="1522"/>
        <v>0</v>
      </c>
      <c r="AC1183" s="16">
        <f t="shared" si="1522"/>
        <v>0</v>
      </c>
      <c r="AD1183" s="16">
        <f t="shared" si="1522"/>
        <v>0</v>
      </c>
      <c r="AE1183" s="16">
        <f t="shared" si="1522"/>
        <v>0</v>
      </c>
      <c r="AF1183" s="16">
        <f t="shared" si="1522"/>
        <v>0</v>
      </c>
      <c r="AG1183" s="16">
        <f t="shared" si="1522"/>
        <v>0</v>
      </c>
      <c r="AH1183" s="16">
        <f t="shared" si="1522"/>
        <v>0</v>
      </c>
      <c r="AI1183" s="16">
        <f t="shared" si="1522"/>
        <v>0</v>
      </c>
      <c r="AJ1183" s="16">
        <f t="shared" si="1522"/>
        <v>0</v>
      </c>
      <c r="AK1183" s="16">
        <f t="shared" si="1522"/>
        <v>0</v>
      </c>
      <c r="AL1183" s="16">
        <f t="shared" si="1522"/>
        <v>0</v>
      </c>
      <c r="AM1183" s="16">
        <f t="shared" si="1522"/>
        <v>0</v>
      </c>
      <c r="AN1183" s="16">
        <f t="shared" si="1522"/>
        <v>0</v>
      </c>
      <c r="AO1183" s="16">
        <f t="shared" si="1522"/>
        <v>0</v>
      </c>
      <c r="AP1183" s="10"/>
      <c r="AQ1183" s="10"/>
      <c r="AR1183" s="10"/>
      <c r="AS1183" s="10" t="str">
        <f t="shared" ref="AS1183" ca="1" si="1527">IFERROR(__xludf.DUMMYFUNCTION("split(F1163,"","",true,true)"),"Business Valley")</f>
        <v>Business Valley</v>
      </c>
    </row>
    <row r="1184" spans="1:65" ht="12.75">
      <c r="A1184" s="9">
        <v>43676</v>
      </c>
      <c r="B1184" s="10" t="s">
        <v>2476</v>
      </c>
      <c r="C1184" s="11" t="s">
        <v>49</v>
      </c>
      <c r="D1184" s="38">
        <v>0.26</v>
      </c>
      <c r="E1184" s="10" t="s">
        <v>51</v>
      </c>
      <c r="F1184" s="10" t="s">
        <v>2477</v>
      </c>
      <c r="G1184" s="13" t="s">
        <v>2478</v>
      </c>
      <c r="H1184" s="14" t="str">
        <f t="array" ref="H1184">IFERROR(INDEX([1]Companies!$G:$G,MATCH(B1184,[1]Companies!$A:$A,0)),"")</f>
        <v>South Africa</v>
      </c>
      <c r="I1184" s="14" t="str">
        <f t="shared" si="1512"/>
        <v>South Africa</v>
      </c>
      <c r="J1184" s="14" t="str">
        <f t="array" ref="J1184">IFERROR(INDEX([1]Companies!$Y:$Y,MATCH(B1184,[1]Companies!$A:$A,0)),"")</f>
        <v>Sports Tech</v>
      </c>
      <c r="K1184" s="14" t="str">
        <f t="array" ref="K1184">IFERROR(INDEX([1]Companies!$X:$X,MATCH(B1184,[1]Companies!$A:$A,0)),"")</f>
        <v>Information Technology</v>
      </c>
      <c r="L1184" s="14" t="str">
        <f>VLOOKUP(B1184,[1]Companies!$A$1:$C$5243,1,FALSE)</f>
        <v>Mobii Systems</v>
      </c>
      <c r="M1184" s="15">
        <f t="shared" si="1513"/>
        <v>1</v>
      </c>
      <c r="N1184" s="10" t="str">
        <f t="shared" si="1514"/>
        <v>43676Mobii SystemsUndisclosed</v>
      </c>
      <c r="O1184" s="14"/>
      <c r="P1184" s="14"/>
      <c r="Q1184" s="14"/>
      <c r="R1184" s="14"/>
      <c r="S1184" s="14"/>
      <c r="T1184" s="14"/>
      <c r="U1184" s="14"/>
      <c r="V1184" s="14">
        <f t="shared" si="1230"/>
        <v>2019</v>
      </c>
      <c r="W1184" s="14">
        <f t="shared" si="1231"/>
        <v>7</v>
      </c>
      <c r="X1184" s="14">
        <f>VLOOKUP(W1184,[1]Lookups!$P$3:$S$15,2,FALSE)</f>
        <v>3</v>
      </c>
      <c r="Y1184" s="16">
        <f>VLOOKUP(W1184,[1]Lookups!$P$3:$U$15,3,FALSE)</f>
        <v>2</v>
      </c>
      <c r="Z1184" s="16">
        <f t="shared" si="1232"/>
        <v>1</v>
      </c>
      <c r="AA1184" s="16" t="str">
        <f t="shared" ca="1" si="1522"/>
        <v>Business Valley</v>
      </c>
      <c r="AB1184" s="16">
        <f t="shared" si="1522"/>
        <v>0</v>
      </c>
      <c r="AC1184" s="16">
        <f t="shared" si="1522"/>
        <v>0</v>
      </c>
      <c r="AD1184" s="16">
        <f t="shared" si="1522"/>
        <v>0</v>
      </c>
      <c r="AE1184" s="16">
        <f t="shared" si="1522"/>
        <v>0</v>
      </c>
      <c r="AF1184" s="16">
        <f t="shared" si="1522"/>
        <v>0</v>
      </c>
      <c r="AG1184" s="16">
        <f t="shared" si="1522"/>
        <v>0</v>
      </c>
      <c r="AH1184" s="16">
        <f t="shared" si="1522"/>
        <v>0</v>
      </c>
      <c r="AI1184" s="16">
        <f t="shared" si="1522"/>
        <v>0</v>
      </c>
      <c r="AJ1184" s="16">
        <f t="shared" si="1522"/>
        <v>0</v>
      </c>
      <c r="AK1184" s="16">
        <f t="shared" si="1522"/>
        <v>0</v>
      </c>
      <c r="AL1184" s="16">
        <f t="shared" si="1522"/>
        <v>0</v>
      </c>
      <c r="AM1184" s="16">
        <f t="shared" si="1522"/>
        <v>0</v>
      </c>
      <c r="AN1184" s="16">
        <f t="shared" si="1522"/>
        <v>0</v>
      </c>
      <c r="AO1184" s="16">
        <f t="shared" si="1522"/>
        <v>0</v>
      </c>
      <c r="AP1184" s="10"/>
      <c r="AQ1184" s="10"/>
      <c r="AR1184" s="10"/>
      <c r="AS1184" s="10" t="str">
        <f t="shared" ref="AS1184" ca="1" si="1528">IFERROR(__xludf.DUMMYFUNCTION("split(F1163,"","",true,true)"),"Business Valley")</f>
        <v>Business Valley</v>
      </c>
      <c r="AT1184" s="10"/>
      <c r="AU1184" s="10"/>
      <c r="AV1184" s="10"/>
      <c r="AW1184" s="10"/>
      <c r="AX1184" s="10"/>
      <c r="AY1184" s="10"/>
      <c r="AZ1184" s="10"/>
      <c r="BA1184" s="10"/>
      <c r="BB1184" s="10"/>
      <c r="BC1184" s="10"/>
      <c r="BD1184" s="10"/>
      <c r="BE1184" s="10"/>
      <c r="BF1184" s="10"/>
      <c r="BG1184" s="10"/>
      <c r="BH1184" s="10"/>
      <c r="BI1184" s="10"/>
      <c r="BJ1184" s="10"/>
      <c r="BK1184" s="10"/>
      <c r="BM1184" s="10"/>
    </row>
    <row r="1185" spans="1:65" ht="12.75">
      <c r="A1185" s="9">
        <v>43676</v>
      </c>
      <c r="B1185" s="10" t="s">
        <v>2479</v>
      </c>
      <c r="C1185" s="11">
        <v>562000</v>
      </c>
      <c r="D1185" s="12"/>
      <c r="E1185" s="10" t="s">
        <v>91</v>
      </c>
      <c r="F1185" s="10" t="s">
        <v>2480</v>
      </c>
      <c r="G1185" s="13" t="s">
        <v>2481</v>
      </c>
      <c r="H1185" s="14" t="str">
        <f t="array" ref="H1185">IFERROR(INDEX([1]Companies!$G:$G,MATCH(B1185,[1]Companies!$A:$A,0)),"")</f>
        <v>South Africa</v>
      </c>
      <c r="I1185" s="14" t="str">
        <f t="shared" si="1512"/>
        <v>South Africa</v>
      </c>
      <c r="J1185" s="14" t="str">
        <f t="array" ref="J1185">IFERROR(INDEX([1]Companies!$Y:$Y,MATCH(B1185,[1]Companies!$A:$A,0)),"")</f>
        <v>HealthTech</v>
      </c>
      <c r="K1185" s="14" t="str">
        <f t="array" ref="K1185">IFERROR(INDEX([1]Companies!$X:$X,MATCH(B1185,[1]Companies!$A:$A,0)),"")</f>
        <v>Information Technology</v>
      </c>
      <c r="L1185" s="14" t="str">
        <f>VLOOKUP(B1185,[1]Companies!$A$1:$C$5243,1,FALSE)</f>
        <v>Healthcent</v>
      </c>
      <c r="M1185" s="15">
        <f t="shared" si="1513"/>
        <v>0.9</v>
      </c>
      <c r="N1185" s="10" t="str">
        <f t="shared" si="1514"/>
        <v>43676Healthcent562000</v>
      </c>
      <c r="O1185" s="14"/>
      <c r="P1185" s="14"/>
      <c r="Q1185" s="14"/>
      <c r="R1185" s="14"/>
      <c r="S1185" s="14"/>
      <c r="T1185" s="14"/>
      <c r="U1185" s="14"/>
      <c r="V1185" s="14">
        <f t="shared" si="1230"/>
        <v>2019</v>
      </c>
      <c r="W1185" s="14">
        <f t="shared" si="1231"/>
        <v>7</v>
      </c>
      <c r="X1185" s="14">
        <f>VLOOKUP(W1185,[1]Lookups!$P$3:$S$15,2,FALSE)</f>
        <v>3</v>
      </c>
      <c r="Y1185" s="16">
        <f>VLOOKUP(W1185,[1]Lookups!$P$3:$U$15,3,FALSE)</f>
        <v>2</v>
      </c>
      <c r="Z1185" s="16">
        <f t="shared" si="1232"/>
        <v>2</v>
      </c>
      <c r="AA1185" s="16" t="str">
        <f t="shared" ca="1" si="1522"/>
        <v>Business Valley</v>
      </c>
      <c r="AB1185" s="16" t="str">
        <f t="shared" ca="1" si="1522"/>
        <v xml:space="preserve"> Umkathi Wethu Ventures</v>
      </c>
      <c r="AC1185" s="16">
        <f t="shared" si="1522"/>
        <v>0</v>
      </c>
      <c r="AD1185" s="16">
        <f t="shared" si="1522"/>
        <v>0</v>
      </c>
      <c r="AE1185" s="16">
        <f t="shared" si="1522"/>
        <v>0</v>
      </c>
      <c r="AF1185" s="16">
        <f t="shared" si="1522"/>
        <v>0</v>
      </c>
      <c r="AG1185" s="16">
        <f t="shared" si="1522"/>
        <v>0</v>
      </c>
      <c r="AH1185" s="16">
        <f t="shared" si="1522"/>
        <v>0</v>
      </c>
      <c r="AI1185" s="16">
        <f t="shared" si="1522"/>
        <v>0</v>
      </c>
      <c r="AJ1185" s="16">
        <f t="shared" si="1522"/>
        <v>0</v>
      </c>
      <c r="AK1185" s="16">
        <f t="shared" si="1522"/>
        <v>0</v>
      </c>
      <c r="AL1185" s="16">
        <f t="shared" si="1522"/>
        <v>0</v>
      </c>
      <c r="AM1185" s="16">
        <f t="shared" si="1522"/>
        <v>0</v>
      </c>
      <c r="AN1185" s="16">
        <f t="shared" si="1522"/>
        <v>0</v>
      </c>
      <c r="AO1185" s="16">
        <f t="shared" si="1522"/>
        <v>0</v>
      </c>
      <c r="AP1185" s="10"/>
      <c r="AQ1185" s="10"/>
      <c r="AR1185" s="10"/>
      <c r="AS1185" s="10" t="str">
        <f t="shared" ref="AS1185" ca="1" si="1529">IFERROR(__xludf.DUMMYFUNCTION("split(F1163,"","",true,true)"),"Business Valley")</f>
        <v>Business Valley</v>
      </c>
      <c r="AT1185" s="10" t="str">
        <f ca="1">IFERROR(__xludf.DUMMYFUNCTION("""COMPUTED_VALUE""")," Umkathi Wethu Ventures")</f>
        <v xml:space="preserve"> Umkathi Wethu Ventures</v>
      </c>
      <c r="AU1185" s="10"/>
      <c r="AV1185" s="10"/>
      <c r="AW1185" s="10"/>
      <c r="AX1185" s="10"/>
      <c r="AY1185" s="10"/>
      <c r="AZ1185" s="10"/>
      <c r="BA1185" s="10"/>
      <c r="BB1185" s="10"/>
      <c r="BC1185" s="10"/>
      <c r="BD1185" s="10"/>
      <c r="BE1185" s="10"/>
      <c r="BF1185" s="10"/>
      <c r="BG1185" s="10"/>
      <c r="BH1185" s="10"/>
      <c r="BI1185" s="10"/>
      <c r="BJ1185" s="10"/>
      <c r="BK1185" s="10"/>
      <c r="BM1185" s="10"/>
    </row>
    <row r="1186" spans="1:65" ht="12.75">
      <c r="A1186" s="9">
        <v>43677</v>
      </c>
      <c r="B1186" s="10" t="s">
        <v>2482</v>
      </c>
      <c r="C1186" s="11" t="s">
        <v>49</v>
      </c>
      <c r="D1186" s="12"/>
      <c r="E1186" s="10" t="s">
        <v>69</v>
      </c>
      <c r="F1186" s="10" t="s">
        <v>2483</v>
      </c>
      <c r="G1186" s="13" t="s">
        <v>2484</v>
      </c>
      <c r="H1186" s="14" t="str">
        <f t="array" ref="H1186">IFERROR(INDEX([1]Companies!$G:$G,MATCH(B1186,[1]Companies!$A:$A,0)),"")</f>
        <v>Kenya</v>
      </c>
      <c r="I1186" s="14" t="str">
        <f t="shared" si="1512"/>
        <v>Kenya</v>
      </c>
      <c r="J1186" s="14" t="str">
        <f t="array" ref="J1186">IFERROR(INDEX([1]Companies!$Y:$Y,MATCH(B1186,[1]Companies!$A:$A,0)),"")</f>
        <v>Credit Solutions</v>
      </c>
      <c r="K1186" s="14" t="str">
        <f t="array" ref="K1186">IFERROR(INDEX([1]Companies!$X:$X,MATCH(B1186,[1]Companies!$A:$A,0)),"")</f>
        <v>Financial Services</v>
      </c>
      <c r="L1186" s="14" t="str">
        <f>VLOOKUP(B1186,[1]Companies!$A$1:$C$5243,1,FALSE)</f>
        <v>Solarise Africa</v>
      </c>
      <c r="M1186" s="15">
        <f t="shared" si="1513"/>
        <v>0.9</v>
      </c>
      <c r="N1186" s="10" t="str">
        <f t="shared" si="1514"/>
        <v>43677Solarise AfricaUndisclosed</v>
      </c>
      <c r="O1186" s="14"/>
      <c r="P1186" s="14"/>
      <c r="Q1186" s="14"/>
      <c r="R1186" s="14"/>
      <c r="S1186" s="14"/>
      <c r="T1186" s="14"/>
      <c r="U1186" s="14"/>
      <c r="V1186" s="14">
        <f t="shared" si="1230"/>
        <v>2019</v>
      </c>
      <c r="W1186" s="14">
        <f t="shared" si="1231"/>
        <v>7</v>
      </c>
      <c r="X1186" s="14">
        <f>VLOOKUP(W1186,[1]Lookups!$P$3:$S$15,2,FALSE)</f>
        <v>3</v>
      </c>
      <c r="Y1186" s="16">
        <f>VLOOKUP(W1186,[1]Lookups!$P$3:$U$15,3,FALSE)</f>
        <v>2</v>
      </c>
      <c r="Z1186" s="16">
        <f t="shared" si="1232"/>
        <v>2</v>
      </c>
      <c r="AA1186" s="16" t="str">
        <f t="shared" ca="1" si="1522"/>
        <v>Business Valley</v>
      </c>
      <c r="AB1186" s="16" t="str">
        <f t="shared" ca="1" si="1522"/>
        <v xml:space="preserve"> Energy Access Ventures</v>
      </c>
      <c r="AC1186" s="16">
        <f t="shared" si="1522"/>
        <v>0</v>
      </c>
      <c r="AD1186" s="16">
        <f t="shared" si="1522"/>
        <v>0</v>
      </c>
      <c r="AE1186" s="16">
        <f t="shared" si="1522"/>
        <v>0</v>
      </c>
      <c r="AF1186" s="16">
        <f t="shared" si="1522"/>
        <v>0</v>
      </c>
      <c r="AG1186" s="16">
        <f t="shared" si="1522"/>
        <v>0</v>
      </c>
      <c r="AH1186" s="16">
        <f t="shared" si="1522"/>
        <v>0</v>
      </c>
      <c r="AI1186" s="16">
        <f t="shared" si="1522"/>
        <v>0</v>
      </c>
      <c r="AJ1186" s="16">
        <f t="shared" si="1522"/>
        <v>0</v>
      </c>
      <c r="AK1186" s="16">
        <f t="shared" si="1522"/>
        <v>0</v>
      </c>
      <c r="AL1186" s="16">
        <f t="shared" si="1522"/>
        <v>0</v>
      </c>
      <c r="AM1186" s="16">
        <f t="shared" si="1522"/>
        <v>0</v>
      </c>
      <c r="AN1186" s="16">
        <f t="shared" si="1522"/>
        <v>0</v>
      </c>
      <c r="AO1186" s="16">
        <f t="shared" si="1522"/>
        <v>0</v>
      </c>
      <c r="AP1186" s="10"/>
      <c r="AQ1186" s="10"/>
      <c r="AR1186" s="10"/>
      <c r="AS1186" s="10" t="str">
        <f t="shared" ref="AS1186" ca="1" si="1530">IFERROR(__xludf.DUMMYFUNCTION("split(F1163,"","",true,true)"),"Business Valley")</f>
        <v>Business Valley</v>
      </c>
      <c r="AT1186" s="10" t="str">
        <f ca="1">IFERROR(__xludf.DUMMYFUNCTION("""COMPUTED_VALUE""")," Energy Access Ventures")</f>
        <v xml:space="preserve"> Energy Access Ventures</v>
      </c>
      <c r="AU1186" s="10"/>
      <c r="AV1186" s="10"/>
      <c r="AW1186" s="10"/>
      <c r="AX1186" s="10"/>
      <c r="AY1186" s="10"/>
      <c r="AZ1186" s="10"/>
      <c r="BA1186" s="10"/>
      <c r="BB1186" s="10"/>
      <c r="BC1186" s="10"/>
      <c r="BD1186" s="10"/>
      <c r="BE1186" s="10"/>
      <c r="BF1186" s="10"/>
      <c r="BG1186" s="10"/>
      <c r="BH1186" s="10"/>
      <c r="BI1186" s="10"/>
      <c r="BJ1186" s="10"/>
      <c r="BK1186" s="10"/>
      <c r="BM1186" s="10"/>
    </row>
    <row r="1187" spans="1:65" ht="12.75">
      <c r="A1187" s="9">
        <v>43679</v>
      </c>
      <c r="B1187" s="10" t="s">
        <v>2485</v>
      </c>
      <c r="C1187" s="11" t="s">
        <v>49</v>
      </c>
      <c r="D1187" s="12"/>
      <c r="E1187" s="10" t="s">
        <v>2486</v>
      </c>
      <c r="F1187" s="10" t="s">
        <v>2487</v>
      </c>
      <c r="G1187" s="13" t="s">
        <v>2488</v>
      </c>
      <c r="H1187" s="14" t="str">
        <f t="array" ref="H1187">IFERROR(INDEX([1]Companies!$G:$G,MATCH(B1187,[1]Companies!$A:$A,0)),"")</f>
        <v>Nigeria</v>
      </c>
      <c r="I1187" s="14" t="str">
        <f t="shared" si="1512"/>
        <v>Nigeria</v>
      </c>
      <c r="J1187" s="14" t="str">
        <f t="array" ref="J1187">IFERROR(INDEX([1]Companies!$Y:$Y,MATCH(B1187,[1]Companies!$A:$A,0)),"")</f>
        <v>Payments, FinTech</v>
      </c>
      <c r="K1187" s="14" t="str">
        <f t="array" ref="K1187">IFERROR(INDEX([1]Companies!$X:$X,MATCH(B1187,[1]Companies!$A:$A,0)),"")</f>
        <v>Financial Services</v>
      </c>
      <c r="L1187" s="14" t="str">
        <f>VLOOKUP(B1187,[1]Companies!$A$1:$C$5243,1,FALSE)</f>
        <v>GONA</v>
      </c>
      <c r="M1187" s="15"/>
      <c r="N1187" s="10"/>
      <c r="O1187" s="14"/>
      <c r="P1187" s="14"/>
      <c r="Q1187" s="14"/>
      <c r="R1187" s="14"/>
      <c r="S1187" s="14"/>
      <c r="T1187" s="14"/>
      <c r="U1187" s="14"/>
      <c r="V1187" s="14">
        <f t="shared" si="1230"/>
        <v>2019</v>
      </c>
      <c r="W1187" s="14">
        <f t="shared" si="1231"/>
        <v>8</v>
      </c>
      <c r="X1187" s="14">
        <f>VLOOKUP(W1187,[1]Lookups!$P$3:$S$15,2,FALSE)</f>
        <v>3</v>
      </c>
      <c r="Y1187" s="16">
        <f>VLOOKUP(W1187,[1]Lookups!$P$3:$U$15,3,FALSE)</f>
        <v>2</v>
      </c>
      <c r="Z1187" s="16">
        <f t="shared" si="1232"/>
        <v>3</v>
      </c>
      <c r="AA1187" s="16" t="str">
        <f t="shared" ca="1" si="1522"/>
        <v>Business Valley</v>
      </c>
      <c r="AB1187" s="16" t="str">
        <f t="shared" ca="1" si="1522"/>
        <v xml:space="preserve"> UnityVC</v>
      </c>
      <c r="AC1187" s="16" t="str">
        <f t="shared" ca="1" si="1522"/>
        <v xml:space="preserve"> Shaka VC</v>
      </c>
      <c r="AD1187" s="16">
        <f t="shared" si="1522"/>
        <v>0</v>
      </c>
      <c r="AE1187" s="16">
        <f t="shared" si="1522"/>
        <v>0</v>
      </c>
      <c r="AF1187" s="16">
        <f t="shared" si="1522"/>
        <v>0</v>
      </c>
      <c r="AG1187" s="16">
        <f t="shared" si="1522"/>
        <v>0</v>
      </c>
      <c r="AH1187" s="16">
        <f t="shared" si="1522"/>
        <v>0</v>
      </c>
      <c r="AI1187" s="16">
        <f t="shared" si="1522"/>
        <v>0</v>
      </c>
      <c r="AJ1187" s="16">
        <f t="shared" si="1522"/>
        <v>0</v>
      </c>
      <c r="AK1187" s="16">
        <f t="shared" si="1522"/>
        <v>0</v>
      </c>
      <c r="AL1187" s="16">
        <f t="shared" si="1522"/>
        <v>0</v>
      </c>
      <c r="AM1187" s="16">
        <f t="shared" si="1522"/>
        <v>0</v>
      </c>
      <c r="AN1187" s="16">
        <f t="shared" si="1522"/>
        <v>0</v>
      </c>
      <c r="AO1187" s="16">
        <f t="shared" si="1522"/>
        <v>0</v>
      </c>
      <c r="AP1187" s="10"/>
      <c r="AQ1187" s="10"/>
      <c r="AR1187" s="10"/>
      <c r="AS1187" s="10" t="str">
        <f t="shared" ref="AS1187" ca="1" si="1531">IFERROR(__xludf.DUMMYFUNCTION("split(F1163,"","",true,true)"),"Business Valley")</f>
        <v>Business Valley</v>
      </c>
      <c r="AT1187" s="10" t="str">
        <f ca="1">IFERROR(__xludf.DUMMYFUNCTION("""COMPUTED_VALUE""")," UnityVC")</f>
        <v xml:space="preserve"> UnityVC</v>
      </c>
      <c r="AU1187" s="10" t="str">
        <f ca="1">IFERROR(__xludf.DUMMYFUNCTION("""COMPUTED_VALUE""")," Shaka VC")</f>
        <v xml:space="preserve"> Shaka VC</v>
      </c>
      <c r="AV1187" s="10"/>
      <c r="AW1187" s="10"/>
      <c r="AX1187" s="10"/>
      <c r="AY1187" s="10"/>
      <c r="AZ1187" s="10"/>
      <c r="BA1187" s="10"/>
      <c r="BB1187" s="10"/>
      <c r="BC1187" s="10"/>
      <c r="BD1187" s="10"/>
      <c r="BE1187" s="10"/>
      <c r="BF1187" s="10"/>
      <c r="BG1187" s="10"/>
      <c r="BH1187" s="10"/>
      <c r="BI1187" s="10"/>
      <c r="BJ1187" s="10"/>
      <c r="BK1187" s="10"/>
      <c r="BM1187" s="10"/>
    </row>
    <row r="1188" spans="1:65" ht="12.75">
      <c r="A1188" s="9">
        <v>43681</v>
      </c>
      <c r="B1188" s="10" t="s">
        <v>295</v>
      </c>
      <c r="C1188" s="11">
        <v>1000000</v>
      </c>
      <c r="D1188" s="12"/>
      <c r="E1188" s="10" t="s">
        <v>2486</v>
      </c>
      <c r="F1188" s="10" t="s">
        <v>947</v>
      </c>
      <c r="G1188" s="13" t="s">
        <v>2489</v>
      </c>
      <c r="H1188" s="14" t="str">
        <f t="array" ref="H1188">IFERROR(INDEX([1]Companies!$G:$G,MATCH(B1188,[1]Companies!$A:$A,0)),"")</f>
        <v>Egypt</v>
      </c>
      <c r="I1188" s="14" t="str">
        <f t="shared" si="1512"/>
        <v>Egypt</v>
      </c>
      <c r="J1188" s="14" t="str">
        <f t="array" ref="J1188">IFERROR(INDEX([1]Companies!$Y:$Y,MATCH(B1188,[1]Companies!$A:$A,0)),"")</f>
        <v>Credit, Financial Services, Software</v>
      </c>
      <c r="K1188" s="14" t="str">
        <f t="array" ref="K1188">IFERROR(INDEX([1]Companies!$X:$X,MATCH(B1188,[1]Companies!$A:$A,0)),"")</f>
        <v>Financial Services</v>
      </c>
      <c r="L1188" s="14" t="str">
        <f>VLOOKUP(B1188,[1]Companies!$A$1:$C$5243,1,FALSE)</f>
        <v>Moneyfellows</v>
      </c>
      <c r="M1188" s="15">
        <f>COUNTA(B1188:K1188)/(COUNTBLANK(B1188:K1188) + COUNTA(B1188:K1188))</f>
        <v>0.9</v>
      </c>
      <c r="N1188" s="10" t="str">
        <f>CONCATENATE(A1188,B1188,C1188)</f>
        <v>43681MoneyFellows1000000</v>
      </c>
      <c r="O1188" s="14"/>
      <c r="P1188" s="14"/>
      <c r="Q1188" s="14"/>
      <c r="R1188" s="14"/>
      <c r="S1188" s="14"/>
      <c r="T1188" s="14"/>
      <c r="U1188" s="14"/>
      <c r="V1188" s="14">
        <f t="shared" si="1230"/>
        <v>2019</v>
      </c>
      <c r="W1188" s="14">
        <f t="shared" si="1231"/>
        <v>8</v>
      </c>
      <c r="X1188" s="14">
        <f>VLOOKUP(W1188,[1]Lookups!$P$3:$S$15,2,FALSE)</f>
        <v>3</v>
      </c>
      <c r="Y1188" s="16">
        <f>VLOOKUP(W1188,[1]Lookups!$P$3:$U$15,3,FALSE)</f>
        <v>2</v>
      </c>
      <c r="Z1188" s="16">
        <f t="shared" si="1232"/>
        <v>2</v>
      </c>
      <c r="AA1188" s="16" t="str">
        <f t="shared" ca="1" si="1522"/>
        <v>Business Valley</v>
      </c>
      <c r="AB1188" s="16" t="str">
        <f t="shared" ca="1" si="1522"/>
        <v xml:space="preserve"> Dubai Angel Investors</v>
      </c>
      <c r="AC1188" s="16">
        <f t="shared" si="1522"/>
        <v>0</v>
      </c>
      <c r="AD1188" s="16">
        <f t="shared" si="1522"/>
        <v>0</v>
      </c>
      <c r="AE1188" s="16">
        <f t="shared" si="1522"/>
        <v>0</v>
      </c>
      <c r="AF1188" s="16">
        <f t="shared" si="1522"/>
        <v>0</v>
      </c>
      <c r="AG1188" s="16">
        <f t="shared" si="1522"/>
        <v>0</v>
      </c>
      <c r="AH1188" s="16">
        <f t="shared" si="1522"/>
        <v>0</v>
      </c>
      <c r="AI1188" s="16">
        <f t="shared" si="1522"/>
        <v>0</v>
      </c>
      <c r="AJ1188" s="16">
        <f t="shared" si="1522"/>
        <v>0</v>
      </c>
      <c r="AK1188" s="16">
        <f t="shared" si="1522"/>
        <v>0</v>
      </c>
      <c r="AL1188" s="16">
        <f t="shared" si="1522"/>
        <v>0</v>
      </c>
      <c r="AM1188" s="16">
        <f t="shared" si="1522"/>
        <v>0</v>
      </c>
      <c r="AN1188" s="16">
        <f t="shared" si="1522"/>
        <v>0</v>
      </c>
      <c r="AO1188" s="16">
        <f t="shared" si="1522"/>
        <v>0</v>
      </c>
      <c r="AP1188" s="10"/>
      <c r="AQ1188" s="10"/>
      <c r="AR1188" s="10"/>
      <c r="AS1188" s="10" t="str">
        <f t="shared" ref="AS1188" ca="1" si="1532">IFERROR(__xludf.DUMMYFUNCTION("split(F1163,"","",true,true)"),"Business Valley")</f>
        <v>Business Valley</v>
      </c>
      <c r="AT1188" s="10" t="str">
        <f ca="1">IFERROR(__xludf.DUMMYFUNCTION("""COMPUTED_VALUE""")," Dubai Angel Investors")</f>
        <v xml:space="preserve"> Dubai Angel Investors</v>
      </c>
      <c r="AU1188" s="10"/>
      <c r="AV1188" s="10"/>
      <c r="AW1188" s="10"/>
      <c r="AX1188" s="10"/>
      <c r="AY1188" s="10"/>
      <c r="AZ1188" s="10"/>
      <c r="BA1188" s="10"/>
      <c r="BB1188" s="10"/>
      <c r="BC1188" s="10"/>
      <c r="BD1188" s="10"/>
      <c r="BE1188" s="10"/>
      <c r="BF1188" s="10"/>
      <c r="BG1188" s="10"/>
      <c r="BH1188" s="10"/>
      <c r="BI1188" s="10"/>
      <c r="BJ1188" s="10"/>
      <c r="BK1188" s="10"/>
      <c r="BM1188" s="10"/>
    </row>
    <row r="1189" spans="1:65" ht="12.75">
      <c r="A1189" s="9">
        <v>43683</v>
      </c>
      <c r="B1189" s="10" t="s">
        <v>2490</v>
      </c>
      <c r="C1189" s="11">
        <v>25000</v>
      </c>
      <c r="D1189" s="38">
        <v>0.1</v>
      </c>
      <c r="E1189" s="10" t="s">
        <v>45</v>
      </c>
      <c r="F1189" s="10" t="s">
        <v>2491</v>
      </c>
      <c r="G1189" s="13" t="s">
        <v>2492</v>
      </c>
      <c r="H1189" s="14" t="str">
        <f t="array" ref="H1189">IFERROR(INDEX([1]Companies!$G:$G,MATCH(B1189,[1]Companies!$A:$A,0)),"")</f>
        <v>Kenya</v>
      </c>
      <c r="I1189" s="14" t="str">
        <f t="shared" si="1512"/>
        <v>Kenya</v>
      </c>
      <c r="J1189" s="14" t="str">
        <f t="array" ref="J1189">IFERROR(INDEX([1]Companies!$Y:$Y,MATCH(B1189,[1]Companies!$A:$A,0)),"")</f>
        <v>Fintech, Insurtech</v>
      </c>
      <c r="K1189" s="14" t="str">
        <f t="array" ref="K1189">IFERROR(INDEX([1]Companies!$X:$X,MATCH(B1189,[1]Companies!$A:$A,0)),"")</f>
        <v>Financial Services</v>
      </c>
      <c r="L1189" s="14" t="str">
        <f>VLOOKUP(B1189,[1]Companies!$A$1:$C$5243,1,FALSE)</f>
        <v>Kakbima</v>
      </c>
      <c r="M1189" s="15"/>
      <c r="N1189" s="10"/>
      <c r="O1189" s="14"/>
      <c r="P1189" s="14"/>
      <c r="Q1189" s="14"/>
      <c r="R1189" s="14"/>
      <c r="S1189" s="14"/>
      <c r="T1189" s="14"/>
      <c r="U1189" s="14"/>
      <c r="V1189" s="14">
        <f t="shared" si="1230"/>
        <v>2019</v>
      </c>
      <c r="W1189" s="14">
        <f t="shared" si="1231"/>
        <v>8</v>
      </c>
      <c r="X1189" s="14">
        <f>VLOOKUP(W1189,[1]Lookups!$P$3:$S$15,2,FALSE)</f>
        <v>3</v>
      </c>
      <c r="Y1189" s="16">
        <f>VLOOKUP(W1189,[1]Lookups!$P$3:$U$15,3,FALSE)</f>
        <v>2</v>
      </c>
      <c r="Z1189" s="16">
        <f t="shared" si="1232"/>
        <v>1</v>
      </c>
      <c r="AA1189" s="16" t="str">
        <f t="shared" ca="1" si="1522"/>
        <v>Business Valley</v>
      </c>
      <c r="AB1189" s="16">
        <f t="shared" si="1522"/>
        <v>0</v>
      </c>
      <c r="AC1189" s="16">
        <f t="shared" si="1522"/>
        <v>0</v>
      </c>
      <c r="AD1189" s="16">
        <f t="shared" si="1522"/>
        <v>0</v>
      </c>
      <c r="AE1189" s="16">
        <f t="shared" si="1522"/>
        <v>0</v>
      </c>
      <c r="AF1189" s="16">
        <f t="shared" si="1522"/>
        <v>0</v>
      </c>
      <c r="AG1189" s="16">
        <f t="shared" si="1522"/>
        <v>0</v>
      </c>
      <c r="AH1189" s="16">
        <f t="shared" si="1522"/>
        <v>0</v>
      </c>
      <c r="AI1189" s="16">
        <f t="shared" si="1522"/>
        <v>0</v>
      </c>
      <c r="AJ1189" s="16">
        <f t="shared" si="1522"/>
        <v>0</v>
      </c>
      <c r="AK1189" s="16">
        <f t="shared" si="1522"/>
        <v>0</v>
      </c>
      <c r="AL1189" s="16">
        <f t="shared" si="1522"/>
        <v>0</v>
      </c>
      <c r="AM1189" s="16">
        <f t="shared" si="1522"/>
        <v>0</v>
      </c>
      <c r="AN1189" s="16">
        <f t="shared" si="1522"/>
        <v>0</v>
      </c>
      <c r="AO1189" s="16">
        <f t="shared" si="1522"/>
        <v>0</v>
      </c>
      <c r="AP1189" s="10"/>
      <c r="AQ1189" s="10"/>
      <c r="AR1189" s="10"/>
      <c r="AS1189" s="10" t="str">
        <f t="shared" ref="AS1189" ca="1" si="1533">IFERROR(__xludf.DUMMYFUNCTION("split(F1163,"","",true,true)"),"Business Valley")</f>
        <v>Business Valley</v>
      </c>
      <c r="AT1189" s="10"/>
      <c r="AU1189" s="10"/>
      <c r="AV1189" s="10"/>
      <c r="AW1189" s="10"/>
      <c r="AX1189" s="10"/>
      <c r="AY1189" s="10"/>
      <c r="AZ1189" s="10"/>
      <c r="BA1189" s="10"/>
      <c r="BB1189" s="10"/>
      <c r="BC1189" s="10"/>
      <c r="BD1189" s="10"/>
      <c r="BE1189" s="10"/>
      <c r="BF1189" s="10"/>
      <c r="BG1189" s="10"/>
      <c r="BH1189" s="10"/>
      <c r="BI1189" s="10"/>
      <c r="BJ1189" s="10"/>
      <c r="BK1189" s="10"/>
      <c r="BM1189" s="10"/>
    </row>
    <row r="1190" spans="1:65" ht="12.75">
      <c r="A1190" s="9">
        <v>43683</v>
      </c>
      <c r="B1190" s="10" t="s">
        <v>2493</v>
      </c>
      <c r="C1190" s="11">
        <v>25000</v>
      </c>
      <c r="D1190" s="38">
        <v>0.1</v>
      </c>
      <c r="E1190" s="10" t="s">
        <v>45</v>
      </c>
      <c r="F1190" s="10" t="s">
        <v>2491</v>
      </c>
      <c r="G1190" s="13" t="s">
        <v>2492</v>
      </c>
      <c r="H1190" s="14" t="str">
        <f t="array" ref="H1190">IFERROR(INDEX([1]Companies!$G:$G,MATCH(B1190,[1]Companies!$A:$A,0)),"")</f>
        <v>Ethiopia</v>
      </c>
      <c r="I1190" s="14" t="str">
        <f t="shared" si="1512"/>
        <v>Ethiopia</v>
      </c>
      <c r="J1190" s="14" t="str">
        <f t="array" ref="J1190">IFERROR(INDEX([1]Companies!$Y:$Y,MATCH(B1190,[1]Companies!$A:$A,0)),"")</f>
        <v>EdTech</v>
      </c>
      <c r="K1190" s="14" t="str">
        <f t="array" ref="K1190">IFERROR(INDEX([1]Companies!$X:$X,MATCH(B1190,[1]Companies!$A:$A,0)),"")</f>
        <v>Education</v>
      </c>
      <c r="L1190" s="14" t="str">
        <f>VLOOKUP(B1190,[1]Companies!$A$1:$C$5243,1,FALSE)</f>
        <v>BeBlocky</v>
      </c>
      <c r="M1190" s="15"/>
      <c r="N1190" s="10"/>
      <c r="O1190" s="14"/>
      <c r="P1190" s="14"/>
      <c r="Q1190" s="14"/>
      <c r="R1190" s="14"/>
      <c r="S1190" s="14"/>
      <c r="T1190" s="14"/>
      <c r="U1190" s="14"/>
      <c r="V1190" s="14">
        <f t="shared" si="1230"/>
        <v>2019</v>
      </c>
      <c r="W1190" s="14">
        <f t="shared" si="1231"/>
        <v>8</v>
      </c>
      <c r="X1190" s="14">
        <f>VLOOKUP(W1190,[1]Lookups!$P$3:$S$15,2,FALSE)</f>
        <v>3</v>
      </c>
      <c r="Y1190" s="16">
        <f>VLOOKUP(W1190,[1]Lookups!$P$3:$U$15,3,FALSE)</f>
        <v>2</v>
      </c>
      <c r="Z1190" s="16">
        <f t="shared" si="1232"/>
        <v>1</v>
      </c>
      <c r="AA1190" s="16" t="str">
        <f t="shared" ca="1" si="1522"/>
        <v>Business Valley</v>
      </c>
      <c r="AB1190" s="16">
        <f t="shared" si="1522"/>
        <v>0</v>
      </c>
      <c r="AC1190" s="16">
        <f t="shared" si="1522"/>
        <v>0</v>
      </c>
      <c r="AD1190" s="16">
        <f t="shared" si="1522"/>
        <v>0</v>
      </c>
      <c r="AE1190" s="16">
        <f t="shared" si="1522"/>
        <v>0</v>
      </c>
      <c r="AF1190" s="16">
        <f t="shared" si="1522"/>
        <v>0</v>
      </c>
      <c r="AG1190" s="16">
        <f t="shared" si="1522"/>
        <v>0</v>
      </c>
      <c r="AH1190" s="16">
        <f t="shared" si="1522"/>
        <v>0</v>
      </c>
      <c r="AI1190" s="16">
        <f t="shared" si="1522"/>
        <v>0</v>
      </c>
      <c r="AJ1190" s="16">
        <f t="shared" si="1522"/>
        <v>0</v>
      </c>
      <c r="AK1190" s="16">
        <f t="shared" si="1522"/>
        <v>0</v>
      </c>
      <c r="AL1190" s="16">
        <f t="shared" si="1522"/>
        <v>0</v>
      </c>
      <c r="AM1190" s="16">
        <f t="shared" si="1522"/>
        <v>0</v>
      </c>
      <c r="AN1190" s="16">
        <f t="shared" si="1522"/>
        <v>0</v>
      </c>
      <c r="AO1190" s="16">
        <f t="shared" si="1522"/>
        <v>0</v>
      </c>
      <c r="AP1190" s="10"/>
      <c r="AQ1190" s="10"/>
      <c r="AR1190" s="10"/>
      <c r="AS1190" s="10" t="str">
        <f t="shared" ref="AS1190" ca="1" si="1534">IFERROR(__xludf.DUMMYFUNCTION("split(F1163,"","",true,true)"),"Business Valley")</f>
        <v>Business Valley</v>
      </c>
      <c r="AT1190" s="10"/>
      <c r="AU1190" s="10"/>
      <c r="AV1190" s="10"/>
      <c r="AW1190" s="10"/>
      <c r="AX1190" s="10"/>
      <c r="AY1190" s="10"/>
      <c r="AZ1190" s="10"/>
      <c r="BA1190" s="10"/>
      <c r="BB1190" s="10"/>
      <c r="BC1190" s="10"/>
      <c r="BD1190" s="10"/>
      <c r="BE1190" s="10"/>
      <c r="BF1190" s="10"/>
      <c r="BG1190" s="10"/>
      <c r="BH1190" s="10"/>
      <c r="BI1190" s="10"/>
      <c r="BJ1190" s="10"/>
      <c r="BK1190" s="10"/>
      <c r="BM1190" s="10"/>
    </row>
    <row r="1191" spans="1:65" ht="12.75">
      <c r="A1191" s="9">
        <v>43683</v>
      </c>
      <c r="B1191" s="10" t="s">
        <v>2494</v>
      </c>
      <c r="C1191" s="11">
        <v>25000</v>
      </c>
      <c r="D1191" s="38">
        <v>0.1</v>
      </c>
      <c r="E1191" s="10" t="s">
        <v>45</v>
      </c>
      <c r="F1191" s="10" t="s">
        <v>2491</v>
      </c>
      <c r="G1191" s="13" t="s">
        <v>2492</v>
      </c>
      <c r="H1191" s="14" t="str">
        <f t="array" ref="H1191">IFERROR(INDEX([1]Companies!$G:$G,MATCH(B1191,[1]Companies!$A:$A,0)),"")</f>
        <v>Zimbabwe</v>
      </c>
      <c r="I1191" s="14" t="str">
        <f t="shared" si="1512"/>
        <v>Zimbabwe</v>
      </c>
      <c r="J1191" s="14" t="str">
        <f t="array" ref="J1191">IFERROR(INDEX([1]Companies!$Y:$Y,MATCH(B1191,[1]Companies!$A:$A,0)),"")</f>
        <v>Health, Wellness and Fitness, Diagnostics</v>
      </c>
      <c r="K1191" s="14" t="str">
        <f t="array" ref="K1191">IFERROR(INDEX([1]Companies!$X:$X,MATCH(B1191,[1]Companies!$A:$A,0)),"")</f>
        <v>Healthcare &amp; Pharma</v>
      </c>
      <c r="L1191" s="14" t="str">
        <f>VLOOKUP(B1191,[1]Companies!$A$1:$C$5243,1,FALSE)</f>
        <v>Dr Cadx</v>
      </c>
      <c r="M1191" s="15"/>
      <c r="N1191" s="10"/>
      <c r="O1191" s="14"/>
      <c r="P1191" s="14"/>
      <c r="Q1191" s="14"/>
      <c r="R1191" s="14"/>
      <c r="S1191" s="14"/>
      <c r="T1191" s="14"/>
      <c r="U1191" s="14"/>
      <c r="V1191" s="14">
        <f t="shared" si="1230"/>
        <v>2019</v>
      </c>
      <c r="W1191" s="14">
        <f t="shared" si="1231"/>
        <v>8</v>
      </c>
      <c r="X1191" s="14">
        <f>VLOOKUP(W1191,[1]Lookups!$P$3:$S$15,2,FALSE)</f>
        <v>3</v>
      </c>
      <c r="Y1191" s="16">
        <f>VLOOKUP(W1191,[1]Lookups!$P$3:$U$15,3,FALSE)</f>
        <v>2</v>
      </c>
      <c r="Z1191" s="16">
        <f t="shared" si="1232"/>
        <v>1</v>
      </c>
      <c r="AA1191" s="16" t="str">
        <f t="shared" ca="1" si="1522"/>
        <v>Business Valley</v>
      </c>
      <c r="AB1191" s="16">
        <f t="shared" si="1522"/>
        <v>0</v>
      </c>
      <c r="AC1191" s="16">
        <f t="shared" si="1522"/>
        <v>0</v>
      </c>
      <c r="AD1191" s="16">
        <f t="shared" si="1522"/>
        <v>0</v>
      </c>
      <c r="AE1191" s="16">
        <f t="shared" si="1522"/>
        <v>0</v>
      </c>
      <c r="AF1191" s="16">
        <f t="shared" si="1522"/>
        <v>0</v>
      </c>
      <c r="AG1191" s="16">
        <f t="shared" si="1522"/>
        <v>0</v>
      </c>
      <c r="AH1191" s="16">
        <f t="shared" si="1522"/>
        <v>0</v>
      </c>
      <c r="AI1191" s="16">
        <f t="shared" si="1522"/>
        <v>0</v>
      </c>
      <c r="AJ1191" s="16">
        <f t="shared" si="1522"/>
        <v>0</v>
      </c>
      <c r="AK1191" s="16">
        <f t="shared" si="1522"/>
        <v>0</v>
      </c>
      <c r="AL1191" s="16">
        <f t="shared" si="1522"/>
        <v>0</v>
      </c>
      <c r="AM1191" s="16">
        <f t="shared" si="1522"/>
        <v>0</v>
      </c>
      <c r="AN1191" s="16">
        <f t="shared" si="1522"/>
        <v>0</v>
      </c>
      <c r="AO1191" s="16">
        <f t="shared" si="1522"/>
        <v>0</v>
      </c>
      <c r="AP1191" s="10"/>
      <c r="AQ1191" s="10"/>
      <c r="AR1191" s="10"/>
      <c r="AS1191" s="10" t="str">
        <f t="shared" ref="AS1191" ca="1" si="1535">IFERROR(__xludf.DUMMYFUNCTION("split(F1163,"","",true,true)"),"Business Valley")</f>
        <v>Business Valley</v>
      </c>
      <c r="AT1191" s="10"/>
      <c r="AU1191" s="10"/>
      <c r="AV1191" s="10"/>
      <c r="AW1191" s="10"/>
      <c r="AX1191" s="10"/>
      <c r="AY1191" s="10"/>
      <c r="AZ1191" s="10"/>
      <c r="BA1191" s="10"/>
      <c r="BB1191" s="10"/>
      <c r="BC1191" s="10"/>
      <c r="BD1191" s="10"/>
      <c r="BE1191" s="10"/>
      <c r="BF1191" s="10"/>
      <c r="BG1191" s="10"/>
      <c r="BH1191" s="10"/>
      <c r="BI1191" s="10"/>
      <c r="BJ1191" s="10"/>
      <c r="BK1191" s="10"/>
      <c r="BM1191" s="10"/>
    </row>
    <row r="1192" spans="1:65" ht="12.75">
      <c r="A1192" s="9">
        <v>43683</v>
      </c>
      <c r="B1192" s="10" t="s">
        <v>2495</v>
      </c>
      <c r="C1192" s="11">
        <v>25000</v>
      </c>
      <c r="D1192" s="38">
        <v>0.1</v>
      </c>
      <c r="E1192" s="10" t="s">
        <v>45</v>
      </c>
      <c r="F1192" s="10" t="s">
        <v>2491</v>
      </c>
      <c r="G1192" s="13" t="s">
        <v>2492</v>
      </c>
      <c r="H1192" s="14" t="str">
        <f t="array" ref="H1192">IFERROR(INDEX([1]Companies!$G:$G,MATCH(B1192,[1]Companies!$A:$A,0)),"")</f>
        <v>Nigeria</v>
      </c>
      <c r="I1192" s="14" t="str">
        <f t="shared" si="1512"/>
        <v>Nigeria</v>
      </c>
      <c r="J1192" s="14" t="str">
        <f t="array" ref="J1192">IFERROR(INDEX([1]Companies!$Y:$Y,MATCH(B1192,[1]Companies!$A:$A,0)),"")</f>
        <v>Payments, FinTech</v>
      </c>
      <c r="K1192" s="14" t="str">
        <f t="array" ref="K1192">IFERROR(INDEX([1]Companies!$X:$X,MATCH(B1192,[1]Companies!$A:$A,0)),"")</f>
        <v>Financial Services</v>
      </c>
      <c r="L1192" s="14" t="str">
        <f>VLOOKUP(B1192,[1]Companies!$A$1:$C$5243,1,FALSE)</f>
        <v>GladePay</v>
      </c>
      <c r="M1192" s="15"/>
      <c r="N1192" s="10"/>
      <c r="O1192" s="14"/>
      <c r="P1192" s="14"/>
      <c r="Q1192" s="14"/>
      <c r="R1192" s="14"/>
      <c r="S1192" s="14"/>
      <c r="T1192" s="14"/>
      <c r="U1192" s="14"/>
      <c r="V1192" s="14">
        <f t="shared" si="1230"/>
        <v>2019</v>
      </c>
      <c r="W1192" s="14">
        <f t="shared" si="1231"/>
        <v>8</v>
      </c>
      <c r="X1192" s="14">
        <f>VLOOKUP(W1192,[1]Lookups!$P$3:$S$15,2,FALSE)</f>
        <v>3</v>
      </c>
      <c r="Y1192" s="16">
        <f>VLOOKUP(W1192,[1]Lookups!$P$3:$U$15,3,FALSE)</f>
        <v>2</v>
      </c>
      <c r="Z1192" s="16">
        <f t="shared" si="1232"/>
        <v>1</v>
      </c>
      <c r="AA1192" s="16" t="str">
        <f t="shared" ca="1" si="1522"/>
        <v>Business Valley</v>
      </c>
      <c r="AB1192" s="16">
        <f t="shared" si="1522"/>
        <v>0</v>
      </c>
      <c r="AC1192" s="16">
        <f t="shared" si="1522"/>
        <v>0</v>
      </c>
      <c r="AD1192" s="16">
        <f t="shared" si="1522"/>
        <v>0</v>
      </c>
      <c r="AE1192" s="16">
        <f t="shared" si="1522"/>
        <v>0</v>
      </c>
      <c r="AF1192" s="16">
        <f t="shared" si="1522"/>
        <v>0</v>
      </c>
      <c r="AG1192" s="16">
        <f t="shared" si="1522"/>
        <v>0</v>
      </c>
      <c r="AH1192" s="16">
        <f t="shared" si="1522"/>
        <v>0</v>
      </c>
      <c r="AI1192" s="16">
        <f t="shared" si="1522"/>
        <v>0</v>
      </c>
      <c r="AJ1192" s="16">
        <f t="shared" si="1522"/>
        <v>0</v>
      </c>
      <c r="AK1192" s="16">
        <f t="shared" si="1522"/>
        <v>0</v>
      </c>
      <c r="AL1192" s="16">
        <f t="shared" si="1522"/>
        <v>0</v>
      </c>
      <c r="AM1192" s="16">
        <f t="shared" si="1522"/>
        <v>0</v>
      </c>
      <c r="AN1192" s="16">
        <f t="shared" si="1522"/>
        <v>0</v>
      </c>
      <c r="AO1192" s="16">
        <f t="shared" si="1522"/>
        <v>0</v>
      </c>
      <c r="AP1192" s="10"/>
      <c r="AQ1192" s="10"/>
      <c r="AR1192" s="10"/>
      <c r="AS1192" s="10" t="str">
        <f t="shared" ref="AS1192" ca="1" si="1536">IFERROR(__xludf.DUMMYFUNCTION("split(F1163,"","",true,true)"),"Business Valley")</f>
        <v>Business Valley</v>
      </c>
      <c r="AT1192" s="10"/>
      <c r="AU1192" s="10"/>
      <c r="AV1192" s="10"/>
      <c r="AW1192" s="10"/>
      <c r="AX1192" s="10"/>
      <c r="AY1192" s="10"/>
      <c r="AZ1192" s="10"/>
      <c r="BA1192" s="10"/>
      <c r="BB1192" s="10"/>
      <c r="BC1192" s="10"/>
      <c r="BD1192" s="10"/>
      <c r="BE1192" s="10"/>
      <c r="BF1192" s="10"/>
      <c r="BG1192" s="10"/>
      <c r="BH1192" s="10"/>
      <c r="BI1192" s="10"/>
      <c r="BJ1192" s="10"/>
      <c r="BK1192" s="10"/>
      <c r="BM1192" s="10"/>
    </row>
    <row r="1193" spans="1:65" ht="12.75">
      <c r="A1193" s="9">
        <v>43683</v>
      </c>
      <c r="B1193" s="10" t="s">
        <v>2496</v>
      </c>
      <c r="C1193" s="11">
        <v>25000</v>
      </c>
      <c r="D1193" s="38">
        <v>0.1</v>
      </c>
      <c r="E1193" s="10" t="s">
        <v>45</v>
      </c>
      <c r="F1193" s="10" t="s">
        <v>2491</v>
      </c>
      <c r="G1193" s="13" t="s">
        <v>2492</v>
      </c>
      <c r="H1193" s="14" t="str">
        <f t="array" ref="H1193">IFERROR(INDEX([1]Companies!$G:$G,MATCH(B1193,[1]Companies!$A:$A,0)),"")</f>
        <v>Ghana</v>
      </c>
      <c r="I1193" s="14" t="str">
        <f t="shared" si="1512"/>
        <v>Ghana</v>
      </c>
      <c r="J1193" s="14" t="str">
        <f t="array" ref="J1193">IFERROR(INDEX([1]Companies!$Y:$Y,MATCH(B1193,[1]Companies!$A:$A,0)),"")</f>
        <v>Savings, FinTech</v>
      </c>
      <c r="K1193" s="14" t="str">
        <f t="array" ref="K1193">IFERROR(INDEX([1]Companies!$X:$X,MATCH(B1193,[1]Companies!$A:$A,0)),"")</f>
        <v>Financial Services</v>
      </c>
      <c r="L1193" s="14" t="str">
        <f>VLOOKUP(B1193,[1]Companies!$A$1:$C$5243,1,FALSE)</f>
        <v>Pennysmart</v>
      </c>
      <c r="M1193" s="15"/>
      <c r="N1193" s="10"/>
      <c r="O1193" s="14"/>
      <c r="P1193" s="14"/>
      <c r="Q1193" s="14"/>
      <c r="R1193" s="14"/>
      <c r="S1193" s="14"/>
      <c r="T1193" s="14"/>
      <c r="U1193" s="14"/>
      <c r="V1193" s="14">
        <f t="shared" si="1230"/>
        <v>2019</v>
      </c>
      <c r="W1193" s="14">
        <f t="shared" si="1231"/>
        <v>8</v>
      </c>
      <c r="X1193" s="14">
        <f>VLOOKUP(W1193,[1]Lookups!$P$3:$S$15,2,FALSE)</f>
        <v>3</v>
      </c>
      <c r="Y1193" s="16">
        <f>VLOOKUP(W1193,[1]Lookups!$P$3:$U$15,3,FALSE)</f>
        <v>2</v>
      </c>
      <c r="Z1193" s="16">
        <f t="shared" si="1232"/>
        <v>1</v>
      </c>
      <c r="AA1193" s="16" t="str">
        <f t="shared" ca="1" si="1522"/>
        <v>Business Valley</v>
      </c>
      <c r="AB1193" s="16">
        <f t="shared" si="1522"/>
        <v>0</v>
      </c>
      <c r="AC1193" s="16">
        <f t="shared" si="1522"/>
        <v>0</v>
      </c>
      <c r="AD1193" s="16">
        <f t="shared" si="1522"/>
        <v>0</v>
      </c>
      <c r="AE1193" s="16">
        <f t="shared" si="1522"/>
        <v>0</v>
      </c>
      <c r="AF1193" s="16">
        <f t="shared" si="1522"/>
        <v>0</v>
      </c>
      <c r="AG1193" s="16">
        <f t="shared" si="1522"/>
        <v>0</v>
      </c>
      <c r="AH1193" s="16">
        <f t="shared" si="1522"/>
        <v>0</v>
      </c>
      <c r="AI1193" s="16">
        <f t="shared" si="1522"/>
        <v>0</v>
      </c>
      <c r="AJ1193" s="16">
        <f t="shared" si="1522"/>
        <v>0</v>
      </c>
      <c r="AK1193" s="16">
        <f t="shared" si="1522"/>
        <v>0</v>
      </c>
      <c r="AL1193" s="16">
        <f t="shared" si="1522"/>
        <v>0</v>
      </c>
      <c r="AM1193" s="16">
        <f t="shared" si="1522"/>
        <v>0</v>
      </c>
      <c r="AN1193" s="16">
        <f t="shared" si="1522"/>
        <v>0</v>
      </c>
      <c r="AO1193" s="16">
        <f t="shared" si="1522"/>
        <v>0</v>
      </c>
      <c r="AP1193" s="10"/>
      <c r="AQ1193" s="10"/>
      <c r="AR1193" s="10"/>
      <c r="AS1193" s="10" t="str">
        <f t="shared" ref="AS1193" ca="1" si="1537">IFERROR(__xludf.DUMMYFUNCTION("split(F1163,"","",true,true)"),"Business Valley")</f>
        <v>Business Valley</v>
      </c>
      <c r="AT1193" s="10"/>
      <c r="AU1193" s="10"/>
      <c r="AV1193" s="10"/>
      <c r="AW1193" s="10"/>
      <c r="AX1193" s="10"/>
      <c r="AY1193" s="10"/>
      <c r="AZ1193" s="10"/>
      <c r="BA1193" s="10"/>
      <c r="BB1193" s="10"/>
      <c r="BC1193" s="10"/>
      <c r="BD1193" s="10"/>
      <c r="BE1193" s="10"/>
      <c r="BF1193" s="10"/>
      <c r="BG1193" s="10"/>
      <c r="BH1193" s="10"/>
      <c r="BI1193" s="10"/>
      <c r="BJ1193" s="10"/>
      <c r="BK1193" s="10"/>
      <c r="BM1193" s="10"/>
    </row>
    <row r="1194" spans="1:65" ht="12.75">
      <c r="A1194" s="9">
        <v>43684</v>
      </c>
      <c r="B1194" s="10" t="s">
        <v>2497</v>
      </c>
      <c r="C1194" s="11">
        <v>735000</v>
      </c>
      <c r="D1194" s="12"/>
      <c r="E1194" s="10" t="s">
        <v>45</v>
      </c>
      <c r="F1194" s="10" t="s">
        <v>2498</v>
      </c>
      <c r="G1194" s="13" t="s">
        <v>2499</v>
      </c>
      <c r="H1194" s="14" t="str">
        <f t="array" ref="H1194">IFERROR(INDEX([1]Companies!$G:$G,MATCH(B1194,[1]Companies!$A:$A,0)),"")</f>
        <v>Kenya</v>
      </c>
      <c r="I1194" s="14" t="str">
        <f t="shared" si="1512"/>
        <v>Kenya</v>
      </c>
      <c r="J1194" s="14" t="str">
        <f t="array" ref="J1194">IFERROR(INDEX([1]Companies!$Y:$Y,MATCH(B1194,[1]Companies!$A:$A,0)),"")</f>
        <v>Diagnostics</v>
      </c>
      <c r="K1194" s="14" t="str">
        <f t="array" ref="K1194">IFERROR(INDEX([1]Companies!$X:$X,MATCH(B1194,[1]Companies!$A:$A,0)),"")</f>
        <v>Healthcare &amp; Pharma</v>
      </c>
      <c r="L1194" s="14" t="str">
        <f>VLOOKUP(B1194,[1]Companies!$A$1:$C$5243,1,FALSE)</f>
        <v>IlaraHealth</v>
      </c>
      <c r="M1194" s="15"/>
      <c r="N1194" s="10"/>
      <c r="O1194" s="14"/>
      <c r="P1194" s="14"/>
      <c r="Q1194" s="14"/>
      <c r="R1194" s="14"/>
      <c r="S1194" s="14"/>
      <c r="T1194" s="14"/>
      <c r="U1194" s="14"/>
      <c r="V1194" s="14">
        <f t="shared" ref="V1194:V1255" si="1538">YEAR(A1194)</f>
        <v>2019</v>
      </c>
      <c r="W1194" s="14">
        <f t="shared" ref="W1194:W1255" si="1539">MONTH(A1194)</f>
        <v>8</v>
      </c>
      <c r="X1194" s="14">
        <f>VLOOKUP(W1194,[1]Lookups!$P$3:$S$15,2,FALSE)</f>
        <v>3</v>
      </c>
      <c r="Y1194" s="16">
        <f>VLOOKUP(W1194,[1]Lookups!$P$3:$U$15,3,FALSE)</f>
        <v>2</v>
      </c>
      <c r="Z1194" s="16">
        <f t="shared" ref="Z1194:Z1255" si="1540">LEN(F1194)-LEN(SUBSTITUTE(F1194,",",""))+1</f>
        <v>8</v>
      </c>
      <c r="AA1194" s="16" t="str">
        <f t="shared" ca="1" si="1522"/>
        <v>Business Valley</v>
      </c>
      <c r="AB1194" s="16" t="str">
        <f t="shared" ca="1" si="1522"/>
        <v xml:space="preserve"> Villgro Kenya</v>
      </c>
      <c r="AC1194" s="16" t="str">
        <f t="shared" ca="1" si="1522"/>
        <v xml:space="preserve"> ShakaVC</v>
      </c>
      <c r="AD1194" s="16" t="str">
        <f t="shared" ca="1" si="1522"/>
        <v xml:space="preserve"> Esther Dyson</v>
      </c>
      <c r="AE1194" s="16" t="str">
        <f t="shared" ca="1" si="1522"/>
        <v xml:space="preserve"> Nijhad Jamal</v>
      </c>
      <c r="AF1194" s="16" t="str">
        <f t="shared" ca="1" si="1522"/>
        <v xml:space="preserve"> Aadil Mamujee</v>
      </c>
      <c r="AG1194" s="16" t="str">
        <f t="shared" ca="1" si="1522"/>
        <v xml:space="preserve"> Selma Ribica </v>
      </c>
      <c r="AH1194" s="16" t="str">
        <f t="shared" ca="1" si="1522"/>
        <v xml:space="preserve"> Shakir Merali</v>
      </c>
      <c r="AI1194" s="16">
        <f t="shared" si="1522"/>
        <v>0</v>
      </c>
      <c r="AJ1194" s="16">
        <f t="shared" si="1522"/>
        <v>0</v>
      </c>
      <c r="AK1194" s="16">
        <f t="shared" si="1522"/>
        <v>0</v>
      </c>
      <c r="AL1194" s="16">
        <f t="shared" si="1522"/>
        <v>0</v>
      </c>
      <c r="AM1194" s="16">
        <f t="shared" si="1522"/>
        <v>0</v>
      </c>
      <c r="AN1194" s="16">
        <f t="shared" si="1522"/>
        <v>0</v>
      </c>
      <c r="AO1194" s="16">
        <f t="shared" si="1522"/>
        <v>0</v>
      </c>
      <c r="AP1194" s="10"/>
      <c r="AQ1194" s="10"/>
      <c r="AR1194" s="10"/>
      <c r="AS1194" s="10" t="str">
        <f t="shared" ref="AS1194" ca="1" si="1541">IFERROR(__xludf.DUMMYFUNCTION("split(F1163,"","",true,true)"),"Business Valley")</f>
        <v>Business Valley</v>
      </c>
      <c r="AT1194" s="10" t="str">
        <f ca="1">IFERROR(__xludf.DUMMYFUNCTION("""COMPUTED_VALUE""")," Villgro Kenya")</f>
        <v xml:space="preserve"> Villgro Kenya</v>
      </c>
      <c r="AU1194" s="10" t="str">
        <f ca="1">IFERROR(__xludf.DUMMYFUNCTION("""COMPUTED_VALUE""")," ShakaVC")</f>
        <v xml:space="preserve"> ShakaVC</v>
      </c>
      <c r="AV1194" s="10" t="str">
        <f ca="1">IFERROR(__xludf.DUMMYFUNCTION("""COMPUTED_VALUE""")," Esther Dyson")</f>
        <v xml:space="preserve"> Esther Dyson</v>
      </c>
      <c r="AW1194" s="10" t="str">
        <f ca="1">IFERROR(__xludf.DUMMYFUNCTION("""COMPUTED_VALUE""")," Nijhad Jamal")</f>
        <v xml:space="preserve"> Nijhad Jamal</v>
      </c>
      <c r="AX1194" s="10" t="str">
        <f ca="1">IFERROR(__xludf.DUMMYFUNCTION("""COMPUTED_VALUE""")," Aadil Mamujee")</f>
        <v xml:space="preserve"> Aadil Mamujee</v>
      </c>
      <c r="AY1194" s="10" t="str">
        <f ca="1">IFERROR(__xludf.DUMMYFUNCTION("""COMPUTED_VALUE""")," Selma Ribica ")</f>
        <v xml:space="preserve"> Selma Ribica </v>
      </c>
      <c r="AZ1194" s="10" t="str">
        <f ca="1">IFERROR(__xludf.DUMMYFUNCTION("""COMPUTED_VALUE""")," Shakir Merali")</f>
        <v xml:space="preserve"> Shakir Merali</v>
      </c>
      <c r="BA1194" s="10"/>
      <c r="BB1194" s="10"/>
      <c r="BC1194" s="10"/>
      <c r="BD1194" s="10"/>
      <c r="BE1194" s="10"/>
      <c r="BF1194" s="10"/>
      <c r="BG1194" s="10"/>
      <c r="BH1194" s="10"/>
      <c r="BI1194" s="10"/>
      <c r="BJ1194" s="10"/>
      <c r="BK1194" s="10"/>
      <c r="BM1194" s="10"/>
    </row>
    <row r="1195" spans="1:65" ht="12.75">
      <c r="A1195" s="9">
        <v>43669</v>
      </c>
      <c r="B1195" s="10" t="s">
        <v>44</v>
      </c>
      <c r="C1195" s="11">
        <v>3000000</v>
      </c>
      <c r="D1195" s="12"/>
      <c r="E1195" s="10" t="s">
        <v>51</v>
      </c>
      <c r="F1195" s="10" t="s">
        <v>659</v>
      </c>
      <c r="G1195" s="10" t="s">
        <v>44</v>
      </c>
      <c r="H1195" s="14" t="str">
        <f t="array" ref="H1195">IFERROR(INDEX([1]Companies!$G:$G,MATCH(B1195,[1]Companies!$A:$A,0)),"")</f>
        <v>Australia</v>
      </c>
      <c r="I1195" s="14" t="str">
        <f t="shared" si="1512"/>
        <v>Australia</v>
      </c>
      <c r="J1195" s="14" t="str">
        <f t="array" ref="J1195">IFERROR(INDEX([1]Companies!$Y:$Y,MATCH(B1195,[1]Companies!$A:$A,0)),"")</f>
        <v>Mobile Internet</v>
      </c>
      <c r="K1195" s="14" t="str">
        <f t="array" ref="K1195">IFERROR(INDEX([1]Companies!$X:$X,MATCH(B1195,[1]Companies!$A:$A,0)),"")</f>
        <v>Information Technology</v>
      </c>
      <c r="L1195" s="14" t="str">
        <f>VLOOKUP(B1195,[1]Companies!$A$1:$C$5243,1,FALSE)</f>
        <v>biNu</v>
      </c>
      <c r="M1195" s="15"/>
      <c r="N1195" s="10"/>
      <c r="O1195" s="14"/>
      <c r="P1195" s="14"/>
      <c r="Q1195" s="14"/>
      <c r="R1195" s="14"/>
      <c r="S1195" s="14"/>
      <c r="T1195" s="14"/>
      <c r="U1195" s="14"/>
      <c r="V1195" s="14">
        <f t="shared" si="1538"/>
        <v>2019</v>
      </c>
      <c r="W1195" s="14">
        <f t="shared" si="1539"/>
        <v>7</v>
      </c>
      <c r="X1195" s="14">
        <f>VLOOKUP(W1195,[1]Lookups!$P$3:$S$15,2,FALSE)</f>
        <v>3</v>
      </c>
      <c r="Y1195" s="16">
        <f>VLOOKUP(W1195,[1]Lookups!$P$3:$U$15,3,FALSE)</f>
        <v>2</v>
      </c>
      <c r="Z1195" s="16">
        <f t="shared" si="1540"/>
        <v>1</v>
      </c>
      <c r="AA1195" s="16" t="str">
        <f t="shared" ref="AA1195:AO1210" ca="1" si="1542">AS1195</f>
        <v>#REF!</v>
      </c>
      <c r="AB1195" s="16">
        <f t="shared" si="1542"/>
        <v>0</v>
      </c>
      <c r="AC1195" s="16">
        <f t="shared" si="1542"/>
        <v>0</v>
      </c>
      <c r="AD1195" s="16">
        <f t="shared" si="1542"/>
        <v>0</v>
      </c>
      <c r="AE1195" s="16">
        <f t="shared" si="1542"/>
        <v>0</v>
      </c>
      <c r="AF1195" s="16">
        <f t="shared" si="1542"/>
        <v>0</v>
      </c>
      <c r="AG1195" s="16">
        <f t="shared" si="1542"/>
        <v>0</v>
      </c>
      <c r="AH1195" s="16">
        <f t="shared" si="1542"/>
        <v>0</v>
      </c>
      <c r="AI1195" s="16">
        <f t="shared" si="1542"/>
        <v>0</v>
      </c>
      <c r="AJ1195" s="16">
        <f t="shared" si="1542"/>
        <v>0</v>
      </c>
      <c r="AK1195" s="16">
        <f t="shared" si="1542"/>
        <v>0</v>
      </c>
      <c r="AL1195" s="16">
        <f t="shared" si="1542"/>
        <v>0</v>
      </c>
      <c r="AM1195" s="16">
        <f t="shared" si="1542"/>
        <v>0</v>
      </c>
      <c r="AN1195" s="16">
        <f t="shared" si="1542"/>
        <v>0</v>
      </c>
      <c r="AO1195" s="16">
        <f t="shared" si="1542"/>
        <v>0</v>
      </c>
      <c r="AP1195" s="10"/>
      <c r="AQ1195" s="10"/>
      <c r="AR1195" s="10"/>
      <c r="AS1195" s="10" t="str">
        <f ca="1">IFERROR(__xludf.DUMMYFUNCTION("split(#REF!,"","",true,true)"),"#REF!")</f>
        <v>#REF!</v>
      </c>
      <c r="AT1195" s="10"/>
      <c r="AU1195" s="10"/>
      <c r="AV1195" s="10"/>
      <c r="AW1195" s="10"/>
      <c r="AX1195" s="10"/>
      <c r="AY1195" s="10"/>
      <c r="AZ1195" s="10"/>
      <c r="BA1195" s="10"/>
      <c r="BB1195" s="10"/>
      <c r="BC1195" s="10"/>
      <c r="BD1195" s="10"/>
      <c r="BE1195" s="10"/>
      <c r="BF1195" s="10"/>
      <c r="BG1195" s="10"/>
      <c r="BH1195" s="10"/>
      <c r="BI1195" s="10"/>
      <c r="BJ1195" s="10"/>
      <c r="BK1195" s="10"/>
      <c r="BM1195" s="10"/>
    </row>
    <row r="1196" spans="1:65" ht="12.75">
      <c r="A1196" s="9">
        <v>43685</v>
      </c>
      <c r="B1196" s="10" t="s">
        <v>525</v>
      </c>
      <c r="C1196" s="11">
        <v>2000000</v>
      </c>
      <c r="D1196" s="12"/>
      <c r="E1196" s="10" t="s">
        <v>830</v>
      </c>
      <c r="F1196" s="10" t="s">
        <v>2500</v>
      </c>
      <c r="G1196" s="13" t="s">
        <v>2501</v>
      </c>
      <c r="H1196" s="14" t="str">
        <f t="array" ref="H1196">IFERROR(INDEX([1]Companies!$G:$G,MATCH(B1196,[1]Companies!$A:$A,0)),"")</f>
        <v>South Africa</v>
      </c>
      <c r="I1196" s="14" t="str">
        <f t="shared" si="1512"/>
        <v>South Africa</v>
      </c>
      <c r="J1196" s="14" t="str">
        <f t="array" ref="J1196">IFERROR(INDEX([1]Companies!$Y:$Y,MATCH(B1196,[1]Companies!$A:$A,0)),"")</f>
        <v>HR Tech</v>
      </c>
      <c r="K1196" s="14" t="str">
        <f t="array" ref="K1196">IFERROR(INDEX([1]Companies!$X:$X,MATCH(B1196,[1]Companies!$A:$A,0)),"")</f>
        <v>Commercial &amp; Professional Services</v>
      </c>
      <c r="L1196" s="14" t="str">
        <f>VLOOKUP(B1196,[1]Companies!$A$1:$C$5243,1,FALSE)</f>
        <v>Kalido</v>
      </c>
      <c r="M1196" s="15"/>
      <c r="N1196" s="10"/>
      <c r="O1196" s="14"/>
      <c r="P1196" s="14"/>
      <c r="Q1196" s="14"/>
      <c r="R1196" s="14"/>
      <c r="S1196" s="14"/>
      <c r="T1196" s="14"/>
      <c r="U1196" s="14"/>
      <c r="V1196" s="14">
        <f t="shared" si="1538"/>
        <v>2019</v>
      </c>
      <c r="W1196" s="14">
        <f t="shared" si="1539"/>
        <v>8</v>
      </c>
      <c r="X1196" s="14">
        <f>VLOOKUP(W1196,[1]Lookups!$P$3:$S$15,2,FALSE)</f>
        <v>3</v>
      </c>
      <c r="Y1196" s="16">
        <f>VLOOKUP(W1196,[1]Lookups!$P$3:$U$15,3,FALSE)</f>
        <v>2</v>
      </c>
      <c r="Z1196" s="16">
        <f t="shared" si="1540"/>
        <v>1</v>
      </c>
      <c r="AA1196" s="16" t="str">
        <f t="shared" ca="1" si="1542"/>
        <v>HCL Technologies</v>
      </c>
      <c r="AB1196" s="16">
        <f t="shared" si="1542"/>
        <v>0</v>
      </c>
      <c r="AC1196" s="16">
        <f t="shared" si="1542"/>
        <v>0</v>
      </c>
      <c r="AD1196" s="16">
        <f t="shared" si="1542"/>
        <v>0</v>
      </c>
      <c r="AE1196" s="16">
        <f t="shared" si="1542"/>
        <v>0</v>
      </c>
      <c r="AF1196" s="16">
        <f t="shared" si="1542"/>
        <v>0</v>
      </c>
      <c r="AG1196" s="16">
        <f t="shared" si="1542"/>
        <v>0</v>
      </c>
      <c r="AH1196" s="16">
        <f t="shared" si="1542"/>
        <v>0</v>
      </c>
      <c r="AI1196" s="16">
        <f t="shared" si="1542"/>
        <v>0</v>
      </c>
      <c r="AJ1196" s="16">
        <f t="shared" si="1542"/>
        <v>0</v>
      </c>
      <c r="AK1196" s="16">
        <f t="shared" si="1542"/>
        <v>0</v>
      </c>
      <c r="AL1196" s="16">
        <f t="shared" si="1542"/>
        <v>0</v>
      </c>
      <c r="AM1196" s="16">
        <f t="shared" si="1542"/>
        <v>0</v>
      </c>
      <c r="AN1196" s="16">
        <f t="shared" si="1542"/>
        <v>0</v>
      </c>
      <c r="AO1196" s="16">
        <f t="shared" si="1542"/>
        <v>0</v>
      </c>
      <c r="AP1196" s="10"/>
      <c r="AQ1196" s="10"/>
      <c r="AR1196" s="10"/>
      <c r="AS1196" s="10" t="str">
        <f t="shared" ref="AS1196" ca="1" si="1543">IFERROR(__xludf.DUMMYFUNCTION("split(F1196,"","",true,true)"),"HCL Technologies")</f>
        <v>HCL Technologies</v>
      </c>
      <c r="AT1196" s="10"/>
      <c r="AU1196" s="10"/>
      <c r="AV1196" s="10"/>
      <c r="AW1196" s="10"/>
      <c r="AX1196" s="10"/>
      <c r="AY1196" s="10"/>
      <c r="AZ1196" s="10"/>
      <c r="BA1196" s="10"/>
      <c r="BB1196" s="10"/>
      <c r="BC1196" s="10"/>
      <c r="BD1196" s="10"/>
      <c r="BE1196" s="10"/>
      <c r="BF1196" s="10"/>
      <c r="BG1196" s="10"/>
      <c r="BH1196" s="10"/>
      <c r="BI1196" s="10"/>
      <c r="BJ1196" s="10"/>
      <c r="BK1196" s="10"/>
      <c r="BM1196" s="10"/>
    </row>
    <row r="1197" spans="1:65" ht="12.75">
      <c r="A1197" s="9">
        <v>43685</v>
      </c>
      <c r="B1197" s="10" t="s">
        <v>2502</v>
      </c>
      <c r="C1197" s="11">
        <v>1000000</v>
      </c>
      <c r="D1197" s="12"/>
      <c r="E1197" s="10" t="s">
        <v>830</v>
      </c>
      <c r="F1197" s="10" t="s">
        <v>2503</v>
      </c>
      <c r="G1197" s="13" t="s">
        <v>2504</v>
      </c>
      <c r="H1197" s="14" t="str">
        <f t="array" ref="H1197">IFERROR(INDEX([1]Companies!$G:$G,MATCH(B1197,[1]Companies!$A:$A,0)),"")</f>
        <v>Nigeria</v>
      </c>
      <c r="I1197" s="14" t="str">
        <f t="shared" si="1512"/>
        <v>Nigeria</v>
      </c>
      <c r="J1197" s="14" t="str">
        <f t="array" ref="J1197">IFERROR(INDEX([1]Companies!$Y:$Y,MATCH(B1197,[1]Companies!$A:$A,0)),"")</f>
        <v>Payments, FinTech</v>
      </c>
      <c r="K1197" s="14" t="str">
        <f t="array" ref="K1197">IFERROR(INDEX([1]Companies!$X:$X,MATCH(B1197,[1]Companies!$A:$A,0)),"")</f>
        <v>Financial Services</v>
      </c>
      <c r="L1197" s="14" t="str">
        <f>VLOOKUP(B1197,[1]Companies!$A$1:$C$5243,1,FALSE)</f>
        <v>TechAdvance</v>
      </c>
      <c r="M1197" s="15"/>
      <c r="N1197" s="10"/>
      <c r="O1197" s="14"/>
      <c r="P1197" s="14"/>
      <c r="Q1197" s="14"/>
      <c r="R1197" s="14"/>
      <c r="S1197" s="14"/>
      <c r="T1197" s="14"/>
      <c r="U1197" s="14"/>
      <c r="V1197" s="14">
        <f t="shared" si="1538"/>
        <v>2019</v>
      </c>
      <c r="W1197" s="14">
        <f t="shared" si="1539"/>
        <v>8</v>
      </c>
      <c r="X1197" s="14">
        <f>VLOOKUP(W1197,[1]Lookups!$P$3:$S$15,2,FALSE)</f>
        <v>3</v>
      </c>
      <c r="Y1197" s="16">
        <f>VLOOKUP(W1197,[1]Lookups!$P$3:$U$15,3,FALSE)</f>
        <v>2</v>
      </c>
      <c r="Z1197" s="16">
        <f t="shared" si="1540"/>
        <v>1</v>
      </c>
      <c r="AA1197" s="16" t="str">
        <f t="shared" ca="1" si="1542"/>
        <v>HCL Technologies</v>
      </c>
      <c r="AB1197" s="16">
        <f t="shared" si="1542"/>
        <v>0</v>
      </c>
      <c r="AC1197" s="16">
        <f t="shared" si="1542"/>
        <v>0</v>
      </c>
      <c r="AD1197" s="16">
        <f t="shared" si="1542"/>
        <v>0</v>
      </c>
      <c r="AE1197" s="16">
        <f t="shared" si="1542"/>
        <v>0</v>
      </c>
      <c r="AF1197" s="16">
        <f t="shared" si="1542"/>
        <v>0</v>
      </c>
      <c r="AG1197" s="16">
        <f t="shared" si="1542"/>
        <v>0</v>
      </c>
      <c r="AH1197" s="16">
        <f t="shared" si="1542"/>
        <v>0</v>
      </c>
      <c r="AI1197" s="16">
        <f t="shared" si="1542"/>
        <v>0</v>
      </c>
      <c r="AJ1197" s="16">
        <f t="shared" si="1542"/>
        <v>0</v>
      </c>
      <c r="AK1197" s="16">
        <f t="shared" si="1542"/>
        <v>0</v>
      </c>
      <c r="AL1197" s="16">
        <f t="shared" si="1542"/>
        <v>0</v>
      </c>
      <c r="AM1197" s="16">
        <f t="shared" si="1542"/>
        <v>0</v>
      </c>
      <c r="AN1197" s="16">
        <f t="shared" si="1542"/>
        <v>0</v>
      </c>
      <c r="AO1197" s="16">
        <f t="shared" si="1542"/>
        <v>0</v>
      </c>
      <c r="AP1197" s="10"/>
      <c r="AQ1197" s="10"/>
      <c r="AR1197" s="10"/>
      <c r="AS1197" s="10" t="str">
        <f t="shared" ref="AS1197" ca="1" si="1544">IFERROR(__xludf.DUMMYFUNCTION("split(F1196,"","",true,true)"),"HCL Technologies")</f>
        <v>HCL Technologies</v>
      </c>
      <c r="AT1197" s="10"/>
      <c r="AU1197" s="10"/>
      <c r="AV1197" s="10"/>
      <c r="AW1197" s="10"/>
      <c r="AX1197" s="10"/>
      <c r="AY1197" s="10"/>
      <c r="AZ1197" s="10"/>
      <c r="BA1197" s="10"/>
      <c r="BB1197" s="10"/>
      <c r="BC1197" s="10"/>
      <c r="BD1197" s="10"/>
      <c r="BE1197" s="10"/>
      <c r="BF1197" s="10"/>
      <c r="BG1197" s="10"/>
      <c r="BH1197" s="10"/>
      <c r="BI1197" s="10"/>
      <c r="BJ1197" s="10"/>
      <c r="BK1197" s="10"/>
      <c r="BM1197" s="10"/>
    </row>
    <row r="1198" spans="1:65" ht="12.75">
      <c r="A1198" s="9"/>
      <c r="B1198" s="10" t="s">
        <v>2505</v>
      </c>
      <c r="C1198" s="11">
        <v>30000</v>
      </c>
      <c r="D1198" s="12"/>
      <c r="E1198" s="10" t="s">
        <v>48</v>
      </c>
      <c r="F1198" s="10" t="s">
        <v>49</v>
      </c>
      <c r="G1198" s="10" t="s">
        <v>2505</v>
      </c>
      <c r="H1198" s="14" t="str">
        <f t="array" ref="H1198">IFERROR(INDEX([1]Companies!$G:$G,MATCH(B1198,[1]Companies!$A:$A,0)),"")</f>
        <v>Nigeria</v>
      </c>
      <c r="I1198" s="14" t="str">
        <f t="shared" si="1512"/>
        <v>Nigeria</v>
      </c>
      <c r="J1198" s="14" t="str">
        <f t="array" ref="J1198">IFERROR(INDEX([1]Companies!$Y:$Y,MATCH(B1198,[1]Companies!$A:$A,0)),"")</f>
        <v>Car Hire</v>
      </c>
      <c r="K1198" s="14" t="str">
        <f t="array" ref="K1198">IFERROR(INDEX([1]Companies!$X:$X,MATCH(B1198,[1]Companies!$A:$A,0)),"")</f>
        <v>Transport &amp; Logistics</v>
      </c>
      <c r="L1198" s="14" t="str">
        <f>VLOOKUP(B1198,[1]Companies!$A$1:$C$5243,1,FALSE)</f>
        <v>WeMove Technologies</v>
      </c>
      <c r="M1198" s="15">
        <f>COUNTA(B1198:K1198)/(COUNTBLANK(B1198:K1198) + COUNTA(B1198:K1198))</f>
        <v>0.9</v>
      </c>
      <c r="N1198" s="10" t="str">
        <f>CONCATENATE(A1198,B1198,C1198)</f>
        <v>WeMove Technologies30000</v>
      </c>
      <c r="O1198" s="14"/>
      <c r="P1198" s="14"/>
      <c r="Q1198" s="14"/>
      <c r="R1198" s="14"/>
      <c r="S1198" s="14"/>
      <c r="T1198" s="14"/>
      <c r="U1198" s="14"/>
      <c r="V1198" s="14">
        <f t="shared" si="1538"/>
        <v>1900</v>
      </c>
      <c r="W1198" s="14">
        <f t="shared" si="1539"/>
        <v>1</v>
      </c>
      <c r="X1198" s="14">
        <f>VLOOKUP(W1198,[1]Lookups!$P$3:$S$15,2,FALSE)</f>
        <v>1</v>
      </c>
      <c r="Y1198" s="16">
        <f>VLOOKUP(W1198,[1]Lookups!$P$3:$U$15,3,FALSE)</f>
        <v>1</v>
      </c>
      <c r="Z1198" s="16">
        <f t="shared" si="1540"/>
        <v>1</v>
      </c>
      <c r="AA1198" s="16" t="str">
        <f t="shared" ca="1" si="1542"/>
        <v>HCL Technologies</v>
      </c>
      <c r="AB1198" s="16">
        <f t="shared" si="1542"/>
        <v>0</v>
      </c>
      <c r="AC1198" s="16">
        <f t="shared" si="1542"/>
        <v>0</v>
      </c>
      <c r="AD1198" s="16">
        <f t="shared" si="1542"/>
        <v>0</v>
      </c>
      <c r="AE1198" s="16">
        <f t="shared" si="1542"/>
        <v>0</v>
      </c>
      <c r="AF1198" s="16">
        <f t="shared" si="1542"/>
        <v>0</v>
      </c>
      <c r="AG1198" s="16">
        <f t="shared" si="1542"/>
        <v>0</v>
      </c>
      <c r="AH1198" s="16">
        <f t="shared" si="1542"/>
        <v>0</v>
      </c>
      <c r="AI1198" s="16">
        <f t="shared" si="1542"/>
        <v>0</v>
      </c>
      <c r="AJ1198" s="16">
        <f t="shared" si="1542"/>
        <v>0</v>
      </c>
      <c r="AK1198" s="16">
        <f t="shared" si="1542"/>
        <v>0</v>
      </c>
      <c r="AL1198" s="16">
        <f t="shared" si="1542"/>
        <v>0</v>
      </c>
      <c r="AM1198" s="16">
        <f t="shared" si="1542"/>
        <v>0</v>
      </c>
      <c r="AN1198" s="16">
        <f t="shared" si="1542"/>
        <v>0</v>
      </c>
      <c r="AO1198" s="16">
        <f t="shared" si="1542"/>
        <v>0</v>
      </c>
      <c r="AP1198" s="10"/>
      <c r="AQ1198" s="10"/>
      <c r="AR1198" s="10"/>
      <c r="AS1198" s="10" t="str">
        <f t="shared" ref="AS1198" ca="1" si="1545">IFERROR(__xludf.DUMMYFUNCTION("split(F1196,"","",true,true)"),"HCL Technologies")</f>
        <v>HCL Technologies</v>
      </c>
      <c r="AT1198" s="10"/>
      <c r="AU1198" s="10"/>
      <c r="AV1198" s="10"/>
      <c r="AW1198" s="10"/>
      <c r="AX1198" s="10"/>
      <c r="AY1198" s="10"/>
      <c r="AZ1198" s="10"/>
      <c r="BA1198" s="10"/>
      <c r="BB1198" s="10"/>
      <c r="BC1198" s="10"/>
      <c r="BD1198" s="10"/>
      <c r="BE1198" s="10"/>
      <c r="BF1198" s="10"/>
      <c r="BG1198" s="10"/>
      <c r="BH1198" s="10"/>
      <c r="BI1198" s="10"/>
      <c r="BJ1198" s="10"/>
      <c r="BK1198" s="10"/>
      <c r="BM1198" s="10"/>
    </row>
    <row r="1199" spans="1:65" ht="12.75">
      <c r="A1199" s="9">
        <v>43685</v>
      </c>
      <c r="B1199" s="10" t="s">
        <v>2506</v>
      </c>
      <c r="C1199" s="11" t="s">
        <v>49</v>
      </c>
      <c r="D1199" s="12"/>
      <c r="E1199" s="10" t="s">
        <v>48</v>
      </c>
      <c r="F1199" s="10" t="s">
        <v>2507</v>
      </c>
      <c r="G1199" s="13" t="s">
        <v>2508</v>
      </c>
      <c r="H1199" s="14" t="str">
        <f t="array" ref="H1199">IFERROR(INDEX([1]Companies!$G:$G,MATCH(B1199,[1]Companies!$A:$A,0)),"")</f>
        <v>Nigeria</v>
      </c>
      <c r="I1199" s="14" t="str">
        <f t="shared" si="1512"/>
        <v>Nigeria</v>
      </c>
      <c r="J1199" s="14" t="str">
        <f t="array" ref="J1199">IFERROR(INDEX([1]Companies!$Y:$Y,MATCH(B1199,[1]Companies!$A:$A,0)),"")</f>
        <v>VoIP Services, Fintech</v>
      </c>
      <c r="K1199" s="14" t="str">
        <f t="array" ref="K1199">IFERROR(INDEX([1]Companies!$X:$X,MATCH(B1199,[1]Companies!$A:$A,0)),"")</f>
        <v>Utilities and Telcommunication Services</v>
      </c>
      <c r="L1199" s="14" t="str">
        <f>VLOOKUP(B1199,[1]Companies!$A$1:$C$5243,1,FALSE)</f>
        <v>BeepTool</v>
      </c>
      <c r="M1199" s="15"/>
      <c r="N1199" s="10"/>
      <c r="O1199" s="14"/>
      <c r="P1199" s="14"/>
      <c r="Q1199" s="14"/>
      <c r="R1199" s="14"/>
      <c r="S1199" s="14"/>
      <c r="T1199" s="14"/>
      <c r="U1199" s="14"/>
      <c r="V1199" s="14">
        <f t="shared" si="1538"/>
        <v>2019</v>
      </c>
      <c r="W1199" s="14">
        <f t="shared" si="1539"/>
        <v>8</v>
      </c>
      <c r="X1199" s="14">
        <f>VLOOKUP(W1199,[1]Lookups!$P$3:$S$15,2,FALSE)</f>
        <v>3</v>
      </c>
      <c r="Y1199" s="16">
        <f>VLOOKUP(W1199,[1]Lookups!$P$3:$U$15,3,FALSE)</f>
        <v>2</v>
      </c>
      <c r="Z1199" s="16">
        <f t="shared" si="1540"/>
        <v>1</v>
      </c>
      <c r="AA1199" s="16" t="str">
        <f t="shared" ca="1" si="1542"/>
        <v>HCL Technologies</v>
      </c>
      <c r="AB1199" s="16">
        <f t="shared" si="1542"/>
        <v>0</v>
      </c>
      <c r="AC1199" s="16">
        <f t="shared" si="1542"/>
        <v>0</v>
      </c>
      <c r="AD1199" s="16">
        <f t="shared" si="1542"/>
        <v>0</v>
      </c>
      <c r="AE1199" s="16">
        <f t="shared" si="1542"/>
        <v>0</v>
      </c>
      <c r="AF1199" s="16">
        <f t="shared" si="1542"/>
        <v>0</v>
      </c>
      <c r="AG1199" s="16">
        <f t="shared" si="1542"/>
        <v>0</v>
      </c>
      <c r="AH1199" s="16">
        <f t="shared" si="1542"/>
        <v>0</v>
      </c>
      <c r="AI1199" s="16">
        <f t="shared" si="1542"/>
        <v>0</v>
      </c>
      <c r="AJ1199" s="16">
        <f t="shared" si="1542"/>
        <v>0</v>
      </c>
      <c r="AK1199" s="16">
        <f t="shared" si="1542"/>
        <v>0</v>
      </c>
      <c r="AL1199" s="16">
        <f t="shared" si="1542"/>
        <v>0</v>
      </c>
      <c r="AM1199" s="16">
        <f t="shared" si="1542"/>
        <v>0</v>
      </c>
      <c r="AN1199" s="16">
        <f t="shared" si="1542"/>
        <v>0</v>
      </c>
      <c r="AO1199" s="16">
        <f t="shared" si="1542"/>
        <v>0</v>
      </c>
      <c r="AP1199" s="10"/>
      <c r="AQ1199" s="10"/>
      <c r="AR1199" s="10"/>
      <c r="AS1199" s="10" t="str">
        <f t="shared" ref="AS1199" ca="1" si="1546">IFERROR(__xludf.DUMMYFUNCTION("split(F1196,"","",true,true)"),"HCL Technologies")</f>
        <v>HCL Technologies</v>
      </c>
      <c r="AT1199" s="10"/>
      <c r="AU1199" s="10"/>
      <c r="AV1199" s="10"/>
      <c r="AW1199" s="10"/>
      <c r="AX1199" s="10"/>
      <c r="AY1199" s="10"/>
      <c r="AZ1199" s="10"/>
      <c r="BA1199" s="10"/>
      <c r="BB1199" s="10"/>
      <c r="BC1199" s="10"/>
      <c r="BD1199" s="10"/>
      <c r="BE1199" s="10"/>
      <c r="BF1199" s="10"/>
      <c r="BG1199" s="10"/>
      <c r="BH1199" s="10"/>
      <c r="BI1199" s="10"/>
      <c r="BJ1199" s="10"/>
      <c r="BK1199" s="10"/>
      <c r="BM1199" s="10"/>
    </row>
    <row r="1200" spans="1:65" ht="12.75">
      <c r="A1200" s="9">
        <v>43658</v>
      </c>
      <c r="B1200" s="10" t="s">
        <v>2509</v>
      </c>
      <c r="C1200" s="11">
        <v>1300000</v>
      </c>
      <c r="D1200" s="12"/>
      <c r="E1200" s="10" t="s">
        <v>45</v>
      </c>
      <c r="F1200" s="10" t="s">
        <v>2510</v>
      </c>
      <c r="G1200" s="13" t="s">
        <v>2511</v>
      </c>
      <c r="H1200" s="14" t="str">
        <f t="array" ref="H1200">IFERROR(INDEX([1]Companies!$G:$G,MATCH(B1200,[1]Companies!$A:$A,0)),"")</f>
        <v>South Africa</v>
      </c>
      <c r="I1200" s="14" t="str">
        <f t="shared" si="1512"/>
        <v>South Africa</v>
      </c>
      <c r="J1200" s="14" t="str">
        <f t="array" ref="J1200">IFERROR(INDEX([1]Companies!$Y:$Y,MATCH(B1200,[1]Companies!$A:$A,0)),"")</f>
        <v>Financial services, FinTech, Blockchain</v>
      </c>
      <c r="K1200" s="14" t="str">
        <f t="array" ref="K1200">IFERROR(INDEX([1]Companies!$X:$X,MATCH(B1200,[1]Companies!$A:$A,0)),"")</f>
        <v>Financial Services</v>
      </c>
      <c r="L1200" s="14" t="str">
        <f>VLOOKUP(B1200,[1]Companies!$A$1:$C$5243,1,FALSE)</f>
        <v>Mobu</v>
      </c>
      <c r="M1200" s="15"/>
      <c r="N1200" s="10"/>
      <c r="O1200" s="14"/>
      <c r="P1200" s="14"/>
      <c r="Q1200" s="14"/>
      <c r="R1200" s="14"/>
      <c r="S1200" s="14"/>
      <c r="T1200" s="14"/>
      <c r="U1200" s="14"/>
      <c r="V1200" s="14">
        <f t="shared" si="1538"/>
        <v>2019</v>
      </c>
      <c r="W1200" s="14">
        <f t="shared" si="1539"/>
        <v>7</v>
      </c>
      <c r="X1200" s="14">
        <f>VLOOKUP(W1200,[1]Lookups!$P$3:$S$15,2,FALSE)</f>
        <v>3</v>
      </c>
      <c r="Y1200" s="16">
        <f>VLOOKUP(W1200,[1]Lookups!$P$3:$U$15,3,FALSE)</f>
        <v>2</v>
      </c>
      <c r="Z1200" s="16">
        <f t="shared" si="1540"/>
        <v>1</v>
      </c>
      <c r="AA1200" s="16" t="str">
        <f t="shared" ca="1" si="1542"/>
        <v>HCL Technologies</v>
      </c>
      <c r="AB1200" s="16">
        <f t="shared" si="1542"/>
        <v>0</v>
      </c>
      <c r="AC1200" s="16">
        <f t="shared" si="1542"/>
        <v>0</v>
      </c>
      <c r="AD1200" s="16">
        <f t="shared" si="1542"/>
        <v>0</v>
      </c>
      <c r="AE1200" s="16">
        <f t="shared" si="1542"/>
        <v>0</v>
      </c>
      <c r="AF1200" s="16">
        <f t="shared" si="1542"/>
        <v>0</v>
      </c>
      <c r="AG1200" s="16">
        <f t="shared" si="1542"/>
        <v>0</v>
      </c>
      <c r="AH1200" s="16">
        <f t="shared" si="1542"/>
        <v>0</v>
      </c>
      <c r="AI1200" s="16">
        <f t="shared" si="1542"/>
        <v>0</v>
      </c>
      <c r="AJ1200" s="16">
        <f t="shared" si="1542"/>
        <v>0</v>
      </c>
      <c r="AK1200" s="16">
        <f t="shared" si="1542"/>
        <v>0</v>
      </c>
      <c r="AL1200" s="16">
        <f t="shared" si="1542"/>
        <v>0</v>
      </c>
      <c r="AM1200" s="16">
        <f t="shared" si="1542"/>
        <v>0</v>
      </c>
      <c r="AN1200" s="16">
        <f t="shared" si="1542"/>
        <v>0</v>
      </c>
      <c r="AO1200" s="16">
        <f t="shared" si="1542"/>
        <v>0</v>
      </c>
      <c r="AP1200" s="10"/>
      <c r="AQ1200" s="10"/>
      <c r="AR1200" s="10"/>
      <c r="AS1200" s="10" t="str">
        <f t="shared" ref="AS1200" ca="1" si="1547">IFERROR(__xludf.DUMMYFUNCTION("split(F1196,"","",true,true)"),"HCL Technologies")</f>
        <v>HCL Technologies</v>
      </c>
      <c r="AT1200" s="10"/>
      <c r="AU1200" s="10"/>
      <c r="AV1200" s="10"/>
      <c r="AW1200" s="10"/>
      <c r="AX1200" s="10"/>
      <c r="AY1200" s="10"/>
      <c r="AZ1200" s="10"/>
      <c r="BA1200" s="10"/>
      <c r="BB1200" s="10"/>
      <c r="BC1200" s="10"/>
      <c r="BD1200" s="10"/>
      <c r="BE1200" s="10"/>
      <c r="BF1200" s="10"/>
      <c r="BG1200" s="10"/>
      <c r="BH1200" s="10"/>
      <c r="BI1200" s="10"/>
      <c r="BJ1200" s="10"/>
      <c r="BK1200" s="10"/>
      <c r="BM1200" s="10"/>
    </row>
    <row r="1201" spans="1:65" ht="12.75">
      <c r="A1201" s="9">
        <v>43689</v>
      </c>
      <c r="B1201" s="10" t="s">
        <v>2512</v>
      </c>
      <c r="C1201" s="11">
        <v>100000</v>
      </c>
      <c r="D1201" s="12"/>
      <c r="E1201" s="10" t="s">
        <v>45</v>
      </c>
      <c r="F1201" s="10" t="s">
        <v>2513</v>
      </c>
      <c r="G1201" s="13" t="s">
        <v>2514</v>
      </c>
      <c r="H1201" s="14" t="str">
        <f t="array" ref="H1201">IFERROR(INDEX([1]Companies!$G:$G,MATCH(B1201,[1]Companies!$A:$A,0)),"")</f>
        <v>Kenya</v>
      </c>
      <c r="I1201" s="14" t="str">
        <f t="shared" si="1512"/>
        <v>Kenya</v>
      </c>
      <c r="J1201" s="14" t="str">
        <f t="array" ref="J1201">IFERROR(INDEX([1]Companies!$Y:$Y,MATCH(B1201,[1]Companies!$A:$A,0)),"")</f>
        <v>Agriculture</v>
      </c>
      <c r="K1201" s="14" t="str">
        <f t="array" ref="K1201">IFERROR(INDEX([1]Companies!$X:$X,MATCH(B1201,[1]Companies!$A:$A,0)),"")</f>
        <v>Information Technology</v>
      </c>
      <c r="L1201" s="14" t="str">
        <f>VLOOKUP(B1201,[1]Companies!$A$1:$C$5243,1,FALSE)</f>
        <v>Raino Tech4Impact</v>
      </c>
      <c r="M1201" s="15"/>
      <c r="N1201" s="10"/>
      <c r="O1201" s="14"/>
      <c r="P1201" s="14"/>
      <c r="Q1201" s="14"/>
      <c r="R1201" s="14"/>
      <c r="S1201" s="14"/>
      <c r="T1201" s="14"/>
      <c r="U1201" s="14"/>
      <c r="V1201" s="14">
        <f t="shared" si="1538"/>
        <v>2019</v>
      </c>
      <c r="W1201" s="14">
        <f t="shared" si="1539"/>
        <v>8</v>
      </c>
      <c r="X1201" s="14">
        <f>VLOOKUP(W1201,[1]Lookups!$P$3:$S$15,2,FALSE)</f>
        <v>3</v>
      </c>
      <c r="Y1201" s="16">
        <f>VLOOKUP(W1201,[1]Lookups!$P$3:$U$15,3,FALSE)</f>
        <v>2</v>
      </c>
      <c r="Z1201" s="16">
        <f t="shared" si="1540"/>
        <v>2</v>
      </c>
      <c r="AA1201" s="16" t="str">
        <f t="shared" ca="1" si="1542"/>
        <v>HCL Technologies</v>
      </c>
      <c r="AB1201" s="16" t="str">
        <f t="shared" ca="1" si="1542"/>
        <v xml:space="preserve"> Growth Africa</v>
      </c>
      <c r="AC1201" s="16">
        <f t="shared" si="1542"/>
        <v>0</v>
      </c>
      <c r="AD1201" s="16">
        <f t="shared" si="1542"/>
        <v>0</v>
      </c>
      <c r="AE1201" s="16">
        <f t="shared" si="1542"/>
        <v>0</v>
      </c>
      <c r="AF1201" s="16">
        <f t="shared" si="1542"/>
        <v>0</v>
      </c>
      <c r="AG1201" s="16">
        <f t="shared" si="1542"/>
        <v>0</v>
      </c>
      <c r="AH1201" s="16">
        <f t="shared" si="1542"/>
        <v>0</v>
      </c>
      <c r="AI1201" s="16">
        <f t="shared" si="1542"/>
        <v>0</v>
      </c>
      <c r="AJ1201" s="16">
        <f t="shared" si="1542"/>
        <v>0</v>
      </c>
      <c r="AK1201" s="16">
        <f t="shared" si="1542"/>
        <v>0</v>
      </c>
      <c r="AL1201" s="16">
        <f t="shared" si="1542"/>
        <v>0</v>
      </c>
      <c r="AM1201" s="16">
        <f t="shared" si="1542"/>
        <v>0</v>
      </c>
      <c r="AN1201" s="16">
        <f t="shared" si="1542"/>
        <v>0</v>
      </c>
      <c r="AO1201" s="16">
        <f t="shared" si="1542"/>
        <v>0</v>
      </c>
      <c r="AP1201" s="10"/>
      <c r="AQ1201" s="10"/>
      <c r="AR1201" s="10"/>
      <c r="AS1201" s="10" t="str">
        <f t="shared" ref="AS1201" ca="1" si="1548">IFERROR(__xludf.DUMMYFUNCTION("split(F1196,"","",true,true)"),"HCL Technologies")</f>
        <v>HCL Technologies</v>
      </c>
      <c r="AT1201" s="10" t="str">
        <f ca="1">IFERROR(__xludf.DUMMYFUNCTION("""COMPUTED_VALUE""")," Growth Africa")</f>
        <v xml:space="preserve"> Growth Africa</v>
      </c>
      <c r="AU1201" s="10"/>
      <c r="AV1201" s="10"/>
      <c r="AW1201" s="10"/>
      <c r="AX1201" s="10"/>
      <c r="AY1201" s="10"/>
      <c r="AZ1201" s="10"/>
      <c r="BA1201" s="10"/>
      <c r="BB1201" s="10"/>
      <c r="BC1201" s="10"/>
      <c r="BD1201" s="10"/>
      <c r="BE1201" s="10"/>
      <c r="BF1201" s="10"/>
      <c r="BG1201" s="10"/>
      <c r="BH1201" s="10"/>
      <c r="BI1201" s="10"/>
      <c r="BJ1201" s="10"/>
      <c r="BK1201" s="10"/>
      <c r="BM1201" s="10"/>
    </row>
    <row r="1202" spans="1:65" ht="12.75">
      <c r="A1202" s="9">
        <v>43690</v>
      </c>
      <c r="B1202" s="10" t="s">
        <v>1208</v>
      </c>
      <c r="C1202" s="11" t="s">
        <v>49</v>
      </c>
      <c r="D1202" s="12"/>
      <c r="E1202" s="10" t="s">
        <v>45</v>
      </c>
      <c r="F1202" s="10" t="s">
        <v>2515</v>
      </c>
      <c r="G1202" s="13" t="s">
        <v>2516</v>
      </c>
      <c r="H1202" s="14" t="str">
        <f t="array" ref="H1202">IFERROR(INDEX([1]Companies!$G:$G,MATCH(B1202,[1]Companies!$A:$A,0)),"")</f>
        <v>Egypt</v>
      </c>
      <c r="I1202" s="14" t="str">
        <f t="shared" si="1512"/>
        <v>Egypt</v>
      </c>
      <c r="J1202" s="14" t="str">
        <f t="array" ref="J1202">IFERROR(INDEX([1]Companies!$Y:$Y,MATCH(B1202,[1]Companies!$A:$A,0)),"")</f>
        <v>Artificial Intelligence, E-Commerce, Health Care, Information Technology, Mobile Apps, Pharmaceutical</v>
      </c>
      <c r="K1202" s="14" t="str">
        <f t="array" ref="K1202">IFERROR(INDEX([1]Companies!$X:$X,MATCH(B1202,[1]Companies!$A:$A,0)),"")</f>
        <v>Healthcare &amp; Pharma</v>
      </c>
      <c r="L1202" s="14" t="str">
        <f>VLOOKUP(B1202,[1]Companies!$A$1:$C$5243,1,FALSE)</f>
        <v>Chefaa</v>
      </c>
      <c r="M1202" s="15"/>
      <c r="N1202" s="10"/>
      <c r="O1202" s="14"/>
      <c r="P1202" s="14"/>
      <c r="Q1202" s="14"/>
      <c r="R1202" s="14"/>
      <c r="S1202" s="14"/>
      <c r="T1202" s="14"/>
      <c r="U1202" s="14"/>
      <c r="V1202" s="14">
        <f t="shared" si="1538"/>
        <v>2019</v>
      </c>
      <c r="W1202" s="14">
        <f t="shared" si="1539"/>
        <v>8</v>
      </c>
      <c r="X1202" s="14">
        <f>VLOOKUP(W1202,[1]Lookups!$P$3:$S$15,2,FALSE)</f>
        <v>3</v>
      </c>
      <c r="Y1202" s="16">
        <f>VLOOKUP(W1202,[1]Lookups!$P$3:$U$15,3,FALSE)</f>
        <v>2</v>
      </c>
      <c r="Z1202" s="16">
        <f t="shared" si="1540"/>
        <v>2</v>
      </c>
      <c r="AA1202" s="16" t="str">
        <f t="shared" ca="1" si="1542"/>
        <v>HCL Technologies</v>
      </c>
      <c r="AB1202" s="16" t="str">
        <f t="shared" ca="1" si="1542"/>
        <v xml:space="preserve"> 500 Startups</v>
      </c>
      <c r="AC1202" s="16">
        <f t="shared" si="1542"/>
        <v>0</v>
      </c>
      <c r="AD1202" s="16">
        <f t="shared" si="1542"/>
        <v>0</v>
      </c>
      <c r="AE1202" s="16">
        <f t="shared" si="1542"/>
        <v>0</v>
      </c>
      <c r="AF1202" s="16">
        <f t="shared" si="1542"/>
        <v>0</v>
      </c>
      <c r="AG1202" s="16">
        <f t="shared" si="1542"/>
        <v>0</v>
      </c>
      <c r="AH1202" s="16">
        <f t="shared" si="1542"/>
        <v>0</v>
      </c>
      <c r="AI1202" s="16">
        <f t="shared" si="1542"/>
        <v>0</v>
      </c>
      <c r="AJ1202" s="16">
        <f t="shared" si="1542"/>
        <v>0</v>
      </c>
      <c r="AK1202" s="16">
        <f t="shared" si="1542"/>
        <v>0</v>
      </c>
      <c r="AL1202" s="16">
        <f t="shared" si="1542"/>
        <v>0</v>
      </c>
      <c r="AM1202" s="16">
        <f t="shared" si="1542"/>
        <v>0</v>
      </c>
      <c r="AN1202" s="16">
        <f t="shared" si="1542"/>
        <v>0</v>
      </c>
      <c r="AO1202" s="16">
        <f t="shared" si="1542"/>
        <v>0</v>
      </c>
      <c r="AP1202" s="10"/>
      <c r="AQ1202" s="10"/>
      <c r="AR1202" s="10"/>
      <c r="AS1202" s="10" t="str">
        <f t="shared" ref="AS1202" ca="1" si="1549">IFERROR(__xludf.DUMMYFUNCTION("split(F1196,"","",true,true)"),"HCL Technologies")</f>
        <v>HCL Technologies</v>
      </c>
      <c r="AT1202" s="10" t="str">
        <f ca="1">IFERROR(__xludf.DUMMYFUNCTION("""COMPUTED_VALUE""")," 500 Startups")</f>
        <v xml:space="preserve"> 500 Startups</v>
      </c>
      <c r="AU1202" s="10"/>
      <c r="AV1202" s="10"/>
      <c r="AW1202" s="10"/>
      <c r="AX1202" s="10"/>
      <c r="AY1202" s="10"/>
      <c r="AZ1202" s="10"/>
      <c r="BA1202" s="10"/>
      <c r="BB1202" s="10"/>
      <c r="BC1202" s="10"/>
      <c r="BD1202" s="10"/>
      <c r="BE1202" s="10"/>
      <c r="BF1202" s="10"/>
      <c r="BG1202" s="10"/>
      <c r="BH1202" s="10"/>
      <c r="BI1202" s="10"/>
      <c r="BJ1202" s="10"/>
      <c r="BK1202" s="10"/>
      <c r="BM1202" s="10"/>
    </row>
    <row r="1203" spans="1:65" ht="12.75">
      <c r="A1203" s="9">
        <v>43691</v>
      </c>
      <c r="B1203" s="10" t="s">
        <v>1305</v>
      </c>
      <c r="C1203" s="11">
        <v>20000000</v>
      </c>
      <c r="D1203" s="12"/>
      <c r="E1203" s="10" t="s">
        <v>69</v>
      </c>
      <c r="F1203" s="10" t="s">
        <v>2517</v>
      </c>
      <c r="G1203" s="13" t="s">
        <v>2518</v>
      </c>
      <c r="H1203" s="14" t="str">
        <f t="array" ref="H1203">IFERROR(INDEX([1]Companies!$G:$G,MATCH(B1203,[1]Companies!$A:$A,0)),"")</f>
        <v>Nigeria</v>
      </c>
      <c r="I1203" s="14" t="str">
        <f t="shared" si="1512"/>
        <v>Nigeria</v>
      </c>
      <c r="J1203" s="14" t="str">
        <f t="array" ref="J1203">IFERROR(INDEX([1]Companies!$Y:$Y,MATCH(B1203,[1]Companies!$A:$A,0)),"")</f>
        <v>SMEs export/import solution, E-commerce Supply Chain, Mail/Parcel, Office/Home Moving, Haulage, Air Freight, Project Cargo, Sea Freight, Agribusiness</v>
      </c>
      <c r="K1203" s="14" t="str">
        <f t="array" ref="K1203">IFERROR(INDEX([1]Companies!$X:$X,MATCH(B1203,[1]Companies!$A:$A,0)),"")</f>
        <v>Transport &amp; Logistics</v>
      </c>
      <c r="L1203" s="14" t="str">
        <f>VLOOKUP(B1203,[1]Companies!$A$1:$C$5243,1,FALSE)</f>
        <v>Kobo360</v>
      </c>
      <c r="M1203" s="15"/>
      <c r="N1203" s="10"/>
      <c r="O1203" s="14"/>
      <c r="P1203" s="14"/>
      <c r="Q1203" s="14"/>
      <c r="R1203" s="14"/>
      <c r="S1203" s="14"/>
      <c r="T1203" s="14"/>
      <c r="U1203" s="14"/>
      <c r="V1203" s="14">
        <f t="shared" si="1538"/>
        <v>2019</v>
      </c>
      <c r="W1203" s="14">
        <f t="shared" si="1539"/>
        <v>8</v>
      </c>
      <c r="X1203" s="14">
        <f>VLOOKUP(W1203,[1]Lookups!$P$3:$S$15,2,FALSE)</f>
        <v>3</v>
      </c>
      <c r="Y1203" s="16">
        <f>VLOOKUP(W1203,[1]Lookups!$P$3:$U$15,3,FALSE)</f>
        <v>2</v>
      </c>
      <c r="Z1203" s="16">
        <f t="shared" si="1540"/>
        <v>5</v>
      </c>
      <c r="AA1203" s="16" t="str">
        <f t="shared" ca="1" si="1542"/>
        <v>HCL Technologies</v>
      </c>
      <c r="AB1203" s="16" t="str">
        <f t="shared" ca="1" si="1542"/>
        <v xml:space="preserve"> Goldman Sachs</v>
      </c>
      <c r="AC1203" s="16" t="str">
        <f t="shared" ca="1" si="1542"/>
        <v xml:space="preserve"> International Finance Corporation</v>
      </c>
      <c r="AD1203" s="16" t="str">
        <f t="shared" ca="1" si="1542"/>
        <v xml:space="preserve"> TLcom Capital</v>
      </c>
      <c r="AE1203" s="16" t="str">
        <f t="shared" ca="1" si="1542"/>
        <v xml:space="preserve"> Y Combinator</v>
      </c>
      <c r="AF1203" s="16">
        <f t="shared" si="1542"/>
        <v>0</v>
      </c>
      <c r="AG1203" s="16">
        <f t="shared" si="1542"/>
        <v>0</v>
      </c>
      <c r="AH1203" s="16">
        <f t="shared" si="1542"/>
        <v>0</v>
      </c>
      <c r="AI1203" s="16">
        <f t="shared" si="1542"/>
        <v>0</v>
      </c>
      <c r="AJ1203" s="16">
        <f t="shared" si="1542"/>
        <v>0</v>
      </c>
      <c r="AK1203" s="16">
        <f t="shared" si="1542"/>
        <v>0</v>
      </c>
      <c r="AL1203" s="16">
        <f t="shared" si="1542"/>
        <v>0</v>
      </c>
      <c r="AM1203" s="16">
        <f t="shared" si="1542"/>
        <v>0</v>
      </c>
      <c r="AN1203" s="16">
        <f t="shared" si="1542"/>
        <v>0</v>
      </c>
      <c r="AO1203" s="16">
        <f t="shared" si="1542"/>
        <v>0</v>
      </c>
      <c r="AP1203" s="10"/>
      <c r="AQ1203" s="10"/>
      <c r="AR1203" s="10"/>
      <c r="AS1203" s="10" t="str">
        <f t="shared" ref="AS1203" ca="1" si="1550">IFERROR(__xludf.DUMMYFUNCTION("split(F1196,"","",true,true)"),"HCL Technologies")</f>
        <v>HCL Technologies</v>
      </c>
      <c r="AT1203" s="10" t="str">
        <f ca="1">IFERROR(__xludf.DUMMYFUNCTION("""COMPUTED_VALUE""")," Goldman Sachs")</f>
        <v xml:space="preserve"> Goldman Sachs</v>
      </c>
      <c r="AU1203" s="10" t="str">
        <f ca="1">IFERROR(__xludf.DUMMYFUNCTION("""COMPUTED_VALUE""")," International Finance Corporation")</f>
        <v xml:space="preserve"> International Finance Corporation</v>
      </c>
      <c r="AV1203" s="10" t="str">
        <f ca="1">IFERROR(__xludf.DUMMYFUNCTION("""COMPUTED_VALUE""")," TLcom Capital")</f>
        <v xml:space="preserve"> TLcom Capital</v>
      </c>
      <c r="AW1203" s="10" t="str">
        <f ca="1">IFERROR(__xludf.DUMMYFUNCTION("""COMPUTED_VALUE""")," Y Combinator")</f>
        <v xml:space="preserve"> Y Combinator</v>
      </c>
      <c r="AX1203" s="10"/>
      <c r="AY1203" s="10"/>
      <c r="AZ1203" s="10"/>
      <c r="BA1203" s="10"/>
      <c r="BB1203" s="10"/>
      <c r="BC1203" s="10"/>
      <c r="BD1203" s="10"/>
      <c r="BE1203" s="10"/>
      <c r="BF1203" s="10"/>
      <c r="BG1203" s="10"/>
      <c r="BH1203" s="10"/>
      <c r="BI1203" s="10"/>
      <c r="BJ1203" s="10"/>
      <c r="BK1203" s="10"/>
      <c r="BM1203" s="10"/>
    </row>
    <row r="1204" spans="1:65" ht="12.75">
      <c r="A1204" s="9">
        <v>43689</v>
      </c>
      <c r="B1204" s="10" t="s">
        <v>2519</v>
      </c>
      <c r="C1204" s="11">
        <v>150000</v>
      </c>
      <c r="D1204" s="12"/>
      <c r="E1204" s="10" t="s">
        <v>45</v>
      </c>
      <c r="F1204" s="10" t="s">
        <v>305</v>
      </c>
      <c r="G1204" s="13" t="s">
        <v>2520</v>
      </c>
      <c r="H1204" s="14" t="str">
        <f t="array" ref="H1204">IFERROR(INDEX([1]Companies!$G:$G,MATCH(B1204,[1]Companies!$A:$A,0)),"")</f>
        <v/>
      </c>
      <c r="I1204" s="14" t="str">
        <f t="shared" si="1512"/>
        <v/>
      </c>
      <c r="J1204" s="14" t="str">
        <f t="array" ref="J1204">IFERROR(INDEX([1]Companies!$Y:$Y,MATCH(B1204,[1]Companies!$A:$A,0)),"")</f>
        <v/>
      </c>
      <c r="K1204" s="14" t="str">
        <f t="array" ref="K1204">IFERROR(INDEX([1]Companies!$X:$X,MATCH(B1204,[1]Companies!$A:$A,0)),"")</f>
        <v/>
      </c>
      <c r="L1204" s="14" t="e">
        <f>VLOOKUP(B1204,[1]Companies!$A$1:$C$5243,1,FALSE)</f>
        <v>#N/A</v>
      </c>
      <c r="M1204" s="15"/>
      <c r="N1204" s="10"/>
      <c r="O1204" s="14"/>
      <c r="P1204" s="14"/>
      <c r="Q1204" s="14"/>
      <c r="R1204" s="14"/>
      <c r="S1204" s="14"/>
      <c r="T1204" s="14"/>
      <c r="U1204" s="14"/>
      <c r="V1204" s="14">
        <f t="shared" si="1538"/>
        <v>2019</v>
      </c>
      <c r="W1204" s="14">
        <f t="shared" si="1539"/>
        <v>8</v>
      </c>
      <c r="X1204" s="14">
        <f>VLOOKUP(W1204,[1]Lookups!$P$3:$S$15,2,FALSE)</f>
        <v>3</v>
      </c>
      <c r="Y1204" s="16">
        <f>VLOOKUP(W1204,[1]Lookups!$P$3:$U$15,3,FALSE)</f>
        <v>2</v>
      </c>
      <c r="Z1204" s="16">
        <f t="shared" si="1540"/>
        <v>1</v>
      </c>
      <c r="AA1204" s="16" t="str">
        <f t="shared" ca="1" si="1542"/>
        <v>HCL Technologies</v>
      </c>
      <c r="AB1204" s="16">
        <f t="shared" si="1542"/>
        <v>0</v>
      </c>
      <c r="AC1204" s="16">
        <f t="shared" si="1542"/>
        <v>0</v>
      </c>
      <c r="AD1204" s="16">
        <f t="shared" si="1542"/>
        <v>0</v>
      </c>
      <c r="AE1204" s="16">
        <f t="shared" si="1542"/>
        <v>0</v>
      </c>
      <c r="AF1204" s="16">
        <f t="shared" si="1542"/>
        <v>0</v>
      </c>
      <c r="AG1204" s="16">
        <f t="shared" si="1542"/>
        <v>0</v>
      </c>
      <c r="AH1204" s="16">
        <f t="shared" si="1542"/>
        <v>0</v>
      </c>
      <c r="AI1204" s="16">
        <f t="shared" si="1542"/>
        <v>0</v>
      </c>
      <c r="AJ1204" s="16">
        <f t="shared" si="1542"/>
        <v>0</v>
      </c>
      <c r="AK1204" s="16">
        <f t="shared" si="1542"/>
        <v>0</v>
      </c>
      <c r="AL1204" s="16">
        <f t="shared" si="1542"/>
        <v>0</v>
      </c>
      <c r="AM1204" s="16">
        <f t="shared" si="1542"/>
        <v>0</v>
      </c>
      <c r="AN1204" s="16">
        <f t="shared" si="1542"/>
        <v>0</v>
      </c>
      <c r="AO1204" s="16">
        <f t="shared" si="1542"/>
        <v>0</v>
      </c>
      <c r="AP1204" s="10"/>
      <c r="AQ1204" s="10"/>
      <c r="AR1204" s="10"/>
      <c r="AS1204" s="10" t="str">
        <f t="shared" ref="AS1204" ca="1" si="1551">IFERROR(__xludf.DUMMYFUNCTION("split(F1196,"","",true,true)"),"HCL Technologies")</f>
        <v>HCL Technologies</v>
      </c>
      <c r="AT1204" s="10"/>
      <c r="AU1204" s="10"/>
      <c r="AV1204" s="10"/>
      <c r="AW1204" s="10"/>
      <c r="AX1204" s="10"/>
      <c r="AY1204" s="10"/>
      <c r="AZ1204" s="10"/>
      <c r="BA1204" s="10"/>
      <c r="BB1204" s="10"/>
      <c r="BC1204" s="10"/>
      <c r="BD1204" s="10"/>
      <c r="BE1204" s="10"/>
      <c r="BF1204" s="10"/>
      <c r="BG1204" s="10"/>
      <c r="BH1204" s="10"/>
      <c r="BI1204" s="10"/>
      <c r="BJ1204" s="10"/>
      <c r="BK1204" s="10"/>
      <c r="BM1204" s="10"/>
    </row>
    <row r="1205" spans="1:65" ht="12.75">
      <c r="A1205" s="9">
        <v>43691</v>
      </c>
      <c r="B1205" s="10" t="s">
        <v>1305</v>
      </c>
      <c r="C1205" s="11">
        <v>10000000</v>
      </c>
      <c r="D1205" s="12"/>
      <c r="E1205" s="10" t="s">
        <v>91</v>
      </c>
      <c r="F1205" s="10" t="s">
        <v>49</v>
      </c>
      <c r="G1205" s="13" t="s">
        <v>2521</v>
      </c>
      <c r="H1205" s="14" t="str">
        <f t="array" ref="H1205">IFERROR(INDEX([1]Companies!$G:$G,MATCH(B1205,[1]Companies!$A:$A,0)),"")</f>
        <v>Nigeria</v>
      </c>
      <c r="I1205" s="14" t="str">
        <f t="shared" si="1512"/>
        <v>Nigeria</v>
      </c>
      <c r="J1205" s="14" t="str">
        <f t="array" ref="J1205">IFERROR(INDEX([1]Companies!$Y:$Y,MATCH(B1205,[1]Companies!$A:$A,0)),"")</f>
        <v>SMEs export/import solution, E-commerce Supply Chain, Mail/Parcel, Office/Home Moving, Haulage, Air Freight, Project Cargo, Sea Freight, Agribusiness</v>
      </c>
      <c r="K1205" s="14" t="str">
        <f t="array" ref="K1205">IFERROR(INDEX([1]Companies!$X:$X,MATCH(B1205,[1]Companies!$A:$A,0)),"")</f>
        <v>Transport &amp; Logistics</v>
      </c>
      <c r="L1205" s="14" t="str">
        <f>VLOOKUP(B1205,[1]Companies!$A$1:$C$5243,1,FALSE)</f>
        <v>Kobo360</v>
      </c>
      <c r="M1205" s="15"/>
      <c r="N1205" s="10"/>
      <c r="O1205" s="14"/>
      <c r="P1205" s="14"/>
      <c r="Q1205" s="14"/>
      <c r="R1205" s="14"/>
      <c r="S1205" s="14"/>
      <c r="T1205" s="14"/>
      <c r="U1205" s="14"/>
      <c r="V1205" s="14">
        <f t="shared" si="1538"/>
        <v>2019</v>
      </c>
      <c r="W1205" s="14">
        <f t="shared" si="1539"/>
        <v>8</v>
      </c>
      <c r="X1205" s="14">
        <f>VLOOKUP(W1205,[1]Lookups!$P$3:$S$15,2,FALSE)</f>
        <v>3</v>
      </c>
      <c r="Y1205" s="16">
        <f>VLOOKUP(W1205,[1]Lookups!$P$3:$U$15,3,FALSE)</f>
        <v>2</v>
      </c>
      <c r="Z1205" s="16">
        <f t="shared" si="1540"/>
        <v>1</v>
      </c>
      <c r="AA1205" s="16" t="str">
        <f t="shared" ca="1" si="1542"/>
        <v>HCL Technologies</v>
      </c>
      <c r="AB1205" s="16">
        <f t="shared" si="1542"/>
        <v>0</v>
      </c>
      <c r="AC1205" s="16">
        <f t="shared" si="1542"/>
        <v>0</v>
      </c>
      <c r="AD1205" s="16">
        <f t="shared" si="1542"/>
        <v>0</v>
      </c>
      <c r="AE1205" s="16">
        <f t="shared" si="1542"/>
        <v>0</v>
      </c>
      <c r="AF1205" s="16">
        <f t="shared" si="1542"/>
        <v>0</v>
      </c>
      <c r="AG1205" s="16">
        <f t="shared" si="1542"/>
        <v>0</v>
      </c>
      <c r="AH1205" s="16">
        <f t="shared" si="1542"/>
        <v>0</v>
      </c>
      <c r="AI1205" s="16">
        <f t="shared" si="1542"/>
        <v>0</v>
      </c>
      <c r="AJ1205" s="16">
        <f t="shared" si="1542"/>
        <v>0</v>
      </c>
      <c r="AK1205" s="16">
        <f t="shared" si="1542"/>
        <v>0</v>
      </c>
      <c r="AL1205" s="16">
        <f t="shared" si="1542"/>
        <v>0</v>
      </c>
      <c r="AM1205" s="16">
        <f t="shared" si="1542"/>
        <v>0</v>
      </c>
      <c r="AN1205" s="16">
        <f t="shared" si="1542"/>
        <v>0</v>
      </c>
      <c r="AO1205" s="16">
        <f t="shared" si="1542"/>
        <v>0</v>
      </c>
      <c r="AP1205" s="10"/>
      <c r="AQ1205" s="10"/>
      <c r="AR1205" s="10"/>
      <c r="AS1205" s="10" t="str">
        <f t="shared" ref="AS1205" ca="1" si="1552">IFERROR(__xludf.DUMMYFUNCTION("split(F1196,"","",true,true)"),"HCL Technologies")</f>
        <v>HCL Technologies</v>
      </c>
      <c r="AT1205" s="10"/>
      <c r="AU1205" s="10"/>
      <c r="AV1205" s="10"/>
      <c r="AW1205" s="10"/>
      <c r="AX1205" s="10"/>
      <c r="AY1205" s="10"/>
      <c r="AZ1205" s="10"/>
      <c r="BA1205" s="10"/>
      <c r="BB1205" s="10"/>
      <c r="BC1205" s="10"/>
      <c r="BD1205" s="10"/>
      <c r="BE1205" s="10"/>
      <c r="BF1205" s="10"/>
      <c r="BG1205" s="10"/>
      <c r="BH1205" s="10"/>
      <c r="BI1205" s="10"/>
      <c r="BJ1205" s="10"/>
      <c r="BK1205" s="10"/>
      <c r="BM1205" s="10"/>
    </row>
    <row r="1206" spans="1:65" ht="12.75">
      <c r="A1206" s="9">
        <v>43692</v>
      </c>
      <c r="B1206" s="10" t="s">
        <v>2522</v>
      </c>
      <c r="C1206" s="11">
        <v>500000</v>
      </c>
      <c r="D1206" s="12"/>
      <c r="E1206" s="10" t="s">
        <v>45</v>
      </c>
      <c r="F1206" s="10" t="s">
        <v>2523</v>
      </c>
      <c r="G1206" s="13" t="s">
        <v>2524</v>
      </c>
      <c r="H1206" s="14" t="str">
        <f t="array" ref="H1206">IFERROR(INDEX([1]Companies!$G:$G,MATCH(B1206,[1]Companies!$A:$A,0)),"")</f>
        <v>South Africa</v>
      </c>
      <c r="I1206" s="14" t="str">
        <f t="shared" si="1512"/>
        <v>South Africa</v>
      </c>
      <c r="J1206" s="14" t="str">
        <f t="array" ref="J1206">IFERROR(INDEX([1]Companies!$Y:$Y,MATCH(B1206,[1]Companies!$A:$A,0)),"")</f>
        <v>Payments</v>
      </c>
      <c r="K1206" s="14" t="str">
        <f t="array" ref="K1206">IFERROR(INDEX([1]Companies!$X:$X,MATCH(B1206,[1]Companies!$A:$A,0)),"")</f>
        <v>Financial Services</v>
      </c>
      <c r="L1206" s="14" t="str">
        <f>VLOOKUP(B1206,[1]Companies!$A$1:$C$5243,1,FALSE)</f>
        <v>Ukheshe</v>
      </c>
      <c r="M1206" s="15"/>
      <c r="N1206" s="10"/>
      <c r="O1206" s="14"/>
      <c r="P1206" s="14"/>
      <c r="Q1206" s="14"/>
      <c r="R1206" s="14"/>
      <c r="S1206" s="14"/>
      <c r="T1206" s="14"/>
      <c r="U1206" s="14"/>
      <c r="V1206" s="14">
        <f t="shared" si="1538"/>
        <v>2019</v>
      </c>
      <c r="W1206" s="14">
        <f t="shared" si="1539"/>
        <v>8</v>
      </c>
      <c r="X1206" s="14">
        <f>VLOOKUP(W1206,[1]Lookups!$P$3:$S$15,2,FALSE)</f>
        <v>3</v>
      </c>
      <c r="Y1206" s="16">
        <f>VLOOKUP(W1206,[1]Lookups!$P$3:$U$15,3,FALSE)</f>
        <v>2</v>
      </c>
      <c r="Z1206" s="16">
        <f t="shared" si="1540"/>
        <v>2</v>
      </c>
      <c r="AA1206" s="16" t="str">
        <f t="shared" ca="1" si="1542"/>
        <v>HCL Technologies</v>
      </c>
      <c r="AB1206" s="16" t="str">
        <f t="shared" ca="1" si="1542"/>
        <v xml:space="preserve"> Ocean on 76 Group</v>
      </c>
      <c r="AC1206" s="16">
        <f t="shared" si="1542"/>
        <v>0</v>
      </c>
      <c r="AD1206" s="16">
        <f t="shared" si="1542"/>
        <v>0</v>
      </c>
      <c r="AE1206" s="16">
        <f t="shared" si="1542"/>
        <v>0</v>
      </c>
      <c r="AF1206" s="16">
        <f t="shared" si="1542"/>
        <v>0</v>
      </c>
      <c r="AG1206" s="16">
        <f t="shared" si="1542"/>
        <v>0</v>
      </c>
      <c r="AH1206" s="16">
        <f t="shared" si="1542"/>
        <v>0</v>
      </c>
      <c r="AI1206" s="16">
        <f t="shared" si="1542"/>
        <v>0</v>
      </c>
      <c r="AJ1206" s="16">
        <f t="shared" si="1542"/>
        <v>0</v>
      </c>
      <c r="AK1206" s="16">
        <f t="shared" si="1542"/>
        <v>0</v>
      </c>
      <c r="AL1206" s="16">
        <f t="shared" si="1542"/>
        <v>0</v>
      </c>
      <c r="AM1206" s="16">
        <f t="shared" si="1542"/>
        <v>0</v>
      </c>
      <c r="AN1206" s="16">
        <f t="shared" si="1542"/>
        <v>0</v>
      </c>
      <c r="AO1206" s="16">
        <f t="shared" si="1542"/>
        <v>0</v>
      </c>
      <c r="AP1206" s="10"/>
      <c r="AQ1206" s="10"/>
      <c r="AR1206" s="10"/>
      <c r="AS1206" s="10" t="str">
        <f t="shared" ref="AS1206" ca="1" si="1553">IFERROR(__xludf.DUMMYFUNCTION("split(F1196,"","",true,true)"),"HCL Technologies")</f>
        <v>HCL Technologies</v>
      </c>
      <c r="AT1206" s="10" t="str">
        <f ca="1">IFERROR(__xludf.DUMMYFUNCTION("""COMPUTED_VALUE""")," Ocean on 76 Group")</f>
        <v xml:space="preserve"> Ocean on 76 Group</v>
      </c>
      <c r="AU1206" s="10"/>
      <c r="AV1206" s="10"/>
      <c r="AW1206" s="10"/>
      <c r="AX1206" s="10"/>
      <c r="AY1206" s="10"/>
      <c r="AZ1206" s="10"/>
      <c r="BA1206" s="10"/>
      <c r="BB1206" s="10"/>
      <c r="BC1206" s="10"/>
      <c r="BD1206" s="10"/>
      <c r="BE1206" s="10"/>
      <c r="BF1206" s="10"/>
      <c r="BG1206" s="10"/>
      <c r="BH1206" s="10"/>
      <c r="BI1206" s="10"/>
      <c r="BJ1206" s="10"/>
      <c r="BK1206" s="10"/>
      <c r="BM1206" s="10"/>
    </row>
    <row r="1207" spans="1:65" ht="12.75">
      <c r="A1207" s="9">
        <v>43685</v>
      </c>
      <c r="B1207" s="10" t="s">
        <v>1841</v>
      </c>
      <c r="C1207" s="11" t="s">
        <v>49</v>
      </c>
      <c r="D1207" s="12"/>
      <c r="E1207" s="10" t="s">
        <v>45</v>
      </c>
      <c r="F1207" s="10" t="s">
        <v>2525</v>
      </c>
      <c r="G1207" s="13" t="s">
        <v>2526</v>
      </c>
      <c r="H1207" s="14" t="str">
        <f t="array" ref="H1207">IFERROR(INDEX([1]Companies!$G:$G,MATCH(B1207,[1]Companies!$A:$A,0)),"")</f>
        <v>South Africa</v>
      </c>
      <c r="I1207" s="14" t="str">
        <f t="shared" si="1512"/>
        <v>South Africa</v>
      </c>
      <c r="J1207" s="14" t="str">
        <f t="array" ref="J1207">IFERROR(INDEX([1]Companies!$Y:$Y,MATCH(B1207,[1]Companies!$A:$A,0)),"")</f>
        <v>Information Technology, Security</v>
      </c>
      <c r="K1207" s="14" t="str">
        <f t="array" ref="K1207">IFERROR(INDEX([1]Companies!$X:$X,MATCH(B1207,[1]Companies!$A:$A,0)),"")</f>
        <v>Information Technology</v>
      </c>
      <c r="L1207" s="14" t="str">
        <f>VLOOKUP(B1207,[1]Companies!$A$1:$C$5243,1,FALSE)</f>
        <v>Jonga</v>
      </c>
      <c r="M1207" s="15"/>
      <c r="N1207" s="10"/>
      <c r="O1207" s="14"/>
      <c r="P1207" s="14"/>
      <c r="Q1207" s="14"/>
      <c r="R1207" s="14"/>
      <c r="S1207" s="14"/>
      <c r="T1207" s="14"/>
      <c r="U1207" s="14"/>
      <c r="V1207" s="14">
        <f t="shared" si="1538"/>
        <v>2019</v>
      </c>
      <c r="W1207" s="14">
        <f t="shared" si="1539"/>
        <v>8</v>
      </c>
      <c r="X1207" s="14">
        <f>VLOOKUP(W1207,[1]Lookups!$P$3:$S$15,2,FALSE)</f>
        <v>3</v>
      </c>
      <c r="Y1207" s="16">
        <f>VLOOKUP(W1207,[1]Lookups!$P$3:$U$15,3,FALSE)</f>
        <v>2</v>
      </c>
      <c r="Z1207" s="16">
        <f t="shared" si="1540"/>
        <v>1</v>
      </c>
      <c r="AA1207" s="16" t="str">
        <f t="shared" ca="1" si="1542"/>
        <v>HCL Technologies</v>
      </c>
      <c r="AB1207" s="16">
        <f t="shared" si="1542"/>
        <v>0</v>
      </c>
      <c r="AC1207" s="16">
        <f t="shared" si="1542"/>
        <v>0</v>
      </c>
      <c r="AD1207" s="16">
        <f t="shared" si="1542"/>
        <v>0</v>
      </c>
      <c r="AE1207" s="16">
        <f t="shared" si="1542"/>
        <v>0</v>
      </c>
      <c r="AF1207" s="16">
        <f t="shared" si="1542"/>
        <v>0</v>
      </c>
      <c r="AG1207" s="16">
        <f t="shared" si="1542"/>
        <v>0</v>
      </c>
      <c r="AH1207" s="16">
        <f t="shared" si="1542"/>
        <v>0</v>
      </c>
      <c r="AI1207" s="16">
        <f t="shared" si="1542"/>
        <v>0</v>
      </c>
      <c r="AJ1207" s="16">
        <f t="shared" si="1542"/>
        <v>0</v>
      </c>
      <c r="AK1207" s="16">
        <f t="shared" si="1542"/>
        <v>0</v>
      </c>
      <c r="AL1207" s="16">
        <f t="shared" si="1542"/>
        <v>0</v>
      </c>
      <c r="AM1207" s="16">
        <f t="shared" si="1542"/>
        <v>0</v>
      </c>
      <c r="AN1207" s="16">
        <f t="shared" si="1542"/>
        <v>0</v>
      </c>
      <c r="AO1207" s="16">
        <f t="shared" si="1542"/>
        <v>0</v>
      </c>
      <c r="AP1207" s="10"/>
      <c r="AQ1207" s="10"/>
      <c r="AR1207" s="10"/>
      <c r="AS1207" s="10" t="str">
        <f t="shared" ref="AS1207" ca="1" si="1554">IFERROR(__xludf.DUMMYFUNCTION("split(F1196,"","",true,true)"),"HCL Technologies")</f>
        <v>HCL Technologies</v>
      </c>
      <c r="AT1207" s="10"/>
      <c r="AU1207" s="10"/>
      <c r="AV1207" s="10"/>
      <c r="AW1207" s="10"/>
      <c r="AX1207" s="10"/>
      <c r="AY1207" s="10"/>
      <c r="AZ1207" s="10"/>
      <c r="BA1207" s="10"/>
      <c r="BB1207" s="10"/>
      <c r="BC1207" s="10"/>
      <c r="BD1207" s="10"/>
      <c r="BE1207" s="10"/>
      <c r="BF1207" s="10"/>
      <c r="BG1207" s="10"/>
      <c r="BH1207" s="10"/>
      <c r="BI1207" s="10"/>
      <c r="BJ1207" s="10"/>
      <c r="BK1207" s="10"/>
      <c r="BM1207" s="10"/>
    </row>
    <row r="1208" spans="1:65" ht="12.75">
      <c r="A1208" s="9">
        <v>42527</v>
      </c>
      <c r="B1208" s="10" t="s">
        <v>1841</v>
      </c>
      <c r="C1208" s="11">
        <v>25000</v>
      </c>
      <c r="D1208" s="12"/>
      <c r="E1208" s="10" t="s">
        <v>55</v>
      </c>
      <c r="F1208" s="10" t="s">
        <v>1838</v>
      </c>
      <c r="G1208" s="13" t="s">
        <v>2527</v>
      </c>
      <c r="H1208" s="14" t="str">
        <f t="array" ref="H1208">IFERROR(INDEX([1]Companies!$G:$G,MATCH(B1208,[1]Companies!$A:$A,0)),"")</f>
        <v>South Africa</v>
      </c>
      <c r="I1208" s="14" t="str">
        <f t="shared" si="1512"/>
        <v>South Africa</v>
      </c>
      <c r="J1208" s="14" t="str">
        <f t="array" ref="J1208">IFERROR(INDEX([1]Companies!$Y:$Y,MATCH(B1208,[1]Companies!$A:$A,0)),"")</f>
        <v>Information Technology, Security</v>
      </c>
      <c r="K1208" s="14" t="str">
        <f t="array" ref="K1208">IFERROR(INDEX([1]Companies!$X:$X,MATCH(B1208,[1]Companies!$A:$A,0)),"")</f>
        <v>Information Technology</v>
      </c>
      <c r="L1208" s="14" t="str">
        <f>VLOOKUP(B1208,[1]Companies!$A$1:$C$5243,1,FALSE)</f>
        <v>Jonga</v>
      </c>
      <c r="M1208" s="15"/>
      <c r="N1208" s="10"/>
      <c r="O1208" s="14"/>
      <c r="P1208" s="14"/>
      <c r="Q1208" s="14"/>
      <c r="R1208" s="14"/>
      <c r="S1208" s="14"/>
      <c r="T1208" s="14"/>
      <c r="U1208" s="14"/>
      <c r="V1208" s="14">
        <f t="shared" si="1538"/>
        <v>2016</v>
      </c>
      <c r="W1208" s="14">
        <f t="shared" si="1539"/>
        <v>6</v>
      </c>
      <c r="X1208" s="14">
        <f>VLOOKUP(W1208,[1]Lookups!$P$3:$S$15,2,FALSE)</f>
        <v>2</v>
      </c>
      <c r="Y1208" s="16">
        <f>VLOOKUP(W1208,[1]Lookups!$P$3:$U$15,3,FALSE)</f>
        <v>1</v>
      </c>
      <c r="Z1208" s="16">
        <f t="shared" si="1540"/>
        <v>1</v>
      </c>
      <c r="AA1208" s="16" t="str">
        <f t="shared" ca="1" si="1542"/>
        <v>HCL Technologies</v>
      </c>
      <c r="AB1208" s="16">
        <f t="shared" si="1542"/>
        <v>0</v>
      </c>
      <c r="AC1208" s="16">
        <f t="shared" si="1542"/>
        <v>0</v>
      </c>
      <c r="AD1208" s="16">
        <f t="shared" si="1542"/>
        <v>0</v>
      </c>
      <c r="AE1208" s="16">
        <f t="shared" si="1542"/>
        <v>0</v>
      </c>
      <c r="AF1208" s="16">
        <f t="shared" si="1542"/>
        <v>0</v>
      </c>
      <c r="AG1208" s="16">
        <f t="shared" si="1542"/>
        <v>0</v>
      </c>
      <c r="AH1208" s="16">
        <f t="shared" si="1542"/>
        <v>0</v>
      </c>
      <c r="AI1208" s="16">
        <f t="shared" si="1542"/>
        <v>0</v>
      </c>
      <c r="AJ1208" s="16">
        <f t="shared" si="1542"/>
        <v>0</v>
      </c>
      <c r="AK1208" s="16">
        <f t="shared" si="1542"/>
        <v>0</v>
      </c>
      <c r="AL1208" s="16">
        <f t="shared" si="1542"/>
        <v>0</v>
      </c>
      <c r="AM1208" s="16">
        <f t="shared" si="1542"/>
        <v>0</v>
      </c>
      <c r="AN1208" s="16">
        <f t="shared" si="1542"/>
        <v>0</v>
      </c>
      <c r="AO1208" s="16">
        <f t="shared" si="1542"/>
        <v>0</v>
      </c>
      <c r="AP1208" s="10"/>
      <c r="AQ1208" s="10"/>
      <c r="AR1208" s="10"/>
      <c r="AS1208" s="10" t="str">
        <f t="shared" ref="AS1208" ca="1" si="1555">IFERROR(__xludf.DUMMYFUNCTION("split(F1196,"","",true,true)"),"HCL Technologies")</f>
        <v>HCL Technologies</v>
      </c>
      <c r="AT1208" s="10"/>
      <c r="AU1208" s="10"/>
      <c r="AV1208" s="10"/>
      <c r="AW1208" s="10"/>
      <c r="AX1208" s="10"/>
      <c r="AY1208" s="10"/>
      <c r="AZ1208" s="10"/>
      <c r="BA1208" s="10"/>
      <c r="BB1208" s="10"/>
      <c r="BC1208" s="10"/>
      <c r="BD1208" s="10"/>
      <c r="BE1208" s="10"/>
      <c r="BF1208" s="10"/>
      <c r="BG1208" s="10"/>
      <c r="BH1208" s="10"/>
      <c r="BI1208" s="10"/>
      <c r="BJ1208" s="10"/>
      <c r="BK1208" s="10"/>
      <c r="BM1208" s="10"/>
    </row>
    <row r="1209" spans="1:65" ht="12.75">
      <c r="A1209" s="9"/>
      <c r="B1209" s="10" t="s">
        <v>1841</v>
      </c>
      <c r="C1209" s="11">
        <v>60000</v>
      </c>
      <c r="D1209" s="12"/>
      <c r="E1209" s="10" t="s">
        <v>48</v>
      </c>
      <c r="F1209" s="10" t="s">
        <v>2528</v>
      </c>
      <c r="G1209" s="13" t="s">
        <v>2527</v>
      </c>
      <c r="H1209" s="14" t="str">
        <f t="array" ref="H1209">IFERROR(INDEX([1]Companies!$G:$G,MATCH(B1209,[1]Companies!$A:$A,0)),"")</f>
        <v>South Africa</v>
      </c>
      <c r="I1209" s="14" t="str">
        <f t="shared" si="1512"/>
        <v>South Africa</v>
      </c>
      <c r="J1209" s="14" t="str">
        <f t="array" ref="J1209">IFERROR(INDEX([1]Companies!$Y:$Y,MATCH(B1209,[1]Companies!$A:$A,0)),"")</f>
        <v>Information Technology, Security</v>
      </c>
      <c r="K1209" s="14" t="str">
        <f t="array" ref="K1209">IFERROR(INDEX([1]Companies!$X:$X,MATCH(B1209,[1]Companies!$A:$A,0)),"")</f>
        <v>Information Technology</v>
      </c>
      <c r="L1209" s="14" t="str">
        <f>VLOOKUP(B1209,[1]Companies!$A$1:$C$5243,1,FALSE)</f>
        <v>Jonga</v>
      </c>
      <c r="M1209" s="15"/>
      <c r="N1209" s="10"/>
      <c r="O1209" s="14"/>
      <c r="P1209" s="14"/>
      <c r="Q1209" s="14"/>
      <c r="R1209" s="14"/>
      <c r="S1209" s="14"/>
      <c r="T1209" s="14"/>
      <c r="U1209" s="14"/>
      <c r="V1209" s="14">
        <f t="shared" si="1538"/>
        <v>1900</v>
      </c>
      <c r="W1209" s="14">
        <f t="shared" si="1539"/>
        <v>1</v>
      </c>
      <c r="X1209" s="14">
        <f>VLOOKUP(W1209,[1]Lookups!$P$3:$S$15,2,FALSE)</f>
        <v>1</v>
      </c>
      <c r="Y1209" s="16">
        <f>VLOOKUP(W1209,[1]Lookups!$P$3:$U$15,3,FALSE)</f>
        <v>1</v>
      </c>
      <c r="Z1209" s="16">
        <f t="shared" si="1540"/>
        <v>3</v>
      </c>
      <c r="AA1209" s="16" t="str">
        <f t="shared" ca="1" si="1542"/>
        <v>HCL Technologies</v>
      </c>
      <c r="AB1209" s="16" t="str">
        <f t="shared" ca="1" si="1542"/>
        <v xml:space="preserve"> Melvyn Lubega</v>
      </c>
      <c r="AC1209" s="16" t="str">
        <f t="shared" ca="1" si="1542"/>
        <v xml:space="preserve"> Mark Forreste</v>
      </c>
      <c r="AD1209" s="16">
        <f t="shared" si="1542"/>
        <v>0</v>
      </c>
      <c r="AE1209" s="16">
        <f t="shared" si="1542"/>
        <v>0</v>
      </c>
      <c r="AF1209" s="16">
        <f t="shared" si="1542"/>
        <v>0</v>
      </c>
      <c r="AG1209" s="16">
        <f t="shared" si="1542"/>
        <v>0</v>
      </c>
      <c r="AH1209" s="16">
        <f t="shared" si="1542"/>
        <v>0</v>
      </c>
      <c r="AI1209" s="16">
        <f t="shared" si="1542"/>
        <v>0</v>
      </c>
      <c r="AJ1209" s="16">
        <f t="shared" si="1542"/>
        <v>0</v>
      </c>
      <c r="AK1209" s="16">
        <f t="shared" si="1542"/>
        <v>0</v>
      </c>
      <c r="AL1209" s="16">
        <f t="shared" si="1542"/>
        <v>0</v>
      </c>
      <c r="AM1209" s="16">
        <f t="shared" si="1542"/>
        <v>0</v>
      </c>
      <c r="AN1209" s="16">
        <f t="shared" si="1542"/>
        <v>0</v>
      </c>
      <c r="AO1209" s="16">
        <f t="shared" si="1542"/>
        <v>0</v>
      </c>
      <c r="AP1209" s="10"/>
      <c r="AQ1209" s="10"/>
      <c r="AR1209" s="10"/>
      <c r="AS1209" s="10" t="str">
        <f t="shared" ref="AS1209" ca="1" si="1556">IFERROR(__xludf.DUMMYFUNCTION("split(F1196,"","",true,true)"),"HCL Technologies")</f>
        <v>HCL Technologies</v>
      </c>
      <c r="AT1209" s="10" t="str">
        <f ca="1">IFERROR(__xludf.DUMMYFUNCTION("""COMPUTED_VALUE""")," Melvyn Lubega")</f>
        <v xml:space="preserve"> Melvyn Lubega</v>
      </c>
      <c r="AU1209" s="10" t="str">
        <f ca="1">IFERROR(__xludf.DUMMYFUNCTION("""COMPUTED_VALUE""")," Mark Forreste")</f>
        <v xml:space="preserve"> Mark Forreste</v>
      </c>
      <c r="AV1209" s="10"/>
      <c r="AW1209" s="10"/>
      <c r="AX1209" s="10"/>
      <c r="AY1209" s="10"/>
      <c r="AZ1209" s="10"/>
      <c r="BA1209" s="10"/>
      <c r="BB1209" s="10"/>
      <c r="BC1209" s="10"/>
      <c r="BD1209" s="10"/>
      <c r="BE1209" s="10"/>
      <c r="BF1209" s="10"/>
      <c r="BG1209" s="10"/>
      <c r="BH1209" s="10"/>
      <c r="BI1209" s="10"/>
      <c r="BJ1209" s="10"/>
      <c r="BK1209" s="10"/>
      <c r="BM1209" s="10"/>
    </row>
    <row r="1210" spans="1:65" ht="12.75">
      <c r="A1210" s="9">
        <v>43321</v>
      </c>
      <c r="B1210" s="10" t="s">
        <v>1841</v>
      </c>
      <c r="C1210" s="11">
        <v>10000</v>
      </c>
      <c r="D1210" s="12"/>
      <c r="E1210" s="10" t="s">
        <v>55</v>
      </c>
      <c r="F1210" s="10" t="s">
        <v>1462</v>
      </c>
      <c r="G1210" s="13" t="s">
        <v>2529</v>
      </c>
      <c r="H1210" s="14" t="str">
        <f t="array" ref="H1210">IFERROR(INDEX([1]Companies!$G:$G,MATCH(B1210,[1]Companies!$A:$A,0)),"")</f>
        <v>South Africa</v>
      </c>
      <c r="I1210" s="14" t="str">
        <f t="shared" si="1512"/>
        <v>South Africa</v>
      </c>
      <c r="J1210" s="14" t="str">
        <f t="array" ref="J1210">IFERROR(INDEX([1]Companies!$Y:$Y,MATCH(B1210,[1]Companies!$A:$A,0)),"")</f>
        <v>Information Technology, Security</v>
      </c>
      <c r="K1210" s="14" t="str">
        <f t="array" ref="K1210">IFERROR(INDEX([1]Companies!$X:$X,MATCH(B1210,[1]Companies!$A:$A,0)),"")</f>
        <v>Information Technology</v>
      </c>
      <c r="L1210" s="14" t="str">
        <f>VLOOKUP(B1210,[1]Companies!$A$1:$C$5243,1,FALSE)</f>
        <v>Jonga</v>
      </c>
      <c r="M1210" s="15"/>
      <c r="N1210" s="10"/>
      <c r="O1210" s="14"/>
      <c r="P1210" s="14"/>
      <c r="Q1210" s="14"/>
      <c r="R1210" s="14"/>
      <c r="S1210" s="14"/>
      <c r="T1210" s="14"/>
      <c r="U1210" s="14"/>
      <c r="V1210" s="14">
        <f t="shared" si="1538"/>
        <v>2018</v>
      </c>
      <c r="W1210" s="14">
        <f t="shared" si="1539"/>
        <v>8</v>
      </c>
      <c r="X1210" s="14">
        <f>VLOOKUP(W1210,[1]Lookups!$P$3:$S$15,2,FALSE)</f>
        <v>3</v>
      </c>
      <c r="Y1210" s="16">
        <f>VLOOKUP(W1210,[1]Lookups!$P$3:$U$15,3,FALSE)</f>
        <v>2</v>
      </c>
      <c r="Z1210" s="16">
        <f t="shared" si="1540"/>
        <v>1</v>
      </c>
      <c r="AA1210" s="16" t="str">
        <f t="shared" ca="1" si="1542"/>
        <v>HCL Technologies</v>
      </c>
      <c r="AB1210" s="16">
        <f t="shared" si="1542"/>
        <v>0</v>
      </c>
      <c r="AC1210" s="16">
        <f t="shared" si="1542"/>
        <v>0</v>
      </c>
      <c r="AD1210" s="16">
        <f t="shared" si="1542"/>
        <v>0</v>
      </c>
      <c r="AE1210" s="16">
        <f t="shared" si="1542"/>
        <v>0</v>
      </c>
      <c r="AF1210" s="16">
        <f t="shared" si="1542"/>
        <v>0</v>
      </c>
      <c r="AG1210" s="16">
        <f t="shared" si="1542"/>
        <v>0</v>
      </c>
      <c r="AH1210" s="16">
        <f t="shared" si="1542"/>
        <v>0</v>
      </c>
      <c r="AI1210" s="16">
        <f t="shared" si="1542"/>
        <v>0</v>
      </c>
      <c r="AJ1210" s="16">
        <f t="shared" si="1542"/>
        <v>0</v>
      </c>
      <c r="AK1210" s="16">
        <f t="shared" si="1542"/>
        <v>0</v>
      </c>
      <c r="AL1210" s="16">
        <f t="shared" si="1542"/>
        <v>0</v>
      </c>
      <c r="AM1210" s="16">
        <f t="shared" si="1542"/>
        <v>0</v>
      </c>
      <c r="AN1210" s="16">
        <f t="shared" si="1542"/>
        <v>0</v>
      </c>
      <c r="AO1210" s="16">
        <f t="shared" si="1542"/>
        <v>0</v>
      </c>
      <c r="AP1210" s="10"/>
      <c r="AQ1210" s="10"/>
      <c r="AR1210" s="10"/>
      <c r="AS1210" s="10" t="str">
        <f t="shared" ref="AS1210" ca="1" si="1557">IFERROR(__xludf.DUMMYFUNCTION("split(F1196,"","",true,true)"),"HCL Technologies")</f>
        <v>HCL Technologies</v>
      </c>
      <c r="AT1210" s="10"/>
      <c r="AU1210" s="10"/>
      <c r="AV1210" s="10"/>
      <c r="AW1210" s="10"/>
      <c r="AX1210" s="10"/>
      <c r="AY1210" s="10"/>
      <c r="AZ1210" s="10"/>
      <c r="BA1210" s="10"/>
      <c r="BB1210" s="10"/>
      <c r="BC1210" s="10"/>
      <c r="BD1210" s="10"/>
      <c r="BE1210" s="10"/>
      <c r="BF1210" s="10"/>
      <c r="BG1210" s="10"/>
      <c r="BH1210" s="10"/>
      <c r="BI1210" s="10"/>
      <c r="BJ1210" s="10"/>
      <c r="BK1210" s="10"/>
      <c r="BM1210" s="10"/>
    </row>
    <row r="1211" spans="1:65" ht="12.75">
      <c r="A1211" s="9">
        <v>42961</v>
      </c>
      <c r="B1211" s="10" t="s">
        <v>1841</v>
      </c>
      <c r="C1211" s="11">
        <v>10000</v>
      </c>
      <c r="D1211" s="12"/>
      <c r="E1211" s="10" t="s">
        <v>55</v>
      </c>
      <c r="F1211" s="10" t="s">
        <v>2005</v>
      </c>
      <c r="G1211" s="13" t="s">
        <v>2527</v>
      </c>
      <c r="H1211" s="14" t="str">
        <f t="array" ref="H1211">IFERROR(INDEX([1]Companies!$G:$G,MATCH(B1211,[1]Companies!$A:$A,0)),"")</f>
        <v>South Africa</v>
      </c>
      <c r="I1211" s="14" t="str">
        <f t="shared" si="1512"/>
        <v>South Africa</v>
      </c>
      <c r="J1211" s="14" t="str">
        <f t="array" ref="J1211">IFERROR(INDEX([1]Companies!$Y:$Y,MATCH(B1211,[1]Companies!$A:$A,0)),"")</f>
        <v>Information Technology, Security</v>
      </c>
      <c r="K1211" s="14" t="str">
        <f t="array" ref="K1211">IFERROR(INDEX([1]Companies!$X:$X,MATCH(B1211,[1]Companies!$A:$A,0)),"")</f>
        <v>Information Technology</v>
      </c>
      <c r="L1211" s="14" t="str">
        <f>VLOOKUP(B1211,[1]Companies!$A$1:$C$5243,1,FALSE)</f>
        <v>Jonga</v>
      </c>
      <c r="M1211" s="15"/>
      <c r="N1211" s="10"/>
      <c r="O1211" s="14"/>
      <c r="P1211" s="14"/>
      <c r="Q1211" s="14"/>
      <c r="R1211" s="14"/>
      <c r="S1211" s="14"/>
      <c r="T1211" s="14"/>
      <c r="U1211" s="14"/>
      <c r="V1211" s="14">
        <f t="shared" si="1538"/>
        <v>2017</v>
      </c>
      <c r="W1211" s="14">
        <f t="shared" si="1539"/>
        <v>8</v>
      </c>
      <c r="X1211" s="14">
        <f>VLOOKUP(W1211,[1]Lookups!$P$3:$S$15,2,FALSE)</f>
        <v>3</v>
      </c>
      <c r="Y1211" s="16">
        <f>VLOOKUP(W1211,[1]Lookups!$P$3:$U$15,3,FALSE)</f>
        <v>2</v>
      </c>
      <c r="Z1211" s="16">
        <f t="shared" si="1540"/>
        <v>1</v>
      </c>
      <c r="AA1211" s="16" t="str">
        <f t="shared" ref="AA1211:AO1215" ca="1" si="1558">AS1211</f>
        <v>HCL Technologies</v>
      </c>
      <c r="AB1211" s="16">
        <f t="shared" si="1558"/>
        <v>0</v>
      </c>
      <c r="AC1211" s="16">
        <f t="shared" si="1558"/>
        <v>0</v>
      </c>
      <c r="AD1211" s="16">
        <f t="shared" si="1558"/>
        <v>0</v>
      </c>
      <c r="AE1211" s="16">
        <f t="shared" si="1558"/>
        <v>0</v>
      </c>
      <c r="AF1211" s="16">
        <f t="shared" si="1558"/>
        <v>0</v>
      </c>
      <c r="AG1211" s="16">
        <f t="shared" si="1558"/>
        <v>0</v>
      </c>
      <c r="AH1211" s="16">
        <f t="shared" si="1558"/>
        <v>0</v>
      </c>
      <c r="AI1211" s="16">
        <f t="shared" si="1558"/>
        <v>0</v>
      </c>
      <c r="AJ1211" s="16">
        <f t="shared" si="1558"/>
        <v>0</v>
      </c>
      <c r="AK1211" s="16">
        <f t="shared" si="1558"/>
        <v>0</v>
      </c>
      <c r="AL1211" s="16">
        <f t="shared" si="1558"/>
        <v>0</v>
      </c>
      <c r="AM1211" s="16">
        <f t="shared" si="1558"/>
        <v>0</v>
      </c>
      <c r="AN1211" s="16">
        <f t="shared" si="1558"/>
        <v>0</v>
      </c>
      <c r="AO1211" s="16">
        <f t="shared" si="1558"/>
        <v>0</v>
      </c>
      <c r="AP1211" s="10"/>
      <c r="AQ1211" s="10"/>
      <c r="AR1211" s="10"/>
      <c r="AS1211" s="10" t="str">
        <f t="shared" ref="AS1211" ca="1" si="1559">IFERROR(__xludf.DUMMYFUNCTION("split(F1196,"","",true,true)"),"HCL Technologies")</f>
        <v>HCL Technologies</v>
      </c>
      <c r="AT1211" s="10"/>
      <c r="AU1211" s="10"/>
      <c r="AV1211" s="10"/>
      <c r="AW1211" s="10"/>
      <c r="AX1211" s="10"/>
      <c r="AY1211" s="10"/>
      <c r="AZ1211" s="10"/>
      <c r="BA1211" s="10"/>
      <c r="BB1211" s="10"/>
      <c r="BC1211" s="10"/>
      <c r="BD1211" s="10"/>
      <c r="BE1211" s="10"/>
      <c r="BF1211" s="10"/>
      <c r="BG1211" s="10"/>
      <c r="BH1211" s="10"/>
      <c r="BI1211" s="10"/>
      <c r="BJ1211" s="10"/>
      <c r="BK1211" s="10"/>
      <c r="BM1211" s="10"/>
    </row>
    <row r="1212" spans="1:65" ht="12.75">
      <c r="A1212" s="9">
        <v>42527</v>
      </c>
      <c r="B1212" s="10" t="s">
        <v>1841</v>
      </c>
      <c r="C1212" s="11">
        <v>2000</v>
      </c>
      <c r="D1212" s="12"/>
      <c r="E1212" s="10" t="s">
        <v>55</v>
      </c>
      <c r="F1212" s="10" t="s">
        <v>2530</v>
      </c>
      <c r="G1212" s="10"/>
      <c r="H1212" s="14" t="str">
        <f t="array" ref="H1212">IFERROR(INDEX([1]Companies!$G:$G,MATCH(B1212,[1]Companies!$A:$A,0)),"")</f>
        <v>South Africa</v>
      </c>
      <c r="I1212" s="14" t="str">
        <f t="shared" si="1512"/>
        <v>South Africa</v>
      </c>
      <c r="J1212" s="14" t="str">
        <f t="array" ref="J1212">IFERROR(INDEX([1]Companies!$Y:$Y,MATCH(B1212,[1]Companies!$A:$A,0)),"")</f>
        <v>Information Technology, Security</v>
      </c>
      <c r="K1212" s="14" t="str">
        <f t="array" ref="K1212">IFERROR(INDEX([1]Companies!$X:$X,MATCH(B1212,[1]Companies!$A:$A,0)),"")</f>
        <v>Information Technology</v>
      </c>
      <c r="L1212" s="14" t="str">
        <f>VLOOKUP(B1212,[1]Companies!$A$1:$C$5243,1,FALSE)</f>
        <v>Jonga</v>
      </c>
      <c r="M1212" s="15"/>
      <c r="N1212" s="10"/>
      <c r="O1212" s="14"/>
      <c r="P1212" s="14"/>
      <c r="Q1212" s="14"/>
      <c r="R1212" s="14"/>
      <c r="S1212" s="14"/>
      <c r="T1212" s="14"/>
      <c r="U1212" s="14"/>
      <c r="V1212" s="14">
        <f t="shared" si="1538"/>
        <v>2016</v>
      </c>
      <c r="W1212" s="14">
        <f t="shared" si="1539"/>
        <v>6</v>
      </c>
      <c r="X1212" s="14">
        <f>VLOOKUP(W1212,[1]Lookups!$P$3:$S$15,2,FALSE)</f>
        <v>2</v>
      </c>
      <c r="Y1212" s="16">
        <f>VLOOKUP(W1212,[1]Lookups!$P$3:$U$15,3,FALSE)</f>
        <v>1</v>
      </c>
      <c r="Z1212" s="16">
        <f t="shared" si="1540"/>
        <v>1</v>
      </c>
      <c r="AA1212" s="16" t="str">
        <f t="shared" ca="1" si="1558"/>
        <v>HCL Technologies</v>
      </c>
      <c r="AB1212" s="16">
        <f t="shared" si="1558"/>
        <v>0</v>
      </c>
      <c r="AC1212" s="16">
        <f t="shared" si="1558"/>
        <v>0</v>
      </c>
      <c r="AD1212" s="16">
        <f t="shared" si="1558"/>
        <v>0</v>
      </c>
      <c r="AE1212" s="16">
        <f t="shared" si="1558"/>
        <v>0</v>
      </c>
      <c r="AF1212" s="16">
        <f t="shared" si="1558"/>
        <v>0</v>
      </c>
      <c r="AG1212" s="16">
        <f t="shared" si="1558"/>
        <v>0</v>
      </c>
      <c r="AH1212" s="16">
        <f t="shared" si="1558"/>
        <v>0</v>
      </c>
      <c r="AI1212" s="16">
        <f t="shared" si="1558"/>
        <v>0</v>
      </c>
      <c r="AJ1212" s="16">
        <f t="shared" si="1558"/>
        <v>0</v>
      </c>
      <c r="AK1212" s="16">
        <f t="shared" si="1558"/>
        <v>0</v>
      </c>
      <c r="AL1212" s="16">
        <f t="shared" si="1558"/>
        <v>0</v>
      </c>
      <c r="AM1212" s="16">
        <f t="shared" si="1558"/>
        <v>0</v>
      </c>
      <c r="AN1212" s="16">
        <f t="shared" si="1558"/>
        <v>0</v>
      </c>
      <c r="AO1212" s="16">
        <f t="shared" si="1558"/>
        <v>0</v>
      </c>
      <c r="AP1212" s="10"/>
      <c r="AQ1212" s="10"/>
      <c r="AR1212" s="10"/>
      <c r="AS1212" s="10" t="str">
        <f t="shared" ref="AS1212" ca="1" si="1560">IFERROR(__xludf.DUMMYFUNCTION("split(F1196,"","",true,true)"),"HCL Technologies")</f>
        <v>HCL Technologies</v>
      </c>
      <c r="AT1212" s="10"/>
      <c r="AU1212" s="10"/>
      <c r="AV1212" s="10"/>
      <c r="AW1212" s="10"/>
      <c r="AX1212" s="10"/>
      <c r="AY1212" s="10"/>
      <c r="AZ1212" s="10"/>
      <c r="BA1212" s="10"/>
      <c r="BB1212" s="10"/>
      <c r="BC1212" s="10"/>
      <c r="BD1212" s="10"/>
      <c r="BE1212" s="10"/>
      <c r="BF1212" s="10"/>
      <c r="BG1212" s="10"/>
      <c r="BH1212" s="10"/>
      <c r="BI1212" s="10"/>
      <c r="BJ1212" s="10"/>
      <c r="BK1212" s="10"/>
      <c r="BM1212" s="10"/>
    </row>
    <row r="1213" spans="1:65" ht="12.75">
      <c r="A1213" s="30">
        <v>43023</v>
      </c>
      <c r="B1213" s="8" t="s">
        <v>2531</v>
      </c>
      <c r="C1213" s="11">
        <v>2000000</v>
      </c>
      <c r="D1213" s="12"/>
      <c r="E1213" s="10" t="s">
        <v>45</v>
      </c>
      <c r="F1213" s="10" t="s">
        <v>2532</v>
      </c>
      <c r="G1213" s="10" t="s">
        <v>2533</v>
      </c>
      <c r="H1213" s="14" t="str">
        <f t="array" ref="H1213">IFERROR(INDEX([1]Companies!$G:$G,MATCH(B1213,[1]Companies!$A:$A,0)),"")</f>
        <v>Nigeria</v>
      </c>
      <c r="I1213" s="14" t="str">
        <f t="shared" si="1512"/>
        <v>Nigeria</v>
      </c>
      <c r="J1213" s="14" t="str">
        <f t="array" ref="J1213">IFERROR(INDEX([1]Companies!$Y:$Y,MATCH(B1213,[1]Companies!$A:$A,0)),"")</f>
        <v>E-Health, Healthcare Technology</v>
      </c>
      <c r="K1213" s="14" t="str">
        <f t="array" ref="K1213">IFERROR(INDEX([1]Companies!$X:$X,MATCH(B1213,[1]Companies!$A:$A,0)),"")</f>
        <v>Healthcare &amp; Pharma</v>
      </c>
      <c r="L1213" s="14" t="str">
        <f>VLOOKUP(B1213,[1]Companies!$A$1:$C$5243,1,FALSE)</f>
        <v>Helium Health</v>
      </c>
      <c r="M1213" s="15"/>
      <c r="N1213" s="10"/>
      <c r="O1213" s="14"/>
      <c r="P1213" s="14"/>
      <c r="Q1213" s="14"/>
      <c r="R1213" s="14"/>
      <c r="S1213" s="14"/>
      <c r="T1213" s="14"/>
      <c r="U1213" s="14"/>
      <c r="V1213" s="14">
        <f t="shared" si="1538"/>
        <v>2017</v>
      </c>
      <c r="W1213" s="14">
        <f t="shared" si="1539"/>
        <v>10</v>
      </c>
      <c r="X1213" s="14">
        <f>VLOOKUP(W1213,[1]Lookups!$P$3:$S$15,2,FALSE)</f>
        <v>4</v>
      </c>
      <c r="Y1213" s="16">
        <f>VLOOKUP(W1213,[1]Lookups!$P$3:$U$15,3,FALSE)</f>
        <v>2</v>
      </c>
      <c r="Z1213" s="16">
        <f t="shared" si="1540"/>
        <v>6</v>
      </c>
      <c r="AA1213" s="16" t="str">
        <f t="shared" ca="1" si="1558"/>
        <v>HCL Technologies</v>
      </c>
      <c r="AB1213" s="16" t="str">
        <f t="shared" ca="1" si="1558"/>
        <v xml:space="preserve"> Y Combinator</v>
      </c>
      <c r="AC1213" s="16" t="str">
        <f t="shared" ca="1" si="1558"/>
        <v xml:space="preserve"> The Chrysalis Capital</v>
      </c>
      <c r="AD1213" s="16" t="str">
        <f t="shared" ca="1" si="1558"/>
        <v xml:space="preserve"> Western Technology Investment (WTI)</v>
      </c>
      <c r="AE1213" s="16" t="str">
        <f t="shared" ca="1" si="1558"/>
        <v xml:space="preserve"> Vy Capital</v>
      </c>
      <c r="AF1213" s="16" t="str">
        <f t="shared" ca="1" si="1558"/>
        <v xml:space="preserve"> Venturesouq</v>
      </c>
      <c r="AG1213" s="16">
        <f t="shared" si="1558"/>
        <v>0</v>
      </c>
      <c r="AH1213" s="16">
        <f t="shared" si="1558"/>
        <v>0</v>
      </c>
      <c r="AI1213" s="16">
        <f t="shared" si="1558"/>
        <v>0</v>
      </c>
      <c r="AJ1213" s="16">
        <f t="shared" si="1558"/>
        <v>0</v>
      </c>
      <c r="AK1213" s="16">
        <f t="shared" si="1558"/>
        <v>0</v>
      </c>
      <c r="AL1213" s="16">
        <f t="shared" si="1558"/>
        <v>0</v>
      </c>
      <c r="AM1213" s="16">
        <f t="shared" si="1558"/>
        <v>0</v>
      </c>
      <c r="AN1213" s="16">
        <f t="shared" si="1558"/>
        <v>0</v>
      </c>
      <c r="AO1213" s="16">
        <f t="shared" si="1558"/>
        <v>0</v>
      </c>
      <c r="AP1213" s="10"/>
      <c r="AQ1213" s="10"/>
      <c r="AR1213" s="10"/>
      <c r="AS1213" s="10" t="str">
        <f t="shared" ref="AS1213" ca="1" si="1561">IFERROR(__xludf.DUMMYFUNCTION("split(F1196,"","",true,true)"),"HCL Technologies")</f>
        <v>HCL Technologies</v>
      </c>
      <c r="AT1213" s="10" t="str">
        <f ca="1">IFERROR(__xludf.DUMMYFUNCTION("""COMPUTED_VALUE""")," Y Combinator")</f>
        <v xml:space="preserve"> Y Combinator</v>
      </c>
      <c r="AU1213" s="10" t="str">
        <f ca="1">IFERROR(__xludf.DUMMYFUNCTION("""COMPUTED_VALUE""")," The Chrysalis Capital")</f>
        <v xml:space="preserve"> The Chrysalis Capital</v>
      </c>
      <c r="AV1213" s="10" t="str">
        <f ca="1">IFERROR(__xludf.DUMMYFUNCTION("""COMPUTED_VALUE""")," Western Technology Investment (WTI)")</f>
        <v xml:space="preserve"> Western Technology Investment (WTI)</v>
      </c>
      <c r="AW1213" s="10" t="str">
        <f ca="1">IFERROR(__xludf.DUMMYFUNCTION("""COMPUTED_VALUE""")," Vy Capital")</f>
        <v xml:space="preserve"> Vy Capital</v>
      </c>
      <c r="AX1213" s="10" t="str">
        <f ca="1">IFERROR(__xludf.DUMMYFUNCTION("""COMPUTED_VALUE""")," Venturesouq")</f>
        <v xml:space="preserve"> Venturesouq</v>
      </c>
      <c r="AY1213" s="10"/>
      <c r="AZ1213" s="10"/>
      <c r="BA1213" s="10"/>
      <c r="BB1213" s="10"/>
      <c r="BC1213" s="10"/>
      <c r="BD1213" s="10"/>
      <c r="BE1213" s="10"/>
      <c r="BF1213" s="10"/>
      <c r="BG1213" s="10"/>
      <c r="BH1213" s="10"/>
      <c r="BI1213" s="10"/>
      <c r="BJ1213" s="10"/>
      <c r="BK1213" s="10"/>
      <c r="BM1213" s="10"/>
    </row>
    <row r="1214" spans="1:65" ht="12.75">
      <c r="A1214" s="30">
        <v>42168</v>
      </c>
      <c r="B1214" s="10" t="s">
        <v>2534</v>
      </c>
      <c r="C1214" s="12" t="s">
        <v>49</v>
      </c>
      <c r="D1214" s="45">
        <v>0.25</v>
      </c>
      <c r="E1214" s="10" t="s">
        <v>51</v>
      </c>
      <c r="F1214" s="10" t="s">
        <v>290</v>
      </c>
      <c r="G1214" s="13" t="s">
        <v>2535</v>
      </c>
      <c r="H1214" s="14" t="str">
        <f t="array" ref="H1214">IFERROR(INDEX([1]Companies!$G:$G,MATCH(B1214,[1]Companies!$A:$A,0)),"")</f>
        <v/>
      </c>
      <c r="I1214" s="14" t="str">
        <f t="shared" si="1512"/>
        <v/>
      </c>
      <c r="J1214" s="14" t="str">
        <f t="array" ref="J1214">IFERROR(INDEX([1]Companies!$Y:$Y,MATCH(B1214,[1]Companies!$A:$A,0)),"")</f>
        <v/>
      </c>
      <c r="K1214" s="14" t="str">
        <f t="array" ref="K1214">IFERROR(INDEX([1]Companies!$X:$X,MATCH(B1214,[1]Companies!$A:$A,0)),"")</f>
        <v/>
      </c>
      <c r="L1214" s="14" t="e">
        <f>VLOOKUP(B1214,[1]Companies!$A$1:$C$5243,1,FALSE)</f>
        <v>#N/A</v>
      </c>
      <c r="M1214" s="15"/>
      <c r="N1214" s="10"/>
      <c r="O1214" s="14"/>
      <c r="P1214" s="14"/>
      <c r="Q1214" s="14"/>
      <c r="R1214" s="14"/>
      <c r="S1214" s="14"/>
      <c r="T1214" s="14"/>
      <c r="U1214" s="14"/>
      <c r="V1214" s="14">
        <f t="shared" si="1538"/>
        <v>2015</v>
      </c>
      <c r="W1214" s="14">
        <f t="shared" si="1539"/>
        <v>6</v>
      </c>
      <c r="X1214" s="14">
        <f>VLOOKUP(W1214,[1]Lookups!$P$3:$S$15,2,FALSE)</f>
        <v>2</v>
      </c>
      <c r="Y1214" s="16">
        <f>VLOOKUP(W1214,[1]Lookups!$P$3:$U$15,3,FALSE)</f>
        <v>1</v>
      </c>
      <c r="Z1214" s="16">
        <f t="shared" si="1540"/>
        <v>1</v>
      </c>
      <c r="AA1214" s="16" t="str">
        <f t="shared" ca="1" si="1558"/>
        <v>HCL Technologies</v>
      </c>
      <c r="AB1214" s="16">
        <f t="shared" si="1558"/>
        <v>0</v>
      </c>
      <c r="AC1214" s="16">
        <f t="shared" si="1558"/>
        <v>0</v>
      </c>
      <c r="AD1214" s="16">
        <f t="shared" si="1558"/>
        <v>0</v>
      </c>
      <c r="AE1214" s="16">
        <f t="shared" si="1558"/>
        <v>0</v>
      </c>
      <c r="AF1214" s="16">
        <f t="shared" si="1558"/>
        <v>0</v>
      </c>
      <c r="AG1214" s="16">
        <f t="shared" si="1558"/>
        <v>0</v>
      </c>
      <c r="AH1214" s="16">
        <f t="shared" si="1558"/>
        <v>0</v>
      </c>
      <c r="AI1214" s="16">
        <f t="shared" si="1558"/>
        <v>0</v>
      </c>
      <c r="AJ1214" s="16">
        <f t="shared" si="1558"/>
        <v>0</v>
      </c>
      <c r="AK1214" s="16">
        <f t="shared" si="1558"/>
        <v>0</v>
      </c>
      <c r="AL1214" s="16">
        <f t="shared" si="1558"/>
        <v>0</v>
      </c>
      <c r="AM1214" s="16">
        <f t="shared" si="1558"/>
        <v>0</v>
      </c>
      <c r="AN1214" s="16">
        <f t="shared" si="1558"/>
        <v>0</v>
      </c>
      <c r="AO1214" s="16">
        <f t="shared" si="1558"/>
        <v>0</v>
      </c>
      <c r="AP1214" s="10"/>
      <c r="AQ1214" s="10"/>
      <c r="AR1214" s="10"/>
      <c r="AS1214" s="10" t="str">
        <f t="shared" ref="AS1214" ca="1" si="1562">IFERROR(__xludf.DUMMYFUNCTION("split(F1196,"","",true,true)"),"HCL Technologies")</f>
        <v>HCL Technologies</v>
      </c>
      <c r="AT1214" s="10"/>
      <c r="AU1214" s="10"/>
      <c r="AV1214" s="10"/>
      <c r="AW1214" s="10"/>
      <c r="AX1214" s="10"/>
      <c r="AY1214" s="10"/>
      <c r="AZ1214" s="10"/>
      <c r="BA1214" s="10"/>
      <c r="BB1214" s="10"/>
      <c r="BC1214" s="10"/>
      <c r="BD1214" s="10"/>
      <c r="BE1214" s="10"/>
      <c r="BF1214" s="10"/>
      <c r="BG1214" s="10"/>
      <c r="BH1214" s="10"/>
      <c r="BI1214" s="10"/>
      <c r="BJ1214" s="10"/>
      <c r="BK1214" s="10"/>
      <c r="BM1214" s="10"/>
    </row>
    <row r="1215" spans="1:65" ht="12.75">
      <c r="A1215" s="9">
        <v>39097</v>
      </c>
      <c r="B1215" s="10" t="s">
        <v>2536</v>
      </c>
      <c r="C1215" s="11">
        <v>3700000</v>
      </c>
      <c r="D1215" s="12"/>
      <c r="E1215" s="10" t="s">
        <v>69</v>
      </c>
      <c r="F1215" s="10" t="s">
        <v>993</v>
      </c>
      <c r="G1215" s="13" t="s">
        <v>2537</v>
      </c>
      <c r="H1215" s="14" t="str">
        <f t="array" ref="H1215">IFERROR(INDEX([1]Companies!$G:$G,MATCH(B1215,[1]Companies!$A:$A,0)),"")</f>
        <v>South Africa</v>
      </c>
      <c r="I1215" s="14" t="str">
        <f t="shared" si="1512"/>
        <v>South Africa</v>
      </c>
      <c r="J1215" s="14">
        <f t="array" ref="J1215">IFERROR(INDEX([1]Companies!$Y:$Y,MATCH(B1215,[1]Companies!$A:$A,0)),"")</f>
        <v>0</v>
      </c>
      <c r="K1215" s="14" t="str">
        <f t="array" ref="K1215">IFERROR(INDEX([1]Companies!$X:$X,MATCH(B1215,[1]Companies!$A:$A,0)),"")</f>
        <v>Information Technology</v>
      </c>
      <c r="L1215" s="14" t="str">
        <f>VLOOKUP(B1215,[1]Companies!$A$1:$C$5243,1,FALSE)</f>
        <v>NMPi</v>
      </c>
      <c r="M1215" s="15"/>
      <c r="N1215" s="10"/>
      <c r="O1215" s="14"/>
      <c r="P1215" s="14"/>
      <c r="Q1215" s="14"/>
      <c r="R1215" s="14"/>
      <c r="S1215" s="14"/>
      <c r="T1215" s="14"/>
      <c r="U1215" s="14"/>
      <c r="V1215" s="14">
        <f t="shared" si="1538"/>
        <v>2007</v>
      </c>
      <c r="W1215" s="14">
        <f t="shared" si="1539"/>
        <v>1</v>
      </c>
      <c r="X1215" s="14">
        <f>VLOOKUP(W1215,[1]Lookups!$P$3:$S$15,2,FALSE)</f>
        <v>1</v>
      </c>
      <c r="Y1215" s="16">
        <f>VLOOKUP(W1215,[1]Lookups!$P$3:$U$15,3,FALSE)</f>
        <v>1</v>
      </c>
      <c r="Z1215" s="16">
        <f t="shared" si="1540"/>
        <v>1</v>
      </c>
      <c r="AA1215" s="16" t="str">
        <f t="shared" ca="1" si="1558"/>
        <v>HCL Technologies</v>
      </c>
      <c r="AB1215" s="16">
        <f t="shared" si="1558"/>
        <v>0</v>
      </c>
      <c r="AC1215" s="16">
        <f t="shared" si="1558"/>
        <v>0</v>
      </c>
      <c r="AD1215" s="16">
        <f t="shared" si="1558"/>
        <v>0</v>
      </c>
      <c r="AE1215" s="16">
        <f t="shared" si="1558"/>
        <v>0</v>
      </c>
      <c r="AF1215" s="16">
        <f t="shared" si="1558"/>
        <v>0</v>
      </c>
      <c r="AG1215" s="16">
        <f t="shared" si="1558"/>
        <v>0</v>
      </c>
      <c r="AH1215" s="16">
        <f t="shared" si="1558"/>
        <v>0</v>
      </c>
      <c r="AI1215" s="16">
        <f t="shared" si="1558"/>
        <v>0</v>
      </c>
      <c r="AJ1215" s="16">
        <f t="shared" si="1558"/>
        <v>0</v>
      </c>
      <c r="AK1215" s="16">
        <f t="shared" si="1558"/>
        <v>0</v>
      </c>
      <c r="AL1215" s="16">
        <f t="shared" si="1558"/>
        <v>0</v>
      </c>
      <c r="AM1215" s="16">
        <f t="shared" si="1558"/>
        <v>0</v>
      </c>
      <c r="AN1215" s="16">
        <f t="shared" si="1558"/>
        <v>0</v>
      </c>
      <c r="AO1215" s="16">
        <f t="shared" si="1558"/>
        <v>0</v>
      </c>
      <c r="AP1215" s="10"/>
      <c r="AQ1215" s="10"/>
      <c r="AR1215" s="10"/>
      <c r="AS1215" s="10" t="str">
        <f t="shared" ref="AS1215" ca="1" si="1563">IFERROR(__xludf.DUMMYFUNCTION("split(F1196,"","",true,true)"),"HCL Technologies")</f>
        <v>HCL Technologies</v>
      </c>
      <c r="AT1215" s="10"/>
      <c r="AU1215" s="10"/>
      <c r="AV1215" s="10"/>
      <c r="AW1215" s="10"/>
      <c r="AX1215" s="10"/>
      <c r="AY1215" s="10"/>
      <c r="AZ1215" s="10"/>
      <c r="BA1215" s="10"/>
      <c r="BB1215" s="10"/>
      <c r="BC1215" s="10"/>
      <c r="BD1215" s="10"/>
      <c r="BE1215" s="10"/>
      <c r="BF1215" s="10"/>
      <c r="BG1215" s="10"/>
      <c r="BH1215" s="10"/>
      <c r="BI1215" s="10"/>
      <c r="BJ1215" s="10"/>
      <c r="BK1215" s="10"/>
      <c r="BM1215" s="10"/>
    </row>
    <row r="1216" spans="1:65" ht="12.75">
      <c r="A1216" s="9">
        <v>43696</v>
      </c>
      <c r="B1216" s="10" t="s">
        <v>2538</v>
      </c>
      <c r="C1216" s="11" t="s">
        <v>49</v>
      </c>
      <c r="E1216" s="8" t="s">
        <v>51</v>
      </c>
      <c r="F1216" s="10" t="s">
        <v>2539</v>
      </c>
      <c r="G1216" s="13" t="s">
        <v>2540</v>
      </c>
      <c r="H1216" s="14" t="str">
        <f t="array" ref="H1216">IFERROR(INDEX([1]Companies!$G:$G,MATCH(B1216,[1]Companies!$A:$A,0)),"")</f>
        <v>Kenya</v>
      </c>
      <c r="I1216" s="14" t="str">
        <f t="shared" si="1512"/>
        <v>Kenya</v>
      </c>
      <c r="J1216" s="14" t="str">
        <f t="array" ref="J1216">IFERROR(INDEX([1]Companies!$Y:$Y,MATCH(B1216,[1]Companies!$A:$A,0)),"")</f>
        <v>Waste Management &amp; Recycling</v>
      </c>
      <c r="K1216" s="14" t="str">
        <f t="array" ref="K1216">IFERROR(INDEX([1]Companies!$X:$X,MATCH(B1216,[1]Companies!$A:$A,0)),"")</f>
        <v>Energy &amp; Environment Resources</v>
      </c>
      <c r="L1216" s="14" t="str">
        <f>VLOOKUP(B1216,[1]Companies!$A$1:$C$5243,1,FALSE)</f>
        <v>Mr Green Africa</v>
      </c>
      <c r="M1216" s="15"/>
      <c r="N1216" s="10"/>
      <c r="O1216" s="14"/>
      <c r="P1216" s="14"/>
      <c r="Q1216" s="14"/>
      <c r="R1216" s="14"/>
      <c r="S1216" s="14"/>
      <c r="T1216" s="14"/>
      <c r="U1216" s="14"/>
      <c r="V1216" s="14">
        <f t="shared" si="1538"/>
        <v>2019</v>
      </c>
      <c r="W1216" s="14">
        <f t="shared" si="1539"/>
        <v>8</v>
      </c>
      <c r="X1216" s="14">
        <f>VLOOKUP(W1216,[1]Lookups!$P$3:$S$15,2,FALSE)</f>
        <v>3</v>
      </c>
      <c r="Y1216" s="16">
        <f>VLOOKUP(W1216,[1]Lookups!$P$3:$U$15,3,FALSE)</f>
        <v>2</v>
      </c>
      <c r="Z1216" s="16">
        <f t="shared" si="1540"/>
        <v>2</v>
      </c>
      <c r="AA1216" s="16"/>
      <c r="AB1216" s="16"/>
      <c r="AC1216" s="16"/>
      <c r="AD1216" s="16"/>
      <c r="AE1216" s="16"/>
      <c r="AF1216" s="16"/>
      <c r="AG1216" s="16"/>
      <c r="AH1216" s="16"/>
      <c r="AI1216" s="16"/>
      <c r="AJ1216" s="16"/>
      <c r="AK1216" s="16"/>
      <c r="AL1216" s="16"/>
      <c r="AM1216" s="16"/>
      <c r="AN1216" s="16"/>
      <c r="AO1216" s="16"/>
      <c r="AP1216" s="10"/>
      <c r="AQ1216" s="10"/>
      <c r="AR1216" s="10"/>
      <c r="AS1216" s="10"/>
      <c r="AT1216" s="10"/>
      <c r="AU1216" s="10"/>
      <c r="AV1216" s="10"/>
      <c r="AW1216" s="10"/>
      <c r="AX1216" s="10"/>
      <c r="AY1216" s="10"/>
      <c r="AZ1216" s="10"/>
      <c r="BA1216" s="10"/>
      <c r="BB1216" s="10"/>
      <c r="BC1216" s="10"/>
      <c r="BD1216" s="10"/>
      <c r="BE1216" s="10"/>
      <c r="BF1216" s="10"/>
      <c r="BG1216" s="10"/>
      <c r="BH1216" s="10"/>
      <c r="BI1216" s="10"/>
      <c r="BJ1216" s="10"/>
      <c r="BK1216" s="10"/>
      <c r="BM1216" s="10"/>
    </row>
    <row r="1217" spans="1:65" ht="12.75">
      <c r="A1217" s="9">
        <v>43693</v>
      </c>
      <c r="B1217" s="10" t="s">
        <v>2541</v>
      </c>
      <c r="C1217" s="11" t="s">
        <v>49</v>
      </c>
      <c r="D1217" s="38">
        <v>0.25</v>
      </c>
      <c r="E1217" s="10" t="s">
        <v>830</v>
      </c>
      <c r="F1217" s="10" t="s">
        <v>2542</v>
      </c>
      <c r="G1217" s="13" t="s">
        <v>2543</v>
      </c>
      <c r="H1217" s="14" t="str">
        <f t="array" ref="H1217">IFERROR(INDEX([1]Companies!$G:$G,MATCH(B1217,[1]Companies!$A:$A,0)),"")</f>
        <v>Nigeria</v>
      </c>
      <c r="I1217" s="14" t="str">
        <f t="shared" si="1512"/>
        <v>Nigeria</v>
      </c>
      <c r="J1217" s="14" t="str">
        <f t="array" ref="J1217">IFERROR(INDEX([1]Companies!$Y:$Y,MATCH(B1217,[1]Companies!$A:$A,0)),"")</f>
        <v>Real Estate, Crowdfunding</v>
      </c>
      <c r="K1217" s="14" t="str">
        <f t="array" ref="K1217">IFERROR(INDEX([1]Companies!$X:$X,MATCH(B1217,[1]Companies!$A:$A,0)),"")</f>
        <v>Financial Services</v>
      </c>
      <c r="L1217" s="14" t="str">
        <f>VLOOKUP(B1217,[1]Companies!$A$1:$C$5243,1,FALSE)</f>
        <v>Vistafront</v>
      </c>
      <c r="M1217" s="15"/>
      <c r="N1217" s="10"/>
      <c r="O1217" s="14"/>
      <c r="P1217" s="14"/>
      <c r="Q1217" s="14"/>
      <c r="R1217" s="14"/>
      <c r="S1217" s="14"/>
      <c r="T1217" s="14"/>
      <c r="U1217" s="14"/>
      <c r="V1217" s="14">
        <f t="shared" si="1538"/>
        <v>2019</v>
      </c>
      <c r="W1217" s="14">
        <f t="shared" si="1539"/>
        <v>8</v>
      </c>
      <c r="X1217" s="14">
        <f>VLOOKUP(W1217,[1]Lookups!$P$3:$S$15,2,FALSE)</f>
        <v>3</v>
      </c>
      <c r="Y1217" s="16">
        <f>VLOOKUP(W1217,[1]Lookups!$P$3:$U$15,3,FALSE)</f>
        <v>2</v>
      </c>
      <c r="Z1217" s="16">
        <f t="shared" si="1540"/>
        <v>1</v>
      </c>
      <c r="AA1217" s="16" t="str">
        <f t="shared" ref="AA1217:AO1232" ca="1" si="1564">AS1217</f>
        <v>Landwey</v>
      </c>
      <c r="AB1217" s="16">
        <f t="shared" si="1564"/>
        <v>0</v>
      </c>
      <c r="AC1217" s="16">
        <f t="shared" si="1564"/>
        <v>0</v>
      </c>
      <c r="AD1217" s="16">
        <f t="shared" si="1564"/>
        <v>0</v>
      </c>
      <c r="AE1217" s="16">
        <f t="shared" si="1564"/>
        <v>0</v>
      </c>
      <c r="AF1217" s="16">
        <f t="shared" si="1564"/>
        <v>0</v>
      </c>
      <c r="AG1217" s="16">
        <f t="shared" si="1564"/>
        <v>0</v>
      </c>
      <c r="AH1217" s="16">
        <f t="shared" si="1564"/>
        <v>0</v>
      </c>
      <c r="AI1217" s="16">
        <f t="shared" si="1564"/>
        <v>0</v>
      </c>
      <c r="AJ1217" s="16">
        <f t="shared" si="1564"/>
        <v>0</v>
      </c>
      <c r="AK1217" s="16">
        <f t="shared" si="1564"/>
        <v>0</v>
      </c>
      <c r="AL1217" s="16">
        <f t="shared" si="1564"/>
        <v>0</v>
      </c>
      <c r="AM1217" s="16">
        <f t="shared" si="1564"/>
        <v>0</v>
      </c>
      <c r="AN1217" s="16">
        <f t="shared" si="1564"/>
        <v>0</v>
      </c>
      <c r="AO1217" s="16">
        <f t="shared" si="1564"/>
        <v>0</v>
      </c>
      <c r="AP1217" s="10"/>
      <c r="AQ1217" s="10"/>
      <c r="AR1217" s="10"/>
      <c r="AS1217" s="10" t="str">
        <f ca="1">IFERROR(__xludf.DUMMYFUNCTION("split(F1217,"","",true,true)"),"Landwey")</f>
        <v>Landwey</v>
      </c>
      <c r="AT1217" s="10"/>
      <c r="AU1217" s="10"/>
      <c r="AV1217" s="10"/>
      <c r="AW1217" s="10"/>
      <c r="AX1217" s="10"/>
      <c r="AY1217" s="10"/>
      <c r="AZ1217" s="10"/>
      <c r="BA1217" s="10"/>
      <c r="BB1217" s="10"/>
      <c r="BC1217" s="10"/>
      <c r="BD1217" s="10"/>
      <c r="BE1217" s="10"/>
      <c r="BF1217" s="10"/>
      <c r="BG1217" s="10"/>
      <c r="BH1217" s="10"/>
      <c r="BI1217" s="10"/>
      <c r="BJ1217" s="10"/>
      <c r="BK1217" s="10"/>
      <c r="BM1217" s="10"/>
    </row>
    <row r="1218" spans="1:65" ht="12.75">
      <c r="A1218" s="46">
        <v>43697</v>
      </c>
      <c r="B1218" s="10" t="s">
        <v>2544</v>
      </c>
      <c r="C1218" s="11">
        <v>65000</v>
      </c>
      <c r="D1218" s="10"/>
      <c r="E1218" s="10" t="s">
        <v>55</v>
      </c>
      <c r="F1218" s="47" t="s">
        <v>2545</v>
      </c>
      <c r="G1218" s="32" t="s">
        <v>2546</v>
      </c>
      <c r="H1218" s="14" t="str">
        <f t="array" ref="H1218">IFERROR(INDEX([1]Companies!$G:$G,MATCH(B1218,[1]Companies!$A:$A,0)),"")</f>
        <v>South Africa</v>
      </c>
      <c r="I1218" s="14" t="str">
        <f t="shared" si="1512"/>
        <v>South Africa</v>
      </c>
      <c r="J1218" s="14" t="str">
        <f t="array" ref="J1218">IFERROR(INDEX([1]Companies!$Y:$Y,MATCH(B1218,[1]Companies!$A:$A,0)),"")</f>
        <v>Financial Services</v>
      </c>
      <c r="K1218" s="14" t="str">
        <f t="array" ref="K1218">IFERROR(INDEX([1]Companies!$X:$X,MATCH(B1218,[1]Companies!$A:$A,0)),"")</f>
        <v>Financial Services</v>
      </c>
      <c r="L1218" s="14" t="str">
        <f>VLOOKUP(B1218,[1]Companies!$A$1:$C$5243,1,FALSE)</f>
        <v>Spoon Money</v>
      </c>
      <c r="M1218" s="15"/>
      <c r="N1218" s="10"/>
      <c r="O1218" s="14"/>
      <c r="P1218" s="14"/>
      <c r="Q1218" s="14"/>
      <c r="R1218" s="14"/>
      <c r="S1218" s="14"/>
      <c r="T1218" s="14"/>
      <c r="U1218" s="14"/>
      <c r="V1218" s="14">
        <f t="shared" si="1538"/>
        <v>2019</v>
      </c>
      <c r="W1218" s="14">
        <f t="shared" si="1539"/>
        <v>8</v>
      </c>
      <c r="X1218" s="14">
        <f>VLOOKUP(W1218,[1]Lookups!$P$3:$S$15,2,FALSE)</f>
        <v>3</v>
      </c>
      <c r="Y1218" s="16">
        <f>VLOOKUP(W1218,[1]Lookups!$P$3:$U$15,3,FALSE)</f>
        <v>2</v>
      </c>
      <c r="Z1218" s="16">
        <f t="shared" si="1540"/>
        <v>1</v>
      </c>
      <c r="AA1218" s="26" t="str">
        <f t="shared" ca="1" si="1564"/>
        <v>http://disrupt-africa.com/2019/08/8-sa-fintech-startups-share-1m-worth-in-funding-support-from-alphacode/</v>
      </c>
      <c r="AB1218" s="16">
        <f t="shared" si="1564"/>
        <v>0</v>
      </c>
      <c r="AC1218" s="16">
        <f t="shared" si="1564"/>
        <v>0</v>
      </c>
      <c r="AD1218" s="16">
        <f t="shared" si="1564"/>
        <v>0</v>
      </c>
      <c r="AE1218" s="16">
        <f t="shared" si="1564"/>
        <v>0</v>
      </c>
      <c r="AF1218" s="16">
        <f t="shared" si="1564"/>
        <v>0</v>
      </c>
      <c r="AG1218" s="16">
        <f t="shared" si="1564"/>
        <v>0</v>
      </c>
      <c r="AH1218" s="16">
        <f t="shared" si="1564"/>
        <v>0</v>
      </c>
      <c r="AI1218" s="16">
        <f t="shared" si="1564"/>
        <v>0</v>
      </c>
      <c r="AJ1218" s="16">
        <f t="shared" si="1564"/>
        <v>0</v>
      </c>
      <c r="AK1218" s="16">
        <f t="shared" si="1564"/>
        <v>0</v>
      </c>
      <c r="AL1218" s="16">
        <f t="shared" si="1564"/>
        <v>0</v>
      </c>
      <c r="AM1218" s="16">
        <f t="shared" si="1564"/>
        <v>0</v>
      </c>
      <c r="AN1218" s="16">
        <f t="shared" si="1564"/>
        <v>0</v>
      </c>
      <c r="AO1218" s="16">
        <f t="shared" si="1564"/>
        <v>0</v>
      </c>
      <c r="AP1218" s="10"/>
      <c r="AQ1218" s="10"/>
      <c r="AR1218" s="10"/>
      <c r="AS1218" s="13" t="str">
        <f t="shared" ref="AS1218" ca="1" si="1565">IFERROR(__xludf.DUMMYFUNCTION("split(G1218,"","",true,true)"),"http://disrupt-africa.com/2019/08/8-sa-fintech-startups-share-1m-worth-in-funding-support-from-alphacode/")</f>
        <v>http://disrupt-africa.com/2019/08/8-sa-fintech-startups-share-1m-worth-in-funding-support-from-alphacode/</v>
      </c>
      <c r="AT1218" s="10"/>
      <c r="AU1218" s="10"/>
      <c r="AV1218" s="10"/>
      <c r="AW1218" s="10"/>
      <c r="AX1218" s="10"/>
      <c r="AY1218" s="10"/>
      <c r="AZ1218" s="10"/>
      <c r="BA1218" s="10"/>
      <c r="BB1218" s="10"/>
      <c r="BC1218" s="10"/>
      <c r="BD1218" s="10"/>
      <c r="BE1218" s="10"/>
      <c r="BF1218" s="10"/>
      <c r="BG1218" s="10"/>
      <c r="BH1218" s="10"/>
      <c r="BI1218" s="10"/>
      <c r="BJ1218" s="10"/>
      <c r="BK1218" s="10"/>
      <c r="BM1218" s="10"/>
    </row>
    <row r="1219" spans="1:65" ht="12.75">
      <c r="A1219" s="46">
        <v>43697</v>
      </c>
      <c r="B1219" s="10" t="s">
        <v>2547</v>
      </c>
      <c r="C1219" s="11">
        <v>65000</v>
      </c>
      <c r="D1219" s="10"/>
      <c r="E1219" s="10" t="s">
        <v>55</v>
      </c>
      <c r="F1219" s="47" t="s">
        <v>2545</v>
      </c>
      <c r="G1219" s="32" t="s">
        <v>2546</v>
      </c>
      <c r="H1219" s="14" t="str">
        <f t="array" ref="H1219">IFERROR(INDEX([1]Companies!$G:$G,MATCH(B1219,[1]Companies!$A:$A,0)),"")</f>
        <v>South Africa</v>
      </c>
      <c r="I1219" s="14" t="str">
        <f t="shared" si="1512"/>
        <v>South Africa</v>
      </c>
      <c r="J1219" s="14">
        <f t="array" ref="J1219">IFERROR(INDEX([1]Companies!$Y:$Y,MATCH(B1219,[1]Companies!$A:$A,0)),"")</f>
        <v>0</v>
      </c>
      <c r="K1219" s="14">
        <f t="array" ref="K1219">IFERROR(INDEX([1]Companies!$X:$X,MATCH(B1219,[1]Companies!$A:$A,0)),"")</f>
        <v>0</v>
      </c>
      <c r="L1219" s="14" t="str">
        <f>VLOOKUP(B1219,[1]Companies!$A$1:$C$5243,1,FALSE)</f>
        <v>IsiDuli</v>
      </c>
      <c r="M1219" s="15"/>
      <c r="N1219" s="10"/>
      <c r="O1219" s="14"/>
      <c r="P1219" s="14"/>
      <c r="Q1219" s="14"/>
      <c r="R1219" s="14"/>
      <c r="S1219" s="14"/>
      <c r="T1219" s="14"/>
      <c r="U1219" s="14"/>
      <c r="V1219" s="14">
        <f t="shared" si="1538"/>
        <v>2019</v>
      </c>
      <c r="W1219" s="14">
        <f t="shared" si="1539"/>
        <v>8</v>
      </c>
      <c r="X1219" s="14">
        <f>VLOOKUP(W1219,[1]Lookups!$P$3:$S$15,2,FALSE)</f>
        <v>3</v>
      </c>
      <c r="Y1219" s="16">
        <f>VLOOKUP(W1219,[1]Lookups!$P$3:$U$15,3,FALSE)</f>
        <v>2</v>
      </c>
      <c r="Z1219" s="16">
        <f t="shared" si="1540"/>
        <v>1</v>
      </c>
      <c r="AA1219" s="26" t="str">
        <f t="shared" ca="1" si="1564"/>
        <v>http://disrupt-africa.com/2019/08/8-sa-fintech-startups-share-1m-worth-in-funding-support-from-alphacode/</v>
      </c>
      <c r="AB1219" s="16">
        <f t="shared" si="1564"/>
        <v>0</v>
      </c>
      <c r="AC1219" s="16">
        <f t="shared" si="1564"/>
        <v>0</v>
      </c>
      <c r="AD1219" s="16">
        <f t="shared" si="1564"/>
        <v>0</v>
      </c>
      <c r="AE1219" s="16">
        <f t="shared" si="1564"/>
        <v>0</v>
      </c>
      <c r="AF1219" s="16">
        <f t="shared" si="1564"/>
        <v>0</v>
      </c>
      <c r="AG1219" s="16">
        <f t="shared" si="1564"/>
        <v>0</v>
      </c>
      <c r="AH1219" s="16">
        <f t="shared" si="1564"/>
        <v>0</v>
      </c>
      <c r="AI1219" s="16">
        <f t="shared" si="1564"/>
        <v>0</v>
      </c>
      <c r="AJ1219" s="16">
        <f t="shared" si="1564"/>
        <v>0</v>
      </c>
      <c r="AK1219" s="16">
        <f t="shared" si="1564"/>
        <v>0</v>
      </c>
      <c r="AL1219" s="16">
        <f t="shared" si="1564"/>
        <v>0</v>
      </c>
      <c r="AM1219" s="16">
        <f t="shared" si="1564"/>
        <v>0</v>
      </c>
      <c r="AN1219" s="16">
        <f t="shared" si="1564"/>
        <v>0</v>
      </c>
      <c r="AO1219" s="16">
        <f t="shared" si="1564"/>
        <v>0</v>
      </c>
      <c r="AP1219" s="10"/>
      <c r="AQ1219" s="10"/>
      <c r="AR1219" s="10"/>
      <c r="AS1219" s="13" t="str">
        <f t="shared" ref="AS1219" ca="1" si="1566">IFERROR(__xludf.DUMMYFUNCTION("split(G1218,"","",true,true)"),"http://disrupt-africa.com/2019/08/8-sa-fintech-startups-share-1m-worth-in-funding-support-from-alphacode/")</f>
        <v>http://disrupt-africa.com/2019/08/8-sa-fintech-startups-share-1m-worth-in-funding-support-from-alphacode/</v>
      </c>
      <c r="AT1219" s="10"/>
      <c r="AU1219" s="10"/>
      <c r="AV1219" s="10"/>
      <c r="AW1219" s="10"/>
      <c r="AX1219" s="10"/>
      <c r="AY1219" s="10"/>
      <c r="AZ1219" s="10"/>
      <c r="BA1219" s="10"/>
      <c r="BB1219" s="10"/>
      <c r="BC1219" s="10"/>
      <c r="BD1219" s="10"/>
      <c r="BE1219" s="10"/>
      <c r="BF1219" s="10"/>
      <c r="BG1219" s="10"/>
      <c r="BH1219" s="10"/>
      <c r="BI1219" s="10"/>
      <c r="BJ1219" s="10"/>
      <c r="BK1219" s="10"/>
      <c r="BM1219" s="10"/>
    </row>
    <row r="1220" spans="1:65" ht="12.75">
      <c r="A1220" s="46">
        <v>43697</v>
      </c>
      <c r="B1220" s="10" t="s">
        <v>2548</v>
      </c>
      <c r="C1220" s="11">
        <v>65000</v>
      </c>
      <c r="D1220" s="10"/>
      <c r="E1220" s="10" t="s">
        <v>55</v>
      </c>
      <c r="F1220" s="47" t="s">
        <v>2545</v>
      </c>
      <c r="G1220" s="32" t="s">
        <v>2546</v>
      </c>
      <c r="H1220" s="14" t="str">
        <f t="array" ref="H1220">IFERROR(INDEX([1]Companies!$G:$G,MATCH(B1220,[1]Companies!$A:$A,0)),"")</f>
        <v>South Africa</v>
      </c>
      <c r="I1220" s="14" t="str">
        <f t="shared" si="1512"/>
        <v>South Africa</v>
      </c>
      <c r="J1220" s="14" t="str">
        <f t="array" ref="J1220">IFERROR(INDEX([1]Companies!$Y:$Y,MATCH(B1220,[1]Companies!$A:$A,0)),"")</f>
        <v>Payments, Healthcare</v>
      </c>
      <c r="K1220" s="14" t="str">
        <f t="array" ref="K1220">IFERROR(INDEX([1]Companies!$X:$X,MATCH(B1220,[1]Companies!$A:$A,0)),"")</f>
        <v>Financial Services</v>
      </c>
      <c r="L1220" s="14" t="str">
        <f>VLOOKUP(B1220,[1]Companies!$A$1:$C$5243,1,FALSE)</f>
        <v>Oyi Medical Card</v>
      </c>
      <c r="M1220" s="15"/>
      <c r="N1220" s="10"/>
      <c r="O1220" s="14"/>
      <c r="P1220" s="14"/>
      <c r="Q1220" s="14"/>
      <c r="R1220" s="14"/>
      <c r="S1220" s="14"/>
      <c r="T1220" s="14"/>
      <c r="U1220" s="14"/>
      <c r="V1220" s="14">
        <f t="shared" si="1538"/>
        <v>2019</v>
      </c>
      <c r="W1220" s="14">
        <f t="shared" si="1539"/>
        <v>8</v>
      </c>
      <c r="X1220" s="14">
        <f>VLOOKUP(W1220,[1]Lookups!$P$3:$S$15,2,FALSE)</f>
        <v>3</v>
      </c>
      <c r="Y1220" s="16">
        <f>VLOOKUP(W1220,[1]Lookups!$P$3:$U$15,3,FALSE)</f>
        <v>2</v>
      </c>
      <c r="Z1220" s="16">
        <f t="shared" si="1540"/>
        <v>1</v>
      </c>
      <c r="AA1220" s="26" t="str">
        <f t="shared" ca="1" si="1564"/>
        <v>http://disrupt-africa.com/2019/08/8-sa-fintech-startups-share-1m-worth-in-funding-support-from-alphacode/</v>
      </c>
      <c r="AB1220" s="16">
        <f t="shared" si="1564"/>
        <v>0</v>
      </c>
      <c r="AC1220" s="16">
        <f t="shared" si="1564"/>
        <v>0</v>
      </c>
      <c r="AD1220" s="16">
        <f t="shared" si="1564"/>
        <v>0</v>
      </c>
      <c r="AE1220" s="16">
        <f t="shared" si="1564"/>
        <v>0</v>
      </c>
      <c r="AF1220" s="16">
        <f t="shared" si="1564"/>
        <v>0</v>
      </c>
      <c r="AG1220" s="16">
        <f t="shared" si="1564"/>
        <v>0</v>
      </c>
      <c r="AH1220" s="16">
        <f t="shared" si="1564"/>
        <v>0</v>
      </c>
      <c r="AI1220" s="16">
        <f t="shared" si="1564"/>
        <v>0</v>
      </c>
      <c r="AJ1220" s="16">
        <f t="shared" si="1564"/>
        <v>0</v>
      </c>
      <c r="AK1220" s="16">
        <f t="shared" si="1564"/>
        <v>0</v>
      </c>
      <c r="AL1220" s="16">
        <f t="shared" si="1564"/>
        <v>0</v>
      </c>
      <c r="AM1220" s="16">
        <f t="shared" si="1564"/>
        <v>0</v>
      </c>
      <c r="AN1220" s="16">
        <f t="shared" si="1564"/>
        <v>0</v>
      </c>
      <c r="AO1220" s="16">
        <f t="shared" si="1564"/>
        <v>0</v>
      </c>
      <c r="AP1220" s="10"/>
      <c r="AQ1220" s="10"/>
      <c r="AR1220" s="10"/>
      <c r="AS1220" s="13" t="str">
        <f t="shared" ref="AS1220" ca="1" si="1567">IFERROR(__xludf.DUMMYFUNCTION("split(G1218,"","",true,true)"),"http://disrupt-africa.com/2019/08/8-sa-fintech-startups-share-1m-worth-in-funding-support-from-alphacode/")</f>
        <v>http://disrupt-africa.com/2019/08/8-sa-fintech-startups-share-1m-worth-in-funding-support-from-alphacode/</v>
      </c>
      <c r="AT1220" s="10"/>
      <c r="AU1220" s="10"/>
      <c r="AV1220" s="10"/>
      <c r="AW1220" s="10"/>
      <c r="AX1220" s="10"/>
      <c r="AY1220" s="10"/>
      <c r="AZ1220" s="10"/>
      <c r="BA1220" s="10"/>
      <c r="BB1220" s="10"/>
      <c r="BC1220" s="10"/>
      <c r="BD1220" s="10"/>
      <c r="BE1220" s="10"/>
      <c r="BF1220" s="10"/>
      <c r="BG1220" s="10"/>
      <c r="BH1220" s="10"/>
      <c r="BI1220" s="10"/>
      <c r="BJ1220" s="10"/>
      <c r="BK1220" s="10"/>
      <c r="BM1220" s="10"/>
    </row>
    <row r="1221" spans="1:65" ht="12.75">
      <c r="A1221" s="46">
        <v>43697</v>
      </c>
      <c r="B1221" s="10" t="s">
        <v>2549</v>
      </c>
      <c r="C1221" s="11">
        <v>65000</v>
      </c>
      <c r="D1221" s="10"/>
      <c r="E1221" s="10" t="s">
        <v>55</v>
      </c>
      <c r="F1221" s="47" t="s">
        <v>2545</v>
      </c>
      <c r="G1221" s="32" t="s">
        <v>2546</v>
      </c>
      <c r="H1221" s="14" t="str">
        <f t="array" ref="H1221">IFERROR(INDEX([1]Companies!$G:$G,MATCH(B1221,[1]Companies!$A:$A,0)),"")</f>
        <v>South Africa</v>
      </c>
      <c r="I1221" s="14" t="str">
        <f t="shared" si="1512"/>
        <v>South Africa</v>
      </c>
      <c r="J1221" s="14" t="str">
        <f t="array" ref="J1221">IFERROR(INDEX([1]Companies!$Y:$Y,MATCH(B1221,[1]Companies!$A:$A,0)),"")</f>
        <v>Financial Management</v>
      </c>
      <c r="K1221" s="14" t="str">
        <f t="array" ref="K1221">IFERROR(INDEX([1]Companies!$X:$X,MATCH(B1221,[1]Companies!$A:$A,0)),"")</f>
        <v>Financial Services</v>
      </c>
      <c r="L1221" s="14" t="str">
        <f>VLOOKUP(B1221,[1]Companies!$A$1:$C$5243,1,FALSE)</f>
        <v>Budgie</v>
      </c>
      <c r="M1221" s="15"/>
      <c r="N1221" s="10"/>
      <c r="O1221" s="14"/>
      <c r="P1221" s="14"/>
      <c r="Q1221" s="14"/>
      <c r="R1221" s="14"/>
      <c r="S1221" s="14"/>
      <c r="T1221" s="14"/>
      <c r="U1221" s="14"/>
      <c r="V1221" s="14">
        <f t="shared" si="1538"/>
        <v>2019</v>
      </c>
      <c r="W1221" s="14">
        <f t="shared" si="1539"/>
        <v>8</v>
      </c>
      <c r="X1221" s="14">
        <f>VLOOKUP(W1221,[1]Lookups!$P$3:$S$15,2,FALSE)</f>
        <v>3</v>
      </c>
      <c r="Y1221" s="16">
        <f>VLOOKUP(W1221,[1]Lookups!$P$3:$U$15,3,FALSE)</f>
        <v>2</v>
      </c>
      <c r="Z1221" s="16">
        <f t="shared" si="1540"/>
        <v>1</v>
      </c>
      <c r="AA1221" s="26" t="str">
        <f t="shared" ca="1" si="1564"/>
        <v>http://disrupt-africa.com/2019/08/8-sa-fintech-startups-share-1m-worth-in-funding-support-from-alphacode/</v>
      </c>
      <c r="AB1221" s="16">
        <f t="shared" si="1564"/>
        <v>0</v>
      </c>
      <c r="AC1221" s="16">
        <f t="shared" si="1564"/>
        <v>0</v>
      </c>
      <c r="AD1221" s="16">
        <f t="shared" si="1564"/>
        <v>0</v>
      </c>
      <c r="AE1221" s="16">
        <f t="shared" si="1564"/>
        <v>0</v>
      </c>
      <c r="AF1221" s="16">
        <f t="shared" si="1564"/>
        <v>0</v>
      </c>
      <c r="AG1221" s="16">
        <f t="shared" si="1564"/>
        <v>0</v>
      </c>
      <c r="AH1221" s="16">
        <f t="shared" si="1564"/>
        <v>0</v>
      </c>
      <c r="AI1221" s="16">
        <f t="shared" si="1564"/>
        <v>0</v>
      </c>
      <c r="AJ1221" s="16">
        <f t="shared" si="1564"/>
        <v>0</v>
      </c>
      <c r="AK1221" s="16">
        <f t="shared" si="1564"/>
        <v>0</v>
      </c>
      <c r="AL1221" s="16">
        <f t="shared" si="1564"/>
        <v>0</v>
      </c>
      <c r="AM1221" s="16">
        <f t="shared" si="1564"/>
        <v>0</v>
      </c>
      <c r="AN1221" s="16">
        <f t="shared" si="1564"/>
        <v>0</v>
      </c>
      <c r="AO1221" s="16">
        <f t="shared" si="1564"/>
        <v>0</v>
      </c>
      <c r="AP1221" s="10"/>
      <c r="AQ1221" s="10"/>
      <c r="AR1221" s="10"/>
      <c r="AS1221" s="13" t="str">
        <f t="shared" ref="AS1221" ca="1" si="1568">IFERROR(__xludf.DUMMYFUNCTION("split(G1218,"","",true,true)"),"http://disrupt-africa.com/2019/08/8-sa-fintech-startups-share-1m-worth-in-funding-support-from-alphacode/")</f>
        <v>http://disrupt-africa.com/2019/08/8-sa-fintech-startups-share-1m-worth-in-funding-support-from-alphacode/</v>
      </c>
      <c r="AT1221" s="10"/>
      <c r="AU1221" s="10"/>
      <c r="AV1221" s="10"/>
      <c r="AW1221" s="10"/>
      <c r="AX1221" s="10"/>
      <c r="AY1221" s="10"/>
      <c r="AZ1221" s="10"/>
      <c r="BA1221" s="10"/>
      <c r="BB1221" s="10"/>
      <c r="BC1221" s="10"/>
      <c r="BD1221" s="10"/>
      <c r="BE1221" s="10"/>
      <c r="BF1221" s="10"/>
      <c r="BG1221" s="10"/>
      <c r="BH1221" s="10"/>
      <c r="BI1221" s="10"/>
      <c r="BJ1221" s="10"/>
      <c r="BK1221" s="10"/>
      <c r="BM1221" s="10"/>
    </row>
    <row r="1222" spans="1:65" ht="12.75">
      <c r="A1222" s="46">
        <v>43697</v>
      </c>
      <c r="B1222" s="10" t="s">
        <v>2550</v>
      </c>
      <c r="C1222" s="11">
        <v>65000</v>
      </c>
      <c r="D1222" s="10"/>
      <c r="E1222" s="10" t="s">
        <v>55</v>
      </c>
      <c r="F1222" s="47" t="s">
        <v>2545</v>
      </c>
      <c r="G1222" s="32" t="s">
        <v>2546</v>
      </c>
      <c r="H1222" s="14" t="str">
        <f t="array" ref="H1222">IFERROR(INDEX([1]Companies!$G:$G,MATCH(B1222,[1]Companies!$A:$A,0)),"")</f>
        <v>South Africa</v>
      </c>
      <c r="I1222" s="14" t="str">
        <f t="shared" si="1512"/>
        <v>South Africa</v>
      </c>
      <c r="J1222" s="14" t="str">
        <f t="array" ref="J1222">IFERROR(INDEX([1]Companies!$Y:$Y,MATCH(B1222,[1]Companies!$A:$A,0)),"")</f>
        <v>Payments</v>
      </c>
      <c r="K1222" s="14" t="str">
        <f t="array" ref="K1222">IFERROR(INDEX([1]Companies!$X:$X,MATCH(B1222,[1]Companies!$A:$A,0)),"")</f>
        <v>Financial Services</v>
      </c>
      <c r="L1222" s="14" t="str">
        <f>VLOOKUP(B1222,[1]Companies!$A$1:$C$5243,1,FALSE)</f>
        <v>Olova</v>
      </c>
      <c r="M1222" s="15"/>
      <c r="N1222" s="10"/>
      <c r="O1222" s="14"/>
      <c r="P1222" s="14"/>
      <c r="Q1222" s="14"/>
      <c r="R1222" s="14"/>
      <c r="S1222" s="14"/>
      <c r="T1222" s="14"/>
      <c r="U1222" s="14"/>
      <c r="V1222" s="14">
        <f t="shared" si="1538"/>
        <v>2019</v>
      </c>
      <c r="W1222" s="14">
        <f t="shared" si="1539"/>
        <v>8</v>
      </c>
      <c r="X1222" s="14">
        <f>VLOOKUP(W1222,[1]Lookups!$P$3:$S$15,2,FALSE)</f>
        <v>3</v>
      </c>
      <c r="Y1222" s="16">
        <f>VLOOKUP(W1222,[1]Lookups!$P$3:$U$15,3,FALSE)</f>
        <v>2</v>
      </c>
      <c r="Z1222" s="16">
        <f t="shared" si="1540"/>
        <v>1</v>
      </c>
      <c r="AA1222" s="26" t="str">
        <f t="shared" ca="1" si="1564"/>
        <v>http://disrupt-africa.com/2019/08/8-sa-fintech-startups-share-1m-worth-in-funding-support-from-alphacode/</v>
      </c>
      <c r="AB1222" s="16">
        <f t="shared" si="1564"/>
        <v>0</v>
      </c>
      <c r="AC1222" s="16">
        <f t="shared" si="1564"/>
        <v>0</v>
      </c>
      <c r="AD1222" s="16">
        <f t="shared" si="1564"/>
        <v>0</v>
      </c>
      <c r="AE1222" s="16">
        <f t="shared" si="1564"/>
        <v>0</v>
      </c>
      <c r="AF1222" s="16">
        <f t="shared" si="1564"/>
        <v>0</v>
      </c>
      <c r="AG1222" s="16">
        <f t="shared" si="1564"/>
        <v>0</v>
      </c>
      <c r="AH1222" s="16">
        <f t="shared" si="1564"/>
        <v>0</v>
      </c>
      <c r="AI1222" s="16">
        <f t="shared" si="1564"/>
        <v>0</v>
      </c>
      <c r="AJ1222" s="16">
        <f t="shared" si="1564"/>
        <v>0</v>
      </c>
      <c r="AK1222" s="16">
        <f t="shared" si="1564"/>
        <v>0</v>
      </c>
      <c r="AL1222" s="16">
        <f t="shared" si="1564"/>
        <v>0</v>
      </c>
      <c r="AM1222" s="16">
        <f t="shared" si="1564"/>
        <v>0</v>
      </c>
      <c r="AN1222" s="16">
        <f t="shared" si="1564"/>
        <v>0</v>
      </c>
      <c r="AO1222" s="16">
        <f t="shared" si="1564"/>
        <v>0</v>
      </c>
      <c r="AP1222" s="10"/>
      <c r="AQ1222" s="10"/>
      <c r="AR1222" s="10"/>
      <c r="AS1222" s="13" t="str">
        <f t="shared" ref="AS1222" ca="1" si="1569">IFERROR(__xludf.DUMMYFUNCTION("split(G1218,"","",true,true)"),"http://disrupt-africa.com/2019/08/8-sa-fintech-startups-share-1m-worth-in-funding-support-from-alphacode/")</f>
        <v>http://disrupt-africa.com/2019/08/8-sa-fintech-startups-share-1m-worth-in-funding-support-from-alphacode/</v>
      </c>
      <c r="AT1222" s="10"/>
      <c r="AU1222" s="10"/>
      <c r="AV1222" s="10"/>
      <c r="AW1222" s="10"/>
      <c r="AX1222" s="10"/>
      <c r="AY1222" s="10"/>
      <c r="AZ1222" s="10"/>
      <c r="BA1222" s="10"/>
      <c r="BB1222" s="10"/>
      <c r="BC1222" s="10"/>
      <c r="BD1222" s="10"/>
      <c r="BE1222" s="10"/>
      <c r="BF1222" s="10"/>
      <c r="BG1222" s="10"/>
      <c r="BH1222" s="10"/>
      <c r="BI1222" s="10"/>
      <c r="BJ1222" s="10"/>
      <c r="BK1222" s="10"/>
      <c r="BM1222" s="10"/>
    </row>
    <row r="1223" spans="1:65" ht="12.75">
      <c r="A1223" s="46">
        <v>43697</v>
      </c>
      <c r="B1223" s="10" t="s">
        <v>2551</v>
      </c>
      <c r="C1223" s="11">
        <v>65000</v>
      </c>
      <c r="D1223" s="10"/>
      <c r="E1223" s="10" t="s">
        <v>55</v>
      </c>
      <c r="F1223" s="47" t="s">
        <v>2545</v>
      </c>
      <c r="G1223" s="32" t="s">
        <v>2546</v>
      </c>
      <c r="H1223" s="14" t="str">
        <f t="array" ref="H1223">IFERROR(INDEX([1]Companies!$G:$G,MATCH(B1223,[1]Companies!$A:$A,0)),"")</f>
        <v>South Africa</v>
      </c>
      <c r="I1223" s="14" t="str">
        <f t="shared" si="1512"/>
        <v>South Africa</v>
      </c>
      <c r="J1223" s="14">
        <f t="array" ref="J1223">IFERROR(INDEX([1]Companies!$Y:$Y,MATCH(B1223,[1]Companies!$A:$A,0)),"")</f>
        <v>0</v>
      </c>
      <c r="K1223" s="14">
        <f t="array" ref="K1223">IFERROR(INDEX([1]Companies!$X:$X,MATCH(B1223,[1]Companies!$A:$A,0)),"")</f>
        <v>0</v>
      </c>
      <c r="L1223" s="14" t="str">
        <f>VLOOKUP(B1223,[1]Companies!$A$1:$C$5243,1,FALSE)</f>
        <v>GetVanced</v>
      </c>
      <c r="M1223" s="15"/>
      <c r="N1223" s="10"/>
      <c r="O1223" s="14"/>
      <c r="P1223" s="14"/>
      <c r="Q1223" s="14"/>
      <c r="R1223" s="14"/>
      <c r="S1223" s="14"/>
      <c r="T1223" s="14"/>
      <c r="U1223" s="14"/>
      <c r="V1223" s="14">
        <f t="shared" si="1538"/>
        <v>2019</v>
      </c>
      <c r="W1223" s="14">
        <f t="shared" si="1539"/>
        <v>8</v>
      </c>
      <c r="X1223" s="14">
        <f>VLOOKUP(W1223,[1]Lookups!$P$3:$S$15,2,FALSE)</f>
        <v>3</v>
      </c>
      <c r="Y1223" s="16">
        <f>VLOOKUP(W1223,[1]Lookups!$P$3:$U$15,3,FALSE)</f>
        <v>2</v>
      </c>
      <c r="Z1223" s="16">
        <f t="shared" si="1540"/>
        <v>1</v>
      </c>
      <c r="AA1223" s="26" t="str">
        <f t="shared" ca="1" si="1564"/>
        <v>http://disrupt-africa.com/2019/08/8-sa-fintech-startups-share-1m-worth-in-funding-support-from-alphacode/</v>
      </c>
      <c r="AB1223" s="16">
        <f t="shared" si="1564"/>
        <v>0</v>
      </c>
      <c r="AC1223" s="16">
        <f t="shared" si="1564"/>
        <v>0</v>
      </c>
      <c r="AD1223" s="16">
        <f t="shared" si="1564"/>
        <v>0</v>
      </c>
      <c r="AE1223" s="16">
        <f t="shared" si="1564"/>
        <v>0</v>
      </c>
      <c r="AF1223" s="16">
        <f t="shared" si="1564"/>
        <v>0</v>
      </c>
      <c r="AG1223" s="16">
        <f t="shared" si="1564"/>
        <v>0</v>
      </c>
      <c r="AH1223" s="16">
        <f t="shared" si="1564"/>
        <v>0</v>
      </c>
      <c r="AI1223" s="16">
        <f t="shared" si="1564"/>
        <v>0</v>
      </c>
      <c r="AJ1223" s="16">
        <f t="shared" si="1564"/>
        <v>0</v>
      </c>
      <c r="AK1223" s="16">
        <f t="shared" si="1564"/>
        <v>0</v>
      </c>
      <c r="AL1223" s="16">
        <f t="shared" si="1564"/>
        <v>0</v>
      </c>
      <c r="AM1223" s="16">
        <f t="shared" si="1564"/>
        <v>0</v>
      </c>
      <c r="AN1223" s="16">
        <f t="shared" si="1564"/>
        <v>0</v>
      </c>
      <c r="AO1223" s="16">
        <f t="shared" si="1564"/>
        <v>0</v>
      </c>
      <c r="AP1223" s="10"/>
      <c r="AQ1223" s="10"/>
      <c r="AR1223" s="10"/>
      <c r="AS1223" s="13" t="str">
        <f t="shared" ref="AS1223" ca="1" si="1570">IFERROR(__xludf.DUMMYFUNCTION("split(G1218,"","",true,true)"),"http://disrupt-africa.com/2019/08/8-sa-fintech-startups-share-1m-worth-in-funding-support-from-alphacode/")</f>
        <v>http://disrupt-africa.com/2019/08/8-sa-fintech-startups-share-1m-worth-in-funding-support-from-alphacode/</v>
      </c>
      <c r="AT1223" s="10"/>
      <c r="AU1223" s="10"/>
      <c r="AV1223" s="10"/>
      <c r="AW1223" s="10"/>
      <c r="AX1223" s="10"/>
      <c r="AY1223" s="10"/>
      <c r="AZ1223" s="10"/>
      <c r="BA1223" s="10"/>
      <c r="BB1223" s="10"/>
      <c r="BC1223" s="10"/>
      <c r="BD1223" s="10"/>
      <c r="BE1223" s="10"/>
      <c r="BF1223" s="10"/>
      <c r="BG1223" s="10"/>
      <c r="BH1223" s="10"/>
      <c r="BI1223" s="10"/>
      <c r="BJ1223" s="10"/>
      <c r="BK1223" s="10"/>
      <c r="BM1223" s="10"/>
    </row>
    <row r="1224" spans="1:65" ht="12.75">
      <c r="A1224" s="46">
        <v>43697</v>
      </c>
      <c r="B1224" s="10" t="s">
        <v>2552</v>
      </c>
      <c r="C1224" s="11">
        <v>65000</v>
      </c>
      <c r="D1224" s="10"/>
      <c r="E1224" s="10" t="s">
        <v>55</v>
      </c>
      <c r="F1224" s="47" t="s">
        <v>2545</v>
      </c>
      <c r="G1224" s="32" t="s">
        <v>2546</v>
      </c>
      <c r="H1224" s="14" t="str">
        <f t="array" ref="H1224">IFERROR(INDEX([1]Companies!$G:$G,MATCH(B1224,[1]Companies!$A:$A,0)),"")</f>
        <v>South Africa</v>
      </c>
      <c r="I1224" s="14" t="str">
        <f t="shared" si="1512"/>
        <v>South Africa</v>
      </c>
      <c r="J1224" s="14">
        <f t="array" ref="J1224">IFERROR(INDEX([1]Companies!$Y:$Y,MATCH(B1224,[1]Companies!$A:$A,0)),"")</f>
        <v>0</v>
      </c>
      <c r="K1224" s="14">
        <f t="array" ref="K1224">IFERROR(INDEX([1]Companies!$X:$X,MATCH(B1224,[1]Companies!$A:$A,0)),"")</f>
        <v>0</v>
      </c>
      <c r="L1224" s="14" t="str">
        <f>VLOOKUP(B1224,[1]Companies!$A$1:$C$5243,1,FALSE)</f>
        <v>Mari</v>
      </c>
      <c r="M1224" s="15"/>
      <c r="N1224" s="10"/>
      <c r="O1224" s="14"/>
      <c r="P1224" s="14"/>
      <c r="Q1224" s="14"/>
      <c r="R1224" s="14"/>
      <c r="S1224" s="14"/>
      <c r="T1224" s="14"/>
      <c r="U1224" s="14"/>
      <c r="V1224" s="14">
        <f t="shared" si="1538"/>
        <v>2019</v>
      </c>
      <c r="W1224" s="14">
        <f t="shared" si="1539"/>
        <v>8</v>
      </c>
      <c r="X1224" s="14">
        <f>VLOOKUP(W1224,[1]Lookups!$P$3:$S$15,2,FALSE)</f>
        <v>3</v>
      </c>
      <c r="Y1224" s="16">
        <f>VLOOKUP(W1224,[1]Lookups!$P$3:$U$15,3,FALSE)</f>
        <v>2</v>
      </c>
      <c r="Z1224" s="16">
        <f t="shared" si="1540"/>
        <v>1</v>
      </c>
      <c r="AA1224" s="26" t="str">
        <f t="shared" ca="1" si="1564"/>
        <v>http://disrupt-africa.com/2019/08/8-sa-fintech-startups-share-1m-worth-in-funding-support-from-alphacode/</v>
      </c>
      <c r="AB1224" s="16">
        <f t="shared" si="1564"/>
        <v>0</v>
      </c>
      <c r="AC1224" s="16">
        <f t="shared" si="1564"/>
        <v>0</v>
      </c>
      <c r="AD1224" s="16">
        <f t="shared" si="1564"/>
        <v>0</v>
      </c>
      <c r="AE1224" s="16">
        <f t="shared" si="1564"/>
        <v>0</v>
      </c>
      <c r="AF1224" s="16">
        <f t="shared" si="1564"/>
        <v>0</v>
      </c>
      <c r="AG1224" s="16">
        <f t="shared" si="1564"/>
        <v>0</v>
      </c>
      <c r="AH1224" s="16">
        <f t="shared" si="1564"/>
        <v>0</v>
      </c>
      <c r="AI1224" s="16">
        <f t="shared" si="1564"/>
        <v>0</v>
      </c>
      <c r="AJ1224" s="16">
        <f t="shared" si="1564"/>
        <v>0</v>
      </c>
      <c r="AK1224" s="16">
        <f t="shared" si="1564"/>
        <v>0</v>
      </c>
      <c r="AL1224" s="16">
        <f t="shared" si="1564"/>
        <v>0</v>
      </c>
      <c r="AM1224" s="16">
        <f t="shared" si="1564"/>
        <v>0</v>
      </c>
      <c r="AN1224" s="16">
        <f t="shared" si="1564"/>
        <v>0</v>
      </c>
      <c r="AO1224" s="16">
        <f t="shared" si="1564"/>
        <v>0</v>
      </c>
      <c r="AP1224" s="10"/>
      <c r="AQ1224" s="10"/>
      <c r="AR1224" s="10"/>
      <c r="AS1224" s="13" t="str">
        <f t="shared" ref="AS1224" ca="1" si="1571">IFERROR(__xludf.DUMMYFUNCTION("split(G1218,"","",true,true)"),"http://disrupt-africa.com/2019/08/8-sa-fintech-startups-share-1m-worth-in-funding-support-from-alphacode/")</f>
        <v>http://disrupt-africa.com/2019/08/8-sa-fintech-startups-share-1m-worth-in-funding-support-from-alphacode/</v>
      </c>
      <c r="AT1224" s="10"/>
      <c r="AU1224" s="10"/>
      <c r="AV1224" s="10"/>
      <c r="AW1224" s="10"/>
      <c r="AX1224" s="10"/>
      <c r="AY1224" s="10"/>
      <c r="AZ1224" s="10"/>
      <c r="BA1224" s="10"/>
      <c r="BB1224" s="10"/>
      <c r="BC1224" s="10"/>
      <c r="BD1224" s="10"/>
      <c r="BE1224" s="10"/>
      <c r="BF1224" s="10"/>
      <c r="BG1224" s="10"/>
      <c r="BH1224" s="10"/>
      <c r="BI1224" s="10"/>
      <c r="BJ1224" s="10"/>
      <c r="BK1224" s="10"/>
      <c r="BM1224" s="10"/>
    </row>
    <row r="1225" spans="1:65" ht="12.75">
      <c r="A1225" s="9">
        <v>43697</v>
      </c>
      <c r="B1225" s="10" t="s">
        <v>2553</v>
      </c>
      <c r="C1225" s="11">
        <v>65000</v>
      </c>
      <c r="D1225" s="12"/>
      <c r="E1225" s="10" t="s">
        <v>55</v>
      </c>
      <c r="F1225" s="47" t="s">
        <v>2545</v>
      </c>
      <c r="G1225" s="32" t="s">
        <v>2546</v>
      </c>
      <c r="H1225" s="14" t="str">
        <f t="array" ref="H1225">IFERROR(INDEX([1]Companies!$G:$G,MATCH(B1225,[1]Companies!$A:$A,0)),"")</f>
        <v>South Africa</v>
      </c>
      <c r="I1225" s="14" t="str">
        <f t="shared" si="1512"/>
        <v>South Africa</v>
      </c>
      <c r="J1225" s="14">
        <f t="array" ref="J1225">IFERROR(INDEX([1]Companies!$Y:$Y,MATCH(B1225,[1]Companies!$A:$A,0)),"")</f>
        <v>0</v>
      </c>
      <c r="K1225" s="14">
        <f t="array" ref="K1225">IFERROR(INDEX([1]Companies!$X:$X,MATCH(B1225,[1]Companies!$A:$A,0)),"")</f>
        <v>0</v>
      </c>
      <c r="L1225" s="14" t="str">
        <f>VLOOKUP(B1225,[1]Companies!$A$1:$C$5243,1,FALSE)</f>
        <v>OkGO.Live</v>
      </c>
      <c r="M1225" s="15"/>
      <c r="N1225" s="10"/>
      <c r="O1225" s="14"/>
      <c r="P1225" s="14"/>
      <c r="Q1225" s="14"/>
      <c r="R1225" s="14"/>
      <c r="S1225" s="14"/>
      <c r="T1225" s="14"/>
      <c r="U1225" s="14"/>
      <c r="V1225" s="14">
        <f t="shared" si="1538"/>
        <v>2019</v>
      </c>
      <c r="W1225" s="14">
        <f t="shared" si="1539"/>
        <v>8</v>
      </c>
      <c r="X1225" s="14">
        <f>VLOOKUP(W1225,[1]Lookups!$P$3:$S$15,2,FALSE)</f>
        <v>3</v>
      </c>
      <c r="Y1225" s="16">
        <f>VLOOKUP(W1225,[1]Lookups!$P$3:$U$15,3,FALSE)</f>
        <v>2</v>
      </c>
      <c r="Z1225" s="16">
        <f t="shared" si="1540"/>
        <v>1</v>
      </c>
      <c r="AA1225" s="16" t="str">
        <f t="shared" ca="1" si="1564"/>
        <v>AlphaCode</v>
      </c>
      <c r="AB1225" s="16">
        <f t="shared" si="1564"/>
        <v>0</v>
      </c>
      <c r="AC1225" s="16">
        <f t="shared" si="1564"/>
        <v>0</v>
      </c>
      <c r="AD1225" s="16">
        <f t="shared" si="1564"/>
        <v>0</v>
      </c>
      <c r="AE1225" s="16">
        <f t="shared" si="1564"/>
        <v>0</v>
      </c>
      <c r="AF1225" s="16">
        <f t="shared" si="1564"/>
        <v>0</v>
      </c>
      <c r="AG1225" s="16">
        <f t="shared" si="1564"/>
        <v>0</v>
      </c>
      <c r="AH1225" s="16">
        <f t="shared" si="1564"/>
        <v>0</v>
      </c>
      <c r="AI1225" s="16">
        <f t="shared" si="1564"/>
        <v>0</v>
      </c>
      <c r="AJ1225" s="16">
        <f t="shared" si="1564"/>
        <v>0</v>
      </c>
      <c r="AK1225" s="16">
        <f t="shared" si="1564"/>
        <v>0</v>
      </c>
      <c r="AL1225" s="16">
        <f t="shared" si="1564"/>
        <v>0</v>
      </c>
      <c r="AM1225" s="16">
        <f t="shared" si="1564"/>
        <v>0</v>
      </c>
      <c r="AN1225" s="16">
        <f t="shared" si="1564"/>
        <v>0</v>
      </c>
      <c r="AO1225" s="16">
        <f t="shared" si="1564"/>
        <v>0</v>
      </c>
      <c r="AP1225" s="10"/>
      <c r="AQ1225" s="10"/>
      <c r="AR1225" s="10"/>
      <c r="AS1225" s="10" t="str">
        <f t="shared" ref="AS1225" ca="1" si="1572">IFERROR(__xludf.DUMMYFUNCTION("split(F1225,"","",true,true)"),"AlphaCode")</f>
        <v>AlphaCode</v>
      </c>
      <c r="AT1225" s="10"/>
      <c r="AU1225" s="10"/>
      <c r="AV1225" s="10"/>
      <c r="AW1225" s="10"/>
      <c r="AX1225" s="10"/>
      <c r="AY1225" s="10"/>
      <c r="AZ1225" s="10"/>
      <c r="BA1225" s="10"/>
      <c r="BB1225" s="10"/>
      <c r="BC1225" s="10"/>
      <c r="BD1225" s="10"/>
      <c r="BE1225" s="10"/>
      <c r="BF1225" s="10"/>
      <c r="BG1225" s="10"/>
      <c r="BH1225" s="10"/>
      <c r="BI1225" s="10"/>
      <c r="BJ1225" s="10"/>
      <c r="BK1225" s="10"/>
      <c r="BM1225" s="10"/>
    </row>
    <row r="1226" spans="1:65" ht="12.75">
      <c r="A1226" s="9">
        <v>43698</v>
      </c>
      <c r="B1226" s="10" t="s">
        <v>2554</v>
      </c>
      <c r="C1226" s="11">
        <v>100000</v>
      </c>
      <c r="D1226" s="12"/>
      <c r="E1226" s="10" t="s">
        <v>234</v>
      </c>
      <c r="F1226" s="10" t="s">
        <v>2349</v>
      </c>
      <c r="G1226" s="13" t="s">
        <v>2555</v>
      </c>
      <c r="H1226" s="14" t="str">
        <f t="array" ref="H1226">IFERROR(INDEX([1]Companies!$G:$G,MATCH(B1226,[1]Companies!$A:$A,0)),"")</f>
        <v>Kenya</v>
      </c>
      <c r="I1226" s="14" t="str">
        <f t="shared" si="1512"/>
        <v>Kenya</v>
      </c>
      <c r="J1226" s="14" t="str">
        <f t="array" ref="J1226">IFERROR(INDEX([1]Companies!$Y:$Y,MATCH(B1226,[1]Companies!$A:$A,0)),"")</f>
        <v>mHealth</v>
      </c>
      <c r="K1226" s="14" t="str">
        <f t="array" ref="K1226">IFERROR(INDEX([1]Companies!$X:$X,MATCH(B1226,[1]Companies!$A:$A,0)),"")</f>
        <v>Healthcare &amp; Pharma</v>
      </c>
      <c r="L1226" s="14" t="str">
        <f>VLOOKUP(B1226,[1]Companies!$A$1:$C$5243,1,FALSE)</f>
        <v>Nadia</v>
      </c>
      <c r="M1226" s="15"/>
      <c r="N1226" s="10"/>
      <c r="O1226" s="14"/>
      <c r="P1226" s="14"/>
      <c r="Q1226" s="14"/>
      <c r="R1226" s="14"/>
      <c r="S1226" s="14"/>
      <c r="T1226" s="14"/>
      <c r="U1226" s="14"/>
      <c r="V1226" s="14">
        <f t="shared" si="1538"/>
        <v>2019</v>
      </c>
      <c r="W1226" s="14">
        <f t="shared" si="1539"/>
        <v>8</v>
      </c>
      <c r="X1226" s="14">
        <f>VLOOKUP(W1226,[1]Lookups!$P$3:$S$15,2,FALSE)</f>
        <v>3</v>
      </c>
      <c r="Y1226" s="16">
        <f>VLOOKUP(W1226,[1]Lookups!$P$3:$U$15,3,FALSE)</f>
        <v>2</v>
      </c>
      <c r="Z1226" s="16">
        <f t="shared" si="1540"/>
        <v>1</v>
      </c>
      <c r="AA1226" s="16" t="str">
        <f t="shared" ca="1" si="1564"/>
        <v>AlphaCode</v>
      </c>
      <c r="AB1226" s="16">
        <f t="shared" si="1564"/>
        <v>0</v>
      </c>
      <c r="AC1226" s="16">
        <f t="shared" si="1564"/>
        <v>0</v>
      </c>
      <c r="AD1226" s="16">
        <f t="shared" si="1564"/>
        <v>0</v>
      </c>
      <c r="AE1226" s="16">
        <f t="shared" si="1564"/>
        <v>0</v>
      </c>
      <c r="AF1226" s="16">
        <f t="shared" si="1564"/>
        <v>0</v>
      </c>
      <c r="AG1226" s="16">
        <f t="shared" si="1564"/>
        <v>0</v>
      </c>
      <c r="AH1226" s="16">
        <f t="shared" si="1564"/>
        <v>0</v>
      </c>
      <c r="AI1226" s="16">
        <f t="shared" si="1564"/>
        <v>0</v>
      </c>
      <c r="AJ1226" s="16">
        <f t="shared" si="1564"/>
        <v>0</v>
      </c>
      <c r="AK1226" s="16">
        <f t="shared" si="1564"/>
        <v>0</v>
      </c>
      <c r="AL1226" s="16">
        <f t="shared" si="1564"/>
        <v>0</v>
      </c>
      <c r="AM1226" s="16">
        <f t="shared" si="1564"/>
        <v>0</v>
      </c>
      <c r="AN1226" s="16">
        <f t="shared" si="1564"/>
        <v>0</v>
      </c>
      <c r="AO1226" s="16">
        <f t="shared" si="1564"/>
        <v>0</v>
      </c>
      <c r="AP1226" s="10"/>
      <c r="AQ1226" s="10"/>
      <c r="AR1226" s="10"/>
      <c r="AS1226" s="10" t="str">
        <f t="shared" ref="AS1226" ca="1" si="1573">IFERROR(__xludf.DUMMYFUNCTION("split(F1225,"","",true,true)"),"AlphaCode")</f>
        <v>AlphaCode</v>
      </c>
      <c r="AT1226" s="10"/>
      <c r="AU1226" s="10"/>
      <c r="AV1226" s="10"/>
      <c r="AW1226" s="10"/>
      <c r="AX1226" s="10"/>
      <c r="AY1226" s="10"/>
      <c r="AZ1226" s="10"/>
      <c r="BA1226" s="10"/>
      <c r="BB1226" s="10"/>
      <c r="BC1226" s="10"/>
      <c r="BD1226" s="10"/>
      <c r="BE1226" s="10"/>
      <c r="BF1226" s="10"/>
      <c r="BG1226" s="10"/>
      <c r="BH1226" s="10"/>
      <c r="BI1226" s="10"/>
      <c r="BJ1226" s="10"/>
      <c r="BK1226" s="10"/>
      <c r="BM1226" s="10"/>
    </row>
    <row r="1227" spans="1:65" ht="12.75">
      <c r="A1227" s="9">
        <v>43698</v>
      </c>
      <c r="B1227" s="10" t="s">
        <v>2556</v>
      </c>
      <c r="C1227" s="11">
        <v>100000</v>
      </c>
      <c r="D1227" s="12"/>
      <c r="E1227" s="10" t="s">
        <v>234</v>
      </c>
      <c r="F1227" s="10" t="s">
        <v>2349</v>
      </c>
      <c r="G1227" s="13" t="s">
        <v>2555</v>
      </c>
      <c r="H1227" s="14" t="str">
        <f t="array" ref="H1227">IFERROR(INDEX([1]Companies!$G:$G,MATCH(B1227,[1]Companies!$A:$A,0)),"")</f>
        <v>Ghana</v>
      </c>
      <c r="I1227" s="14" t="str">
        <f t="shared" si="1512"/>
        <v>Ghana</v>
      </c>
      <c r="J1227" s="14" t="str">
        <f t="array" ref="J1227">IFERROR(INDEX([1]Companies!$Y:$Y,MATCH(B1227,[1]Companies!$A:$A,0)),"")</f>
        <v>Savings</v>
      </c>
      <c r="K1227" s="14" t="str">
        <f t="array" ref="K1227">IFERROR(INDEX([1]Companies!$X:$X,MATCH(B1227,[1]Companies!$A:$A,0)),"")</f>
        <v>Financial Services</v>
      </c>
      <c r="L1227" s="14" t="str">
        <f>VLOOKUP(B1227,[1]Companies!$A$1:$C$5243,1,FALSE)</f>
        <v>BezoMoney</v>
      </c>
      <c r="M1227" s="15"/>
      <c r="N1227" s="10"/>
      <c r="O1227" s="14"/>
      <c r="P1227" s="14"/>
      <c r="Q1227" s="14"/>
      <c r="R1227" s="14"/>
      <c r="S1227" s="14"/>
      <c r="T1227" s="14"/>
      <c r="U1227" s="14"/>
      <c r="V1227" s="14">
        <f t="shared" si="1538"/>
        <v>2019</v>
      </c>
      <c r="W1227" s="14">
        <f t="shared" si="1539"/>
        <v>8</v>
      </c>
      <c r="X1227" s="14">
        <f>VLOOKUP(W1227,[1]Lookups!$P$3:$S$15,2,FALSE)</f>
        <v>3</v>
      </c>
      <c r="Y1227" s="16">
        <f>VLOOKUP(W1227,[1]Lookups!$P$3:$U$15,3,FALSE)</f>
        <v>2</v>
      </c>
      <c r="Z1227" s="16">
        <f t="shared" si="1540"/>
        <v>1</v>
      </c>
      <c r="AA1227" s="16" t="str">
        <f t="shared" ca="1" si="1564"/>
        <v>AlphaCode</v>
      </c>
      <c r="AB1227" s="16">
        <f t="shared" si="1564"/>
        <v>0</v>
      </c>
      <c r="AC1227" s="16">
        <f t="shared" si="1564"/>
        <v>0</v>
      </c>
      <c r="AD1227" s="16">
        <f t="shared" si="1564"/>
        <v>0</v>
      </c>
      <c r="AE1227" s="16">
        <f t="shared" si="1564"/>
        <v>0</v>
      </c>
      <c r="AF1227" s="16">
        <f t="shared" si="1564"/>
        <v>0</v>
      </c>
      <c r="AG1227" s="16">
        <f t="shared" si="1564"/>
        <v>0</v>
      </c>
      <c r="AH1227" s="16">
        <f t="shared" si="1564"/>
        <v>0</v>
      </c>
      <c r="AI1227" s="16">
        <f t="shared" si="1564"/>
        <v>0</v>
      </c>
      <c r="AJ1227" s="16">
        <f t="shared" si="1564"/>
        <v>0</v>
      </c>
      <c r="AK1227" s="16">
        <f t="shared" si="1564"/>
        <v>0</v>
      </c>
      <c r="AL1227" s="16">
        <f t="shared" si="1564"/>
        <v>0</v>
      </c>
      <c r="AM1227" s="16">
        <f t="shared" si="1564"/>
        <v>0</v>
      </c>
      <c r="AN1227" s="16">
        <f t="shared" si="1564"/>
        <v>0</v>
      </c>
      <c r="AO1227" s="16">
        <f t="shared" si="1564"/>
        <v>0</v>
      </c>
      <c r="AP1227" s="10"/>
      <c r="AQ1227" s="10"/>
      <c r="AR1227" s="10"/>
      <c r="AS1227" s="10" t="str">
        <f t="shared" ref="AS1227" ca="1" si="1574">IFERROR(__xludf.DUMMYFUNCTION("split(F1225,"","",true,true)"),"AlphaCode")</f>
        <v>AlphaCode</v>
      </c>
      <c r="AT1227" s="10"/>
      <c r="AU1227" s="10"/>
      <c r="AV1227" s="10"/>
      <c r="AW1227" s="10"/>
      <c r="AX1227" s="10"/>
      <c r="AY1227" s="10"/>
      <c r="AZ1227" s="10"/>
      <c r="BA1227" s="10"/>
      <c r="BB1227" s="10"/>
      <c r="BC1227" s="10"/>
      <c r="BD1227" s="10"/>
      <c r="BE1227" s="10"/>
      <c r="BF1227" s="10"/>
      <c r="BG1227" s="10"/>
      <c r="BH1227" s="10"/>
      <c r="BI1227" s="10"/>
      <c r="BJ1227" s="10"/>
      <c r="BK1227" s="10"/>
      <c r="BM1227" s="10"/>
    </row>
    <row r="1228" spans="1:65" ht="12.75">
      <c r="A1228" s="9">
        <v>43698</v>
      </c>
      <c r="B1228" s="10" t="s">
        <v>2557</v>
      </c>
      <c r="C1228" s="11">
        <v>100000</v>
      </c>
      <c r="D1228" s="12"/>
      <c r="E1228" s="10" t="s">
        <v>234</v>
      </c>
      <c r="F1228" s="10" t="s">
        <v>2349</v>
      </c>
      <c r="G1228" s="13" t="s">
        <v>2555</v>
      </c>
      <c r="H1228" s="14" t="str">
        <f t="array" ref="H1228">IFERROR(INDEX([1]Companies!$G:$G,MATCH(B1228,[1]Companies!$A:$A,0)),"")</f>
        <v>Nigeria</v>
      </c>
      <c r="I1228" s="14" t="str">
        <f t="shared" si="1512"/>
        <v>Nigeria</v>
      </c>
      <c r="J1228" s="14" t="str">
        <f t="array" ref="J1228">IFERROR(INDEX([1]Companies!$Y:$Y,MATCH(B1228,[1]Companies!$A:$A,0)),"")</f>
        <v>Beauty</v>
      </c>
      <c r="K1228" s="14" t="str">
        <f t="array" ref="K1228">IFERROR(INDEX([1]Companies!$X:$X,MATCH(B1228,[1]Companies!$A:$A,0)),"")</f>
        <v>Commercial &amp; Professional Services</v>
      </c>
      <c r="L1228" s="14" t="str">
        <f>VLOOKUP(B1228,[1]Companies!$A$1:$C$5243,1,FALSE)</f>
        <v>Zuri</v>
      </c>
      <c r="M1228" s="15"/>
      <c r="N1228" s="10"/>
      <c r="O1228" s="14"/>
      <c r="P1228" s="14"/>
      <c r="Q1228" s="14"/>
      <c r="R1228" s="14"/>
      <c r="S1228" s="14"/>
      <c r="T1228" s="14"/>
      <c r="U1228" s="14"/>
      <c r="V1228" s="14">
        <f t="shared" si="1538"/>
        <v>2019</v>
      </c>
      <c r="W1228" s="14">
        <f t="shared" si="1539"/>
        <v>8</v>
      </c>
      <c r="X1228" s="14">
        <f>VLOOKUP(W1228,[1]Lookups!$P$3:$S$15,2,FALSE)</f>
        <v>3</v>
      </c>
      <c r="Y1228" s="16">
        <f>VLOOKUP(W1228,[1]Lookups!$P$3:$U$15,3,FALSE)</f>
        <v>2</v>
      </c>
      <c r="Z1228" s="16">
        <f t="shared" si="1540"/>
        <v>1</v>
      </c>
      <c r="AA1228" s="16" t="str">
        <f t="shared" ca="1" si="1564"/>
        <v>AlphaCode</v>
      </c>
      <c r="AB1228" s="16">
        <f t="shared" si="1564"/>
        <v>0</v>
      </c>
      <c r="AC1228" s="16">
        <f t="shared" si="1564"/>
        <v>0</v>
      </c>
      <c r="AD1228" s="16">
        <f t="shared" si="1564"/>
        <v>0</v>
      </c>
      <c r="AE1228" s="16">
        <f t="shared" si="1564"/>
        <v>0</v>
      </c>
      <c r="AF1228" s="16">
        <f t="shared" si="1564"/>
        <v>0</v>
      </c>
      <c r="AG1228" s="16">
        <f t="shared" si="1564"/>
        <v>0</v>
      </c>
      <c r="AH1228" s="16">
        <f t="shared" si="1564"/>
        <v>0</v>
      </c>
      <c r="AI1228" s="16">
        <f t="shared" si="1564"/>
        <v>0</v>
      </c>
      <c r="AJ1228" s="16">
        <f t="shared" si="1564"/>
        <v>0</v>
      </c>
      <c r="AK1228" s="16">
        <f t="shared" si="1564"/>
        <v>0</v>
      </c>
      <c r="AL1228" s="16">
        <f t="shared" si="1564"/>
        <v>0</v>
      </c>
      <c r="AM1228" s="16">
        <f t="shared" si="1564"/>
        <v>0</v>
      </c>
      <c r="AN1228" s="16">
        <f t="shared" si="1564"/>
        <v>0</v>
      </c>
      <c r="AO1228" s="16">
        <f t="shared" si="1564"/>
        <v>0</v>
      </c>
      <c r="AP1228" s="10"/>
      <c r="AQ1228" s="10"/>
      <c r="AR1228" s="10"/>
      <c r="AS1228" s="10" t="str">
        <f t="shared" ref="AS1228" ca="1" si="1575">IFERROR(__xludf.DUMMYFUNCTION("split(F1225,"","",true,true)"),"AlphaCode")</f>
        <v>AlphaCode</v>
      </c>
      <c r="AT1228" s="10"/>
      <c r="AU1228" s="10"/>
      <c r="AV1228" s="10"/>
      <c r="AW1228" s="10"/>
      <c r="AX1228" s="10"/>
      <c r="AY1228" s="10"/>
      <c r="AZ1228" s="10"/>
      <c r="BA1228" s="10"/>
      <c r="BB1228" s="10"/>
      <c r="BC1228" s="10"/>
      <c r="BD1228" s="10"/>
      <c r="BE1228" s="10"/>
      <c r="BF1228" s="10"/>
      <c r="BG1228" s="10"/>
      <c r="BH1228" s="10"/>
      <c r="BI1228" s="10"/>
      <c r="BJ1228" s="10"/>
      <c r="BK1228" s="10"/>
      <c r="BM1228" s="10"/>
    </row>
    <row r="1229" spans="1:65" ht="12.75">
      <c r="A1229" s="9">
        <v>43698</v>
      </c>
      <c r="B1229" s="10" t="s">
        <v>2558</v>
      </c>
      <c r="C1229" s="11">
        <v>100000</v>
      </c>
      <c r="D1229" s="12"/>
      <c r="E1229" s="10" t="s">
        <v>234</v>
      </c>
      <c r="F1229" s="10" t="s">
        <v>2349</v>
      </c>
      <c r="G1229" s="13" t="s">
        <v>2555</v>
      </c>
      <c r="H1229" s="14" t="str">
        <f t="array" ref="H1229">IFERROR(INDEX([1]Companies!$G:$G,MATCH(B1229,[1]Companies!$A:$A,0)),"")</f>
        <v>Ghana</v>
      </c>
      <c r="I1229" s="14" t="str">
        <f t="shared" si="1512"/>
        <v>Ghana</v>
      </c>
      <c r="J1229" s="14" t="str">
        <f t="array" ref="J1229">IFERROR(INDEX([1]Companies!$Y:$Y,MATCH(B1229,[1]Companies!$A:$A,0)),"")</f>
        <v>Women's Health</v>
      </c>
      <c r="K1229" s="14" t="str">
        <f t="array" ref="K1229">IFERROR(INDEX([1]Companies!$X:$X,MATCH(B1229,[1]Companies!$A:$A,0)),"")</f>
        <v>Healthcare &amp; Pharma</v>
      </c>
      <c r="L1229" s="14" t="str">
        <f>VLOOKUP(B1229,[1]Companies!$A$1:$C$5243,1,FALSE)</f>
        <v>Massira</v>
      </c>
      <c r="M1229" s="15"/>
      <c r="N1229" s="10"/>
      <c r="O1229" s="14"/>
      <c r="P1229" s="14"/>
      <c r="Q1229" s="14"/>
      <c r="R1229" s="14"/>
      <c r="S1229" s="14"/>
      <c r="T1229" s="14"/>
      <c r="U1229" s="14"/>
      <c r="V1229" s="14">
        <f t="shared" si="1538"/>
        <v>2019</v>
      </c>
      <c r="W1229" s="14">
        <f t="shared" si="1539"/>
        <v>8</v>
      </c>
      <c r="X1229" s="14">
        <f>VLOOKUP(W1229,[1]Lookups!$P$3:$S$15,2,FALSE)</f>
        <v>3</v>
      </c>
      <c r="Y1229" s="16">
        <f>VLOOKUP(W1229,[1]Lookups!$P$3:$U$15,3,FALSE)</f>
        <v>2</v>
      </c>
      <c r="Z1229" s="16">
        <f t="shared" si="1540"/>
        <v>1</v>
      </c>
      <c r="AA1229" s="16" t="str">
        <f t="shared" ca="1" si="1564"/>
        <v>AlphaCode</v>
      </c>
      <c r="AB1229" s="16">
        <f t="shared" si="1564"/>
        <v>0</v>
      </c>
      <c r="AC1229" s="16">
        <f t="shared" si="1564"/>
        <v>0</v>
      </c>
      <c r="AD1229" s="16">
        <f t="shared" si="1564"/>
        <v>0</v>
      </c>
      <c r="AE1229" s="16">
        <f t="shared" si="1564"/>
        <v>0</v>
      </c>
      <c r="AF1229" s="16">
        <f t="shared" si="1564"/>
        <v>0</v>
      </c>
      <c r="AG1229" s="16">
        <f t="shared" si="1564"/>
        <v>0</v>
      </c>
      <c r="AH1229" s="16">
        <f t="shared" si="1564"/>
        <v>0</v>
      </c>
      <c r="AI1229" s="16">
        <f t="shared" si="1564"/>
        <v>0</v>
      </c>
      <c r="AJ1229" s="16">
        <f t="shared" si="1564"/>
        <v>0</v>
      </c>
      <c r="AK1229" s="16">
        <f t="shared" si="1564"/>
        <v>0</v>
      </c>
      <c r="AL1229" s="16">
        <f t="shared" si="1564"/>
        <v>0</v>
      </c>
      <c r="AM1229" s="16">
        <f t="shared" si="1564"/>
        <v>0</v>
      </c>
      <c r="AN1229" s="16">
        <f t="shared" si="1564"/>
        <v>0</v>
      </c>
      <c r="AO1229" s="16">
        <f t="shared" si="1564"/>
        <v>0</v>
      </c>
      <c r="AP1229" s="10"/>
      <c r="AQ1229" s="10"/>
      <c r="AR1229" s="10"/>
      <c r="AS1229" s="10" t="str">
        <f t="shared" ref="AS1229" ca="1" si="1576">IFERROR(__xludf.DUMMYFUNCTION("split(F1225,"","",true,true)"),"AlphaCode")</f>
        <v>AlphaCode</v>
      </c>
      <c r="AT1229" s="10"/>
      <c r="AU1229" s="10"/>
      <c r="AV1229" s="10"/>
      <c r="AW1229" s="10"/>
      <c r="AX1229" s="10"/>
      <c r="AY1229" s="10"/>
      <c r="AZ1229" s="10"/>
      <c r="BA1229" s="10"/>
      <c r="BB1229" s="10"/>
      <c r="BC1229" s="10"/>
      <c r="BD1229" s="10"/>
      <c r="BE1229" s="10"/>
      <c r="BF1229" s="10"/>
      <c r="BG1229" s="10"/>
      <c r="BH1229" s="10"/>
      <c r="BI1229" s="10"/>
      <c r="BJ1229" s="10"/>
      <c r="BK1229" s="10"/>
      <c r="BM1229" s="10"/>
    </row>
    <row r="1230" spans="1:65" ht="12.75">
      <c r="A1230" s="9">
        <v>43698</v>
      </c>
      <c r="B1230" s="10" t="s">
        <v>2559</v>
      </c>
      <c r="C1230" s="11">
        <v>100000</v>
      </c>
      <c r="D1230" s="12"/>
      <c r="E1230" s="10" t="s">
        <v>234</v>
      </c>
      <c r="F1230" s="10" t="s">
        <v>2349</v>
      </c>
      <c r="G1230" s="13" t="s">
        <v>2555</v>
      </c>
      <c r="H1230" s="14" t="str">
        <f t="array" ref="H1230">IFERROR(INDEX([1]Companies!$G:$G,MATCH(B1230,[1]Companies!$A:$A,0)),"")</f>
        <v>Ghana</v>
      </c>
      <c r="I1230" s="14" t="str">
        <f t="shared" si="1512"/>
        <v>Ghana</v>
      </c>
      <c r="J1230" s="14" t="str">
        <f t="array" ref="J1230">IFERROR(INDEX([1]Companies!$Y:$Y,MATCH(B1230,[1]Companies!$A:$A,0)),"")</f>
        <v>Real Estate, Crowdfunding</v>
      </c>
      <c r="K1230" s="14" t="str">
        <f t="array" ref="K1230">IFERROR(INDEX([1]Companies!$X:$X,MATCH(B1230,[1]Companies!$A:$A,0)),"")</f>
        <v>Financial Services</v>
      </c>
      <c r="L1230" s="14" t="str">
        <f>VLOOKUP(B1230,[1]Companies!$A$1:$C$5243,1,FALSE)</f>
        <v>CoFundie</v>
      </c>
      <c r="M1230" s="15"/>
      <c r="N1230" s="10"/>
      <c r="O1230" s="14"/>
      <c r="P1230" s="14"/>
      <c r="Q1230" s="14"/>
      <c r="R1230" s="14"/>
      <c r="S1230" s="14"/>
      <c r="T1230" s="14"/>
      <c r="U1230" s="14"/>
      <c r="V1230" s="14">
        <f t="shared" si="1538"/>
        <v>2019</v>
      </c>
      <c r="W1230" s="14">
        <f t="shared" si="1539"/>
        <v>8</v>
      </c>
      <c r="X1230" s="14">
        <f>VLOOKUP(W1230,[1]Lookups!$P$3:$S$15,2,FALSE)</f>
        <v>3</v>
      </c>
      <c r="Y1230" s="16">
        <f>VLOOKUP(W1230,[1]Lookups!$P$3:$U$15,3,FALSE)</f>
        <v>2</v>
      </c>
      <c r="Z1230" s="16">
        <f t="shared" si="1540"/>
        <v>1</v>
      </c>
      <c r="AA1230" s="16" t="str">
        <f t="shared" ca="1" si="1564"/>
        <v>AlphaCode</v>
      </c>
      <c r="AB1230" s="16">
        <f t="shared" si="1564"/>
        <v>0</v>
      </c>
      <c r="AC1230" s="16">
        <f t="shared" si="1564"/>
        <v>0</v>
      </c>
      <c r="AD1230" s="16">
        <f t="shared" si="1564"/>
        <v>0</v>
      </c>
      <c r="AE1230" s="16">
        <f t="shared" si="1564"/>
        <v>0</v>
      </c>
      <c r="AF1230" s="16">
        <f t="shared" si="1564"/>
        <v>0</v>
      </c>
      <c r="AG1230" s="16">
        <f t="shared" si="1564"/>
        <v>0</v>
      </c>
      <c r="AH1230" s="16">
        <f t="shared" si="1564"/>
        <v>0</v>
      </c>
      <c r="AI1230" s="16">
        <f t="shared" si="1564"/>
        <v>0</v>
      </c>
      <c r="AJ1230" s="16">
        <f t="shared" si="1564"/>
        <v>0</v>
      </c>
      <c r="AK1230" s="16">
        <f t="shared" si="1564"/>
        <v>0</v>
      </c>
      <c r="AL1230" s="16">
        <f t="shared" si="1564"/>
        <v>0</v>
      </c>
      <c r="AM1230" s="16">
        <f t="shared" si="1564"/>
        <v>0</v>
      </c>
      <c r="AN1230" s="16">
        <f t="shared" si="1564"/>
        <v>0</v>
      </c>
      <c r="AO1230" s="16">
        <f t="shared" si="1564"/>
        <v>0</v>
      </c>
      <c r="AP1230" s="10"/>
      <c r="AQ1230" s="10"/>
      <c r="AR1230" s="10"/>
      <c r="AS1230" s="10" t="str">
        <f t="shared" ref="AS1230" ca="1" si="1577">IFERROR(__xludf.DUMMYFUNCTION("split(F1225,"","",true,true)"),"AlphaCode")</f>
        <v>AlphaCode</v>
      </c>
      <c r="AT1230" s="10"/>
      <c r="AU1230" s="10"/>
      <c r="AV1230" s="10"/>
      <c r="AW1230" s="10"/>
      <c r="AX1230" s="10"/>
      <c r="AY1230" s="10"/>
      <c r="AZ1230" s="10"/>
      <c r="BA1230" s="10"/>
      <c r="BB1230" s="10"/>
      <c r="BC1230" s="10"/>
      <c r="BD1230" s="10"/>
      <c r="BE1230" s="10"/>
      <c r="BF1230" s="10"/>
      <c r="BG1230" s="10"/>
      <c r="BH1230" s="10"/>
      <c r="BI1230" s="10"/>
      <c r="BJ1230" s="10"/>
      <c r="BK1230" s="10"/>
      <c r="BM1230" s="10"/>
    </row>
    <row r="1231" spans="1:65" ht="12.75">
      <c r="A1231" s="9">
        <v>43698</v>
      </c>
      <c r="B1231" s="10" t="s">
        <v>2560</v>
      </c>
      <c r="C1231" s="11">
        <v>100000</v>
      </c>
      <c r="D1231" s="12"/>
      <c r="E1231" s="10" t="s">
        <v>234</v>
      </c>
      <c r="F1231" s="10" t="s">
        <v>2349</v>
      </c>
      <c r="G1231" s="13" t="s">
        <v>2555</v>
      </c>
      <c r="H1231" s="14" t="str">
        <f t="array" ref="H1231">IFERROR(INDEX([1]Companies!$G:$G,MATCH(B1231,[1]Companies!$A:$A,0)),"")</f>
        <v>Ghana</v>
      </c>
      <c r="I1231" s="14" t="str">
        <f t="shared" si="1512"/>
        <v>Ghana</v>
      </c>
      <c r="J1231" s="14" t="str">
        <f t="array" ref="J1231">IFERROR(INDEX([1]Companies!$Y:$Y,MATCH(B1231,[1]Companies!$A:$A,0)),"")</f>
        <v>Payments</v>
      </c>
      <c r="K1231" s="14" t="str">
        <f t="array" ref="K1231">IFERROR(INDEX([1]Companies!$X:$X,MATCH(B1231,[1]Companies!$A:$A,0)),"")</f>
        <v>Financial Services</v>
      </c>
      <c r="L1231" s="14" t="str">
        <f>VLOOKUP(B1231,[1]Companies!$A$1:$C$5243,1,FALSE)</f>
        <v>Niqao</v>
      </c>
      <c r="M1231" s="15"/>
      <c r="N1231" s="10"/>
      <c r="O1231" s="14"/>
      <c r="P1231" s="14"/>
      <c r="Q1231" s="14"/>
      <c r="R1231" s="14"/>
      <c r="S1231" s="14"/>
      <c r="T1231" s="14"/>
      <c r="U1231" s="14"/>
      <c r="V1231" s="14">
        <f t="shared" si="1538"/>
        <v>2019</v>
      </c>
      <c r="W1231" s="14">
        <f t="shared" si="1539"/>
        <v>8</v>
      </c>
      <c r="X1231" s="14">
        <f>VLOOKUP(W1231,[1]Lookups!$P$3:$S$15,2,FALSE)</f>
        <v>3</v>
      </c>
      <c r="Y1231" s="16">
        <f>VLOOKUP(W1231,[1]Lookups!$P$3:$U$15,3,FALSE)</f>
        <v>2</v>
      </c>
      <c r="Z1231" s="16">
        <f t="shared" si="1540"/>
        <v>1</v>
      </c>
      <c r="AA1231" s="16" t="str">
        <f t="shared" ca="1" si="1564"/>
        <v>AlphaCode</v>
      </c>
      <c r="AB1231" s="16">
        <f t="shared" si="1564"/>
        <v>0</v>
      </c>
      <c r="AC1231" s="16">
        <f t="shared" si="1564"/>
        <v>0</v>
      </c>
      <c r="AD1231" s="16">
        <f t="shared" si="1564"/>
        <v>0</v>
      </c>
      <c r="AE1231" s="16">
        <f t="shared" si="1564"/>
        <v>0</v>
      </c>
      <c r="AF1231" s="16">
        <f t="shared" si="1564"/>
        <v>0</v>
      </c>
      <c r="AG1231" s="16">
        <f t="shared" si="1564"/>
        <v>0</v>
      </c>
      <c r="AH1231" s="16">
        <f t="shared" si="1564"/>
        <v>0</v>
      </c>
      <c r="AI1231" s="16">
        <f t="shared" si="1564"/>
        <v>0</v>
      </c>
      <c r="AJ1231" s="16">
        <f t="shared" si="1564"/>
        <v>0</v>
      </c>
      <c r="AK1231" s="16">
        <f t="shared" si="1564"/>
        <v>0</v>
      </c>
      <c r="AL1231" s="16">
        <f t="shared" si="1564"/>
        <v>0</v>
      </c>
      <c r="AM1231" s="16">
        <f t="shared" si="1564"/>
        <v>0</v>
      </c>
      <c r="AN1231" s="16">
        <f t="shared" si="1564"/>
        <v>0</v>
      </c>
      <c r="AO1231" s="16">
        <f t="shared" si="1564"/>
        <v>0</v>
      </c>
      <c r="AP1231" s="10"/>
      <c r="AQ1231" s="10"/>
      <c r="AR1231" s="10"/>
      <c r="AS1231" s="10" t="str">
        <f t="shared" ref="AS1231" ca="1" si="1578">IFERROR(__xludf.DUMMYFUNCTION("split(F1225,"","",true,true)"),"AlphaCode")</f>
        <v>AlphaCode</v>
      </c>
      <c r="AT1231" s="10"/>
      <c r="AU1231" s="10"/>
      <c r="AV1231" s="10"/>
      <c r="AW1231" s="10"/>
      <c r="AX1231" s="10"/>
      <c r="AY1231" s="10"/>
      <c r="AZ1231" s="10"/>
      <c r="BA1231" s="10"/>
      <c r="BB1231" s="10"/>
      <c r="BC1231" s="10"/>
      <c r="BD1231" s="10"/>
      <c r="BE1231" s="10"/>
      <c r="BF1231" s="10"/>
      <c r="BG1231" s="10"/>
      <c r="BH1231" s="10"/>
      <c r="BI1231" s="10"/>
      <c r="BJ1231" s="10"/>
      <c r="BK1231" s="10"/>
      <c r="BM1231" s="10"/>
    </row>
    <row r="1232" spans="1:65" ht="12.75">
      <c r="A1232" s="9">
        <v>43698</v>
      </c>
      <c r="B1232" s="10" t="s">
        <v>2561</v>
      </c>
      <c r="C1232" s="11">
        <v>100000</v>
      </c>
      <c r="D1232" s="12"/>
      <c r="E1232" s="10" t="s">
        <v>234</v>
      </c>
      <c r="F1232" s="10" t="s">
        <v>2349</v>
      </c>
      <c r="G1232" s="13" t="s">
        <v>2555</v>
      </c>
      <c r="H1232" s="14" t="str">
        <f t="array" ref="H1232">IFERROR(INDEX([1]Companies!$G:$G,MATCH(B1232,[1]Companies!$A:$A,0)),"")</f>
        <v>Kenya</v>
      </c>
      <c r="I1232" s="14" t="str">
        <f t="shared" si="1512"/>
        <v>Kenya</v>
      </c>
      <c r="J1232" s="14" t="str">
        <f t="array" ref="J1232">IFERROR(INDEX([1]Companies!$Y:$Y,MATCH(B1232,[1]Companies!$A:$A,0)),"")</f>
        <v>Ticketing, Mobile Money</v>
      </c>
      <c r="K1232" s="14" t="str">
        <f t="array" ref="K1232">IFERROR(INDEX([1]Companies!$X:$X,MATCH(B1232,[1]Companies!$A:$A,0)),"")</f>
        <v>Information Technology</v>
      </c>
      <c r="L1232" s="14" t="str">
        <f>VLOOKUP(B1232,[1]Companies!$A$1:$C$5243,1,FALSE)</f>
        <v>Saada</v>
      </c>
      <c r="M1232" s="15"/>
      <c r="N1232" s="10"/>
      <c r="O1232" s="14"/>
      <c r="P1232" s="14"/>
      <c r="Q1232" s="14"/>
      <c r="R1232" s="14"/>
      <c r="S1232" s="14"/>
      <c r="T1232" s="14"/>
      <c r="U1232" s="14"/>
      <c r="V1232" s="14">
        <f t="shared" si="1538"/>
        <v>2019</v>
      </c>
      <c r="W1232" s="14">
        <f t="shared" si="1539"/>
        <v>8</v>
      </c>
      <c r="X1232" s="14">
        <f>VLOOKUP(W1232,[1]Lookups!$P$3:$S$15,2,FALSE)</f>
        <v>3</v>
      </c>
      <c r="Y1232" s="16">
        <f>VLOOKUP(W1232,[1]Lookups!$P$3:$U$15,3,FALSE)</f>
        <v>2</v>
      </c>
      <c r="Z1232" s="16">
        <f t="shared" si="1540"/>
        <v>1</v>
      </c>
      <c r="AA1232" s="16" t="str">
        <f t="shared" ca="1" si="1564"/>
        <v>AlphaCode</v>
      </c>
      <c r="AB1232" s="16">
        <f t="shared" si="1564"/>
        <v>0</v>
      </c>
      <c r="AC1232" s="16">
        <f t="shared" si="1564"/>
        <v>0</v>
      </c>
      <c r="AD1232" s="16">
        <f t="shared" si="1564"/>
        <v>0</v>
      </c>
      <c r="AE1232" s="16">
        <f t="shared" si="1564"/>
        <v>0</v>
      </c>
      <c r="AF1232" s="16">
        <f t="shared" si="1564"/>
        <v>0</v>
      </c>
      <c r="AG1232" s="16">
        <f t="shared" si="1564"/>
        <v>0</v>
      </c>
      <c r="AH1232" s="16">
        <f t="shared" si="1564"/>
        <v>0</v>
      </c>
      <c r="AI1232" s="16">
        <f t="shared" si="1564"/>
        <v>0</v>
      </c>
      <c r="AJ1232" s="16">
        <f t="shared" si="1564"/>
        <v>0</v>
      </c>
      <c r="AK1232" s="16">
        <f t="shared" si="1564"/>
        <v>0</v>
      </c>
      <c r="AL1232" s="16">
        <f t="shared" si="1564"/>
        <v>0</v>
      </c>
      <c r="AM1232" s="16">
        <f t="shared" si="1564"/>
        <v>0</v>
      </c>
      <c r="AN1232" s="16">
        <f t="shared" si="1564"/>
        <v>0</v>
      </c>
      <c r="AO1232" s="16">
        <f t="shared" si="1564"/>
        <v>0</v>
      </c>
      <c r="AP1232" s="10"/>
      <c r="AQ1232" s="10"/>
      <c r="AR1232" s="10"/>
      <c r="AS1232" s="10" t="str">
        <f t="shared" ref="AS1232" ca="1" si="1579">IFERROR(__xludf.DUMMYFUNCTION("split(F1225,"","",true,true)"),"AlphaCode")</f>
        <v>AlphaCode</v>
      </c>
      <c r="AT1232" s="10"/>
      <c r="AU1232" s="10"/>
      <c r="AV1232" s="10"/>
      <c r="AW1232" s="10"/>
      <c r="AX1232" s="10"/>
      <c r="AY1232" s="10"/>
      <c r="AZ1232" s="10"/>
      <c r="BA1232" s="10"/>
      <c r="BB1232" s="10"/>
      <c r="BC1232" s="10"/>
      <c r="BD1232" s="10"/>
      <c r="BE1232" s="10"/>
      <c r="BF1232" s="10"/>
      <c r="BG1232" s="10"/>
      <c r="BH1232" s="10"/>
      <c r="BI1232" s="10"/>
      <c r="BJ1232" s="10"/>
      <c r="BK1232" s="10"/>
      <c r="BM1232" s="10"/>
    </row>
    <row r="1233" spans="1:65" ht="12.75">
      <c r="A1233" s="9">
        <v>43698</v>
      </c>
      <c r="B1233" s="10" t="s">
        <v>2562</v>
      </c>
      <c r="C1233" s="11">
        <v>100000</v>
      </c>
      <c r="D1233" s="12"/>
      <c r="E1233" s="10" t="s">
        <v>234</v>
      </c>
      <c r="F1233" s="10" t="s">
        <v>2349</v>
      </c>
      <c r="G1233" s="13" t="s">
        <v>2555</v>
      </c>
      <c r="H1233" s="14" t="str">
        <f t="array" ref="H1233">IFERROR(INDEX([1]Companies!$G:$G,MATCH(B1233,[1]Companies!$A:$A,0)),"")</f>
        <v>South Africa</v>
      </c>
      <c r="I1233" s="14" t="str">
        <f t="shared" si="1512"/>
        <v>South Africa</v>
      </c>
      <c r="J1233" s="14" t="str">
        <f t="array" ref="J1233">IFERROR(INDEX([1]Companies!$Y:$Y,MATCH(B1233,[1]Companies!$A:$A,0)),"")</f>
        <v>Logistics &amp; Distribution, Software</v>
      </c>
      <c r="K1233" s="14" t="str">
        <f t="array" ref="K1233">IFERROR(INDEX([1]Companies!$X:$X,MATCH(B1233,[1]Companies!$A:$A,0)),"")</f>
        <v>Transport &amp; Logistics</v>
      </c>
      <c r="L1233" s="14" t="str">
        <f>VLOOKUP(B1233,[1]Companies!$A$1:$C$5243,1,FALSE)</f>
        <v>Kweza</v>
      </c>
      <c r="M1233" s="15"/>
      <c r="N1233" s="10"/>
      <c r="O1233" s="14"/>
      <c r="P1233" s="14"/>
      <c r="Q1233" s="14"/>
      <c r="R1233" s="14"/>
      <c r="S1233" s="14"/>
      <c r="T1233" s="14"/>
      <c r="U1233" s="14"/>
      <c r="V1233" s="14">
        <f t="shared" si="1538"/>
        <v>2019</v>
      </c>
      <c r="W1233" s="14">
        <f t="shared" si="1539"/>
        <v>8</v>
      </c>
      <c r="X1233" s="14">
        <f>VLOOKUP(W1233,[1]Lookups!$P$3:$S$15,2,FALSE)</f>
        <v>3</v>
      </c>
      <c r="Y1233" s="16">
        <f>VLOOKUP(W1233,[1]Lookups!$P$3:$U$15,3,FALSE)</f>
        <v>2</v>
      </c>
      <c r="Z1233" s="16">
        <f t="shared" si="1540"/>
        <v>1</v>
      </c>
      <c r="AA1233" s="16" t="str">
        <f t="shared" ref="AA1233:AO1248" ca="1" si="1580">AS1233</f>
        <v>AlphaCode</v>
      </c>
      <c r="AB1233" s="16">
        <f t="shared" si="1580"/>
        <v>0</v>
      </c>
      <c r="AC1233" s="16">
        <f t="shared" si="1580"/>
        <v>0</v>
      </c>
      <c r="AD1233" s="16">
        <f t="shared" si="1580"/>
        <v>0</v>
      </c>
      <c r="AE1233" s="16">
        <f t="shared" si="1580"/>
        <v>0</v>
      </c>
      <c r="AF1233" s="16">
        <f t="shared" si="1580"/>
        <v>0</v>
      </c>
      <c r="AG1233" s="16">
        <f t="shared" si="1580"/>
        <v>0</v>
      </c>
      <c r="AH1233" s="16">
        <f t="shared" si="1580"/>
        <v>0</v>
      </c>
      <c r="AI1233" s="16">
        <f t="shared" si="1580"/>
        <v>0</v>
      </c>
      <c r="AJ1233" s="16">
        <f t="shared" si="1580"/>
        <v>0</v>
      </c>
      <c r="AK1233" s="16">
        <f t="shared" si="1580"/>
        <v>0</v>
      </c>
      <c r="AL1233" s="16">
        <f t="shared" si="1580"/>
        <v>0</v>
      </c>
      <c r="AM1233" s="16">
        <f t="shared" si="1580"/>
        <v>0</v>
      </c>
      <c r="AN1233" s="16">
        <f t="shared" si="1580"/>
        <v>0</v>
      </c>
      <c r="AO1233" s="16">
        <f t="shared" si="1580"/>
        <v>0</v>
      </c>
      <c r="AP1233" s="10"/>
      <c r="AQ1233" s="10"/>
      <c r="AR1233" s="10"/>
      <c r="AS1233" s="10" t="str">
        <f t="shared" ref="AS1233" ca="1" si="1581">IFERROR(__xludf.DUMMYFUNCTION("split(F1225,"","",true,true)"),"AlphaCode")</f>
        <v>AlphaCode</v>
      </c>
      <c r="AT1233" s="10"/>
      <c r="AU1233" s="10"/>
      <c r="AV1233" s="10"/>
      <c r="AW1233" s="10"/>
      <c r="AX1233" s="10"/>
      <c r="AY1233" s="10"/>
      <c r="AZ1233" s="10"/>
      <c r="BA1233" s="10"/>
      <c r="BB1233" s="10"/>
      <c r="BC1233" s="10"/>
      <c r="BD1233" s="10"/>
      <c r="BE1233" s="10"/>
      <c r="BF1233" s="10"/>
      <c r="BG1233" s="10"/>
      <c r="BH1233" s="10"/>
      <c r="BI1233" s="10"/>
      <c r="BJ1233" s="10"/>
      <c r="BK1233" s="10"/>
      <c r="BM1233" s="10"/>
    </row>
    <row r="1234" spans="1:65" ht="12.75">
      <c r="A1234" s="9">
        <v>43698</v>
      </c>
      <c r="B1234" s="10" t="s">
        <v>2563</v>
      </c>
      <c r="C1234" s="11">
        <v>100000</v>
      </c>
      <c r="D1234" s="12"/>
      <c r="E1234" s="10" t="s">
        <v>234</v>
      </c>
      <c r="F1234" s="10" t="s">
        <v>2349</v>
      </c>
      <c r="G1234" s="13" t="s">
        <v>2555</v>
      </c>
      <c r="H1234" s="14" t="str">
        <f t="array" ref="H1234">IFERROR(INDEX([1]Companies!$G:$G,MATCH(B1234,[1]Companies!$A:$A,0)),"")</f>
        <v>Nigeria</v>
      </c>
      <c r="I1234" s="14" t="str">
        <f t="shared" si="1512"/>
        <v>Nigeria</v>
      </c>
      <c r="J1234" s="14" t="str">
        <f t="array" ref="J1234">IFERROR(INDEX([1]Companies!$Y:$Y,MATCH(B1234,[1]Companies!$A:$A,0)),"")</f>
        <v>Media, E-Booking</v>
      </c>
      <c r="K1234" s="14" t="str">
        <f t="array" ref="K1234">IFERROR(INDEX([1]Companies!$X:$X,MATCH(B1234,[1]Companies!$A:$A,0)),"")</f>
        <v>Information Technology</v>
      </c>
      <c r="L1234" s="14" t="str">
        <f>VLOOKUP(B1234,[1]Companies!$A$1:$C$5243,1,FALSE)</f>
        <v>CoVibes</v>
      </c>
      <c r="M1234" s="15"/>
      <c r="N1234" s="10"/>
      <c r="O1234" s="14"/>
      <c r="P1234" s="14"/>
      <c r="Q1234" s="14"/>
      <c r="R1234" s="14"/>
      <c r="S1234" s="14"/>
      <c r="T1234" s="14"/>
      <c r="U1234" s="14"/>
      <c r="V1234" s="14">
        <f t="shared" si="1538"/>
        <v>2019</v>
      </c>
      <c r="W1234" s="14">
        <f t="shared" si="1539"/>
        <v>8</v>
      </c>
      <c r="X1234" s="14">
        <f>VLOOKUP(W1234,[1]Lookups!$P$3:$S$15,2,FALSE)</f>
        <v>3</v>
      </c>
      <c r="Y1234" s="16">
        <f>VLOOKUP(W1234,[1]Lookups!$P$3:$U$15,3,FALSE)</f>
        <v>2</v>
      </c>
      <c r="Z1234" s="16">
        <f t="shared" si="1540"/>
        <v>1</v>
      </c>
      <c r="AA1234" s="16" t="str">
        <f t="shared" ca="1" si="1580"/>
        <v>AlphaCode</v>
      </c>
      <c r="AB1234" s="16">
        <f t="shared" si="1580"/>
        <v>0</v>
      </c>
      <c r="AC1234" s="16">
        <f t="shared" si="1580"/>
        <v>0</v>
      </c>
      <c r="AD1234" s="16">
        <f t="shared" si="1580"/>
        <v>0</v>
      </c>
      <c r="AE1234" s="16">
        <f t="shared" si="1580"/>
        <v>0</v>
      </c>
      <c r="AF1234" s="16">
        <f t="shared" si="1580"/>
        <v>0</v>
      </c>
      <c r="AG1234" s="16">
        <f t="shared" si="1580"/>
        <v>0</v>
      </c>
      <c r="AH1234" s="16">
        <f t="shared" si="1580"/>
        <v>0</v>
      </c>
      <c r="AI1234" s="16">
        <f t="shared" si="1580"/>
        <v>0</v>
      </c>
      <c r="AJ1234" s="16">
        <f t="shared" si="1580"/>
        <v>0</v>
      </c>
      <c r="AK1234" s="16">
        <f t="shared" si="1580"/>
        <v>0</v>
      </c>
      <c r="AL1234" s="16">
        <f t="shared" si="1580"/>
        <v>0</v>
      </c>
      <c r="AM1234" s="16">
        <f t="shared" si="1580"/>
        <v>0</v>
      </c>
      <c r="AN1234" s="16">
        <f t="shared" si="1580"/>
        <v>0</v>
      </c>
      <c r="AO1234" s="16">
        <f t="shared" si="1580"/>
        <v>0</v>
      </c>
      <c r="AP1234" s="10"/>
      <c r="AQ1234" s="10"/>
      <c r="AR1234" s="10"/>
      <c r="AS1234" s="10" t="str">
        <f t="shared" ref="AS1234" ca="1" si="1582">IFERROR(__xludf.DUMMYFUNCTION("split(F1225,"","",true,true)"),"AlphaCode")</f>
        <v>AlphaCode</v>
      </c>
      <c r="AT1234" s="10"/>
      <c r="AU1234" s="10"/>
      <c r="AV1234" s="10"/>
      <c r="AW1234" s="10"/>
      <c r="AX1234" s="10"/>
      <c r="AY1234" s="10"/>
      <c r="AZ1234" s="10"/>
      <c r="BA1234" s="10"/>
      <c r="BB1234" s="10"/>
      <c r="BC1234" s="10"/>
      <c r="BD1234" s="10"/>
      <c r="BE1234" s="10"/>
      <c r="BF1234" s="10"/>
      <c r="BG1234" s="10"/>
      <c r="BH1234" s="10"/>
      <c r="BI1234" s="10"/>
      <c r="BJ1234" s="10"/>
      <c r="BK1234" s="10"/>
      <c r="BM1234" s="10"/>
    </row>
    <row r="1235" spans="1:65" ht="12.75">
      <c r="A1235" s="9">
        <v>43698</v>
      </c>
      <c r="B1235" s="10" t="s">
        <v>2564</v>
      </c>
      <c r="C1235" s="11">
        <v>100000</v>
      </c>
      <c r="D1235" s="12"/>
      <c r="E1235" s="10" t="s">
        <v>234</v>
      </c>
      <c r="F1235" s="10" t="s">
        <v>2349</v>
      </c>
      <c r="G1235" s="13" t="s">
        <v>2555</v>
      </c>
      <c r="H1235" s="14" t="str">
        <f t="array" ref="H1235">IFERROR(INDEX([1]Companies!$G:$G,MATCH(B1235,[1]Companies!$A:$A,0)),"")</f>
        <v>Ghana</v>
      </c>
      <c r="I1235" s="14" t="str">
        <f t="shared" si="1512"/>
        <v>Ghana</v>
      </c>
      <c r="J1235" s="14" t="str">
        <f t="array" ref="J1235">IFERROR(INDEX([1]Companies!$Y:$Y,MATCH(B1235,[1]Companies!$A:$A,0)),"")</f>
        <v>Beauty &amp; Cosmetics</v>
      </c>
      <c r="K1235" s="14" t="str">
        <f t="array" ref="K1235">IFERROR(INDEX([1]Companies!$X:$X,MATCH(B1235,[1]Companies!$A:$A,0)),"")</f>
        <v>Information Technology</v>
      </c>
      <c r="L1235" s="14" t="str">
        <f>VLOOKUP(B1235,[1]Companies!$A$1:$C$5243,1,FALSE)</f>
        <v>Adi+Bolga</v>
      </c>
      <c r="M1235" s="15"/>
      <c r="N1235" s="10"/>
      <c r="O1235" s="14"/>
      <c r="P1235" s="14"/>
      <c r="Q1235" s="14"/>
      <c r="R1235" s="14"/>
      <c r="S1235" s="14"/>
      <c r="T1235" s="14"/>
      <c r="U1235" s="14"/>
      <c r="V1235" s="14">
        <f t="shared" si="1538"/>
        <v>2019</v>
      </c>
      <c r="W1235" s="14">
        <f t="shared" si="1539"/>
        <v>8</v>
      </c>
      <c r="X1235" s="14">
        <f>VLOOKUP(W1235,[1]Lookups!$P$3:$S$15,2,FALSE)</f>
        <v>3</v>
      </c>
      <c r="Y1235" s="16">
        <f>VLOOKUP(W1235,[1]Lookups!$P$3:$U$15,3,FALSE)</f>
        <v>2</v>
      </c>
      <c r="Z1235" s="16">
        <f t="shared" si="1540"/>
        <v>1</v>
      </c>
      <c r="AA1235" s="16" t="str">
        <f t="shared" ca="1" si="1580"/>
        <v>AlphaCode</v>
      </c>
      <c r="AB1235" s="16">
        <f t="shared" si="1580"/>
        <v>0</v>
      </c>
      <c r="AC1235" s="16">
        <f t="shared" si="1580"/>
        <v>0</v>
      </c>
      <c r="AD1235" s="16">
        <f t="shared" si="1580"/>
        <v>0</v>
      </c>
      <c r="AE1235" s="16">
        <f t="shared" si="1580"/>
        <v>0</v>
      </c>
      <c r="AF1235" s="16">
        <f t="shared" si="1580"/>
        <v>0</v>
      </c>
      <c r="AG1235" s="16">
        <f t="shared" si="1580"/>
        <v>0</v>
      </c>
      <c r="AH1235" s="16">
        <f t="shared" si="1580"/>
        <v>0</v>
      </c>
      <c r="AI1235" s="16">
        <f t="shared" si="1580"/>
        <v>0</v>
      </c>
      <c r="AJ1235" s="16">
        <f t="shared" si="1580"/>
        <v>0</v>
      </c>
      <c r="AK1235" s="16">
        <f t="shared" si="1580"/>
        <v>0</v>
      </c>
      <c r="AL1235" s="16">
        <f t="shared" si="1580"/>
        <v>0</v>
      </c>
      <c r="AM1235" s="16">
        <f t="shared" si="1580"/>
        <v>0</v>
      </c>
      <c r="AN1235" s="16">
        <f t="shared" si="1580"/>
        <v>0</v>
      </c>
      <c r="AO1235" s="16">
        <f t="shared" si="1580"/>
        <v>0</v>
      </c>
      <c r="AP1235" s="10"/>
      <c r="AQ1235" s="10"/>
      <c r="AR1235" s="10"/>
      <c r="AS1235" s="10" t="str">
        <f t="shared" ref="AS1235" ca="1" si="1583">IFERROR(__xludf.DUMMYFUNCTION("split(F1225,"","",true,true)"),"AlphaCode")</f>
        <v>AlphaCode</v>
      </c>
      <c r="AT1235" s="10"/>
      <c r="AU1235" s="10"/>
      <c r="AV1235" s="10"/>
      <c r="AW1235" s="10"/>
      <c r="AX1235" s="10"/>
      <c r="AY1235" s="10"/>
      <c r="AZ1235" s="10"/>
      <c r="BA1235" s="10"/>
      <c r="BB1235" s="10"/>
      <c r="BC1235" s="10"/>
      <c r="BD1235" s="10"/>
      <c r="BE1235" s="10"/>
      <c r="BF1235" s="10"/>
      <c r="BG1235" s="10"/>
      <c r="BH1235" s="10"/>
      <c r="BI1235" s="10"/>
      <c r="BJ1235" s="10"/>
      <c r="BK1235" s="10"/>
      <c r="BM1235" s="10"/>
    </row>
    <row r="1236" spans="1:65" ht="12.75">
      <c r="A1236" s="9">
        <v>43698</v>
      </c>
      <c r="B1236" s="10" t="s">
        <v>2565</v>
      </c>
      <c r="C1236" s="11">
        <v>100000</v>
      </c>
      <c r="D1236" s="12"/>
      <c r="E1236" s="10" t="s">
        <v>234</v>
      </c>
      <c r="F1236" s="10" t="s">
        <v>2349</v>
      </c>
      <c r="G1236" s="13" t="s">
        <v>2555</v>
      </c>
      <c r="H1236" s="14" t="str">
        <f t="array" ref="H1236">IFERROR(INDEX([1]Companies!$G:$G,MATCH(B1236,[1]Companies!$A:$A,0)),"")</f>
        <v>Kenya</v>
      </c>
      <c r="I1236" s="14" t="str">
        <f t="shared" si="1512"/>
        <v>Kenya</v>
      </c>
      <c r="J1236" s="14" t="str">
        <f t="array" ref="J1236">IFERROR(INDEX([1]Companies!$Y:$Y,MATCH(B1236,[1]Companies!$A:$A,0)),"")</f>
        <v>Logistics &amp; Distribution, Software</v>
      </c>
      <c r="K1236" s="14" t="str">
        <f t="array" ref="K1236">IFERROR(INDEX([1]Companies!$X:$X,MATCH(B1236,[1]Companies!$A:$A,0)),"")</f>
        <v>Information Technology</v>
      </c>
      <c r="L1236" s="14" t="str">
        <f>VLOOKUP(B1236,[1]Companies!$A$1:$C$5243,1,FALSE)</f>
        <v>Farmula</v>
      </c>
      <c r="M1236" s="15"/>
      <c r="N1236" s="10"/>
      <c r="O1236" s="14"/>
      <c r="P1236" s="14"/>
      <c r="Q1236" s="14"/>
      <c r="R1236" s="14"/>
      <c r="S1236" s="14"/>
      <c r="T1236" s="14"/>
      <c r="U1236" s="14"/>
      <c r="V1236" s="14">
        <f t="shared" si="1538"/>
        <v>2019</v>
      </c>
      <c r="W1236" s="14">
        <f t="shared" si="1539"/>
        <v>8</v>
      </c>
      <c r="X1236" s="14">
        <f>VLOOKUP(W1236,[1]Lookups!$P$3:$S$15,2,FALSE)</f>
        <v>3</v>
      </c>
      <c r="Y1236" s="16">
        <f>VLOOKUP(W1236,[1]Lookups!$P$3:$U$15,3,FALSE)</f>
        <v>2</v>
      </c>
      <c r="Z1236" s="16">
        <f t="shared" si="1540"/>
        <v>1</v>
      </c>
      <c r="AA1236" s="16" t="str">
        <f t="shared" ca="1" si="1580"/>
        <v>AlphaCode</v>
      </c>
      <c r="AB1236" s="16">
        <f t="shared" si="1580"/>
        <v>0</v>
      </c>
      <c r="AC1236" s="16">
        <f t="shared" si="1580"/>
        <v>0</v>
      </c>
      <c r="AD1236" s="16">
        <f t="shared" si="1580"/>
        <v>0</v>
      </c>
      <c r="AE1236" s="16">
        <f t="shared" si="1580"/>
        <v>0</v>
      </c>
      <c r="AF1236" s="16">
        <f t="shared" si="1580"/>
        <v>0</v>
      </c>
      <c r="AG1236" s="16">
        <f t="shared" si="1580"/>
        <v>0</v>
      </c>
      <c r="AH1236" s="16">
        <f t="shared" si="1580"/>
        <v>0</v>
      </c>
      <c r="AI1236" s="16">
        <f t="shared" si="1580"/>
        <v>0</v>
      </c>
      <c r="AJ1236" s="16">
        <f t="shared" si="1580"/>
        <v>0</v>
      </c>
      <c r="AK1236" s="16">
        <f t="shared" si="1580"/>
        <v>0</v>
      </c>
      <c r="AL1236" s="16">
        <f t="shared" si="1580"/>
        <v>0</v>
      </c>
      <c r="AM1236" s="16">
        <f t="shared" si="1580"/>
        <v>0</v>
      </c>
      <c r="AN1236" s="16">
        <f t="shared" si="1580"/>
        <v>0</v>
      </c>
      <c r="AO1236" s="16">
        <f t="shared" si="1580"/>
        <v>0</v>
      </c>
      <c r="AP1236" s="10"/>
      <c r="AQ1236" s="10"/>
      <c r="AR1236" s="10"/>
      <c r="AS1236" s="10" t="str">
        <f t="shared" ref="AS1236" ca="1" si="1584">IFERROR(__xludf.DUMMYFUNCTION("split(F1225,"","",true,true)"),"AlphaCode")</f>
        <v>AlphaCode</v>
      </c>
      <c r="AT1236" s="10"/>
      <c r="AU1236" s="10"/>
      <c r="AV1236" s="10"/>
      <c r="AW1236" s="10"/>
      <c r="AX1236" s="10"/>
      <c r="AY1236" s="10"/>
      <c r="AZ1236" s="10"/>
      <c r="BA1236" s="10"/>
      <c r="BB1236" s="10"/>
      <c r="BC1236" s="10"/>
      <c r="BD1236" s="10"/>
      <c r="BE1236" s="10"/>
      <c r="BF1236" s="10"/>
      <c r="BG1236" s="10"/>
      <c r="BH1236" s="10"/>
      <c r="BI1236" s="10"/>
      <c r="BJ1236" s="10"/>
      <c r="BK1236" s="10"/>
      <c r="BM1236" s="10"/>
    </row>
    <row r="1237" spans="1:65" ht="12.75">
      <c r="A1237" s="9">
        <v>43704</v>
      </c>
      <c r="B1237" s="10" t="s">
        <v>106</v>
      </c>
      <c r="C1237" s="11">
        <v>4000000</v>
      </c>
      <c r="D1237" s="12"/>
      <c r="E1237" s="10" t="s">
        <v>161</v>
      </c>
      <c r="F1237" s="10" t="s">
        <v>2566</v>
      </c>
      <c r="G1237" s="13" t="s">
        <v>2567</v>
      </c>
      <c r="H1237" s="14" t="str">
        <f t="array" ref="H1237">IFERROR(INDEX([1]Companies!$G:$G,MATCH(B1237,[1]Companies!$A:$A,0)),"")</f>
        <v>South Africa</v>
      </c>
      <c r="I1237" s="14" t="str">
        <f t="shared" si="1512"/>
        <v>South Africa</v>
      </c>
      <c r="J1237" s="14" t="str">
        <f t="array" ref="J1237">IFERROR(INDEX([1]Companies!$Y:$Y,MATCH(B1237,[1]Companies!$A:$A,0)),"")</f>
        <v>Mobile, Payments, Telecommunications</v>
      </c>
      <c r="K1237" s="14" t="str">
        <f t="array" ref="K1237">IFERROR(INDEX([1]Companies!$X:$X,MATCH(B1237,[1]Companies!$A:$A,0)),"")</f>
        <v>Financial Services</v>
      </c>
      <c r="L1237" s="14" t="str">
        <f>VLOOKUP(B1237,[1]Companies!$A$1:$C$5243,1,FALSE)</f>
        <v>Nomanini</v>
      </c>
      <c r="M1237" s="15"/>
      <c r="N1237" s="10"/>
      <c r="O1237" s="14"/>
      <c r="P1237" s="14"/>
      <c r="Q1237" s="14"/>
      <c r="R1237" s="14"/>
      <c r="S1237" s="14"/>
      <c r="T1237" s="14"/>
      <c r="U1237" s="14"/>
      <c r="V1237" s="14">
        <f t="shared" si="1538"/>
        <v>2019</v>
      </c>
      <c r="W1237" s="14">
        <f t="shared" si="1539"/>
        <v>8</v>
      </c>
      <c r="X1237" s="14">
        <f>VLOOKUP(W1237,[1]Lookups!$P$3:$S$15,2,FALSE)</f>
        <v>3</v>
      </c>
      <c r="Y1237" s="16">
        <f>VLOOKUP(W1237,[1]Lookups!$P$3:$U$15,3,FALSE)</f>
        <v>2</v>
      </c>
      <c r="Z1237" s="16">
        <f t="shared" si="1540"/>
        <v>2</v>
      </c>
      <c r="AA1237" s="16" t="str">
        <f t="shared" ca="1" si="1580"/>
        <v>AlphaCode</v>
      </c>
      <c r="AB1237" s="16" t="str">
        <f t="shared" ca="1" si="1580"/>
        <v xml:space="preserve"> Goodwell Investments</v>
      </c>
      <c r="AC1237" s="16">
        <f t="shared" si="1580"/>
        <v>0</v>
      </c>
      <c r="AD1237" s="16">
        <f t="shared" si="1580"/>
        <v>0</v>
      </c>
      <c r="AE1237" s="16">
        <f t="shared" si="1580"/>
        <v>0</v>
      </c>
      <c r="AF1237" s="16">
        <f t="shared" si="1580"/>
        <v>0</v>
      </c>
      <c r="AG1237" s="16">
        <f t="shared" si="1580"/>
        <v>0</v>
      </c>
      <c r="AH1237" s="16">
        <f t="shared" si="1580"/>
        <v>0</v>
      </c>
      <c r="AI1237" s="16">
        <f t="shared" si="1580"/>
        <v>0</v>
      </c>
      <c r="AJ1237" s="16">
        <f t="shared" si="1580"/>
        <v>0</v>
      </c>
      <c r="AK1237" s="16">
        <f t="shared" si="1580"/>
        <v>0</v>
      </c>
      <c r="AL1237" s="16">
        <f t="shared" si="1580"/>
        <v>0</v>
      </c>
      <c r="AM1237" s="16">
        <f t="shared" si="1580"/>
        <v>0</v>
      </c>
      <c r="AN1237" s="16">
        <f t="shared" si="1580"/>
        <v>0</v>
      </c>
      <c r="AO1237" s="16">
        <f t="shared" si="1580"/>
        <v>0</v>
      </c>
      <c r="AP1237" s="10"/>
      <c r="AQ1237" s="10"/>
      <c r="AR1237" s="10"/>
      <c r="AS1237" s="10" t="str">
        <f t="shared" ref="AS1237" ca="1" si="1585">IFERROR(__xludf.DUMMYFUNCTION("split(F1225,"","",true,true)"),"AlphaCode")</f>
        <v>AlphaCode</v>
      </c>
      <c r="AT1237" s="10" t="str">
        <f ca="1">IFERROR(__xludf.DUMMYFUNCTION("""COMPUTED_VALUE""")," Goodwell Investments")</f>
        <v xml:space="preserve"> Goodwell Investments</v>
      </c>
      <c r="AU1237" s="10"/>
      <c r="AV1237" s="10"/>
      <c r="AW1237" s="10"/>
      <c r="AX1237" s="10"/>
      <c r="AY1237" s="10"/>
      <c r="AZ1237" s="10"/>
      <c r="BA1237" s="10"/>
      <c r="BB1237" s="10"/>
      <c r="BC1237" s="10"/>
      <c r="BD1237" s="10"/>
      <c r="BE1237" s="10"/>
      <c r="BF1237" s="10"/>
      <c r="BG1237" s="10"/>
      <c r="BH1237" s="10"/>
      <c r="BI1237" s="10"/>
      <c r="BJ1237" s="10"/>
      <c r="BK1237" s="10"/>
      <c r="BM1237" s="10"/>
    </row>
    <row r="1238" spans="1:65" ht="12.75">
      <c r="A1238" s="9">
        <v>43703</v>
      </c>
      <c r="B1238" s="10" t="s">
        <v>2568</v>
      </c>
      <c r="C1238" s="11" t="s">
        <v>49</v>
      </c>
      <c r="D1238" s="12"/>
      <c r="E1238" s="10" t="s">
        <v>830</v>
      </c>
      <c r="F1238" s="10" t="s">
        <v>2569</v>
      </c>
      <c r="G1238" s="13" t="s">
        <v>2570</v>
      </c>
      <c r="H1238" s="14" t="str">
        <f t="array" ref="H1238">IFERROR(INDEX([1]Companies!$G:$G,MATCH(B1238,[1]Companies!$A:$A,0)),"")</f>
        <v>South Africa</v>
      </c>
      <c r="I1238" s="14" t="str">
        <f t="shared" si="1512"/>
        <v>South Africa</v>
      </c>
      <c r="J1238" s="14" t="str">
        <f t="array" ref="J1238">IFERROR(INDEX([1]Companies!$Y:$Y,MATCH(B1238,[1]Companies!$A:$A,0)),"")</f>
        <v>Loans, Asset Financing</v>
      </c>
      <c r="K1238" s="14" t="str">
        <f t="array" ref="K1238">IFERROR(INDEX([1]Companies!$X:$X,MATCH(B1238,[1]Companies!$A:$A,0)),"")</f>
        <v>Financial Services</v>
      </c>
      <c r="L1238" s="14" t="str">
        <f>VLOOKUP(B1238,[1]Companies!$A$1:$C$5243,1,FALSE)</f>
        <v>FundingHub</v>
      </c>
      <c r="M1238" s="15"/>
      <c r="N1238" s="10"/>
      <c r="O1238" s="14"/>
      <c r="P1238" s="14"/>
      <c r="Q1238" s="14"/>
      <c r="R1238" s="14"/>
      <c r="S1238" s="14"/>
      <c r="T1238" s="14"/>
      <c r="U1238" s="14"/>
      <c r="V1238" s="14">
        <f t="shared" si="1538"/>
        <v>2019</v>
      </c>
      <c r="W1238" s="14">
        <f t="shared" si="1539"/>
        <v>8</v>
      </c>
      <c r="X1238" s="14">
        <f>VLOOKUP(W1238,[1]Lookups!$P$3:$S$15,2,FALSE)</f>
        <v>3</v>
      </c>
      <c r="Y1238" s="16">
        <f>VLOOKUP(W1238,[1]Lookups!$P$3:$U$15,3,FALSE)</f>
        <v>2</v>
      </c>
      <c r="Z1238" s="16">
        <f t="shared" si="1540"/>
        <v>1</v>
      </c>
      <c r="AA1238" s="16" t="str">
        <f t="shared" ca="1" si="1580"/>
        <v>AlphaCode</v>
      </c>
      <c r="AB1238" s="16">
        <f t="shared" si="1580"/>
        <v>0</v>
      </c>
      <c r="AC1238" s="16">
        <f t="shared" si="1580"/>
        <v>0</v>
      </c>
      <c r="AD1238" s="16">
        <f t="shared" si="1580"/>
        <v>0</v>
      </c>
      <c r="AE1238" s="16">
        <f t="shared" si="1580"/>
        <v>0</v>
      </c>
      <c r="AF1238" s="16">
        <f t="shared" si="1580"/>
        <v>0</v>
      </c>
      <c r="AG1238" s="16">
        <f t="shared" si="1580"/>
        <v>0</v>
      </c>
      <c r="AH1238" s="16">
        <f t="shared" si="1580"/>
        <v>0</v>
      </c>
      <c r="AI1238" s="16">
        <f t="shared" si="1580"/>
        <v>0</v>
      </c>
      <c r="AJ1238" s="16">
        <f t="shared" si="1580"/>
        <v>0</v>
      </c>
      <c r="AK1238" s="16">
        <f t="shared" si="1580"/>
        <v>0</v>
      </c>
      <c r="AL1238" s="16">
        <f t="shared" si="1580"/>
        <v>0</v>
      </c>
      <c r="AM1238" s="16">
        <f t="shared" si="1580"/>
        <v>0</v>
      </c>
      <c r="AN1238" s="16">
        <f t="shared" si="1580"/>
        <v>0</v>
      </c>
      <c r="AO1238" s="16">
        <f t="shared" si="1580"/>
        <v>0</v>
      </c>
      <c r="AP1238" s="10"/>
      <c r="AQ1238" s="10"/>
      <c r="AR1238" s="10"/>
      <c r="AS1238" s="10" t="str">
        <f t="shared" ref="AS1238" ca="1" si="1586">IFERROR(__xludf.DUMMYFUNCTION("split(F1225,"","",true,true)"),"AlphaCode")</f>
        <v>AlphaCode</v>
      </c>
      <c r="AT1238" s="10"/>
      <c r="AU1238" s="10"/>
      <c r="AV1238" s="10"/>
      <c r="AW1238" s="10"/>
      <c r="AX1238" s="10"/>
      <c r="AY1238" s="10"/>
      <c r="AZ1238" s="10"/>
      <c r="BA1238" s="10"/>
      <c r="BB1238" s="10"/>
      <c r="BC1238" s="10"/>
      <c r="BD1238" s="10"/>
      <c r="BE1238" s="10"/>
      <c r="BF1238" s="10"/>
      <c r="BG1238" s="10"/>
      <c r="BH1238" s="10"/>
      <c r="BI1238" s="10"/>
      <c r="BJ1238" s="10"/>
      <c r="BK1238" s="10"/>
      <c r="BM1238" s="10"/>
    </row>
    <row r="1239" spans="1:65" ht="12.75">
      <c r="A1239" s="9">
        <v>43704</v>
      </c>
      <c r="B1239" s="10" t="s">
        <v>2571</v>
      </c>
      <c r="C1239" s="11">
        <v>200000</v>
      </c>
      <c r="D1239" s="12"/>
      <c r="E1239" s="10" t="s">
        <v>2572</v>
      </c>
      <c r="F1239" s="10" t="s">
        <v>49</v>
      </c>
      <c r="G1239" s="13" t="s">
        <v>2573</v>
      </c>
      <c r="H1239" s="14" t="str">
        <f t="array" ref="H1239">IFERROR(INDEX([1]Companies!$G:$G,MATCH(B1239,[1]Companies!$A:$A,0)),"")</f>
        <v>Egypt</v>
      </c>
      <c r="I1239" s="14" t="str">
        <f t="shared" si="1512"/>
        <v>Egypt</v>
      </c>
      <c r="J1239" s="14">
        <f t="array" ref="J1239">IFERROR(INDEX([1]Companies!$Y:$Y,MATCH(B1239,[1]Companies!$A:$A,0)),"")</f>
        <v>0</v>
      </c>
      <c r="K1239" s="14" t="str">
        <f t="array" ref="K1239">IFERROR(INDEX([1]Companies!$X:$X,MATCH(B1239,[1]Companies!$A:$A,0)),"")</f>
        <v>E-Commerce &amp; Retail</v>
      </c>
      <c r="L1239" s="14" t="str">
        <f>VLOOKUP(B1239,[1]Companies!$A$1:$C$5243,1,FALSE)</f>
        <v>Trolley</v>
      </c>
      <c r="M1239" s="15"/>
      <c r="N1239" s="10"/>
      <c r="O1239" s="14"/>
      <c r="P1239" s="14"/>
      <c r="Q1239" s="14"/>
      <c r="R1239" s="14"/>
      <c r="S1239" s="14"/>
      <c r="T1239" s="14"/>
      <c r="U1239" s="14"/>
      <c r="V1239" s="14">
        <f t="shared" si="1538"/>
        <v>2019</v>
      </c>
      <c r="W1239" s="14">
        <f t="shared" si="1539"/>
        <v>8</v>
      </c>
      <c r="X1239" s="14">
        <f>VLOOKUP(W1239,[1]Lookups!$P$3:$S$15,2,FALSE)</f>
        <v>3</v>
      </c>
      <c r="Y1239" s="16">
        <f>VLOOKUP(W1239,[1]Lookups!$P$3:$U$15,3,FALSE)</f>
        <v>2</v>
      </c>
      <c r="Z1239" s="16">
        <f t="shared" si="1540"/>
        <v>1</v>
      </c>
      <c r="AA1239" s="16" t="str">
        <f t="shared" ca="1" si="1580"/>
        <v>AlphaCode</v>
      </c>
      <c r="AB1239" s="16">
        <f t="shared" si="1580"/>
        <v>0</v>
      </c>
      <c r="AC1239" s="16">
        <f t="shared" si="1580"/>
        <v>0</v>
      </c>
      <c r="AD1239" s="16">
        <f t="shared" si="1580"/>
        <v>0</v>
      </c>
      <c r="AE1239" s="16">
        <f t="shared" si="1580"/>
        <v>0</v>
      </c>
      <c r="AF1239" s="16">
        <f t="shared" si="1580"/>
        <v>0</v>
      </c>
      <c r="AG1239" s="16">
        <f t="shared" si="1580"/>
        <v>0</v>
      </c>
      <c r="AH1239" s="16">
        <f t="shared" si="1580"/>
        <v>0</v>
      </c>
      <c r="AI1239" s="16">
        <f t="shared" si="1580"/>
        <v>0</v>
      </c>
      <c r="AJ1239" s="16">
        <f t="shared" si="1580"/>
        <v>0</v>
      </c>
      <c r="AK1239" s="16">
        <f t="shared" si="1580"/>
        <v>0</v>
      </c>
      <c r="AL1239" s="16">
        <f t="shared" si="1580"/>
        <v>0</v>
      </c>
      <c r="AM1239" s="16">
        <f t="shared" si="1580"/>
        <v>0</v>
      </c>
      <c r="AN1239" s="16">
        <f t="shared" si="1580"/>
        <v>0</v>
      </c>
      <c r="AO1239" s="16">
        <f t="shared" si="1580"/>
        <v>0</v>
      </c>
      <c r="AP1239" s="10"/>
      <c r="AQ1239" s="10"/>
      <c r="AR1239" s="10"/>
      <c r="AS1239" s="10" t="str">
        <f t="shared" ref="AS1239" ca="1" si="1587">IFERROR(__xludf.DUMMYFUNCTION("split(F1225,"","",true,true)"),"AlphaCode")</f>
        <v>AlphaCode</v>
      </c>
      <c r="AT1239" s="10"/>
      <c r="AU1239" s="10"/>
      <c r="AV1239" s="10"/>
      <c r="AW1239" s="10"/>
      <c r="AX1239" s="10"/>
      <c r="AY1239" s="10"/>
      <c r="AZ1239" s="10"/>
      <c r="BA1239" s="10"/>
      <c r="BB1239" s="10"/>
      <c r="BC1239" s="10"/>
      <c r="BD1239" s="10"/>
      <c r="BE1239" s="10"/>
      <c r="BF1239" s="10"/>
      <c r="BG1239" s="10"/>
      <c r="BH1239" s="10"/>
      <c r="BI1239" s="10"/>
      <c r="BJ1239" s="10"/>
      <c r="BK1239" s="10"/>
      <c r="BM1239" s="10"/>
    </row>
    <row r="1240" spans="1:65" ht="12.75">
      <c r="A1240" s="9">
        <v>43326</v>
      </c>
      <c r="B1240" s="10" t="s">
        <v>2574</v>
      </c>
      <c r="C1240" s="11" t="s">
        <v>49</v>
      </c>
      <c r="D1240" s="12"/>
      <c r="E1240" s="10" t="s">
        <v>91</v>
      </c>
      <c r="F1240" s="10" t="s">
        <v>2575</v>
      </c>
      <c r="G1240" s="13" t="s">
        <v>2576</v>
      </c>
      <c r="H1240" s="14" t="str">
        <f t="array" ref="H1240">IFERROR(INDEX([1]Companies!$G:$G,MATCH(B1240,[1]Companies!$A:$A,0)),"")</f>
        <v>United States</v>
      </c>
      <c r="I1240" s="14" t="str">
        <f t="shared" si="1512"/>
        <v>United States</v>
      </c>
      <c r="J1240" s="14" t="str">
        <f t="array" ref="J1240">IFERROR(INDEX([1]Companies!$Y:$Y,MATCH(B1240,[1]Companies!$A:$A,0)),"")</f>
        <v>Agribusiness</v>
      </c>
      <c r="K1240" s="14" t="str">
        <f t="array" ref="K1240">IFERROR(INDEX([1]Companies!$X:$X,MATCH(B1240,[1]Companies!$A:$A,0)),"")</f>
        <v>Agriculture</v>
      </c>
      <c r="L1240" s="14" t="str">
        <f>VLOOKUP(B1240,[1]Companies!$A$1:$C$5243,1,FALSE)</f>
        <v>Naasakle</v>
      </c>
      <c r="M1240" s="15"/>
      <c r="N1240" s="10"/>
      <c r="O1240" s="14"/>
      <c r="P1240" s="14"/>
      <c r="Q1240" s="14"/>
      <c r="R1240" s="14"/>
      <c r="S1240" s="14"/>
      <c r="T1240" s="14"/>
      <c r="U1240" s="14"/>
      <c r="V1240" s="14">
        <f t="shared" si="1538"/>
        <v>2018</v>
      </c>
      <c r="W1240" s="14">
        <f t="shared" si="1539"/>
        <v>8</v>
      </c>
      <c r="X1240" s="14">
        <f>VLOOKUP(W1240,[1]Lookups!$P$3:$S$15,2,FALSE)</f>
        <v>3</v>
      </c>
      <c r="Y1240" s="16">
        <f>VLOOKUP(W1240,[1]Lookups!$P$3:$U$15,3,FALSE)</f>
        <v>2</v>
      </c>
      <c r="Z1240" s="16">
        <f t="shared" si="1540"/>
        <v>1</v>
      </c>
      <c r="AA1240" s="16" t="str">
        <f t="shared" ca="1" si="1580"/>
        <v>AlphaCode</v>
      </c>
      <c r="AB1240" s="16">
        <f t="shared" si="1580"/>
        <v>0</v>
      </c>
      <c r="AC1240" s="16">
        <f t="shared" si="1580"/>
        <v>0</v>
      </c>
      <c r="AD1240" s="16">
        <f t="shared" si="1580"/>
        <v>0</v>
      </c>
      <c r="AE1240" s="16">
        <f t="shared" si="1580"/>
        <v>0</v>
      </c>
      <c r="AF1240" s="16">
        <f t="shared" si="1580"/>
        <v>0</v>
      </c>
      <c r="AG1240" s="16">
        <f t="shared" si="1580"/>
        <v>0</v>
      </c>
      <c r="AH1240" s="16">
        <f t="shared" si="1580"/>
        <v>0</v>
      </c>
      <c r="AI1240" s="16">
        <f t="shared" si="1580"/>
        <v>0</v>
      </c>
      <c r="AJ1240" s="16">
        <f t="shared" si="1580"/>
        <v>0</v>
      </c>
      <c r="AK1240" s="16">
        <f t="shared" si="1580"/>
        <v>0</v>
      </c>
      <c r="AL1240" s="16">
        <f t="shared" si="1580"/>
        <v>0</v>
      </c>
      <c r="AM1240" s="16">
        <f t="shared" si="1580"/>
        <v>0</v>
      </c>
      <c r="AN1240" s="16">
        <f t="shared" si="1580"/>
        <v>0</v>
      </c>
      <c r="AO1240" s="16">
        <f t="shared" si="1580"/>
        <v>0</v>
      </c>
      <c r="AP1240" s="10"/>
      <c r="AQ1240" s="10"/>
      <c r="AR1240" s="10"/>
      <c r="AS1240" s="10" t="str">
        <f t="shared" ref="AS1240" ca="1" si="1588">IFERROR(__xludf.DUMMYFUNCTION("split(F1225,"","",true,true)"),"AlphaCode")</f>
        <v>AlphaCode</v>
      </c>
      <c r="AT1240" s="10"/>
      <c r="AU1240" s="10"/>
      <c r="AV1240" s="10"/>
      <c r="AW1240" s="10"/>
      <c r="AX1240" s="10"/>
      <c r="AY1240" s="10"/>
      <c r="AZ1240" s="10"/>
      <c r="BA1240" s="10"/>
      <c r="BB1240" s="10"/>
      <c r="BC1240" s="10"/>
      <c r="BD1240" s="10"/>
      <c r="BE1240" s="10"/>
      <c r="BF1240" s="10"/>
      <c r="BG1240" s="10"/>
      <c r="BH1240" s="10"/>
      <c r="BI1240" s="10"/>
      <c r="BJ1240" s="10"/>
      <c r="BK1240" s="10"/>
      <c r="BM1240" s="10"/>
    </row>
    <row r="1241" spans="1:65" ht="12.75">
      <c r="A1241" s="9">
        <v>43705</v>
      </c>
      <c r="B1241" s="10" t="s">
        <v>1950</v>
      </c>
      <c r="C1241" s="11">
        <v>50000000</v>
      </c>
      <c r="D1241" s="12"/>
      <c r="E1241" s="10" t="s">
        <v>161</v>
      </c>
      <c r="F1241" s="10" t="s">
        <v>2577</v>
      </c>
      <c r="G1241" s="13" t="s">
        <v>2578</v>
      </c>
      <c r="H1241" s="14" t="str">
        <f t="array" ref="H1241">IFERROR(INDEX([1]Companies!$G:$G,MATCH(B1241,[1]Companies!$A:$A,0)),"")</f>
        <v>United Kingdom</v>
      </c>
      <c r="I1241" s="14" t="str">
        <f t="shared" si="1512"/>
        <v>United Kingdom</v>
      </c>
      <c r="J1241" s="14" t="str">
        <f t="array" ref="J1241">IFERROR(INDEX([1]Companies!$Y:$Y,MATCH(B1241,[1]Companies!$A:$A,0)),"")</f>
        <v>Electrical Distribution, Energy, Energy Management, Manufacturing, Product Design, Renewable Energy, Solar</v>
      </c>
      <c r="K1241" s="14" t="str">
        <f t="array" ref="K1241">IFERROR(INDEX([1]Companies!$X:$X,MATCH(B1241,[1]Companies!$A:$A,0)),"")</f>
        <v>Energy &amp; Environment Resources</v>
      </c>
      <c r="L1241" s="14" t="str">
        <f>VLOOKUP(B1241,[1]Companies!$A$1:$C$5243,1,FALSE)</f>
        <v>Bboxx</v>
      </c>
      <c r="M1241" s="15"/>
      <c r="N1241" s="10"/>
      <c r="O1241" s="14"/>
      <c r="P1241" s="14"/>
      <c r="Q1241" s="14"/>
      <c r="R1241" s="14"/>
      <c r="S1241" s="14"/>
      <c r="T1241" s="14"/>
      <c r="U1241" s="14"/>
      <c r="V1241" s="14">
        <f t="shared" si="1538"/>
        <v>2019</v>
      </c>
      <c r="W1241" s="14">
        <f t="shared" si="1539"/>
        <v>8</v>
      </c>
      <c r="X1241" s="14">
        <f>VLOOKUP(W1241,[1]Lookups!$P$3:$S$15,2,FALSE)</f>
        <v>3</v>
      </c>
      <c r="Y1241" s="16">
        <f>VLOOKUP(W1241,[1]Lookups!$P$3:$U$15,3,FALSE)</f>
        <v>2</v>
      </c>
      <c r="Z1241" s="16">
        <f t="shared" si="1540"/>
        <v>5</v>
      </c>
      <c r="AA1241" s="16" t="str">
        <f t="shared" ca="1" si="1580"/>
        <v>AlphaCode</v>
      </c>
      <c r="AB1241" s="16" t="str">
        <f t="shared" ca="1" si="1580"/>
        <v xml:space="preserve"> Bamboo Capital Partners</v>
      </c>
      <c r="AC1241" s="16" t="str">
        <f t="shared" ca="1" si="1580"/>
        <v xml:space="preserve"> Doen Participaties</v>
      </c>
      <c r="AD1241" s="16" t="str">
        <f t="shared" ca="1" si="1580"/>
        <v xml:space="preserve"> MacKinnon Bennett</v>
      </c>
      <c r="AE1241" s="16" t="str">
        <f t="shared" ca="1" si="1580"/>
        <v xml:space="preserve"> ENGIE</v>
      </c>
      <c r="AF1241" s="16">
        <f t="shared" si="1580"/>
        <v>0</v>
      </c>
      <c r="AG1241" s="16">
        <f t="shared" si="1580"/>
        <v>0</v>
      </c>
      <c r="AH1241" s="16">
        <f t="shared" si="1580"/>
        <v>0</v>
      </c>
      <c r="AI1241" s="16">
        <f t="shared" si="1580"/>
        <v>0</v>
      </c>
      <c r="AJ1241" s="16">
        <f t="shared" si="1580"/>
        <v>0</v>
      </c>
      <c r="AK1241" s="16">
        <f t="shared" si="1580"/>
        <v>0</v>
      </c>
      <c r="AL1241" s="16">
        <f t="shared" si="1580"/>
        <v>0</v>
      </c>
      <c r="AM1241" s="16">
        <f t="shared" si="1580"/>
        <v>0</v>
      </c>
      <c r="AN1241" s="16">
        <f t="shared" si="1580"/>
        <v>0</v>
      </c>
      <c r="AO1241" s="16">
        <f t="shared" si="1580"/>
        <v>0</v>
      </c>
      <c r="AP1241" s="10"/>
      <c r="AQ1241" s="10"/>
      <c r="AR1241" s="10"/>
      <c r="AS1241" s="10" t="str">
        <f t="shared" ref="AS1241" ca="1" si="1589">IFERROR(__xludf.DUMMYFUNCTION("split(F1225,"","",true,true)"),"AlphaCode")</f>
        <v>AlphaCode</v>
      </c>
      <c r="AT1241" s="10" t="str">
        <f ca="1">IFERROR(__xludf.DUMMYFUNCTION("""COMPUTED_VALUE""")," Bamboo Capital Partners")</f>
        <v xml:space="preserve"> Bamboo Capital Partners</v>
      </c>
      <c r="AU1241" s="10" t="str">
        <f ca="1">IFERROR(__xludf.DUMMYFUNCTION("""COMPUTED_VALUE""")," Doen Participaties")</f>
        <v xml:space="preserve"> Doen Participaties</v>
      </c>
      <c r="AV1241" s="10" t="str">
        <f ca="1">IFERROR(__xludf.DUMMYFUNCTION("""COMPUTED_VALUE""")," MacKinnon Bennett")</f>
        <v xml:space="preserve"> MacKinnon Bennett</v>
      </c>
      <c r="AW1241" s="10" t="str">
        <f ca="1">IFERROR(__xludf.DUMMYFUNCTION("""COMPUTED_VALUE""")," ENGIE")</f>
        <v xml:space="preserve"> ENGIE</v>
      </c>
      <c r="AX1241" s="10"/>
      <c r="AY1241" s="10"/>
      <c r="AZ1241" s="10"/>
      <c r="BA1241" s="10"/>
      <c r="BB1241" s="10"/>
      <c r="BC1241" s="10"/>
      <c r="BD1241" s="10"/>
      <c r="BE1241" s="10"/>
      <c r="BF1241" s="10"/>
      <c r="BG1241" s="10"/>
      <c r="BH1241" s="10"/>
      <c r="BI1241" s="10"/>
      <c r="BJ1241" s="10"/>
      <c r="BK1241" s="10"/>
      <c r="BM1241" s="10"/>
    </row>
    <row r="1242" spans="1:65" ht="12.75">
      <c r="A1242" s="9">
        <v>41591</v>
      </c>
      <c r="B1242" s="10" t="s">
        <v>1950</v>
      </c>
      <c r="C1242" s="11">
        <v>1900000</v>
      </c>
      <c r="D1242" s="12"/>
      <c r="E1242" s="10" t="s">
        <v>69</v>
      </c>
      <c r="F1242" s="10" t="s">
        <v>2579</v>
      </c>
      <c r="G1242" s="13" t="s">
        <v>2580</v>
      </c>
      <c r="H1242" s="14" t="str">
        <f t="array" ref="H1242">IFERROR(INDEX([1]Companies!$G:$G,MATCH(B1242,[1]Companies!$A:$A,0)),"")</f>
        <v>United Kingdom</v>
      </c>
      <c r="I1242" s="14" t="str">
        <f t="shared" si="1512"/>
        <v>United Kingdom</v>
      </c>
      <c r="J1242" s="14" t="str">
        <f t="array" ref="J1242">IFERROR(INDEX([1]Companies!$Y:$Y,MATCH(B1242,[1]Companies!$A:$A,0)),"")</f>
        <v>Electrical Distribution, Energy, Energy Management, Manufacturing, Product Design, Renewable Energy, Solar</v>
      </c>
      <c r="K1242" s="14" t="str">
        <f t="array" ref="K1242">IFERROR(INDEX([1]Companies!$X:$X,MATCH(B1242,[1]Companies!$A:$A,0)),"")</f>
        <v>Energy &amp; Environment Resources</v>
      </c>
      <c r="L1242" s="14" t="str">
        <f>VLOOKUP(B1242,[1]Companies!$A$1:$C$5243,1,FALSE)</f>
        <v>Bboxx</v>
      </c>
      <c r="M1242" s="15"/>
      <c r="N1242" s="10"/>
      <c r="O1242" s="14"/>
      <c r="P1242" s="14"/>
      <c r="Q1242" s="14"/>
      <c r="R1242" s="14"/>
      <c r="S1242" s="14"/>
      <c r="T1242" s="14"/>
      <c r="U1242" s="14"/>
      <c r="V1242" s="14">
        <f t="shared" si="1538"/>
        <v>2013</v>
      </c>
      <c r="W1242" s="14">
        <f t="shared" si="1539"/>
        <v>11</v>
      </c>
      <c r="X1242" s="14">
        <f>VLOOKUP(W1242,[1]Lookups!$P$3:$S$15,2,FALSE)</f>
        <v>4</v>
      </c>
      <c r="Y1242" s="16">
        <f>VLOOKUP(W1242,[1]Lookups!$P$3:$U$15,3,FALSE)</f>
        <v>2</v>
      </c>
      <c r="Z1242" s="16">
        <f t="shared" si="1540"/>
        <v>2</v>
      </c>
      <c r="AA1242" s="16" t="str">
        <f t="shared" ca="1" si="1580"/>
        <v>AlphaCode</v>
      </c>
      <c r="AB1242" s="16" t="str">
        <f t="shared" ca="1" si="1580"/>
        <v xml:space="preserve"> Synergy Growth</v>
      </c>
      <c r="AC1242" s="16">
        <f t="shared" si="1580"/>
        <v>0</v>
      </c>
      <c r="AD1242" s="16">
        <f t="shared" si="1580"/>
        <v>0</v>
      </c>
      <c r="AE1242" s="16">
        <f t="shared" si="1580"/>
        <v>0</v>
      </c>
      <c r="AF1242" s="16">
        <f t="shared" si="1580"/>
        <v>0</v>
      </c>
      <c r="AG1242" s="16">
        <f t="shared" si="1580"/>
        <v>0</v>
      </c>
      <c r="AH1242" s="16">
        <f t="shared" si="1580"/>
        <v>0</v>
      </c>
      <c r="AI1242" s="16">
        <f t="shared" si="1580"/>
        <v>0</v>
      </c>
      <c r="AJ1242" s="16">
        <f t="shared" si="1580"/>
        <v>0</v>
      </c>
      <c r="AK1242" s="16">
        <f t="shared" si="1580"/>
        <v>0</v>
      </c>
      <c r="AL1242" s="16">
        <f t="shared" si="1580"/>
        <v>0</v>
      </c>
      <c r="AM1242" s="16">
        <f t="shared" si="1580"/>
        <v>0</v>
      </c>
      <c r="AN1242" s="16">
        <f t="shared" si="1580"/>
        <v>0</v>
      </c>
      <c r="AO1242" s="16">
        <f t="shared" si="1580"/>
        <v>0</v>
      </c>
      <c r="AP1242" s="10"/>
      <c r="AQ1242" s="10"/>
      <c r="AR1242" s="10"/>
      <c r="AS1242" s="10" t="str">
        <f t="shared" ref="AS1242" ca="1" si="1590">IFERROR(__xludf.DUMMYFUNCTION("split(F1225,"","",true,true)"),"AlphaCode")</f>
        <v>AlphaCode</v>
      </c>
      <c r="AT1242" s="10" t="str">
        <f ca="1">IFERROR(__xludf.DUMMYFUNCTION("""COMPUTED_VALUE""")," Synergy Growth")</f>
        <v xml:space="preserve"> Synergy Growth</v>
      </c>
      <c r="AU1242" s="10"/>
      <c r="AV1242" s="10"/>
      <c r="AW1242" s="10"/>
      <c r="AX1242" s="10"/>
      <c r="AY1242" s="10"/>
      <c r="AZ1242" s="10"/>
      <c r="BA1242" s="10"/>
      <c r="BB1242" s="10"/>
      <c r="BC1242" s="10"/>
      <c r="BD1242" s="10"/>
      <c r="BE1242" s="10"/>
      <c r="BF1242" s="10"/>
      <c r="BG1242" s="10"/>
      <c r="BH1242" s="10"/>
      <c r="BI1242" s="10"/>
      <c r="BJ1242" s="10"/>
      <c r="BK1242" s="10"/>
      <c r="BM1242" s="10"/>
    </row>
    <row r="1243" spans="1:65" ht="12.75">
      <c r="A1243" s="9">
        <v>42075</v>
      </c>
      <c r="B1243" s="10" t="s">
        <v>1950</v>
      </c>
      <c r="C1243" s="11">
        <v>3000000</v>
      </c>
      <c r="D1243" s="12"/>
      <c r="E1243" s="10" t="s">
        <v>112</v>
      </c>
      <c r="F1243" s="10" t="s">
        <v>2581</v>
      </c>
      <c r="G1243" s="13" t="s">
        <v>2582</v>
      </c>
      <c r="H1243" s="14" t="str">
        <f t="array" ref="H1243">IFERROR(INDEX([1]Companies!$G:$G,MATCH(B1243,[1]Companies!$A:$A,0)),"")</f>
        <v>United Kingdom</v>
      </c>
      <c r="I1243" s="14" t="str">
        <f t="shared" si="1512"/>
        <v>United Kingdom</v>
      </c>
      <c r="J1243" s="14" t="str">
        <f t="array" ref="J1243">IFERROR(INDEX([1]Companies!$Y:$Y,MATCH(B1243,[1]Companies!$A:$A,0)),"")</f>
        <v>Electrical Distribution, Energy, Energy Management, Manufacturing, Product Design, Renewable Energy, Solar</v>
      </c>
      <c r="K1243" s="14" t="str">
        <f t="array" ref="K1243">IFERROR(INDEX([1]Companies!$X:$X,MATCH(B1243,[1]Companies!$A:$A,0)),"")</f>
        <v>Energy &amp; Environment Resources</v>
      </c>
      <c r="L1243" s="14" t="str">
        <f>VLOOKUP(B1243,[1]Companies!$A$1:$C$5243,1,FALSE)</f>
        <v>Bboxx</v>
      </c>
      <c r="M1243" s="15"/>
      <c r="N1243" s="10"/>
      <c r="O1243" s="14"/>
      <c r="P1243" s="14"/>
      <c r="Q1243" s="14"/>
      <c r="R1243" s="14"/>
      <c r="S1243" s="14"/>
      <c r="T1243" s="14"/>
      <c r="U1243" s="14"/>
      <c r="V1243" s="14">
        <f t="shared" si="1538"/>
        <v>2015</v>
      </c>
      <c r="W1243" s="14">
        <f t="shared" si="1539"/>
        <v>3</v>
      </c>
      <c r="X1243" s="14">
        <f>VLOOKUP(W1243,[1]Lookups!$P$3:$S$15,2,FALSE)</f>
        <v>1</v>
      </c>
      <c r="Y1243" s="16">
        <f>VLOOKUP(W1243,[1]Lookups!$P$3:$U$15,3,FALSE)</f>
        <v>1</v>
      </c>
      <c r="Z1243" s="16">
        <f t="shared" si="1540"/>
        <v>3</v>
      </c>
      <c r="AA1243" s="16" t="str">
        <f t="shared" ca="1" si="1580"/>
        <v>AlphaCode</v>
      </c>
      <c r="AB1243" s="16" t="str">
        <f t="shared" ca="1" si="1580"/>
        <v xml:space="preserve"> DOEN Foundation</v>
      </c>
      <c r="AC1243" s="16" t="str">
        <f t="shared" ca="1" si="1580"/>
        <v xml:space="preserve"> MacKinnon Bennet &amp; Co.</v>
      </c>
      <c r="AD1243" s="16">
        <f t="shared" si="1580"/>
        <v>0</v>
      </c>
      <c r="AE1243" s="16">
        <f t="shared" si="1580"/>
        <v>0</v>
      </c>
      <c r="AF1243" s="16">
        <f t="shared" si="1580"/>
        <v>0</v>
      </c>
      <c r="AG1243" s="16">
        <f t="shared" si="1580"/>
        <v>0</v>
      </c>
      <c r="AH1243" s="16">
        <f t="shared" si="1580"/>
        <v>0</v>
      </c>
      <c r="AI1243" s="16">
        <f t="shared" si="1580"/>
        <v>0</v>
      </c>
      <c r="AJ1243" s="16">
        <f t="shared" si="1580"/>
        <v>0</v>
      </c>
      <c r="AK1243" s="16">
        <f t="shared" si="1580"/>
        <v>0</v>
      </c>
      <c r="AL1243" s="16">
        <f t="shared" si="1580"/>
        <v>0</v>
      </c>
      <c r="AM1243" s="16">
        <f t="shared" si="1580"/>
        <v>0</v>
      </c>
      <c r="AN1243" s="16">
        <f t="shared" si="1580"/>
        <v>0</v>
      </c>
      <c r="AO1243" s="16">
        <f t="shared" si="1580"/>
        <v>0</v>
      </c>
      <c r="AP1243" s="10"/>
      <c r="AQ1243" s="10"/>
      <c r="AR1243" s="10"/>
      <c r="AS1243" s="10" t="str">
        <f t="shared" ref="AS1243" ca="1" si="1591">IFERROR(__xludf.DUMMYFUNCTION("split(F1225,"","",true,true)"),"AlphaCode")</f>
        <v>AlphaCode</v>
      </c>
      <c r="AT1243" s="10" t="str">
        <f ca="1">IFERROR(__xludf.DUMMYFUNCTION("""COMPUTED_VALUE""")," DOEN Foundation")</f>
        <v xml:space="preserve"> DOEN Foundation</v>
      </c>
      <c r="AU1243" s="10" t="str">
        <f ca="1">IFERROR(__xludf.DUMMYFUNCTION("""COMPUTED_VALUE""")," MacKinnon Bennet &amp; Co.")</f>
        <v xml:space="preserve"> MacKinnon Bennet &amp; Co.</v>
      </c>
      <c r="AV1243" s="10"/>
      <c r="AW1243" s="10"/>
      <c r="AX1243" s="10"/>
      <c r="AY1243" s="10"/>
      <c r="AZ1243" s="10"/>
      <c r="BA1243" s="10"/>
      <c r="BB1243" s="10"/>
      <c r="BC1243" s="10"/>
      <c r="BD1243" s="10"/>
      <c r="BE1243" s="10"/>
      <c r="BF1243" s="10"/>
      <c r="BG1243" s="10"/>
      <c r="BH1243" s="10"/>
      <c r="BI1243" s="10"/>
      <c r="BJ1243" s="10"/>
      <c r="BK1243" s="10"/>
      <c r="BM1243" s="10"/>
    </row>
    <row r="1244" spans="1:65" ht="12.75">
      <c r="A1244" s="9">
        <v>42612</v>
      </c>
      <c r="B1244" s="10" t="s">
        <v>1950</v>
      </c>
      <c r="C1244" s="11">
        <v>20000000</v>
      </c>
      <c r="D1244" s="12"/>
      <c r="E1244" s="10" t="s">
        <v>84</v>
      </c>
      <c r="F1244" s="10" t="s">
        <v>2583</v>
      </c>
      <c r="G1244" s="13" t="s">
        <v>2584</v>
      </c>
      <c r="H1244" s="14" t="str">
        <f t="array" ref="H1244">IFERROR(INDEX([1]Companies!$G:$G,MATCH(B1244,[1]Companies!$A:$A,0)),"")</f>
        <v>United Kingdom</v>
      </c>
      <c r="I1244" s="14" t="str">
        <f t="shared" si="1512"/>
        <v>United Kingdom</v>
      </c>
      <c r="J1244" s="14" t="str">
        <f t="array" ref="J1244">IFERROR(INDEX([1]Companies!$Y:$Y,MATCH(B1244,[1]Companies!$A:$A,0)),"")</f>
        <v>Electrical Distribution, Energy, Energy Management, Manufacturing, Product Design, Renewable Energy, Solar</v>
      </c>
      <c r="K1244" s="14" t="str">
        <f t="array" ref="K1244">IFERROR(INDEX([1]Companies!$X:$X,MATCH(B1244,[1]Companies!$A:$A,0)),"")</f>
        <v>Energy &amp; Environment Resources</v>
      </c>
      <c r="L1244" s="14" t="str">
        <f>VLOOKUP(B1244,[1]Companies!$A$1:$C$5243,1,FALSE)</f>
        <v>Bboxx</v>
      </c>
      <c r="M1244" s="15"/>
      <c r="N1244" s="10"/>
      <c r="O1244" s="14"/>
      <c r="P1244" s="14"/>
      <c r="Q1244" s="14"/>
      <c r="R1244" s="14"/>
      <c r="S1244" s="14"/>
      <c r="T1244" s="14"/>
      <c r="U1244" s="14"/>
      <c r="V1244" s="14">
        <f t="shared" si="1538"/>
        <v>2016</v>
      </c>
      <c r="W1244" s="14">
        <f t="shared" si="1539"/>
        <v>8</v>
      </c>
      <c r="X1244" s="14">
        <f>VLOOKUP(W1244,[1]Lookups!$P$3:$S$15,2,FALSE)</f>
        <v>3</v>
      </c>
      <c r="Y1244" s="16">
        <f>VLOOKUP(W1244,[1]Lookups!$P$3:$U$15,3,FALSE)</f>
        <v>2</v>
      </c>
      <c r="Z1244" s="16">
        <f t="shared" si="1540"/>
        <v>7</v>
      </c>
      <c r="AA1244" s="16" t="str">
        <f t="shared" ca="1" si="1580"/>
        <v>AlphaCode</v>
      </c>
      <c r="AB1244" s="16" t="str">
        <f t="shared" ca="1" si="1580"/>
        <v xml:space="preserve"> DOEN Foundation</v>
      </c>
      <c r="AC1244" s="16" t="str">
        <f t="shared" ca="1" si="1580"/>
        <v xml:space="preserve"> ENGIE</v>
      </c>
      <c r="AD1244" s="16" t="str">
        <f t="shared" ca="1" si="1580"/>
        <v xml:space="preserve"> KawiSafi Ventures</v>
      </c>
      <c r="AE1244" s="16" t="str">
        <f t="shared" ca="1" si="1580"/>
        <v xml:space="preserve"> Khosla Impact</v>
      </c>
      <c r="AF1244" s="16" t="str">
        <f t="shared" ca="1" si="1580"/>
        <v xml:space="preserve"> MacKinnon</v>
      </c>
      <c r="AG1244" s="16" t="str">
        <f t="shared" ca="1" si="1580"/>
        <v xml:space="preserve"> Bennett &amp; Co.</v>
      </c>
      <c r="AH1244" s="16">
        <f t="shared" si="1580"/>
        <v>0</v>
      </c>
      <c r="AI1244" s="16">
        <f t="shared" si="1580"/>
        <v>0</v>
      </c>
      <c r="AJ1244" s="16">
        <f t="shared" si="1580"/>
        <v>0</v>
      </c>
      <c r="AK1244" s="16">
        <f t="shared" si="1580"/>
        <v>0</v>
      </c>
      <c r="AL1244" s="16">
        <f t="shared" si="1580"/>
        <v>0</v>
      </c>
      <c r="AM1244" s="16">
        <f t="shared" si="1580"/>
        <v>0</v>
      </c>
      <c r="AN1244" s="16">
        <f t="shared" si="1580"/>
        <v>0</v>
      </c>
      <c r="AO1244" s="16">
        <f t="shared" si="1580"/>
        <v>0</v>
      </c>
      <c r="AP1244" s="10"/>
      <c r="AQ1244" s="10"/>
      <c r="AR1244" s="10"/>
      <c r="AS1244" s="10" t="str">
        <f t="shared" ref="AS1244" ca="1" si="1592">IFERROR(__xludf.DUMMYFUNCTION("split(F1225,"","",true,true)"),"AlphaCode")</f>
        <v>AlphaCode</v>
      </c>
      <c r="AT1244" s="10" t="str">
        <f ca="1">IFERROR(__xludf.DUMMYFUNCTION("""COMPUTED_VALUE""")," DOEN Foundation")</f>
        <v xml:space="preserve"> DOEN Foundation</v>
      </c>
      <c r="AU1244" s="10" t="str">
        <f ca="1">IFERROR(__xludf.DUMMYFUNCTION("""COMPUTED_VALUE""")," ENGIE")</f>
        <v xml:space="preserve"> ENGIE</v>
      </c>
      <c r="AV1244" s="10" t="str">
        <f ca="1">IFERROR(__xludf.DUMMYFUNCTION("""COMPUTED_VALUE""")," KawiSafi Ventures")</f>
        <v xml:space="preserve"> KawiSafi Ventures</v>
      </c>
      <c r="AW1244" s="10" t="str">
        <f ca="1">IFERROR(__xludf.DUMMYFUNCTION("""COMPUTED_VALUE""")," Khosla Impact")</f>
        <v xml:space="preserve"> Khosla Impact</v>
      </c>
      <c r="AX1244" s="10" t="str">
        <f ca="1">IFERROR(__xludf.DUMMYFUNCTION("""COMPUTED_VALUE""")," MacKinnon")</f>
        <v xml:space="preserve"> MacKinnon</v>
      </c>
      <c r="AY1244" s="10" t="str">
        <f ca="1">IFERROR(__xludf.DUMMYFUNCTION("""COMPUTED_VALUE""")," Bennett &amp; Co.")</f>
        <v xml:space="preserve"> Bennett &amp; Co.</v>
      </c>
      <c r="AZ1244" s="10"/>
      <c r="BA1244" s="10"/>
      <c r="BB1244" s="10"/>
      <c r="BC1244" s="10"/>
      <c r="BD1244" s="10"/>
      <c r="BE1244" s="10"/>
      <c r="BF1244" s="10"/>
      <c r="BG1244" s="10"/>
      <c r="BH1244" s="10"/>
      <c r="BI1244" s="10"/>
      <c r="BJ1244" s="10"/>
      <c r="BK1244" s="10"/>
      <c r="BM1244" s="10"/>
    </row>
    <row r="1245" spans="1:65" ht="12.75">
      <c r="A1245" s="9">
        <v>43706</v>
      </c>
      <c r="B1245" s="10" t="s">
        <v>2585</v>
      </c>
      <c r="C1245" s="11">
        <v>30000</v>
      </c>
      <c r="D1245" s="12"/>
      <c r="E1245" s="10" t="s">
        <v>55</v>
      </c>
      <c r="F1245" s="10" t="s">
        <v>2586</v>
      </c>
      <c r="G1245" s="13" t="s">
        <v>2587</v>
      </c>
      <c r="H1245" s="14" t="str">
        <f t="array" ref="H1245">IFERROR(INDEX([1]Companies!$G:$G,MATCH(B1245,[1]Companies!$A:$A,0)),"")</f>
        <v>Egypt</v>
      </c>
      <c r="I1245" s="14" t="str">
        <f t="shared" si="1512"/>
        <v>Egypt</v>
      </c>
      <c r="J1245" s="14">
        <f t="array" ref="J1245">IFERROR(INDEX([1]Companies!$Y:$Y,MATCH(B1245,[1]Companies!$A:$A,0)),"")</f>
        <v>0</v>
      </c>
      <c r="K1245" s="14" t="str">
        <f t="array" ref="K1245">IFERROR(INDEX([1]Companies!$X:$X,MATCH(B1245,[1]Companies!$A:$A,0)),"")</f>
        <v>Healthcare &amp; Pharma</v>
      </c>
      <c r="L1245" s="14" t="str">
        <f>VLOOKUP(B1245,[1]Companies!$A$1:$C$5243,1,FALSE)</f>
        <v>Hospitalia</v>
      </c>
      <c r="M1245" s="15"/>
      <c r="N1245" s="10"/>
      <c r="O1245" s="14"/>
      <c r="P1245" s="14"/>
      <c r="Q1245" s="14"/>
      <c r="R1245" s="14"/>
      <c r="S1245" s="14"/>
      <c r="T1245" s="14"/>
      <c r="U1245" s="14"/>
      <c r="V1245" s="14">
        <f t="shared" si="1538"/>
        <v>2019</v>
      </c>
      <c r="W1245" s="14">
        <f t="shared" si="1539"/>
        <v>8</v>
      </c>
      <c r="X1245" s="14">
        <f>VLOOKUP(W1245,[1]Lookups!$P$3:$S$15,2,FALSE)</f>
        <v>3</v>
      </c>
      <c r="Y1245" s="16">
        <f>VLOOKUP(W1245,[1]Lookups!$P$3:$U$15,3,FALSE)</f>
        <v>2</v>
      </c>
      <c r="Z1245" s="16">
        <f t="shared" si="1540"/>
        <v>1</v>
      </c>
      <c r="AA1245" s="16" t="str">
        <f t="shared" ca="1" si="1580"/>
        <v>AlphaCode</v>
      </c>
      <c r="AB1245" s="16">
        <f t="shared" si="1580"/>
        <v>0</v>
      </c>
      <c r="AC1245" s="16">
        <f t="shared" si="1580"/>
        <v>0</v>
      </c>
      <c r="AD1245" s="16">
        <f t="shared" si="1580"/>
        <v>0</v>
      </c>
      <c r="AE1245" s="16">
        <f t="shared" si="1580"/>
        <v>0</v>
      </c>
      <c r="AF1245" s="16">
        <f t="shared" si="1580"/>
        <v>0</v>
      </c>
      <c r="AG1245" s="16">
        <f t="shared" si="1580"/>
        <v>0</v>
      </c>
      <c r="AH1245" s="16">
        <f t="shared" si="1580"/>
        <v>0</v>
      </c>
      <c r="AI1245" s="16">
        <f t="shared" si="1580"/>
        <v>0</v>
      </c>
      <c r="AJ1245" s="16">
        <f t="shared" si="1580"/>
        <v>0</v>
      </c>
      <c r="AK1245" s="16">
        <f t="shared" si="1580"/>
        <v>0</v>
      </c>
      <c r="AL1245" s="16">
        <f t="shared" si="1580"/>
        <v>0</v>
      </c>
      <c r="AM1245" s="16">
        <f t="shared" si="1580"/>
        <v>0</v>
      </c>
      <c r="AN1245" s="16">
        <f t="shared" si="1580"/>
        <v>0</v>
      </c>
      <c r="AO1245" s="16">
        <f t="shared" si="1580"/>
        <v>0</v>
      </c>
      <c r="AP1245" s="10"/>
      <c r="AQ1245" s="10"/>
      <c r="AR1245" s="10"/>
      <c r="AS1245" s="10" t="str">
        <f t="shared" ref="AS1245" ca="1" si="1593">IFERROR(__xludf.DUMMYFUNCTION("split(F1225,"","",true,true)"),"AlphaCode")</f>
        <v>AlphaCode</v>
      </c>
      <c r="AT1245" s="10"/>
      <c r="AU1245" s="10"/>
      <c r="AV1245" s="10"/>
      <c r="AW1245" s="10"/>
      <c r="AX1245" s="10"/>
      <c r="AY1245" s="10"/>
      <c r="AZ1245" s="10"/>
      <c r="BA1245" s="10"/>
      <c r="BB1245" s="10"/>
      <c r="BC1245" s="10"/>
      <c r="BD1245" s="10"/>
      <c r="BE1245" s="10"/>
      <c r="BF1245" s="10"/>
      <c r="BG1245" s="10"/>
      <c r="BH1245" s="10"/>
      <c r="BI1245" s="10"/>
      <c r="BJ1245" s="10"/>
      <c r="BK1245" s="10"/>
      <c r="BM1245" s="10"/>
    </row>
    <row r="1246" spans="1:65" ht="12.75">
      <c r="A1246" s="9">
        <v>43706</v>
      </c>
      <c r="B1246" s="10" t="s">
        <v>2588</v>
      </c>
      <c r="C1246" s="11">
        <v>90000</v>
      </c>
      <c r="D1246" s="12"/>
      <c r="E1246" s="10" t="s">
        <v>55</v>
      </c>
      <c r="F1246" s="10" t="s">
        <v>2586</v>
      </c>
      <c r="G1246" s="13" t="s">
        <v>2587</v>
      </c>
      <c r="H1246" s="14" t="str">
        <f t="array" ref="H1246">IFERROR(INDEX([1]Companies!$G:$G,MATCH(B1246,[1]Companies!$A:$A,0)),"")</f>
        <v>Egypt</v>
      </c>
      <c r="I1246" s="14" t="str">
        <f t="shared" si="1512"/>
        <v>Egypt</v>
      </c>
      <c r="J1246" s="14" t="str">
        <f t="array" ref="J1246">IFERROR(INDEX([1]Companies!$Y:$Y,MATCH(B1246,[1]Companies!$A:$A,0)),"")</f>
        <v>Biotechnology</v>
      </c>
      <c r="K1246" s="14" t="str">
        <f t="array" ref="K1246">IFERROR(INDEX([1]Companies!$X:$X,MATCH(B1246,[1]Companies!$A:$A,0)),"")</f>
        <v>Agriculture</v>
      </c>
      <c r="L1246" s="14" t="str">
        <f>VLOOKUP(B1246,[1]Companies!$A$1:$C$5243,1,FALSE)</f>
        <v>Proteinea</v>
      </c>
      <c r="M1246" s="15"/>
      <c r="N1246" s="10"/>
      <c r="O1246" s="14"/>
      <c r="P1246" s="14"/>
      <c r="Q1246" s="14"/>
      <c r="R1246" s="14"/>
      <c r="S1246" s="14"/>
      <c r="T1246" s="14"/>
      <c r="U1246" s="14"/>
      <c r="V1246" s="14">
        <f t="shared" si="1538"/>
        <v>2019</v>
      </c>
      <c r="W1246" s="14">
        <f t="shared" si="1539"/>
        <v>8</v>
      </c>
      <c r="X1246" s="14">
        <f>VLOOKUP(W1246,[1]Lookups!$P$3:$S$15,2,FALSE)</f>
        <v>3</v>
      </c>
      <c r="Y1246" s="16">
        <f>VLOOKUP(W1246,[1]Lookups!$P$3:$U$15,3,FALSE)</f>
        <v>2</v>
      </c>
      <c r="Z1246" s="16">
        <f t="shared" si="1540"/>
        <v>1</v>
      </c>
      <c r="AA1246" s="16" t="str">
        <f t="shared" ca="1" si="1580"/>
        <v>AlphaCode</v>
      </c>
      <c r="AB1246" s="16">
        <f t="shared" si="1580"/>
        <v>0</v>
      </c>
      <c r="AC1246" s="16">
        <f t="shared" si="1580"/>
        <v>0</v>
      </c>
      <c r="AD1246" s="16">
        <f t="shared" si="1580"/>
        <v>0</v>
      </c>
      <c r="AE1246" s="16">
        <f t="shared" si="1580"/>
        <v>0</v>
      </c>
      <c r="AF1246" s="16">
        <f t="shared" si="1580"/>
        <v>0</v>
      </c>
      <c r="AG1246" s="16">
        <f t="shared" si="1580"/>
        <v>0</v>
      </c>
      <c r="AH1246" s="16">
        <f t="shared" si="1580"/>
        <v>0</v>
      </c>
      <c r="AI1246" s="16">
        <f t="shared" si="1580"/>
        <v>0</v>
      </c>
      <c r="AJ1246" s="16">
        <f t="shared" si="1580"/>
        <v>0</v>
      </c>
      <c r="AK1246" s="16">
        <f t="shared" si="1580"/>
        <v>0</v>
      </c>
      <c r="AL1246" s="16">
        <f t="shared" si="1580"/>
        <v>0</v>
      </c>
      <c r="AM1246" s="16">
        <f t="shared" si="1580"/>
        <v>0</v>
      </c>
      <c r="AN1246" s="16">
        <f t="shared" si="1580"/>
        <v>0</v>
      </c>
      <c r="AO1246" s="16">
        <f t="shared" si="1580"/>
        <v>0</v>
      </c>
      <c r="AP1246" s="10"/>
      <c r="AQ1246" s="10"/>
      <c r="AR1246" s="10"/>
      <c r="AS1246" s="10" t="str">
        <f t="shared" ref="AS1246" ca="1" si="1594">IFERROR(__xludf.DUMMYFUNCTION("split(F1225,"","",true,true)"),"AlphaCode")</f>
        <v>AlphaCode</v>
      </c>
      <c r="AT1246" s="10"/>
      <c r="AU1246" s="10"/>
      <c r="AV1246" s="10"/>
      <c r="AW1246" s="10"/>
      <c r="AX1246" s="10"/>
      <c r="AY1246" s="10"/>
      <c r="AZ1246" s="10"/>
      <c r="BA1246" s="10"/>
      <c r="BB1246" s="10"/>
      <c r="BC1246" s="10"/>
      <c r="BD1246" s="10"/>
      <c r="BE1246" s="10"/>
      <c r="BF1246" s="10"/>
      <c r="BG1246" s="10"/>
      <c r="BH1246" s="10"/>
      <c r="BI1246" s="10"/>
      <c r="BJ1246" s="10"/>
      <c r="BK1246" s="10"/>
      <c r="BM1246" s="10"/>
    </row>
    <row r="1247" spans="1:65" ht="12.75">
      <c r="A1247" s="9">
        <v>43480</v>
      </c>
      <c r="B1247" s="10" t="s">
        <v>2589</v>
      </c>
      <c r="C1247" s="11">
        <v>600000</v>
      </c>
      <c r="D1247" s="12"/>
      <c r="E1247" s="10" t="s">
        <v>45</v>
      </c>
      <c r="F1247" s="10" t="s">
        <v>2590</v>
      </c>
      <c r="G1247" s="13" t="s">
        <v>2591</v>
      </c>
      <c r="H1247" s="14" t="str">
        <f t="array" ref="H1247">IFERROR(INDEX([1]Companies!$G:$G,MATCH(B1247,[1]Companies!$A:$A,0)),"")</f>
        <v>United States</v>
      </c>
      <c r="I1247" s="14" t="str">
        <f t="shared" si="1512"/>
        <v>United States</v>
      </c>
      <c r="J1247" s="14">
        <f t="array" ref="J1247">IFERROR(INDEX([1]Companies!$Y:$Y,MATCH(B1247,[1]Companies!$A:$A,0)),"")</f>
        <v>0</v>
      </c>
      <c r="K1247" s="14" t="str">
        <f t="array" ref="K1247">IFERROR(INDEX([1]Companies!$X:$X,MATCH(B1247,[1]Companies!$A:$A,0)),"")</f>
        <v>Financial Services</v>
      </c>
      <c r="L1247" s="14" t="str">
        <f>VLOOKUP(B1247,[1]Companies!$A$1:$C$5243,1,FALSE)</f>
        <v>NowPay</v>
      </c>
      <c r="M1247" s="15"/>
      <c r="N1247" s="10"/>
      <c r="O1247" s="14"/>
      <c r="P1247" s="14"/>
      <c r="Q1247" s="14"/>
      <c r="R1247" s="14"/>
      <c r="S1247" s="14"/>
      <c r="T1247" s="14"/>
      <c r="U1247" s="14"/>
      <c r="V1247" s="14">
        <f t="shared" si="1538"/>
        <v>2019</v>
      </c>
      <c r="W1247" s="14">
        <f t="shared" si="1539"/>
        <v>1</v>
      </c>
      <c r="X1247" s="14">
        <f>VLOOKUP(W1247,[1]Lookups!$P$3:$S$15,2,FALSE)</f>
        <v>1</v>
      </c>
      <c r="Y1247" s="16">
        <f>VLOOKUP(W1247,[1]Lookups!$P$3:$U$15,3,FALSE)</f>
        <v>1</v>
      </c>
      <c r="Z1247" s="16">
        <f t="shared" si="1540"/>
        <v>2</v>
      </c>
      <c r="AA1247" s="16" t="str">
        <f t="shared" ca="1" si="1580"/>
        <v>AlphaCode</v>
      </c>
      <c r="AB1247" s="16" t="str">
        <f t="shared" ca="1" si="1580"/>
        <v xml:space="preserve"> 500 Startups</v>
      </c>
      <c r="AC1247" s="16">
        <f t="shared" si="1580"/>
        <v>0</v>
      </c>
      <c r="AD1247" s="16">
        <f t="shared" si="1580"/>
        <v>0</v>
      </c>
      <c r="AE1247" s="16">
        <f t="shared" si="1580"/>
        <v>0</v>
      </c>
      <c r="AF1247" s="16">
        <f t="shared" si="1580"/>
        <v>0</v>
      </c>
      <c r="AG1247" s="16">
        <f t="shared" si="1580"/>
        <v>0</v>
      </c>
      <c r="AH1247" s="16">
        <f t="shared" si="1580"/>
        <v>0</v>
      </c>
      <c r="AI1247" s="16">
        <f t="shared" si="1580"/>
        <v>0</v>
      </c>
      <c r="AJ1247" s="16">
        <f t="shared" si="1580"/>
        <v>0</v>
      </c>
      <c r="AK1247" s="16">
        <f t="shared" si="1580"/>
        <v>0</v>
      </c>
      <c r="AL1247" s="16">
        <f t="shared" si="1580"/>
        <v>0</v>
      </c>
      <c r="AM1247" s="16">
        <f t="shared" si="1580"/>
        <v>0</v>
      </c>
      <c r="AN1247" s="16">
        <f t="shared" si="1580"/>
        <v>0</v>
      </c>
      <c r="AO1247" s="16">
        <f t="shared" si="1580"/>
        <v>0</v>
      </c>
      <c r="AP1247" s="10"/>
      <c r="AQ1247" s="10"/>
      <c r="AR1247" s="10"/>
      <c r="AS1247" s="10" t="str">
        <f t="shared" ref="AS1247" ca="1" si="1595">IFERROR(__xludf.DUMMYFUNCTION("split(F1225,"","",true,true)"),"AlphaCode")</f>
        <v>AlphaCode</v>
      </c>
      <c r="AT1247" s="10" t="str">
        <f ca="1">IFERROR(__xludf.DUMMYFUNCTION("""COMPUTED_VALUE""")," 500 Startups")</f>
        <v xml:space="preserve"> 500 Startups</v>
      </c>
      <c r="AU1247" s="10"/>
      <c r="AV1247" s="10"/>
      <c r="AW1247" s="10"/>
      <c r="AX1247" s="10"/>
      <c r="AY1247" s="10"/>
      <c r="AZ1247" s="10"/>
      <c r="BA1247" s="10"/>
      <c r="BB1247" s="10"/>
      <c r="BC1247" s="10"/>
      <c r="BD1247" s="10"/>
      <c r="BE1247" s="10"/>
      <c r="BF1247" s="10"/>
      <c r="BG1247" s="10"/>
      <c r="BH1247" s="10"/>
      <c r="BI1247" s="10"/>
      <c r="BJ1247" s="10"/>
      <c r="BK1247" s="10"/>
      <c r="BM1247" s="10"/>
    </row>
    <row r="1248" spans="1:65" ht="12.75">
      <c r="A1248" s="9">
        <v>43556</v>
      </c>
      <c r="B1248" s="10" t="s">
        <v>78</v>
      </c>
      <c r="C1248" s="11">
        <v>56000000</v>
      </c>
      <c r="D1248" s="12"/>
      <c r="E1248" s="10" t="s">
        <v>830</v>
      </c>
      <c r="F1248" s="10" t="s">
        <v>2592</v>
      </c>
      <c r="G1248" s="13" t="s">
        <v>2593</v>
      </c>
      <c r="H1248" s="14" t="str">
        <f t="array" ref="H1248">IFERROR(INDEX([1]Companies!$G:$G,MATCH(B1248,[1]Companies!$A:$A,0)),"")</f>
        <v>Nigeria</v>
      </c>
      <c r="I1248" s="14" t="str">
        <f t="shared" si="1512"/>
        <v>Nigeria</v>
      </c>
      <c r="J1248" s="14" t="str">
        <f t="array" ref="J1248">IFERROR(INDEX([1]Companies!$Y:$Y,MATCH(B1248,[1]Companies!$A:$A,0)),"")</f>
        <v>E-Commerce, Internet, Shopping Online</v>
      </c>
      <c r="K1248" s="14" t="str">
        <f t="array" ref="K1248">IFERROR(INDEX([1]Companies!$X:$X,MATCH(B1248,[1]Companies!$A:$A,0)),"")</f>
        <v>E-Commerce &amp; Retail</v>
      </c>
      <c r="L1248" s="14" t="str">
        <f>VLOOKUP(B1248,[1]Companies!$A$1:$C$5243,1,FALSE)</f>
        <v>Jumia Group</v>
      </c>
      <c r="M1248" s="15"/>
      <c r="N1248" s="10"/>
      <c r="O1248" s="14"/>
      <c r="P1248" s="14"/>
      <c r="Q1248" s="14"/>
      <c r="R1248" s="14"/>
      <c r="S1248" s="14"/>
      <c r="T1248" s="14"/>
      <c r="U1248" s="14"/>
      <c r="V1248" s="14">
        <f t="shared" si="1538"/>
        <v>2019</v>
      </c>
      <c r="W1248" s="14">
        <f t="shared" si="1539"/>
        <v>4</v>
      </c>
      <c r="X1248" s="14">
        <f>VLOOKUP(W1248,[1]Lookups!$P$3:$S$15,2,FALSE)</f>
        <v>2</v>
      </c>
      <c r="Y1248" s="16">
        <f>VLOOKUP(W1248,[1]Lookups!$P$3:$U$15,3,FALSE)</f>
        <v>1</v>
      </c>
      <c r="Z1248" s="16">
        <f t="shared" si="1540"/>
        <v>1</v>
      </c>
      <c r="AA1248" s="16" t="str">
        <f t="shared" ca="1" si="1580"/>
        <v>AlphaCode</v>
      </c>
      <c r="AB1248" s="16">
        <f t="shared" si="1580"/>
        <v>0</v>
      </c>
      <c r="AC1248" s="16">
        <f t="shared" si="1580"/>
        <v>0</v>
      </c>
      <c r="AD1248" s="16">
        <f t="shared" si="1580"/>
        <v>0</v>
      </c>
      <c r="AE1248" s="16">
        <f t="shared" si="1580"/>
        <v>0</v>
      </c>
      <c r="AF1248" s="16">
        <f t="shared" si="1580"/>
        <v>0</v>
      </c>
      <c r="AG1248" s="16">
        <f t="shared" si="1580"/>
        <v>0</v>
      </c>
      <c r="AH1248" s="16">
        <f t="shared" si="1580"/>
        <v>0</v>
      </c>
      <c r="AI1248" s="16">
        <f t="shared" si="1580"/>
        <v>0</v>
      </c>
      <c r="AJ1248" s="16">
        <f t="shared" si="1580"/>
        <v>0</v>
      </c>
      <c r="AK1248" s="16">
        <f t="shared" si="1580"/>
        <v>0</v>
      </c>
      <c r="AL1248" s="16">
        <f t="shared" si="1580"/>
        <v>0</v>
      </c>
      <c r="AM1248" s="16">
        <f t="shared" si="1580"/>
        <v>0</v>
      </c>
      <c r="AN1248" s="16">
        <f t="shared" si="1580"/>
        <v>0</v>
      </c>
      <c r="AO1248" s="16">
        <f t="shared" si="1580"/>
        <v>0</v>
      </c>
      <c r="AP1248" s="10"/>
      <c r="AQ1248" s="10"/>
      <c r="AR1248" s="10"/>
      <c r="AS1248" s="10" t="str">
        <f t="shared" ref="AS1248" ca="1" si="1596">IFERROR(__xludf.DUMMYFUNCTION("split(F1225,"","",true,true)"),"AlphaCode")</f>
        <v>AlphaCode</v>
      </c>
      <c r="AT1248" s="10"/>
      <c r="AU1248" s="10"/>
      <c r="AV1248" s="10"/>
      <c r="AW1248" s="10"/>
      <c r="AX1248" s="10"/>
      <c r="AY1248" s="10"/>
      <c r="AZ1248" s="10"/>
      <c r="BA1248" s="10"/>
      <c r="BB1248" s="10"/>
      <c r="BC1248" s="10"/>
      <c r="BD1248" s="10"/>
      <c r="BE1248" s="10"/>
      <c r="BF1248" s="10"/>
      <c r="BG1248" s="10"/>
      <c r="BH1248" s="10"/>
      <c r="BI1248" s="10"/>
      <c r="BJ1248" s="10"/>
      <c r="BK1248" s="10"/>
      <c r="BM1248" s="10"/>
    </row>
    <row r="1249" spans="1:65" ht="12.75">
      <c r="A1249" s="9">
        <v>43449</v>
      </c>
      <c r="B1249" s="10" t="s">
        <v>1363</v>
      </c>
      <c r="C1249" s="11">
        <v>100000</v>
      </c>
      <c r="D1249" s="12"/>
      <c r="E1249" s="10" t="s">
        <v>45</v>
      </c>
      <c r="F1249" s="10" t="s">
        <v>2594</v>
      </c>
      <c r="G1249" s="13" t="s">
        <v>2595</v>
      </c>
      <c r="H1249" s="14" t="str">
        <f t="array" ref="H1249">IFERROR(INDEX([1]Companies!$G:$G,MATCH(B1249,[1]Companies!$A:$A,0)),"")</f>
        <v>Kenya</v>
      </c>
      <c r="I1249" s="14" t="str">
        <f t="shared" si="1512"/>
        <v>Kenya</v>
      </c>
      <c r="J1249" s="14" t="str">
        <f t="array" ref="J1249">IFERROR(INDEX([1]Companies!$Y:$Y,MATCH(B1249,[1]Companies!$A:$A,0)),"")</f>
        <v>Mobile, Mobile Apps</v>
      </c>
      <c r="K1249" s="14" t="str">
        <f t="array" ref="K1249">IFERROR(INDEX([1]Companies!$X:$X,MATCH(B1249,[1]Companies!$A:$A,0)),"")</f>
        <v>Information Technology</v>
      </c>
      <c r="L1249" s="14" t="str">
        <f>VLOOKUP(B1249,[1]Companies!$A$1:$C$5243,1,FALSE)</f>
        <v>MPost</v>
      </c>
      <c r="M1249" s="15"/>
      <c r="N1249" s="10"/>
      <c r="O1249" s="14"/>
      <c r="P1249" s="14"/>
      <c r="Q1249" s="14"/>
      <c r="R1249" s="14"/>
      <c r="S1249" s="14"/>
      <c r="T1249" s="14"/>
      <c r="U1249" s="14"/>
      <c r="V1249" s="14">
        <f t="shared" si="1538"/>
        <v>2018</v>
      </c>
      <c r="W1249" s="14">
        <f t="shared" si="1539"/>
        <v>12</v>
      </c>
      <c r="X1249" s="14">
        <f>VLOOKUP(W1249,[1]Lookups!$P$3:$S$15,2,FALSE)</f>
        <v>4</v>
      </c>
      <c r="Y1249" s="16">
        <f>VLOOKUP(W1249,[1]Lookups!$P$3:$U$15,3,FALSE)</f>
        <v>2</v>
      </c>
      <c r="Z1249" s="16">
        <f t="shared" si="1540"/>
        <v>1</v>
      </c>
      <c r="AA1249" s="16" t="str">
        <f t="shared" ref="AA1249:AO1255" ca="1" si="1597">AS1249</f>
        <v>AlphaCode</v>
      </c>
      <c r="AB1249" s="16">
        <f t="shared" si="1597"/>
        <v>0</v>
      </c>
      <c r="AC1249" s="16">
        <f t="shared" si="1597"/>
        <v>0</v>
      </c>
      <c r="AD1249" s="16">
        <f t="shared" si="1597"/>
        <v>0</v>
      </c>
      <c r="AE1249" s="16">
        <f t="shared" si="1597"/>
        <v>0</v>
      </c>
      <c r="AF1249" s="16">
        <f t="shared" si="1597"/>
        <v>0</v>
      </c>
      <c r="AG1249" s="16">
        <f t="shared" si="1597"/>
        <v>0</v>
      </c>
      <c r="AH1249" s="16">
        <f t="shared" si="1597"/>
        <v>0</v>
      </c>
      <c r="AI1249" s="16">
        <f t="shared" si="1597"/>
        <v>0</v>
      </c>
      <c r="AJ1249" s="16">
        <f t="shared" si="1597"/>
        <v>0</v>
      </c>
      <c r="AK1249" s="16">
        <f t="shared" si="1597"/>
        <v>0</v>
      </c>
      <c r="AL1249" s="16">
        <f t="shared" si="1597"/>
        <v>0</v>
      </c>
      <c r="AM1249" s="16">
        <f t="shared" si="1597"/>
        <v>0</v>
      </c>
      <c r="AN1249" s="16">
        <f t="shared" si="1597"/>
        <v>0</v>
      </c>
      <c r="AO1249" s="16">
        <f t="shared" si="1597"/>
        <v>0</v>
      </c>
      <c r="AP1249" s="10"/>
      <c r="AQ1249" s="10"/>
      <c r="AR1249" s="10"/>
      <c r="AS1249" s="10" t="str">
        <f t="shared" ref="AS1249" ca="1" si="1598">IFERROR(__xludf.DUMMYFUNCTION("split(F1225,"","",true,true)"),"AlphaCode")</f>
        <v>AlphaCode</v>
      </c>
      <c r="AT1249" s="10"/>
      <c r="AU1249" s="10"/>
      <c r="AV1249" s="10"/>
      <c r="AW1249" s="10"/>
      <c r="AX1249" s="10"/>
      <c r="AY1249" s="10"/>
      <c r="AZ1249" s="10"/>
      <c r="BA1249" s="10"/>
      <c r="BB1249" s="10"/>
      <c r="BC1249" s="10"/>
      <c r="BD1249" s="10"/>
      <c r="BE1249" s="10"/>
      <c r="BF1249" s="10"/>
      <c r="BG1249" s="10"/>
      <c r="BH1249" s="10"/>
      <c r="BI1249" s="10"/>
      <c r="BJ1249" s="10"/>
      <c r="BK1249" s="10"/>
      <c r="BM1249" s="10"/>
    </row>
    <row r="1250" spans="1:65" ht="12.75">
      <c r="A1250" s="9">
        <v>43710</v>
      </c>
      <c r="B1250" s="10" t="s">
        <v>2596</v>
      </c>
      <c r="C1250" s="11">
        <v>131000</v>
      </c>
      <c r="D1250" s="12"/>
      <c r="E1250" s="10" t="s">
        <v>91</v>
      </c>
      <c r="F1250" s="10" t="s">
        <v>2545</v>
      </c>
      <c r="G1250" s="13" t="s">
        <v>2597</v>
      </c>
      <c r="H1250" s="14" t="str">
        <f t="array" ref="H1250">IFERROR(INDEX([1]Companies!$G:$G,MATCH(B1250,[1]Companies!$A:$A,0)),"")</f>
        <v>South Africa</v>
      </c>
      <c r="I1250" s="14" t="str">
        <f t="shared" si="1512"/>
        <v>South Africa</v>
      </c>
      <c r="J1250" s="14" t="str">
        <f t="array" ref="J1250">IFERROR(INDEX([1]Companies!$Y:$Y,MATCH(B1250,[1]Companies!$A:$A,0)),"")</f>
        <v>Agriculture, Crowdfunding</v>
      </c>
      <c r="K1250" s="14" t="str">
        <f t="array" ref="K1250">IFERROR(INDEX([1]Companies!$X:$X,MATCH(B1250,[1]Companies!$A:$A,0)),"")</f>
        <v>Financial Services</v>
      </c>
      <c r="L1250" s="14" t="str">
        <f>VLOOKUP(B1250,[1]Companies!$A$1:$C$5243,1,FALSE)</f>
        <v>Livestock Wealth</v>
      </c>
      <c r="M1250" s="15"/>
      <c r="N1250" s="10"/>
      <c r="O1250" s="14"/>
      <c r="P1250" s="14"/>
      <c r="Q1250" s="14"/>
      <c r="R1250" s="14"/>
      <c r="S1250" s="14"/>
      <c r="T1250" s="14"/>
      <c r="U1250" s="14"/>
      <c r="V1250" s="14">
        <f t="shared" si="1538"/>
        <v>2019</v>
      </c>
      <c r="W1250" s="14">
        <f t="shared" si="1539"/>
        <v>9</v>
      </c>
      <c r="X1250" s="14">
        <f>VLOOKUP(W1250,[1]Lookups!$P$3:$S$15,2,FALSE)</f>
        <v>3</v>
      </c>
      <c r="Y1250" s="16">
        <f>VLOOKUP(W1250,[1]Lookups!$P$3:$U$15,3,FALSE)</f>
        <v>2</v>
      </c>
      <c r="Z1250" s="16">
        <f t="shared" si="1540"/>
        <v>1</v>
      </c>
      <c r="AA1250" s="16" t="str">
        <f t="shared" ca="1" si="1597"/>
        <v>AlphaCode</v>
      </c>
      <c r="AB1250" s="16">
        <f t="shared" si="1597"/>
        <v>0</v>
      </c>
      <c r="AC1250" s="16">
        <f t="shared" si="1597"/>
        <v>0</v>
      </c>
      <c r="AD1250" s="16">
        <f t="shared" si="1597"/>
        <v>0</v>
      </c>
      <c r="AE1250" s="16">
        <f t="shared" si="1597"/>
        <v>0</v>
      </c>
      <c r="AF1250" s="16">
        <f t="shared" si="1597"/>
        <v>0</v>
      </c>
      <c r="AG1250" s="16">
        <f t="shared" si="1597"/>
        <v>0</v>
      </c>
      <c r="AH1250" s="16">
        <f t="shared" si="1597"/>
        <v>0</v>
      </c>
      <c r="AI1250" s="16">
        <f t="shared" si="1597"/>
        <v>0</v>
      </c>
      <c r="AJ1250" s="16">
        <f t="shared" si="1597"/>
        <v>0</v>
      </c>
      <c r="AK1250" s="16">
        <f t="shared" si="1597"/>
        <v>0</v>
      </c>
      <c r="AL1250" s="16">
        <f t="shared" si="1597"/>
        <v>0</v>
      </c>
      <c r="AM1250" s="16">
        <f t="shared" si="1597"/>
        <v>0</v>
      </c>
      <c r="AN1250" s="16">
        <f t="shared" si="1597"/>
        <v>0</v>
      </c>
      <c r="AO1250" s="16">
        <f t="shared" si="1597"/>
        <v>0</v>
      </c>
      <c r="AP1250" s="10"/>
      <c r="AQ1250" s="10"/>
      <c r="AR1250" s="10"/>
      <c r="AS1250" s="10" t="str">
        <f t="shared" ref="AS1250" ca="1" si="1599">IFERROR(__xludf.DUMMYFUNCTION("split(F1225,"","",true,true)"),"AlphaCode")</f>
        <v>AlphaCode</v>
      </c>
      <c r="AT1250" s="10"/>
      <c r="AU1250" s="10"/>
      <c r="AV1250" s="10"/>
      <c r="AW1250" s="10"/>
      <c r="AX1250" s="10"/>
      <c r="AY1250" s="10"/>
      <c r="AZ1250" s="10"/>
      <c r="BA1250" s="10"/>
      <c r="BB1250" s="10"/>
      <c r="BC1250" s="10"/>
      <c r="BD1250" s="10"/>
      <c r="BE1250" s="10"/>
      <c r="BF1250" s="10"/>
      <c r="BG1250" s="10"/>
      <c r="BH1250" s="10"/>
      <c r="BI1250" s="10"/>
      <c r="BJ1250" s="10"/>
      <c r="BK1250" s="10"/>
      <c r="BM1250" s="10"/>
    </row>
    <row r="1251" spans="1:65" ht="12.75">
      <c r="A1251" s="9">
        <v>43710</v>
      </c>
      <c r="B1251" s="10" t="s">
        <v>2598</v>
      </c>
      <c r="C1251" s="11">
        <v>654000</v>
      </c>
      <c r="D1251" s="12"/>
      <c r="E1251" s="10" t="s">
        <v>91</v>
      </c>
      <c r="F1251" s="10" t="s">
        <v>2545</v>
      </c>
      <c r="G1251" s="13" t="s">
        <v>2597</v>
      </c>
      <c r="H1251" s="14" t="str">
        <f t="array" ref="H1251">IFERROR(INDEX([1]Companies!$G:$G,MATCH(B1251,[1]Companies!$A:$A,0)),"")</f>
        <v>South Africa</v>
      </c>
      <c r="I1251" s="14" t="str">
        <f t="shared" si="1512"/>
        <v>South Africa</v>
      </c>
      <c r="J1251" s="14" t="str">
        <f t="array" ref="J1251">IFERROR(INDEX([1]Companies!$Y:$Y,MATCH(B1251,[1]Companies!$A:$A,0)),"")</f>
        <v>Loan financing, SME financing</v>
      </c>
      <c r="K1251" s="14" t="str">
        <f t="array" ref="K1251">IFERROR(INDEX([1]Companies!$X:$X,MATCH(B1251,[1]Companies!$A:$A,0)),"")</f>
        <v>Financial Services</v>
      </c>
      <c r="L1251" s="14" t="str">
        <f>VLOOKUP(B1251,[1]Companies!$A$1:$C$5243,1,FALSE)</f>
        <v>Zande Africa</v>
      </c>
      <c r="M1251" s="15"/>
      <c r="N1251" s="10"/>
      <c r="O1251" s="14"/>
      <c r="P1251" s="14"/>
      <c r="Q1251" s="14"/>
      <c r="R1251" s="14"/>
      <c r="S1251" s="14"/>
      <c r="T1251" s="14"/>
      <c r="U1251" s="14"/>
      <c r="V1251" s="14">
        <f t="shared" si="1538"/>
        <v>2019</v>
      </c>
      <c r="W1251" s="14">
        <f t="shared" si="1539"/>
        <v>9</v>
      </c>
      <c r="X1251" s="14">
        <f>VLOOKUP(W1251,[1]Lookups!$P$3:$S$15,2,FALSE)</f>
        <v>3</v>
      </c>
      <c r="Y1251" s="16">
        <f>VLOOKUP(W1251,[1]Lookups!$P$3:$U$15,3,FALSE)</f>
        <v>2</v>
      </c>
      <c r="Z1251" s="16">
        <f t="shared" si="1540"/>
        <v>1</v>
      </c>
      <c r="AA1251" s="16" t="str">
        <f t="shared" ca="1" si="1597"/>
        <v>AlphaCode</v>
      </c>
      <c r="AB1251" s="16">
        <f t="shared" si="1597"/>
        <v>0</v>
      </c>
      <c r="AC1251" s="16">
        <f t="shared" si="1597"/>
        <v>0</v>
      </c>
      <c r="AD1251" s="16">
        <f t="shared" si="1597"/>
        <v>0</v>
      </c>
      <c r="AE1251" s="16">
        <f t="shared" si="1597"/>
        <v>0</v>
      </c>
      <c r="AF1251" s="16">
        <f t="shared" si="1597"/>
        <v>0</v>
      </c>
      <c r="AG1251" s="16">
        <f t="shared" si="1597"/>
        <v>0</v>
      </c>
      <c r="AH1251" s="16">
        <f t="shared" si="1597"/>
        <v>0</v>
      </c>
      <c r="AI1251" s="16">
        <f t="shared" si="1597"/>
        <v>0</v>
      </c>
      <c r="AJ1251" s="16">
        <f t="shared" si="1597"/>
        <v>0</v>
      </c>
      <c r="AK1251" s="16">
        <f t="shared" si="1597"/>
        <v>0</v>
      </c>
      <c r="AL1251" s="16">
        <f t="shared" si="1597"/>
        <v>0</v>
      </c>
      <c r="AM1251" s="16">
        <f t="shared" si="1597"/>
        <v>0</v>
      </c>
      <c r="AN1251" s="16">
        <f t="shared" si="1597"/>
        <v>0</v>
      </c>
      <c r="AO1251" s="16">
        <f t="shared" si="1597"/>
        <v>0</v>
      </c>
      <c r="AP1251" s="10"/>
      <c r="AQ1251" s="10"/>
      <c r="AR1251" s="10"/>
      <c r="AS1251" s="10" t="str">
        <f t="shared" ref="AS1251" ca="1" si="1600">IFERROR(__xludf.DUMMYFUNCTION("split(F1225,"","",true,true)"),"AlphaCode")</f>
        <v>AlphaCode</v>
      </c>
      <c r="AT1251" s="10"/>
      <c r="AU1251" s="10"/>
      <c r="AV1251" s="10"/>
      <c r="AW1251" s="10"/>
      <c r="AX1251" s="10"/>
      <c r="AY1251" s="10"/>
      <c r="AZ1251" s="10"/>
      <c r="BA1251" s="10"/>
      <c r="BB1251" s="10"/>
      <c r="BC1251" s="10"/>
      <c r="BD1251" s="10"/>
      <c r="BE1251" s="10"/>
      <c r="BF1251" s="10"/>
      <c r="BG1251" s="10"/>
      <c r="BH1251" s="10"/>
      <c r="BI1251" s="10"/>
      <c r="BJ1251" s="10"/>
      <c r="BK1251" s="10"/>
      <c r="BM1251" s="10"/>
    </row>
    <row r="1252" spans="1:65" ht="12.75">
      <c r="A1252" s="9">
        <v>43710</v>
      </c>
      <c r="B1252" s="10" t="s">
        <v>2599</v>
      </c>
      <c r="C1252" s="11">
        <v>654000</v>
      </c>
      <c r="D1252" s="12"/>
      <c r="E1252" s="10" t="s">
        <v>91</v>
      </c>
      <c r="F1252" s="10" t="s">
        <v>2545</v>
      </c>
      <c r="G1252" s="13" t="s">
        <v>2597</v>
      </c>
      <c r="H1252" s="14" t="str">
        <f t="array" ref="H1252">IFERROR(INDEX([1]Companies!$G:$G,MATCH(B1252,[1]Companies!$A:$A,0)),"")</f>
        <v>South Africa</v>
      </c>
      <c r="I1252" s="14" t="str">
        <f t="shared" si="1512"/>
        <v>South Africa</v>
      </c>
      <c r="J1252" s="14" t="str">
        <f t="array" ref="J1252">IFERROR(INDEX([1]Companies!$Y:$Y,MATCH(B1252,[1]Companies!$A:$A,0)),"")</f>
        <v>Peer-to-peer lending</v>
      </c>
      <c r="K1252" s="14" t="str">
        <f t="array" ref="K1252">IFERROR(INDEX([1]Companies!$X:$X,MATCH(B1252,[1]Companies!$A:$A,0)),"")</f>
        <v>Financial Services</v>
      </c>
      <c r="L1252" s="14" t="str">
        <f>VLOOKUP(B1252,[1]Companies!$A$1:$C$5243,1,FALSE)</f>
        <v>Bright On Capital</v>
      </c>
      <c r="M1252" s="15"/>
      <c r="N1252" s="10"/>
      <c r="O1252" s="14"/>
      <c r="P1252" s="14"/>
      <c r="Q1252" s="14"/>
      <c r="R1252" s="14"/>
      <c r="S1252" s="14"/>
      <c r="T1252" s="14"/>
      <c r="U1252" s="14"/>
      <c r="V1252" s="14">
        <f t="shared" si="1538"/>
        <v>2019</v>
      </c>
      <c r="W1252" s="14">
        <f t="shared" si="1539"/>
        <v>9</v>
      </c>
      <c r="X1252" s="14">
        <f>VLOOKUP(W1252,[1]Lookups!$P$3:$S$15,2,FALSE)</f>
        <v>3</v>
      </c>
      <c r="Y1252" s="16">
        <f>VLOOKUP(W1252,[1]Lookups!$P$3:$U$15,3,FALSE)</f>
        <v>2</v>
      </c>
      <c r="Z1252" s="16">
        <f t="shared" si="1540"/>
        <v>1</v>
      </c>
      <c r="AA1252" s="16" t="str">
        <f t="shared" ca="1" si="1597"/>
        <v>AlphaCode</v>
      </c>
      <c r="AB1252" s="16">
        <f t="shared" si="1597"/>
        <v>0</v>
      </c>
      <c r="AC1252" s="16">
        <f t="shared" si="1597"/>
        <v>0</v>
      </c>
      <c r="AD1252" s="16">
        <f t="shared" si="1597"/>
        <v>0</v>
      </c>
      <c r="AE1252" s="16">
        <f t="shared" si="1597"/>
        <v>0</v>
      </c>
      <c r="AF1252" s="16">
        <f t="shared" si="1597"/>
        <v>0</v>
      </c>
      <c r="AG1252" s="16">
        <f t="shared" si="1597"/>
        <v>0</v>
      </c>
      <c r="AH1252" s="16">
        <f t="shared" si="1597"/>
        <v>0</v>
      </c>
      <c r="AI1252" s="16">
        <f t="shared" si="1597"/>
        <v>0</v>
      </c>
      <c r="AJ1252" s="16">
        <f t="shared" si="1597"/>
        <v>0</v>
      </c>
      <c r="AK1252" s="16">
        <f t="shared" si="1597"/>
        <v>0</v>
      </c>
      <c r="AL1252" s="16">
        <f t="shared" si="1597"/>
        <v>0</v>
      </c>
      <c r="AM1252" s="16">
        <f t="shared" si="1597"/>
        <v>0</v>
      </c>
      <c r="AN1252" s="16">
        <f t="shared" si="1597"/>
        <v>0</v>
      </c>
      <c r="AO1252" s="16">
        <f t="shared" si="1597"/>
        <v>0</v>
      </c>
      <c r="AP1252" s="10"/>
      <c r="AQ1252" s="10"/>
      <c r="AR1252" s="10"/>
      <c r="AS1252" s="10" t="str">
        <f t="shared" ref="AS1252:AS1255" ca="1" si="1601">IFERROR(__xludf.DUMMYFUNCTION("split(F1225,"","",true,true)"),"AlphaCode")</f>
        <v>AlphaCode</v>
      </c>
      <c r="AT1252" s="10"/>
      <c r="AU1252" s="10"/>
      <c r="AV1252" s="10"/>
      <c r="AW1252" s="10"/>
      <c r="AX1252" s="10"/>
      <c r="AY1252" s="10"/>
      <c r="AZ1252" s="10"/>
      <c r="BA1252" s="10"/>
      <c r="BB1252" s="10"/>
      <c r="BC1252" s="10"/>
      <c r="BD1252" s="10"/>
      <c r="BE1252" s="10"/>
      <c r="BF1252" s="10"/>
      <c r="BG1252" s="10"/>
      <c r="BH1252" s="10"/>
      <c r="BI1252" s="10"/>
      <c r="BJ1252" s="10"/>
      <c r="BK1252" s="10"/>
      <c r="BM1252" s="10"/>
    </row>
    <row r="1253" spans="1:65" ht="12.75">
      <c r="A1253" s="9">
        <v>43711</v>
      </c>
      <c r="B1253" s="10" t="s">
        <v>464</v>
      </c>
      <c r="C1253" s="11">
        <v>5000000</v>
      </c>
      <c r="D1253" s="12"/>
      <c r="E1253" s="10" t="s">
        <v>91</v>
      </c>
      <c r="F1253" s="10" t="s">
        <v>2600</v>
      </c>
      <c r="G1253" s="13" t="s">
        <v>2601</v>
      </c>
      <c r="H1253" s="14"/>
      <c r="I1253" s="14"/>
      <c r="J1253" s="14"/>
      <c r="K1253" s="14"/>
      <c r="L1253" s="14"/>
      <c r="M1253" s="15"/>
      <c r="N1253" s="10"/>
      <c r="O1253" s="14"/>
      <c r="P1253" s="14"/>
      <c r="Q1253" s="14"/>
      <c r="R1253" s="14"/>
      <c r="S1253" s="14"/>
      <c r="T1253" s="14"/>
      <c r="U1253" s="14"/>
      <c r="V1253" s="14">
        <f t="shared" si="1538"/>
        <v>2019</v>
      </c>
      <c r="W1253" s="14">
        <f t="shared" si="1539"/>
        <v>9</v>
      </c>
      <c r="X1253" s="14">
        <f>VLOOKUP(W1253,[1]Lookups!$P$3:$S$15,2,FALSE)</f>
        <v>3</v>
      </c>
      <c r="Y1253" s="16">
        <f>VLOOKUP(W1253,[1]Lookups!$P$3:$U$15,3,FALSE)</f>
        <v>2</v>
      </c>
      <c r="Z1253" s="16">
        <f t="shared" si="1540"/>
        <v>1</v>
      </c>
      <c r="AA1253" s="16" t="str">
        <f t="shared" ca="1" si="1597"/>
        <v>AlphaCode</v>
      </c>
      <c r="AB1253" s="16">
        <f t="shared" si="1597"/>
        <v>0</v>
      </c>
      <c r="AC1253" s="16">
        <f t="shared" si="1597"/>
        <v>0</v>
      </c>
      <c r="AD1253" s="16">
        <f t="shared" si="1597"/>
        <v>0</v>
      </c>
      <c r="AE1253" s="16">
        <f t="shared" si="1597"/>
        <v>0</v>
      </c>
      <c r="AF1253" s="16">
        <f t="shared" si="1597"/>
        <v>0</v>
      </c>
      <c r="AG1253" s="16">
        <f t="shared" si="1597"/>
        <v>0</v>
      </c>
      <c r="AH1253" s="16">
        <f t="shared" si="1597"/>
        <v>0</v>
      </c>
      <c r="AI1253" s="16">
        <f t="shared" si="1597"/>
        <v>0</v>
      </c>
      <c r="AJ1253" s="16">
        <f t="shared" si="1597"/>
        <v>0</v>
      </c>
      <c r="AK1253" s="16">
        <f t="shared" si="1597"/>
        <v>0</v>
      </c>
      <c r="AL1253" s="16">
        <f t="shared" si="1597"/>
        <v>0</v>
      </c>
      <c r="AM1253" s="16">
        <f t="shared" si="1597"/>
        <v>0</v>
      </c>
      <c r="AN1253" s="16">
        <f t="shared" si="1597"/>
        <v>0</v>
      </c>
      <c r="AO1253" s="16">
        <f t="shared" si="1597"/>
        <v>0</v>
      </c>
      <c r="AP1253" s="10"/>
      <c r="AQ1253" s="10"/>
      <c r="AR1253" s="10"/>
      <c r="AS1253" s="10" t="str">
        <f t="shared" ca="1" si="1601"/>
        <v>AlphaCode</v>
      </c>
      <c r="AT1253" s="10"/>
      <c r="AU1253" s="10"/>
      <c r="AV1253" s="10"/>
      <c r="AW1253" s="10"/>
      <c r="AX1253" s="10"/>
      <c r="AY1253" s="10"/>
      <c r="AZ1253" s="10"/>
      <c r="BA1253" s="10"/>
      <c r="BB1253" s="10"/>
      <c r="BC1253" s="10"/>
      <c r="BD1253" s="10"/>
      <c r="BE1253" s="10"/>
      <c r="BF1253" s="10"/>
      <c r="BG1253" s="10"/>
      <c r="BH1253" s="10"/>
      <c r="BI1253" s="10"/>
      <c r="BJ1253" s="10"/>
      <c r="BK1253" s="10"/>
      <c r="BM1253" s="10"/>
    </row>
    <row r="1254" spans="1:65" ht="12.75">
      <c r="A1254" s="9">
        <v>43707</v>
      </c>
      <c r="B1254" s="10" t="s">
        <v>2602</v>
      </c>
      <c r="C1254" s="11">
        <v>317000</v>
      </c>
      <c r="D1254" s="12"/>
      <c r="E1254" s="10" t="s">
        <v>55</v>
      </c>
      <c r="F1254" s="10" t="s">
        <v>2603</v>
      </c>
      <c r="G1254" s="13" t="s">
        <v>2604</v>
      </c>
      <c r="H1254" s="14"/>
      <c r="I1254" s="14"/>
      <c r="J1254" s="14"/>
      <c r="K1254" s="14"/>
      <c r="L1254" s="14"/>
      <c r="M1254" s="15"/>
      <c r="N1254" s="10"/>
      <c r="O1254" s="14"/>
      <c r="P1254" s="14"/>
      <c r="Q1254" s="14"/>
      <c r="R1254" s="14"/>
      <c r="S1254" s="14"/>
      <c r="T1254" s="14"/>
      <c r="U1254" s="14"/>
      <c r="V1254" s="14">
        <f t="shared" si="1538"/>
        <v>2019</v>
      </c>
      <c r="W1254" s="14">
        <f t="shared" si="1539"/>
        <v>8</v>
      </c>
      <c r="X1254" s="14">
        <f>VLOOKUP(W1254,[1]Lookups!$P$3:$S$15,2,FALSE)</f>
        <v>3</v>
      </c>
      <c r="Y1254" s="16">
        <f>VLOOKUP(W1254,[1]Lookups!$P$3:$U$15,3,FALSE)</f>
        <v>2</v>
      </c>
      <c r="Z1254" s="16">
        <f t="shared" si="1540"/>
        <v>1</v>
      </c>
      <c r="AA1254" s="16" t="str">
        <f t="shared" ca="1" si="1597"/>
        <v>AlphaCode</v>
      </c>
      <c r="AB1254" s="16">
        <f t="shared" si="1597"/>
        <v>0</v>
      </c>
      <c r="AC1254" s="16">
        <f t="shared" si="1597"/>
        <v>0</v>
      </c>
      <c r="AD1254" s="16">
        <f t="shared" si="1597"/>
        <v>0</v>
      </c>
      <c r="AE1254" s="16">
        <f t="shared" si="1597"/>
        <v>0</v>
      </c>
      <c r="AF1254" s="16">
        <f t="shared" si="1597"/>
        <v>0</v>
      </c>
      <c r="AG1254" s="16">
        <f t="shared" si="1597"/>
        <v>0</v>
      </c>
      <c r="AH1254" s="16">
        <f t="shared" si="1597"/>
        <v>0</v>
      </c>
      <c r="AI1254" s="16">
        <f t="shared" si="1597"/>
        <v>0</v>
      </c>
      <c r="AJ1254" s="16">
        <f t="shared" si="1597"/>
        <v>0</v>
      </c>
      <c r="AK1254" s="16">
        <f t="shared" si="1597"/>
        <v>0</v>
      </c>
      <c r="AL1254" s="16">
        <f t="shared" si="1597"/>
        <v>0</v>
      </c>
      <c r="AM1254" s="16">
        <f t="shared" si="1597"/>
        <v>0</v>
      </c>
      <c r="AN1254" s="16">
        <f t="shared" si="1597"/>
        <v>0</v>
      </c>
      <c r="AO1254" s="16">
        <f t="shared" si="1597"/>
        <v>0</v>
      </c>
      <c r="AP1254" s="10"/>
      <c r="AQ1254" s="10"/>
      <c r="AR1254" s="10"/>
      <c r="AS1254" s="10" t="str">
        <f t="shared" ca="1" si="1601"/>
        <v>AlphaCode</v>
      </c>
      <c r="AT1254" s="10"/>
      <c r="AU1254" s="10"/>
      <c r="AV1254" s="10"/>
      <c r="AW1254" s="10"/>
      <c r="AX1254" s="10"/>
      <c r="AY1254" s="10"/>
      <c r="AZ1254" s="10"/>
      <c r="BA1254" s="10"/>
      <c r="BB1254" s="10"/>
      <c r="BC1254" s="10"/>
      <c r="BD1254" s="10"/>
      <c r="BE1254" s="10"/>
      <c r="BF1254" s="10"/>
      <c r="BG1254" s="10"/>
      <c r="BH1254" s="10"/>
      <c r="BI1254" s="10"/>
      <c r="BJ1254" s="10"/>
      <c r="BK1254" s="10"/>
      <c r="BM1254" s="10"/>
    </row>
    <row r="1255" spans="1:65" ht="12.75">
      <c r="A1255" s="9">
        <v>43652</v>
      </c>
      <c r="B1255" s="10" t="s">
        <v>2605</v>
      </c>
      <c r="C1255" s="11">
        <v>16900</v>
      </c>
      <c r="D1255" s="12"/>
      <c r="E1255" s="10" t="s">
        <v>48</v>
      </c>
      <c r="F1255" s="10" t="s">
        <v>49</v>
      </c>
      <c r="G1255" s="13" t="s">
        <v>2606</v>
      </c>
      <c r="H1255" s="14"/>
      <c r="I1255" s="14"/>
      <c r="J1255" s="14"/>
      <c r="K1255" s="14"/>
      <c r="L1255" s="14"/>
      <c r="M1255" s="15"/>
      <c r="N1255" s="10"/>
      <c r="O1255" s="14"/>
      <c r="P1255" s="14"/>
      <c r="Q1255" s="14"/>
      <c r="R1255" s="14"/>
      <c r="S1255" s="14"/>
      <c r="T1255" s="14"/>
      <c r="U1255" s="14"/>
      <c r="V1255" s="14">
        <f t="shared" si="1538"/>
        <v>2019</v>
      </c>
      <c r="W1255" s="14">
        <f t="shared" si="1539"/>
        <v>7</v>
      </c>
      <c r="X1255" s="14">
        <f>VLOOKUP(W1255,[1]Lookups!$P$3:$S$15,2,FALSE)</f>
        <v>3</v>
      </c>
      <c r="Y1255" s="16">
        <f>VLOOKUP(W1255,[1]Lookups!$P$3:$U$15,3,FALSE)</f>
        <v>2</v>
      </c>
      <c r="Z1255" s="16">
        <f t="shared" si="1540"/>
        <v>1</v>
      </c>
      <c r="AA1255" s="16" t="str">
        <f t="shared" ca="1" si="1597"/>
        <v>AlphaCode</v>
      </c>
      <c r="AB1255" s="16">
        <f t="shared" si="1597"/>
        <v>0</v>
      </c>
      <c r="AC1255" s="16">
        <f t="shared" si="1597"/>
        <v>0</v>
      </c>
      <c r="AD1255" s="16">
        <f t="shared" si="1597"/>
        <v>0</v>
      </c>
      <c r="AE1255" s="16">
        <f t="shared" si="1597"/>
        <v>0</v>
      </c>
      <c r="AF1255" s="16">
        <f t="shared" si="1597"/>
        <v>0</v>
      </c>
      <c r="AG1255" s="16">
        <f t="shared" si="1597"/>
        <v>0</v>
      </c>
      <c r="AH1255" s="16">
        <f t="shared" si="1597"/>
        <v>0</v>
      </c>
      <c r="AI1255" s="16">
        <f t="shared" si="1597"/>
        <v>0</v>
      </c>
      <c r="AJ1255" s="16">
        <f t="shared" si="1597"/>
        <v>0</v>
      </c>
      <c r="AK1255" s="16">
        <f t="shared" si="1597"/>
        <v>0</v>
      </c>
      <c r="AL1255" s="16">
        <f t="shared" si="1597"/>
        <v>0</v>
      </c>
      <c r="AM1255" s="16">
        <f t="shared" si="1597"/>
        <v>0</v>
      </c>
      <c r="AN1255" s="16">
        <f t="shared" si="1597"/>
        <v>0</v>
      </c>
      <c r="AO1255" s="16">
        <f t="shared" si="1597"/>
        <v>0</v>
      </c>
      <c r="AP1255" s="10"/>
      <c r="AQ1255" s="10"/>
      <c r="AR1255" s="10"/>
      <c r="AS1255" s="10" t="str">
        <f t="shared" ca="1" si="1601"/>
        <v>AlphaCode</v>
      </c>
      <c r="AT1255" s="10"/>
      <c r="AU1255" s="10"/>
      <c r="AV1255" s="10"/>
      <c r="AW1255" s="10"/>
      <c r="AX1255" s="10"/>
      <c r="AY1255" s="10"/>
      <c r="AZ1255" s="10"/>
      <c r="BA1255" s="10"/>
      <c r="BB1255" s="10"/>
      <c r="BC1255" s="10"/>
      <c r="BD1255" s="10"/>
      <c r="BE1255" s="10"/>
      <c r="BF1255" s="10"/>
      <c r="BG1255" s="10"/>
      <c r="BH1255" s="10"/>
      <c r="BI1255" s="10"/>
      <c r="BJ1255" s="10"/>
      <c r="BK1255" s="10"/>
      <c r="BM1255" s="10"/>
    </row>
    <row r="1256" spans="1:65" ht="12.75">
      <c r="A1256" s="9">
        <v>43713</v>
      </c>
      <c r="B1256" s="10" t="s">
        <v>2607</v>
      </c>
      <c r="C1256" s="11" t="s">
        <v>49</v>
      </c>
      <c r="D1256" s="12"/>
      <c r="E1256" s="10" t="s">
        <v>45</v>
      </c>
      <c r="F1256" s="10" t="s">
        <v>624</v>
      </c>
      <c r="G1256" s="13" t="s">
        <v>2608</v>
      </c>
      <c r="H1256" s="14"/>
      <c r="I1256" s="14"/>
      <c r="J1256" s="14"/>
      <c r="K1256" s="14"/>
      <c r="L1256" s="14"/>
      <c r="M1256" s="15"/>
      <c r="N1256" s="10"/>
      <c r="O1256" s="14"/>
      <c r="P1256" s="14"/>
      <c r="Q1256" s="14"/>
      <c r="R1256" s="14"/>
      <c r="S1256" s="14"/>
      <c r="T1256" s="14"/>
      <c r="U1256" s="14"/>
      <c r="V1256" s="14"/>
      <c r="W1256" s="14"/>
      <c r="X1256" s="14"/>
      <c r="Y1256" s="16"/>
      <c r="Z1256" s="16"/>
      <c r="AA1256" s="16"/>
      <c r="AB1256" s="16"/>
      <c r="AC1256" s="16"/>
      <c r="AD1256" s="16"/>
      <c r="AE1256" s="16"/>
      <c r="AF1256" s="16"/>
      <c r="AG1256" s="16"/>
      <c r="AH1256" s="16"/>
      <c r="AI1256" s="16"/>
      <c r="AJ1256" s="16"/>
      <c r="AK1256" s="16"/>
      <c r="AL1256" s="16"/>
      <c r="AM1256" s="16"/>
      <c r="AN1256" s="16"/>
      <c r="AO1256" s="16"/>
      <c r="AP1256" s="10"/>
      <c r="AQ1256" s="10"/>
      <c r="AR1256" s="10"/>
      <c r="AS1256" s="10"/>
      <c r="AT1256" s="10"/>
      <c r="AU1256" s="10"/>
      <c r="AV1256" s="10"/>
      <c r="AW1256" s="10"/>
      <c r="AX1256" s="10"/>
      <c r="AY1256" s="10"/>
      <c r="AZ1256" s="10"/>
      <c r="BA1256" s="10"/>
      <c r="BB1256" s="10"/>
      <c r="BC1256" s="10"/>
      <c r="BD1256" s="10"/>
      <c r="BE1256" s="10"/>
      <c r="BF1256" s="10"/>
      <c r="BG1256" s="10"/>
      <c r="BH1256" s="10"/>
      <c r="BI1256" s="10"/>
      <c r="BJ1256" s="10"/>
      <c r="BK1256" s="10"/>
      <c r="BM1256" s="10"/>
    </row>
    <row r="1257" spans="1:65" ht="12.75">
      <c r="A1257" s="9">
        <v>43713</v>
      </c>
      <c r="B1257" s="10" t="s">
        <v>2609</v>
      </c>
      <c r="C1257" s="11">
        <v>50000</v>
      </c>
      <c r="D1257" s="12"/>
      <c r="E1257" s="10" t="s">
        <v>55</v>
      </c>
      <c r="F1257" s="10" t="s">
        <v>2610</v>
      </c>
      <c r="G1257" s="13" t="s">
        <v>2611</v>
      </c>
      <c r="H1257" s="14"/>
      <c r="I1257" s="14"/>
      <c r="J1257" s="14"/>
      <c r="K1257" s="14"/>
      <c r="L1257" s="14"/>
      <c r="M1257" s="15"/>
      <c r="N1257" s="10"/>
      <c r="O1257" s="14"/>
      <c r="P1257" s="14"/>
      <c r="Q1257" s="14"/>
      <c r="R1257" s="14"/>
      <c r="S1257" s="14"/>
      <c r="T1257" s="14"/>
      <c r="U1257" s="14"/>
      <c r="V1257" s="14">
        <f t="shared" ref="V1257:V1511" si="1602">YEAR(A1257)</f>
        <v>2019</v>
      </c>
      <c r="W1257" s="14">
        <f t="shared" ref="W1257:W1511" si="1603">MONTH(A1257)</f>
        <v>9</v>
      </c>
      <c r="X1257" s="14">
        <f>VLOOKUP(W1257,[1]Lookups!$P$3:$S$15,2,FALSE)</f>
        <v>3</v>
      </c>
      <c r="Y1257" s="16">
        <f>VLOOKUP(W1257,[1]Lookups!$P$3:$U$15,3,FALSE)</f>
        <v>2</v>
      </c>
      <c r="Z1257" s="16">
        <f t="shared" ref="Z1257:Z1305" si="1604">LEN(F1257)-LEN(SUBSTITUTE(F1257,",",""))+1</f>
        <v>1</v>
      </c>
      <c r="AA1257" s="16" t="str">
        <f t="shared" ref="AA1257:AO1272" ca="1" si="1605">AS1257</f>
        <v>Johnson &amp; Johnson</v>
      </c>
      <c r="AB1257" s="16">
        <f t="shared" si="1605"/>
        <v>0</v>
      </c>
      <c r="AC1257" s="16">
        <f t="shared" si="1605"/>
        <v>0</v>
      </c>
      <c r="AD1257" s="16">
        <f t="shared" si="1605"/>
        <v>0</v>
      </c>
      <c r="AE1257" s="16">
        <f t="shared" si="1605"/>
        <v>0</v>
      </c>
      <c r="AF1257" s="16">
        <f t="shared" si="1605"/>
        <v>0</v>
      </c>
      <c r="AG1257" s="16">
        <f t="shared" si="1605"/>
        <v>0</v>
      </c>
      <c r="AH1257" s="16">
        <f t="shared" si="1605"/>
        <v>0</v>
      </c>
      <c r="AI1257" s="16">
        <f t="shared" si="1605"/>
        <v>0</v>
      </c>
      <c r="AJ1257" s="16">
        <f t="shared" si="1605"/>
        <v>0</v>
      </c>
      <c r="AK1257" s="16">
        <f t="shared" si="1605"/>
        <v>0</v>
      </c>
      <c r="AL1257" s="16">
        <f t="shared" si="1605"/>
        <v>0</v>
      </c>
      <c r="AM1257" s="16">
        <f t="shared" si="1605"/>
        <v>0</v>
      </c>
      <c r="AN1257" s="16">
        <f t="shared" si="1605"/>
        <v>0</v>
      </c>
      <c r="AO1257" s="16">
        <f t="shared" si="1605"/>
        <v>0</v>
      </c>
      <c r="AP1257" s="10"/>
      <c r="AQ1257" s="10"/>
      <c r="AR1257" s="10"/>
      <c r="AS1257" s="10" t="str">
        <f t="shared" ref="AS1257:AS1511" ca="1" si="1606">IFERROR(__xludf.DUMMYFUNCTION("split(F1257,"","",true,true)"),"Johnson &amp; Johnson")</f>
        <v>Johnson &amp; Johnson</v>
      </c>
      <c r="AT1257" s="10"/>
      <c r="AU1257" s="10"/>
      <c r="AV1257" s="10"/>
      <c r="AW1257" s="10"/>
      <c r="AX1257" s="10"/>
      <c r="AY1257" s="10"/>
      <c r="AZ1257" s="10"/>
      <c r="BA1257" s="10"/>
      <c r="BB1257" s="10"/>
      <c r="BC1257" s="10"/>
      <c r="BD1257" s="10"/>
      <c r="BE1257" s="10"/>
      <c r="BF1257" s="10"/>
      <c r="BG1257" s="10"/>
      <c r="BH1257" s="10"/>
      <c r="BI1257" s="10"/>
      <c r="BJ1257" s="10"/>
      <c r="BK1257" s="10"/>
      <c r="BM1257" s="10"/>
    </row>
    <row r="1258" spans="1:65" ht="12.75">
      <c r="A1258" s="9">
        <v>43713</v>
      </c>
      <c r="B1258" s="10" t="s">
        <v>2612</v>
      </c>
      <c r="C1258" s="11">
        <v>50000</v>
      </c>
      <c r="D1258" s="12"/>
      <c r="E1258" s="10" t="s">
        <v>55</v>
      </c>
      <c r="F1258" s="10" t="s">
        <v>2610</v>
      </c>
      <c r="G1258" s="13" t="s">
        <v>2611</v>
      </c>
      <c r="H1258" s="14"/>
      <c r="I1258" s="14"/>
      <c r="J1258" s="14"/>
      <c r="K1258" s="14"/>
      <c r="L1258" s="14"/>
      <c r="M1258" s="15"/>
      <c r="N1258" s="10"/>
      <c r="O1258" s="14"/>
      <c r="P1258" s="14"/>
      <c r="Q1258" s="14"/>
      <c r="R1258" s="14"/>
      <c r="S1258" s="14"/>
      <c r="T1258" s="14"/>
      <c r="U1258" s="14"/>
      <c r="V1258" s="14">
        <f t="shared" si="1602"/>
        <v>2019</v>
      </c>
      <c r="W1258" s="14">
        <f t="shared" si="1603"/>
        <v>9</v>
      </c>
      <c r="X1258" s="14">
        <f>VLOOKUP(W1258,[1]Lookups!$P$3:$S$15,2,FALSE)</f>
        <v>3</v>
      </c>
      <c r="Y1258" s="16">
        <f>VLOOKUP(W1258,[1]Lookups!$P$3:$U$15,3,FALSE)</f>
        <v>2</v>
      </c>
      <c r="Z1258" s="16">
        <f t="shared" si="1604"/>
        <v>1</v>
      </c>
      <c r="AA1258" s="16" t="str">
        <f t="shared" ca="1" si="1605"/>
        <v>Johnson &amp; Johnson</v>
      </c>
      <c r="AB1258" s="16">
        <f t="shared" si="1605"/>
        <v>0</v>
      </c>
      <c r="AC1258" s="16">
        <f t="shared" si="1605"/>
        <v>0</v>
      </c>
      <c r="AD1258" s="16">
        <f t="shared" si="1605"/>
        <v>0</v>
      </c>
      <c r="AE1258" s="16">
        <f t="shared" si="1605"/>
        <v>0</v>
      </c>
      <c r="AF1258" s="16">
        <f t="shared" si="1605"/>
        <v>0</v>
      </c>
      <c r="AG1258" s="16">
        <f t="shared" si="1605"/>
        <v>0</v>
      </c>
      <c r="AH1258" s="16">
        <f t="shared" si="1605"/>
        <v>0</v>
      </c>
      <c r="AI1258" s="16">
        <f t="shared" si="1605"/>
        <v>0</v>
      </c>
      <c r="AJ1258" s="16">
        <f t="shared" si="1605"/>
        <v>0</v>
      </c>
      <c r="AK1258" s="16">
        <f t="shared" si="1605"/>
        <v>0</v>
      </c>
      <c r="AL1258" s="16">
        <f t="shared" si="1605"/>
        <v>0</v>
      </c>
      <c r="AM1258" s="16">
        <f t="shared" si="1605"/>
        <v>0</v>
      </c>
      <c r="AN1258" s="16">
        <f t="shared" si="1605"/>
        <v>0</v>
      </c>
      <c r="AO1258" s="16">
        <f t="shared" si="1605"/>
        <v>0</v>
      </c>
      <c r="AP1258" s="10"/>
      <c r="AQ1258" s="10"/>
      <c r="AR1258" s="10"/>
      <c r="AS1258" s="10" t="str">
        <f t="shared" ca="1" si="1606"/>
        <v>Johnson &amp; Johnson</v>
      </c>
      <c r="AT1258" s="10"/>
      <c r="AU1258" s="10"/>
      <c r="AV1258" s="10"/>
      <c r="AW1258" s="10"/>
      <c r="AX1258" s="10"/>
      <c r="AY1258" s="10"/>
      <c r="AZ1258" s="10"/>
      <c r="BA1258" s="10"/>
      <c r="BB1258" s="10"/>
      <c r="BC1258" s="10"/>
      <c r="BD1258" s="10"/>
      <c r="BE1258" s="10"/>
      <c r="BF1258" s="10"/>
      <c r="BG1258" s="10"/>
      <c r="BH1258" s="10"/>
      <c r="BI1258" s="10"/>
      <c r="BJ1258" s="10"/>
      <c r="BK1258" s="10"/>
      <c r="BM1258" s="10"/>
    </row>
    <row r="1259" spans="1:65" ht="12.75">
      <c r="A1259" s="9">
        <v>43713</v>
      </c>
      <c r="B1259" s="10" t="s">
        <v>2613</v>
      </c>
      <c r="C1259" s="11">
        <v>50000</v>
      </c>
      <c r="D1259" s="12"/>
      <c r="E1259" s="10" t="s">
        <v>55</v>
      </c>
      <c r="F1259" s="10" t="s">
        <v>2610</v>
      </c>
      <c r="G1259" s="13" t="s">
        <v>2611</v>
      </c>
      <c r="H1259" s="14"/>
      <c r="I1259" s="14"/>
      <c r="J1259" s="14"/>
      <c r="K1259" s="14"/>
      <c r="L1259" s="14"/>
      <c r="M1259" s="15"/>
      <c r="N1259" s="10"/>
      <c r="O1259" s="14"/>
      <c r="P1259" s="14"/>
      <c r="Q1259" s="14"/>
      <c r="R1259" s="14"/>
      <c r="S1259" s="14"/>
      <c r="T1259" s="14"/>
      <c r="U1259" s="14"/>
      <c r="V1259" s="14">
        <f t="shared" si="1602"/>
        <v>2019</v>
      </c>
      <c r="W1259" s="14">
        <f t="shared" si="1603"/>
        <v>9</v>
      </c>
      <c r="X1259" s="14">
        <f>VLOOKUP(W1259,[1]Lookups!$P$3:$S$15,2,FALSE)</f>
        <v>3</v>
      </c>
      <c r="Y1259" s="16">
        <f>VLOOKUP(W1259,[1]Lookups!$P$3:$U$15,3,FALSE)</f>
        <v>2</v>
      </c>
      <c r="Z1259" s="16">
        <f t="shared" si="1604"/>
        <v>1</v>
      </c>
      <c r="AA1259" s="16" t="str">
        <f t="shared" ca="1" si="1605"/>
        <v>Johnson &amp; Johnson</v>
      </c>
      <c r="AB1259" s="16">
        <f t="shared" si="1605"/>
        <v>0</v>
      </c>
      <c r="AC1259" s="16">
        <f t="shared" si="1605"/>
        <v>0</v>
      </c>
      <c r="AD1259" s="16">
        <f t="shared" si="1605"/>
        <v>0</v>
      </c>
      <c r="AE1259" s="16">
        <f t="shared" si="1605"/>
        <v>0</v>
      </c>
      <c r="AF1259" s="16">
        <f t="shared" si="1605"/>
        <v>0</v>
      </c>
      <c r="AG1259" s="16">
        <f t="shared" si="1605"/>
        <v>0</v>
      </c>
      <c r="AH1259" s="16">
        <f t="shared" si="1605"/>
        <v>0</v>
      </c>
      <c r="AI1259" s="16">
        <f t="shared" si="1605"/>
        <v>0</v>
      </c>
      <c r="AJ1259" s="16">
        <f t="shared" si="1605"/>
        <v>0</v>
      </c>
      <c r="AK1259" s="16">
        <f t="shared" si="1605"/>
        <v>0</v>
      </c>
      <c r="AL1259" s="16">
        <f t="shared" si="1605"/>
        <v>0</v>
      </c>
      <c r="AM1259" s="16">
        <f t="shared" si="1605"/>
        <v>0</v>
      </c>
      <c r="AN1259" s="16">
        <f t="shared" si="1605"/>
        <v>0</v>
      </c>
      <c r="AO1259" s="16">
        <f t="shared" si="1605"/>
        <v>0</v>
      </c>
      <c r="AP1259" s="10"/>
      <c r="AQ1259" s="10"/>
      <c r="AR1259" s="10"/>
      <c r="AS1259" s="10" t="str">
        <f t="shared" ca="1" si="1606"/>
        <v>Johnson &amp; Johnson</v>
      </c>
      <c r="AT1259" s="10"/>
      <c r="AU1259" s="10"/>
      <c r="AV1259" s="10"/>
      <c r="AW1259" s="10"/>
      <c r="AX1259" s="10"/>
      <c r="AY1259" s="10"/>
      <c r="AZ1259" s="10"/>
      <c r="BA1259" s="10"/>
      <c r="BB1259" s="10"/>
      <c r="BC1259" s="10"/>
      <c r="BD1259" s="10"/>
      <c r="BE1259" s="10"/>
      <c r="BF1259" s="10"/>
      <c r="BG1259" s="10"/>
      <c r="BH1259" s="10"/>
      <c r="BI1259" s="10"/>
      <c r="BJ1259" s="10"/>
      <c r="BK1259" s="10"/>
      <c r="BM1259" s="10"/>
    </row>
    <row r="1260" spans="1:65" ht="12.75">
      <c r="A1260" s="9">
        <v>43713</v>
      </c>
      <c r="B1260" s="10" t="s">
        <v>2614</v>
      </c>
      <c r="C1260" s="11">
        <v>50000</v>
      </c>
      <c r="D1260" s="12"/>
      <c r="E1260" s="10" t="s">
        <v>55</v>
      </c>
      <c r="F1260" s="10" t="s">
        <v>2610</v>
      </c>
      <c r="G1260" s="13" t="s">
        <v>2611</v>
      </c>
      <c r="H1260" s="14"/>
      <c r="I1260" s="14"/>
      <c r="J1260" s="14"/>
      <c r="K1260" s="14"/>
      <c r="L1260" s="14"/>
      <c r="M1260" s="15"/>
      <c r="N1260" s="10"/>
      <c r="O1260" s="14"/>
      <c r="P1260" s="14"/>
      <c r="Q1260" s="14"/>
      <c r="R1260" s="14"/>
      <c r="S1260" s="14"/>
      <c r="T1260" s="14"/>
      <c r="U1260" s="14"/>
      <c r="V1260" s="14">
        <f t="shared" si="1602"/>
        <v>2019</v>
      </c>
      <c r="W1260" s="14">
        <f t="shared" si="1603"/>
        <v>9</v>
      </c>
      <c r="X1260" s="14">
        <f>VLOOKUP(W1260,[1]Lookups!$P$3:$S$15,2,FALSE)</f>
        <v>3</v>
      </c>
      <c r="Y1260" s="16">
        <f>VLOOKUP(W1260,[1]Lookups!$P$3:$U$15,3,FALSE)</f>
        <v>2</v>
      </c>
      <c r="Z1260" s="16">
        <f t="shared" si="1604"/>
        <v>1</v>
      </c>
      <c r="AA1260" s="16" t="str">
        <f t="shared" ca="1" si="1605"/>
        <v>Johnson &amp; Johnson</v>
      </c>
      <c r="AB1260" s="16">
        <f t="shared" si="1605"/>
        <v>0</v>
      </c>
      <c r="AC1260" s="16">
        <f t="shared" si="1605"/>
        <v>0</v>
      </c>
      <c r="AD1260" s="16">
        <f t="shared" si="1605"/>
        <v>0</v>
      </c>
      <c r="AE1260" s="16">
        <f t="shared" si="1605"/>
        <v>0</v>
      </c>
      <c r="AF1260" s="16">
        <f t="shared" si="1605"/>
        <v>0</v>
      </c>
      <c r="AG1260" s="16">
        <f t="shared" si="1605"/>
        <v>0</v>
      </c>
      <c r="AH1260" s="16">
        <f t="shared" si="1605"/>
        <v>0</v>
      </c>
      <c r="AI1260" s="16">
        <f t="shared" si="1605"/>
        <v>0</v>
      </c>
      <c r="AJ1260" s="16">
        <f t="shared" si="1605"/>
        <v>0</v>
      </c>
      <c r="AK1260" s="16">
        <f t="shared" si="1605"/>
        <v>0</v>
      </c>
      <c r="AL1260" s="16">
        <f t="shared" si="1605"/>
        <v>0</v>
      </c>
      <c r="AM1260" s="16">
        <f t="shared" si="1605"/>
        <v>0</v>
      </c>
      <c r="AN1260" s="16">
        <f t="shared" si="1605"/>
        <v>0</v>
      </c>
      <c r="AO1260" s="16">
        <f t="shared" si="1605"/>
        <v>0</v>
      </c>
      <c r="AP1260" s="10"/>
      <c r="AQ1260" s="10"/>
      <c r="AR1260" s="10"/>
      <c r="AS1260" s="10" t="str">
        <f t="shared" ca="1" si="1606"/>
        <v>Johnson &amp; Johnson</v>
      </c>
      <c r="AT1260" s="10"/>
      <c r="AU1260" s="10"/>
      <c r="AV1260" s="10"/>
      <c r="AW1260" s="10"/>
      <c r="AX1260" s="10"/>
      <c r="AY1260" s="10"/>
      <c r="AZ1260" s="10"/>
      <c r="BA1260" s="10"/>
      <c r="BB1260" s="10"/>
      <c r="BC1260" s="10"/>
      <c r="BD1260" s="10"/>
      <c r="BE1260" s="10"/>
      <c r="BF1260" s="10"/>
      <c r="BG1260" s="10"/>
      <c r="BH1260" s="10"/>
      <c r="BI1260" s="10"/>
      <c r="BJ1260" s="10"/>
      <c r="BK1260" s="10"/>
      <c r="BM1260" s="10"/>
    </row>
    <row r="1261" spans="1:65" ht="12.75">
      <c r="A1261" s="9">
        <v>43713</v>
      </c>
      <c r="B1261" s="10" t="s">
        <v>2615</v>
      </c>
      <c r="C1261" s="11">
        <v>50000</v>
      </c>
      <c r="D1261" s="12"/>
      <c r="E1261" s="10" t="s">
        <v>55</v>
      </c>
      <c r="F1261" s="10" t="s">
        <v>2610</v>
      </c>
      <c r="G1261" s="13" t="s">
        <v>2611</v>
      </c>
      <c r="H1261" s="14"/>
      <c r="I1261" s="14"/>
      <c r="J1261" s="14"/>
      <c r="K1261" s="14"/>
      <c r="L1261" s="14"/>
      <c r="M1261" s="15"/>
      <c r="N1261" s="10"/>
      <c r="O1261" s="14"/>
      <c r="P1261" s="14"/>
      <c r="Q1261" s="14"/>
      <c r="R1261" s="14"/>
      <c r="S1261" s="14"/>
      <c r="T1261" s="14"/>
      <c r="U1261" s="14"/>
      <c r="V1261" s="14">
        <f t="shared" si="1602"/>
        <v>2019</v>
      </c>
      <c r="W1261" s="14">
        <f t="shared" si="1603"/>
        <v>9</v>
      </c>
      <c r="X1261" s="14">
        <f>VLOOKUP(W1261,[1]Lookups!$P$3:$S$15,2,FALSE)</f>
        <v>3</v>
      </c>
      <c r="Y1261" s="16">
        <f>VLOOKUP(W1261,[1]Lookups!$P$3:$U$15,3,FALSE)</f>
        <v>2</v>
      </c>
      <c r="Z1261" s="16">
        <f t="shared" si="1604"/>
        <v>1</v>
      </c>
      <c r="AA1261" s="16" t="str">
        <f t="shared" ca="1" si="1605"/>
        <v>Johnson &amp; Johnson</v>
      </c>
      <c r="AB1261" s="16">
        <f t="shared" si="1605"/>
        <v>0</v>
      </c>
      <c r="AC1261" s="16">
        <f t="shared" si="1605"/>
        <v>0</v>
      </c>
      <c r="AD1261" s="16">
        <f t="shared" si="1605"/>
        <v>0</v>
      </c>
      <c r="AE1261" s="16">
        <f t="shared" si="1605"/>
        <v>0</v>
      </c>
      <c r="AF1261" s="16">
        <f t="shared" si="1605"/>
        <v>0</v>
      </c>
      <c r="AG1261" s="16">
        <f t="shared" si="1605"/>
        <v>0</v>
      </c>
      <c r="AH1261" s="16">
        <f t="shared" si="1605"/>
        <v>0</v>
      </c>
      <c r="AI1261" s="16">
        <f t="shared" si="1605"/>
        <v>0</v>
      </c>
      <c r="AJ1261" s="16">
        <f t="shared" si="1605"/>
        <v>0</v>
      </c>
      <c r="AK1261" s="16">
        <f t="shared" si="1605"/>
        <v>0</v>
      </c>
      <c r="AL1261" s="16">
        <f t="shared" si="1605"/>
        <v>0</v>
      </c>
      <c r="AM1261" s="16">
        <f t="shared" si="1605"/>
        <v>0</v>
      </c>
      <c r="AN1261" s="16">
        <f t="shared" si="1605"/>
        <v>0</v>
      </c>
      <c r="AO1261" s="16">
        <f t="shared" si="1605"/>
        <v>0</v>
      </c>
      <c r="AP1261" s="10"/>
      <c r="AQ1261" s="10"/>
      <c r="AR1261" s="10"/>
      <c r="AS1261" s="10" t="str">
        <f t="shared" ca="1" si="1606"/>
        <v>Johnson &amp; Johnson</v>
      </c>
      <c r="AT1261" s="10"/>
      <c r="AU1261" s="10"/>
      <c r="AV1261" s="10"/>
      <c r="AW1261" s="10"/>
      <c r="AX1261" s="10"/>
      <c r="AY1261" s="10"/>
      <c r="AZ1261" s="10"/>
      <c r="BA1261" s="10"/>
      <c r="BB1261" s="10"/>
      <c r="BC1261" s="10"/>
      <c r="BD1261" s="10"/>
      <c r="BE1261" s="10"/>
      <c r="BF1261" s="10"/>
      <c r="BG1261" s="10"/>
      <c r="BH1261" s="10"/>
      <c r="BI1261" s="10"/>
      <c r="BJ1261" s="10"/>
      <c r="BK1261" s="10"/>
      <c r="BM1261" s="10"/>
    </row>
    <row r="1262" spans="1:65" ht="12.75">
      <c r="A1262" s="9">
        <v>43713</v>
      </c>
      <c r="B1262" s="10" t="s">
        <v>2616</v>
      </c>
      <c r="C1262" s="11">
        <v>50000</v>
      </c>
      <c r="D1262" s="12"/>
      <c r="E1262" s="10" t="s">
        <v>55</v>
      </c>
      <c r="F1262" s="10" t="s">
        <v>2610</v>
      </c>
      <c r="G1262" s="13" t="s">
        <v>2611</v>
      </c>
      <c r="H1262" s="14"/>
      <c r="I1262" s="14"/>
      <c r="J1262" s="14"/>
      <c r="K1262" s="14"/>
      <c r="L1262" s="14"/>
      <c r="M1262" s="15"/>
      <c r="N1262" s="10"/>
      <c r="O1262" s="14"/>
      <c r="P1262" s="14"/>
      <c r="Q1262" s="14"/>
      <c r="R1262" s="14"/>
      <c r="S1262" s="14"/>
      <c r="T1262" s="14"/>
      <c r="U1262" s="14"/>
      <c r="V1262" s="14">
        <f t="shared" si="1602"/>
        <v>2019</v>
      </c>
      <c r="W1262" s="14">
        <f t="shared" si="1603"/>
        <v>9</v>
      </c>
      <c r="X1262" s="14">
        <f>VLOOKUP(W1262,[1]Lookups!$P$3:$S$15,2,FALSE)</f>
        <v>3</v>
      </c>
      <c r="Y1262" s="16">
        <f>VLOOKUP(W1262,[1]Lookups!$P$3:$U$15,3,FALSE)</f>
        <v>2</v>
      </c>
      <c r="Z1262" s="16">
        <f t="shared" si="1604"/>
        <v>1</v>
      </c>
      <c r="AA1262" s="16" t="str">
        <f t="shared" ca="1" si="1605"/>
        <v>Johnson &amp; Johnson</v>
      </c>
      <c r="AB1262" s="16">
        <f t="shared" si="1605"/>
        <v>0</v>
      </c>
      <c r="AC1262" s="16">
        <f t="shared" si="1605"/>
        <v>0</v>
      </c>
      <c r="AD1262" s="16">
        <f t="shared" si="1605"/>
        <v>0</v>
      </c>
      <c r="AE1262" s="16">
        <f t="shared" si="1605"/>
        <v>0</v>
      </c>
      <c r="AF1262" s="16">
        <f t="shared" si="1605"/>
        <v>0</v>
      </c>
      <c r="AG1262" s="16">
        <f t="shared" si="1605"/>
        <v>0</v>
      </c>
      <c r="AH1262" s="16">
        <f t="shared" si="1605"/>
        <v>0</v>
      </c>
      <c r="AI1262" s="16">
        <f t="shared" si="1605"/>
        <v>0</v>
      </c>
      <c r="AJ1262" s="16">
        <f t="shared" si="1605"/>
        <v>0</v>
      </c>
      <c r="AK1262" s="16">
        <f t="shared" si="1605"/>
        <v>0</v>
      </c>
      <c r="AL1262" s="16">
        <f t="shared" si="1605"/>
        <v>0</v>
      </c>
      <c r="AM1262" s="16">
        <f t="shared" si="1605"/>
        <v>0</v>
      </c>
      <c r="AN1262" s="16">
        <f t="shared" si="1605"/>
        <v>0</v>
      </c>
      <c r="AO1262" s="16">
        <f t="shared" si="1605"/>
        <v>0</v>
      </c>
      <c r="AP1262" s="10"/>
      <c r="AQ1262" s="10"/>
      <c r="AR1262" s="10"/>
      <c r="AS1262" s="10" t="str">
        <f t="shared" ca="1" si="1606"/>
        <v>Johnson &amp; Johnson</v>
      </c>
      <c r="AT1262" s="10"/>
      <c r="AU1262" s="10"/>
      <c r="AV1262" s="10"/>
      <c r="AW1262" s="10"/>
      <c r="AX1262" s="10"/>
      <c r="AY1262" s="10"/>
      <c r="AZ1262" s="10"/>
      <c r="BA1262" s="10"/>
      <c r="BB1262" s="10"/>
      <c r="BC1262" s="10"/>
      <c r="BD1262" s="10"/>
      <c r="BE1262" s="10"/>
      <c r="BF1262" s="10"/>
      <c r="BG1262" s="10"/>
      <c r="BH1262" s="10"/>
      <c r="BI1262" s="10"/>
      <c r="BJ1262" s="10"/>
      <c r="BK1262" s="10"/>
      <c r="BM1262" s="10"/>
    </row>
    <row r="1263" spans="1:65" ht="12.75">
      <c r="A1263" s="9">
        <v>43718</v>
      </c>
      <c r="B1263" s="10" t="s">
        <v>1362</v>
      </c>
      <c r="C1263" s="11">
        <v>1600000</v>
      </c>
      <c r="D1263" s="12"/>
      <c r="E1263" s="10" t="s">
        <v>234</v>
      </c>
      <c r="F1263" s="10" t="s">
        <v>2617</v>
      </c>
      <c r="G1263" s="13" t="s">
        <v>2618</v>
      </c>
      <c r="H1263" s="14"/>
      <c r="I1263" s="14"/>
      <c r="J1263" s="14"/>
      <c r="K1263" s="14"/>
      <c r="L1263" s="14"/>
      <c r="M1263" s="15"/>
      <c r="N1263" s="10"/>
      <c r="O1263" s="14"/>
      <c r="P1263" s="14"/>
      <c r="Q1263" s="14"/>
      <c r="R1263" s="14"/>
      <c r="S1263" s="14"/>
      <c r="T1263" s="14"/>
      <c r="U1263" s="14"/>
      <c r="V1263" s="14">
        <f t="shared" si="1602"/>
        <v>2019</v>
      </c>
      <c r="W1263" s="14">
        <f t="shared" si="1603"/>
        <v>9</v>
      </c>
      <c r="X1263" s="14">
        <f>VLOOKUP(W1263,[1]Lookups!$P$3:$S$15,2,FALSE)</f>
        <v>3</v>
      </c>
      <c r="Y1263" s="16">
        <f>VLOOKUP(W1263,[1]Lookups!$P$3:$U$15,3,FALSE)</f>
        <v>2</v>
      </c>
      <c r="Z1263" s="16">
        <f t="shared" si="1604"/>
        <v>2</v>
      </c>
      <c r="AA1263" s="16" t="str">
        <f t="shared" ca="1" si="1605"/>
        <v>Johnson &amp; Johnson</v>
      </c>
      <c r="AB1263" s="16" t="str">
        <f t="shared" ca="1" si="1605"/>
        <v xml:space="preserve"> Ragnar Meitern </v>
      </c>
      <c r="AC1263" s="16">
        <f t="shared" si="1605"/>
        <v>0</v>
      </c>
      <c r="AD1263" s="16">
        <f t="shared" si="1605"/>
        <v>0</v>
      </c>
      <c r="AE1263" s="16">
        <f t="shared" si="1605"/>
        <v>0</v>
      </c>
      <c r="AF1263" s="16">
        <f t="shared" si="1605"/>
        <v>0</v>
      </c>
      <c r="AG1263" s="16">
        <f t="shared" si="1605"/>
        <v>0</v>
      </c>
      <c r="AH1263" s="16">
        <f t="shared" si="1605"/>
        <v>0</v>
      </c>
      <c r="AI1263" s="16">
        <f t="shared" si="1605"/>
        <v>0</v>
      </c>
      <c r="AJ1263" s="16">
        <f t="shared" si="1605"/>
        <v>0</v>
      </c>
      <c r="AK1263" s="16">
        <f t="shared" si="1605"/>
        <v>0</v>
      </c>
      <c r="AL1263" s="16">
        <f t="shared" si="1605"/>
        <v>0</v>
      </c>
      <c r="AM1263" s="16">
        <f t="shared" si="1605"/>
        <v>0</v>
      </c>
      <c r="AN1263" s="16">
        <f t="shared" si="1605"/>
        <v>0</v>
      </c>
      <c r="AO1263" s="16">
        <f t="shared" si="1605"/>
        <v>0</v>
      </c>
      <c r="AP1263" s="10"/>
      <c r="AQ1263" s="10"/>
      <c r="AR1263" s="10"/>
      <c r="AS1263" s="10" t="str">
        <f t="shared" ca="1" si="1606"/>
        <v>Johnson &amp; Johnson</v>
      </c>
      <c r="AT1263" s="10" t="str">
        <f ca="1">IFERROR(__xludf.DUMMYFUNCTION("""COMPUTED_VALUE""")," Ragnar Meitern ")</f>
        <v xml:space="preserve"> Ragnar Meitern </v>
      </c>
      <c r="AU1263" s="10"/>
      <c r="AV1263" s="10"/>
      <c r="AW1263" s="10"/>
      <c r="AX1263" s="10"/>
      <c r="AY1263" s="10"/>
      <c r="AZ1263" s="10"/>
      <c r="BA1263" s="10"/>
      <c r="BB1263" s="10"/>
      <c r="BC1263" s="10"/>
      <c r="BD1263" s="10"/>
      <c r="BE1263" s="10"/>
      <c r="BF1263" s="10"/>
      <c r="BG1263" s="10"/>
      <c r="BH1263" s="10"/>
      <c r="BI1263" s="10"/>
      <c r="BJ1263" s="10"/>
      <c r="BK1263" s="10"/>
      <c r="BM1263" s="10"/>
    </row>
    <row r="1264" spans="1:65" ht="12.75">
      <c r="A1264" s="9">
        <v>43719</v>
      </c>
      <c r="B1264" s="10" t="s">
        <v>2619</v>
      </c>
      <c r="C1264" s="11" t="s">
        <v>49</v>
      </c>
      <c r="D1264" s="12"/>
      <c r="E1264" s="10" t="s">
        <v>45</v>
      </c>
      <c r="F1264" s="10" t="s">
        <v>2620</v>
      </c>
      <c r="G1264" s="13" t="s">
        <v>2621</v>
      </c>
      <c r="H1264" s="14"/>
      <c r="I1264" s="14"/>
      <c r="J1264" s="14"/>
      <c r="K1264" s="14"/>
      <c r="L1264" s="14"/>
      <c r="M1264" s="15"/>
      <c r="N1264" s="10"/>
      <c r="O1264" s="14"/>
      <c r="P1264" s="14"/>
      <c r="Q1264" s="14"/>
      <c r="R1264" s="14"/>
      <c r="S1264" s="14"/>
      <c r="T1264" s="14"/>
      <c r="U1264" s="14"/>
      <c r="V1264" s="14">
        <f t="shared" si="1602"/>
        <v>2019</v>
      </c>
      <c r="W1264" s="14">
        <f t="shared" si="1603"/>
        <v>9</v>
      </c>
      <c r="X1264" s="14">
        <f>VLOOKUP(W1264,[1]Lookups!$P$3:$S$15,2,FALSE)</f>
        <v>3</v>
      </c>
      <c r="Y1264" s="16">
        <f>VLOOKUP(W1264,[1]Lookups!$P$3:$U$15,3,FALSE)</f>
        <v>2</v>
      </c>
      <c r="Z1264" s="16">
        <f t="shared" si="1604"/>
        <v>1</v>
      </c>
      <c r="AA1264" s="16" t="str">
        <f t="shared" ca="1" si="1605"/>
        <v>Johnson &amp; Johnson</v>
      </c>
      <c r="AB1264" s="16">
        <f t="shared" si="1605"/>
        <v>0</v>
      </c>
      <c r="AC1264" s="16">
        <f t="shared" si="1605"/>
        <v>0</v>
      </c>
      <c r="AD1264" s="16">
        <f t="shared" si="1605"/>
        <v>0</v>
      </c>
      <c r="AE1264" s="16">
        <f t="shared" si="1605"/>
        <v>0</v>
      </c>
      <c r="AF1264" s="16">
        <f t="shared" si="1605"/>
        <v>0</v>
      </c>
      <c r="AG1264" s="16">
        <f t="shared" si="1605"/>
        <v>0</v>
      </c>
      <c r="AH1264" s="16">
        <f t="shared" si="1605"/>
        <v>0</v>
      </c>
      <c r="AI1264" s="16">
        <f t="shared" si="1605"/>
        <v>0</v>
      </c>
      <c r="AJ1264" s="16">
        <f t="shared" si="1605"/>
        <v>0</v>
      </c>
      <c r="AK1264" s="16">
        <f t="shared" si="1605"/>
        <v>0</v>
      </c>
      <c r="AL1264" s="16">
        <f t="shared" si="1605"/>
        <v>0</v>
      </c>
      <c r="AM1264" s="16">
        <f t="shared" si="1605"/>
        <v>0</v>
      </c>
      <c r="AN1264" s="16">
        <f t="shared" si="1605"/>
        <v>0</v>
      </c>
      <c r="AO1264" s="16">
        <f t="shared" si="1605"/>
        <v>0</v>
      </c>
      <c r="AP1264" s="10"/>
      <c r="AQ1264" s="10"/>
      <c r="AR1264" s="10"/>
      <c r="AS1264" s="10" t="str">
        <f t="shared" ca="1" si="1606"/>
        <v>Johnson &amp; Johnson</v>
      </c>
      <c r="AT1264" s="10"/>
      <c r="AU1264" s="10"/>
      <c r="AV1264" s="10"/>
      <c r="AW1264" s="10"/>
      <c r="AX1264" s="10"/>
      <c r="AY1264" s="10"/>
      <c r="AZ1264" s="10"/>
      <c r="BA1264" s="10"/>
      <c r="BB1264" s="10"/>
      <c r="BC1264" s="10"/>
      <c r="BD1264" s="10"/>
      <c r="BE1264" s="10"/>
      <c r="BF1264" s="10"/>
      <c r="BG1264" s="10"/>
      <c r="BH1264" s="10"/>
      <c r="BI1264" s="10"/>
      <c r="BJ1264" s="10"/>
      <c r="BK1264" s="10"/>
      <c r="BM1264" s="10"/>
    </row>
    <row r="1265" spans="1:65" ht="12.75">
      <c r="A1265" s="9">
        <v>43692</v>
      </c>
      <c r="B1265" s="10" t="s">
        <v>2622</v>
      </c>
      <c r="C1265" s="11">
        <v>68000</v>
      </c>
      <c r="D1265" s="12"/>
      <c r="E1265" s="10" t="s">
        <v>45</v>
      </c>
      <c r="F1265" s="10" t="s">
        <v>2623</v>
      </c>
      <c r="G1265" s="13" t="s">
        <v>2624</v>
      </c>
      <c r="H1265" s="14"/>
      <c r="I1265" s="14"/>
      <c r="J1265" s="14"/>
      <c r="K1265" s="14"/>
      <c r="L1265" s="14"/>
      <c r="M1265" s="15"/>
      <c r="N1265" s="10"/>
      <c r="O1265" s="14"/>
      <c r="P1265" s="14"/>
      <c r="Q1265" s="14"/>
      <c r="R1265" s="14"/>
      <c r="S1265" s="14"/>
      <c r="T1265" s="14"/>
      <c r="U1265" s="14"/>
      <c r="V1265" s="14">
        <f t="shared" si="1602"/>
        <v>2019</v>
      </c>
      <c r="W1265" s="14">
        <f t="shared" si="1603"/>
        <v>8</v>
      </c>
      <c r="X1265" s="14">
        <f>VLOOKUP(W1265,[1]Lookups!$P$3:$S$15,2,FALSE)</f>
        <v>3</v>
      </c>
      <c r="Y1265" s="16">
        <f>VLOOKUP(W1265,[1]Lookups!$P$3:$U$15,3,FALSE)</f>
        <v>2</v>
      </c>
      <c r="Z1265" s="16">
        <f t="shared" si="1604"/>
        <v>1</v>
      </c>
      <c r="AA1265" s="16" t="str">
        <f t="shared" ca="1" si="1605"/>
        <v>Johnson &amp; Johnson</v>
      </c>
      <c r="AB1265" s="16">
        <f t="shared" si="1605"/>
        <v>0</v>
      </c>
      <c r="AC1265" s="16">
        <f t="shared" si="1605"/>
        <v>0</v>
      </c>
      <c r="AD1265" s="16">
        <f t="shared" si="1605"/>
        <v>0</v>
      </c>
      <c r="AE1265" s="16">
        <f t="shared" si="1605"/>
        <v>0</v>
      </c>
      <c r="AF1265" s="16">
        <f t="shared" si="1605"/>
        <v>0</v>
      </c>
      <c r="AG1265" s="16">
        <f t="shared" si="1605"/>
        <v>0</v>
      </c>
      <c r="AH1265" s="16">
        <f t="shared" si="1605"/>
        <v>0</v>
      </c>
      <c r="AI1265" s="16">
        <f t="shared" si="1605"/>
        <v>0</v>
      </c>
      <c r="AJ1265" s="16">
        <f t="shared" si="1605"/>
        <v>0</v>
      </c>
      <c r="AK1265" s="16">
        <f t="shared" si="1605"/>
        <v>0</v>
      </c>
      <c r="AL1265" s="16">
        <f t="shared" si="1605"/>
        <v>0</v>
      </c>
      <c r="AM1265" s="16">
        <f t="shared" si="1605"/>
        <v>0</v>
      </c>
      <c r="AN1265" s="16">
        <f t="shared" si="1605"/>
        <v>0</v>
      </c>
      <c r="AO1265" s="16">
        <f t="shared" si="1605"/>
        <v>0</v>
      </c>
      <c r="AP1265" s="10"/>
      <c r="AQ1265" s="10"/>
      <c r="AR1265" s="10"/>
      <c r="AS1265" s="10" t="str">
        <f t="shared" ca="1" si="1606"/>
        <v>Johnson &amp; Johnson</v>
      </c>
      <c r="AT1265" s="10"/>
      <c r="AU1265" s="10"/>
      <c r="AV1265" s="10"/>
      <c r="AW1265" s="10"/>
      <c r="AX1265" s="10"/>
      <c r="AY1265" s="10"/>
      <c r="AZ1265" s="10"/>
      <c r="BA1265" s="10"/>
      <c r="BB1265" s="10"/>
      <c r="BC1265" s="10"/>
      <c r="BD1265" s="10"/>
      <c r="BE1265" s="10"/>
      <c r="BF1265" s="10"/>
      <c r="BG1265" s="10"/>
      <c r="BH1265" s="10"/>
      <c r="BI1265" s="10"/>
      <c r="BJ1265" s="10"/>
      <c r="BK1265" s="10"/>
      <c r="BM1265" s="10"/>
    </row>
    <row r="1266" spans="1:65" ht="12.75">
      <c r="A1266" s="9">
        <v>43721</v>
      </c>
      <c r="B1266" s="10" t="s">
        <v>2625</v>
      </c>
      <c r="C1266" s="11">
        <v>8300</v>
      </c>
      <c r="D1266" s="12"/>
      <c r="E1266" s="10" t="s">
        <v>55</v>
      </c>
      <c r="F1266" s="10" t="s">
        <v>2626</v>
      </c>
      <c r="G1266" s="13" t="s">
        <v>2627</v>
      </c>
      <c r="H1266" s="14"/>
      <c r="I1266" s="14"/>
      <c r="J1266" s="14"/>
      <c r="K1266" s="14"/>
      <c r="L1266" s="14"/>
      <c r="M1266" s="15"/>
      <c r="N1266" s="10"/>
      <c r="O1266" s="14"/>
      <c r="P1266" s="14"/>
      <c r="Q1266" s="14"/>
      <c r="R1266" s="14"/>
      <c r="S1266" s="14"/>
      <c r="T1266" s="14"/>
      <c r="U1266" s="14"/>
      <c r="V1266" s="14">
        <f t="shared" si="1602"/>
        <v>2019</v>
      </c>
      <c r="W1266" s="14">
        <f t="shared" si="1603"/>
        <v>9</v>
      </c>
      <c r="X1266" s="14">
        <f>VLOOKUP(W1266,[1]Lookups!$P$3:$S$15,2,FALSE)</f>
        <v>3</v>
      </c>
      <c r="Y1266" s="16">
        <f>VLOOKUP(W1266,[1]Lookups!$P$3:$U$15,3,FALSE)</f>
        <v>2</v>
      </c>
      <c r="Z1266" s="16">
        <f t="shared" si="1604"/>
        <v>1</v>
      </c>
      <c r="AA1266" s="16" t="str">
        <f t="shared" ca="1" si="1605"/>
        <v>Johnson &amp; Johnson</v>
      </c>
      <c r="AB1266" s="16">
        <f t="shared" si="1605"/>
        <v>0</v>
      </c>
      <c r="AC1266" s="16">
        <f t="shared" si="1605"/>
        <v>0</v>
      </c>
      <c r="AD1266" s="16">
        <f t="shared" si="1605"/>
        <v>0</v>
      </c>
      <c r="AE1266" s="16">
        <f t="shared" si="1605"/>
        <v>0</v>
      </c>
      <c r="AF1266" s="16">
        <f t="shared" si="1605"/>
        <v>0</v>
      </c>
      <c r="AG1266" s="16">
        <f t="shared" si="1605"/>
        <v>0</v>
      </c>
      <c r="AH1266" s="16">
        <f t="shared" si="1605"/>
        <v>0</v>
      </c>
      <c r="AI1266" s="16">
        <f t="shared" si="1605"/>
        <v>0</v>
      </c>
      <c r="AJ1266" s="16">
        <f t="shared" si="1605"/>
        <v>0</v>
      </c>
      <c r="AK1266" s="16">
        <f t="shared" si="1605"/>
        <v>0</v>
      </c>
      <c r="AL1266" s="16">
        <f t="shared" si="1605"/>
        <v>0</v>
      </c>
      <c r="AM1266" s="16">
        <f t="shared" si="1605"/>
        <v>0</v>
      </c>
      <c r="AN1266" s="16">
        <f t="shared" si="1605"/>
        <v>0</v>
      </c>
      <c r="AO1266" s="16">
        <f t="shared" si="1605"/>
        <v>0</v>
      </c>
      <c r="AP1266" s="10"/>
      <c r="AQ1266" s="10"/>
      <c r="AR1266" s="10"/>
      <c r="AS1266" s="10" t="str">
        <f t="shared" ca="1" si="1606"/>
        <v>Johnson &amp; Johnson</v>
      </c>
      <c r="AT1266" s="10"/>
      <c r="AU1266" s="10"/>
      <c r="AV1266" s="10"/>
      <c r="AW1266" s="10"/>
      <c r="AX1266" s="10"/>
      <c r="AY1266" s="10"/>
      <c r="AZ1266" s="10"/>
      <c r="BA1266" s="10"/>
      <c r="BB1266" s="10"/>
      <c r="BC1266" s="10"/>
      <c r="BD1266" s="10"/>
      <c r="BE1266" s="10"/>
      <c r="BF1266" s="10"/>
      <c r="BG1266" s="10"/>
      <c r="BH1266" s="10"/>
      <c r="BI1266" s="10"/>
      <c r="BJ1266" s="10"/>
      <c r="BK1266" s="10"/>
      <c r="BM1266" s="10"/>
    </row>
    <row r="1267" spans="1:65" ht="12.75">
      <c r="A1267" s="9">
        <v>43721</v>
      </c>
      <c r="B1267" s="10" t="s">
        <v>2628</v>
      </c>
      <c r="C1267" s="11">
        <v>5500</v>
      </c>
      <c r="D1267" s="12"/>
      <c r="E1267" s="10" t="s">
        <v>55</v>
      </c>
      <c r="F1267" s="10" t="s">
        <v>2626</v>
      </c>
      <c r="G1267" s="13" t="s">
        <v>2627</v>
      </c>
      <c r="H1267" s="14"/>
      <c r="I1267" s="14"/>
      <c r="J1267" s="14"/>
      <c r="K1267" s="14"/>
      <c r="L1267" s="14"/>
      <c r="M1267" s="15"/>
      <c r="N1267" s="10"/>
      <c r="O1267" s="14"/>
      <c r="P1267" s="14"/>
      <c r="Q1267" s="14"/>
      <c r="R1267" s="14"/>
      <c r="S1267" s="14"/>
      <c r="T1267" s="14"/>
      <c r="U1267" s="14"/>
      <c r="V1267" s="14">
        <f t="shared" si="1602"/>
        <v>2019</v>
      </c>
      <c r="W1267" s="14">
        <f t="shared" si="1603"/>
        <v>9</v>
      </c>
      <c r="X1267" s="14">
        <f>VLOOKUP(W1267,[1]Lookups!$P$3:$S$15,2,FALSE)</f>
        <v>3</v>
      </c>
      <c r="Y1267" s="16">
        <f>VLOOKUP(W1267,[1]Lookups!$P$3:$U$15,3,FALSE)</f>
        <v>2</v>
      </c>
      <c r="Z1267" s="16">
        <f t="shared" si="1604"/>
        <v>1</v>
      </c>
      <c r="AA1267" s="16" t="str">
        <f t="shared" ca="1" si="1605"/>
        <v>Johnson &amp; Johnson</v>
      </c>
      <c r="AB1267" s="16">
        <f t="shared" si="1605"/>
        <v>0</v>
      </c>
      <c r="AC1267" s="16">
        <f t="shared" si="1605"/>
        <v>0</v>
      </c>
      <c r="AD1267" s="16">
        <f t="shared" si="1605"/>
        <v>0</v>
      </c>
      <c r="AE1267" s="16">
        <f t="shared" si="1605"/>
        <v>0</v>
      </c>
      <c r="AF1267" s="16">
        <f t="shared" si="1605"/>
        <v>0</v>
      </c>
      <c r="AG1267" s="16">
        <f t="shared" si="1605"/>
        <v>0</v>
      </c>
      <c r="AH1267" s="16">
        <f t="shared" si="1605"/>
        <v>0</v>
      </c>
      <c r="AI1267" s="16">
        <f t="shared" si="1605"/>
        <v>0</v>
      </c>
      <c r="AJ1267" s="16">
        <f t="shared" si="1605"/>
        <v>0</v>
      </c>
      <c r="AK1267" s="16">
        <f t="shared" si="1605"/>
        <v>0</v>
      </c>
      <c r="AL1267" s="16">
        <f t="shared" si="1605"/>
        <v>0</v>
      </c>
      <c r="AM1267" s="16">
        <f t="shared" si="1605"/>
        <v>0</v>
      </c>
      <c r="AN1267" s="16">
        <f t="shared" si="1605"/>
        <v>0</v>
      </c>
      <c r="AO1267" s="16">
        <f t="shared" si="1605"/>
        <v>0</v>
      </c>
      <c r="AP1267" s="10"/>
      <c r="AQ1267" s="10"/>
      <c r="AR1267" s="10"/>
      <c r="AS1267" s="10" t="str">
        <f t="shared" ca="1" si="1606"/>
        <v>Johnson &amp; Johnson</v>
      </c>
      <c r="AT1267" s="10"/>
      <c r="AU1267" s="10"/>
      <c r="AV1267" s="10"/>
      <c r="AW1267" s="10"/>
      <c r="AX1267" s="10"/>
      <c r="AY1267" s="10"/>
      <c r="AZ1267" s="10"/>
      <c r="BA1267" s="10"/>
      <c r="BB1267" s="10"/>
      <c r="BC1267" s="10"/>
      <c r="BD1267" s="10"/>
      <c r="BE1267" s="10"/>
      <c r="BF1267" s="10"/>
      <c r="BG1267" s="10"/>
      <c r="BH1267" s="10"/>
      <c r="BI1267" s="10"/>
      <c r="BJ1267" s="10"/>
      <c r="BK1267" s="10"/>
      <c r="BM1267" s="10"/>
    </row>
    <row r="1268" spans="1:65" ht="12.75">
      <c r="A1268" s="9">
        <v>43721</v>
      </c>
      <c r="B1268" s="10" t="s">
        <v>2629</v>
      </c>
      <c r="C1268" s="11">
        <v>16600</v>
      </c>
      <c r="D1268" s="12"/>
      <c r="E1268" s="10" t="s">
        <v>55</v>
      </c>
      <c r="F1268" s="10" t="s">
        <v>2626</v>
      </c>
      <c r="G1268" s="13" t="s">
        <v>2627</v>
      </c>
      <c r="H1268" s="14"/>
      <c r="I1268" s="14"/>
      <c r="J1268" s="14"/>
      <c r="K1268" s="14"/>
      <c r="L1268" s="14"/>
      <c r="M1268" s="15"/>
      <c r="N1268" s="10"/>
      <c r="O1268" s="14"/>
      <c r="P1268" s="14"/>
      <c r="Q1268" s="14"/>
      <c r="R1268" s="14"/>
      <c r="S1268" s="14"/>
      <c r="T1268" s="14"/>
      <c r="U1268" s="14"/>
      <c r="V1268" s="14">
        <f t="shared" si="1602"/>
        <v>2019</v>
      </c>
      <c r="W1268" s="14">
        <f t="shared" si="1603"/>
        <v>9</v>
      </c>
      <c r="X1268" s="14">
        <f>VLOOKUP(W1268,[1]Lookups!$P$3:$S$15,2,FALSE)</f>
        <v>3</v>
      </c>
      <c r="Y1268" s="16">
        <f>VLOOKUP(W1268,[1]Lookups!$P$3:$U$15,3,FALSE)</f>
        <v>2</v>
      </c>
      <c r="Z1268" s="16">
        <f t="shared" si="1604"/>
        <v>1</v>
      </c>
      <c r="AA1268" s="16" t="str">
        <f t="shared" ca="1" si="1605"/>
        <v>Johnson &amp; Johnson</v>
      </c>
      <c r="AB1268" s="16">
        <f t="shared" si="1605"/>
        <v>0</v>
      </c>
      <c r="AC1268" s="16">
        <f t="shared" si="1605"/>
        <v>0</v>
      </c>
      <c r="AD1268" s="16">
        <f t="shared" si="1605"/>
        <v>0</v>
      </c>
      <c r="AE1268" s="16">
        <f t="shared" si="1605"/>
        <v>0</v>
      </c>
      <c r="AF1268" s="16">
        <f t="shared" si="1605"/>
        <v>0</v>
      </c>
      <c r="AG1268" s="16">
        <f t="shared" si="1605"/>
        <v>0</v>
      </c>
      <c r="AH1268" s="16">
        <f t="shared" si="1605"/>
        <v>0</v>
      </c>
      <c r="AI1268" s="16">
        <f t="shared" si="1605"/>
        <v>0</v>
      </c>
      <c r="AJ1268" s="16">
        <f t="shared" si="1605"/>
        <v>0</v>
      </c>
      <c r="AK1268" s="16">
        <f t="shared" si="1605"/>
        <v>0</v>
      </c>
      <c r="AL1268" s="16">
        <f t="shared" si="1605"/>
        <v>0</v>
      </c>
      <c r="AM1268" s="16">
        <f t="shared" si="1605"/>
        <v>0</v>
      </c>
      <c r="AN1268" s="16">
        <f t="shared" si="1605"/>
        <v>0</v>
      </c>
      <c r="AO1268" s="16">
        <f t="shared" si="1605"/>
        <v>0</v>
      </c>
      <c r="AP1268" s="10"/>
      <c r="AQ1268" s="10"/>
      <c r="AR1268" s="10"/>
      <c r="AS1268" s="10" t="str">
        <f t="shared" ca="1" si="1606"/>
        <v>Johnson &amp; Johnson</v>
      </c>
      <c r="AT1268" s="10"/>
      <c r="AU1268" s="10"/>
      <c r="AV1268" s="10"/>
      <c r="AW1268" s="10"/>
      <c r="AX1268" s="10"/>
      <c r="AY1268" s="10"/>
      <c r="AZ1268" s="10"/>
      <c r="BA1268" s="10"/>
      <c r="BB1268" s="10"/>
      <c r="BC1268" s="10"/>
      <c r="BD1268" s="10"/>
      <c r="BE1268" s="10"/>
      <c r="BF1268" s="10"/>
      <c r="BG1268" s="10"/>
      <c r="BH1268" s="10"/>
      <c r="BI1268" s="10"/>
      <c r="BJ1268" s="10"/>
      <c r="BK1268" s="10"/>
      <c r="BM1268" s="10"/>
    </row>
    <row r="1269" spans="1:65" ht="12.75">
      <c r="A1269" s="9">
        <v>43721</v>
      </c>
      <c r="B1269" s="10" t="s">
        <v>2630</v>
      </c>
      <c r="C1269" s="11">
        <v>13800</v>
      </c>
      <c r="D1269" s="12"/>
      <c r="E1269" s="10" t="s">
        <v>55</v>
      </c>
      <c r="F1269" s="10" t="s">
        <v>2626</v>
      </c>
      <c r="G1269" s="13" t="s">
        <v>2627</v>
      </c>
      <c r="H1269" s="14"/>
      <c r="I1269" s="14"/>
      <c r="J1269" s="14"/>
      <c r="K1269" s="14"/>
      <c r="L1269" s="14"/>
      <c r="M1269" s="15"/>
      <c r="N1269" s="10"/>
      <c r="O1269" s="14"/>
      <c r="P1269" s="14"/>
      <c r="Q1269" s="14"/>
      <c r="R1269" s="14"/>
      <c r="S1269" s="14"/>
      <c r="T1269" s="14"/>
      <c r="U1269" s="14"/>
      <c r="V1269" s="14">
        <f t="shared" si="1602"/>
        <v>2019</v>
      </c>
      <c r="W1269" s="14">
        <f t="shared" si="1603"/>
        <v>9</v>
      </c>
      <c r="X1269" s="14">
        <f>VLOOKUP(W1269,[1]Lookups!$P$3:$S$15,2,FALSE)</f>
        <v>3</v>
      </c>
      <c r="Y1269" s="16">
        <f>VLOOKUP(W1269,[1]Lookups!$P$3:$U$15,3,FALSE)</f>
        <v>2</v>
      </c>
      <c r="Z1269" s="16">
        <f t="shared" si="1604"/>
        <v>1</v>
      </c>
      <c r="AA1269" s="16" t="str">
        <f t="shared" ca="1" si="1605"/>
        <v>Johnson &amp; Johnson</v>
      </c>
      <c r="AB1269" s="16">
        <f t="shared" si="1605"/>
        <v>0</v>
      </c>
      <c r="AC1269" s="16">
        <f t="shared" si="1605"/>
        <v>0</v>
      </c>
      <c r="AD1269" s="16">
        <f t="shared" si="1605"/>
        <v>0</v>
      </c>
      <c r="AE1269" s="16">
        <f t="shared" si="1605"/>
        <v>0</v>
      </c>
      <c r="AF1269" s="16">
        <f t="shared" si="1605"/>
        <v>0</v>
      </c>
      <c r="AG1269" s="16">
        <f t="shared" si="1605"/>
        <v>0</v>
      </c>
      <c r="AH1269" s="16">
        <f t="shared" si="1605"/>
        <v>0</v>
      </c>
      <c r="AI1269" s="16">
        <f t="shared" si="1605"/>
        <v>0</v>
      </c>
      <c r="AJ1269" s="16">
        <f t="shared" si="1605"/>
        <v>0</v>
      </c>
      <c r="AK1269" s="16">
        <f t="shared" si="1605"/>
        <v>0</v>
      </c>
      <c r="AL1269" s="16">
        <f t="shared" si="1605"/>
        <v>0</v>
      </c>
      <c r="AM1269" s="16">
        <f t="shared" si="1605"/>
        <v>0</v>
      </c>
      <c r="AN1269" s="16">
        <f t="shared" si="1605"/>
        <v>0</v>
      </c>
      <c r="AO1269" s="16">
        <f t="shared" si="1605"/>
        <v>0</v>
      </c>
      <c r="AP1269" s="10"/>
      <c r="AQ1269" s="10"/>
      <c r="AR1269" s="10"/>
      <c r="AS1269" s="10" t="str">
        <f t="shared" ca="1" si="1606"/>
        <v>Johnson &amp; Johnson</v>
      </c>
      <c r="AT1269" s="10"/>
      <c r="AU1269" s="10"/>
      <c r="AV1269" s="10"/>
      <c r="AW1269" s="10"/>
      <c r="AX1269" s="10"/>
      <c r="AY1269" s="10"/>
      <c r="AZ1269" s="10"/>
      <c r="BA1269" s="10"/>
      <c r="BB1269" s="10"/>
      <c r="BC1269" s="10"/>
      <c r="BD1269" s="10"/>
      <c r="BE1269" s="10"/>
      <c r="BF1269" s="10"/>
      <c r="BG1269" s="10"/>
      <c r="BH1269" s="10"/>
      <c r="BI1269" s="10"/>
      <c r="BJ1269" s="10"/>
      <c r="BK1269" s="10"/>
      <c r="BM1269" s="10"/>
    </row>
    <row r="1270" spans="1:65" ht="12.75">
      <c r="A1270" s="9">
        <v>43721</v>
      </c>
      <c r="B1270" s="10" t="s">
        <v>2631</v>
      </c>
      <c r="C1270" s="11">
        <v>5500</v>
      </c>
      <c r="D1270" s="12"/>
      <c r="E1270" s="10" t="s">
        <v>55</v>
      </c>
      <c r="F1270" s="10" t="s">
        <v>2626</v>
      </c>
      <c r="G1270" s="13" t="s">
        <v>2627</v>
      </c>
      <c r="H1270" s="14"/>
      <c r="I1270" s="14"/>
      <c r="J1270" s="14"/>
      <c r="K1270" s="14"/>
      <c r="L1270" s="14"/>
      <c r="M1270" s="15"/>
      <c r="N1270" s="10"/>
      <c r="O1270" s="14"/>
      <c r="P1270" s="14"/>
      <c r="Q1270" s="14"/>
      <c r="R1270" s="14"/>
      <c r="S1270" s="14"/>
      <c r="T1270" s="14"/>
      <c r="U1270" s="14"/>
      <c r="V1270" s="14">
        <f t="shared" si="1602"/>
        <v>2019</v>
      </c>
      <c r="W1270" s="14">
        <f t="shared" si="1603"/>
        <v>9</v>
      </c>
      <c r="X1270" s="14">
        <f>VLOOKUP(W1270,[1]Lookups!$P$3:$S$15,2,FALSE)</f>
        <v>3</v>
      </c>
      <c r="Y1270" s="16">
        <f>VLOOKUP(W1270,[1]Lookups!$P$3:$U$15,3,FALSE)</f>
        <v>2</v>
      </c>
      <c r="Z1270" s="16">
        <f t="shared" si="1604"/>
        <v>1</v>
      </c>
      <c r="AA1270" s="16" t="str">
        <f t="shared" ca="1" si="1605"/>
        <v>Johnson &amp; Johnson</v>
      </c>
      <c r="AB1270" s="16">
        <f t="shared" si="1605"/>
        <v>0</v>
      </c>
      <c r="AC1270" s="16">
        <f t="shared" si="1605"/>
        <v>0</v>
      </c>
      <c r="AD1270" s="16">
        <f t="shared" si="1605"/>
        <v>0</v>
      </c>
      <c r="AE1270" s="16">
        <f t="shared" si="1605"/>
        <v>0</v>
      </c>
      <c r="AF1270" s="16">
        <f t="shared" si="1605"/>
        <v>0</v>
      </c>
      <c r="AG1270" s="16">
        <f t="shared" si="1605"/>
        <v>0</v>
      </c>
      <c r="AH1270" s="16">
        <f t="shared" si="1605"/>
        <v>0</v>
      </c>
      <c r="AI1270" s="16">
        <f t="shared" si="1605"/>
        <v>0</v>
      </c>
      <c r="AJ1270" s="16">
        <f t="shared" si="1605"/>
        <v>0</v>
      </c>
      <c r="AK1270" s="16">
        <f t="shared" si="1605"/>
        <v>0</v>
      </c>
      <c r="AL1270" s="16">
        <f t="shared" si="1605"/>
        <v>0</v>
      </c>
      <c r="AM1270" s="16">
        <f t="shared" si="1605"/>
        <v>0</v>
      </c>
      <c r="AN1270" s="16">
        <f t="shared" si="1605"/>
        <v>0</v>
      </c>
      <c r="AO1270" s="16">
        <f t="shared" si="1605"/>
        <v>0</v>
      </c>
      <c r="AP1270" s="10"/>
      <c r="AQ1270" s="10"/>
      <c r="AR1270" s="10"/>
      <c r="AS1270" s="10" t="str">
        <f t="shared" ca="1" si="1606"/>
        <v>Johnson &amp; Johnson</v>
      </c>
      <c r="AT1270" s="10"/>
      <c r="AU1270" s="10"/>
      <c r="AV1270" s="10"/>
      <c r="AW1270" s="10"/>
      <c r="AX1270" s="10"/>
      <c r="AY1270" s="10"/>
      <c r="AZ1270" s="10"/>
      <c r="BA1270" s="10"/>
      <c r="BB1270" s="10"/>
      <c r="BC1270" s="10"/>
      <c r="BD1270" s="10"/>
      <c r="BE1270" s="10"/>
      <c r="BF1270" s="10"/>
      <c r="BG1270" s="10"/>
      <c r="BH1270" s="10"/>
      <c r="BI1270" s="10"/>
      <c r="BJ1270" s="10"/>
      <c r="BK1270" s="10"/>
      <c r="BM1270" s="10"/>
    </row>
    <row r="1271" spans="1:65" ht="12.75">
      <c r="A1271" s="9">
        <v>43721</v>
      </c>
      <c r="B1271" s="10" t="s">
        <v>2632</v>
      </c>
      <c r="C1271" s="11">
        <v>11000</v>
      </c>
      <c r="D1271" s="12"/>
      <c r="E1271" s="10" t="s">
        <v>55</v>
      </c>
      <c r="F1271" s="10" t="s">
        <v>2626</v>
      </c>
      <c r="G1271" s="13" t="s">
        <v>2627</v>
      </c>
      <c r="H1271" s="14"/>
      <c r="I1271" s="14"/>
      <c r="J1271" s="14"/>
      <c r="K1271" s="14"/>
      <c r="L1271" s="14"/>
      <c r="M1271" s="15"/>
      <c r="N1271" s="10"/>
      <c r="O1271" s="14"/>
      <c r="P1271" s="14"/>
      <c r="Q1271" s="14"/>
      <c r="R1271" s="14"/>
      <c r="S1271" s="14"/>
      <c r="T1271" s="14"/>
      <c r="U1271" s="14"/>
      <c r="V1271" s="14">
        <f t="shared" si="1602"/>
        <v>2019</v>
      </c>
      <c r="W1271" s="14">
        <f t="shared" si="1603"/>
        <v>9</v>
      </c>
      <c r="X1271" s="14">
        <f>VLOOKUP(W1271,[1]Lookups!$P$3:$S$15,2,FALSE)</f>
        <v>3</v>
      </c>
      <c r="Y1271" s="16">
        <f>VLOOKUP(W1271,[1]Lookups!$P$3:$U$15,3,FALSE)</f>
        <v>2</v>
      </c>
      <c r="Z1271" s="16">
        <f t="shared" si="1604"/>
        <v>1</v>
      </c>
      <c r="AA1271" s="16" t="str">
        <f t="shared" ca="1" si="1605"/>
        <v>Johnson &amp; Johnson</v>
      </c>
      <c r="AB1271" s="16">
        <f t="shared" si="1605"/>
        <v>0</v>
      </c>
      <c r="AC1271" s="16">
        <f t="shared" si="1605"/>
        <v>0</v>
      </c>
      <c r="AD1271" s="16">
        <f t="shared" si="1605"/>
        <v>0</v>
      </c>
      <c r="AE1271" s="16">
        <f t="shared" si="1605"/>
        <v>0</v>
      </c>
      <c r="AF1271" s="16">
        <f t="shared" si="1605"/>
        <v>0</v>
      </c>
      <c r="AG1271" s="16">
        <f t="shared" si="1605"/>
        <v>0</v>
      </c>
      <c r="AH1271" s="16">
        <f t="shared" si="1605"/>
        <v>0</v>
      </c>
      <c r="AI1271" s="16">
        <f t="shared" si="1605"/>
        <v>0</v>
      </c>
      <c r="AJ1271" s="16">
        <f t="shared" si="1605"/>
        <v>0</v>
      </c>
      <c r="AK1271" s="16">
        <f t="shared" si="1605"/>
        <v>0</v>
      </c>
      <c r="AL1271" s="16">
        <f t="shared" si="1605"/>
        <v>0</v>
      </c>
      <c r="AM1271" s="16">
        <f t="shared" si="1605"/>
        <v>0</v>
      </c>
      <c r="AN1271" s="16">
        <f t="shared" si="1605"/>
        <v>0</v>
      </c>
      <c r="AO1271" s="16">
        <f t="shared" si="1605"/>
        <v>0</v>
      </c>
      <c r="AP1271" s="10"/>
      <c r="AQ1271" s="10"/>
      <c r="AR1271" s="10"/>
      <c r="AS1271" s="10" t="str">
        <f t="shared" ca="1" si="1606"/>
        <v>Johnson &amp; Johnson</v>
      </c>
      <c r="AT1271" s="10"/>
      <c r="AU1271" s="10"/>
      <c r="AV1271" s="10"/>
      <c r="AW1271" s="10"/>
      <c r="AX1271" s="10"/>
      <c r="AY1271" s="10"/>
      <c r="AZ1271" s="10"/>
      <c r="BA1271" s="10"/>
      <c r="BB1271" s="10"/>
      <c r="BC1271" s="10"/>
      <c r="BD1271" s="10"/>
      <c r="BE1271" s="10"/>
      <c r="BF1271" s="10"/>
      <c r="BG1271" s="10"/>
      <c r="BH1271" s="10"/>
      <c r="BI1271" s="10"/>
      <c r="BJ1271" s="10"/>
      <c r="BK1271" s="10"/>
      <c r="BM1271" s="10"/>
    </row>
    <row r="1272" spans="1:65" ht="12.75">
      <c r="A1272" s="9">
        <v>43721</v>
      </c>
      <c r="B1272" s="10" t="s">
        <v>2633</v>
      </c>
      <c r="C1272" s="11">
        <v>5500</v>
      </c>
      <c r="D1272" s="12"/>
      <c r="E1272" s="10" t="s">
        <v>55</v>
      </c>
      <c r="F1272" s="10" t="s">
        <v>2626</v>
      </c>
      <c r="G1272" s="13" t="s">
        <v>2627</v>
      </c>
      <c r="H1272" s="14"/>
      <c r="I1272" s="14"/>
      <c r="J1272" s="14"/>
      <c r="K1272" s="14"/>
      <c r="L1272" s="14"/>
      <c r="M1272" s="15"/>
      <c r="N1272" s="10"/>
      <c r="O1272" s="14"/>
      <c r="P1272" s="14"/>
      <c r="Q1272" s="14"/>
      <c r="R1272" s="14"/>
      <c r="S1272" s="14"/>
      <c r="T1272" s="14"/>
      <c r="U1272" s="14"/>
      <c r="V1272" s="14">
        <f t="shared" si="1602"/>
        <v>2019</v>
      </c>
      <c r="W1272" s="14">
        <f t="shared" si="1603"/>
        <v>9</v>
      </c>
      <c r="X1272" s="14">
        <f>VLOOKUP(W1272,[1]Lookups!$P$3:$S$15,2,FALSE)</f>
        <v>3</v>
      </c>
      <c r="Y1272" s="16">
        <f>VLOOKUP(W1272,[1]Lookups!$P$3:$U$15,3,FALSE)</f>
        <v>2</v>
      </c>
      <c r="Z1272" s="16">
        <f t="shared" si="1604"/>
        <v>1</v>
      </c>
      <c r="AA1272" s="16" t="str">
        <f t="shared" ca="1" si="1605"/>
        <v>Johnson &amp; Johnson</v>
      </c>
      <c r="AB1272" s="16">
        <f t="shared" si="1605"/>
        <v>0</v>
      </c>
      <c r="AC1272" s="16">
        <f t="shared" si="1605"/>
        <v>0</v>
      </c>
      <c r="AD1272" s="16">
        <f t="shared" si="1605"/>
        <v>0</v>
      </c>
      <c r="AE1272" s="16">
        <f t="shared" si="1605"/>
        <v>0</v>
      </c>
      <c r="AF1272" s="16">
        <f t="shared" si="1605"/>
        <v>0</v>
      </c>
      <c r="AG1272" s="16">
        <f t="shared" si="1605"/>
        <v>0</v>
      </c>
      <c r="AH1272" s="16">
        <f t="shared" si="1605"/>
        <v>0</v>
      </c>
      <c r="AI1272" s="16">
        <f t="shared" si="1605"/>
        <v>0</v>
      </c>
      <c r="AJ1272" s="16">
        <f t="shared" si="1605"/>
        <v>0</v>
      </c>
      <c r="AK1272" s="16">
        <f t="shared" si="1605"/>
        <v>0</v>
      </c>
      <c r="AL1272" s="16">
        <f t="shared" si="1605"/>
        <v>0</v>
      </c>
      <c r="AM1272" s="16">
        <f t="shared" si="1605"/>
        <v>0</v>
      </c>
      <c r="AN1272" s="16">
        <f t="shared" si="1605"/>
        <v>0</v>
      </c>
      <c r="AO1272" s="16">
        <f t="shared" si="1605"/>
        <v>0</v>
      </c>
      <c r="AP1272" s="10"/>
      <c r="AQ1272" s="10"/>
      <c r="AR1272" s="10"/>
      <c r="AS1272" s="10" t="str">
        <f t="shared" ca="1" si="1606"/>
        <v>Johnson &amp; Johnson</v>
      </c>
      <c r="AT1272" s="10"/>
      <c r="AU1272" s="10"/>
      <c r="AV1272" s="10"/>
      <c r="AW1272" s="10"/>
      <c r="AX1272" s="10"/>
      <c r="AY1272" s="10"/>
      <c r="AZ1272" s="10"/>
      <c r="BA1272" s="10"/>
      <c r="BB1272" s="10"/>
      <c r="BC1272" s="10"/>
      <c r="BD1272" s="10"/>
      <c r="BE1272" s="10"/>
      <c r="BF1272" s="10"/>
      <c r="BG1272" s="10"/>
      <c r="BH1272" s="10"/>
      <c r="BI1272" s="10"/>
      <c r="BJ1272" s="10"/>
      <c r="BK1272" s="10"/>
      <c r="BM1272" s="10"/>
    </row>
    <row r="1273" spans="1:65" ht="12.75">
      <c r="A1273" s="9">
        <v>43724</v>
      </c>
      <c r="B1273" s="10" t="s">
        <v>109</v>
      </c>
      <c r="C1273" s="11">
        <v>100000</v>
      </c>
      <c r="D1273" s="12"/>
      <c r="E1273" s="10" t="s">
        <v>45</v>
      </c>
      <c r="F1273" s="10" t="s">
        <v>2634</v>
      </c>
      <c r="G1273" s="13" t="s">
        <v>2635</v>
      </c>
      <c r="H1273" s="14"/>
      <c r="I1273" s="14"/>
      <c r="J1273" s="14"/>
      <c r="K1273" s="14"/>
      <c r="L1273" s="14"/>
      <c r="M1273" s="15"/>
      <c r="N1273" s="10"/>
      <c r="O1273" s="14"/>
      <c r="P1273" s="14"/>
      <c r="Q1273" s="14"/>
      <c r="R1273" s="14"/>
      <c r="S1273" s="14"/>
      <c r="T1273" s="14"/>
      <c r="U1273" s="14"/>
      <c r="V1273" s="14">
        <f t="shared" si="1602"/>
        <v>2019</v>
      </c>
      <c r="W1273" s="14">
        <f t="shared" si="1603"/>
        <v>9</v>
      </c>
      <c r="X1273" s="14">
        <f>VLOOKUP(W1273,[1]Lookups!$P$3:$S$15,2,FALSE)</f>
        <v>3</v>
      </c>
      <c r="Y1273" s="16">
        <f>VLOOKUP(W1273,[1]Lookups!$P$3:$U$15,3,FALSE)</f>
        <v>2</v>
      </c>
      <c r="Z1273" s="16">
        <f t="shared" si="1604"/>
        <v>2</v>
      </c>
      <c r="AA1273" s="16" t="str">
        <f t="shared" ref="AA1273:AO1288" ca="1" si="1607">AS1273</f>
        <v>Johnson &amp; Johnson</v>
      </c>
      <c r="AB1273" s="16" t="str">
        <f t="shared" ca="1" si="1607"/>
        <v xml:space="preserve"> Vision Ventures</v>
      </c>
      <c r="AC1273" s="16">
        <f t="shared" si="1607"/>
        <v>0</v>
      </c>
      <c r="AD1273" s="16">
        <f t="shared" si="1607"/>
        <v>0</v>
      </c>
      <c r="AE1273" s="16">
        <f t="shared" si="1607"/>
        <v>0</v>
      </c>
      <c r="AF1273" s="16">
        <f t="shared" si="1607"/>
        <v>0</v>
      </c>
      <c r="AG1273" s="16">
        <f t="shared" si="1607"/>
        <v>0</v>
      </c>
      <c r="AH1273" s="16">
        <f t="shared" si="1607"/>
        <v>0</v>
      </c>
      <c r="AI1273" s="16">
        <f t="shared" si="1607"/>
        <v>0</v>
      </c>
      <c r="AJ1273" s="16">
        <f t="shared" si="1607"/>
        <v>0</v>
      </c>
      <c r="AK1273" s="16">
        <f t="shared" si="1607"/>
        <v>0</v>
      </c>
      <c r="AL1273" s="16">
        <f t="shared" si="1607"/>
        <v>0</v>
      </c>
      <c r="AM1273" s="16">
        <f t="shared" si="1607"/>
        <v>0</v>
      </c>
      <c r="AN1273" s="16">
        <f t="shared" si="1607"/>
        <v>0</v>
      </c>
      <c r="AO1273" s="16">
        <f t="shared" si="1607"/>
        <v>0</v>
      </c>
      <c r="AP1273" s="10"/>
      <c r="AQ1273" s="10"/>
      <c r="AR1273" s="10"/>
      <c r="AS1273" s="10" t="str">
        <f t="shared" ca="1" si="1606"/>
        <v>Johnson &amp; Johnson</v>
      </c>
      <c r="AT1273" s="10" t="str">
        <f ca="1">IFERROR(__xludf.DUMMYFUNCTION("""COMPUTED_VALUE""")," Vision Ventures")</f>
        <v xml:space="preserve"> Vision Ventures</v>
      </c>
      <c r="AU1273" s="10"/>
      <c r="AV1273" s="10"/>
      <c r="AW1273" s="10"/>
      <c r="AX1273" s="10"/>
      <c r="AY1273" s="10"/>
      <c r="AZ1273" s="10"/>
      <c r="BA1273" s="10"/>
      <c r="BB1273" s="10"/>
      <c r="BC1273" s="10"/>
      <c r="BD1273" s="10"/>
      <c r="BE1273" s="10"/>
      <c r="BF1273" s="10"/>
      <c r="BG1273" s="10"/>
      <c r="BH1273" s="10"/>
      <c r="BI1273" s="10"/>
      <c r="BJ1273" s="10"/>
      <c r="BK1273" s="10"/>
      <c r="BM1273" s="10"/>
    </row>
    <row r="1274" spans="1:65" ht="12.75">
      <c r="A1274" s="9">
        <v>43724</v>
      </c>
      <c r="B1274" s="10" t="s">
        <v>468</v>
      </c>
      <c r="C1274" s="11">
        <v>100000</v>
      </c>
      <c r="D1274" s="12"/>
      <c r="E1274" s="10" t="s">
        <v>45</v>
      </c>
      <c r="F1274" s="10" t="s">
        <v>2634</v>
      </c>
      <c r="G1274" s="13" t="s">
        <v>2635</v>
      </c>
      <c r="H1274" s="14"/>
      <c r="I1274" s="14"/>
      <c r="J1274" s="14"/>
      <c r="K1274" s="14"/>
      <c r="L1274" s="14"/>
      <c r="M1274" s="15"/>
      <c r="N1274" s="10"/>
      <c r="O1274" s="14"/>
      <c r="P1274" s="14"/>
      <c r="Q1274" s="14"/>
      <c r="R1274" s="14"/>
      <c r="S1274" s="14"/>
      <c r="T1274" s="14"/>
      <c r="U1274" s="14"/>
      <c r="V1274" s="14">
        <f t="shared" si="1602"/>
        <v>2019</v>
      </c>
      <c r="W1274" s="14">
        <f t="shared" si="1603"/>
        <v>9</v>
      </c>
      <c r="X1274" s="14">
        <f>VLOOKUP(W1274,[1]Lookups!$P$3:$S$15,2,FALSE)</f>
        <v>3</v>
      </c>
      <c r="Y1274" s="16">
        <f>VLOOKUP(W1274,[1]Lookups!$P$3:$U$15,3,FALSE)</f>
        <v>2</v>
      </c>
      <c r="Z1274" s="16">
        <f t="shared" si="1604"/>
        <v>2</v>
      </c>
      <c r="AA1274" s="16" t="str">
        <f t="shared" ca="1" si="1607"/>
        <v>Johnson &amp; Johnson</v>
      </c>
      <c r="AB1274" s="16" t="str">
        <f t="shared" ca="1" si="1607"/>
        <v xml:space="preserve"> Vision Ventures</v>
      </c>
      <c r="AC1274" s="16">
        <f t="shared" si="1607"/>
        <v>0</v>
      </c>
      <c r="AD1274" s="16">
        <f t="shared" si="1607"/>
        <v>0</v>
      </c>
      <c r="AE1274" s="16">
        <f t="shared" si="1607"/>
        <v>0</v>
      </c>
      <c r="AF1274" s="16">
        <f t="shared" si="1607"/>
        <v>0</v>
      </c>
      <c r="AG1274" s="16">
        <f t="shared" si="1607"/>
        <v>0</v>
      </c>
      <c r="AH1274" s="16">
        <f t="shared" si="1607"/>
        <v>0</v>
      </c>
      <c r="AI1274" s="16">
        <f t="shared" si="1607"/>
        <v>0</v>
      </c>
      <c r="AJ1274" s="16">
        <f t="shared" si="1607"/>
        <v>0</v>
      </c>
      <c r="AK1274" s="16">
        <f t="shared" si="1607"/>
        <v>0</v>
      </c>
      <c r="AL1274" s="16">
        <f t="shared" si="1607"/>
        <v>0</v>
      </c>
      <c r="AM1274" s="16">
        <f t="shared" si="1607"/>
        <v>0</v>
      </c>
      <c r="AN1274" s="16">
        <f t="shared" si="1607"/>
        <v>0</v>
      </c>
      <c r="AO1274" s="16">
        <f t="shared" si="1607"/>
        <v>0</v>
      </c>
      <c r="AP1274" s="10"/>
      <c r="AQ1274" s="10"/>
      <c r="AR1274" s="10"/>
      <c r="AS1274" s="10" t="str">
        <f t="shared" ca="1" si="1606"/>
        <v>Johnson &amp; Johnson</v>
      </c>
      <c r="AT1274" s="10" t="str">
        <f ca="1">IFERROR(__xludf.DUMMYFUNCTION("""COMPUTED_VALUE""")," Vision Ventures")</f>
        <v xml:space="preserve"> Vision Ventures</v>
      </c>
      <c r="AU1274" s="10"/>
      <c r="AV1274" s="10"/>
      <c r="AW1274" s="10"/>
      <c r="AX1274" s="10"/>
      <c r="AY1274" s="10"/>
      <c r="AZ1274" s="10"/>
      <c r="BA1274" s="10"/>
      <c r="BB1274" s="10"/>
      <c r="BC1274" s="10"/>
      <c r="BD1274" s="10"/>
      <c r="BE1274" s="10"/>
      <c r="BF1274" s="10"/>
      <c r="BG1274" s="10"/>
      <c r="BH1274" s="10"/>
      <c r="BI1274" s="10"/>
      <c r="BJ1274" s="10"/>
      <c r="BK1274" s="10"/>
      <c r="BM1274" s="10"/>
    </row>
    <row r="1275" spans="1:65" ht="12.75">
      <c r="A1275" s="9">
        <v>43730</v>
      </c>
      <c r="B1275" s="10" t="s">
        <v>2636</v>
      </c>
      <c r="C1275" s="11">
        <v>100000</v>
      </c>
      <c r="D1275" s="12"/>
      <c r="E1275" s="10" t="s">
        <v>45</v>
      </c>
      <c r="F1275" s="10" t="s">
        <v>2459</v>
      </c>
      <c r="G1275" s="13" t="s">
        <v>2637</v>
      </c>
      <c r="H1275" s="14"/>
      <c r="I1275" s="14"/>
      <c r="J1275" s="14"/>
      <c r="K1275" s="14"/>
      <c r="L1275" s="14"/>
      <c r="M1275" s="15"/>
      <c r="N1275" s="10"/>
      <c r="O1275" s="14"/>
      <c r="P1275" s="14"/>
      <c r="Q1275" s="14"/>
      <c r="R1275" s="14"/>
      <c r="S1275" s="14"/>
      <c r="T1275" s="14"/>
      <c r="U1275" s="14"/>
      <c r="V1275" s="14">
        <f t="shared" si="1602"/>
        <v>2019</v>
      </c>
      <c r="W1275" s="14">
        <f t="shared" si="1603"/>
        <v>9</v>
      </c>
      <c r="X1275" s="14">
        <f>VLOOKUP(W1275,[1]Lookups!$P$3:$S$15,2,FALSE)</f>
        <v>3</v>
      </c>
      <c r="Y1275" s="16">
        <f>VLOOKUP(W1275,[1]Lookups!$P$3:$U$15,3,FALSE)</f>
        <v>2</v>
      </c>
      <c r="Z1275" s="16">
        <f t="shared" si="1604"/>
        <v>1</v>
      </c>
      <c r="AA1275" s="16" t="str">
        <f t="shared" ca="1" si="1607"/>
        <v>Johnson &amp; Johnson</v>
      </c>
      <c r="AB1275" s="16">
        <f t="shared" si="1607"/>
        <v>0</v>
      </c>
      <c r="AC1275" s="16">
        <f t="shared" si="1607"/>
        <v>0</v>
      </c>
      <c r="AD1275" s="16">
        <f t="shared" si="1607"/>
        <v>0</v>
      </c>
      <c r="AE1275" s="16">
        <f t="shared" si="1607"/>
        <v>0</v>
      </c>
      <c r="AF1275" s="16">
        <f t="shared" si="1607"/>
        <v>0</v>
      </c>
      <c r="AG1275" s="16">
        <f t="shared" si="1607"/>
        <v>0</v>
      </c>
      <c r="AH1275" s="16">
        <f t="shared" si="1607"/>
        <v>0</v>
      </c>
      <c r="AI1275" s="16">
        <f t="shared" si="1607"/>
        <v>0</v>
      </c>
      <c r="AJ1275" s="16">
        <f t="shared" si="1607"/>
        <v>0</v>
      </c>
      <c r="AK1275" s="16">
        <f t="shared" si="1607"/>
        <v>0</v>
      </c>
      <c r="AL1275" s="16">
        <f t="shared" si="1607"/>
        <v>0</v>
      </c>
      <c r="AM1275" s="16">
        <f t="shared" si="1607"/>
        <v>0</v>
      </c>
      <c r="AN1275" s="16">
        <f t="shared" si="1607"/>
        <v>0</v>
      </c>
      <c r="AO1275" s="16">
        <f t="shared" si="1607"/>
        <v>0</v>
      </c>
      <c r="AP1275" s="10"/>
      <c r="AQ1275" s="10"/>
      <c r="AR1275" s="10"/>
      <c r="AS1275" s="10" t="str">
        <f t="shared" ca="1" si="1606"/>
        <v>Johnson &amp; Johnson</v>
      </c>
      <c r="AT1275" s="10"/>
      <c r="AU1275" s="10"/>
      <c r="AV1275" s="10"/>
      <c r="AW1275" s="10"/>
      <c r="AX1275" s="10"/>
      <c r="AY1275" s="10"/>
      <c r="AZ1275" s="10"/>
      <c r="BA1275" s="10"/>
      <c r="BB1275" s="10"/>
      <c r="BC1275" s="10"/>
      <c r="BD1275" s="10"/>
      <c r="BE1275" s="10"/>
      <c r="BF1275" s="10"/>
      <c r="BG1275" s="10"/>
      <c r="BH1275" s="10"/>
      <c r="BI1275" s="10"/>
      <c r="BJ1275" s="10"/>
      <c r="BK1275" s="10"/>
      <c r="BM1275" s="10"/>
    </row>
    <row r="1276" spans="1:65" ht="12.75">
      <c r="A1276" s="9">
        <v>43692</v>
      </c>
      <c r="B1276" s="10" t="s">
        <v>2638</v>
      </c>
      <c r="C1276" s="11" t="s">
        <v>49</v>
      </c>
      <c r="D1276" s="12"/>
      <c r="E1276" s="10" t="s">
        <v>2572</v>
      </c>
      <c r="F1276" s="10" t="s">
        <v>2639</v>
      </c>
      <c r="G1276" s="13" t="s">
        <v>2640</v>
      </c>
      <c r="H1276" s="14"/>
      <c r="I1276" s="14"/>
      <c r="J1276" s="14"/>
      <c r="K1276" s="14"/>
      <c r="L1276" s="14"/>
      <c r="M1276" s="15"/>
      <c r="N1276" s="10"/>
      <c r="O1276" s="14"/>
      <c r="P1276" s="14"/>
      <c r="Q1276" s="14"/>
      <c r="R1276" s="14"/>
      <c r="S1276" s="14"/>
      <c r="T1276" s="14"/>
      <c r="U1276" s="14"/>
      <c r="V1276" s="14">
        <f t="shared" si="1602"/>
        <v>2019</v>
      </c>
      <c r="W1276" s="14">
        <f t="shared" si="1603"/>
        <v>8</v>
      </c>
      <c r="X1276" s="14">
        <f>VLOOKUP(W1276,[1]Lookups!$P$3:$S$15,2,FALSE)</f>
        <v>3</v>
      </c>
      <c r="Y1276" s="16">
        <f>VLOOKUP(W1276,[1]Lookups!$P$3:$U$15,3,FALSE)</f>
        <v>2</v>
      </c>
      <c r="Z1276" s="16">
        <f t="shared" si="1604"/>
        <v>4</v>
      </c>
      <c r="AA1276" s="16" t="str">
        <f t="shared" ca="1" si="1607"/>
        <v>Johnson &amp; Johnson</v>
      </c>
      <c r="AB1276" s="16" t="str">
        <f t="shared" ca="1" si="1607"/>
        <v xml:space="preserve"> Frederik Gerner</v>
      </c>
      <c r="AC1276" s="16" t="str">
        <f t="shared" ca="1" si="1607"/>
        <v xml:space="preserve"> Mark Forrester</v>
      </c>
      <c r="AD1276" s="16" t="str">
        <f t="shared" ca="1" si="1607"/>
        <v xml:space="preserve"> Neil Watson</v>
      </c>
      <c r="AE1276" s="16">
        <f t="shared" si="1607"/>
        <v>0</v>
      </c>
      <c r="AF1276" s="16">
        <f t="shared" si="1607"/>
        <v>0</v>
      </c>
      <c r="AG1276" s="16">
        <f t="shared" si="1607"/>
        <v>0</v>
      </c>
      <c r="AH1276" s="16">
        <f t="shared" si="1607"/>
        <v>0</v>
      </c>
      <c r="AI1276" s="16">
        <f t="shared" si="1607"/>
        <v>0</v>
      </c>
      <c r="AJ1276" s="16">
        <f t="shared" si="1607"/>
        <v>0</v>
      </c>
      <c r="AK1276" s="16">
        <f t="shared" si="1607"/>
        <v>0</v>
      </c>
      <c r="AL1276" s="16">
        <f t="shared" si="1607"/>
        <v>0</v>
      </c>
      <c r="AM1276" s="16">
        <f t="shared" si="1607"/>
        <v>0</v>
      </c>
      <c r="AN1276" s="16">
        <f t="shared" si="1607"/>
        <v>0</v>
      </c>
      <c r="AO1276" s="16">
        <f t="shared" si="1607"/>
        <v>0</v>
      </c>
      <c r="AP1276" s="10"/>
      <c r="AQ1276" s="10"/>
      <c r="AR1276" s="10"/>
      <c r="AS1276" s="10" t="str">
        <f t="shared" ca="1" si="1606"/>
        <v>Johnson &amp; Johnson</v>
      </c>
      <c r="AT1276" s="10" t="str">
        <f ca="1">IFERROR(__xludf.DUMMYFUNCTION("""COMPUTED_VALUE""")," Frederik Gerner")</f>
        <v xml:space="preserve"> Frederik Gerner</v>
      </c>
      <c r="AU1276" s="10" t="str">
        <f ca="1">IFERROR(__xludf.DUMMYFUNCTION("""COMPUTED_VALUE""")," Mark Forrester")</f>
        <v xml:space="preserve"> Mark Forrester</v>
      </c>
      <c r="AV1276" s="10" t="str">
        <f ca="1">IFERROR(__xludf.DUMMYFUNCTION("""COMPUTED_VALUE""")," Neil Watson")</f>
        <v xml:space="preserve"> Neil Watson</v>
      </c>
      <c r="AW1276" s="10"/>
      <c r="AX1276" s="10"/>
      <c r="AY1276" s="10"/>
      <c r="AZ1276" s="10"/>
      <c r="BA1276" s="10"/>
      <c r="BB1276" s="10"/>
      <c r="BC1276" s="10"/>
      <c r="BD1276" s="10"/>
      <c r="BE1276" s="10"/>
      <c r="BF1276" s="10"/>
      <c r="BG1276" s="10"/>
      <c r="BH1276" s="10"/>
      <c r="BI1276" s="10"/>
      <c r="BJ1276" s="10"/>
      <c r="BK1276" s="10"/>
      <c r="BM1276" s="10"/>
    </row>
    <row r="1277" spans="1:65" ht="12.75">
      <c r="A1277" s="9">
        <v>43731</v>
      </c>
      <c r="B1277" s="10" t="s">
        <v>2641</v>
      </c>
      <c r="C1277" s="11">
        <v>300000</v>
      </c>
      <c r="D1277" s="12"/>
      <c r="E1277" s="10" t="s">
        <v>45</v>
      </c>
      <c r="F1277" s="10" t="s">
        <v>2642</v>
      </c>
      <c r="G1277" s="13" t="s">
        <v>2643</v>
      </c>
      <c r="H1277" s="14"/>
      <c r="I1277" s="14"/>
      <c r="J1277" s="14"/>
      <c r="K1277" s="14"/>
      <c r="L1277" s="14"/>
      <c r="M1277" s="15"/>
      <c r="N1277" s="10"/>
      <c r="O1277" s="14"/>
      <c r="P1277" s="14"/>
      <c r="Q1277" s="14"/>
      <c r="R1277" s="14"/>
      <c r="S1277" s="14"/>
      <c r="T1277" s="14"/>
      <c r="U1277" s="14"/>
      <c r="V1277" s="14">
        <f t="shared" si="1602"/>
        <v>2019</v>
      </c>
      <c r="W1277" s="14">
        <f t="shared" si="1603"/>
        <v>9</v>
      </c>
      <c r="X1277" s="14">
        <f>VLOOKUP(W1277,[1]Lookups!$P$3:$S$15,2,FALSE)</f>
        <v>3</v>
      </c>
      <c r="Y1277" s="16">
        <f>VLOOKUP(W1277,[1]Lookups!$P$3:$U$15,3,FALSE)</f>
        <v>2</v>
      </c>
      <c r="Z1277" s="16">
        <f t="shared" si="1604"/>
        <v>5</v>
      </c>
      <c r="AA1277" s="16" t="str">
        <f t="shared" ca="1" si="1607"/>
        <v>Johnson &amp; Johnson</v>
      </c>
      <c r="AB1277" s="16" t="str">
        <f t="shared" ca="1" si="1607"/>
        <v xml:space="preserve"> Flat6Labs</v>
      </c>
      <c r="AC1277" s="16" t="str">
        <f t="shared" ca="1" si="1607"/>
        <v xml:space="preserve"> Saudi Venture Capital Company</v>
      </c>
      <c r="AD1277" s="16" t="str">
        <f t="shared" ca="1" si="1607"/>
        <v xml:space="preserve"> Vision Ventures</v>
      </c>
      <c r="AE1277" s="16" t="str">
        <f t="shared" ca="1" si="1607"/>
        <v xml:space="preserve"> Daal</v>
      </c>
      <c r="AF1277" s="16">
        <f t="shared" si="1607"/>
        <v>0</v>
      </c>
      <c r="AG1277" s="16">
        <f t="shared" si="1607"/>
        <v>0</v>
      </c>
      <c r="AH1277" s="16">
        <f t="shared" si="1607"/>
        <v>0</v>
      </c>
      <c r="AI1277" s="16">
        <f t="shared" si="1607"/>
        <v>0</v>
      </c>
      <c r="AJ1277" s="16">
        <f t="shared" si="1607"/>
        <v>0</v>
      </c>
      <c r="AK1277" s="16">
        <f t="shared" si="1607"/>
        <v>0</v>
      </c>
      <c r="AL1277" s="16">
        <f t="shared" si="1607"/>
        <v>0</v>
      </c>
      <c r="AM1277" s="16">
        <f t="shared" si="1607"/>
        <v>0</v>
      </c>
      <c r="AN1277" s="16">
        <f t="shared" si="1607"/>
        <v>0</v>
      </c>
      <c r="AO1277" s="16">
        <f t="shared" si="1607"/>
        <v>0</v>
      </c>
      <c r="AP1277" s="10"/>
      <c r="AQ1277" s="10"/>
      <c r="AR1277" s="10"/>
      <c r="AS1277" s="10" t="str">
        <f t="shared" ca="1" si="1606"/>
        <v>Johnson &amp; Johnson</v>
      </c>
      <c r="AT1277" s="10" t="str">
        <f ca="1">IFERROR(__xludf.DUMMYFUNCTION("""COMPUTED_VALUE""")," Flat6Labs")</f>
        <v xml:space="preserve"> Flat6Labs</v>
      </c>
      <c r="AU1277" s="10" t="str">
        <f ca="1">IFERROR(__xludf.DUMMYFUNCTION("""COMPUTED_VALUE""")," Saudi Venture Capital Company")</f>
        <v xml:space="preserve"> Saudi Venture Capital Company</v>
      </c>
      <c r="AV1277" s="10" t="str">
        <f ca="1">IFERROR(__xludf.DUMMYFUNCTION("""COMPUTED_VALUE""")," Vision Ventures")</f>
        <v xml:space="preserve"> Vision Ventures</v>
      </c>
      <c r="AW1277" s="10" t="str">
        <f ca="1">IFERROR(__xludf.DUMMYFUNCTION("""COMPUTED_VALUE""")," Daal")</f>
        <v xml:space="preserve"> Daal</v>
      </c>
      <c r="AX1277" s="10"/>
      <c r="AY1277" s="10"/>
      <c r="AZ1277" s="10"/>
      <c r="BA1277" s="10"/>
      <c r="BB1277" s="10"/>
      <c r="BC1277" s="10"/>
      <c r="BD1277" s="10"/>
      <c r="BE1277" s="10"/>
      <c r="BF1277" s="10"/>
      <c r="BG1277" s="10"/>
      <c r="BH1277" s="10"/>
      <c r="BI1277" s="10"/>
      <c r="BJ1277" s="10"/>
      <c r="BK1277" s="10"/>
      <c r="BM1277" s="10"/>
    </row>
    <row r="1278" spans="1:65" ht="12.75">
      <c r="A1278" s="9">
        <v>43726</v>
      </c>
      <c r="B1278" s="14" t="s">
        <v>2644</v>
      </c>
      <c r="C1278" s="11">
        <v>50000</v>
      </c>
      <c r="D1278" s="12"/>
      <c r="E1278" s="10" t="s">
        <v>55</v>
      </c>
      <c r="F1278" s="10" t="s">
        <v>2645</v>
      </c>
      <c r="G1278" s="13" t="s">
        <v>2646</v>
      </c>
      <c r="H1278" s="14"/>
      <c r="I1278" s="14"/>
      <c r="J1278" s="14"/>
      <c r="K1278" s="14"/>
      <c r="L1278" s="14"/>
      <c r="M1278" s="15"/>
      <c r="N1278" s="10"/>
      <c r="O1278" s="14"/>
      <c r="P1278" s="14"/>
      <c r="Q1278" s="14"/>
      <c r="R1278" s="14"/>
      <c r="S1278" s="14"/>
      <c r="T1278" s="14"/>
      <c r="U1278" s="14"/>
      <c r="V1278" s="14">
        <f t="shared" si="1602"/>
        <v>2019</v>
      </c>
      <c r="W1278" s="14">
        <f t="shared" si="1603"/>
        <v>9</v>
      </c>
      <c r="X1278" s="14">
        <f>VLOOKUP(W1278,[1]Lookups!$P$3:$S$15,2,FALSE)</f>
        <v>3</v>
      </c>
      <c r="Y1278" s="16">
        <f>VLOOKUP(W1278,[1]Lookups!$P$3:$U$15,3,FALSE)</f>
        <v>2</v>
      </c>
      <c r="Z1278" s="16">
        <f t="shared" si="1604"/>
        <v>1</v>
      </c>
      <c r="AA1278" s="16" t="str">
        <f t="shared" ca="1" si="1607"/>
        <v>Johnson &amp; Johnson</v>
      </c>
      <c r="AB1278" s="16">
        <f t="shared" si="1607"/>
        <v>0</v>
      </c>
      <c r="AC1278" s="16">
        <f t="shared" si="1607"/>
        <v>0</v>
      </c>
      <c r="AD1278" s="16">
        <f t="shared" si="1607"/>
        <v>0</v>
      </c>
      <c r="AE1278" s="16">
        <f t="shared" si="1607"/>
        <v>0</v>
      </c>
      <c r="AF1278" s="16">
        <f t="shared" si="1607"/>
        <v>0</v>
      </c>
      <c r="AG1278" s="16">
        <f t="shared" si="1607"/>
        <v>0</v>
      </c>
      <c r="AH1278" s="16">
        <f t="shared" si="1607"/>
        <v>0</v>
      </c>
      <c r="AI1278" s="16">
        <f t="shared" si="1607"/>
        <v>0</v>
      </c>
      <c r="AJ1278" s="16">
        <f t="shared" si="1607"/>
        <v>0</v>
      </c>
      <c r="AK1278" s="16">
        <f t="shared" si="1607"/>
        <v>0</v>
      </c>
      <c r="AL1278" s="16">
        <f t="shared" si="1607"/>
        <v>0</v>
      </c>
      <c r="AM1278" s="16">
        <f t="shared" si="1607"/>
        <v>0</v>
      </c>
      <c r="AN1278" s="16">
        <f t="shared" si="1607"/>
        <v>0</v>
      </c>
      <c r="AO1278" s="16">
        <f t="shared" si="1607"/>
        <v>0</v>
      </c>
      <c r="AP1278" s="10"/>
      <c r="AQ1278" s="10"/>
      <c r="AR1278" s="10"/>
      <c r="AS1278" s="10" t="str">
        <f t="shared" ca="1" si="1606"/>
        <v>Johnson &amp; Johnson</v>
      </c>
      <c r="AT1278" s="10"/>
      <c r="AU1278" s="10"/>
      <c r="AV1278" s="10"/>
      <c r="AW1278" s="10"/>
      <c r="AX1278" s="10"/>
      <c r="AY1278" s="10"/>
      <c r="AZ1278" s="10"/>
      <c r="BA1278" s="10"/>
      <c r="BB1278" s="10"/>
      <c r="BC1278" s="10"/>
      <c r="BD1278" s="10"/>
      <c r="BE1278" s="10"/>
      <c r="BF1278" s="10"/>
      <c r="BG1278" s="10"/>
      <c r="BH1278" s="10"/>
      <c r="BI1278" s="10"/>
      <c r="BJ1278" s="10"/>
      <c r="BK1278" s="10"/>
      <c r="BM1278" s="10"/>
    </row>
    <row r="1279" spans="1:65" ht="12.75">
      <c r="A1279" s="9">
        <v>43726</v>
      </c>
      <c r="B1279" s="10" t="s">
        <v>2647</v>
      </c>
      <c r="C1279" s="11">
        <v>50000</v>
      </c>
      <c r="D1279" s="12"/>
      <c r="E1279" s="10" t="s">
        <v>55</v>
      </c>
      <c r="F1279" s="10" t="s">
        <v>2645</v>
      </c>
      <c r="G1279" s="13" t="s">
        <v>2646</v>
      </c>
      <c r="H1279" s="14"/>
      <c r="I1279" s="14"/>
      <c r="J1279" s="14"/>
      <c r="K1279" s="14"/>
      <c r="L1279" s="14"/>
      <c r="M1279" s="15"/>
      <c r="N1279" s="10"/>
      <c r="O1279" s="14"/>
      <c r="P1279" s="14"/>
      <c r="Q1279" s="14"/>
      <c r="R1279" s="14"/>
      <c r="S1279" s="14"/>
      <c r="T1279" s="14"/>
      <c r="U1279" s="14"/>
      <c r="V1279" s="14">
        <f t="shared" si="1602"/>
        <v>2019</v>
      </c>
      <c r="W1279" s="14">
        <f t="shared" si="1603"/>
        <v>9</v>
      </c>
      <c r="X1279" s="14">
        <f>VLOOKUP(W1279,[1]Lookups!$P$3:$S$15,2,FALSE)</f>
        <v>3</v>
      </c>
      <c r="Y1279" s="16">
        <f>VLOOKUP(W1279,[1]Lookups!$P$3:$U$15,3,FALSE)</f>
        <v>2</v>
      </c>
      <c r="Z1279" s="16">
        <f t="shared" si="1604"/>
        <v>1</v>
      </c>
      <c r="AA1279" s="16" t="str">
        <f t="shared" ca="1" si="1607"/>
        <v>Johnson &amp; Johnson</v>
      </c>
      <c r="AB1279" s="16">
        <f t="shared" si="1607"/>
        <v>0</v>
      </c>
      <c r="AC1279" s="16">
        <f t="shared" si="1607"/>
        <v>0</v>
      </c>
      <c r="AD1279" s="16">
        <f t="shared" si="1607"/>
        <v>0</v>
      </c>
      <c r="AE1279" s="16">
        <f t="shared" si="1607"/>
        <v>0</v>
      </c>
      <c r="AF1279" s="16">
        <f t="shared" si="1607"/>
        <v>0</v>
      </c>
      <c r="AG1279" s="16">
        <f t="shared" si="1607"/>
        <v>0</v>
      </c>
      <c r="AH1279" s="16">
        <f t="shared" si="1607"/>
        <v>0</v>
      </c>
      <c r="AI1279" s="16">
        <f t="shared" si="1607"/>
        <v>0</v>
      </c>
      <c r="AJ1279" s="16">
        <f t="shared" si="1607"/>
        <v>0</v>
      </c>
      <c r="AK1279" s="16">
        <f t="shared" si="1607"/>
        <v>0</v>
      </c>
      <c r="AL1279" s="16">
        <f t="shared" si="1607"/>
        <v>0</v>
      </c>
      <c r="AM1279" s="16">
        <f t="shared" si="1607"/>
        <v>0</v>
      </c>
      <c r="AN1279" s="16">
        <f t="shared" si="1607"/>
        <v>0</v>
      </c>
      <c r="AO1279" s="16">
        <f t="shared" si="1607"/>
        <v>0</v>
      </c>
      <c r="AP1279" s="10"/>
      <c r="AQ1279" s="10"/>
      <c r="AR1279" s="10"/>
      <c r="AS1279" s="10" t="str">
        <f t="shared" ca="1" si="1606"/>
        <v>Johnson &amp; Johnson</v>
      </c>
      <c r="AT1279" s="10"/>
      <c r="AU1279" s="10"/>
      <c r="AV1279" s="10"/>
      <c r="AW1279" s="10"/>
      <c r="AX1279" s="10"/>
      <c r="AY1279" s="10"/>
      <c r="AZ1279" s="10"/>
      <c r="BA1279" s="10"/>
      <c r="BB1279" s="10"/>
      <c r="BC1279" s="10"/>
      <c r="BD1279" s="10"/>
      <c r="BE1279" s="10"/>
      <c r="BF1279" s="10"/>
      <c r="BG1279" s="10"/>
      <c r="BH1279" s="10"/>
      <c r="BI1279" s="10"/>
      <c r="BJ1279" s="10"/>
      <c r="BK1279" s="10"/>
      <c r="BM1279" s="10"/>
    </row>
    <row r="1280" spans="1:65" ht="12.75">
      <c r="A1280" s="9"/>
      <c r="B1280" s="10"/>
      <c r="C1280" s="11"/>
      <c r="D1280" s="12"/>
      <c r="E1280" s="10"/>
      <c r="F1280" s="10"/>
      <c r="G1280" s="10"/>
      <c r="H1280" s="14"/>
      <c r="I1280" s="14"/>
      <c r="J1280" s="14"/>
      <c r="K1280" s="14"/>
      <c r="L1280" s="14"/>
      <c r="M1280" s="15"/>
      <c r="N1280" s="10"/>
      <c r="O1280" s="14"/>
      <c r="P1280" s="14"/>
      <c r="Q1280" s="14"/>
      <c r="R1280" s="14"/>
      <c r="S1280" s="14"/>
      <c r="T1280" s="14"/>
      <c r="U1280" s="14"/>
      <c r="V1280" s="14">
        <f t="shared" si="1602"/>
        <v>1900</v>
      </c>
      <c r="W1280" s="14">
        <f t="shared" si="1603"/>
        <v>1</v>
      </c>
      <c r="X1280" s="14">
        <f>VLOOKUP(W1280,[1]Lookups!$P$3:$S$15,2,FALSE)</f>
        <v>1</v>
      </c>
      <c r="Y1280" s="16">
        <f>VLOOKUP(W1280,[1]Lookups!$P$3:$U$15,3,FALSE)</f>
        <v>1</v>
      </c>
      <c r="Z1280" s="16">
        <f t="shared" si="1604"/>
        <v>1</v>
      </c>
      <c r="AA1280" s="16" t="str">
        <f t="shared" ca="1" si="1607"/>
        <v>Johnson &amp; Johnson</v>
      </c>
      <c r="AB1280" s="16">
        <f t="shared" si="1607"/>
        <v>0</v>
      </c>
      <c r="AC1280" s="16">
        <f t="shared" si="1607"/>
        <v>0</v>
      </c>
      <c r="AD1280" s="16">
        <f t="shared" si="1607"/>
        <v>0</v>
      </c>
      <c r="AE1280" s="16">
        <f t="shared" si="1607"/>
        <v>0</v>
      </c>
      <c r="AF1280" s="16">
        <f t="shared" si="1607"/>
        <v>0</v>
      </c>
      <c r="AG1280" s="16">
        <f t="shared" si="1607"/>
        <v>0</v>
      </c>
      <c r="AH1280" s="16">
        <f t="shared" si="1607"/>
        <v>0</v>
      </c>
      <c r="AI1280" s="16">
        <f t="shared" si="1607"/>
        <v>0</v>
      </c>
      <c r="AJ1280" s="16">
        <f t="shared" si="1607"/>
        <v>0</v>
      </c>
      <c r="AK1280" s="16">
        <f t="shared" si="1607"/>
        <v>0</v>
      </c>
      <c r="AL1280" s="16">
        <f t="shared" si="1607"/>
        <v>0</v>
      </c>
      <c r="AM1280" s="16">
        <f t="shared" si="1607"/>
        <v>0</v>
      </c>
      <c r="AN1280" s="16">
        <f t="shared" si="1607"/>
        <v>0</v>
      </c>
      <c r="AO1280" s="16">
        <f t="shared" si="1607"/>
        <v>0</v>
      </c>
      <c r="AP1280" s="10"/>
      <c r="AQ1280" s="10"/>
      <c r="AR1280" s="10"/>
      <c r="AS1280" s="10" t="str">
        <f t="shared" ca="1" si="1606"/>
        <v>Johnson &amp; Johnson</v>
      </c>
      <c r="AT1280" s="10"/>
      <c r="AU1280" s="10"/>
      <c r="AV1280" s="10"/>
      <c r="AW1280" s="10"/>
      <c r="AX1280" s="10"/>
      <c r="AY1280" s="10"/>
      <c r="AZ1280" s="10"/>
      <c r="BA1280" s="10"/>
      <c r="BB1280" s="10"/>
      <c r="BC1280" s="10"/>
      <c r="BD1280" s="10"/>
      <c r="BE1280" s="10"/>
      <c r="BF1280" s="10"/>
      <c r="BG1280" s="10"/>
      <c r="BH1280" s="10"/>
      <c r="BI1280" s="10"/>
      <c r="BJ1280" s="10"/>
      <c r="BK1280" s="10"/>
      <c r="BM1280" s="10"/>
    </row>
    <row r="1281" spans="1:65" ht="12.75">
      <c r="A1281" s="9"/>
      <c r="B1281" s="10"/>
      <c r="C1281" s="11"/>
      <c r="D1281" s="12"/>
      <c r="E1281" s="10"/>
      <c r="F1281" s="10"/>
      <c r="G1281" s="10"/>
      <c r="H1281" s="14"/>
      <c r="I1281" s="14"/>
      <c r="J1281" s="14"/>
      <c r="K1281" s="14"/>
      <c r="L1281" s="14"/>
      <c r="M1281" s="15"/>
      <c r="N1281" s="10"/>
      <c r="O1281" s="14"/>
      <c r="P1281" s="14"/>
      <c r="Q1281" s="14"/>
      <c r="R1281" s="14"/>
      <c r="S1281" s="14"/>
      <c r="T1281" s="14"/>
      <c r="U1281" s="14"/>
      <c r="V1281" s="14">
        <f t="shared" si="1602"/>
        <v>1900</v>
      </c>
      <c r="W1281" s="14">
        <f t="shared" si="1603"/>
        <v>1</v>
      </c>
      <c r="X1281" s="14">
        <f>VLOOKUP(W1281,[1]Lookups!$P$3:$S$15,2,FALSE)</f>
        <v>1</v>
      </c>
      <c r="Y1281" s="16">
        <f>VLOOKUP(W1281,[1]Lookups!$P$3:$U$15,3,FALSE)</f>
        <v>1</v>
      </c>
      <c r="Z1281" s="16">
        <f t="shared" si="1604"/>
        <v>1</v>
      </c>
      <c r="AA1281" s="16" t="str">
        <f t="shared" ca="1" si="1607"/>
        <v>Johnson &amp; Johnson</v>
      </c>
      <c r="AB1281" s="16">
        <f t="shared" si="1607"/>
        <v>0</v>
      </c>
      <c r="AC1281" s="16">
        <f t="shared" si="1607"/>
        <v>0</v>
      </c>
      <c r="AD1281" s="16">
        <f t="shared" si="1607"/>
        <v>0</v>
      </c>
      <c r="AE1281" s="16">
        <f t="shared" si="1607"/>
        <v>0</v>
      </c>
      <c r="AF1281" s="16">
        <f t="shared" si="1607"/>
        <v>0</v>
      </c>
      <c r="AG1281" s="16">
        <f t="shared" si="1607"/>
        <v>0</v>
      </c>
      <c r="AH1281" s="16">
        <f t="shared" si="1607"/>
        <v>0</v>
      </c>
      <c r="AI1281" s="16">
        <f t="shared" si="1607"/>
        <v>0</v>
      </c>
      <c r="AJ1281" s="16">
        <f t="shared" si="1607"/>
        <v>0</v>
      </c>
      <c r="AK1281" s="16">
        <f t="shared" si="1607"/>
        <v>0</v>
      </c>
      <c r="AL1281" s="16">
        <f t="shared" si="1607"/>
        <v>0</v>
      </c>
      <c r="AM1281" s="16">
        <f t="shared" si="1607"/>
        <v>0</v>
      </c>
      <c r="AN1281" s="16">
        <f t="shared" si="1607"/>
        <v>0</v>
      </c>
      <c r="AO1281" s="16">
        <f t="shared" si="1607"/>
        <v>0</v>
      </c>
      <c r="AP1281" s="10"/>
      <c r="AQ1281" s="10"/>
      <c r="AR1281" s="10"/>
      <c r="AS1281" s="10" t="str">
        <f t="shared" ca="1" si="1606"/>
        <v>Johnson &amp; Johnson</v>
      </c>
      <c r="AT1281" s="10"/>
      <c r="AU1281" s="10"/>
      <c r="AV1281" s="10"/>
      <c r="AW1281" s="10"/>
      <c r="AX1281" s="10"/>
      <c r="AY1281" s="10"/>
      <c r="AZ1281" s="10"/>
      <c r="BA1281" s="10"/>
      <c r="BB1281" s="10"/>
      <c r="BC1281" s="10"/>
      <c r="BD1281" s="10"/>
      <c r="BE1281" s="10"/>
      <c r="BF1281" s="10"/>
      <c r="BG1281" s="10"/>
      <c r="BH1281" s="10"/>
      <c r="BI1281" s="10"/>
      <c r="BJ1281" s="10"/>
      <c r="BK1281" s="10"/>
      <c r="BM1281" s="10"/>
    </row>
    <row r="1282" spans="1:65" ht="12.75">
      <c r="A1282" s="9"/>
      <c r="B1282" s="10"/>
      <c r="C1282" s="11"/>
      <c r="D1282" s="12"/>
      <c r="E1282" s="10"/>
      <c r="F1282" s="10"/>
      <c r="G1282" s="10"/>
      <c r="H1282" s="14"/>
      <c r="I1282" s="14"/>
      <c r="J1282" s="14"/>
      <c r="K1282" s="14"/>
      <c r="L1282" s="14"/>
      <c r="M1282" s="15"/>
      <c r="N1282" s="10"/>
      <c r="O1282" s="14"/>
      <c r="P1282" s="14"/>
      <c r="Q1282" s="14"/>
      <c r="R1282" s="14"/>
      <c r="S1282" s="14"/>
      <c r="T1282" s="14"/>
      <c r="U1282" s="14"/>
      <c r="V1282" s="14">
        <f t="shared" si="1602"/>
        <v>1900</v>
      </c>
      <c r="W1282" s="14">
        <f t="shared" si="1603"/>
        <v>1</v>
      </c>
      <c r="X1282" s="14">
        <f>VLOOKUP(W1282,[1]Lookups!$P$3:$S$15,2,FALSE)</f>
        <v>1</v>
      </c>
      <c r="Y1282" s="16">
        <f>VLOOKUP(W1282,[1]Lookups!$P$3:$U$15,3,FALSE)</f>
        <v>1</v>
      </c>
      <c r="Z1282" s="16">
        <f t="shared" si="1604"/>
        <v>1</v>
      </c>
      <c r="AA1282" s="16" t="str">
        <f t="shared" ca="1" si="1607"/>
        <v>Johnson &amp; Johnson</v>
      </c>
      <c r="AB1282" s="16">
        <f t="shared" si="1607"/>
        <v>0</v>
      </c>
      <c r="AC1282" s="16">
        <f t="shared" si="1607"/>
        <v>0</v>
      </c>
      <c r="AD1282" s="16">
        <f t="shared" si="1607"/>
        <v>0</v>
      </c>
      <c r="AE1282" s="16">
        <f t="shared" si="1607"/>
        <v>0</v>
      </c>
      <c r="AF1282" s="16">
        <f t="shared" si="1607"/>
        <v>0</v>
      </c>
      <c r="AG1282" s="16">
        <f t="shared" si="1607"/>
        <v>0</v>
      </c>
      <c r="AH1282" s="16">
        <f t="shared" si="1607"/>
        <v>0</v>
      </c>
      <c r="AI1282" s="16">
        <f t="shared" si="1607"/>
        <v>0</v>
      </c>
      <c r="AJ1282" s="16">
        <f t="shared" si="1607"/>
        <v>0</v>
      </c>
      <c r="AK1282" s="16">
        <f t="shared" si="1607"/>
        <v>0</v>
      </c>
      <c r="AL1282" s="16">
        <f t="shared" si="1607"/>
        <v>0</v>
      </c>
      <c r="AM1282" s="16">
        <f t="shared" si="1607"/>
        <v>0</v>
      </c>
      <c r="AN1282" s="16">
        <f t="shared" si="1607"/>
        <v>0</v>
      </c>
      <c r="AO1282" s="16">
        <f t="shared" si="1607"/>
        <v>0</v>
      </c>
      <c r="AP1282" s="10"/>
      <c r="AQ1282" s="10"/>
      <c r="AR1282" s="10"/>
      <c r="AS1282" s="10" t="str">
        <f t="shared" ca="1" si="1606"/>
        <v>Johnson &amp; Johnson</v>
      </c>
      <c r="AT1282" s="10"/>
      <c r="AU1282" s="10"/>
      <c r="AV1282" s="10"/>
      <c r="AW1282" s="10"/>
      <c r="AX1282" s="10"/>
      <c r="AY1282" s="10"/>
      <c r="AZ1282" s="10"/>
      <c r="BA1282" s="10"/>
      <c r="BB1282" s="10"/>
      <c r="BC1282" s="10"/>
      <c r="BD1282" s="10"/>
      <c r="BE1282" s="10"/>
      <c r="BF1282" s="10"/>
      <c r="BG1282" s="10"/>
      <c r="BH1282" s="10"/>
      <c r="BI1282" s="10"/>
      <c r="BJ1282" s="10"/>
      <c r="BK1282" s="10"/>
      <c r="BM1282" s="10"/>
    </row>
    <row r="1283" spans="1:65" ht="12.75">
      <c r="A1283" s="9"/>
      <c r="B1283" s="10"/>
      <c r="C1283" s="11"/>
      <c r="D1283" s="12"/>
      <c r="E1283" s="10"/>
      <c r="F1283" s="10"/>
      <c r="G1283" s="10"/>
      <c r="H1283" s="14"/>
      <c r="I1283" s="14"/>
      <c r="J1283" s="14"/>
      <c r="K1283" s="14"/>
      <c r="L1283" s="14"/>
      <c r="M1283" s="15"/>
      <c r="N1283" s="10"/>
      <c r="O1283" s="14"/>
      <c r="P1283" s="14"/>
      <c r="Q1283" s="14"/>
      <c r="R1283" s="14"/>
      <c r="S1283" s="14"/>
      <c r="T1283" s="14"/>
      <c r="U1283" s="14"/>
      <c r="V1283" s="14">
        <f t="shared" si="1602"/>
        <v>1900</v>
      </c>
      <c r="W1283" s="14">
        <f t="shared" si="1603"/>
        <v>1</v>
      </c>
      <c r="X1283" s="14">
        <f>VLOOKUP(W1283,[1]Lookups!$P$3:$S$15,2,FALSE)</f>
        <v>1</v>
      </c>
      <c r="Y1283" s="16">
        <f>VLOOKUP(W1283,[1]Lookups!$P$3:$U$15,3,FALSE)</f>
        <v>1</v>
      </c>
      <c r="Z1283" s="16">
        <f t="shared" si="1604"/>
        <v>1</v>
      </c>
      <c r="AA1283" s="16" t="str">
        <f t="shared" ca="1" si="1607"/>
        <v>Johnson &amp; Johnson</v>
      </c>
      <c r="AB1283" s="16">
        <f t="shared" si="1607"/>
        <v>0</v>
      </c>
      <c r="AC1283" s="16">
        <f t="shared" si="1607"/>
        <v>0</v>
      </c>
      <c r="AD1283" s="16">
        <f t="shared" si="1607"/>
        <v>0</v>
      </c>
      <c r="AE1283" s="16">
        <f t="shared" si="1607"/>
        <v>0</v>
      </c>
      <c r="AF1283" s="16">
        <f t="shared" si="1607"/>
        <v>0</v>
      </c>
      <c r="AG1283" s="16">
        <f t="shared" si="1607"/>
        <v>0</v>
      </c>
      <c r="AH1283" s="16">
        <f t="shared" si="1607"/>
        <v>0</v>
      </c>
      <c r="AI1283" s="16">
        <f t="shared" si="1607"/>
        <v>0</v>
      </c>
      <c r="AJ1283" s="16">
        <f t="shared" si="1607"/>
        <v>0</v>
      </c>
      <c r="AK1283" s="16">
        <f t="shared" si="1607"/>
        <v>0</v>
      </c>
      <c r="AL1283" s="16">
        <f t="shared" si="1607"/>
        <v>0</v>
      </c>
      <c r="AM1283" s="16">
        <f t="shared" si="1607"/>
        <v>0</v>
      </c>
      <c r="AN1283" s="16">
        <f t="shared" si="1607"/>
        <v>0</v>
      </c>
      <c r="AO1283" s="16">
        <f t="shared" si="1607"/>
        <v>0</v>
      </c>
      <c r="AP1283" s="10"/>
      <c r="AQ1283" s="10"/>
      <c r="AR1283" s="10"/>
      <c r="AS1283" s="10" t="str">
        <f t="shared" ca="1" si="1606"/>
        <v>Johnson &amp; Johnson</v>
      </c>
      <c r="AT1283" s="10"/>
      <c r="AU1283" s="10"/>
      <c r="AV1283" s="10"/>
      <c r="AW1283" s="10"/>
      <c r="AX1283" s="10"/>
      <c r="AY1283" s="10"/>
      <c r="AZ1283" s="10"/>
      <c r="BA1283" s="10"/>
      <c r="BB1283" s="10"/>
      <c r="BC1283" s="10"/>
      <c r="BD1283" s="10"/>
      <c r="BE1283" s="10"/>
      <c r="BF1283" s="10"/>
      <c r="BG1283" s="10"/>
      <c r="BH1283" s="10"/>
      <c r="BI1283" s="10"/>
      <c r="BJ1283" s="10"/>
      <c r="BK1283" s="10"/>
      <c r="BM1283" s="10"/>
    </row>
    <row r="1284" spans="1:65" ht="12.75">
      <c r="A1284" s="9"/>
      <c r="B1284" s="10"/>
      <c r="C1284" s="11"/>
      <c r="D1284" s="12"/>
      <c r="E1284" s="10"/>
      <c r="F1284" s="10"/>
      <c r="G1284" s="10"/>
      <c r="H1284" s="14"/>
      <c r="I1284" s="14"/>
      <c r="J1284" s="14"/>
      <c r="K1284" s="14"/>
      <c r="L1284" s="14"/>
      <c r="M1284" s="15"/>
      <c r="N1284" s="10"/>
      <c r="O1284" s="14"/>
      <c r="P1284" s="14"/>
      <c r="Q1284" s="14"/>
      <c r="R1284" s="14"/>
      <c r="S1284" s="14"/>
      <c r="T1284" s="14"/>
      <c r="U1284" s="14"/>
      <c r="V1284" s="14">
        <f t="shared" si="1602"/>
        <v>1900</v>
      </c>
      <c r="W1284" s="14">
        <f t="shared" si="1603"/>
        <v>1</v>
      </c>
      <c r="X1284" s="14">
        <f>VLOOKUP(W1284,[1]Lookups!$P$3:$S$15,2,FALSE)</f>
        <v>1</v>
      </c>
      <c r="Y1284" s="16">
        <f>VLOOKUP(W1284,[1]Lookups!$P$3:$U$15,3,FALSE)</f>
        <v>1</v>
      </c>
      <c r="Z1284" s="16">
        <f t="shared" si="1604"/>
        <v>1</v>
      </c>
      <c r="AA1284" s="16" t="str">
        <f t="shared" ca="1" si="1607"/>
        <v>Johnson &amp; Johnson</v>
      </c>
      <c r="AB1284" s="16">
        <f t="shared" si="1607"/>
        <v>0</v>
      </c>
      <c r="AC1284" s="16">
        <f t="shared" si="1607"/>
        <v>0</v>
      </c>
      <c r="AD1284" s="16">
        <f t="shared" si="1607"/>
        <v>0</v>
      </c>
      <c r="AE1284" s="16">
        <f t="shared" si="1607"/>
        <v>0</v>
      </c>
      <c r="AF1284" s="16">
        <f t="shared" si="1607"/>
        <v>0</v>
      </c>
      <c r="AG1284" s="16">
        <f t="shared" si="1607"/>
        <v>0</v>
      </c>
      <c r="AH1284" s="16">
        <f t="shared" si="1607"/>
        <v>0</v>
      </c>
      <c r="AI1284" s="16">
        <f t="shared" si="1607"/>
        <v>0</v>
      </c>
      <c r="AJ1284" s="16">
        <f t="shared" si="1607"/>
        <v>0</v>
      </c>
      <c r="AK1284" s="16">
        <f t="shared" si="1607"/>
        <v>0</v>
      </c>
      <c r="AL1284" s="16">
        <f t="shared" si="1607"/>
        <v>0</v>
      </c>
      <c r="AM1284" s="16">
        <f t="shared" si="1607"/>
        <v>0</v>
      </c>
      <c r="AN1284" s="16">
        <f t="shared" si="1607"/>
        <v>0</v>
      </c>
      <c r="AO1284" s="16">
        <f t="shared" si="1607"/>
        <v>0</v>
      </c>
      <c r="AP1284" s="10"/>
      <c r="AQ1284" s="10"/>
      <c r="AR1284" s="10"/>
      <c r="AS1284" s="10" t="str">
        <f t="shared" ca="1" si="1606"/>
        <v>Johnson &amp; Johnson</v>
      </c>
      <c r="AT1284" s="10"/>
      <c r="AU1284" s="10"/>
      <c r="AV1284" s="10"/>
      <c r="AW1284" s="10"/>
      <c r="AX1284" s="10"/>
      <c r="AY1284" s="10"/>
      <c r="AZ1284" s="10"/>
      <c r="BA1284" s="10"/>
      <c r="BB1284" s="10"/>
      <c r="BC1284" s="10"/>
      <c r="BD1284" s="10"/>
      <c r="BE1284" s="10"/>
      <c r="BF1284" s="10"/>
      <c r="BG1284" s="10"/>
      <c r="BH1284" s="10"/>
      <c r="BI1284" s="10"/>
      <c r="BJ1284" s="10"/>
      <c r="BK1284" s="10"/>
      <c r="BM1284" s="10"/>
    </row>
    <row r="1285" spans="1:65" ht="12.75">
      <c r="A1285" s="9"/>
      <c r="B1285" s="10"/>
      <c r="C1285" s="11"/>
      <c r="D1285" s="12"/>
      <c r="E1285" s="10"/>
      <c r="F1285" s="10"/>
      <c r="G1285" s="10"/>
      <c r="H1285" s="14"/>
      <c r="I1285" s="14"/>
      <c r="J1285" s="14"/>
      <c r="K1285" s="14"/>
      <c r="L1285" s="14"/>
      <c r="M1285" s="15"/>
      <c r="N1285" s="10"/>
      <c r="O1285" s="14"/>
      <c r="P1285" s="14"/>
      <c r="Q1285" s="14"/>
      <c r="R1285" s="14"/>
      <c r="S1285" s="14"/>
      <c r="T1285" s="14"/>
      <c r="U1285" s="14"/>
      <c r="V1285" s="14">
        <f t="shared" si="1602"/>
        <v>1900</v>
      </c>
      <c r="W1285" s="14">
        <f t="shared" si="1603"/>
        <v>1</v>
      </c>
      <c r="X1285" s="14">
        <f>VLOOKUP(W1285,[1]Lookups!$P$3:$S$15,2,FALSE)</f>
        <v>1</v>
      </c>
      <c r="Y1285" s="16">
        <f>VLOOKUP(W1285,[1]Lookups!$P$3:$U$15,3,FALSE)</f>
        <v>1</v>
      </c>
      <c r="Z1285" s="16">
        <f t="shared" si="1604"/>
        <v>1</v>
      </c>
      <c r="AA1285" s="16" t="str">
        <f t="shared" ca="1" si="1607"/>
        <v>Johnson &amp; Johnson</v>
      </c>
      <c r="AB1285" s="16">
        <f t="shared" si="1607"/>
        <v>0</v>
      </c>
      <c r="AC1285" s="16">
        <f t="shared" si="1607"/>
        <v>0</v>
      </c>
      <c r="AD1285" s="16">
        <f t="shared" si="1607"/>
        <v>0</v>
      </c>
      <c r="AE1285" s="16">
        <f t="shared" si="1607"/>
        <v>0</v>
      </c>
      <c r="AF1285" s="16">
        <f t="shared" si="1607"/>
        <v>0</v>
      </c>
      <c r="AG1285" s="16">
        <f t="shared" si="1607"/>
        <v>0</v>
      </c>
      <c r="AH1285" s="16">
        <f t="shared" si="1607"/>
        <v>0</v>
      </c>
      <c r="AI1285" s="16">
        <f t="shared" si="1607"/>
        <v>0</v>
      </c>
      <c r="AJ1285" s="16">
        <f t="shared" si="1607"/>
        <v>0</v>
      </c>
      <c r="AK1285" s="16">
        <f t="shared" si="1607"/>
        <v>0</v>
      </c>
      <c r="AL1285" s="16">
        <f t="shared" si="1607"/>
        <v>0</v>
      </c>
      <c r="AM1285" s="16">
        <f t="shared" si="1607"/>
        <v>0</v>
      </c>
      <c r="AN1285" s="16">
        <f t="shared" si="1607"/>
        <v>0</v>
      </c>
      <c r="AO1285" s="16">
        <f t="shared" si="1607"/>
        <v>0</v>
      </c>
      <c r="AP1285" s="10"/>
      <c r="AQ1285" s="10"/>
      <c r="AR1285" s="10"/>
      <c r="AS1285" s="10" t="str">
        <f t="shared" ca="1" si="1606"/>
        <v>Johnson &amp; Johnson</v>
      </c>
      <c r="AT1285" s="10"/>
      <c r="AU1285" s="10"/>
      <c r="AV1285" s="10"/>
      <c r="AW1285" s="10"/>
      <c r="AX1285" s="10"/>
      <c r="AY1285" s="10"/>
      <c r="AZ1285" s="10"/>
      <c r="BA1285" s="10"/>
      <c r="BB1285" s="10"/>
      <c r="BC1285" s="10"/>
      <c r="BD1285" s="10"/>
      <c r="BE1285" s="10"/>
      <c r="BF1285" s="10"/>
      <c r="BG1285" s="10"/>
      <c r="BH1285" s="10"/>
      <c r="BI1285" s="10"/>
      <c r="BJ1285" s="10"/>
      <c r="BK1285" s="10"/>
      <c r="BM1285" s="10"/>
    </row>
    <row r="1286" spans="1:65" ht="12.75">
      <c r="A1286" s="9"/>
      <c r="B1286" s="10"/>
      <c r="C1286" s="11"/>
      <c r="D1286" s="12"/>
      <c r="E1286" s="10"/>
      <c r="F1286" s="10"/>
      <c r="G1286" s="10"/>
      <c r="H1286" s="14"/>
      <c r="I1286" s="14"/>
      <c r="J1286" s="14"/>
      <c r="K1286" s="14"/>
      <c r="L1286" s="14"/>
      <c r="M1286" s="15"/>
      <c r="N1286" s="10"/>
      <c r="O1286" s="14"/>
      <c r="P1286" s="14"/>
      <c r="Q1286" s="14"/>
      <c r="R1286" s="14"/>
      <c r="S1286" s="14"/>
      <c r="T1286" s="14"/>
      <c r="U1286" s="14"/>
      <c r="V1286" s="14">
        <f t="shared" si="1602"/>
        <v>1900</v>
      </c>
      <c r="W1286" s="14">
        <f t="shared" si="1603"/>
        <v>1</v>
      </c>
      <c r="X1286" s="14">
        <f>VLOOKUP(W1286,[1]Lookups!$P$3:$S$15,2,FALSE)</f>
        <v>1</v>
      </c>
      <c r="Y1286" s="16">
        <f>VLOOKUP(W1286,[1]Lookups!$P$3:$U$15,3,FALSE)</f>
        <v>1</v>
      </c>
      <c r="Z1286" s="16">
        <f t="shared" si="1604"/>
        <v>1</v>
      </c>
      <c r="AA1286" s="16" t="str">
        <f t="shared" ca="1" si="1607"/>
        <v>Johnson &amp; Johnson</v>
      </c>
      <c r="AB1286" s="16">
        <f t="shared" si="1607"/>
        <v>0</v>
      </c>
      <c r="AC1286" s="16">
        <f t="shared" si="1607"/>
        <v>0</v>
      </c>
      <c r="AD1286" s="16">
        <f t="shared" si="1607"/>
        <v>0</v>
      </c>
      <c r="AE1286" s="16">
        <f t="shared" si="1607"/>
        <v>0</v>
      </c>
      <c r="AF1286" s="16">
        <f t="shared" si="1607"/>
        <v>0</v>
      </c>
      <c r="AG1286" s="16">
        <f t="shared" si="1607"/>
        <v>0</v>
      </c>
      <c r="AH1286" s="16">
        <f t="shared" si="1607"/>
        <v>0</v>
      </c>
      <c r="AI1286" s="16">
        <f t="shared" si="1607"/>
        <v>0</v>
      </c>
      <c r="AJ1286" s="16">
        <f t="shared" si="1607"/>
        <v>0</v>
      </c>
      <c r="AK1286" s="16">
        <f t="shared" si="1607"/>
        <v>0</v>
      </c>
      <c r="AL1286" s="16">
        <f t="shared" si="1607"/>
        <v>0</v>
      </c>
      <c r="AM1286" s="16">
        <f t="shared" si="1607"/>
        <v>0</v>
      </c>
      <c r="AN1286" s="16">
        <f t="shared" si="1607"/>
        <v>0</v>
      </c>
      <c r="AO1286" s="16">
        <f t="shared" si="1607"/>
        <v>0</v>
      </c>
      <c r="AP1286" s="10"/>
      <c r="AQ1286" s="10"/>
      <c r="AR1286" s="10"/>
      <c r="AS1286" s="10" t="str">
        <f t="shared" ca="1" si="1606"/>
        <v>Johnson &amp; Johnson</v>
      </c>
      <c r="AT1286" s="10"/>
      <c r="AU1286" s="10"/>
      <c r="AV1286" s="10"/>
      <c r="AW1286" s="10"/>
      <c r="AX1286" s="10"/>
      <c r="AY1286" s="10"/>
      <c r="AZ1286" s="10"/>
      <c r="BA1286" s="10"/>
      <c r="BB1286" s="10"/>
      <c r="BC1286" s="10"/>
      <c r="BD1286" s="10"/>
      <c r="BE1286" s="10"/>
      <c r="BF1286" s="10"/>
      <c r="BG1286" s="10"/>
      <c r="BH1286" s="10"/>
      <c r="BI1286" s="10"/>
      <c r="BJ1286" s="10"/>
      <c r="BK1286" s="10"/>
      <c r="BM1286" s="10"/>
    </row>
    <row r="1287" spans="1:65" ht="12.75">
      <c r="A1287" s="9"/>
      <c r="B1287" s="10"/>
      <c r="C1287" s="11"/>
      <c r="D1287" s="12"/>
      <c r="E1287" s="10"/>
      <c r="F1287" s="10"/>
      <c r="G1287" s="10"/>
      <c r="H1287" s="14"/>
      <c r="I1287" s="14"/>
      <c r="J1287" s="14"/>
      <c r="K1287" s="14"/>
      <c r="L1287" s="14"/>
      <c r="M1287" s="15"/>
      <c r="N1287" s="10"/>
      <c r="O1287" s="14"/>
      <c r="P1287" s="14"/>
      <c r="Q1287" s="14"/>
      <c r="R1287" s="14"/>
      <c r="S1287" s="14"/>
      <c r="T1287" s="14"/>
      <c r="U1287" s="14"/>
      <c r="V1287" s="14">
        <f t="shared" si="1602"/>
        <v>1900</v>
      </c>
      <c r="W1287" s="14">
        <f t="shared" si="1603"/>
        <v>1</v>
      </c>
      <c r="X1287" s="14">
        <f>VLOOKUP(W1287,[1]Lookups!$P$3:$S$15,2,FALSE)</f>
        <v>1</v>
      </c>
      <c r="Y1287" s="16">
        <f>VLOOKUP(W1287,[1]Lookups!$P$3:$U$15,3,FALSE)</f>
        <v>1</v>
      </c>
      <c r="Z1287" s="16">
        <f t="shared" si="1604"/>
        <v>1</v>
      </c>
      <c r="AA1287" s="16" t="str">
        <f t="shared" ca="1" si="1607"/>
        <v>Johnson &amp; Johnson</v>
      </c>
      <c r="AB1287" s="16">
        <f t="shared" si="1607"/>
        <v>0</v>
      </c>
      <c r="AC1287" s="16">
        <f t="shared" si="1607"/>
        <v>0</v>
      </c>
      <c r="AD1287" s="16">
        <f t="shared" si="1607"/>
        <v>0</v>
      </c>
      <c r="AE1287" s="16">
        <f t="shared" si="1607"/>
        <v>0</v>
      </c>
      <c r="AF1287" s="16">
        <f t="shared" si="1607"/>
        <v>0</v>
      </c>
      <c r="AG1287" s="16">
        <f t="shared" si="1607"/>
        <v>0</v>
      </c>
      <c r="AH1287" s="16">
        <f t="shared" si="1607"/>
        <v>0</v>
      </c>
      <c r="AI1287" s="16">
        <f t="shared" si="1607"/>
        <v>0</v>
      </c>
      <c r="AJ1287" s="16">
        <f t="shared" si="1607"/>
        <v>0</v>
      </c>
      <c r="AK1287" s="16">
        <f t="shared" si="1607"/>
        <v>0</v>
      </c>
      <c r="AL1287" s="16">
        <f t="shared" si="1607"/>
        <v>0</v>
      </c>
      <c r="AM1287" s="16">
        <f t="shared" si="1607"/>
        <v>0</v>
      </c>
      <c r="AN1287" s="16">
        <f t="shared" si="1607"/>
        <v>0</v>
      </c>
      <c r="AO1287" s="16">
        <f t="shared" si="1607"/>
        <v>0</v>
      </c>
      <c r="AP1287" s="10"/>
      <c r="AQ1287" s="10"/>
      <c r="AR1287" s="10"/>
      <c r="AS1287" s="10" t="str">
        <f t="shared" ca="1" si="1606"/>
        <v>Johnson &amp; Johnson</v>
      </c>
      <c r="AT1287" s="10"/>
      <c r="AU1287" s="10"/>
      <c r="AV1287" s="10"/>
      <c r="AW1287" s="10"/>
      <c r="AX1287" s="10"/>
      <c r="AY1287" s="10"/>
      <c r="AZ1287" s="10"/>
      <c r="BA1287" s="10"/>
      <c r="BB1287" s="10"/>
      <c r="BC1287" s="10"/>
      <c r="BD1287" s="10"/>
      <c r="BE1287" s="10"/>
      <c r="BF1287" s="10"/>
      <c r="BG1287" s="10"/>
      <c r="BH1287" s="10"/>
      <c r="BI1287" s="10"/>
      <c r="BJ1287" s="10"/>
      <c r="BK1287" s="10"/>
      <c r="BM1287" s="10"/>
    </row>
    <row r="1288" spans="1:65" ht="12.75">
      <c r="A1288" s="9"/>
      <c r="B1288" s="10"/>
      <c r="C1288" s="11"/>
      <c r="D1288" s="12"/>
      <c r="E1288" s="10"/>
      <c r="F1288" s="10"/>
      <c r="G1288" s="10"/>
      <c r="H1288" s="14"/>
      <c r="I1288" s="14"/>
      <c r="J1288" s="14"/>
      <c r="K1288" s="14"/>
      <c r="L1288" s="14"/>
      <c r="M1288" s="15"/>
      <c r="N1288" s="10"/>
      <c r="O1288" s="14"/>
      <c r="P1288" s="14"/>
      <c r="Q1288" s="14"/>
      <c r="R1288" s="14"/>
      <c r="S1288" s="14"/>
      <c r="T1288" s="14"/>
      <c r="U1288" s="14"/>
      <c r="V1288" s="14">
        <f t="shared" si="1602"/>
        <v>1900</v>
      </c>
      <c r="W1288" s="14">
        <f t="shared" si="1603"/>
        <v>1</v>
      </c>
      <c r="X1288" s="14">
        <f>VLOOKUP(W1288,[1]Lookups!$P$3:$S$15,2,FALSE)</f>
        <v>1</v>
      </c>
      <c r="Y1288" s="16">
        <f>VLOOKUP(W1288,[1]Lookups!$P$3:$U$15,3,FALSE)</f>
        <v>1</v>
      </c>
      <c r="Z1288" s="16">
        <f t="shared" si="1604"/>
        <v>1</v>
      </c>
      <c r="AA1288" s="16" t="str">
        <f t="shared" ca="1" si="1607"/>
        <v>Johnson &amp; Johnson</v>
      </c>
      <c r="AB1288" s="16">
        <f t="shared" si="1607"/>
        <v>0</v>
      </c>
      <c r="AC1288" s="16">
        <f t="shared" si="1607"/>
        <v>0</v>
      </c>
      <c r="AD1288" s="16">
        <f t="shared" si="1607"/>
        <v>0</v>
      </c>
      <c r="AE1288" s="16">
        <f t="shared" si="1607"/>
        <v>0</v>
      </c>
      <c r="AF1288" s="16">
        <f t="shared" si="1607"/>
        <v>0</v>
      </c>
      <c r="AG1288" s="16">
        <f t="shared" si="1607"/>
        <v>0</v>
      </c>
      <c r="AH1288" s="16">
        <f t="shared" si="1607"/>
        <v>0</v>
      </c>
      <c r="AI1288" s="16">
        <f t="shared" si="1607"/>
        <v>0</v>
      </c>
      <c r="AJ1288" s="16">
        <f t="shared" si="1607"/>
        <v>0</v>
      </c>
      <c r="AK1288" s="16">
        <f t="shared" si="1607"/>
        <v>0</v>
      </c>
      <c r="AL1288" s="16">
        <f t="shared" si="1607"/>
        <v>0</v>
      </c>
      <c r="AM1288" s="16">
        <f t="shared" si="1607"/>
        <v>0</v>
      </c>
      <c r="AN1288" s="16">
        <f t="shared" si="1607"/>
        <v>0</v>
      </c>
      <c r="AO1288" s="16">
        <f t="shared" si="1607"/>
        <v>0</v>
      </c>
      <c r="AP1288" s="10"/>
      <c r="AQ1288" s="10"/>
      <c r="AR1288" s="10"/>
      <c r="AS1288" s="10" t="str">
        <f t="shared" ca="1" si="1606"/>
        <v>Johnson &amp; Johnson</v>
      </c>
      <c r="AT1288" s="10"/>
      <c r="AU1288" s="10"/>
      <c r="AV1288" s="10"/>
      <c r="AW1288" s="10"/>
      <c r="AX1288" s="10"/>
      <c r="AY1288" s="10"/>
      <c r="AZ1288" s="10"/>
      <c r="BA1288" s="10"/>
      <c r="BB1288" s="10"/>
      <c r="BC1288" s="10"/>
      <c r="BD1288" s="10"/>
      <c r="BE1288" s="10"/>
      <c r="BF1288" s="10"/>
      <c r="BG1288" s="10"/>
      <c r="BH1288" s="10"/>
      <c r="BI1288" s="10"/>
      <c r="BJ1288" s="10"/>
      <c r="BK1288" s="10"/>
      <c r="BM1288" s="10"/>
    </row>
    <row r="1289" spans="1:65" ht="12.75">
      <c r="A1289" s="9"/>
      <c r="B1289" s="10"/>
      <c r="C1289" s="11"/>
      <c r="D1289" s="12"/>
      <c r="E1289" s="10"/>
      <c r="F1289" s="10"/>
      <c r="G1289" s="10"/>
      <c r="H1289" s="14"/>
      <c r="I1289" s="14"/>
      <c r="J1289" s="14"/>
      <c r="K1289" s="14"/>
      <c r="L1289" s="14"/>
      <c r="M1289" s="15"/>
      <c r="N1289" s="10"/>
      <c r="O1289" s="14"/>
      <c r="P1289" s="14"/>
      <c r="Q1289" s="14"/>
      <c r="R1289" s="14"/>
      <c r="S1289" s="14"/>
      <c r="T1289" s="14"/>
      <c r="U1289" s="14"/>
      <c r="V1289" s="14">
        <f t="shared" si="1602"/>
        <v>1900</v>
      </c>
      <c r="W1289" s="14">
        <f t="shared" si="1603"/>
        <v>1</v>
      </c>
      <c r="X1289" s="14">
        <f>VLOOKUP(W1289,[1]Lookups!$P$3:$S$15,2,FALSE)</f>
        <v>1</v>
      </c>
      <c r="Y1289" s="16">
        <f>VLOOKUP(W1289,[1]Lookups!$P$3:$U$15,3,FALSE)</f>
        <v>1</v>
      </c>
      <c r="Z1289" s="16">
        <f t="shared" si="1604"/>
        <v>1</v>
      </c>
      <c r="AA1289" s="16" t="str">
        <f t="shared" ref="AA1289:AO1304" ca="1" si="1608">AS1289</f>
        <v>Johnson &amp; Johnson</v>
      </c>
      <c r="AB1289" s="16">
        <f t="shared" si="1608"/>
        <v>0</v>
      </c>
      <c r="AC1289" s="16">
        <f t="shared" si="1608"/>
        <v>0</v>
      </c>
      <c r="AD1289" s="16">
        <f t="shared" si="1608"/>
        <v>0</v>
      </c>
      <c r="AE1289" s="16">
        <f t="shared" si="1608"/>
        <v>0</v>
      </c>
      <c r="AF1289" s="16">
        <f t="shared" si="1608"/>
        <v>0</v>
      </c>
      <c r="AG1289" s="16">
        <f t="shared" si="1608"/>
        <v>0</v>
      </c>
      <c r="AH1289" s="16">
        <f t="shared" si="1608"/>
        <v>0</v>
      </c>
      <c r="AI1289" s="16">
        <f t="shared" si="1608"/>
        <v>0</v>
      </c>
      <c r="AJ1289" s="16">
        <f t="shared" si="1608"/>
        <v>0</v>
      </c>
      <c r="AK1289" s="16">
        <f t="shared" si="1608"/>
        <v>0</v>
      </c>
      <c r="AL1289" s="16">
        <f t="shared" si="1608"/>
        <v>0</v>
      </c>
      <c r="AM1289" s="16">
        <f t="shared" si="1608"/>
        <v>0</v>
      </c>
      <c r="AN1289" s="16">
        <f t="shared" si="1608"/>
        <v>0</v>
      </c>
      <c r="AO1289" s="16">
        <f t="shared" si="1608"/>
        <v>0</v>
      </c>
      <c r="AP1289" s="10"/>
      <c r="AQ1289" s="10"/>
      <c r="AR1289" s="10"/>
      <c r="AS1289" s="10" t="str">
        <f t="shared" ca="1" si="1606"/>
        <v>Johnson &amp; Johnson</v>
      </c>
      <c r="AT1289" s="10"/>
      <c r="AU1289" s="10"/>
      <c r="AV1289" s="10"/>
      <c r="AW1289" s="10"/>
      <c r="AX1289" s="10"/>
      <c r="AY1289" s="10"/>
      <c r="AZ1289" s="10"/>
      <c r="BA1289" s="10"/>
      <c r="BB1289" s="10"/>
      <c r="BC1289" s="10"/>
      <c r="BD1289" s="10"/>
      <c r="BE1289" s="10"/>
      <c r="BF1289" s="10"/>
      <c r="BG1289" s="10"/>
      <c r="BH1289" s="10"/>
      <c r="BI1289" s="10"/>
      <c r="BJ1289" s="10"/>
      <c r="BK1289" s="10"/>
      <c r="BM1289" s="10"/>
    </row>
    <row r="1290" spans="1:65" ht="12.75">
      <c r="A1290" s="9"/>
      <c r="B1290" s="10"/>
      <c r="C1290" s="11"/>
      <c r="D1290" s="12"/>
      <c r="E1290" s="10"/>
      <c r="F1290" s="10"/>
      <c r="G1290" s="10"/>
      <c r="H1290" s="14"/>
      <c r="I1290" s="14"/>
      <c r="J1290" s="14"/>
      <c r="K1290" s="14"/>
      <c r="L1290" s="14"/>
      <c r="M1290" s="15"/>
      <c r="N1290" s="10"/>
      <c r="O1290" s="14"/>
      <c r="P1290" s="14"/>
      <c r="Q1290" s="14"/>
      <c r="R1290" s="14"/>
      <c r="S1290" s="14"/>
      <c r="T1290" s="14"/>
      <c r="U1290" s="14"/>
      <c r="V1290" s="14">
        <f t="shared" si="1602"/>
        <v>1900</v>
      </c>
      <c r="W1290" s="14">
        <f t="shared" si="1603"/>
        <v>1</v>
      </c>
      <c r="X1290" s="14">
        <f>VLOOKUP(W1290,[1]Lookups!$P$3:$S$15,2,FALSE)</f>
        <v>1</v>
      </c>
      <c r="Y1290" s="16">
        <f>VLOOKUP(W1290,[1]Lookups!$P$3:$U$15,3,FALSE)</f>
        <v>1</v>
      </c>
      <c r="Z1290" s="16">
        <f t="shared" si="1604"/>
        <v>1</v>
      </c>
      <c r="AA1290" s="16" t="str">
        <f t="shared" ca="1" si="1608"/>
        <v>Johnson &amp; Johnson</v>
      </c>
      <c r="AB1290" s="16">
        <f t="shared" si="1608"/>
        <v>0</v>
      </c>
      <c r="AC1290" s="16">
        <f t="shared" si="1608"/>
        <v>0</v>
      </c>
      <c r="AD1290" s="16">
        <f t="shared" si="1608"/>
        <v>0</v>
      </c>
      <c r="AE1290" s="16">
        <f t="shared" si="1608"/>
        <v>0</v>
      </c>
      <c r="AF1290" s="16">
        <f t="shared" si="1608"/>
        <v>0</v>
      </c>
      <c r="AG1290" s="16">
        <f t="shared" si="1608"/>
        <v>0</v>
      </c>
      <c r="AH1290" s="16">
        <f t="shared" si="1608"/>
        <v>0</v>
      </c>
      <c r="AI1290" s="16">
        <f t="shared" si="1608"/>
        <v>0</v>
      </c>
      <c r="AJ1290" s="16">
        <f t="shared" si="1608"/>
        <v>0</v>
      </c>
      <c r="AK1290" s="16">
        <f t="shared" si="1608"/>
        <v>0</v>
      </c>
      <c r="AL1290" s="16">
        <f t="shared" si="1608"/>
        <v>0</v>
      </c>
      <c r="AM1290" s="16">
        <f t="shared" si="1608"/>
        <v>0</v>
      </c>
      <c r="AN1290" s="16">
        <f t="shared" si="1608"/>
        <v>0</v>
      </c>
      <c r="AO1290" s="16">
        <f t="shared" si="1608"/>
        <v>0</v>
      </c>
      <c r="AP1290" s="10"/>
      <c r="AQ1290" s="10"/>
      <c r="AR1290" s="10"/>
      <c r="AS1290" s="10" t="str">
        <f t="shared" ca="1" si="1606"/>
        <v>Johnson &amp; Johnson</v>
      </c>
      <c r="AT1290" s="10"/>
      <c r="AU1290" s="10"/>
      <c r="AV1290" s="10"/>
      <c r="AW1290" s="10"/>
      <c r="AX1290" s="10"/>
      <c r="AY1290" s="10"/>
      <c r="AZ1290" s="10"/>
      <c r="BA1290" s="10"/>
      <c r="BB1290" s="10"/>
      <c r="BC1290" s="10"/>
      <c r="BD1290" s="10"/>
      <c r="BE1290" s="10"/>
      <c r="BF1290" s="10"/>
      <c r="BG1290" s="10"/>
      <c r="BH1290" s="10"/>
      <c r="BI1290" s="10"/>
      <c r="BJ1290" s="10"/>
      <c r="BK1290" s="10"/>
      <c r="BM1290" s="10"/>
    </row>
    <row r="1291" spans="1:65" ht="12.75">
      <c r="A1291" s="9"/>
      <c r="B1291" s="10"/>
      <c r="C1291" s="11"/>
      <c r="D1291" s="12"/>
      <c r="E1291" s="10"/>
      <c r="F1291" s="10"/>
      <c r="G1291" s="10"/>
      <c r="H1291" s="14"/>
      <c r="I1291" s="14"/>
      <c r="J1291" s="14"/>
      <c r="K1291" s="14"/>
      <c r="L1291" s="14"/>
      <c r="M1291" s="15"/>
      <c r="N1291" s="10"/>
      <c r="O1291" s="14"/>
      <c r="P1291" s="14"/>
      <c r="Q1291" s="14"/>
      <c r="R1291" s="14"/>
      <c r="S1291" s="14"/>
      <c r="T1291" s="14"/>
      <c r="U1291" s="14"/>
      <c r="V1291" s="14">
        <f t="shared" si="1602"/>
        <v>1900</v>
      </c>
      <c r="W1291" s="14">
        <f t="shared" si="1603"/>
        <v>1</v>
      </c>
      <c r="X1291" s="14">
        <f>VLOOKUP(W1291,[1]Lookups!$P$3:$S$15,2,FALSE)</f>
        <v>1</v>
      </c>
      <c r="Y1291" s="16">
        <f>VLOOKUP(W1291,[1]Lookups!$P$3:$U$15,3,FALSE)</f>
        <v>1</v>
      </c>
      <c r="Z1291" s="16">
        <f t="shared" si="1604"/>
        <v>1</v>
      </c>
      <c r="AA1291" s="16" t="str">
        <f t="shared" ca="1" si="1608"/>
        <v>Johnson &amp; Johnson</v>
      </c>
      <c r="AB1291" s="16">
        <f t="shared" si="1608"/>
        <v>0</v>
      </c>
      <c r="AC1291" s="16">
        <f t="shared" si="1608"/>
        <v>0</v>
      </c>
      <c r="AD1291" s="16">
        <f t="shared" si="1608"/>
        <v>0</v>
      </c>
      <c r="AE1291" s="16">
        <f t="shared" si="1608"/>
        <v>0</v>
      </c>
      <c r="AF1291" s="16">
        <f t="shared" si="1608"/>
        <v>0</v>
      </c>
      <c r="AG1291" s="16">
        <f t="shared" si="1608"/>
        <v>0</v>
      </c>
      <c r="AH1291" s="16">
        <f t="shared" si="1608"/>
        <v>0</v>
      </c>
      <c r="AI1291" s="16">
        <f t="shared" si="1608"/>
        <v>0</v>
      </c>
      <c r="AJ1291" s="16">
        <f t="shared" si="1608"/>
        <v>0</v>
      </c>
      <c r="AK1291" s="16">
        <f t="shared" si="1608"/>
        <v>0</v>
      </c>
      <c r="AL1291" s="16">
        <f t="shared" si="1608"/>
        <v>0</v>
      </c>
      <c r="AM1291" s="16">
        <f t="shared" si="1608"/>
        <v>0</v>
      </c>
      <c r="AN1291" s="16">
        <f t="shared" si="1608"/>
        <v>0</v>
      </c>
      <c r="AO1291" s="16">
        <f t="shared" si="1608"/>
        <v>0</v>
      </c>
      <c r="AP1291" s="10"/>
      <c r="AQ1291" s="10"/>
      <c r="AR1291" s="10"/>
      <c r="AS1291" s="10" t="str">
        <f t="shared" ca="1" si="1606"/>
        <v>Johnson &amp; Johnson</v>
      </c>
      <c r="AT1291" s="10"/>
      <c r="AU1291" s="10"/>
      <c r="AV1291" s="10"/>
      <c r="AW1291" s="10"/>
      <c r="AX1291" s="10"/>
      <c r="AY1291" s="10"/>
      <c r="AZ1291" s="10"/>
      <c r="BA1291" s="10"/>
      <c r="BB1291" s="10"/>
      <c r="BC1291" s="10"/>
      <c r="BD1291" s="10"/>
      <c r="BE1291" s="10"/>
      <c r="BF1291" s="10"/>
      <c r="BG1291" s="10"/>
      <c r="BH1291" s="10"/>
      <c r="BI1291" s="10"/>
      <c r="BJ1291" s="10"/>
      <c r="BK1291" s="10"/>
      <c r="BM1291" s="10"/>
    </row>
    <row r="1292" spans="1:65" ht="12.75">
      <c r="A1292" s="9"/>
      <c r="B1292" s="10"/>
      <c r="C1292" s="11"/>
      <c r="D1292" s="12"/>
      <c r="E1292" s="10"/>
      <c r="F1292" s="10"/>
      <c r="G1292" s="10"/>
      <c r="H1292" s="14"/>
      <c r="I1292" s="14"/>
      <c r="J1292" s="14"/>
      <c r="K1292" s="14"/>
      <c r="L1292" s="14"/>
      <c r="M1292" s="15"/>
      <c r="N1292" s="10"/>
      <c r="O1292" s="14"/>
      <c r="P1292" s="14"/>
      <c r="Q1292" s="14"/>
      <c r="R1292" s="14"/>
      <c r="S1292" s="14"/>
      <c r="T1292" s="14"/>
      <c r="U1292" s="14"/>
      <c r="V1292" s="14">
        <f t="shared" si="1602"/>
        <v>1900</v>
      </c>
      <c r="W1292" s="14">
        <f t="shared" si="1603"/>
        <v>1</v>
      </c>
      <c r="X1292" s="14">
        <f>VLOOKUP(W1292,[1]Lookups!$P$3:$S$15,2,FALSE)</f>
        <v>1</v>
      </c>
      <c r="Y1292" s="16">
        <f>VLOOKUP(W1292,[1]Lookups!$P$3:$U$15,3,FALSE)</f>
        <v>1</v>
      </c>
      <c r="Z1292" s="16">
        <f t="shared" si="1604"/>
        <v>1</v>
      </c>
      <c r="AA1292" s="16" t="str">
        <f t="shared" ca="1" si="1608"/>
        <v>Johnson &amp; Johnson</v>
      </c>
      <c r="AB1292" s="16">
        <f t="shared" si="1608"/>
        <v>0</v>
      </c>
      <c r="AC1292" s="16">
        <f t="shared" si="1608"/>
        <v>0</v>
      </c>
      <c r="AD1292" s="16">
        <f t="shared" si="1608"/>
        <v>0</v>
      </c>
      <c r="AE1292" s="16">
        <f t="shared" si="1608"/>
        <v>0</v>
      </c>
      <c r="AF1292" s="16">
        <f t="shared" si="1608"/>
        <v>0</v>
      </c>
      <c r="AG1292" s="16">
        <f t="shared" si="1608"/>
        <v>0</v>
      </c>
      <c r="AH1292" s="16">
        <f t="shared" si="1608"/>
        <v>0</v>
      </c>
      <c r="AI1292" s="16">
        <f t="shared" si="1608"/>
        <v>0</v>
      </c>
      <c r="AJ1292" s="16">
        <f t="shared" si="1608"/>
        <v>0</v>
      </c>
      <c r="AK1292" s="16">
        <f t="shared" si="1608"/>
        <v>0</v>
      </c>
      <c r="AL1292" s="16">
        <f t="shared" si="1608"/>
        <v>0</v>
      </c>
      <c r="AM1292" s="16">
        <f t="shared" si="1608"/>
        <v>0</v>
      </c>
      <c r="AN1292" s="16">
        <f t="shared" si="1608"/>
        <v>0</v>
      </c>
      <c r="AO1292" s="16">
        <f t="shared" si="1608"/>
        <v>0</v>
      </c>
      <c r="AP1292" s="10"/>
      <c r="AQ1292" s="10"/>
      <c r="AR1292" s="10"/>
      <c r="AS1292" s="10" t="str">
        <f t="shared" ca="1" si="1606"/>
        <v>Johnson &amp; Johnson</v>
      </c>
      <c r="AT1292" s="10"/>
      <c r="AU1292" s="10"/>
      <c r="AV1292" s="10"/>
      <c r="AW1292" s="10"/>
      <c r="AX1292" s="10"/>
      <c r="AY1292" s="10"/>
      <c r="AZ1292" s="10"/>
      <c r="BA1292" s="10"/>
      <c r="BB1292" s="10"/>
      <c r="BC1292" s="10"/>
      <c r="BD1292" s="10"/>
      <c r="BE1292" s="10"/>
      <c r="BF1292" s="10"/>
      <c r="BG1292" s="10"/>
      <c r="BH1292" s="10"/>
      <c r="BI1292" s="10"/>
      <c r="BJ1292" s="10"/>
      <c r="BK1292" s="10"/>
      <c r="BM1292" s="10"/>
    </row>
    <row r="1293" spans="1:65" ht="12.75">
      <c r="A1293" s="9"/>
      <c r="B1293" s="10"/>
      <c r="C1293" s="11"/>
      <c r="D1293" s="12"/>
      <c r="E1293" s="10"/>
      <c r="F1293" s="10"/>
      <c r="G1293" s="10"/>
      <c r="H1293" s="14"/>
      <c r="I1293" s="14"/>
      <c r="J1293" s="14"/>
      <c r="K1293" s="14"/>
      <c r="L1293" s="14"/>
      <c r="M1293" s="15"/>
      <c r="N1293" s="10"/>
      <c r="O1293" s="14"/>
      <c r="P1293" s="14"/>
      <c r="Q1293" s="14"/>
      <c r="R1293" s="14"/>
      <c r="S1293" s="14"/>
      <c r="T1293" s="14"/>
      <c r="U1293" s="14"/>
      <c r="V1293" s="14">
        <f t="shared" si="1602"/>
        <v>1900</v>
      </c>
      <c r="W1293" s="14">
        <f t="shared" si="1603"/>
        <v>1</v>
      </c>
      <c r="X1293" s="14">
        <f>VLOOKUP(W1293,[1]Lookups!$P$3:$S$15,2,FALSE)</f>
        <v>1</v>
      </c>
      <c r="Y1293" s="16">
        <f>VLOOKUP(W1293,[1]Lookups!$P$3:$U$15,3,FALSE)</f>
        <v>1</v>
      </c>
      <c r="Z1293" s="16">
        <f t="shared" si="1604"/>
        <v>1</v>
      </c>
      <c r="AA1293" s="16" t="str">
        <f t="shared" ca="1" si="1608"/>
        <v>Johnson &amp; Johnson</v>
      </c>
      <c r="AB1293" s="16">
        <f t="shared" si="1608"/>
        <v>0</v>
      </c>
      <c r="AC1293" s="16">
        <f t="shared" si="1608"/>
        <v>0</v>
      </c>
      <c r="AD1293" s="16">
        <f t="shared" si="1608"/>
        <v>0</v>
      </c>
      <c r="AE1293" s="16">
        <f t="shared" si="1608"/>
        <v>0</v>
      </c>
      <c r="AF1293" s="16">
        <f t="shared" si="1608"/>
        <v>0</v>
      </c>
      <c r="AG1293" s="16">
        <f t="shared" si="1608"/>
        <v>0</v>
      </c>
      <c r="AH1293" s="16">
        <f t="shared" si="1608"/>
        <v>0</v>
      </c>
      <c r="AI1293" s="16">
        <f t="shared" si="1608"/>
        <v>0</v>
      </c>
      <c r="AJ1293" s="16">
        <f t="shared" si="1608"/>
        <v>0</v>
      </c>
      <c r="AK1293" s="16">
        <f t="shared" si="1608"/>
        <v>0</v>
      </c>
      <c r="AL1293" s="16">
        <f t="shared" si="1608"/>
        <v>0</v>
      </c>
      <c r="AM1293" s="16">
        <f t="shared" si="1608"/>
        <v>0</v>
      </c>
      <c r="AN1293" s="16">
        <f t="shared" si="1608"/>
        <v>0</v>
      </c>
      <c r="AO1293" s="16">
        <f t="shared" si="1608"/>
        <v>0</v>
      </c>
      <c r="AP1293" s="10"/>
      <c r="AQ1293" s="10"/>
      <c r="AR1293" s="10"/>
      <c r="AS1293" s="10" t="str">
        <f t="shared" ca="1" si="1606"/>
        <v>Johnson &amp; Johnson</v>
      </c>
      <c r="AT1293" s="10"/>
      <c r="AU1293" s="10"/>
      <c r="AV1293" s="10"/>
      <c r="AW1293" s="10"/>
      <c r="AX1293" s="10"/>
      <c r="AY1293" s="10"/>
      <c r="AZ1293" s="10"/>
      <c r="BA1293" s="10"/>
      <c r="BB1293" s="10"/>
      <c r="BC1293" s="10"/>
      <c r="BD1293" s="10"/>
      <c r="BE1293" s="10"/>
      <c r="BF1293" s="10"/>
      <c r="BG1293" s="10"/>
      <c r="BH1293" s="10"/>
      <c r="BI1293" s="10"/>
      <c r="BJ1293" s="10"/>
      <c r="BK1293" s="10"/>
      <c r="BM1293" s="10"/>
    </row>
    <row r="1294" spans="1:65" ht="12.75">
      <c r="A1294" s="9"/>
      <c r="B1294" s="10"/>
      <c r="C1294" s="11"/>
      <c r="D1294" s="12"/>
      <c r="E1294" s="10"/>
      <c r="F1294" s="10"/>
      <c r="G1294" s="10"/>
      <c r="H1294" s="14"/>
      <c r="I1294" s="14"/>
      <c r="J1294" s="14"/>
      <c r="K1294" s="14"/>
      <c r="L1294" s="14"/>
      <c r="M1294" s="15"/>
      <c r="N1294" s="10"/>
      <c r="O1294" s="14"/>
      <c r="P1294" s="14"/>
      <c r="Q1294" s="14"/>
      <c r="R1294" s="14"/>
      <c r="S1294" s="14"/>
      <c r="T1294" s="14"/>
      <c r="U1294" s="14"/>
      <c r="V1294" s="14">
        <f t="shared" si="1602"/>
        <v>1900</v>
      </c>
      <c r="W1294" s="14">
        <f t="shared" si="1603"/>
        <v>1</v>
      </c>
      <c r="X1294" s="14">
        <f>VLOOKUP(W1294,[1]Lookups!$P$3:$S$15,2,FALSE)</f>
        <v>1</v>
      </c>
      <c r="Y1294" s="16">
        <f>VLOOKUP(W1294,[1]Lookups!$P$3:$U$15,3,FALSE)</f>
        <v>1</v>
      </c>
      <c r="Z1294" s="16">
        <f t="shared" si="1604"/>
        <v>1</v>
      </c>
      <c r="AA1294" s="16" t="str">
        <f t="shared" ca="1" si="1608"/>
        <v>Johnson &amp; Johnson</v>
      </c>
      <c r="AB1294" s="16">
        <f t="shared" si="1608"/>
        <v>0</v>
      </c>
      <c r="AC1294" s="16">
        <f t="shared" si="1608"/>
        <v>0</v>
      </c>
      <c r="AD1294" s="16">
        <f t="shared" si="1608"/>
        <v>0</v>
      </c>
      <c r="AE1294" s="16">
        <f t="shared" si="1608"/>
        <v>0</v>
      </c>
      <c r="AF1294" s="16">
        <f t="shared" si="1608"/>
        <v>0</v>
      </c>
      <c r="AG1294" s="16">
        <f t="shared" si="1608"/>
        <v>0</v>
      </c>
      <c r="AH1294" s="16">
        <f t="shared" si="1608"/>
        <v>0</v>
      </c>
      <c r="AI1294" s="16">
        <f t="shared" si="1608"/>
        <v>0</v>
      </c>
      <c r="AJ1294" s="16">
        <f t="shared" si="1608"/>
        <v>0</v>
      </c>
      <c r="AK1294" s="16">
        <f t="shared" si="1608"/>
        <v>0</v>
      </c>
      <c r="AL1294" s="16">
        <f t="shared" si="1608"/>
        <v>0</v>
      </c>
      <c r="AM1294" s="16">
        <f t="shared" si="1608"/>
        <v>0</v>
      </c>
      <c r="AN1294" s="16">
        <f t="shared" si="1608"/>
        <v>0</v>
      </c>
      <c r="AO1294" s="16">
        <f t="shared" si="1608"/>
        <v>0</v>
      </c>
      <c r="AP1294" s="10"/>
      <c r="AQ1294" s="10"/>
      <c r="AR1294" s="10"/>
      <c r="AS1294" s="10" t="str">
        <f t="shared" ca="1" si="1606"/>
        <v>Johnson &amp; Johnson</v>
      </c>
      <c r="AT1294" s="10"/>
      <c r="AU1294" s="10"/>
      <c r="AV1294" s="10"/>
      <c r="AW1294" s="10"/>
      <c r="AX1294" s="10"/>
      <c r="AY1294" s="10"/>
      <c r="AZ1294" s="10"/>
      <c r="BA1294" s="10"/>
      <c r="BB1294" s="10"/>
      <c r="BC1294" s="10"/>
      <c r="BD1294" s="10"/>
      <c r="BE1294" s="10"/>
      <c r="BF1294" s="10"/>
      <c r="BG1294" s="10"/>
      <c r="BH1294" s="10"/>
      <c r="BI1294" s="10"/>
      <c r="BJ1294" s="10"/>
      <c r="BK1294" s="10"/>
      <c r="BM1294" s="10"/>
    </row>
    <row r="1295" spans="1:65" ht="12.75">
      <c r="A1295" s="9"/>
      <c r="B1295" s="10"/>
      <c r="C1295" s="11"/>
      <c r="D1295" s="12"/>
      <c r="E1295" s="10"/>
      <c r="F1295" s="10"/>
      <c r="G1295" s="10"/>
      <c r="H1295" s="14"/>
      <c r="I1295" s="14"/>
      <c r="J1295" s="14"/>
      <c r="K1295" s="14"/>
      <c r="L1295" s="14"/>
      <c r="M1295" s="15"/>
      <c r="N1295" s="10"/>
      <c r="O1295" s="14"/>
      <c r="P1295" s="14"/>
      <c r="Q1295" s="14"/>
      <c r="R1295" s="14"/>
      <c r="S1295" s="14"/>
      <c r="T1295" s="14"/>
      <c r="U1295" s="14"/>
      <c r="V1295" s="14">
        <f t="shared" si="1602"/>
        <v>1900</v>
      </c>
      <c r="W1295" s="14">
        <f t="shared" si="1603"/>
        <v>1</v>
      </c>
      <c r="X1295" s="14">
        <f>VLOOKUP(W1295,[1]Lookups!$P$3:$S$15,2,FALSE)</f>
        <v>1</v>
      </c>
      <c r="Y1295" s="16">
        <f>VLOOKUP(W1295,[1]Lookups!$P$3:$U$15,3,FALSE)</f>
        <v>1</v>
      </c>
      <c r="Z1295" s="16">
        <f t="shared" si="1604"/>
        <v>1</v>
      </c>
      <c r="AA1295" s="16" t="str">
        <f t="shared" ca="1" si="1608"/>
        <v>Johnson &amp; Johnson</v>
      </c>
      <c r="AB1295" s="16">
        <f t="shared" si="1608"/>
        <v>0</v>
      </c>
      <c r="AC1295" s="16">
        <f t="shared" si="1608"/>
        <v>0</v>
      </c>
      <c r="AD1295" s="16">
        <f t="shared" si="1608"/>
        <v>0</v>
      </c>
      <c r="AE1295" s="16">
        <f t="shared" si="1608"/>
        <v>0</v>
      </c>
      <c r="AF1295" s="16">
        <f t="shared" si="1608"/>
        <v>0</v>
      </c>
      <c r="AG1295" s="16">
        <f t="shared" si="1608"/>
        <v>0</v>
      </c>
      <c r="AH1295" s="16">
        <f t="shared" si="1608"/>
        <v>0</v>
      </c>
      <c r="AI1295" s="16">
        <f t="shared" si="1608"/>
        <v>0</v>
      </c>
      <c r="AJ1295" s="16">
        <f t="shared" si="1608"/>
        <v>0</v>
      </c>
      <c r="AK1295" s="16">
        <f t="shared" si="1608"/>
        <v>0</v>
      </c>
      <c r="AL1295" s="16">
        <f t="shared" si="1608"/>
        <v>0</v>
      </c>
      <c r="AM1295" s="16">
        <f t="shared" si="1608"/>
        <v>0</v>
      </c>
      <c r="AN1295" s="16">
        <f t="shared" si="1608"/>
        <v>0</v>
      </c>
      <c r="AO1295" s="16">
        <f t="shared" si="1608"/>
        <v>0</v>
      </c>
      <c r="AP1295" s="10"/>
      <c r="AQ1295" s="10"/>
      <c r="AR1295" s="10"/>
      <c r="AS1295" s="10" t="str">
        <f t="shared" ca="1" si="1606"/>
        <v>Johnson &amp; Johnson</v>
      </c>
      <c r="AT1295" s="10"/>
      <c r="AU1295" s="10"/>
      <c r="AV1295" s="10"/>
      <c r="AW1295" s="10"/>
      <c r="AX1295" s="10"/>
      <c r="AY1295" s="10"/>
      <c r="AZ1295" s="10"/>
      <c r="BA1295" s="10"/>
      <c r="BB1295" s="10"/>
      <c r="BC1295" s="10"/>
      <c r="BD1295" s="10"/>
      <c r="BE1295" s="10"/>
      <c r="BF1295" s="10"/>
      <c r="BG1295" s="10"/>
      <c r="BH1295" s="10"/>
      <c r="BI1295" s="10"/>
      <c r="BJ1295" s="10"/>
      <c r="BK1295" s="10"/>
      <c r="BM1295" s="10"/>
    </row>
    <row r="1296" spans="1:65" ht="12.75">
      <c r="A1296" s="9"/>
      <c r="B1296" s="10"/>
      <c r="C1296" s="11"/>
      <c r="D1296" s="12"/>
      <c r="E1296" s="10"/>
      <c r="F1296" s="10"/>
      <c r="G1296" s="10"/>
      <c r="H1296" s="14"/>
      <c r="I1296" s="14"/>
      <c r="J1296" s="14"/>
      <c r="K1296" s="14"/>
      <c r="L1296" s="14"/>
      <c r="M1296" s="15"/>
      <c r="N1296" s="10"/>
      <c r="O1296" s="14"/>
      <c r="P1296" s="14"/>
      <c r="Q1296" s="14"/>
      <c r="R1296" s="14"/>
      <c r="S1296" s="14"/>
      <c r="T1296" s="14"/>
      <c r="U1296" s="14"/>
      <c r="V1296" s="14">
        <f t="shared" si="1602"/>
        <v>1900</v>
      </c>
      <c r="W1296" s="14">
        <f t="shared" si="1603"/>
        <v>1</v>
      </c>
      <c r="X1296" s="14">
        <f>VLOOKUP(W1296,[1]Lookups!$P$3:$S$15,2,FALSE)</f>
        <v>1</v>
      </c>
      <c r="Y1296" s="16">
        <f>VLOOKUP(W1296,[1]Lookups!$P$3:$U$15,3,FALSE)</f>
        <v>1</v>
      </c>
      <c r="Z1296" s="16">
        <f t="shared" si="1604"/>
        <v>1</v>
      </c>
      <c r="AA1296" s="16" t="str">
        <f t="shared" ca="1" si="1608"/>
        <v>Johnson &amp; Johnson</v>
      </c>
      <c r="AB1296" s="16">
        <f t="shared" si="1608"/>
        <v>0</v>
      </c>
      <c r="AC1296" s="16">
        <f t="shared" si="1608"/>
        <v>0</v>
      </c>
      <c r="AD1296" s="16">
        <f t="shared" si="1608"/>
        <v>0</v>
      </c>
      <c r="AE1296" s="16">
        <f t="shared" si="1608"/>
        <v>0</v>
      </c>
      <c r="AF1296" s="16">
        <f t="shared" si="1608"/>
        <v>0</v>
      </c>
      <c r="AG1296" s="16">
        <f t="shared" si="1608"/>
        <v>0</v>
      </c>
      <c r="AH1296" s="16">
        <f t="shared" si="1608"/>
        <v>0</v>
      </c>
      <c r="AI1296" s="16">
        <f t="shared" si="1608"/>
        <v>0</v>
      </c>
      <c r="AJ1296" s="16">
        <f t="shared" si="1608"/>
        <v>0</v>
      </c>
      <c r="AK1296" s="16">
        <f t="shared" si="1608"/>
        <v>0</v>
      </c>
      <c r="AL1296" s="16">
        <f t="shared" si="1608"/>
        <v>0</v>
      </c>
      <c r="AM1296" s="16">
        <f t="shared" si="1608"/>
        <v>0</v>
      </c>
      <c r="AN1296" s="16">
        <f t="shared" si="1608"/>
        <v>0</v>
      </c>
      <c r="AO1296" s="16">
        <f t="shared" si="1608"/>
        <v>0</v>
      </c>
      <c r="AP1296" s="10"/>
      <c r="AQ1296" s="10"/>
      <c r="AR1296" s="10"/>
      <c r="AS1296" s="10" t="str">
        <f t="shared" ca="1" si="1606"/>
        <v>Johnson &amp; Johnson</v>
      </c>
      <c r="AT1296" s="10"/>
      <c r="AU1296" s="10"/>
      <c r="AV1296" s="10"/>
      <c r="AW1296" s="10"/>
      <c r="AX1296" s="10"/>
      <c r="AY1296" s="10"/>
      <c r="AZ1296" s="10"/>
      <c r="BA1296" s="10"/>
      <c r="BB1296" s="10"/>
      <c r="BC1296" s="10"/>
      <c r="BD1296" s="10"/>
      <c r="BE1296" s="10"/>
      <c r="BF1296" s="10"/>
      <c r="BG1296" s="10"/>
      <c r="BH1296" s="10"/>
      <c r="BI1296" s="10"/>
      <c r="BJ1296" s="10"/>
      <c r="BK1296" s="10"/>
      <c r="BM1296" s="10"/>
    </row>
    <row r="1297" spans="1:65" ht="12.75">
      <c r="A1297" s="9"/>
      <c r="B1297" s="10"/>
      <c r="C1297" s="11"/>
      <c r="D1297" s="12"/>
      <c r="E1297" s="10"/>
      <c r="F1297" s="10"/>
      <c r="G1297" s="10"/>
      <c r="H1297" s="14"/>
      <c r="I1297" s="14"/>
      <c r="J1297" s="14"/>
      <c r="K1297" s="14"/>
      <c r="L1297" s="14"/>
      <c r="M1297" s="15"/>
      <c r="N1297" s="10"/>
      <c r="O1297" s="14"/>
      <c r="P1297" s="14"/>
      <c r="Q1297" s="14"/>
      <c r="R1297" s="14"/>
      <c r="S1297" s="14"/>
      <c r="T1297" s="14"/>
      <c r="U1297" s="14"/>
      <c r="V1297" s="14">
        <f t="shared" si="1602"/>
        <v>1900</v>
      </c>
      <c r="W1297" s="14">
        <f t="shared" si="1603"/>
        <v>1</v>
      </c>
      <c r="X1297" s="14">
        <f>VLOOKUP(W1297,[1]Lookups!$P$3:$S$15,2,FALSE)</f>
        <v>1</v>
      </c>
      <c r="Y1297" s="16">
        <f>VLOOKUP(W1297,[1]Lookups!$P$3:$U$15,3,FALSE)</f>
        <v>1</v>
      </c>
      <c r="Z1297" s="16">
        <f t="shared" si="1604"/>
        <v>1</v>
      </c>
      <c r="AA1297" s="16" t="str">
        <f t="shared" ca="1" si="1608"/>
        <v>Johnson &amp; Johnson</v>
      </c>
      <c r="AB1297" s="16">
        <f t="shared" si="1608"/>
        <v>0</v>
      </c>
      <c r="AC1297" s="16">
        <f t="shared" si="1608"/>
        <v>0</v>
      </c>
      <c r="AD1297" s="16">
        <f t="shared" si="1608"/>
        <v>0</v>
      </c>
      <c r="AE1297" s="16">
        <f t="shared" si="1608"/>
        <v>0</v>
      </c>
      <c r="AF1297" s="16">
        <f t="shared" si="1608"/>
        <v>0</v>
      </c>
      <c r="AG1297" s="16">
        <f t="shared" si="1608"/>
        <v>0</v>
      </c>
      <c r="AH1297" s="16">
        <f t="shared" si="1608"/>
        <v>0</v>
      </c>
      <c r="AI1297" s="16">
        <f t="shared" si="1608"/>
        <v>0</v>
      </c>
      <c r="AJ1297" s="16">
        <f t="shared" si="1608"/>
        <v>0</v>
      </c>
      <c r="AK1297" s="16">
        <f t="shared" si="1608"/>
        <v>0</v>
      </c>
      <c r="AL1297" s="16">
        <f t="shared" si="1608"/>
        <v>0</v>
      </c>
      <c r="AM1297" s="16">
        <f t="shared" si="1608"/>
        <v>0</v>
      </c>
      <c r="AN1297" s="16">
        <f t="shared" si="1608"/>
        <v>0</v>
      </c>
      <c r="AO1297" s="16">
        <f t="shared" si="1608"/>
        <v>0</v>
      </c>
      <c r="AP1297" s="10"/>
      <c r="AQ1297" s="10"/>
      <c r="AR1297" s="10"/>
      <c r="AS1297" s="10" t="str">
        <f t="shared" ca="1" si="1606"/>
        <v>Johnson &amp; Johnson</v>
      </c>
      <c r="AT1297" s="10"/>
      <c r="AU1297" s="10"/>
      <c r="AV1297" s="10"/>
      <c r="AW1297" s="10"/>
      <c r="AX1297" s="10"/>
      <c r="AY1297" s="10"/>
      <c r="AZ1297" s="10"/>
      <c r="BA1297" s="10"/>
      <c r="BB1297" s="10"/>
      <c r="BC1297" s="10"/>
      <c r="BD1297" s="10"/>
      <c r="BE1297" s="10"/>
      <c r="BF1297" s="10"/>
      <c r="BG1297" s="10"/>
      <c r="BH1297" s="10"/>
      <c r="BI1297" s="10"/>
      <c r="BJ1297" s="10"/>
      <c r="BK1297" s="10"/>
      <c r="BM1297" s="10"/>
    </row>
    <row r="1298" spans="1:65" ht="12.75">
      <c r="A1298" s="9"/>
      <c r="B1298" s="10"/>
      <c r="C1298" s="11"/>
      <c r="D1298" s="12"/>
      <c r="E1298" s="10"/>
      <c r="F1298" s="10"/>
      <c r="G1298" s="10"/>
      <c r="H1298" s="14"/>
      <c r="I1298" s="14"/>
      <c r="J1298" s="14"/>
      <c r="K1298" s="14"/>
      <c r="L1298" s="14"/>
      <c r="M1298" s="15"/>
      <c r="N1298" s="10"/>
      <c r="O1298" s="14"/>
      <c r="P1298" s="14"/>
      <c r="Q1298" s="14"/>
      <c r="R1298" s="14"/>
      <c r="S1298" s="14"/>
      <c r="T1298" s="14"/>
      <c r="U1298" s="14"/>
      <c r="V1298" s="14">
        <f t="shared" si="1602"/>
        <v>1900</v>
      </c>
      <c r="W1298" s="14">
        <f t="shared" si="1603"/>
        <v>1</v>
      </c>
      <c r="X1298" s="14">
        <f>VLOOKUP(W1298,[1]Lookups!$P$3:$S$15,2,FALSE)</f>
        <v>1</v>
      </c>
      <c r="Y1298" s="16">
        <f>VLOOKUP(W1298,[1]Lookups!$P$3:$U$15,3,FALSE)</f>
        <v>1</v>
      </c>
      <c r="Z1298" s="16">
        <f t="shared" si="1604"/>
        <v>1</v>
      </c>
      <c r="AA1298" s="16" t="str">
        <f t="shared" ca="1" si="1608"/>
        <v>Johnson &amp; Johnson</v>
      </c>
      <c r="AB1298" s="16">
        <f t="shared" si="1608"/>
        <v>0</v>
      </c>
      <c r="AC1298" s="16">
        <f t="shared" si="1608"/>
        <v>0</v>
      </c>
      <c r="AD1298" s="16">
        <f t="shared" si="1608"/>
        <v>0</v>
      </c>
      <c r="AE1298" s="16">
        <f t="shared" si="1608"/>
        <v>0</v>
      </c>
      <c r="AF1298" s="16">
        <f t="shared" si="1608"/>
        <v>0</v>
      </c>
      <c r="AG1298" s="16">
        <f t="shared" si="1608"/>
        <v>0</v>
      </c>
      <c r="AH1298" s="16">
        <f t="shared" si="1608"/>
        <v>0</v>
      </c>
      <c r="AI1298" s="16">
        <f t="shared" si="1608"/>
        <v>0</v>
      </c>
      <c r="AJ1298" s="16">
        <f t="shared" si="1608"/>
        <v>0</v>
      </c>
      <c r="AK1298" s="16">
        <f t="shared" si="1608"/>
        <v>0</v>
      </c>
      <c r="AL1298" s="16">
        <f t="shared" si="1608"/>
        <v>0</v>
      </c>
      <c r="AM1298" s="16">
        <f t="shared" si="1608"/>
        <v>0</v>
      </c>
      <c r="AN1298" s="16">
        <f t="shared" si="1608"/>
        <v>0</v>
      </c>
      <c r="AO1298" s="16">
        <f t="shared" si="1608"/>
        <v>0</v>
      </c>
      <c r="AP1298" s="10"/>
      <c r="AQ1298" s="10"/>
      <c r="AR1298" s="10"/>
      <c r="AS1298" s="10" t="str">
        <f t="shared" ca="1" si="1606"/>
        <v>Johnson &amp; Johnson</v>
      </c>
      <c r="AT1298" s="10"/>
      <c r="AU1298" s="10"/>
      <c r="AV1298" s="10"/>
      <c r="AW1298" s="10"/>
      <c r="AX1298" s="10"/>
      <c r="AY1298" s="10"/>
      <c r="AZ1298" s="10"/>
      <c r="BA1298" s="10"/>
      <c r="BB1298" s="10"/>
      <c r="BC1298" s="10"/>
      <c r="BD1298" s="10"/>
      <c r="BE1298" s="10"/>
      <c r="BF1298" s="10"/>
      <c r="BG1298" s="10"/>
      <c r="BH1298" s="10"/>
      <c r="BI1298" s="10"/>
      <c r="BJ1298" s="10"/>
      <c r="BK1298" s="10"/>
      <c r="BM1298" s="10"/>
    </row>
    <row r="1299" spans="1:65" ht="12.75">
      <c r="A1299" s="9"/>
      <c r="B1299" s="10"/>
      <c r="C1299" s="11"/>
      <c r="D1299" s="12"/>
      <c r="E1299" s="10"/>
      <c r="F1299" s="10"/>
      <c r="G1299" s="10"/>
      <c r="H1299" s="14"/>
      <c r="I1299" s="14"/>
      <c r="J1299" s="14"/>
      <c r="K1299" s="14"/>
      <c r="L1299" s="14"/>
      <c r="M1299" s="15"/>
      <c r="N1299" s="10"/>
      <c r="O1299" s="14"/>
      <c r="P1299" s="14"/>
      <c r="Q1299" s="14"/>
      <c r="R1299" s="14"/>
      <c r="S1299" s="14"/>
      <c r="T1299" s="14"/>
      <c r="U1299" s="14"/>
      <c r="V1299" s="14">
        <f t="shared" si="1602"/>
        <v>1900</v>
      </c>
      <c r="W1299" s="14">
        <f t="shared" si="1603"/>
        <v>1</v>
      </c>
      <c r="X1299" s="14">
        <f>VLOOKUP(W1299,[1]Lookups!$P$3:$S$15,2,FALSE)</f>
        <v>1</v>
      </c>
      <c r="Y1299" s="16">
        <f>VLOOKUP(W1299,[1]Lookups!$P$3:$U$15,3,FALSE)</f>
        <v>1</v>
      </c>
      <c r="Z1299" s="16">
        <f t="shared" si="1604"/>
        <v>1</v>
      </c>
      <c r="AA1299" s="16" t="str">
        <f t="shared" ca="1" si="1608"/>
        <v>Johnson &amp; Johnson</v>
      </c>
      <c r="AB1299" s="16">
        <f t="shared" si="1608"/>
        <v>0</v>
      </c>
      <c r="AC1299" s="16">
        <f t="shared" si="1608"/>
        <v>0</v>
      </c>
      <c r="AD1299" s="16">
        <f t="shared" si="1608"/>
        <v>0</v>
      </c>
      <c r="AE1299" s="16">
        <f t="shared" si="1608"/>
        <v>0</v>
      </c>
      <c r="AF1299" s="16">
        <f t="shared" si="1608"/>
        <v>0</v>
      </c>
      <c r="AG1299" s="16">
        <f t="shared" si="1608"/>
        <v>0</v>
      </c>
      <c r="AH1299" s="16">
        <f t="shared" si="1608"/>
        <v>0</v>
      </c>
      <c r="AI1299" s="16">
        <f t="shared" si="1608"/>
        <v>0</v>
      </c>
      <c r="AJ1299" s="16">
        <f t="shared" si="1608"/>
        <v>0</v>
      </c>
      <c r="AK1299" s="16">
        <f t="shared" si="1608"/>
        <v>0</v>
      </c>
      <c r="AL1299" s="16">
        <f t="shared" si="1608"/>
        <v>0</v>
      </c>
      <c r="AM1299" s="16">
        <f t="shared" si="1608"/>
        <v>0</v>
      </c>
      <c r="AN1299" s="16">
        <f t="shared" si="1608"/>
        <v>0</v>
      </c>
      <c r="AO1299" s="16">
        <f t="shared" si="1608"/>
        <v>0</v>
      </c>
      <c r="AP1299" s="10"/>
      <c r="AQ1299" s="10"/>
      <c r="AR1299" s="10"/>
      <c r="AS1299" s="10" t="str">
        <f t="shared" ca="1" si="1606"/>
        <v>Johnson &amp; Johnson</v>
      </c>
      <c r="AT1299" s="10"/>
      <c r="AU1299" s="10"/>
      <c r="AV1299" s="10"/>
      <c r="AW1299" s="10"/>
      <c r="AX1299" s="10"/>
      <c r="AY1299" s="10"/>
      <c r="AZ1299" s="10"/>
      <c r="BA1299" s="10"/>
      <c r="BB1299" s="10"/>
      <c r="BC1299" s="10"/>
      <c r="BD1299" s="10"/>
      <c r="BE1299" s="10"/>
      <c r="BF1299" s="10"/>
      <c r="BG1299" s="10"/>
      <c r="BH1299" s="10"/>
      <c r="BI1299" s="10"/>
      <c r="BJ1299" s="10"/>
      <c r="BK1299" s="10"/>
      <c r="BM1299" s="10"/>
    </row>
    <row r="1300" spans="1:65" ht="12.75">
      <c r="A1300" s="9"/>
      <c r="B1300" s="10"/>
      <c r="C1300" s="11"/>
      <c r="D1300" s="12"/>
      <c r="E1300" s="10"/>
      <c r="F1300" s="10"/>
      <c r="G1300" s="10"/>
      <c r="H1300" s="14"/>
      <c r="I1300" s="14"/>
      <c r="J1300" s="14"/>
      <c r="K1300" s="14"/>
      <c r="L1300" s="14"/>
      <c r="M1300" s="15"/>
      <c r="N1300" s="10"/>
      <c r="O1300" s="14"/>
      <c r="P1300" s="14"/>
      <c r="Q1300" s="14"/>
      <c r="R1300" s="14"/>
      <c r="S1300" s="14"/>
      <c r="T1300" s="14"/>
      <c r="U1300" s="14"/>
      <c r="V1300" s="14">
        <f t="shared" si="1602"/>
        <v>1900</v>
      </c>
      <c r="W1300" s="14">
        <f t="shared" si="1603"/>
        <v>1</v>
      </c>
      <c r="X1300" s="14">
        <f>VLOOKUP(W1300,[1]Lookups!$P$3:$S$15,2,FALSE)</f>
        <v>1</v>
      </c>
      <c r="Y1300" s="16">
        <f>VLOOKUP(W1300,[1]Lookups!$P$3:$U$15,3,FALSE)</f>
        <v>1</v>
      </c>
      <c r="Z1300" s="16">
        <f t="shared" si="1604"/>
        <v>1</v>
      </c>
      <c r="AA1300" s="16" t="str">
        <f t="shared" ca="1" si="1608"/>
        <v>Johnson &amp; Johnson</v>
      </c>
      <c r="AB1300" s="16">
        <f t="shared" si="1608"/>
        <v>0</v>
      </c>
      <c r="AC1300" s="16">
        <f t="shared" si="1608"/>
        <v>0</v>
      </c>
      <c r="AD1300" s="16">
        <f t="shared" si="1608"/>
        <v>0</v>
      </c>
      <c r="AE1300" s="16">
        <f t="shared" si="1608"/>
        <v>0</v>
      </c>
      <c r="AF1300" s="16">
        <f t="shared" si="1608"/>
        <v>0</v>
      </c>
      <c r="AG1300" s="16">
        <f t="shared" si="1608"/>
        <v>0</v>
      </c>
      <c r="AH1300" s="16">
        <f t="shared" si="1608"/>
        <v>0</v>
      </c>
      <c r="AI1300" s="16">
        <f t="shared" si="1608"/>
        <v>0</v>
      </c>
      <c r="AJ1300" s="16">
        <f t="shared" si="1608"/>
        <v>0</v>
      </c>
      <c r="AK1300" s="16">
        <f t="shared" si="1608"/>
        <v>0</v>
      </c>
      <c r="AL1300" s="16">
        <f t="shared" si="1608"/>
        <v>0</v>
      </c>
      <c r="AM1300" s="16">
        <f t="shared" si="1608"/>
        <v>0</v>
      </c>
      <c r="AN1300" s="16">
        <f t="shared" si="1608"/>
        <v>0</v>
      </c>
      <c r="AO1300" s="16">
        <f t="shared" si="1608"/>
        <v>0</v>
      </c>
      <c r="AP1300" s="10"/>
      <c r="AQ1300" s="10"/>
      <c r="AR1300" s="10"/>
      <c r="AS1300" s="10" t="str">
        <f t="shared" ca="1" si="1606"/>
        <v>Johnson &amp; Johnson</v>
      </c>
      <c r="AT1300" s="10"/>
      <c r="AU1300" s="10"/>
      <c r="AV1300" s="10"/>
      <c r="AW1300" s="10"/>
      <c r="AX1300" s="10"/>
      <c r="AY1300" s="10"/>
      <c r="AZ1300" s="10"/>
      <c r="BA1300" s="10"/>
      <c r="BB1300" s="10"/>
      <c r="BC1300" s="10"/>
      <c r="BD1300" s="10"/>
      <c r="BE1300" s="10"/>
      <c r="BF1300" s="10"/>
      <c r="BG1300" s="10"/>
      <c r="BH1300" s="10"/>
      <c r="BI1300" s="10"/>
      <c r="BJ1300" s="10"/>
      <c r="BK1300" s="10"/>
      <c r="BM1300" s="10"/>
    </row>
    <row r="1301" spans="1:65" ht="12.75">
      <c r="A1301" s="9"/>
      <c r="B1301" s="10"/>
      <c r="C1301" s="11"/>
      <c r="D1301" s="12"/>
      <c r="E1301" s="10"/>
      <c r="F1301" s="10"/>
      <c r="G1301" s="10"/>
      <c r="H1301" s="14"/>
      <c r="I1301" s="14"/>
      <c r="J1301" s="14"/>
      <c r="K1301" s="14"/>
      <c r="L1301" s="14"/>
      <c r="M1301" s="15"/>
      <c r="N1301" s="10"/>
      <c r="O1301" s="14"/>
      <c r="P1301" s="14"/>
      <c r="Q1301" s="14"/>
      <c r="R1301" s="14"/>
      <c r="S1301" s="14"/>
      <c r="T1301" s="14"/>
      <c r="U1301" s="14"/>
      <c r="V1301" s="14">
        <f t="shared" si="1602"/>
        <v>1900</v>
      </c>
      <c r="W1301" s="14">
        <f t="shared" si="1603"/>
        <v>1</v>
      </c>
      <c r="X1301" s="14">
        <f>VLOOKUP(W1301,[1]Lookups!$P$3:$S$15,2,FALSE)</f>
        <v>1</v>
      </c>
      <c r="Y1301" s="16">
        <f>VLOOKUP(W1301,[1]Lookups!$P$3:$U$15,3,FALSE)</f>
        <v>1</v>
      </c>
      <c r="Z1301" s="16">
        <f t="shared" si="1604"/>
        <v>1</v>
      </c>
      <c r="AA1301" s="16" t="str">
        <f t="shared" ca="1" si="1608"/>
        <v>Johnson &amp; Johnson</v>
      </c>
      <c r="AB1301" s="16">
        <f t="shared" si="1608"/>
        <v>0</v>
      </c>
      <c r="AC1301" s="16">
        <f t="shared" si="1608"/>
        <v>0</v>
      </c>
      <c r="AD1301" s="16">
        <f t="shared" si="1608"/>
        <v>0</v>
      </c>
      <c r="AE1301" s="16">
        <f t="shared" si="1608"/>
        <v>0</v>
      </c>
      <c r="AF1301" s="16">
        <f t="shared" si="1608"/>
        <v>0</v>
      </c>
      <c r="AG1301" s="16">
        <f t="shared" si="1608"/>
        <v>0</v>
      </c>
      <c r="AH1301" s="16">
        <f t="shared" si="1608"/>
        <v>0</v>
      </c>
      <c r="AI1301" s="16">
        <f t="shared" si="1608"/>
        <v>0</v>
      </c>
      <c r="AJ1301" s="16">
        <f t="shared" si="1608"/>
        <v>0</v>
      </c>
      <c r="AK1301" s="16">
        <f t="shared" si="1608"/>
        <v>0</v>
      </c>
      <c r="AL1301" s="16">
        <f t="shared" si="1608"/>
        <v>0</v>
      </c>
      <c r="AM1301" s="16">
        <f t="shared" si="1608"/>
        <v>0</v>
      </c>
      <c r="AN1301" s="16">
        <f t="shared" si="1608"/>
        <v>0</v>
      </c>
      <c r="AO1301" s="16">
        <f t="shared" si="1608"/>
        <v>0</v>
      </c>
      <c r="AP1301" s="10"/>
      <c r="AQ1301" s="10"/>
      <c r="AR1301" s="10"/>
      <c r="AS1301" s="10" t="str">
        <f t="shared" ca="1" si="1606"/>
        <v>Johnson &amp; Johnson</v>
      </c>
      <c r="AT1301" s="10"/>
      <c r="AU1301" s="10"/>
      <c r="AV1301" s="10"/>
      <c r="AW1301" s="10"/>
      <c r="AX1301" s="10"/>
      <c r="AY1301" s="10"/>
      <c r="AZ1301" s="10"/>
      <c r="BA1301" s="10"/>
      <c r="BB1301" s="10"/>
      <c r="BC1301" s="10"/>
      <c r="BD1301" s="10"/>
      <c r="BE1301" s="10"/>
      <c r="BF1301" s="10"/>
      <c r="BG1301" s="10"/>
      <c r="BH1301" s="10"/>
      <c r="BI1301" s="10"/>
      <c r="BJ1301" s="10"/>
      <c r="BK1301" s="10"/>
      <c r="BM1301" s="10"/>
    </row>
    <row r="1302" spans="1:65" ht="12.75">
      <c r="A1302" s="9"/>
      <c r="B1302" s="10"/>
      <c r="C1302" s="11"/>
      <c r="D1302" s="12"/>
      <c r="E1302" s="10"/>
      <c r="F1302" s="10"/>
      <c r="G1302" s="10"/>
      <c r="H1302" s="14"/>
      <c r="I1302" s="14"/>
      <c r="J1302" s="14"/>
      <c r="K1302" s="14"/>
      <c r="L1302" s="14"/>
      <c r="M1302" s="15"/>
      <c r="N1302" s="10"/>
      <c r="O1302" s="14"/>
      <c r="P1302" s="14"/>
      <c r="Q1302" s="14"/>
      <c r="R1302" s="14"/>
      <c r="S1302" s="14"/>
      <c r="T1302" s="14"/>
      <c r="U1302" s="14"/>
      <c r="V1302" s="14">
        <f t="shared" si="1602"/>
        <v>1900</v>
      </c>
      <c r="W1302" s="14">
        <f t="shared" si="1603"/>
        <v>1</v>
      </c>
      <c r="X1302" s="14">
        <f>VLOOKUP(W1302,[1]Lookups!$P$3:$S$15,2,FALSE)</f>
        <v>1</v>
      </c>
      <c r="Y1302" s="16">
        <f>VLOOKUP(W1302,[1]Lookups!$P$3:$U$15,3,FALSE)</f>
        <v>1</v>
      </c>
      <c r="Z1302" s="16">
        <f t="shared" si="1604"/>
        <v>1</v>
      </c>
      <c r="AA1302" s="16" t="str">
        <f t="shared" ca="1" si="1608"/>
        <v>Johnson &amp; Johnson</v>
      </c>
      <c r="AB1302" s="16">
        <f t="shared" si="1608"/>
        <v>0</v>
      </c>
      <c r="AC1302" s="16">
        <f t="shared" si="1608"/>
        <v>0</v>
      </c>
      <c r="AD1302" s="16">
        <f t="shared" si="1608"/>
        <v>0</v>
      </c>
      <c r="AE1302" s="16">
        <f t="shared" si="1608"/>
        <v>0</v>
      </c>
      <c r="AF1302" s="16">
        <f t="shared" si="1608"/>
        <v>0</v>
      </c>
      <c r="AG1302" s="16">
        <f t="shared" si="1608"/>
        <v>0</v>
      </c>
      <c r="AH1302" s="16">
        <f t="shared" si="1608"/>
        <v>0</v>
      </c>
      <c r="AI1302" s="16">
        <f t="shared" si="1608"/>
        <v>0</v>
      </c>
      <c r="AJ1302" s="16">
        <f t="shared" si="1608"/>
        <v>0</v>
      </c>
      <c r="AK1302" s="16">
        <f t="shared" si="1608"/>
        <v>0</v>
      </c>
      <c r="AL1302" s="16">
        <f t="shared" si="1608"/>
        <v>0</v>
      </c>
      <c r="AM1302" s="16">
        <f t="shared" si="1608"/>
        <v>0</v>
      </c>
      <c r="AN1302" s="16">
        <f t="shared" si="1608"/>
        <v>0</v>
      </c>
      <c r="AO1302" s="16">
        <f t="shared" si="1608"/>
        <v>0</v>
      </c>
      <c r="AP1302" s="10"/>
      <c r="AQ1302" s="10"/>
      <c r="AR1302" s="10"/>
      <c r="AS1302" s="10" t="str">
        <f t="shared" ca="1" si="1606"/>
        <v>Johnson &amp; Johnson</v>
      </c>
      <c r="AT1302" s="10"/>
      <c r="AU1302" s="10"/>
      <c r="AV1302" s="10"/>
      <c r="AW1302" s="10"/>
      <c r="AX1302" s="10"/>
      <c r="AY1302" s="10"/>
      <c r="AZ1302" s="10"/>
      <c r="BA1302" s="10"/>
      <c r="BB1302" s="10"/>
      <c r="BC1302" s="10"/>
      <c r="BD1302" s="10"/>
      <c r="BE1302" s="10"/>
      <c r="BF1302" s="10"/>
      <c r="BG1302" s="10"/>
      <c r="BH1302" s="10"/>
      <c r="BI1302" s="10"/>
      <c r="BJ1302" s="10"/>
      <c r="BK1302" s="10"/>
      <c r="BM1302" s="10"/>
    </row>
    <row r="1303" spans="1:65" ht="12.75">
      <c r="A1303" s="9"/>
      <c r="B1303" s="10"/>
      <c r="C1303" s="11"/>
      <c r="D1303" s="12"/>
      <c r="E1303" s="10"/>
      <c r="F1303" s="10"/>
      <c r="G1303" s="10"/>
      <c r="H1303" s="14"/>
      <c r="I1303" s="14"/>
      <c r="J1303" s="14"/>
      <c r="K1303" s="14"/>
      <c r="L1303" s="14"/>
      <c r="M1303" s="15"/>
      <c r="N1303" s="10"/>
      <c r="O1303" s="14"/>
      <c r="P1303" s="14"/>
      <c r="Q1303" s="14"/>
      <c r="R1303" s="14"/>
      <c r="S1303" s="14"/>
      <c r="T1303" s="14"/>
      <c r="U1303" s="14"/>
      <c r="V1303" s="14">
        <f t="shared" si="1602"/>
        <v>1900</v>
      </c>
      <c r="W1303" s="14">
        <f t="shared" si="1603"/>
        <v>1</v>
      </c>
      <c r="X1303" s="14">
        <f>VLOOKUP(W1303,[1]Lookups!$P$3:$S$15,2,FALSE)</f>
        <v>1</v>
      </c>
      <c r="Y1303" s="16">
        <f>VLOOKUP(W1303,[1]Lookups!$P$3:$U$15,3,FALSE)</f>
        <v>1</v>
      </c>
      <c r="Z1303" s="16">
        <f t="shared" si="1604"/>
        <v>1</v>
      </c>
      <c r="AA1303" s="16" t="str">
        <f t="shared" ca="1" si="1608"/>
        <v>Johnson &amp; Johnson</v>
      </c>
      <c r="AB1303" s="16">
        <f t="shared" si="1608"/>
        <v>0</v>
      </c>
      <c r="AC1303" s="16">
        <f t="shared" si="1608"/>
        <v>0</v>
      </c>
      <c r="AD1303" s="16">
        <f t="shared" si="1608"/>
        <v>0</v>
      </c>
      <c r="AE1303" s="16">
        <f t="shared" si="1608"/>
        <v>0</v>
      </c>
      <c r="AF1303" s="16">
        <f t="shared" si="1608"/>
        <v>0</v>
      </c>
      <c r="AG1303" s="16">
        <f t="shared" si="1608"/>
        <v>0</v>
      </c>
      <c r="AH1303" s="16">
        <f t="shared" si="1608"/>
        <v>0</v>
      </c>
      <c r="AI1303" s="16">
        <f t="shared" si="1608"/>
        <v>0</v>
      </c>
      <c r="AJ1303" s="16">
        <f t="shared" si="1608"/>
        <v>0</v>
      </c>
      <c r="AK1303" s="16">
        <f t="shared" si="1608"/>
        <v>0</v>
      </c>
      <c r="AL1303" s="16">
        <f t="shared" si="1608"/>
        <v>0</v>
      </c>
      <c r="AM1303" s="16">
        <f t="shared" si="1608"/>
        <v>0</v>
      </c>
      <c r="AN1303" s="16">
        <f t="shared" si="1608"/>
        <v>0</v>
      </c>
      <c r="AO1303" s="16">
        <f t="shared" si="1608"/>
        <v>0</v>
      </c>
      <c r="AP1303" s="10"/>
      <c r="AQ1303" s="10"/>
      <c r="AR1303" s="10"/>
      <c r="AS1303" s="10" t="str">
        <f t="shared" ca="1" si="1606"/>
        <v>Johnson &amp; Johnson</v>
      </c>
      <c r="AT1303" s="10"/>
      <c r="AU1303" s="10"/>
      <c r="AV1303" s="10"/>
      <c r="AW1303" s="10"/>
      <c r="AX1303" s="10"/>
      <c r="AY1303" s="10"/>
      <c r="AZ1303" s="10"/>
      <c r="BA1303" s="10"/>
      <c r="BB1303" s="10"/>
      <c r="BC1303" s="10"/>
      <c r="BD1303" s="10"/>
      <c r="BE1303" s="10"/>
      <c r="BF1303" s="10"/>
      <c r="BG1303" s="10"/>
      <c r="BH1303" s="10"/>
      <c r="BI1303" s="10"/>
      <c r="BJ1303" s="10"/>
      <c r="BK1303" s="10"/>
      <c r="BM1303" s="10"/>
    </row>
    <row r="1304" spans="1:65" ht="12.75">
      <c r="A1304" s="9"/>
      <c r="B1304" s="10"/>
      <c r="C1304" s="11"/>
      <c r="D1304" s="12"/>
      <c r="E1304" s="10"/>
      <c r="F1304" s="10"/>
      <c r="G1304" s="10"/>
      <c r="H1304" s="14"/>
      <c r="I1304" s="14"/>
      <c r="J1304" s="14"/>
      <c r="K1304" s="14"/>
      <c r="L1304" s="14"/>
      <c r="M1304" s="15"/>
      <c r="N1304" s="10"/>
      <c r="O1304" s="14"/>
      <c r="P1304" s="14"/>
      <c r="Q1304" s="14"/>
      <c r="R1304" s="14"/>
      <c r="S1304" s="14"/>
      <c r="T1304" s="14"/>
      <c r="U1304" s="14"/>
      <c r="V1304" s="14">
        <f t="shared" si="1602"/>
        <v>1900</v>
      </c>
      <c r="W1304" s="14">
        <f t="shared" si="1603"/>
        <v>1</v>
      </c>
      <c r="X1304" s="14">
        <f>VLOOKUP(W1304,[1]Lookups!$P$3:$S$15,2,FALSE)</f>
        <v>1</v>
      </c>
      <c r="Y1304" s="16">
        <f>VLOOKUP(W1304,[1]Lookups!$P$3:$U$15,3,FALSE)</f>
        <v>1</v>
      </c>
      <c r="Z1304" s="16">
        <f t="shared" si="1604"/>
        <v>1</v>
      </c>
      <c r="AA1304" s="16" t="str">
        <f t="shared" ca="1" si="1608"/>
        <v>Johnson &amp; Johnson</v>
      </c>
      <c r="AB1304" s="16">
        <f t="shared" si="1608"/>
        <v>0</v>
      </c>
      <c r="AC1304" s="16">
        <f t="shared" si="1608"/>
        <v>0</v>
      </c>
      <c r="AD1304" s="16">
        <f t="shared" si="1608"/>
        <v>0</v>
      </c>
      <c r="AE1304" s="16">
        <f t="shared" si="1608"/>
        <v>0</v>
      </c>
      <c r="AF1304" s="16">
        <f t="shared" si="1608"/>
        <v>0</v>
      </c>
      <c r="AG1304" s="16">
        <f t="shared" si="1608"/>
        <v>0</v>
      </c>
      <c r="AH1304" s="16">
        <f t="shared" si="1608"/>
        <v>0</v>
      </c>
      <c r="AI1304" s="16">
        <f t="shared" si="1608"/>
        <v>0</v>
      </c>
      <c r="AJ1304" s="16">
        <f t="shared" si="1608"/>
        <v>0</v>
      </c>
      <c r="AK1304" s="16">
        <f t="shared" si="1608"/>
        <v>0</v>
      </c>
      <c r="AL1304" s="16">
        <f t="shared" si="1608"/>
        <v>0</v>
      </c>
      <c r="AM1304" s="16">
        <f t="shared" si="1608"/>
        <v>0</v>
      </c>
      <c r="AN1304" s="16">
        <f t="shared" si="1608"/>
        <v>0</v>
      </c>
      <c r="AO1304" s="16">
        <f t="shared" si="1608"/>
        <v>0</v>
      </c>
      <c r="AP1304" s="10"/>
      <c r="AQ1304" s="10"/>
      <c r="AR1304" s="10"/>
      <c r="AS1304" s="10" t="str">
        <f t="shared" ca="1" si="1606"/>
        <v>Johnson &amp; Johnson</v>
      </c>
      <c r="AT1304" s="10"/>
      <c r="AU1304" s="10"/>
      <c r="AV1304" s="10"/>
      <c r="AW1304" s="10"/>
      <c r="AX1304" s="10"/>
      <c r="AY1304" s="10"/>
      <c r="AZ1304" s="10"/>
      <c r="BA1304" s="10"/>
      <c r="BB1304" s="10"/>
      <c r="BC1304" s="10"/>
      <c r="BD1304" s="10"/>
      <c r="BE1304" s="10"/>
      <c r="BF1304" s="10"/>
      <c r="BG1304" s="10"/>
      <c r="BH1304" s="10"/>
      <c r="BI1304" s="10"/>
      <c r="BJ1304" s="10"/>
      <c r="BK1304" s="10"/>
      <c r="BM1304" s="10"/>
    </row>
    <row r="1305" spans="1:65" ht="12.75">
      <c r="A1305" s="9"/>
      <c r="B1305" s="10"/>
      <c r="C1305" s="11"/>
      <c r="D1305" s="12"/>
      <c r="E1305" s="10"/>
      <c r="F1305" s="10"/>
      <c r="G1305" s="10"/>
      <c r="H1305" s="14"/>
      <c r="I1305" s="14"/>
      <c r="J1305" s="14"/>
      <c r="K1305" s="14"/>
      <c r="L1305" s="14"/>
      <c r="M1305" s="15"/>
      <c r="N1305" s="10"/>
      <c r="O1305" s="14"/>
      <c r="P1305" s="14"/>
      <c r="Q1305" s="14"/>
      <c r="R1305" s="14"/>
      <c r="S1305" s="14"/>
      <c r="T1305" s="14"/>
      <c r="U1305" s="14"/>
      <c r="V1305" s="14">
        <f t="shared" si="1602"/>
        <v>1900</v>
      </c>
      <c r="W1305" s="14">
        <f t="shared" si="1603"/>
        <v>1</v>
      </c>
      <c r="X1305" s="14">
        <f>VLOOKUP(W1305,[1]Lookups!$P$3:$S$15,2,FALSE)</f>
        <v>1</v>
      </c>
      <c r="Y1305" s="16">
        <f>VLOOKUP(W1305,[1]Lookups!$P$3:$U$15,3,FALSE)</f>
        <v>1</v>
      </c>
      <c r="Z1305" s="16">
        <f t="shared" si="1604"/>
        <v>1</v>
      </c>
      <c r="AA1305" s="16" t="str">
        <f t="shared" ref="AA1305:AO1320" ca="1" si="1609">AS1305</f>
        <v>Johnson &amp; Johnson</v>
      </c>
      <c r="AB1305" s="16">
        <f t="shared" si="1609"/>
        <v>0</v>
      </c>
      <c r="AC1305" s="16">
        <f t="shared" si="1609"/>
        <v>0</v>
      </c>
      <c r="AD1305" s="16">
        <f t="shared" si="1609"/>
        <v>0</v>
      </c>
      <c r="AE1305" s="16">
        <f t="shared" si="1609"/>
        <v>0</v>
      </c>
      <c r="AF1305" s="16">
        <f t="shared" si="1609"/>
        <v>0</v>
      </c>
      <c r="AG1305" s="16">
        <f t="shared" si="1609"/>
        <v>0</v>
      </c>
      <c r="AH1305" s="16">
        <f t="shared" si="1609"/>
        <v>0</v>
      </c>
      <c r="AI1305" s="16">
        <f t="shared" si="1609"/>
        <v>0</v>
      </c>
      <c r="AJ1305" s="16">
        <f t="shared" si="1609"/>
        <v>0</v>
      </c>
      <c r="AK1305" s="16">
        <f t="shared" si="1609"/>
        <v>0</v>
      </c>
      <c r="AL1305" s="16">
        <f t="shared" si="1609"/>
        <v>0</v>
      </c>
      <c r="AM1305" s="16">
        <f t="shared" si="1609"/>
        <v>0</v>
      </c>
      <c r="AN1305" s="16">
        <f t="shared" si="1609"/>
        <v>0</v>
      </c>
      <c r="AO1305" s="16">
        <f t="shared" si="1609"/>
        <v>0</v>
      </c>
      <c r="AP1305" s="10"/>
      <c r="AQ1305" s="10"/>
      <c r="AR1305" s="10"/>
      <c r="AS1305" s="10" t="str">
        <f t="shared" ca="1" si="1606"/>
        <v>Johnson &amp; Johnson</v>
      </c>
      <c r="AT1305" s="10"/>
      <c r="AU1305" s="10"/>
      <c r="AV1305" s="10"/>
      <c r="AW1305" s="10"/>
      <c r="AX1305" s="10"/>
      <c r="AY1305" s="10"/>
      <c r="AZ1305" s="10"/>
      <c r="BA1305" s="10"/>
      <c r="BB1305" s="10"/>
      <c r="BC1305" s="10"/>
      <c r="BD1305" s="10"/>
      <c r="BE1305" s="10"/>
      <c r="BF1305" s="10"/>
      <c r="BG1305" s="10"/>
      <c r="BH1305" s="10"/>
      <c r="BI1305" s="10"/>
      <c r="BJ1305" s="10"/>
      <c r="BK1305" s="10"/>
      <c r="BM1305" s="10"/>
    </row>
    <row r="1306" spans="1:65" ht="12.75">
      <c r="A1306" s="9"/>
      <c r="B1306" s="10"/>
      <c r="C1306" s="11"/>
      <c r="D1306" s="12"/>
      <c r="E1306" s="10"/>
      <c r="F1306" s="10"/>
      <c r="G1306" s="10"/>
      <c r="H1306" s="14"/>
      <c r="I1306" s="14"/>
      <c r="J1306" s="14"/>
      <c r="K1306" s="14"/>
      <c r="L1306" s="14"/>
      <c r="M1306" s="15"/>
      <c r="N1306" s="10"/>
      <c r="O1306" s="14"/>
      <c r="P1306" s="14"/>
      <c r="Q1306" s="14"/>
      <c r="R1306" s="14"/>
      <c r="S1306" s="14"/>
      <c r="T1306" s="14"/>
      <c r="U1306" s="14"/>
      <c r="V1306" s="14">
        <f t="shared" si="1602"/>
        <v>1900</v>
      </c>
      <c r="W1306" s="14">
        <f t="shared" si="1603"/>
        <v>1</v>
      </c>
      <c r="X1306" s="14"/>
      <c r="Y1306" s="14"/>
      <c r="Z1306" s="14"/>
      <c r="AA1306" s="16" t="str">
        <f t="shared" ca="1" si="1609"/>
        <v>Johnson &amp; Johnson</v>
      </c>
      <c r="AB1306" s="16">
        <f t="shared" si="1609"/>
        <v>0</v>
      </c>
      <c r="AC1306" s="16">
        <f t="shared" si="1609"/>
        <v>0</v>
      </c>
      <c r="AD1306" s="16">
        <f t="shared" si="1609"/>
        <v>0</v>
      </c>
      <c r="AE1306" s="16">
        <f t="shared" si="1609"/>
        <v>0</v>
      </c>
      <c r="AF1306" s="16">
        <f t="shared" si="1609"/>
        <v>0</v>
      </c>
      <c r="AG1306" s="16">
        <f t="shared" si="1609"/>
        <v>0</v>
      </c>
      <c r="AH1306" s="16">
        <f t="shared" si="1609"/>
        <v>0</v>
      </c>
      <c r="AI1306" s="16">
        <f t="shared" si="1609"/>
        <v>0</v>
      </c>
      <c r="AJ1306" s="16">
        <f t="shared" si="1609"/>
        <v>0</v>
      </c>
      <c r="AK1306" s="16">
        <f t="shared" si="1609"/>
        <v>0</v>
      </c>
      <c r="AL1306" s="16">
        <f t="shared" si="1609"/>
        <v>0</v>
      </c>
      <c r="AM1306" s="16">
        <f t="shared" si="1609"/>
        <v>0</v>
      </c>
      <c r="AN1306" s="16">
        <f t="shared" si="1609"/>
        <v>0</v>
      </c>
      <c r="AO1306" s="16">
        <f t="shared" si="1609"/>
        <v>0</v>
      </c>
      <c r="AP1306" s="10"/>
      <c r="AQ1306" s="10"/>
      <c r="AR1306" s="10"/>
      <c r="AS1306" s="10" t="str">
        <f t="shared" ca="1" si="1606"/>
        <v>Johnson &amp; Johnson</v>
      </c>
      <c r="AT1306" s="10"/>
      <c r="AU1306" s="10"/>
      <c r="AV1306" s="10"/>
      <c r="AW1306" s="10"/>
      <c r="AX1306" s="10"/>
      <c r="AY1306" s="10"/>
      <c r="AZ1306" s="10"/>
      <c r="BA1306" s="10"/>
      <c r="BB1306" s="10"/>
      <c r="BC1306" s="10"/>
      <c r="BD1306" s="10"/>
      <c r="BE1306" s="10"/>
      <c r="BF1306" s="10"/>
      <c r="BG1306" s="10"/>
      <c r="BH1306" s="10"/>
      <c r="BI1306" s="10"/>
      <c r="BJ1306" s="10"/>
      <c r="BK1306" s="10"/>
      <c r="BM1306" s="10"/>
    </row>
    <row r="1307" spans="1:65" ht="12.75">
      <c r="A1307" s="9"/>
      <c r="B1307" s="10"/>
      <c r="C1307" s="11"/>
      <c r="D1307" s="12"/>
      <c r="E1307" s="10"/>
      <c r="F1307" s="10"/>
      <c r="G1307" s="10"/>
      <c r="H1307" s="14"/>
      <c r="I1307" s="14"/>
      <c r="J1307" s="14"/>
      <c r="K1307" s="14"/>
      <c r="L1307" s="14"/>
      <c r="M1307" s="15"/>
      <c r="N1307" s="10"/>
      <c r="O1307" s="14"/>
      <c r="P1307" s="14"/>
      <c r="Q1307" s="14"/>
      <c r="R1307" s="14"/>
      <c r="S1307" s="14"/>
      <c r="T1307" s="14"/>
      <c r="U1307" s="14"/>
      <c r="V1307" s="14">
        <f t="shared" si="1602"/>
        <v>1900</v>
      </c>
      <c r="W1307" s="14">
        <f t="shared" si="1603"/>
        <v>1</v>
      </c>
      <c r="X1307" s="14"/>
      <c r="Y1307" s="14"/>
      <c r="Z1307" s="14"/>
      <c r="AA1307" s="16" t="str">
        <f t="shared" ca="1" si="1609"/>
        <v>Johnson &amp; Johnson</v>
      </c>
      <c r="AB1307" s="16">
        <f t="shared" si="1609"/>
        <v>0</v>
      </c>
      <c r="AC1307" s="16">
        <f t="shared" si="1609"/>
        <v>0</v>
      </c>
      <c r="AD1307" s="16">
        <f t="shared" si="1609"/>
        <v>0</v>
      </c>
      <c r="AE1307" s="16">
        <f t="shared" si="1609"/>
        <v>0</v>
      </c>
      <c r="AF1307" s="16">
        <f t="shared" si="1609"/>
        <v>0</v>
      </c>
      <c r="AG1307" s="16">
        <f t="shared" si="1609"/>
        <v>0</v>
      </c>
      <c r="AH1307" s="16">
        <f t="shared" si="1609"/>
        <v>0</v>
      </c>
      <c r="AI1307" s="16">
        <f t="shared" si="1609"/>
        <v>0</v>
      </c>
      <c r="AJ1307" s="16">
        <f t="shared" si="1609"/>
        <v>0</v>
      </c>
      <c r="AK1307" s="16">
        <f t="shared" si="1609"/>
        <v>0</v>
      </c>
      <c r="AL1307" s="16">
        <f t="shared" si="1609"/>
        <v>0</v>
      </c>
      <c r="AM1307" s="16">
        <f t="shared" si="1609"/>
        <v>0</v>
      </c>
      <c r="AN1307" s="16">
        <f t="shared" si="1609"/>
        <v>0</v>
      </c>
      <c r="AO1307" s="16">
        <f t="shared" si="1609"/>
        <v>0</v>
      </c>
      <c r="AP1307" s="10"/>
      <c r="AQ1307" s="10"/>
      <c r="AR1307" s="10"/>
      <c r="AS1307" s="10" t="str">
        <f t="shared" ca="1" si="1606"/>
        <v>Johnson &amp; Johnson</v>
      </c>
      <c r="AT1307" s="10"/>
      <c r="AU1307" s="10"/>
      <c r="AV1307" s="10"/>
      <c r="AW1307" s="10"/>
      <c r="AX1307" s="10"/>
      <c r="AY1307" s="10"/>
      <c r="AZ1307" s="10"/>
      <c r="BA1307" s="10"/>
      <c r="BB1307" s="10"/>
      <c r="BC1307" s="10"/>
      <c r="BD1307" s="10"/>
      <c r="BE1307" s="10"/>
      <c r="BF1307" s="10"/>
      <c r="BG1307" s="10"/>
      <c r="BH1307" s="10"/>
      <c r="BI1307" s="10"/>
      <c r="BJ1307" s="10"/>
      <c r="BK1307" s="10"/>
      <c r="BM1307" s="10"/>
    </row>
    <row r="1308" spans="1:65" ht="12.75">
      <c r="A1308" s="9"/>
      <c r="B1308" s="10"/>
      <c r="C1308" s="11"/>
      <c r="D1308" s="12"/>
      <c r="E1308" s="10"/>
      <c r="F1308" s="10"/>
      <c r="G1308" s="10"/>
      <c r="H1308" s="14"/>
      <c r="I1308" s="14"/>
      <c r="J1308" s="14"/>
      <c r="K1308" s="14"/>
      <c r="L1308" s="14"/>
      <c r="M1308" s="15"/>
      <c r="N1308" s="10"/>
      <c r="O1308" s="14"/>
      <c r="P1308" s="14"/>
      <c r="Q1308" s="14"/>
      <c r="R1308" s="14"/>
      <c r="S1308" s="14"/>
      <c r="T1308" s="14"/>
      <c r="U1308" s="14"/>
      <c r="V1308" s="14">
        <f t="shared" si="1602"/>
        <v>1900</v>
      </c>
      <c r="W1308" s="14">
        <f t="shared" si="1603"/>
        <v>1</v>
      </c>
      <c r="X1308" s="14"/>
      <c r="Y1308" s="14"/>
      <c r="Z1308" s="14"/>
      <c r="AA1308" s="16" t="str">
        <f t="shared" ca="1" si="1609"/>
        <v>Johnson &amp; Johnson</v>
      </c>
      <c r="AB1308" s="16">
        <f t="shared" si="1609"/>
        <v>0</v>
      </c>
      <c r="AC1308" s="16">
        <f t="shared" si="1609"/>
        <v>0</v>
      </c>
      <c r="AD1308" s="16">
        <f t="shared" si="1609"/>
        <v>0</v>
      </c>
      <c r="AE1308" s="16">
        <f t="shared" si="1609"/>
        <v>0</v>
      </c>
      <c r="AF1308" s="16">
        <f t="shared" si="1609"/>
        <v>0</v>
      </c>
      <c r="AG1308" s="16">
        <f t="shared" si="1609"/>
        <v>0</v>
      </c>
      <c r="AH1308" s="16">
        <f t="shared" si="1609"/>
        <v>0</v>
      </c>
      <c r="AI1308" s="16">
        <f t="shared" si="1609"/>
        <v>0</v>
      </c>
      <c r="AJ1308" s="16">
        <f t="shared" si="1609"/>
        <v>0</v>
      </c>
      <c r="AK1308" s="16">
        <f t="shared" si="1609"/>
        <v>0</v>
      </c>
      <c r="AL1308" s="16">
        <f t="shared" si="1609"/>
        <v>0</v>
      </c>
      <c r="AM1308" s="16">
        <f t="shared" si="1609"/>
        <v>0</v>
      </c>
      <c r="AN1308" s="16">
        <f t="shared" si="1609"/>
        <v>0</v>
      </c>
      <c r="AO1308" s="16">
        <f t="shared" si="1609"/>
        <v>0</v>
      </c>
      <c r="AP1308" s="10"/>
      <c r="AQ1308" s="10"/>
      <c r="AR1308" s="10"/>
      <c r="AS1308" s="10" t="str">
        <f t="shared" ca="1" si="1606"/>
        <v>Johnson &amp; Johnson</v>
      </c>
      <c r="AT1308" s="10"/>
      <c r="AU1308" s="10"/>
      <c r="AV1308" s="10"/>
      <c r="AW1308" s="10"/>
      <c r="AX1308" s="10"/>
      <c r="AY1308" s="10"/>
      <c r="AZ1308" s="10"/>
      <c r="BA1308" s="10"/>
      <c r="BB1308" s="10"/>
      <c r="BC1308" s="10"/>
      <c r="BD1308" s="10"/>
      <c r="BE1308" s="10"/>
      <c r="BF1308" s="10"/>
      <c r="BG1308" s="10"/>
      <c r="BH1308" s="10"/>
      <c r="BI1308" s="10"/>
      <c r="BJ1308" s="10"/>
      <c r="BK1308" s="10"/>
      <c r="BM1308" s="10"/>
    </row>
    <row r="1309" spans="1:65" ht="12.75">
      <c r="A1309" s="9"/>
      <c r="B1309" s="10"/>
      <c r="C1309" s="11"/>
      <c r="D1309" s="12"/>
      <c r="E1309" s="10"/>
      <c r="F1309" s="10"/>
      <c r="G1309" s="10"/>
      <c r="H1309" s="14"/>
      <c r="I1309" s="14"/>
      <c r="J1309" s="14"/>
      <c r="K1309" s="14"/>
      <c r="L1309" s="14"/>
      <c r="M1309" s="15"/>
      <c r="N1309" s="10"/>
      <c r="O1309" s="14"/>
      <c r="P1309" s="14"/>
      <c r="Q1309" s="14"/>
      <c r="R1309" s="14"/>
      <c r="S1309" s="14"/>
      <c r="T1309" s="14"/>
      <c r="U1309" s="14"/>
      <c r="V1309" s="14">
        <f t="shared" si="1602"/>
        <v>1900</v>
      </c>
      <c r="W1309" s="14">
        <f t="shared" si="1603"/>
        <v>1</v>
      </c>
      <c r="X1309" s="14"/>
      <c r="Y1309" s="14"/>
      <c r="Z1309" s="14"/>
      <c r="AA1309" s="16" t="str">
        <f t="shared" ca="1" si="1609"/>
        <v>Johnson &amp; Johnson</v>
      </c>
      <c r="AB1309" s="16">
        <f t="shared" si="1609"/>
        <v>0</v>
      </c>
      <c r="AC1309" s="16">
        <f t="shared" si="1609"/>
        <v>0</v>
      </c>
      <c r="AD1309" s="16">
        <f t="shared" si="1609"/>
        <v>0</v>
      </c>
      <c r="AE1309" s="16">
        <f t="shared" si="1609"/>
        <v>0</v>
      </c>
      <c r="AF1309" s="16">
        <f t="shared" si="1609"/>
        <v>0</v>
      </c>
      <c r="AG1309" s="16">
        <f t="shared" si="1609"/>
        <v>0</v>
      </c>
      <c r="AH1309" s="16">
        <f t="shared" si="1609"/>
        <v>0</v>
      </c>
      <c r="AI1309" s="16">
        <f t="shared" si="1609"/>
        <v>0</v>
      </c>
      <c r="AJ1309" s="16">
        <f t="shared" si="1609"/>
        <v>0</v>
      </c>
      <c r="AK1309" s="16">
        <f t="shared" si="1609"/>
        <v>0</v>
      </c>
      <c r="AL1309" s="16">
        <f t="shared" si="1609"/>
        <v>0</v>
      </c>
      <c r="AM1309" s="16">
        <f t="shared" si="1609"/>
        <v>0</v>
      </c>
      <c r="AN1309" s="16">
        <f t="shared" si="1609"/>
        <v>0</v>
      </c>
      <c r="AO1309" s="16">
        <f t="shared" si="1609"/>
        <v>0</v>
      </c>
      <c r="AP1309" s="10"/>
      <c r="AQ1309" s="10"/>
      <c r="AR1309" s="10"/>
      <c r="AS1309" s="10" t="str">
        <f t="shared" ca="1" si="1606"/>
        <v>Johnson &amp; Johnson</v>
      </c>
      <c r="AT1309" s="10"/>
      <c r="AU1309" s="10"/>
      <c r="AV1309" s="10"/>
      <c r="AW1309" s="10"/>
      <c r="AX1309" s="10"/>
      <c r="AY1309" s="10"/>
      <c r="AZ1309" s="10"/>
      <c r="BA1309" s="10"/>
      <c r="BB1309" s="10"/>
      <c r="BC1309" s="10"/>
      <c r="BD1309" s="10"/>
      <c r="BE1309" s="10"/>
      <c r="BF1309" s="10"/>
      <c r="BG1309" s="10"/>
      <c r="BH1309" s="10"/>
      <c r="BI1309" s="10"/>
      <c r="BJ1309" s="10"/>
      <c r="BK1309" s="10"/>
      <c r="BM1309" s="10"/>
    </row>
    <row r="1310" spans="1:65" ht="12.75">
      <c r="A1310" s="9"/>
      <c r="B1310" s="10"/>
      <c r="C1310" s="11"/>
      <c r="D1310" s="12"/>
      <c r="E1310" s="10"/>
      <c r="F1310" s="10"/>
      <c r="G1310" s="10"/>
      <c r="H1310" s="14"/>
      <c r="I1310" s="14"/>
      <c r="J1310" s="14"/>
      <c r="K1310" s="14"/>
      <c r="L1310" s="14"/>
      <c r="M1310" s="15"/>
      <c r="N1310" s="10"/>
      <c r="O1310" s="14"/>
      <c r="P1310" s="14"/>
      <c r="Q1310" s="14"/>
      <c r="R1310" s="14"/>
      <c r="S1310" s="14"/>
      <c r="T1310" s="14"/>
      <c r="U1310" s="14"/>
      <c r="V1310" s="14">
        <f t="shared" si="1602"/>
        <v>1900</v>
      </c>
      <c r="W1310" s="14">
        <f t="shared" si="1603"/>
        <v>1</v>
      </c>
      <c r="X1310" s="14"/>
      <c r="Y1310" s="14"/>
      <c r="Z1310" s="14"/>
      <c r="AA1310" s="16" t="str">
        <f t="shared" ca="1" si="1609"/>
        <v>Johnson &amp; Johnson</v>
      </c>
      <c r="AB1310" s="16">
        <f t="shared" si="1609"/>
        <v>0</v>
      </c>
      <c r="AC1310" s="16">
        <f t="shared" si="1609"/>
        <v>0</v>
      </c>
      <c r="AD1310" s="16">
        <f t="shared" si="1609"/>
        <v>0</v>
      </c>
      <c r="AE1310" s="16">
        <f t="shared" si="1609"/>
        <v>0</v>
      </c>
      <c r="AF1310" s="16">
        <f t="shared" si="1609"/>
        <v>0</v>
      </c>
      <c r="AG1310" s="16">
        <f t="shared" si="1609"/>
        <v>0</v>
      </c>
      <c r="AH1310" s="16">
        <f t="shared" si="1609"/>
        <v>0</v>
      </c>
      <c r="AI1310" s="16">
        <f t="shared" si="1609"/>
        <v>0</v>
      </c>
      <c r="AJ1310" s="16">
        <f t="shared" si="1609"/>
        <v>0</v>
      </c>
      <c r="AK1310" s="16">
        <f t="shared" si="1609"/>
        <v>0</v>
      </c>
      <c r="AL1310" s="16">
        <f t="shared" si="1609"/>
        <v>0</v>
      </c>
      <c r="AM1310" s="16">
        <f t="shared" si="1609"/>
        <v>0</v>
      </c>
      <c r="AN1310" s="16">
        <f t="shared" si="1609"/>
        <v>0</v>
      </c>
      <c r="AO1310" s="16">
        <f t="shared" si="1609"/>
        <v>0</v>
      </c>
      <c r="AP1310" s="10"/>
      <c r="AQ1310" s="10"/>
      <c r="AR1310" s="10"/>
      <c r="AS1310" s="10" t="str">
        <f t="shared" ca="1" si="1606"/>
        <v>Johnson &amp; Johnson</v>
      </c>
      <c r="AT1310" s="10"/>
      <c r="AU1310" s="10"/>
      <c r="AV1310" s="10"/>
      <c r="AW1310" s="10"/>
      <c r="AX1310" s="10"/>
      <c r="AY1310" s="10"/>
      <c r="AZ1310" s="10"/>
      <c r="BA1310" s="10"/>
      <c r="BB1310" s="10"/>
      <c r="BC1310" s="10"/>
      <c r="BD1310" s="10"/>
      <c r="BE1310" s="10"/>
      <c r="BF1310" s="10"/>
      <c r="BG1310" s="10"/>
      <c r="BH1310" s="10"/>
      <c r="BI1310" s="10"/>
      <c r="BJ1310" s="10"/>
      <c r="BK1310" s="10"/>
      <c r="BM1310" s="10"/>
    </row>
    <row r="1311" spans="1:65" ht="12.75">
      <c r="A1311" s="9"/>
      <c r="B1311" s="10"/>
      <c r="C1311" s="11"/>
      <c r="D1311" s="12"/>
      <c r="E1311" s="10"/>
      <c r="F1311" s="10"/>
      <c r="G1311" s="10"/>
      <c r="H1311" s="14"/>
      <c r="I1311" s="14"/>
      <c r="J1311" s="14"/>
      <c r="K1311" s="14"/>
      <c r="L1311" s="14"/>
      <c r="M1311" s="15"/>
      <c r="N1311" s="10"/>
      <c r="O1311" s="14"/>
      <c r="P1311" s="14"/>
      <c r="Q1311" s="14"/>
      <c r="R1311" s="14"/>
      <c r="S1311" s="14"/>
      <c r="T1311" s="14"/>
      <c r="U1311" s="14"/>
      <c r="V1311" s="14">
        <f t="shared" si="1602"/>
        <v>1900</v>
      </c>
      <c r="W1311" s="14">
        <f t="shared" si="1603"/>
        <v>1</v>
      </c>
      <c r="X1311" s="14"/>
      <c r="Y1311" s="14"/>
      <c r="Z1311" s="14"/>
      <c r="AA1311" s="16" t="str">
        <f t="shared" ca="1" si="1609"/>
        <v>Johnson &amp; Johnson</v>
      </c>
      <c r="AB1311" s="16">
        <f t="shared" si="1609"/>
        <v>0</v>
      </c>
      <c r="AC1311" s="16">
        <f t="shared" si="1609"/>
        <v>0</v>
      </c>
      <c r="AD1311" s="16">
        <f t="shared" si="1609"/>
        <v>0</v>
      </c>
      <c r="AE1311" s="16">
        <f t="shared" si="1609"/>
        <v>0</v>
      </c>
      <c r="AF1311" s="16">
        <f t="shared" si="1609"/>
        <v>0</v>
      </c>
      <c r="AG1311" s="16">
        <f t="shared" si="1609"/>
        <v>0</v>
      </c>
      <c r="AH1311" s="16">
        <f t="shared" si="1609"/>
        <v>0</v>
      </c>
      <c r="AI1311" s="16">
        <f t="shared" si="1609"/>
        <v>0</v>
      </c>
      <c r="AJ1311" s="16">
        <f t="shared" si="1609"/>
        <v>0</v>
      </c>
      <c r="AK1311" s="16">
        <f t="shared" si="1609"/>
        <v>0</v>
      </c>
      <c r="AL1311" s="16">
        <f t="shared" si="1609"/>
        <v>0</v>
      </c>
      <c r="AM1311" s="16">
        <f t="shared" si="1609"/>
        <v>0</v>
      </c>
      <c r="AN1311" s="16">
        <f t="shared" si="1609"/>
        <v>0</v>
      </c>
      <c r="AO1311" s="16">
        <f t="shared" si="1609"/>
        <v>0</v>
      </c>
      <c r="AP1311" s="10"/>
      <c r="AQ1311" s="10"/>
      <c r="AR1311" s="10"/>
      <c r="AS1311" s="10" t="str">
        <f t="shared" ca="1" si="1606"/>
        <v>Johnson &amp; Johnson</v>
      </c>
      <c r="AT1311" s="10"/>
      <c r="AU1311" s="10"/>
      <c r="AV1311" s="10"/>
      <c r="AW1311" s="10"/>
      <c r="AX1311" s="10"/>
      <c r="AY1311" s="10"/>
      <c r="AZ1311" s="10"/>
      <c r="BA1311" s="10"/>
      <c r="BB1311" s="10"/>
      <c r="BC1311" s="10"/>
      <c r="BD1311" s="10"/>
      <c r="BE1311" s="10"/>
      <c r="BF1311" s="10"/>
      <c r="BG1311" s="10"/>
      <c r="BH1311" s="10"/>
      <c r="BI1311" s="10"/>
      <c r="BJ1311" s="10"/>
      <c r="BK1311" s="10"/>
      <c r="BM1311" s="10"/>
    </row>
    <row r="1312" spans="1:65" ht="12.75">
      <c r="A1312" s="9"/>
      <c r="B1312" s="10"/>
      <c r="C1312" s="11"/>
      <c r="D1312" s="12"/>
      <c r="E1312" s="10"/>
      <c r="F1312" s="10"/>
      <c r="G1312" s="10"/>
      <c r="H1312" s="14"/>
      <c r="I1312" s="14"/>
      <c r="J1312" s="14"/>
      <c r="K1312" s="14"/>
      <c r="L1312" s="14"/>
      <c r="M1312" s="15"/>
      <c r="N1312" s="10"/>
      <c r="O1312" s="14"/>
      <c r="P1312" s="14"/>
      <c r="Q1312" s="14"/>
      <c r="R1312" s="14"/>
      <c r="S1312" s="14"/>
      <c r="T1312" s="14"/>
      <c r="U1312" s="14"/>
      <c r="V1312" s="14">
        <f t="shared" si="1602"/>
        <v>1900</v>
      </c>
      <c r="W1312" s="14">
        <f t="shared" si="1603"/>
        <v>1</v>
      </c>
      <c r="X1312" s="14"/>
      <c r="Y1312" s="14"/>
      <c r="Z1312" s="14"/>
      <c r="AA1312" s="16" t="str">
        <f t="shared" ca="1" si="1609"/>
        <v>Johnson &amp; Johnson</v>
      </c>
      <c r="AB1312" s="16">
        <f t="shared" si="1609"/>
        <v>0</v>
      </c>
      <c r="AC1312" s="16">
        <f t="shared" si="1609"/>
        <v>0</v>
      </c>
      <c r="AD1312" s="16">
        <f t="shared" si="1609"/>
        <v>0</v>
      </c>
      <c r="AE1312" s="16">
        <f t="shared" si="1609"/>
        <v>0</v>
      </c>
      <c r="AF1312" s="16">
        <f t="shared" si="1609"/>
        <v>0</v>
      </c>
      <c r="AG1312" s="16">
        <f t="shared" si="1609"/>
        <v>0</v>
      </c>
      <c r="AH1312" s="16">
        <f t="shared" si="1609"/>
        <v>0</v>
      </c>
      <c r="AI1312" s="16">
        <f t="shared" si="1609"/>
        <v>0</v>
      </c>
      <c r="AJ1312" s="16">
        <f t="shared" si="1609"/>
        <v>0</v>
      </c>
      <c r="AK1312" s="16">
        <f t="shared" si="1609"/>
        <v>0</v>
      </c>
      <c r="AL1312" s="16">
        <f t="shared" si="1609"/>
        <v>0</v>
      </c>
      <c r="AM1312" s="16">
        <f t="shared" si="1609"/>
        <v>0</v>
      </c>
      <c r="AN1312" s="16">
        <f t="shared" si="1609"/>
        <v>0</v>
      </c>
      <c r="AO1312" s="16">
        <f t="shared" si="1609"/>
        <v>0</v>
      </c>
      <c r="AP1312" s="10"/>
      <c r="AQ1312" s="10"/>
      <c r="AR1312" s="10"/>
      <c r="AS1312" s="10" t="str">
        <f t="shared" ca="1" si="1606"/>
        <v>Johnson &amp; Johnson</v>
      </c>
      <c r="AT1312" s="10"/>
      <c r="AU1312" s="10"/>
      <c r="AV1312" s="10"/>
      <c r="AW1312" s="10"/>
      <c r="AX1312" s="10"/>
      <c r="AY1312" s="10"/>
      <c r="AZ1312" s="10"/>
      <c r="BA1312" s="10"/>
      <c r="BB1312" s="10"/>
      <c r="BC1312" s="10"/>
      <c r="BD1312" s="10"/>
      <c r="BE1312" s="10"/>
      <c r="BF1312" s="10"/>
      <c r="BG1312" s="10"/>
      <c r="BH1312" s="10"/>
      <c r="BI1312" s="10"/>
      <c r="BJ1312" s="10"/>
      <c r="BK1312" s="10"/>
      <c r="BM1312" s="10"/>
    </row>
    <row r="1313" spans="1:65" ht="12.75">
      <c r="A1313" s="9"/>
      <c r="B1313" s="10"/>
      <c r="C1313" s="11"/>
      <c r="D1313" s="12"/>
      <c r="E1313" s="10"/>
      <c r="F1313" s="10"/>
      <c r="G1313" s="10"/>
      <c r="H1313" s="14"/>
      <c r="I1313" s="14"/>
      <c r="J1313" s="14"/>
      <c r="K1313" s="14"/>
      <c r="L1313" s="14"/>
      <c r="M1313" s="15"/>
      <c r="N1313" s="10"/>
      <c r="O1313" s="14"/>
      <c r="P1313" s="14"/>
      <c r="Q1313" s="14"/>
      <c r="R1313" s="14"/>
      <c r="S1313" s="14"/>
      <c r="T1313" s="14"/>
      <c r="U1313" s="14"/>
      <c r="V1313" s="14">
        <f t="shared" si="1602"/>
        <v>1900</v>
      </c>
      <c r="W1313" s="14">
        <f t="shared" si="1603"/>
        <v>1</v>
      </c>
      <c r="X1313" s="14"/>
      <c r="Y1313" s="14"/>
      <c r="Z1313" s="14"/>
      <c r="AA1313" s="16" t="str">
        <f t="shared" ca="1" si="1609"/>
        <v>Johnson &amp; Johnson</v>
      </c>
      <c r="AB1313" s="16">
        <f t="shared" si="1609"/>
        <v>0</v>
      </c>
      <c r="AC1313" s="16">
        <f t="shared" si="1609"/>
        <v>0</v>
      </c>
      <c r="AD1313" s="16">
        <f t="shared" si="1609"/>
        <v>0</v>
      </c>
      <c r="AE1313" s="16">
        <f t="shared" si="1609"/>
        <v>0</v>
      </c>
      <c r="AF1313" s="16">
        <f t="shared" si="1609"/>
        <v>0</v>
      </c>
      <c r="AG1313" s="16">
        <f t="shared" si="1609"/>
        <v>0</v>
      </c>
      <c r="AH1313" s="16">
        <f t="shared" si="1609"/>
        <v>0</v>
      </c>
      <c r="AI1313" s="16">
        <f t="shared" si="1609"/>
        <v>0</v>
      </c>
      <c r="AJ1313" s="16">
        <f t="shared" si="1609"/>
        <v>0</v>
      </c>
      <c r="AK1313" s="16">
        <f t="shared" si="1609"/>
        <v>0</v>
      </c>
      <c r="AL1313" s="16">
        <f t="shared" si="1609"/>
        <v>0</v>
      </c>
      <c r="AM1313" s="16">
        <f t="shared" si="1609"/>
        <v>0</v>
      </c>
      <c r="AN1313" s="16">
        <f t="shared" si="1609"/>
        <v>0</v>
      </c>
      <c r="AO1313" s="16">
        <f t="shared" si="1609"/>
        <v>0</v>
      </c>
      <c r="AP1313" s="10"/>
      <c r="AQ1313" s="10"/>
      <c r="AR1313" s="10"/>
      <c r="AS1313" s="10" t="str">
        <f t="shared" ca="1" si="1606"/>
        <v>Johnson &amp; Johnson</v>
      </c>
      <c r="AT1313" s="10"/>
      <c r="AU1313" s="10"/>
      <c r="AV1313" s="10"/>
      <c r="AW1313" s="10"/>
      <c r="AX1313" s="10"/>
      <c r="AY1313" s="10"/>
      <c r="AZ1313" s="10"/>
      <c r="BA1313" s="10"/>
      <c r="BB1313" s="10"/>
      <c r="BC1313" s="10"/>
      <c r="BD1313" s="10"/>
      <c r="BE1313" s="10"/>
      <c r="BF1313" s="10"/>
      <c r="BG1313" s="10"/>
      <c r="BH1313" s="10"/>
      <c r="BI1313" s="10"/>
      <c r="BJ1313" s="10"/>
      <c r="BK1313" s="10"/>
      <c r="BM1313" s="10"/>
    </row>
    <row r="1314" spans="1:65" ht="12.75">
      <c r="A1314" s="9"/>
      <c r="B1314" s="10"/>
      <c r="C1314" s="11"/>
      <c r="D1314" s="12"/>
      <c r="E1314" s="10"/>
      <c r="F1314" s="10"/>
      <c r="G1314" s="10"/>
      <c r="H1314" s="14"/>
      <c r="I1314" s="14"/>
      <c r="J1314" s="14"/>
      <c r="K1314" s="14"/>
      <c r="L1314" s="14"/>
      <c r="M1314" s="15"/>
      <c r="N1314" s="10"/>
      <c r="O1314" s="14"/>
      <c r="P1314" s="14"/>
      <c r="Q1314" s="14"/>
      <c r="R1314" s="14"/>
      <c r="S1314" s="14"/>
      <c r="T1314" s="14"/>
      <c r="U1314" s="14"/>
      <c r="V1314" s="14">
        <f t="shared" si="1602"/>
        <v>1900</v>
      </c>
      <c r="W1314" s="14">
        <f t="shared" si="1603"/>
        <v>1</v>
      </c>
      <c r="X1314" s="14"/>
      <c r="Y1314" s="14"/>
      <c r="Z1314" s="14"/>
      <c r="AA1314" s="16" t="str">
        <f t="shared" ca="1" si="1609"/>
        <v>Johnson &amp; Johnson</v>
      </c>
      <c r="AB1314" s="16">
        <f t="shared" si="1609"/>
        <v>0</v>
      </c>
      <c r="AC1314" s="16">
        <f t="shared" si="1609"/>
        <v>0</v>
      </c>
      <c r="AD1314" s="16">
        <f t="shared" si="1609"/>
        <v>0</v>
      </c>
      <c r="AE1314" s="16">
        <f t="shared" si="1609"/>
        <v>0</v>
      </c>
      <c r="AF1314" s="16">
        <f t="shared" si="1609"/>
        <v>0</v>
      </c>
      <c r="AG1314" s="16">
        <f t="shared" si="1609"/>
        <v>0</v>
      </c>
      <c r="AH1314" s="16">
        <f t="shared" si="1609"/>
        <v>0</v>
      </c>
      <c r="AI1314" s="16">
        <f t="shared" si="1609"/>
        <v>0</v>
      </c>
      <c r="AJ1314" s="16">
        <f t="shared" si="1609"/>
        <v>0</v>
      </c>
      <c r="AK1314" s="16">
        <f t="shared" si="1609"/>
        <v>0</v>
      </c>
      <c r="AL1314" s="16">
        <f t="shared" si="1609"/>
        <v>0</v>
      </c>
      <c r="AM1314" s="16">
        <f t="shared" si="1609"/>
        <v>0</v>
      </c>
      <c r="AN1314" s="16">
        <f t="shared" si="1609"/>
        <v>0</v>
      </c>
      <c r="AO1314" s="16">
        <f t="shared" si="1609"/>
        <v>0</v>
      </c>
      <c r="AP1314" s="10"/>
      <c r="AQ1314" s="10"/>
      <c r="AR1314" s="10"/>
      <c r="AS1314" s="10" t="str">
        <f t="shared" ca="1" si="1606"/>
        <v>Johnson &amp; Johnson</v>
      </c>
      <c r="AT1314" s="10"/>
      <c r="AU1314" s="10"/>
      <c r="AV1314" s="10"/>
      <c r="AW1314" s="10"/>
      <c r="AX1314" s="10"/>
      <c r="AY1314" s="10"/>
      <c r="AZ1314" s="10"/>
      <c r="BA1314" s="10"/>
      <c r="BB1314" s="10"/>
      <c r="BC1314" s="10"/>
      <c r="BD1314" s="10"/>
      <c r="BE1314" s="10"/>
      <c r="BF1314" s="10"/>
      <c r="BG1314" s="10"/>
      <c r="BH1314" s="10"/>
      <c r="BI1314" s="10"/>
      <c r="BJ1314" s="10"/>
      <c r="BK1314" s="10"/>
      <c r="BM1314" s="10"/>
    </row>
    <row r="1315" spans="1:65" ht="12.75">
      <c r="A1315" s="9"/>
      <c r="B1315" s="10"/>
      <c r="C1315" s="11"/>
      <c r="D1315" s="12"/>
      <c r="E1315" s="10"/>
      <c r="F1315" s="10"/>
      <c r="G1315" s="10"/>
      <c r="H1315" s="14"/>
      <c r="I1315" s="14"/>
      <c r="J1315" s="14"/>
      <c r="K1315" s="14"/>
      <c r="L1315" s="14"/>
      <c r="M1315" s="15"/>
      <c r="N1315" s="10"/>
      <c r="O1315" s="14"/>
      <c r="P1315" s="14"/>
      <c r="Q1315" s="14"/>
      <c r="R1315" s="14"/>
      <c r="S1315" s="14"/>
      <c r="T1315" s="14"/>
      <c r="U1315" s="14"/>
      <c r="V1315" s="14">
        <f t="shared" si="1602"/>
        <v>1900</v>
      </c>
      <c r="W1315" s="14">
        <f t="shared" si="1603"/>
        <v>1</v>
      </c>
      <c r="X1315" s="14"/>
      <c r="Y1315" s="14"/>
      <c r="Z1315" s="14"/>
      <c r="AA1315" s="16" t="str">
        <f t="shared" ca="1" si="1609"/>
        <v>Johnson &amp; Johnson</v>
      </c>
      <c r="AB1315" s="16">
        <f t="shared" si="1609"/>
        <v>0</v>
      </c>
      <c r="AC1315" s="16">
        <f t="shared" si="1609"/>
        <v>0</v>
      </c>
      <c r="AD1315" s="16">
        <f t="shared" si="1609"/>
        <v>0</v>
      </c>
      <c r="AE1315" s="16">
        <f t="shared" si="1609"/>
        <v>0</v>
      </c>
      <c r="AF1315" s="16">
        <f t="shared" si="1609"/>
        <v>0</v>
      </c>
      <c r="AG1315" s="16">
        <f t="shared" si="1609"/>
        <v>0</v>
      </c>
      <c r="AH1315" s="16">
        <f t="shared" si="1609"/>
        <v>0</v>
      </c>
      <c r="AI1315" s="16">
        <f t="shared" si="1609"/>
        <v>0</v>
      </c>
      <c r="AJ1315" s="16">
        <f t="shared" si="1609"/>
        <v>0</v>
      </c>
      <c r="AK1315" s="16">
        <f t="shared" si="1609"/>
        <v>0</v>
      </c>
      <c r="AL1315" s="16">
        <f t="shared" si="1609"/>
        <v>0</v>
      </c>
      <c r="AM1315" s="16">
        <f t="shared" si="1609"/>
        <v>0</v>
      </c>
      <c r="AN1315" s="16">
        <f t="shared" si="1609"/>
        <v>0</v>
      </c>
      <c r="AO1315" s="16">
        <f t="shared" si="1609"/>
        <v>0</v>
      </c>
      <c r="AP1315" s="10"/>
      <c r="AQ1315" s="10"/>
      <c r="AR1315" s="10"/>
      <c r="AS1315" s="10" t="str">
        <f t="shared" ca="1" si="1606"/>
        <v>Johnson &amp; Johnson</v>
      </c>
      <c r="AT1315" s="10"/>
      <c r="AU1315" s="10"/>
      <c r="AV1315" s="10"/>
      <c r="AW1315" s="10"/>
      <c r="AX1315" s="10"/>
      <c r="AY1315" s="10"/>
      <c r="AZ1315" s="10"/>
      <c r="BA1315" s="10"/>
      <c r="BB1315" s="10"/>
      <c r="BC1315" s="10"/>
      <c r="BD1315" s="10"/>
      <c r="BE1315" s="10"/>
      <c r="BF1315" s="10"/>
      <c r="BG1315" s="10"/>
      <c r="BH1315" s="10"/>
      <c r="BI1315" s="10"/>
      <c r="BJ1315" s="10"/>
      <c r="BK1315" s="10"/>
      <c r="BM1315" s="10"/>
    </row>
    <row r="1316" spans="1:65" ht="12.75">
      <c r="A1316" s="9"/>
      <c r="B1316" s="10"/>
      <c r="C1316" s="11"/>
      <c r="D1316" s="12"/>
      <c r="E1316" s="10"/>
      <c r="F1316" s="10"/>
      <c r="G1316" s="10"/>
      <c r="H1316" s="14"/>
      <c r="I1316" s="14"/>
      <c r="J1316" s="14"/>
      <c r="K1316" s="14"/>
      <c r="L1316" s="14"/>
      <c r="M1316" s="15"/>
      <c r="N1316" s="10"/>
      <c r="O1316" s="14"/>
      <c r="P1316" s="14"/>
      <c r="Q1316" s="14"/>
      <c r="R1316" s="14"/>
      <c r="S1316" s="14"/>
      <c r="T1316" s="14"/>
      <c r="U1316" s="14"/>
      <c r="V1316" s="14">
        <f t="shared" si="1602"/>
        <v>1900</v>
      </c>
      <c r="W1316" s="14">
        <f t="shared" si="1603"/>
        <v>1</v>
      </c>
      <c r="X1316" s="14"/>
      <c r="Y1316" s="14"/>
      <c r="Z1316" s="14"/>
      <c r="AA1316" s="16" t="str">
        <f t="shared" ca="1" si="1609"/>
        <v>Johnson &amp; Johnson</v>
      </c>
      <c r="AB1316" s="16">
        <f t="shared" si="1609"/>
        <v>0</v>
      </c>
      <c r="AC1316" s="16">
        <f t="shared" si="1609"/>
        <v>0</v>
      </c>
      <c r="AD1316" s="16">
        <f t="shared" si="1609"/>
        <v>0</v>
      </c>
      <c r="AE1316" s="16">
        <f t="shared" si="1609"/>
        <v>0</v>
      </c>
      <c r="AF1316" s="16">
        <f t="shared" si="1609"/>
        <v>0</v>
      </c>
      <c r="AG1316" s="16">
        <f t="shared" si="1609"/>
        <v>0</v>
      </c>
      <c r="AH1316" s="16">
        <f t="shared" si="1609"/>
        <v>0</v>
      </c>
      <c r="AI1316" s="16">
        <f t="shared" si="1609"/>
        <v>0</v>
      </c>
      <c r="AJ1316" s="16">
        <f t="shared" si="1609"/>
        <v>0</v>
      </c>
      <c r="AK1316" s="16">
        <f t="shared" si="1609"/>
        <v>0</v>
      </c>
      <c r="AL1316" s="16">
        <f t="shared" si="1609"/>
        <v>0</v>
      </c>
      <c r="AM1316" s="16">
        <f t="shared" si="1609"/>
        <v>0</v>
      </c>
      <c r="AN1316" s="16">
        <f t="shared" si="1609"/>
        <v>0</v>
      </c>
      <c r="AO1316" s="16">
        <f t="shared" si="1609"/>
        <v>0</v>
      </c>
      <c r="AP1316" s="10"/>
      <c r="AQ1316" s="10"/>
      <c r="AR1316" s="10"/>
      <c r="AS1316" s="10" t="str">
        <f t="shared" ca="1" si="1606"/>
        <v>Johnson &amp; Johnson</v>
      </c>
      <c r="AT1316" s="10"/>
      <c r="AU1316" s="10"/>
      <c r="AV1316" s="10"/>
      <c r="AW1316" s="10"/>
      <c r="AX1316" s="10"/>
      <c r="AY1316" s="10"/>
      <c r="AZ1316" s="10"/>
      <c r="BA1316" s="10"/>
      <c r="BB1316" s="10"/>
      <c r="BC1316" s="10"/>
      <c r="BD1316" s="10"/>
      <c r="BE1316" s="10"/>
      <c r="BF1316" s="10"/>
      <c r="BG1316" s="10"/>
      <c r="BH1316" s="10"/>
      <c r="BI1316" s="10"/>
      <c r="BJ1316" s="10"/>
      <c r="BK1316" s="10"/>
      <c r="BM1316" s="10"/>
    </row>
    <row r="1317" spans="1:65" ht="12.75">
      <c r="A1317" s="9"/>
      <c r="B1317" s="10"/>
      <c r="C1317" s="11"/>
      <c r="D1317" s="12"/>
      <c r="E1317" s="10"/>
      <c r="F1317" s="10"/>
      <c r="G1317" s="10"/>
      <c r="H1317" s="14"/>
      <c r="I1317" s="14"/>
      <c r="J1317" s="14"/>
      <c r="K1317" s="14"/>
      <c r="L1317" s="14"/>
      <c r="M1317" s="15"/>
      <c r="N1317" s="10"/>
      <c r="O1317" s="14"/>
      <c r="P1317" s="14"/>
      <c r="Q1317" s="14"/>
      <c r="R1317" s="14"/>
      <c r="S1317" s="14"/>
      <c r="T1317" s="14"/>
      <c r="U1317" s="14"/>
      <c r="V1317" s="14">
        <f t="shared" si="1602"/>
        <v>1900</v>
      </c>
      <c r="W1317" s="14">
        <f t="shared" si="1603"/>
        <v>1</v>
      </c>
      <c r="X1317" s="14"/>
      <c r="Y1317" s="14"/>
      <c r="Z1317" s="14"/>
      <c r="AA1317" s="16" t="str">
        <f t="shared" ca="1" si="1609"/>
        <v>Johnson &amp; Johnson</v>
      </c>
      <c r="AB1317" s="16">
        <f t="shared" si="1609"/>
        <v>0</v>
      </c>
      <c r="AC1317" s="16">
        <f t="shared" si="1609"/>
        <v>0</v>
      </c>
      <c r="AD1317" s="16">
        <f t="shared" si="1609"/>
        <v>0</v>
      </c>
      <c r="AE1317" s="16">
        <f t="shared" si="1609"/>
        <v>0</v>
      </c>
      <c r="AF1317" s="16">
        <f t="shared" si="1609"/>
        <v>0</v>
      </c>
      <c r="AG1317" s="16">
        <f t="shared" si="1609"/>
        <v>0</v>
      </c>
      <c r="AH1317" s="16">
        <f t="shared" si="1609"/>
        <v>0</v>
      </c>
      <c r="AI1317" s="16">
        <f t="shared" si="1609"/>
        <v>0</v>
      </c>
      <c r="AJ1317" s="16">
        <f t="shared" si="1609"/>
        <v>0</v>
      </c>
      <c r="AK1317" s="16">
        <f t="shared" si="1609"/>
        <v>0</v>
      </c>
      <c r="AL1317" s="16">
        <f t="shared" si="1609"/>
        <v>0</v>
      </c>
      <c r="AM1317" s="16">
        <f t="shared" si="1609"/>
        <v>0</v>
      </c>
      <c r="AN1317" s="16">
        <f t="shared" si="1609"/>
        <v>0</v>
      </c>
      <c r="AO1317" s="16">
        <f t="shared" si="1609"/>
        <v>0</v>
      </c>
      <c r="AP1317" s="10"/>
      <c r="AQ1317" s="10"/>
      <c r="AR1317" s="10"/>
      <c r="AS1317" s="10" t="str">
        <f t="shared" ca="1" si="1606"/>
        <v>Johnson &amp; Johnson</v>
      </c>
      <c r="AT1317" s="10"/>
      <c r="AU1317" s="10"/>
      <c r="AV1317" s="10"/>
      <c r="AW1317" s="10"/>
      <c r="AX1317" s="10"/>
      <c r="AY1317" s="10"/>
      <c r="AZ1317" s="10"/>
      <c r="BA1317" s="10"/>
      <c r="BB1317" s="10"/>
      <c r="BC1317" s="10"/>
      <c r="BD1317" s="10"/>
      <c r="BE1317" s="10"/>
      <c r="BF1317" s="10"/>
      <c r="BG1317" s="10"/>
      <c r="BH1317" s="10"/>
      <c r="BI1317" s="10"/>
      <c r="BJ1317" s="10"/>
      <c r="BK1317" s="10"/>
      <c r="BM1317" s="10"/>
    </row>
    <row r="1318" spans="1:65" ht="12.75">
      <c r="A1318" s="9"/>
      <c r="B1318" s="10"/>
      <c r="C1318" s="11"/>
      <c r="D1318" s="12"/>
      <c r="E1318" s="10"/>
      <c r="F1318" s="10"/>
      <c r="G1318" s="10"/>
      <c r="H1318" s="14"/>
      <c r="I1318" s="14"/>
      <c r="J1318" s="14"/>
      <c r="K1318" s="14"/>
      <c r="L1318" s="14"/>
      <c r="M1318" s="15"/>
      <c r="N1318" s="10"/>
      <c r="O1318" s="14"/>
      <c r="P1318" s="14"/>
      <c r="Q1318" s="14"/>
      <c r="R1318" s="14"/>
      <c r="S1318" s="14"/>
      <c r="T1318" s="14"/>
      <c r="U1318" s="14"/>
      <c r="V1318" s="14">
        <f t="shared" si="1602"/>
        <v>1900</v>
      </c>
      <c r="W1318" s="14">
        <f t="shared" si="1603"/>
        <v>1</v>
      </c>
      <c r="X1318" s="14"/>
      <c r="Y1318" s="14"/>
      <c r="Z1318" s="14"/>
      <c r="AA1318" s="16" t="str">
        <f t="shared" ca="1" si="1609"/>
        <v>Johnson &amp; Johnson</v>
      </c>
      <c r="AB1318" s="16">
        <f t="shared" si="1609"/>
        <v>0</v>
      </c>
      <c r="AC1318" s="16">
        <f t="shared" si="1609"/>
        <v>0</v>
      </c>
      <c r="AD1318" s="16">
        <f t="shared" si="1609"/>
        <v>0</v>
      </c>
      <c r="AE1318" s="16">
        <f t="shared" si="1609"/>
        <v>0</v>
      </c>
      <c r="AF1318" s="16">
        <f t="shared" si="1609"/>
        <v>0</v>
      </c>
      <c r="AG1318" s="16">
        <f t="shared" si="1609"/>
        <v>0</v>
      </c>
      <c r="AH1318" s="16">
        <f t="shared" si="1609"/>
        <v>0</v>
      </c>
      <c r="AI1318" s="16">
        <f t="shared" si="1609"/>
        <v>0</v>
      </c>
      <c r="AJ1318" s="16">
        <f t="shared" si="1609"/>
        <v>0</v>
      </c>
      <c r="AK1318" s="16">
        <f t="shared" si="1609"/>
        <v>0</v>
      </c>
      <c r="AL1318" s="16">
        <f t="shared" si="1609"/>
        <v>0</v>
      </c>
      <c r="AM1318" s="16">
        <f t="shared" si="1609"/>
        <v>0</v>
      </c>
      <c r="AN1318" s="16">
        <f t="shared" si="1609"/>
        <v>0</v>
      </c>
      <c r="AO1318" s="16">
        <f t="shared" si="1609"/>
        <v>0</v>
      </c>
      <c r="AP1318" s="10"/>
      <c r="AQ1318" s="10"/>
      <c r="AR1318" s="10"/>
      <c r="AS1318" s="10" t="str">
        <f t="shared" ca="1" si="1606"/>
        <v>Johnson &amp; Johnson</v>
      </c>
      <c r="AT1318" s="10"/>
      <c r="AU1318" s="10"/>
      <c r="AV1318" s="10"/>
      <c r="AW1318" s="10"/>
      <c r="AX1318" s="10"/>
      <c r="AY1318" s="10"/>
      <c r="AZ1318" s="10"/>
      <c r="BA1318" s="10"/>
      <c r="BB1318" s="10"/>
      <c r="BC1318" s="10"/>
      <c r="BD1318" s="10"/>
      <c r="BE1318" s="10"/>
      <c r="BF1318" s="10"/>
      <c r="BG1318" s="10"/>
      <c r="BH1318" s="10"/>
      <c r="BI1318" s="10"/>
      <c r="BJ1318" s="10"/>
      <c r="BK1318" s="10"/>
      <c r="BM1318" s="10"/>
    </row>
    <row r="1319" spans="1:65" ht="12.75">
      <c r="A1319" s="9"/>
      <c r="B1319" s="10"/>
      <c r="C1319" s="11"/>
      <c r="D1319" s="12"/>
      <c r="E1319" s="10"/>
      <c r="F1319" s="10"/>
      <c r="G1319" s="10"/>
      <c r="H1319" s="14"/>
      <c r="I1319" s="14"/>
      <c r="J1319" s="14"/>
      <c r="K1319" s="14"/>
      <c r="L1319" s="14"/>
      <c r="M1319" s="15"/>
      <c r="N1319" s="10"/>
      <c r="O1319" s="14"/>
      <c r="P1319" s="14"/>
      <c r="Q1319" s="14"/>
      <c r="R1319" s="14"/>
      <c r="S1319" s="14"/>
      <c r="T1319" s="14"/>
      <c r="U1319" s="14"/>
      <c r="V1319" s="14">
        <f t="shared" si="1602"/>
        <v>1900</v>
      </c>
      <c r="W1319" s="14">
        <f t="shared" si="1603"/>
        <v>1</v>
      </c>
      <c r="X1319" s="14"/>
      <c r="Y1319" s="14"/>
      <c r="Z1319" s="14"/>
      <c r="AA1319" s="16" t="str">
        <f t="shared" ca="1" si="1609"/>
        <v>Johnson &amp; Johnson</v>
      </c>
      <c r="AB1319" s="16">
        <f t="shared" si="1609"/>
        <v>0</v>
      </c>
      <c r="AC1319" s="16">
        <f t="shared" si="1609"/>
        <v>0</v>
      </c>
      <c r="AD1319" s="16">
        <f t="shared" si="1609"/>
        <v>0</v>
      </c>
      <c r="AE1319" s="16">
        <f t="shared" si="1609"/>
        <v>0</v>
      </c>
      <c r="AF1319" s="16">
        <f t="shared" si="1609"/>
        <v>0</v>
      </c>
      <c r="AG1319" s="16">
        <f t="shared" si="1609"/>
        <v>0</v>
      </c>
      <c r="AH1319" s="16">
        <f t="shared" si="1609"/>
        <v>0</v>
      </c>
      <c r="AI1319" s="16">
        <f t="shared" si="1609"/>
        <v>0</v>
      </c>
      <c r="AJ1319" s="16">
        <f t="shared" si="1609"/>
        <v>0</v>
      </c>
      <c r="AK1319" s="16">
        <f t="shared" si="1609"/>
        <v>0</v>
      </c>
      <c r="AL1319" s="16">
        <f t="shared" si="1609"/>
        <v>0</v>
      </c>
      <c r="AM1319" s="16">
        <f t="shared" si="1609"/>
        <v>0</v>
      </c>
      <c r="AN1319" s="16">
        <f t="shared" si="1609"/>
        <v>0</v>
      </c>
      <c r="AO1319" s="16">
        <f t="shared" si="1609"/>
        <v>0</v>
      </c>
      <c r="AP1319" s="10"/>
      <c r="AQ1319" s="10"/>
      <c r="AR1319" s="10"/>
      <c r="AS1319" s="10" t="str">
        <f t="shared" ca="1" si="1606"/>
        <v>Johnson &amp; Johnson</v>
      </c>
      <c r="AT1319" s="10"/>
      <c r="AU1319" s="10"/>
      <c r="AV1319" s="10"/>
      <c r="AW1319" s="10"/>
      <c r="AX1319" s="10"/>
      <c r="AY1319" s="10"/>
      <c r="AZ1319" s="10"/>
      <c r="BA1319" s="10"/>
      <c r="BB1319" s="10"/>
      <c r="BC1319" s="10"/>
      <c r="BD1319" s="10"/>
      <c r="BE1319" s="10"/>
      <c r="BF1319" s="10"/>
      <c r="BG1319" s="10"/>
      <c r="BH1319" s="10"/>
      <c r="BI1319" s="10"/>
      <c r="BJ1319" s="10"/>
      <c r="BK1319" s="10"/>
      <c r="BM1319" s="10"/>
    </row>
    <row r="1320" spans="1:65" ht="12.75">
      <c r="A1320" s="9"/>
      <c r="B1320" s="10"/>
      <c r="C1320" s="11"/>
      <c r="D1320" s="12"/>
      <c r="E1320" s="10"/>
      <c r="F1320" s="10"/>
      <c r="G1320" s="10"/>
      <c r="H1320" s="14"/>
      <c r="I1320" s="14"/>
      <c r="J1320" s="14"/>
      <c r="K1320" s="14"/>
      <c r="L1320" s="14"/>
      <c r="M1320" s="15"/>
      <c r="N1320" s="10"/>
      <c r="O1320" s="14"/>
      <c r="P1320" s="14"/>
      <c r="Q1320" s="14"/>
      <c r="R1320" s="14"/>
      <c r="S1320" s="14"/>
      <c r="T1320" s="14"/>
      <c r="U1320" s="14"/>
      <c r="V1320" s="14">
        <f t="shared" si="1602"/>
        <v>1900</v>
      </c>
      <c r="W1320" s="14">
        <f t="shared" si="1603"/>
        <v>1</v>
      </c>
      <c r="X1320" s="14"/>
      <c r="Y1320" s="14"/>
      <c r="Z1320" s="14"/>
      <c r="AA1320" s="16" t="str">
        <f t="shared" ca="1" si="1609"/>
        <v>Johnson &amp; Johnson</v>
      </c>
      <c r="AB1320" s="16">
        <f t="shared" si="1609"/>
        <v>0</v>
      </c>
      <c r="AC1320" s="16">
        <f t="shared" si="1609"/>
        <v>0</v>
      </c>
      <c r="AD1320" s="16">
        <f t="shared" si="1609"/>
        <v>0</v>
      </c>
      <c r="AE1320" s="16">
        <f t="shared" si="1609"/>
        <v>0</v>
      </c>
      <c r="AF1320" s="16">
        <f t="shared" si="1609"/>
        <v>0</v>
      </c>
      <c r="AG1320" s="16">
        <f t="shared" si="1609"/>
        <v>0</v>
      </c>
      <c r="AH1320" s="16">
        <f t="shared" si="1609"/>
        <v>0</v>
      </c>
      <c r="AI1320" s="16">
        <f t="shared" si="1609"/>
        <v>0</v>
      </c>
      <c r="AJ1320" s="16">
        <f t="shared" si="1609"/>
        <v>0</v>
      </c>
      <c r="AK1320" s="16">
        <f t="shared" si="1609"/>
        <v>0</v>
      </c>
      <c r="AL1320" s="16">
        <f t="shared" si="1609"/>
        <v>0</v>
      </c>
      <c r="AM1320" s="16">
        <f t="shared" si="1609"/>
        <v>0</v>
      </c>
      <c r="AN1320" s="16">
        <f t="shared" si="1609"/>
        <v>0</v>
      </c>
      <c r="AO1320" s="16">
        <f t="shared" si="1609"/>
        <v>0</v>
      </c>
      <c r="AP1320" s="10"/>
      <c r="AQ1320" s="10"/>
      <c r="AR1320" s="10"/>
      <c r="AS1320" s="10" t="str">
        <f t="shared" ca="1" si="1606"/>
        <v>Johnson &amp; Johnson</v>
      </c>
      <c r="AT1320" s="10"/>
      <c r="AU1320" s="10"/>
      <c r="AV1320" s="10"/>
      <c r="AW1320" s="10"/>
      <c r="AX1320" s="10"/>
      <c r="AY1320" s="10"/>
      <c r="AZ1320" s="10"/>
      <c r="BA1320" s="10"/>
      <c r="BB1320" s="10"/>
      <c r="BC1320" s="10"/>
      <c r="BD1320" s="10"/>
      <c r="BE1320" s="10"/>
      <c r="BF1320" s="10"/>
      <c r="BG1320" s="10"/>
      <c r="BH1320" s="10"/>
      <c r="BI1320" s="10"/>
      <c r="BJ1320" s="10"/>
      <c r="BK1320" s="10"/>
      <c r="BM1320" s="10"/>
    </row>
    <row r="1321" spans="1:65" ht="12.75">
      <c r="A1321" s="9"/>
      <c r="B1321" s="10"/>
      <c r="C1321" s="11"/>
      <c r="D1321" s="12"/>
      <c r="E1321" s="10"/>
      <c r="F1321" s="10"/>
      <c r="G1321" s="10"/>
      <c r="H1321" s="14"/>
      <c r="I1321" s="14"/>
      <c r="J1321" s="14"/>
      <c r="K1321" s="14"/>
      <c r="L1321" s="14"/>
      <c r="M1321" s="15"/>
      <c r="N1321" s="10"/>
      <c r="O1321" s="14"/>
      <c r="P1321" s="14"/>
      <c r="Q1321" s="14"/>
      <c r="R1321" s="14"/>
      <c r="S1321" s="14"/>
      <c r="T1321" s="14"/>
      <c r="U1321" s="14"/>
      <c r="V1321" s="14">
        <f t="shared" si="1602"/>
        <v>1900</v>
      </c>
      <c r="W1321" s="14">
        <f t="shared" si="1603"/>
        <v>1</v>
      </c>
      <c r="X1321" s="14"/>
      <c r="Y1321" s="14"/>
      <c r="Z1321" s="14"/>
      <c r="AA1321" s="16" t="str">
        <f t="shared" ref="AA1321:AO1336" ca="1" si="1610">AS1321</f>
        <v>Johnson &amp; Johnson</v>
      </c>
      <c r="AB1321" s="16">
        <f t="shared" si="1610"/>
        <v>0</v>
      </c>
      <c r="AC1321" s="16">
        <f t="shared" si="1610"/>
        <v>0</v>
      </c>
      <c r="AD1321" s="16">
        <f t="shared" si="1610"/>
        <v>0</v>
      </c>
      <c r="AE1321" s="16">
        <f t="shared" si="1610"/>
        <v>0</v>
      </c>
      <c r="AF1321" s="16">
        <f t="shared" si="1610"/>
        <v>0</v>
      </c>
      <c r="AG1321" s="16">
        <f t="shared" si="1610"/>
        <v>0</v>
      </c>
      <c r="AH1321" s="16">
        <f t="shared" si="1610"/>
        <v>0</v>
      </c>
      <c r="AI1321" s="16">
        <f t="shared" si="1610"/>
        <v>0</v>
      </c>
      <c r="AJ1321" s="16">
        <f t="shared" si="1610"/>
        <v>0</v>
      </c>
      <c r="AK1321" s="16">
        <f t="shared" si="1610"/>
        <v>0</v>
      </c>
      <c r="AL1321" s="16">
        <f t="shared" si="1610"/>
        <v>0</v>
      </c>
      <c r="AM1321" s="16">
        <f t="shared" si="1610"/>
        <v>0</v>
      </c>
      <c r="AN1321" s="16">
        <f t="shared" si="1610"/>
        <v>0</v>
      </c>
      <c r="AO1321" s="16">
        <f t="shared" si="1610"/>
        <v>0</v>
      </c>
      <c r="AP1321" s="10"/>
      <c r="AQ1321" s="10"/>
      <c r="AR1321" s="10"/>
      <c r="AS1321" s="10" t="str">
        <f t="shared" ca="1" si="1606"/>
        <v>Johnson &amp; Johnson</v>
      </c>
      <c r="AT1321" s="10"/>
      <c r="AU1321" s="10"/>
      <c r="AV1321" s="10"/>
      <c r="AW1321" s="10"/>
      <c r="AX1321" s="10"/>
      <c r="AY1321" s="10"/>
      <c r="AZ1321" s="10"/>
      <c r="BA1321" s="10"/>
      <c r="BB1321" s="10"/>
      <c r="BC1321" s="10"/>
      <c r="BD1321" s="10"/>
      <c r="BE1321" s="10"/>
      <c r="BF1321" s="10"/>
      <c r="BG1321" s="10"/>
      <c r="BH1321" s="10"/>
      <c r="BI1321" s="10"/>
      <c r="BJ1321" s="10"/>
      <c r="BK1321" s="10"/>
      <c r="BM1321" s="10"/>
    </row>
    <row r="1322" spans="1:65" ht="12.75">
      <c r="A1322" s="9"/>
      <c r="B1322" s="10"/>
      <c r="C1322" s="11"/>
      <c r="D1322" s="12"/>
      <c r="E1322" s="10"/>
      <c r="F1322" s="10"/>
      <c r="G1322" s="10"/>
      <c r="H1322" s="14"/>
      <c r="I1322" s="14"/>
      <c r="J1322" s="14"/>
      <c r="K1322" s="14"/>
      <c r="L1322" s="14"/>
      <c r="M1322" s="15"/>
      <c r="N1322" s="10"/>
      <c r="O1322" s="14"/>
      <c r="P1322" s="14"/>
      <c r="Q1322" s="14"/>
      <c r="R1322" s="14"/>
      <c r="S1322" s="14"/>
      <c r="T1322" s="14"/>
      <c r="U1322" s="14"/>
      <c r="V1322" s="14">
        <f t="shared" si="1602"/>
        <v>1900</v>
      </c>
      <c r="W1322" s="14">
        <f t="shared" si="1603"/>
        <v>1</v>
      </c>
      <c r="X1322" s="14"/>
      <c r="Y1322" s="14"/>
      <c r="Z1322" s="14"/>
      <c r="AA1322" s="16" t="str">
        <f t="shared" ca="1" si="1610"/>
        <v>Johnson &amp; Johnson</v>
      </c>
      <c r="AB1322" s="16">
        <f t="shared" si="1610"/>
        <v>0</v>
      </c>
      <c r="AC1322" s="16">
        <f t="shared" si="1610"/>
        <v>0</v>
      </c>
      <c r="AD1322" s="16">
        <f t="shared" si="1610"/>
        <v>0</v>
      </c>
      <c r="AE1322" s="16">
        <f t="shared" si="1610"/>
        <v>0</v>
      </c>
      <c r="AF1322" s="16">
        <f t="shared" si="1610"/>
        <v>0</v>
      </c>
      <c r="AG1322" s="16">
        <f t="shared" si="1610"/>
        <v>0</v>
      </c>
      <c r="AH1322" s="16">
        <f t="shared" si="1610"/>
        <v>0</v>
      </c>
      <c r="AI1322" s="16">
        <f t="shared" si="1610"/>
        <v>0</v>
      </c>
      <c r="AJ1322" s="16">
        <f t="shared" si="1610"/>
        <v>0</v>
      </c>
      <c r="AK1322" s="16">
        <f t="shared" si="1610"/>
        <v>0</v>
      </c>
      <c r="AL1322" s="16">
        <f t="shared" si="1610"/>
        <v>0</v>
      </c>
      <c r="AM1322" s="16">
        <f t="shared" si="1610"/>
        <v>0</v>
      </c>
      <c r="AN1322" s="16">
        <f t="shared" si="1610"/>
        <v>0</v>
      </c>
      <c r="AO1322" s="16">
        <f t="shared" si="1610"/>
        <v>0</v>
      </c>
      <c r="AP1322" s="10"/>
      <c r="AQ1322" s="10"/>
      <c r="AR1322" s="10"/>
      <c r="AS1322" s="10" t="str">
        <f t="shared" ca="1" si="1606"/>
        <v>Johnson &amp; Johnson</v>
      </c>
      <c r="AT1322" s="10"/>
      <c r="AU1322" s="10"/>
      <c r="AV1322" s="10"/>
      <c r="AW1322" s="10"/>
      <c r="AX1322" s="10"/>
      <c r="AY1322" s="10"/>
      <c r="AZ1322" s="10"/>
      <c r="BA1322" s="10"/>
      <c r="BB1322" s="10"/>
      <c r="BC1322" s="10"/>
      <c r="BD1322" s="10"/>
      <c r="BE1322" s="10"/>
      <c r="BF1322" s="10"/>
      <c r="BG1322" s="10"/>
      <c r="BH1322" s="10"/>
      <c r="BI1322" s="10"/>
      <c r="BJ1322" s="10"/>
      <c r="BK1322" s="10"/>
      <c r="BM1322" s="10"/>
    </row>
    <row r="1323" spans="1:65" ht="12.75">
      <c r="A1323" s="9"/>
      <c r="B1323" s="10"/>
      <c r="C1323" s="11"/>
      <c r="D1323" s="12"/>
      <c r="E1323" s="10"/>
      <c r="F1323" s="10"/>
      <c r="G1323" s="10"/>
      <c r="H1323" s="14"/>
      <c r="I1323" s="14"/>
      <c r="J1323" s="14"/>
      <c r="K1323" s="14"/>
      <c r="L1323" s="14"/>
      <c r="M1323" s="15"/>
      <c r="N1323" s="10"/>
      <c r="O1323" s="14"/>
      <c r="P1323" s="14"/>
      <c r="Q1323" s="14"/>
      <c r="R1323" s="14"/>
      <c r="S1323" s="14"/>
      <c r="T1323" s="14"/>
      <c r="U1323" s="14"/>
      <c r="V1323" s="14">
        <f t="shared" si="1602"/>
        <v>1900</v>
      </c>
      <c r="W1323" s="14">
        <f t="shared" si="1603"/>
        <v>1</v>
      </c>
      <c r="X1323" s="14"/>
      <c r="Y1323" s="14"/>
      <c r="Z1323" s="14"/>
      <c r="AA1323" s="16" t="str">
        <f t="shared" ca="1" si="1610"/>
        <v>Johnson &amp; Johnson</v>
      </c>
      <c r="AB1323" s="16">
        <f t="shared" si="1610"/>
        <v>0</v>
      </c>
      <c r="AC1323" s="16">
        <f t="shared" si="1610"/>
        <v>0</v>
      </c>
      <c r="AD1323" s="16">
        <f t="shared" si="1610"/>
        <v>0</v>
      </c>
      <c r="AE1323" s="16">
        <f t="shared" si="1610"/>
        <v>0</v>
      </c>
      <c r="AF1323" s="16">
        <f t="shared" si="1610"/>
        <v>0</v>
      </c>
      <c r="AG1323" s="16">
        <f t="shared" si="1610"/>
        <v>0</v>
      </c>
      <c r="AH1323" s="16">
        <f t="shared" si="1610"/>
        <v>0</v>
      </c>
      <c r="AI1323" s="16">
        <f t="shared" si="1610"/>
        <v>0</v>
      </c>
      <c r="AJ1323" s="16">
        <f t="shared" si="1610"/>
        <v>0</v>
      </c>
      <c r="AK1323" s="16">
        <f t="shared" si="1610"/>
        <v>0</v>
      </c>
      <c r="AL1323" s="16">
        <f t="shared" si="1610"/>
        <v>0</v>
      </c>
      <c r="AM1323" s="16">
        <f t="shared" si="1610"/>
        <v>0</v>
      </c>
      <c r="AN1323" s="16">
        <f t="shared" si="1610"/>
        <v>0</v>
      </c>
      <c r="AO1323" s="16">
        <f t="shared" si="1610"/>
        <v>0</v>
      </c>
      <c r="AP1323" s="10"/>
      <c r="AQ1323" s="10"/>
      <c r="AR1323" s="10"/>
      <c r="AS1323" s="10" t="str">
        <f t="shared" ca="1" si="1606"/>
        <v>Johnson &amp; Johnson</v>
      </c>
      <c r="AT1323" s="10"/>
      <c r="AU1323" s="10"/>
      <c r="AV1323" s="10"/>
      <c r="AW1323" s="10"/>
      <c r="AX1323" s="10"/>
      <c r="AY1323" s="10"/>
      <c r="AZ1323" s="10"/>
      <c r="BA1323" s="10"/>
      <c r="BB1323" s="10"/>
      <c r="BC1323" s="10"/>
      <c r="BD1323" s="10"/>
      <c r="BE1323" s="10"/>
      <c r="BF1323" s="10"/>
      <c r="BG1323" s="10"/>
      <c r="BH1323" s="10"/>
      <c r="BI1323" s="10"/>
      <c r="BJ1323" s="10"/>
      <c r="BK1323" s="10"/>
      <c r="BM1323" s="10"/>
    </row>
    <row r="1324" spans="1:65" ht="12.75">
      <c r="A1324" s="9"/>
      <c r="B1324" s="10"/>
      <c r="C1324" s="11"/>
      <c r="D1324" s="12"/>
      <c r="E1324" s="10"/>
      <c r="F1324" s="10"/>
      <c r="G1324" s="10"/>
      <c r="H1324" s="14"/>
      <c r="I1324" s="14"/>
      <c r="J1324" s="14"/>
      <c r="K1324" s="14"/>
      <c r="L1324" s="14"/>
      <c r="M1324" s="15"/>
      <c r="N1324" s="10"/>
      <c r="O1324" s="14"/>
      <c r="P1324" s="14"/>
      <c r="Q1324" s="14"/>
      <c r="R1324" s="14"/>
      <c r="S1324" s="14"/>
      <c r="T1324" s="14"/>
      <c r="U1324" s="14"/>
      <c r="V1324" s="14">
        <f t="shared" si="1602"/>
        <v>1900</v>
      </c>
      <c r="W1324" s="14">
        <f t="shared" si="1603"/>
        <v>1</v>
      </c>
      <c r="X1324" s="14"/>
      <c r="Y1324" s="14"/>
      <c r="Z1324" s="14"/>
      <c r="AA1324" s="16" t="str">
        <f t="shared" ca="1" si="1610"/>
        <v>Johnson &amp; Johnson</v>
      </c>
      <c r="AB1324" s="16">
        <f t="shared" si="1610"/>
        <v>0</v>
      </c>
      <c r="AC1324" s="16">
        <f t="shared" si="1610"/>
        <v>0</v>
      </c>
      <c r="AD1324" s="16">
        <f t="shared" si="1610"/>
        <v>0</v>
      </c>
      <c r="AE1324" s="16">
        <f t="shared" si="1610"/>
        <v>0</v>
      </c>
      <c r="AF1324" s="16">
        <f t="shared" si="1610"/>
        <v>0</v>
      </c>
      <c r="AG1324" s="16">
        <f t="shared" si="1610"/>
        <v>0</v>
      </c>
      <c r="AH1324" s="16">
        <f t="shared" si="1610"/>
        <v>0</v>
      </c>
      <c r="AI1324" s="16">
        <f t="shared" si="1610"/>
        <v>0</v>
      </c>
      <c r="AJ1324" s="16">
        <f t="shared" si="1610"/>
        <v>0</v>
      </c>
      <c r="AK1324" s="16">
        <f t="shared" si="1610"/>
        <v>0</v>
      </c>
      <c r="AL1324" s="16">
        <f t="shared" si="1610"/>
        <v>0</v>
      </c>
      <c r="AM1324" s="16">
        <f t="shared" si="1610"/>
        <v>0</v>
      </c>
      <c r="AN1324" s="16">
        <f t="shared" si="1610"/>
        <v>0</v>
      </c>
      <c r="AO1324" s="16">
        <f t="shared" si="1610"/>
        <v>0</v>
      </c>
      <c r="AP1324" s="10"/>
      <c r="AQ1324" s="10"/>
      <c r="AR1324" s="10"/>
      <c r="AS1324" s="10" t="str">
        <f t="shared" ca="1" si="1606"/>
        <v>Johnson &amp; Johnson</v>
      </c>
      <c r="AT1324" s="10"/>
      <c r="AU1324" s="10"/>
      <c r="AV1324" s="10"/>
      <c r="AW1324" s="10"/>
      <c r="AX1324" s="10"/>
      <c r="AY1324" s="10"/>
      <c r="AZ1324" s="10"/>
      <c r="BA1324" s="10"/>
      <c r="BB1324" s="10"/>
      <c r="BC1324" s="10"/>
      <c r="BD1324" s="10"/>
      <c r="BE1324" s="10"/>
      <c r="BF1324" s="10"/>
      <c r="BG1324" s="10"/>
      <c r="BH1324" s="10"/>
      <c r="BI1324" s="10"/>
      <c r="BJ1324" s="10"/>
      <c r="BK1324" s="10"/>
      <c r="BM1324" s="10"/>
    </row>
    <row r="1325" spans="1:65" ht="12.75">
      <c r="A1325" s="9"/>
      <c r="B1325" s="10"/>
      <c r="C1325" s="11"/>
      <c r="D1325" s="12"/>
      <c r="E1325" s="10"/>
      <c r="F1325" s="10"/>
      <c r="G1325" s="10"/>
      <c r="H1325" s="14"/>
      <c r="I1325" s="14"/>
      <c r="J1325" s="14"/>
      <c r="K1325" s="14"/>
      <c r="L1325" s="14"/>
      <c r="M1325" s="15"/>
      <c r="N1325" s="10"/>
      <c r="O1325" s="14"/>
      <c r="P1325" s="14"/>
      <c r="Q1325" s="14"/>
      <c r="R1325" s="14"/>
      <c r="S1325" s="14"/>
      <c r="T1325" s="14"/>
      <c r="U1325" s="14"/>
      <c r="V1325" s="14">
        <f t="shared" si="1602"/>
        <v>1900</v>
      </c>
      <c r="W1325" s="14">
        <f t="shared" si="1603"/>
        <v>1</v>
      </c>
      <c r="X1325" s="14"/>
      <c r="Y1325" s="14"/>
      <c r="Z1325" s="14"/>
      <c r="AA1325" s="16" t="str">
        <f t="shared" ca="1" si="1610"/>
        <v>Johnson &amp; Johnson</v>
      </c>
      <c r="AB1325" s="16">
        <f t="shared" si="1610"/>
        <v>0</v>
      </c>
      <c r="AC1325" s="16">
        <f t="shared" si="1610"/>
        <v>0</v>
      </c>
      <c r="AD1325" s="16">
        <f t="shared" si="1610"/>
        <v>0</v>
      </c>
      <c r="AE1325" s="16">
        <f t="shared" si="1610"/>
        <v>0</v>
      </c>
      <c r="AF1325" s="16">
        <f t="shared" si="1610"/>
        <v>0</v>
      </c>
      <c r="AG1325" s="16">
        <f t="shared" si="1610"/>
        <v>0</v>
      </c>
      <c r="AH1325" s="16">
        <f t="shared" si="1610"/>
        <v>0</v>
      </c>
      <c r="AI1325" s="16">
        <f t="shared" si="1610"/>
        <v>0</v>
      </c>
      <c r="AJ1325" s="16">
        <f t="shared" si="1610"/>
        <v>0</v>
      </c>
      <c r="AK1325" s="16">
        <f t="shared" si="1610"/>
        <v>0</v>
      </c>
      <c r="AL1325" s="16">
        <f t="shared" si="1610"/>
        <v>0</v>
      </c>
      <c r="AM1325" s="16">
        <f t="shared" si="1610"/>
        <v>0</v>
      </c>
      <c r="AN1325" s="16">
        <f t="shared" si="1610"/>
        <v>0</v>
      </c>
      <c r="AO1325" s="16">
        <f t="shared" si="1610"/>
        <v>0</v>
      </c>
      <c r="AP1325" s="10"/>
      <c r="AQ1325" s="10"/>
      <c r="AR1325" s="10"/>
      <c r="AS1325" s="10" t="str">
        <f t="shared" ca="1" si="1606"/>
        <v>Johnson &amp; Johnson</v>
      </c>
      <c r="AT1325" s="10"/>
      <c r="AU1325" s="10"/>
      <c r="AV1325" s="10"/>
      <c r="AW1325" s="10"/>
      <c r="AX1325" s="10"/>
      <c r="AY1325" s="10"/>
      <c r="AZ1325" s="10"/>
      <c r="BA1325" s="10"/>
      <c r="BB1325" s="10"/>
      <c r="BC1325" s="10"/>
      <c r="BD1325" s="10"/>
      <c r="BE1325" s="10"/>
      <c r="BF1325" s="10"/>
      <c r="BG1325" s="10"/>
      <c r="BH1325" s="10"/>
      <c r="BI1325" s="10"/>
      <c r="BJ1325" s="10"/>
      <c r="BK1325" s="10"/>
      <c r="BM1325" s="10"/>
    </row>
    <row r="1326" spans="1:65" ht="12.75">
      <c r="A1326" s="9"/>
      <c r="B1326" s="10"/>
      <c r="C1326" s="11"/>
      <c r="D1326" s="12"/>
      <c r="E1326" s="10"/>
      <c r="F1326" s="10"/>
      <c r="G1326" s="10"/>
      <c r="H1326" s="14"/>
      <c r="I1326" s="14"/>
      <c r="J1326" s="14"/>
      <c r="K1326" s="14"/>
      <c r="L1326" s="14"/>
      <c r="M1326" s="15"/>
      <c r="N1326" s="10"/>
      <c r="O1326" s="14"/>
      <c r="P1326" s="14"/>
      <c r="Q1326" s="14"/>
      <c r="R1326" s="14"/>
      <c r="S1326" s="14"/>
      <c r="T1326" s="14"/>
      <c r="U1326" s="14"/>
      <c r="V1326" s="14">
        <f t="shared" si="1602"/>
        <v>1900</v>
      </c>
      <c r="W1326" s="14">
        <f t="shared" si="1603"/>
        <v>1</v>
      </c>
      <c r="X1326" s="14"/>
      <c r="Y1326" s="14"/>
      <c r="Z1326" s="14"/>
      <c r="AA1326" s="16" t="str">
        <f t="shared" ca="1" si="1610"/>
        <v>Johnson &amp; Johnson</v>
      </c>
      <c r="AB1326" s="16">
        <f t="shared" si="1610"/>
        <v>0</v>
      </c>
      <c r="AC1326" s="16">
        <f t="shared" si="1610"/>
        <v>0</v>
      </c>
      <c r="AD1326" s="16">
        <f t="shared" si="1610"/>
        <v>0</v>
      </c>
      <c r="AE1326" s="16">
        <f t="shared" si="1610"/>
        <v>0</v>
      </c>
      <c r="AF1326" s="16">
        <f t="shared" si="1610"/>
        <v>0</v>
      </c>
      <c r="AG1326" s="16">
        <f t="shared" si="1610"/>
        <v>0</v>
      </c>
      <c r="AH1326" s="16">
        <f t="shared" si="1610"/>
        <v>0</v>
      </c>
      <c r="AI1326" s="16">
        <f t="shared" si="1610"/>
        <v>0</v>
      </c>
      <c r="AJ1326" s="16">
        <f t="shared" si="1610"/>
        <v>0</v>
      </c>
      <c r="AK1326" s="16">
        <f t="shared" si="1610"/>
        <v>0</v>
      </c>
      <c r="AL1326" s="16">
        <f t="shared" si="1610"/>
        <v>0</v>
      </c>
      <c r="AM1326" s="16">
        <f t="shared" si="1610"/>
        <v>0</v>
      </c>
      <c r="AN1326" s="16">
        <f t="shared" si="1610"/>
        <v>0</v>
      </c>
      <c r="AO1326" s="16">
        <f t="shared" si="1610"/>
        <v>0</v>
      </c>
      <c r="AP1326" s="10"/>
      <c r="AQ1326" s="10"/>
      <c r="AR1326" s="10"/>
      <c r="AS1326" s="10" t="str">
        <f t="shared" ca="1" si="1606"/>
        <v>Johnson &amp; Johnson</v>
      </c>
      <c r="AT1326" s="10"/>
      <c r="AU1326" s="10"/>
      <c r="AV1326" s="10"/>
      <c r="AW1326" s="10"/>
      <c r="AX1326" s="10"/>
      <c r="AY1326" s="10"/>
      <c r="AZ1326" s="10"/>
      <c r="BA1326" s="10"/>
      <c r="BB1326" s="10"/>
      <c r="BC1326" s="10"/>
      <c r="BD1326" s="10"/>
      <c r="BE1326" s="10"/>
      <c r="BF1326" s="10"/>
      <c r="BG1326" s="10"/>
      <c r="BH1326" s="10"/>
      <c r="BI1326" s="10"/>
      <c r="BJ1326" s="10"/>
      <c r="BK1326" s="10"/>
      <c r="BM1326" s="10"/>
    </row>
    <row r="1327" spans="1:65" ht="12.75">
      <c r="A1327" s="9"/>
      <c r="B1327" s="10"/>
      <c r="C1327" s="11"/>
      <c r="D1327" s="12"/>
      <c r="E1327" s="10"/>
      <c r="F1327" s="10"/>
      <c r="G1327" s="10"/>
      <c r="H1327" s="14"/>
      <c r="I1327" s="14"/>
      <c r="J1327" s="14"/>
      <c r="K1327" s="14"/>
      <c r="L1327" s="14"/>
      <c r="M1327" s="15"/>
      <c r="N1327" s="10"/>
      <c r="O1327" s="14"/>
      <c r="P1327" s="14"/>
      <c r="Q1327" s="14"/>
      <c r="R1327" s="14"/>
      <c r="S1327" s="14"/>
      <c r="T1327" s="14"/>
      <c r="U1327" s="14"/>
      <c r="V1327" s="14">
        <f t="shared" si="1602"/>
        <v>1900</v>
      </c>
      <c r="W1327" s="14">
        <f t="shared" si="1603"/>
        <v>1</v>
      </c>
      <c r="X1327" s="14"/>
      <c r="Y1327" s="14"/>
      <c r="Z1327" s="14"/>
      <c r="AA1327" s="16" t="str">
        <f t="shared" ca="1" si="1610"/>
        <v>Johnson &amp; Johnson</v>
      </c>
      <c r="AB1327" s="16">
        <f t="shared" si="1610"/>
        <v>0</v>
      </c>
      <c r="AC1327" s="16">
        <f t="shared" si="1610"/>
        <v>0</v>
      </c>
      <c r="AD1327" s="16">
        <f t="shared" si="1610"/>
        <v>0</v>
      </c>
      <c r="AE1327" s="16">
        <f t="shared" si="1610"/>
        <v>0</v>
      </c>
      <c r="AF1327" s="16">
        <f t="shared" si="1610"/>
        <v>0</v>
      </c>
      <c r="AG1327" s="16">
        <f t="shared" si="1610"/>
        <v>0</v>
      </c>
      <c r="AH1327" s="16">
        <f t="shared" si="1610"/>
        <v>0</v>
      </c>
      <c r="AI1327" s="16">
        <f t="shared" si="1610"/>
        <v>0</v>
      </c>
      <c r="AJ1327" s="16">
        <f t="shared" si="1610"/>
        <v>0</v>
      </c>
      <c r="AK1327" s="16">
        <f t="shared" si="1610"/>
        <v>0</v>
      </c>
      <c r="AL1327" s="16">
        <f t="shared" si="1610"/>
        <v>0</v>
      </c>
      <c r="AM1327" s="16">
        <f t="shared" si="1610"/>
        <v>0</v>
      </c>
      <c r="AN1327" s="16">
        <f t="shared" si="1610"/>
        <v>0</v>
      </c>
      <c r="AO1327" s="16">
        <f t="shared" si="1610"/>
        <v>0</v>
      </c>
      <c r="AP1327" s="10"/>
      <c r="AQ1327" s="10"/>
      <c r="AR1327" s="10"/>
      <c r="AS1327" s="10" t="str">
        <f t="shared" ca="1" si="1606"/>
        <v>Johnson &amp; Johnson</v>
      </c>
      <c r="AT1327" s="10"/>
      <c r="AU1327" s="10"/>
      <c r="AV1327" s="10"/>
      <c r="AW1327" s="10"/>
      <c r="AX1327" s="10"/>
      <c r="AY1327" s="10"/>
      <c r="AZ1327" s="10"/>
      <c r="BA1327" s="10"/>
      <c r="BB1327" s="10"/>
      <c r="BC1327" s="10"/>
      <c r="BD1327" s="10"/>
      <c r="BE1327" s="10"/>
      <c r="BF1327" s="10"/>
      <c r="BG1327" s="10"/>
      <c r="BH1327" s="10"/>
      <c r="BI1327" s="10"/>
      <c r="BJ1327" s="10"/>
      <c r="BK1327" s="10"/>
      <c r="BM1327" s="10"/>
    </row>
    <row r="1328" spans="1:65" ht="12.75">
      <c r="A1328" s="9"/>
      <c r="B1328" s="10"/>
      <c r="C1328" s="11"/>
      <c r="D1328" s="12"/>
      <c r="E1328" s="10"/>
      <c r="F1328" s="10"/>
      <c r="G1328" s="10"/>
      <c r="H1328" s="14"/>
      <c r="I1328" s="14"/>
      <c r="J1328" s="14"/>
      <c r="K1328" s="14"/>
      <c r="L1328" s="14"/>
      <c r="M1328" s="15"/>
      <c r="N1328" s="10"/>
      <c r="O1328" s="14"/>
      <c r="P1328" s="14"/>
      <c r="Q1328" s="14"/>
      <c r="R1328" s="14"/>
      <c r="S1328" s="14"/>
      <c r="T1328" s="14"/>
      <c r="U1328" s="14"/>
      <c r="V1328" s="14">
        <f t="shared" si="1602"/>
        <v>1900</v>
      </c>
      <c r="W1328" s="14">
        <f t="shared" si="1603"/>
        <v>1</v>
      </c>
      <c r="X1328" s="14"/>
      <c r="Y1328" s="14"/>
      <c r="Z1328" s="14"/>
      <c r="AA1328" s="16" t="str">
        <f t="shared" ca="1" si="1610"/>
        <v>Johnson &amp; Johnson</v>
      </c>
      <c r="AB1328" s="16">
        <f t="shared" si="1610"/>
        <v>0</v>
      </c>
      <c r="AC1328" s="16">
        <f t="shared" si="1610"/>
        <v>0</v>
      </c>
      <c r="AD1328" s="16">
        <f t="shared" si="1610"/>
        <v>0</v>
      </c>
      <c r="AE1328" s="16">
        <f t="shared" si="1610"/>
        <v>0</v>
      </c>
      <c r="AF1328" s="16">
        <f t="shared" si="1610"/>
        <v>0</v>
      </c>
      <c r="AG1328" s="16">
        <f t="shared" si="1610"/>
        <v>0</v>
      </c>
      <c r="AH1328" s="16">
        <f t="shared" si="1610"/>
        <v>0</v>
      </c>
      <c r="AI1328" s="16">
        <f t="shared" si="1610"/>
        <v>0</v>
      </c>
      <c r="AJ1328" s="16">
        <f t="shared" si="1610"/>
        <v>0</v>
      </c>
      <c r="AK1328" s="16">
        <f t="shared" si="1610"/>
        <v>0</v>
      </c>
      <c r="AL1328" s="16">
        <f t="shared" si="1610"/>
        <v>0</v>
      </c>
      <c r="AM1328" s="16">
        <f t="shared" si="1610"/>
        <v>0</v>
      </c>
      <c r="AN1328" s="16">
        <f t="shared" si="1610"/>
        <v>0</v>
      </c>
      <c r="AO1328" s="16">
        <f t="shared" si="1610"/>
        <v>0</v>
      </c>
      <c r="AP1328" s="10"/>
      <c r="AQ1328" s="10"/>
      <c r="AR1328" s="10"/>
      <c r="AS1328" s="10" t="str">
        <f t="shared" ca="1" si="1606"/>
        <v>Johnson &amp; Johnson</v>
      </c>
      <c r="AT1328" s="10"/>
      <c r="AU1328" s="10"/>
      <c r="AV1328" s="10"/>
      <c r="AW1328" s="10"/>
      <c r="AX1328" s="10"/>
      <c r="AY1328" s="10"/>
      <c r="AZ1328" s="10"/>
      <c r="BA1328" s="10"/>
      <c r="BB1328" s="10"/>
      <c r="BC1328" s="10"/>
      <c r="BD1328" s="10"/>
      <c r="BE1328" s="10"/>
      <c r="BF1328" s="10"/>
      <c r="BG1328" s="10"/>
      <c r="BH1328" s="10"/>
      <c r="BI1328" s="10"/>
      <c r="BJ1328" s="10"/>
      <c r="BK1328" s="10"/>
      <c r="BM1328" s="10"/>
    </row>
    <row r="1329" spans="1:65" ht="12.75">
      <c r="A1329" s="9"/>
      <c r="B1329" s="10"/>
      <c r="C1329" s="11"/>
      <c r="D1329" s="12"/>
      <c r="E1329" s="10"/>
      <c r="F1329" s="10"/>
      <c r="G1329" s="10"/>
      <c r="H1329" s="14"/>
      <c r="I1329" s="14"/>
      <c r="J1329" s="14"/>
      <c r="K1329" s="14"/>
      <c r="L1329" s="14"/>
      <c r="M1329" s="15"/>
      <c r="N1329" s="10"/>
      <c r="O1329" s="14"/>
      <c r="P1329" s="14"/>
      <c r="Q1329" s="14"/>
      <c r="R1329" s="14"/>
      <c r="S1329" s="14"/>
      <c r="T1329" s="14"/>
      <c r="U1329" s="14"/>
      <c r="V1329" s="14">
        <f t="shared" si="1602"/>
        <v>1900</v>
      </c>
      <c r="W1329" s="14">
        <f t="shared" si="1603"/>
        <v>1</v>
      </c>
      <c r="X1329" s="14"/>
      <c r="Y1329" s="14"/>
      <c r="Z1329" s="14"/>
      <c r="AA1329" s="16" t="str">
        <f t="shared" ca="1" si="1610"/>
        <v>Johnson &amp; Johnson</v>
      </c>
      <c r="AB1329" s="16">
        <f t="shared" si="1610"/>
        <v>0</v>
      </c>
      <c r="AC1329" s="16">
        <f t="shared" si="1610"/>
        <v>0</v>
      </c>
      <c r="AD1329" s="16">
        <f t="shared" si="1610"/>
        <v>0</v>
      </c>
      <c r="AE1329" s="16">
        <f t="shared" si="1610"/>
        <v>0</v>
      </c>
      <c r="AF1329" s="16">
        <f t="shared" si="1610"/>
        <v>0</v>
      </c>
      <c r="AG1329" s="16">
        <f t="shared" si="1610"/>
        <v>0</v>
      </c>
      <c r="AH1329" s="16">
        <f t="shared" si="1610"/>
        <v>0</v>
      </c>
      <c r="AI1329" s="16">
        <f t="shared" si="1610"/>
        <v>0</v>
      </c>
      <c r="AJ1329" s="16">
        <f t="shared" si="1610"/>
        <v>0</v>
      </c>
      <c r="AK1329" s="16">
        <f t="shared" si="1610"/>
        <v>0</v>
      </c>
      <c r="AL1329" s="16">
        <f t="shared" si="1610"/>
        <v>0</v>
      </c>
      <c r="AM1329" s="16">
        <f t="shared" si="1610"/>
        <v>0</v>
      </c>
      <c r="AN1329" s="16">
        <f t="shared" si="1610"/>
        <v>0</v>
      </c>
      <c r="AO1329" s="16">
        <f t="shared" si="1610"/>
        <v>0</v>
      </c>
      <c r="AP1329" s="10"/>
      <c r="AQ1329" s="10"/>
      <c r="AR1329" s="10"/>
      <c r="AS1329" s="10" t="str">
        <f t="shared" ca="1" si="1606"/>
        <v>Johnson &amp; Johnson</v>
      </c>
      <c r="AT1329" s="10"/>
      <c r="AU1329" s="10"/>
      <c r="AV1329" s="10"/>
      <c r="AW1329" s="10"/>
      <c r="AX1329" s="10"/>
      <c r="AY1329" s="10"/>
      <c r="AZ1329" s="10"/>
      <c r="BA1329" s="10"/>
      <c r="BB1329" s="10"/>
      <c r="BC1329" s="10"/>
      <c r="BD1329" s="10"/>
      <c r="BE1329" s="10"/>
      <c r="BF1329" s="10"/>
      <c r="BG1329" s="10"/>
      <c r="BH1329" s="10"/>
      <c r="BI1329" s="10"/>
      <c r="BJ1329" s="10"/>
      <c r="BK1329" s="10"/>
      <c r="BM1329" s="10"/>
    </row>
    <row r="1330" spans="1:65" ht="12.75">
      <c r="A1330" s="9"/>
      <c r="B1330" s="10"/>
      <c r="C1330" s="11"/>
      <c r="D1330" s="12"/>
      <c r="E1330" s="10"/>
      <c r="F1330" s="10"/>
      <c r="G1330" s="10"/>
      <c r="H1330" s="14"/>
      <c r="I1330" s="14"/>
      <c r="J1330" s="14"/>
      <c r="K1330" s="14"/>
      <c r="L1330" s="14"/>
      <c r="M1330" s="15"/>
      <c r="N1330" s="10"/>
      <c r="O1330" s="14"/>
      <c r="P1330" s="14"/>
      <c r="Q1330" s="14"/>
      <c r="R1330" s="14"/>
      <c r="S1330" s="14"/>
      <c r="T1330" s="14"/>
      <c r="U1330" s="14"/>
      <c r="V1330" s="14">
        <f t="shared" si="1602"/>
        <v>1900</v>
      </c>
      <c r="W1330" s="14">
        <f t="shared" si="1603"/>
        <v>1</v>
      </c>
      <c r="X1330" s="14"/>
      <c r="Y1330" s="14"/>
      <c r="Z1330" s="14"/>
      <c r="AA1330" s="16" t="str">
        <f t="shared" ca="1" si="1610"/>
        <v>Johnson &amp; Johnson</v>
      </c>
      <c r="AB1330" s="16">
        <f t="shared" si="1610"/>
        <v>0</v>
      </c>
      <c r="AC1330" s="16">
        <f t="shared" si="1610"/>
        <v>0</v>
      </c>
      <c r="AD1330" s="16">
        <f t="shared" si="1610"/>
        <v>0</v>
      </c>
      <c r="AE1330" s="16">
        <f t="shared" si="1610"/>
        <v>0</v>
      </c>
      <c r="AF1330" s="16">
        <f t="shared" si="1610"/>
        <v>0</v>
      </c>
      <c r="AG1330" s="16">
        <f t="shared" si="1610"/>
        <v>0</v>
      </c>
      <c r="AH1330" s="16">
        <f t="shared" si="1610"/>
        <v>0</v>
      </c>
      <c r="AI1330" s="16">
        <f t="shared" si="1610"/>
        <v>0</v>
      </c>
      <c r="AJ1330" s="16">
        <f t="shared" si="1610"/>
        <v>0</v>
      </c>
      <c r="AK1330" s="16">
        <f t="shared" si="1610"/>
        <v>0</v>
      </c>
      <c r="AL1330" s="16">
        <f t="shared" si="1610"/>
        <v>0</v>
      </c>
      <c r="AM1330" s="16">
        <f t="shared" si="1610"/>
        <v>0</v>
      </c>
      <c r="AN1330" s="16">
        <f t="shared" si="1610"/>
        <v>0</v>
      </c>
      <c r="AO1330" s="16">
        <f t="shared" si="1610"/>
        <v>0</v>
      </c>
      <c r="AP1330" s="10"/>
      <c r="AQ1330" s="10"/>
      <c r="AR1330" s="10"/>
      <c r="AS1330" s="10" t="str">
        <f t="shared" ca="1" si="1606"/>
        <v>Johnson &amp; Johnson</v>
      </c>
      <c r="AT1330" s="10"/>
      <c r="AU1330" s="10"/>
      <c r="AV1330" s="10"/>
      <c r="AW1330" s="10"/>
      <c r="AX1330" s="10"/>
      <c r="AY1330" s="10"/>
      <c r="AZ1330" s="10"/>
      <c r="BA1330" s="10"/>
      <c r="BB1330" s="10"/>
      <c r="BC1330" s="10"/>
      <c r="BD1330" s="10"/>
      <c r="BE1330" s="10"/>
      <c r="BF1330" s="10"/>
      <c r="BG1330" s="10"/>
      <c r="BH1330" s="10"/>
      <c r="BI1330" s="10"/>
      <c r="BJ1330" s="10"/>
      <c r="BK1330" s="10"/>
      <c r="BM1330" s="10"/>
    </row>
    <row r="1331" spans="1:65" ht="12.75">
      <c r="A1331" s="9"/>
      <c r="B1331" s="10"/>
      <c r="C1331" s="11"/>
      <c r="D1331" s="12"/>
      <c r="E1331" s="10"/>
      <c r="F1331" s="10"/>
      <c r="G1331" s="10"/>
      <c r="H1331" s="14"/>
      <c r="I1331" s="14"/>
      <c r="J1331" s="14"/>
      <c r="K1331" s="14"/>
      <c r="L1331" s="14"/>
      <c r="M1331" s="15"/>
      <c r="N1331" s="10"/>
      <c r="O1331" s="14"/>
      <c r="P1331" s="14"/>
      <c r="Q1331" s="14"/>
      <c r="R1331" s="14"/>
      <c r="S1331" s="14"/>
      <c r="T1331" s="14"/>
      <c r="U1331" s="14"/>
      <c r="V1331" s="14">
        <f t="shared" si="1602"/>
        <v>1900</v>
      </c>
      <c r="W1331" s="14">
        <f t="shared" si="1603"/>
        <v>1</v>
      </c>
      <c r="X1331" s="14"/>
      <c r="Y1331" s="14"/>
      <c r="Z1331" s="14"/>
      <c r="AA1331" s="16" t="str">
        <f t="shared" ca="1" si="1610"/>
        <v>Johnson &amp; Johnson</v>
      </c>
      <c r="AB1331" s="16">
        <f t="shared" si="1610"/>
        <v>0</v>
      </c>
      <c r="AC1331" s="16">
        <f t="shared" si="1610"/>
        <v>0</v>
      </c>
      <c r="AD1331" s="16">
        <f t="shared" si="1610"/>
        <v>0</v>
      </c>
      <c r="AE1331" s="16">
        <f t="shared" si="1610"/>
        <v>0</v>
      </c>
      <c r="AF1331" s="16">
        <f t="shared" si="1610"/>
        <v>0</v>
      </c>
      <c r="AG1331" s="16">
        <f t="shared" si="1610"/>
        <v>0</v>
      </c>
      <c r="AH1331" s="16">
        <f t="shared" si="1610"/>
        <v>0</v>
      </c>
      <c r="AI1331" s="16">
        <f t="shared" si="1610"/>
        <v>0</v>
      </c>
      <c r="AJ1331" s="16">
        <f t="shared" si="1610"/>
        <v>0</v>
      </c>
      <c r="AK1331" s="16">
        <f t="shared" si="1610"/>
        <v>0</v>
      </c>
      <c r="AL1331" s="16">
        <f t="shared" si="1610"/>
        <v>0</v>
      </c>
      <c r="AM1331" s="16">
        <f t="shared" si="1610"/>
        <v>0</v>
      </c>
      <c r="AN1331" s="16">
        <f t="shared" si="1610"/>
        <v>0</v>
      </c>
      <c r="AO1331" s="16">
        <f t="shared" si="1610"/>
        <v>0</v>
      </c>
      <c r="AP1331" s="10"/>
      <c r="AQ1331" s="10"/>
      <c r="AR1331" s="10"/>
      <c r="AS1331" s="10" t="str">
        <f t="shared" ca="1" si="1606"/>
        <v>Johnson &amp; Johnson</v>
      </c>
      <c r="AT1331" s="10"/>
      <c r="AU1331" s="10"/>
      <c r="AV1331" s="10"/>
      <c r="AW1331" s="10"/>
      <c r="AX1331" s="10"/>
      <c r="AY1331" s="10"/>
      <c r="AZ1331" s="10"/>
      <c r="BA1331" s="10"/>
      <c r="BB1331" s="10"/>
      <c r="BC1331" s="10"/>
      <c r="BD1331" s="10"/>
      <c r="BE1331" s="10"/>
      <c r="BF1331" s="10"/>
      <c r="BG1331" s="10"/>
      <c r="BH1331" s="10"/>
      <c r="BI1331" s="10"/>
      <c r="BJ1331" s="10"/>
      <c r="BK1331" s="10"/>
      <c r="BM1331" s="10"/>
    </row>
    <row r="1332" spans="1:65" ht="12.75">
      <c r="A1332" s="9"/>
      <c r="B1332" s="10"/>
      <c r="C1332" s="11"/>
      <c r="D1332" s="12"/>
      <c r="E1332" s="10"/>
      <c r="F1332" s="10"/>
      <c r="G1332" s="10"/>
      <c r="H1332" s="14"/>
      <c r="I1332" s="14"/>
      <c r="J1332" s="14"/>
      <c r="K1332" s="14"/>
      <c r="L1332" s="14"/>
      <c r="M1332" s="15"/>
      <c r="N1332" s="10"/>
      <c r="O1332" s="14"/>
      <c r="P1332" s="14"/>
      <c r="Q1332" s="14"/>
      <c r="R1332" s="14"/>
      <c r="S1332" s="14"/>
      <c r="T1332" s="14"/>
      <c r="U1332" s="14"/>
      <c r="V1332" s="14">
        <f t="shared" si="1602"/>
        <v>1900</v>
      </c>
      <c r="W1332" s="14">
        <f t="shared" si="1603"/>
        <v>1</v>
      </c>
      <c r="X1332" s="14"/>
      <c r="Y1332" s="14"/>
      <c r="Z1332" s="14"/>
      <c r="AA1332" s="16" t="str">
        <f t="shared" ca="1" si="1610"/>
        <v>Johnson &amp; Johnson</v>
      </c>
      <c r="AB1332" s="16">
        <f t="shared" si="1610"/>
        <v>0</v>
      </c>
      <c r="AC1332" s="16">
        <f t="shared" si="1610"/>
        <v>0</v>
      </c>
      <c r="AD1332" s="16">
        <f t="shared" si="1610"/>
        <v>0</v>
      </c>
      <c r="AE1332" s="16">
        <f t="shared" si="1610"/>
        <v>0</v>
      </c>
      <c r="AF1332" s="16">
        <f t="shared" si="1610"/>
        <v>0</v>
      </c>
      <c r="AG1332" s="16">
        <f t="shared" si="1610"/>
        <v>0</v>
      </c>
      <c r="AH1332" s="16">
        <f t="shared" si="1610"/>
        <v>0</v>
      </c>
      <c r="AI1332" s="16">
        <f t="shared" si="1610"/>
        <v>0</v>
      </c>
      <c r="AJ1332" s="16">
        <f t="shared" si="1610"/>
        <v>0</v>
      </c>
      <c r="AK1332" s="16">
        <f t="shared" si="1610"/>
        <v>0</v>
      </c>
      <c r="AL1332" s="16">
        <f t="shared" si="1610"/>
        <v>0</v>
      </c>
      <c r="AM1332" s="16">
        <f t="shared" si="1610"/>
        <v>0</v>
      </c>
      <c r="AN1332" s="16">
        <f t="shared" si="1610"/>
        <v>0</v>
      </c>
      <c r="AO1332" s="16">
        <f t="shared" si="1610"/>
        <v>0</v>
      </c>
      <c r="AP1332" s="10"/>
      <c r="AQ1332" s="10"/>
      <c r="AR1332" s="10"/>
      <c r="AS1332" s="10" t="str">
        <f t="shared" ca="1" si="1606"/>
        <v>Johnson &amp; Johnson</v>
      </c>
      <c r="AT1332" s="10"/>
      <c r="AU1332" s="10"/>
      <c r="AV1332" s="10"/>
      <c r="AW1332" s="10"/>
      <c r="AX1332" s="10"/>
      <c r="AY1332" s="10"/>
      <c r="AZ1332" s="10"/>
      <c r="BA1332" s="10"/>
      <c r="BB1332" s="10"/>
      <c r="BC1332" s="10"/>
      <c r="BD1332" s="10"/>
      <c r="BE1332" s="10"/>
      <c r="BF1332" s="10"/>
      <c r="BG1332" s="10"/>
      <c r="BH1332" s="10"/>
      <c r="BI1332" s="10"/>
      <c r="BJ1332" s="10"/>
      <c r="BK1332" s="10"/>
      <c r="BM1332" s="10"/>
    </row>
    <row r="1333" spans="1:65" ht="12.75">
      <c r="A1333" s="9"/>
      <c r="B1333" s="10"/>
      <c r="C1333" s="11"/>
      <c r="D1333" s="12"/>
      <c r="E1333" s="10"/>
      <c r="F1333" s="10"/>
      <c r="G1333" s="10"/>
      <c r="H1333" s="14"/>
      <c r="I1333" s="14"/>
      <c r="J1333" s="14"/>
      <c r="K1333" s="14"/>
      <c r="L1333" s="14"/>
      <c r="M1333" s="15"/>
      <c r="N1333" s="10"/>
      <c r="O1333" s="14"/>
      <c r="P1333" s="14"/>
      <c r="Q1333" s="14"/>
      <c r="R1333" s="14"/>
      <c r="S1333" s="14"/>
      <c r="T1333" s="14"/>
      <c r="U1333" s="14"/>
      <c r="V1333" s="14">
        <f t="shared" si="1602"/>
        <v>1900</v>
      </c>
      <c r="W1333" s="14">
        <f t="shared" si="1603"/>
        <v>1</v>
      </c>
      <c r="X1333" s="14"/>
      <c r="Y1333" s="14"/>
      <c r="Z1333" s="14"/>
      <c r="AA1333" s="16" t="str">
        <f t="shared" ca="1" si="1610"/>
        <v>Johnson &amp; Johnson</v>
      </c>
      <c r="AB1333" s="16">
        <f t="shared" si="1610"/>
        <v>0</v>
      </c>
      <c r="AC1333" s="16">
        <f t="shared" si="1610"/>
        <v>0</v>
      </c>
      <c r="AD1333" s="16">
        <f t="shared" si="1610"/>
        <v>0</v>
      </c>
      <c r="AE1333" s="16">
        <f t="shared" si="1610"/>
        <v>0</v>
      </c>
      <c r="AF1333" s="16">
        <f t="shared" si="1610"/>
        <v>0</v>
      </c>
      <c r="AG1333" s="16">
        <f t="shared" si="1610"/>
        <v>0</v>
      </c>
      <c r="AH1333" s="16">
        <f t="shared" si="1610"/>
        <v>0</v>
      </c>
      <c r="AI1333" s="16">
        <f t="shared" si="1610"/>
        <v>0</v>
      </c>
      <c r="AJ1333" s="16">
        <f t="shared" si="1610"/>
        <v>0</v>
      </c>
      <c r="AK1333" s="16">
        <f t="shared" si="1610"/>
        <v>0</v>
      </c>
      <c r="AL1333" s="16">
        <f t="shared" si="1610"/>
        <v>0</v>
      </c>
      <c r="AM1333" s="16">
        <f t="shared" si="1610"/>
        <v>0</v>
      </c>
      <c r="AN1333" s="16">
        <f t="shared" si="1610"/>
        <v>0</v>
      </c>
      <c r="AO1333" s="16">
        <f t="shared" si="1610"/>
        <v>0</v>
      </c>
      <c r="AP1333" s="10"/>
      <c r="AQ1333" s="10"/>
      <c r="AR1333" s="10"/>
      <c r="AS1333" s="10" t="str">
        <f t="shared" ca="1" si="1606"/>
        <v>Johnson &amp; Johnson</v>
      </c>
      <c r="AT1333" s="10"/>
      <c r="AU1333" s="10"/>
      <c r="AV1333" s="10"/>
      <c r="AW1333" s="10"/>
      <c r="AX1333" s="10"/>
      <c r="AY1333" s="10"/>
      <c r="AZ1333" s="10"/>
      <c r="BA1333" s="10"/>
      <c r="BB1333" s="10"/>
      <c r="BC1333" s="10"/>
      <c r="BD1333" s="10"/>
      <c r="BE1333" s="10"/>
      <c r="BF1333" s="10"/>
      <c r="BG1333" s="10"/>
      <c r="BH1333" s="10"/>
      <c r="BI1333" s="10"/>
      <c r="BJ1333" s="10"/>
      <c r="BK1333" s="10"/>
      <c r="BM1333" s="10"/>
    </row>
    <row r="1334" spans="1:65" ht="12.75">
      <c r="A1334" s="9"/>
      <c r="B1334" s="10"/>
      <c r="C1334" s="11"/>
      <c r="D1334" s="12"/>
      <c r="E1334" s="10"/>
      <c r="F1334" s="10"/>
      <c r="G1334" s="10"/>
      <c r="H1334" s="14"/>
      <c r="I1334" s="14"/>
      <c r="J1334" s="14"/>
      <c r="K1334" s="14"/>
      <c r="L1334" s="14"/>
      <c r="M1334" s="15"/>
      <c r="N1334" s="10"/>
      <c r="O1334" s="14"/>
      <c r="P1334" s="14"/>
      <c r="Q1334" s="14"/>
      <c r="R1334" s="14"/>
      <c r="S1334" s="14"/>
      <c r="T1334" s="14"/>
      <c r="U1334" s="14"/>
      <c r="V1334" s="14">
        <f t="shared" si="1602"/>
        <v>1900</v>
      </c>
      <c r="W1334" s="14">
        <f t="shared" si="1603"/>
        <v>1</v>
      </c>
      <c r="X1334" s="14"/>
      <c r="Y1334" s="14"/>
      <c r="Z1334" s="14"/>
      <c r="AA1334" s="16" t="str">
        <f t="shared" ca="1" si="1610"/>
        <v>Johnson &amp; Johnson</v>
      </c>
      <c r="AB1334" s="16">
        <f t="shared" si="1610"/>
        <v>0</v>
      </c>
      <c r="AC1334" s="16">
        <f t="shared" si="1610"/>
        <v>0</v>
      </c>
      <c r="AD1334" s="16">
        <f t="shared" si="1610"/>
        <v>0</v>
      </c>
      <c r="AE1334" s="16">
        <f t="shared" si="1610"/>
        <v>0</v>
      </c>
      <c r="AF1334" s="16">
        <f t="shared" si="1610"/>
        <v>0</v>
      </c>
      <c r="AG1334" s="16">
        <f t="shared" si="1610"/>
        <v>0</v>
      </c>
      <c r="AH1334" s="16">
        <f t="shared" si="1610"/>
        <v>0</v>
      </c>
      <c r="AI1334" s="16">
        <f t="shared" si="1610"/>
        <v>0</v>
      </c>
      <c r="AJ1334" s="16">
        <f t="shared" si="1610"/>
        <v>0</v>
      </c>
      <c r="AK1334" s="16">
        <f t="shared" si="1610"/>
        <v>0</v>
      </c>
      <c r="AL1334" s="16">
        <f t="shared" si="1610"/>
        <v>0</v>
      </c>
      <c r="AM1334" s="16">
        <f t="shared" si="1610"/>
        <v>0</v>
      </c>
      <c r="AN1334" s="16">
        <f t="shared" si="1610"/>
        <v>0</v>
      </c>
      <c r="AO1334" s="16">
        <f t="shared" si="1610"/>
        <v>0</v>
      </c>
      <c r="AP1334" s="10"/>
      <c r="AQ1334" s="10"/>
      <c r="AR1334" s="10"/>
      <c r="AS1334" s="10" t="str">
        <f t="shared" ca="1" si="1606"/>
        <v>Johnson &amp; Johnson</v>
      </c>
      <c r="AT1334" s="10"/>
      <c r="AU1334" s="10"/>
      <c r="AV1334" s="10"/>
      <c r="AW1334" s="10"/>
      <c r="AX1334" s="10"/>
      <c r="AY1334" s="10"/>
      <c r="AZ1334" s="10"/>
      <c r="BA1334" s="10"/>
      <c r="BB1334" s="10"/>
      <c r="BC1334" s="10"/>
      <c r="BD1334" s="10"/>
      <c r="BE1334" s="10"/>
      <c r="BF1334" s="10"/>
      <c r="BG1334" s="10"/>
      <c r="BH1334" s="10"/>
      <c r="BI1334" s="10"/>
      <c r="BJ1334" s="10"/>
      <c r="BK1334" s="10"/>
      <c r="BM1334" s="10"/>
    </row>
    <row r="1335" spans="1:65" ht="12.75">
      <c r="A1335" s="9"/>
      <c r="B1335" s="10"/>
      <c r="C1335" s="11"/>
      <c r="D1335" s="12"/>
      <c r="E1335" s="10"/>
      <c r="F1335" s="10"/>
      <c r="G1335" s="10"/>
      <c r="H1335" s="14"/>
      <c r="I1335" s="14"/>
      <c r="J1335" s="14"/>
      <c r="K1335" s="14"/>
      <c r="L1335" s="14"/>
      <c r="M1335" s="15"/>
      <c r="N1335" s="10"/>
      <c r="O1335" s="14"/>
      <c r="P1335" s="14"/>
      <c r="Q1335" s="14"/>
      <c r="R1335" s="14"/>
      <c r="S1335" s="14"/>
      <c r="T1335" s="14"/>
      <c r="U1335" s="14"/>
      <c r="V1335" s="14">
        <f t="shared" si="1602"/>
        <v>1900</v>
      </c>
      <c r="W1335" s="14">
        <f t="shared" si="1603"/>
        <v>1</v>
      </c>
      <c r="X1335" s="14"/>
      <c r="Y1335" s="14"/>
      <c r="Z1335" s="14"/>
      <c r="AA1335" s="16" t="str">
        <f t="shared" ca="1" si="1610"/>
        <v>Johnson &amp; Johnson</v>
      </c>
      <c r="AB1335" s="16">
        <f t="shared" si="1610"/>
        <v>0</v>
      </c>
      <c r="AC1335" s="16">
        <f t="shared" si="1610"/>
        <v>0</v>
      </c>
      <c r="AD1335" s="16">
        <f t="shared" si="1610"/>
        <v>0</v>
      </c>
      <c r="AE1335" s="16">
        <f t="shared" si="1610"/>
        <v>0</v>
      </c>
      <c r="AF1335" s="16">
        <f t="shared" si="1610"/>
        <v>0</v>
      </c>
      <c r="AG1335" s="16">
        <f t="shared" si="1610"/>
        <v>0</v>
      </c>
      <c r="AH1335" s="16">
        <f t="shared" si="1610"/>
        <v>0</v>
      </c>
      <c r="AI1335" s="16">
        <f t="shared" si="1610"/>
        <v>0</v>
      </c>
      <c r="AJ1335" s="16">
        <f t="shared" si="1610"/>
        <v>0</v>
      </c>
      <c r="AK1335" s="16">
        <f t="shared" si="1610"/>
        <v>0</v>
      </c>
      <c r="AL1335" s="16">
        <f t="shared" si="1610"/>
        <v>0</v>
      </c>
      <c r="AM1335" s="16">
        <f t="shared" si="1610"/>
        <v>0</v>
      </c>
      <c r="AN1335" s="16">
        <f t="shared" si="1610"/>
        <v>0</v>
      </c>
      <c r="AO1335" s="16">
        <f t="shared" si="1610"/>
        <v>0</v>
      </c>
      <c r="AP1335" s="10"/>
      <c r="AQ1335" s="10"/>
      <c r="AR1335" s="10"/>
      <c r="AS1335" s="10" t="str">
        <f t="shared" ca="1" si="1606"/>
        <v>Johnson &amp; Johnson</v>
      </c>
      <c r="AT1335" s="10"/>
      <c r="AU1335" s="10"/>
      <c r="AV1335" s="10"/>
      <c r="AW1335" s="10"/>
      <c r="AX1335" s="10"/>
      <c r="AY1335" s="10"/>
      <c r="AZ1335" s="10"/>
      <c r="BA1335" s="10"/>
      <c r="BB1335" s="10"/>
      <c r="BC1335" s="10"/>
      <c r="BD1335" s="10"/>
      <c r="BE1335" s="10"/>
      <c r="BF1335" s="10"/>
      <c r="BG1335" s="10"/>
      <c r="BH1335" s="10"/>
      <c r="BI1335" s="10"/>
      <c r="BJ1335" s="10"/>
      <c r="BK1335" s="10"/>
      <c r="BM1335" s="10"/>
    </row>
    <row r="1336" spans="1:65" ht="12.75">
      <c r="A1336" s="9"/>
      <c r="B1336" s="10"/>
      <c r="C1336" s="11"/>
      <c r="D1336" s="12"/>
      <c r="E1336" s="10"/>
      <c r="F1336" s="10"/>
      <c r="G1336" s="10"/>
      <c r="H1336" s="14"/>
      <c r="I1336" s="14"/>
      <c r="J1336" s="14"/>
      <c r="K1336" s="14"/>
      <c r="L1336" s="14"/>
      <c r="M1336" s="15"/>
      <c r="N1336" s="10"/>
      <c r="O1336" s="14"/>
      <c r="P1336" s="14"/>
      <c r="Q1336" s="14"/>
      <c r="R1336" s="14"/>
      <c r="S1336" s="14"/>
      <c r="T1336" s="14"/>
      <c r="U1336" s="14"/>
      <c r="V1336" s="14">
        <f t="shared" si="1602"/>
        <v>1900</v>
      </c>
      <c r="W1336" s="14">
        <f t="shared" si="1603"/>
        <v>1</v>
      </c>
      <c r="X1336" s="14"/>
      <c r="Y1336" s="14"/>
      <c r="Z1336" s="14"/>
      <c r="AA1336" s="16" t="str">
        <f t="shared" ca="1" si="1610"/>
        <v>Johnson &amp; Johnson</v>
      </c>
      <c r="AB1336" s="16">
        <f t="shared" si="1610"/>
        <v>0</v>
      </c>
      <c r="AC1336" s="16">
        <f t="shared" si="1610"/>
        <v>0</v>
      </c>
      <c r="AD1336" s="16">
        <f t="shared" si="1610"/>
        <v>0</v>
      </c>
      <c r="AE1336" s="16">
        <f t="shared" si="1610"/>
        <v>0</v>
      </c>
      <c r="AF1336" s="16">
        <f t="shared" si="1610"/>
        <v>0</v>
      </c>
      <c r="AG1336" s="16">
        <f t="shared" si="1610"/>
        <v>0</v>
      </c>
      <c r="AH1336" s="16">
        <f t="shared" si="1610"/>
        <v>0</v>
      </c>
      <c r="AI1336" s="16">
        <f t="shared" si="1610"/>
        <v>0</v>
      </c>
      <c r="AJ1336" s="16">
        <f t="shared" si="1610"/>
        <v>0</v>
      </c>
      <c r="AK1336" s="16">
        <f t="shared" si="1610"/>
        <v>0</v>
      </c>
      <c r="AL1336" s="16">
        <f t="shared" si="1610"/>
        <v>0</v>
      </c>
      <c r="AM1336" s="16">
        <f t="shared" si="1610"/>
        <v>0</v>
      </c>
      <c r="AN1336" s="16">
        <f t="shared" si="1610"/>
        <v>0</v>
      </c>
      <c r="AO1336" s="16">
        <f t="shared" si="1610"/>
        <v>0</v>
      </c>
      <c r="AP1336" s="10"/>
      <c r="AQ1336" s="10"/>
      <c r="AR1336" s="10"/>
      <c r="AS1336" s="10" t="str">
        <f t="shared" ca="1" si="1606"/>
        <v>Johnson &amp; Johnson</v>
      </c>
      <c r="AT1336" s="10"/>
      <c r="AU1336" s="10"/>
      <c r="AV1336" s="10"/>
      <c r="AW1336" s="10"/>
      <c r="AX1336" s="10"/>
      <c r="AY1336" s="10"/>
      <c r="AZ1336" s="10"/>
      <c r="BA1336" s="10"/>
      <c r="BB1336" s="10"/>
      <c r="BC1336" s="10"/>
      <c r="BD1336" s="10"/>
      <c r="BE1336" s="10"/>
      <c r="BF1336" s="10"/>
      <c r="BG1336" s="10"/>
      <c r="BH1336" s="10"/>
      <c r="BI1336" s="10"/>
      <c r="BJ1336" s="10"/>
      <c r="BK1336" s="10"/>
      <c r="BM1336" s="10"/>
    </row>
    <row r="1337" spans="1:65" ht="12.75">
      <c r="A1337" s="9"/>
      <c r="B1337" s="10"/>
      <c r="C1337" s="11"/>
      <c r="D1337" s="12"/>
      <c r="E1337" s="10"/>
      <c r="F1337" s="10"/>
      <c r="G1337" s="10"/>
      <c r="H1337" s="14"/>
      <c r="I1337" s="14"/>
      <c r="J1337" s="14"/>
      <c r="K1337" s="14"/>
      <c r="L1337" s="14"/>
      <c r="M1337" s="15"/>
      <c r="N1337" s="10"/>
      <c r="O1337" s="14"/>
      <c r="P1337" s="14"/>
      <c r="Q1337" s="14"/>
      <c r="R1337" s="14"/>
      <c r="S1337" s="14"/>
      <c r="T1337" s="14"/>
      <c r="U1337" s="14"/>
      <c r="V1337" s="14">
        <f t="shared" si="1602"/>
        <v>1900</v>
      </c>
      <c r="W1337" s="14">
        <f t="shared" si="1603"/>
        <v>1</v>
      </c>
      <c r="X1337" s="14"/>
      <c r="Y1337" s="14"/>
      <c r="Z1337" s="14"/>
      <c r="AA1337" s="16" t="str">
        <f t="shared" ref="AA1337:AO1352" ca="1" si="1611">AS1337</f>
        <v>Johnson &amp; Johnson</v>
      </c>
      <c r="AB1337" s="16">
        <f t="shared" si="1611"/>
        <v>0</v>
      </c>
      <c r="AC1337" s="16">
        <f t="shared" si="1611"/>
        <v>0</v>
      </c>
      <c r="AD1337" s="16">
        <f t="shared" si="1611"/>
        <v>0</v>
      </c>
      <c r="AE1337" s="16">
        <f t="shared" si="1611"/>
        <v>0</v>
      </c>
      <c r="AF1337" s="16">
        <f t="shared" si="1611"/>
        <v>0</v>
      </c>
      <c r="AG1337" s="16">
        <f t="shared" si="1611"/>
        <v>0</v>
      </c>
      <c r="AH1337" s="16">
        <f t="shared" si="1611"/>
        <v>0</v>
      </c>
      <c r="AI1337" s="16">
        <f t="shared" si="1611"/>
        <v>0</v>
      </c>
      <c r="AJ1337" s="16">
        <f t="shared" si="1611"/>
        <v>0</v>
      </c>
      <c r="AK1337" s="16">
        <f t="shared" si="1611"/>
        <v>0</v>
      </c>
      <c r="AL1337" s="16">
        <f t="shared" si="1611"/>
        <v>0</v>
      </c>
      <c r="AM1337" s="16">
        <f t="shared" si="1611"/>
        <v>0</v>
      </c>
      <c r="AN1337" s="16">
        <f t="shared" si="1611"/>
        <v>0</v>
      </c>
      <c r="AO1337" s="16">
        <f t="shared" si="1611"/>
        <v>0</v>
      </c>
      <c r="AP1337" s="10"/>
      <c r="AQ1337" s="10"/>
      <c r="AR1337" s="10"/>
      <c r="AS1337" s="10" t="str">
        <f t="shared" ca="1" si="1606"/>
        <v>Johnson &amp; Johnson</v>
      </c>
      <c r="AT1337" s="10"/>
      <c r="AU1337" s="10"/>
      <c r="AV1337" s="10"/>
      <c r="AW1337" s="10"/>
      <c r="AX1337" s="10"/>
      <c r="AY1337" s="10"/>
      <c r="AZ1337" s="10"/>
      <c r="BA1337" s="10"/>
      <c r="BB1337" s="10"/>
      <c r="BC1337" s="10"/>
      <c r="BD1337" s="10"/>
      <c r="BE1337" s="10"/>
      <c r="BF1337" s="10"/>
      <c r="BG1337" s="10"/>
      <c r="BH1337" s="10"/>
      <c r="BI1337" s="10"/>
      <c r="BJ1337" s="10"/>
      <c r="BK1337" s="10"/>
      <c r="BM1337" s="10"/>
    </row>
    <row r="1338" spans="1:65" ht="12.75">
      <c r="A1338" s="9"/>
      <c r="B1338" s="10"/>
      <c r="C1338" s="11"/>
      <c r="D1338" s="12"/>
      <c r="E1338" s="10"/>
      <c r="F1338" s="10"/>
      <c r="G1338" s="10"/>
      <c r="H1338" s="14"/>
      <c r="I1338" s="14"/>
      <c r="J1338" s="14"/>
      <c r="K1338" s="14"/>
      <c r="L1338" s="14"/>
      <c r="M1338" s="15"/>
      <c r="N1338" s="10"/>
      <c r="O1338" s="14"/>
      <c r="P1338" s="14"/>
      <c r="Q1338" s="14"/>
      <c r="R1338" s="14"/>
      <c r="S1338" s="14"/>
      <c r="T1338" s="14"/>
      <c r="U1338" s="14"/>
      <c r="V1338" s="14">
        <f t="shared" si="1602"/>
        <v>1900</v>
      </c>
      <c r="W1338" s="14">
        <f t="shared" si="1603"/>
        <v>1</v>
      </c>
      <c r="X1338" s="14"/>
      <c r="Y1338" s="14"/>
      <c r="Z1338" s="14"/>
      <c r="AA1338" s="16" t="str">
        <f t="shared" ca="1" si="1611"/>
        <v>Johnson &amp; Johnson</v>
      </c>
      <c r="AB1338" s="16">
        <f t="shared" si="1611"/>
        <v>0</v>
      </c>
      <c r="AC1338" s="16">
        <f t="shared" si="1611"/>
        <v>0</v>
      </c>
      <c r="AD1338" s="16">
        <f t="shared" si="1611"/>
        <v>0</v>
      </c>
      <c r="AE1338" s="16">
        <f t="shared" si="1611"/>
        <v>0</v>
      </c>
      <c r="AF1338" s="16">
        <f t="shared" si="1611"/>
        <v>0</v>
      </c>
      <c r="AG1338" s="16">
        <f t="shared" si="1611"/>
        <v>0</v>
      </c>
      <c r="AH1338" s="16">
        <f t="shared" si="1611"/>
        <v>0</v>
      </c>
      <c r="AI1338" s="16">
        <f t="shared" si="1611"/>
        <v>0</v>
      </c>
      <c r="AJ1338" s="16">
        <f t="shared" si="1611"/>
        <v>0</v>
      </c>
      <c r="AK1338" s="16">
        <f t="shared" si="1611"/>
        <v>0</v>
      </c>
      <c r="AL1338" s="16">
        <f t="shared" si="1611"/>
        <v>0</v>
      </c>
      <c r="AM1338" s="16">
        <f t="shared" si="1611"/>
        <v>0</v>
      </c>
      <c r="AN1338" s="16">
        <f t="shared" si="1611"/>
        <v>0</v>
      </c>
      <c r="AO1338" s="16">
        <f t="shared" si="1611"/>
        <v>0</v>
      </c>
      <c r="AP1338" s="10"/>
      <c r="AQ1338" s="10"/>
      <c r="AR1338" s="10"/>
      <c r="AS1338" s="10" t="str">
        <f t="shared" ca="1" si="1606"/>
        <v>Johnson &amp; Johnson</v>
      </c>
      <c r="AT1338" s="10"/>
      <c r="AU1338" s="10"/>
      <c r="AV1338" s="10"/>
      <c r="AW1338" s="10"/>
      <c r="AX1338" s="10"/>
      <c r="AY1338" s="10"/>
      <c r="AZ1338" s="10"/>
      <c r="BA1338" s="10"/>
      <c r="BB1338" s="10"/>
      <c r="BC1338" s="10"/>
      <c r="BD1338" s="10"/>
      <c r="BE1338" s="10"/>
      <c r="BF1338" s="10"/>
      <c r="BG1338" s="10"/>
      <c r="BH1338" s="10"/>
      <c r="BI1338" s="10"/>
      <c r="BJ1338" s="10"/>
      <c r="BK1338" s="10"/>
      <c r="BM1338" s="10"/>
    </row>
    <row r="1339" spans="1:65" ht="12.75">
      <c r="A1339" s="9"/>
      <c r="B1339" s="10"/>
      <c r="C1339" s="11"/>
      <c r="D1339" s="12"/>
      <c r="E1339" s="10"/>
      <c r="F1339" s="10"/>
      <c r="G1339" s="10"/>
      <c r="H1339" s="14"/>
      <c r="I1339" s="14"/>
      <c r="J1339" s="14"/>
      <c r="K1339" s="14"/>
      <c r="L1339" s="14"/>
      <c r="M1339" s="15"/>
      <c r="N1339" s="10"/>
      <c r="O1339" s="14"/>
      <c r="P1339" s="14"/>
      <c r="Q1339" s="14"/>
      <c r="R1339" s="14"/>
      <c r="S1339" s="14"/>
      <c r="T1339" s="14"/>
      <c r="U1339" s="14"/>
      <c r="V1339" s="14">
        <f t="shared" si="1602"/>
        <v>1900</v>
      </c>
      <c r="W1339" s="14">
        <f t="shared" si="1603"/>
        <v>1</v>
      </c>
      <c r="X1339" s="14"/>
      <c r="Y1339" s="14"/>
      <c r="Z1339" s="14"/>
      <c r="AA1339" s="16" t="str">
        <f t="shared" ca="1" si="1611"/>
        <v>Johnson &amp; Johnson</v>
      </c>
      <c r="AB1339" s="16">
        <f t="shared" si="1611"/>
        <v>0</v>
      </c>
      <c r="AC1339" s="16">
        <f t="shared" si="1611"/>
        <v>0</v>
      </c>
      <c r="AD1339" s="16">
        <f t="shared" si="1611"/>
        <v>0</v>
      </c>
      <c r="AE1339" s="16">
        <f t="shared" si="1611"/>
        <v>0</v>
      </c>
      <c r="AF1339" s="16">
        <f t="shared" si="1611"/>
        <v>0</v>
      </c>
      <c r="AG1339" s="16">
        <f t="shared" si="1611"/>
        <v>0</v>
      </c>
      <c r="AH1339" s="16">
        <f t="shared" si="1611"/>
        <v>0</v>
      </c>
      <c r="AI1339" s="16">
        <f t="shared" si="1611"/>
        <v>0</v>
      </c>
      <c r="AJ1339" s="16">
        <f t="shared" si="1611"/>
        <v>0</v>
      </c>
      <c r="AK1339" s="16">
        <f t="shared" si="1611"/>
        <v>0</v>
      </c>
      <c r="AL1339" s="16">
        <f t="shared" si="1611"/>
        <v>0</v>
      </c>
      <c r="AM1339" s="16">
        <f t="shared" si="1611"/>
        <v>0</v>
      </c>
      <c r="AN1339" s="16">
        <f t="shared" si="1611"/>
        <v>0</v>
      </c>
      <c r="AO1339" s="16">
        <f t="shared" si="1611"/>
        <v>0</v>
      </c>
      <c r="AP1339" s="10"/>
      <c r="AQ1339" s="10"/>
      <c r="AR1339" s="10"/>
      <c r="AS1339" s="10" t="str">
        <f t="shared" ca="1" si="1606"/>
        <v>Johnson &amp; Johnson</v>
      </c>
      <c r="AT1339" s="10"/>
      <c r="AU1339" s="10"/>
      <c r="AV1339" s="10"/>
      <c r="AW1339" s="10"/>
      <c r="AX1339" s="10"/>
      <c r="AY1339" s="10"/>
      <c r="AZ1339" s="10"/>
      <c r="BA1339" s="10"/>
      <c r="BB1339" s="10"/>
      <c r="BC1339" s="10"/>
      <c r="BD1339" s="10"/>
      <c r="BE1339" s="10"/>
      <c r="BF1339" s="10"/>
      <c r="BG1339" s="10"/>
      <c r="BH1339" s="10"/>
      <c r="BI1339" s="10"/>
      <c r="BJ1339" s="10"/>
      <c r="BK1339" s="10"/>
      <c r="BM1339" s="10"/>
    </row>
    <row r="1340" spans="1:65" ht="12.75">
      <c r="A1340" s="9"/>
      <c r="B1340" s="10"/>
      <c r="C1340" s="11"/>
      <c r="D1340" s="12"/>
      <c r="E1340" s="10"/>
      <c r="F1340" s="10"/>
      <c r="G1340" s="10"/>
      <c r="H1340" s="14"/>
      <c r="I1340" s="14"/>
      <c r="J1340" s="14"/>
      <c r="K1340" s="14"/>
      <c r="L1340" s="14"/>
      <c r="M1340" s="15"/>
      <c r="N1340" s="10"/>
      <c r="O1340" s="14"/>
      <c r="P1340" s="14"/>
      <c r="Q1340" s="14"/>
      <c r="R1340" s="14"/>
      <c r="S1340" s="14"/>
      <c r="T1340" s="14"/>
      <c r="U1340" s="14"/>
      <c r="V1340" s="14">
        <f t="shared" si="1602"/>
        <v>1900</v>
      </c>
      <c r="W1340" s="14">
        <f t="shared" si="1603"/>
        <v>1</v>
      </c>
      <c r="X1340" s="14"/>
      <c r="Y1340" s="14"/>
      <c r="Z1340" s="14"/>
      <c r="AA1340" s="16" t="str">
        <f t="shared" ca="1" si="1611"/>
        <v>Johnson &amp; Johnson</v>
      </c>
      <c r="AB1340" s="16">
        <f t="shared" si="1611"/>
        <v>0</v>
      </c>
      <c r="AC1340" s="16">
        <f t="shared" si="1611"/>
        <v>0</v>
      </c>
      <c r="AD1340" s="16">
        <f t="shared" si="1611"/>
        <v>0</v>
      </c>
      <c r="AE1340" s="16">
        <f t="shared" si="1611"/>
        <v>0</v>
      </c>
      <c r="AF1340" s="16">
        <f t="shared" si="1611"/>
        <v>0</v>
      </c>
      <c r="AG1340" s="16">
        <f t="shared" si="1611"/>
        <v>0</v>
      </c>
      <c r="AH1340" s="16">
        <f t="shared" si="1611"/>
        <v>0</v>
      </c>
      <c r="AI1340" s="16">
        <f t="shared" si="1611"/>
        <v>0</v>
      </c>
      <c r="AJ1340" s="16">
        <f t="shared" si="1611"/>
        <v>0</v>
      </c>
      <c r="AK1340" s="16">
        <f t="shared" si="1611"/>
        <v>0</v>
      </c>
      <c r="AL1340" s="16">
        <f t="shared" si="1611"/>
        <v>0</v>
      </c>
      <c r="AM1340" s="16">
        <f t="shared" si="1611"/>
        <v>0</v>
      </c>
      <c r="AN1340" s="16">
        <f t="shared" si="1611"/>
        <v>0</v>
      </c>
      <c r="AO1340" s="16">
        <f t="shared" si="1611"/>
        <v>0</v>
      </c>
      <c r="AP1340" s="10"/>
      <c r="AQ1340" s="10"/>
      <c r="AR1340" s="10"/>
      <c r="AS1340" s="10" t="str">
        <f t="shared" ca="1" si="1606"/>
        <v>Johnson &amp; Johnson</v>
      </c>
      <c r="AT1340" s="10"/>
      <c r="AU1340" s="10"/>
      <c r="AV1340" s="10"/>
      <c r="AW1340" s="10"/>
      <c r="AX1340" s="10"/>
      <c r="AY1340" s="10"/>
      <c r="AZ1340" s="10"/>
      <c r="BA1340" s="10"/>
      <c r="BB1340" s="10"/>
      <c r="BC1340" s="10"/>
      <c r="BD1340" s="10"/>
      <c r="BE1340" s="10"/>
      <c r="BF1340" s="10"/>
      <c r="BG1340" s="10"/>
      <c r="BH1340" s="10"/>
      <c r="BI1340" s="10"/>
      <c r="BJ1340" s="10"/>
      <c r="BK1340" s="10"/>
      <c r="BM1340" s="10"/>
    </row>
    <row r="1341" spans="1:65" ht="12.75">
      <c r="A1341" s="9"/>
      <c r="B1341" s="10"/>
      <c r="C1341" s="11"/>
      <c r="D1341" s="12"/>
      <c r="E1341" s="10"/>
      <c r="F1341" s="10"/>
      <c r="G1341" s="10"/>
      <c r="H1341" s="14"/>
      <c r="I1341" s="14"/>
      <c r="J1341" s="14"/>
      <c r="K1341" s="14"/>
      <c r="L1341" s="14"/>
      <c r="M1341" s="15"/>
      <c r="N1341" s="10"/>
      <c r="O1341" s="14"/>
      <c r="P1341" s="14"/>
      <c r="Q1341" s="14"/>
      <c r="R1341" s="14"/>
      <c r="S1341" s="14"/>
      <c r="T1341" s="14"/>
      <c r="U1341" s="14"/>
      <c r="V1341" s="14">
        <f t="shared" si="1602"/>
        <v>1900</v>
      </c>
      <c r="W1341" s="14">
        <f t="shared" si="1603"/>
        <v>1</v>
      </c>
      <c r="X1341" s="14"/>
      <c r="Y1341" s="14"/>
      <c r="Z1341" s="14"/>
      <c r="AA1341" s="16" t="str">
        <f t="shared" ca="1" si="1611"/>
        <v>Johnson &amp; Johnson</v>
      </c>
      <c r="AB1341" s="16">
        <f t="shared" si="1611"/>
        <v>0</v>
      </c>
      <c r="AC1341" s="16">
        <f t="shared" si="1611"/>
        <v>0</v>
      </c>
      <c r="AD1341" s="16">
        <f t="shared" si="1611"/>
        <v>0</v>
      </c>
      <c r="AE1341" s="16">
        <f t="shared" si="1611"/>
        <v>0</v>
      </c>
      <c r="AF1341" s="16">
        <f t="shared" si="1611"/>
        <v>0</v>
      </c>
      <c r="AG1341" s="16">
        <f t="shared" si="1611"/>
        <v>0</v>
      </c>
      <c r="AH1341" s="16">
        <f t="shared" si="1611"/>
        <v>0</v>
      </c>
      <c r="AI1341" s="16">
        <f t="shared" si="1611"/>
        <v>0</v>
      </c>
      <c r="AJ1341" s="16">
        <f t="shared" si="1611"/>
        <v>0</v>
      </c>
      <c r="AK1341" s="16">
        <f t="shared" si="1611"/>
        <v>0</v>
      </c>
      <c r="AL1341" s="16">
        <f t="shared" si="1611"/>
        <v>0</v>
      </c>
      <c r="AM1341" s="16">
        <f t="shared" si="1611"/>
        <v>0</v>
      </c>
      <c r="AN1341" s="16">
        <f t="shared" si="1611"/>
        <v>0</v>
      </c>
      <c r="AO1341" s="16">
        <f t="shared" si="1611"/>
        <v>0</v>
      </c>
      <c r="AP1341" s="10"/>
      <c r="AQ1341" s="10"/>
      <c r="AR1341" s="10"/>
      <c r="AS1341" s="10" t="str">
        <f t="shared" ca="1" si="1606"/>
        <v>Johnson &amp; Johnson</v>
      </c>
      <c r="AT1341" s="10"/>
      <c r="AU1341" s="10"/>
      <c r="AV1341" s="10"/>
      <c r="AW1341" s="10"/>
      <c r="AX1341" s="10"/>
      <c r="AY1341" s="10"/>
      <c r="AZ1341" s="10"/>
      <c r="BA1341" s="10"/>
      <c r="BB1341" s="10"/>
      <c r="BC1341" s="10"/>
      <c r="BD1341" s="10"/>
      <c r="BE1341" s="10"/>
      <c r="BF1341" s="10"/>
      <c r="BG1341" s="10"/>
      <c r="BH1341" s="10"/>
      <c r="BI1341" s="10"/>
      <c r="BJ1341" s="10"/>
      <c r="BK1341" s="10"/>
      <c r="BM1341" s="10"/>
    </row>
    <row r="1342" spans="1:65" ht="12.75">
      <c r="A1342" s="9"/>
      <c r="B1342" s="10"/>
      <c r="C1342" s="11"/>
      <c r="D1342" s="12"/>
      <c r="E1342" s="10"/>
      <c r="F1342" s="10"/>
      <c r="G1342" s="10"/>
      <c r="H1342" s="14"/>
      <c r="I1342" s="14"/>
      <c r="J1342" s="14"/>
      <c r="K1342" s="14"/>
      <c r="L1342" s="14"/>
      <c r="M1342" s="15"/>
      <c r="N1342" s="10"/>
      <c r="O1342" s="14"/>
      <c r="P1342" s="14"/>
      <c r="Q1342" s="14"/>
      <c r="R1342" s="14"/>
      <c r="S1342" s="14"/>
      <c r="T1342" s="14"/>
      <c r="U1342" s="14"/>
      <c r="V1342" s="14">
        <f t="shared" si="1602"/>
        <v>1900</v>
      </c>
      <c r="W1342" s="14">
        <f t="shared" si="1603"/>
        <v>1</v>
      </c>
      <c r="X1342" s="14"/>
      <c r="Y1342" s="14"/>
      <c r="Z1342" s="14"/>
      <c r="AA1342" s="16" t="str">
        <f t="shared" ca="1" si="1611"/>
        <v>Johnson &amp; Johnson</v>
      </c>
      <c r="AB1342" s="16">
        <f t="shared" si="1611"/>
        <v>0</v>
      </c>
      <c r="AC1342" s="16">
        <f t="shared" si="1611"/>
        <v>0</v>
      </c>
      <c r="AD1342" s="16">
        <f t="shared" si="1611"/>
        <v>0</v>
      </c>
      <c r="AE1342" s="16">
        <f t="shared" si="1611"/>
        <v>0</v>
      </c>
      <c r="AF1342" s="16">
        <f t="shared" si="1611"/>
        <v>0</v>
      </c>
      <c r="AG1342" s="16">
        <f t="shared" si="1611"/>
        <v>0</v>
      </c>
      <c r="AH1342" s="16">
        <f t="shared" si="1611"/>
        <v>0</v>
      </c>
      <c r="AI1342" s="16">
        <f t="shared" si="1611"/>
        <v>0</v>
      </c>
      <c r="AJ1342" s="16">
        <f t="shared" si="1611"/>
        <v>0</v>
      </c>
      <c r="AK1342" s="16">
        <f t="shared" si="1611"/>
        <v>0</v>
      </c>
      <c r="AL1342" s="16">
        <f t="shared" si="1611"/>
        <v>0</v>
      </c>
      <c r="AM1342" s="16">
        <f t="shared" si="1611"/>
        <v>0</v>
      </c>
      <c r="AN1342" s="16">
        <f t="shared" si="1611"/>
        <v>0</v>
      </c>
      <c r="AO1342" s="16">
        <f t="shared" si="1611"/>
        <v>0</v>
      </c>
      <c r="AP1342" s="10"/>
      <c r="AQ1342" s="10"/>
      <c r="AR1342" s="10"/>
      <c r="AS1342" s="10" t="str">
        <f t="shared" ca="1" si="1606"/>
        <v>Johnson &amp; Johnson</v>
      </c>
      <c r="AT1342" s="10"/>
      <c r="AU1342" s="10"/>
      <c r="AV1342" s="10"/>
      <c r="AW1342" s="10"/>
      <c r="AX1342" s="10"/>
      <c r="AY1342" s="10"/>
      <c r="AZ1342" s="10"/>
      <c r="BA1342" s="10"/>
      <c r="BB1342" s="10"/>
      <c r="BC1342" s="10"/>
      <c r="BD1342" s="10"/>
      <c r="BE1342" s="10"/>
      <c r="BF1342" s="10"/>
      <c r="BG1342" s="10"/>
      <c r="BH1342" s="10"/>
      <c r="BI1342" s="10"/>
      <c r="BJ1342" s="10"/>
      <c r="BK1342" s="10"/>
      <c r="BM1342" s="10"/>
    </row>
    <row r="1343" spans="1:65" ht="12.75">
      <c r="A1343" s="9"/>
      <c r="B1343" s="10"/>
      <c r="C1343" s="11"/>
      <c r="D1343" s="12"/>
      <c r="E1343" s="10"/>
      <c r="F1343" s="10"/>
      <c r="G1343" s="10"/>
      <c r="H1343" s="14"/>
      <c r="I1343" s="14"/>
      <c r="J1343" s="14"/>
      <c r="K1343" s="14"/>
      <c r="L1343" s="14"/>
      <c r="M1343" s="15"/>
      <c r="N1343" s="10"/>
      <c r="O1343" s="14"/>
      <c r="P1343" s="14"/>
      <c r="Q1343" s="14"/>
      <c r="R1343" s="14"/>
      <c r="S1343" s="14"/>
      <c r="T1343" s="14"/>
      <c r="U1343" s="14"/>
      <c r="V1343" s="14">
        <f t="shared" si="1602"/>
        <v>1900</v>
      </c>
      <c r="W1343" s="14">
        <f t="shared" si="1603"/>
        <v>1</v>
      </c>
      <c r="X1343" s="14"/>
      <c r="Y1343" s="14"/>
      <c r="Z1343" s="14"/>
      <c r="AA1343" s="16" t="str">
        <f t="shared" ca="1" si="1611"/>
        <v>Johnson &amp; Johnson</v>
      </c>
      <c r="AB1343" s="16">
        <f t="shared" si="1611"/>
        <v>0</v>
      </c>
      <c r="AC1343" s="16">
        <f t="shared" si="1611"/>
        <v>0</v>
      </c>
      <c r="AD1343" s="16">
        <f t="shared" si="1611"/>
        <v>0</v>
      </c>
      <c r="AE1343" s="16">
        <f t="shared" si="1611"/>
        <v>0</v>
      </c>
      <c r="AF1343" s="16">
        <f t="shared" si="1611"/>
        <v>0</v>
      </c>
      <c r="AG1343" s="16">
        <f t="shared" si="1611"/>
        <v>0</v>
      </c>
      <c r="AH1343" s="16">
        <f t="shared" si="1611"/>
        <v>0</v>
      </c>
      <c r="AI1343" s="16">
        <f t="shared" si="1611"/>
        <v>0</v>
      </c>
      <c r="AJ1343" s="16">
        <f t="shared" si="1611"/>
        <v>0</v>
      </c>
      <c r="AK1343" s="16">
        <f t="shared" si="1611"/>
        <v>0</v>
      </c>
      <c r="AL1343" s="16">
        <f t="shared" si="1611"/>
        <v>0</v>
      </c>
      <c r="AM1343" s="16">
        <f t="shared" si="1611"/>
        <v>0</v>
      </c>
      <c r="AN1343" s="16">
        <f t="shared" si="1611"/>
        <v>0</v>
      </c>
      <c r="AO1343" s="16">
        <f t="shared" si="1611"/>
        <v>0</v>
      </c>
      <c r="AP1343" s="10"/>
      <c r="AQ1343" s="10"/>
      <c r="AR1343" s="10"/>
      <c r="AS1343" s="10" t="str">
        <f t="shared" ca="1" si="1606"/>
        <v>Johnson &amp; Johnson</v>
      </c>
      <c r="AT1343" s="10"/>
      <c r="AU1343" s="10"/>
      <c r="AV1343" s="10"/>
      <c r="AW1343" s="10"/>
      <c r="AX1343" s="10"/>
      <c r="AY1343" s="10"/>
      <c r="AZ1343" s="10"/>
      <c r="BA1343" s="10"/>
      <c r="BB1343" s="10"/>
      <c r="BC1343" s="10"/>
      <c r="BD1343" s="10"/>
      <c r="BE1343" s="10"/>
      <c r="BF1343" s="10"/>
      <c r="BG1343" s="10"/>
      <c r="BH1343" s="10"/>
      <c r="BI1343" s="10"/>
      <c r="BJ1343" s="10"/>
      <c r="BK1343" s="10"/>
      <c r="BM1343" s="10"/>
    </row>
    <row r="1344" spans="1:65" ht="12.75">
      <c r="A1344" s="9"/>
      <c r="B1344" s="10"/>
      <c r="C1344" s="11"/>
      <c r="D1344" s="12"/>
      <c r="E1344" s="10"/>
      <c r="F1344" s="10"/>
      <c r="G1344" s="10"/>
      <c r="H1344" s="14"/>
      <c r="I1344" s="14"/>
      <c r="J1344" s="14"/>
      <c r="K1344" s="14"/>
      <c r="L1344" s="14"/>
      <c r="M1344" s="15"/>
      <c r="N1344" s="10"/>
      <c r="O1344" s="14"/>
      <c r="P1344" s="14"/>
      <c r="Q1344" s="14"/>
      <c r="R1344" s="14"/>
      <c r="S1344" s="14"/>
      <c r="T1344" s="14"/>
      <c r="U1344" s="14"/>
      <c r="V1344" s="14">
        <f t="shared" si="1602"/>
        <v>1900</v>
      </c>
      <c r="W1344" s="14">
        <f t="shared" si="1603"/>
        <v>1</v>
      </c>
      <c r="X1344" s="14"/>
      <c r="Y1344" s="14"/>
      <c r="Z1344" s="14"/>
      <c r="AA1344" s="16" t="str">
        <f t="shared" ca="1" si="1611"/>
        <v>Johnson &amp; Johnson</v>
      </c>
      <c r="AB1344" s="16">
        <f t="shared" si="1611"/>
        <v>0</v>
      </c>
      <c r="AC1344" s="16">
        <f t="shared" si="1611"/>
        <v>0</v>
      </c>
      <c r="AD1344" s="16">
        <f t="shared" si="1611"/>
        <v>0</v>
      </c>
      <c r="AE1344" s="16">
        <f t="shared" si="1611"/>
        <v>0</v>
      </c>
      <c r="AF1344" s="16">
        <f t="shared" si="1611"/>
        <v>0</v>
      </c>
      <c r="AG1344" s="16">
        <f t="shared" si="1611"/>
        <v>0</v>
      </c>
      <c r="AH1344" s="16">
        <f t="shared" si="1611"/>
        <v>0</v>
      </c>
      <c r="AI1344" s="16">
        <f t="shared" si="1611"/>
        <v>0</v>
      </c>
      <c r="AJ1344" s="16">
        <f t="shared" si="1611"/>
        <v>0</v>
      </c>
      <c r="AK1344" s="16">
        <f t="shared" si="1611"/>
        <v>0</v>
      </c>
      <c r="AL1344" s="16">
        <f t="shared" si="1611"/>
        <v>0</v>
      </c>
      <c r="AM1344" s="16">
        <f t="shared" si="1611"/>
        <v>0</v>
      </c>
      <c r="AN1344" s="16">
        <f t="shared" si="1611"/>
        <v>0</v>
      </c>
      <c r="AO1344" s="16">
        <f t="shared" si="1611"/>
        <v>0</v>
      </c>
      <c r="AP1344" s="10"/>
      <c r="AQ1344" s="10"/>
      <c r="AR1344" s="10"/>
      <c r="AS1344" s="10" t="str">
        <f t="shared" ca="1" si="1606"/>
        <v>Johnson &amp; Johnson</v>
      </c>
      <c r="AT1344" s="10"/>
      <c r="AU1344" s="10"/>
      <c r="AV1344" s="10"/>
      <c r="AW1344" s="10"/>
      <c r="AX1344" s="10"/>
      <c r="AY1344" s="10"/>
      <c r="AZ1344" s="10"/>
      <c r="BA1344" s="10"/>
      <c r="BB1344" s="10"/>
      <c r="BC1344" s="10"/>
      <c r="BD1344" s="10"/>
      <c r="BE1344" s="10"/>
      <c r="BF1344" s="10"/>
      <c r="BG1344" s="10"/>
      <c r="BH1344" s="10"/>
      <c r="BI1344" s="10"/>
      <c r="BJ1344" s="10"/>
      <c r="BK1344" s="10"/>
      <c r="BM1344" s="10"/>
    </row>
    <row r="1345" spans="1:65" ht="12.75">
      <c r="A1345" s="9"/>
      <c r="B1345" s="10"/>
      <c r="C1345" s="11"/>
      <c r="D1345" s="12"/>
      <c r="E1345" s="10"/>
      <c r="F1345" s="10"/>
      <c r="G1345" s="10"/>
      <c r="H1345" s="14"/>
      <c r="I1345" s="14"/>
      <c r="J1345" s="14"/>
      <c r="K1345" s="14"/>
      <c r="L1345" s="14"/>
      <c r="M1345" s="15"/>
      <c r="N1345" s="10"/>
      <c r="O1345" s="14"/>
      <c r="P1345" s="14"/>
      <c r="Q1345" s="14"/>
      <c r="R1345" s="14"/>
      <c r="S1345" s="14"/>
      <c r="T1345" s="14"/>
      <c r="U1345" s="14"/>
      <c r="V1345" s="14">
        <f t="shared" si="1602"/>
        <v>1900</v>
      </c>
      <c r="W1345" s="14">
        <f t="shared" si="1603"/>
        <v>1</v>
      </c>
      <c r="X1345" s="14"/>
      <c r="Y1345" s="14"/>
      <c r="Z1345" s="14"/>
      <c r="AA1345" s="16" t="str">
        <f t="shared" ca="1" si="1611"/>
        <v>Johnson &amp; Johnson</v>
      </c>
      <c r="AB1345" s="16">
        <f t="shared" si="1611"/>
        <v>0</v>
      </c>
      <c r="AC1345" s="16">
        <f t="shared" si="1611"/>
        <v>0</v>
      </c>
      <c r="AD1345" s="16">
        <f t="shared" si="1611"/>
        <v>0</v>
      </c>
      <c r="AE1345" s="16">
        <f t="shared" si="1611"/>
        <v>0</v>
      </c>
      <c r="AF1345" s="16">
        <f t="shared" si="1611"/>
        <v>0</v>
      </c>
      <c r="AG1345" s="16">
        <f t="shared" si="1611"/>
        <v>0</v>
      </c>
      <c r="AH1345" s="16">
        <f t="shared" si="1611"/>
        <v>0</v>
      </c>
      <c r="AI1345" s="16">
        <f t="shared" si="1611"/>
        <v>0</v>
      </c>
      <c r="AJ1345" s="16">
        <f t="shared" si="1611"/>
        <v>0</v>
      </c>
      <c r="AK1345" s="16">
        <f t="shared" si="1611"/>
        <v>0</v>
      </c>
      <c r="AL1345" s="16">
        <f t="shared" si="1611"/>
        <v>0</v>
      </c>
      <c r="AM1345" s="16">
        <f t="shared" si="1611"/>
        <v>0</v>
      </c>
      <c r="AN1345" s="16">
        <f t="shared" si="1611"/>
        <v>0</v>
      </c>
      <c r="AO1345" s="16">
        <f t="shared" si="1611"/>
        <v>0</v>
      </c>
      <c r="AP1345" s="10"/>
      <c r="AQ1345" s="10"/>
      <c r="AR1345" s="10"/>
      <c r="AS1345" s="10" t="str">
        <f t="shared" ca="1" si="1606"/>
        <v>Johnson &amp; Johnson</v>
      </c>
      <c r="AT1345" s="10"/>
      <c r="AU1345" s="10"/>
      <c r="AV1345" s="10"/>
      <c r="AW1345" s="10"/>
      <c r="AX1345" s="10"/>
      <c r="AY1345" s="10"/>
      <c r="AZ1345" s="10"/>
      <c r="BA1345" s="10"/>
      <c r="BB1345" s="10"/>
      <c r="BC1345" s="10"/>
      <c r="BD1345" s="10"/>
      <c r="BE1345" s="10"/>
      <c r="BF1345" s="10"/>
      <c r="BG1345" s="10"/>
      <c r="BH1345" s="10"/>
      <c r="BI1345" s="10"/>
      <c r="BJ1345" s="10"/>
      <c r="BK1345" s="10"/>
      <c r="BM1345" s="10"/>
    </row>
    <row r="1346" spans="1:65" ht="12.75">
      <c r="A1346" s="9"/>
      <c r="B1346" s="10"/>
      <c r="C1346" s="11"/>
      <c r="D1346" s="12"/>
      <c r="E1346" s="10"/>
      <c r="F1346" s="10"/>
      <c r="G1346" s="10"/>
      <c r="H1346" s="14"/>
      <c r="I1346" s="14"/>
      <c r="J1346" s="14"/>
      <c r="K1346" s="14"/>
      <c r="L1346" s="14"/>
      <c r="M1346" s="15"/>
      <c r="N1346" s="10"/>
      <c r="O1346" s="14"/>
      <c r="P1346" s="14"/>
      <c r="Q1346" s="14"/>
      <c r="R1346" s="14"/>
      <c r="S1346" s="14"/>
      <c r="T1346" s="14"/>
      <c r="U1346" s="14"/>
      <c r="V1346" s="14">
        <f t="shared" si="1602"/>
        <v>1900</v>
      </c>
      <c r="W1346" s="14">
        <f t="shared" si="1603"/>
        <v>1</v>
      </c>
      <c r="X1346" s="14"/>
      <c r="Y1346" s="14"/>
      <c r="Z1346" s="14"/>
      <c r="AA1346" s="16" t="str">
        <f t="shared" ca="1" si="1611"/>
        <v>Johnson &amp; Johnson</v>
      </c>
      <c r="AB1346" s="16">
        <f t="shared" si="1611"/>
        <v>0</v>
      </c>
      <c r="AC1346" s="16">
        <f t="shared" si="1611"/>
        <v>0</v>
      </c>
      <c r="AD1346" s="16">
        <f t="shared" si="1611"/>
        <v>0</v>
      </c>
      <c r="AE1346" s="16">
        <f t="shared" si="1611"/>
        <v>0</v>
      </c>
      <c r="AF1346" s="16">
        <f t="shared" si="1611"/>
        <v>0</v>
      </c>
      <c r="AG1346" s="16">
        <f t="shared" si="1611"/>
        <v>0</v>
      </c>
      <c r="AH1346" s="16">
        <f t="shared" si="1611"/>
        <v>0</v>
      </c>
      <c r="AI1346" s="16">
        <f t="shared" si="1611"/>
        <v>0</v>
      </c>
      <c r="AJ1346" s="16">
        <f t="shared" si="1611"/>
        <v>0</v>
      </c>
      <c r="AK1346" s="16">
        <f t="shared" si="1611"/>
        <v>0</v>
      </c>
      <c r="AL1346" s="16">
        <f t="shared" si="1611"/>
        <v>0</v>
      </c>
      <c r="AM1346" s="16">
        <f t="shared" si="1611"/>
        <v>0</v>
      </c>
      <c r="AN1346" s="16">
        <f t="shared" si="1611"/>
        <v>0</v>
      </c>
      <c r="AO1346" s="16">
        <f t="shared" si="1611"/>
        <v>0</v>
      </c>
      <c r="AP1346" s="10"/>
      <c r="AQ1346" s="10"/>
      <c r="AR1346" s="10"/>
      <c r="AS1346" s="10" t="str">
        <f t="shared" ca="1" si="1606"/>
        <v>Johnson &amp; Johnson</v>
      </c>
      <c r="AT1346" s="10"/>
      <c r="AU1346" s="10"/>
      <c r="AV1346" s="10"/>
      <c r="AW1346" s="10"/>
      <c r="AX1346" s="10"/>
      <c r="AY1346" s="10"/>
      <c r="AZ1346" s="10"/>
      <c r="BA1346" s="10"/>
      <c r="BB1346" s="10"/>
      <c r="BC1346" s="10"/>
      <c r="BD1346" s="10"/>
      <c r="BE1346" s="10"/>
      <c r="BF1346" s="10"/>
      <c r="BG1346" s="10"/>
      <c r="BH1346" s="10"/>
      <c r="BI1346" s="10"/>
      <c r="BJ1346" s="10"/>
      <c r="BK1346" s="10"/>
      <c r="BM1346" s="10"/>
    </row>
    <row r="1347" spans="1:65" ht="12.75">
      <c r="A1347" s="9"/>
      <c r="B1347" s="10"/>
      <c r="C1347" s="11"/>
      <c r="D1347" s="12"/>
      <c r="E1347" s="10"/>
      <c r="F1347" s="10"/>
      <c r="G1347" s="10"/>
      <c r="H1347" s="14"/>
      <c r="I1347" s="14"/>
      <c r="J1347" s="14"/>
      <c r="K1347" s="14"/>
      <c r="L1347" s="14"/>
      <c r="M1347" s="15"/>
      <c r="N1347" s="10"/>
      <c r="O1347" s="14"/>
      <c r="P1347" s="14"/>
      <c r="Q1347" s="14"/>
      <c r="R1347" s="14"/>
      <c r="S1347" s="14"/>
      <c r="T1347" s="14"/>
      <c r="U1347" s="14"/>
      <c r="V1347" s="14">
        <f t="shared" si="1602"/>
        <v>1900</v>
      </c>
      <c r="W1347" s="14">
        <f t="shared" si="1603"/>
        <v>1</v>
      </c>
      <c r="X1347" s="14"/>
      <c r="Y1347" s="14"/>
      <c r="Z1347" s="14"/>
      <c r="AA1347" s="16" t="str">
        <f t="shared" ca="1" si="1611"/>
        <v>Johnson &amp; Johnson</v>
      </c>
      <c r="AB1347" s="16">
        <f t="shared" si="1611"/>
        <v>0</v>
      </c>
      <c r="AC1347" s="16">
        <f t="shared" si="1611"/>
        <v>0</v>
      </c>
      <c r="AD1347" s="16">
        <f t="shared" si="1611"/>
        <v>0</v>
      </c>
      <c r="AE1347" s="16">
        <f t="shared" si="1611"/>
        <v>0</v>
      </c>
      <c r="AF1347" s="16">
        <f t="shared" si="1611"/>
        <v>0</v>
      </c>
      <c r="AG1347" s="16">
        <f t="shared" si="1611"/>
        <v>0</v>
      </c>
      <c r="AH1347" s="16">
        <f t="shared" si="1611"/>
        <v>0</v>
      </c>
      <c r="AI1347" s="16">
        <f t="shared" si="1611"/>
        <v>0</v>
      </c>
      <c r="AJ1347" s="16">
        <f t="shared" si="1611"/>
        <v>0</v>
      </c>
      <c r="AK1347" s="16">
        <f t="shared" si="1611"/>
        <v>0</v>
      </c>
      <c r="AL1347" s="16">
        <f t="shared" si="1611"/>
        <v>0</v>
      </c>
      <c r="AM1347" s="16">
        <f t="shared" si="1611"/>
        <v>0</v>
      </c>
      <c r="AN1347" s="16">
        <f t="shared" si="1611"/>
        <v>0</v>
      </c>
      <c r="AO1347" s="16">
        <f t="shared" si="1611"/>
        <v>0</v>
      </c>
      <c r="AP1347" s="10"/>
      <c r="AQ1347" s="10"/>
      <c r="AR1347" s="10"/>
      <c r="AS1347" s="10" t="str">
        <f t="shared" ca="1" si="1606"/>
        <v>Johnson &amp; Johnson</v>
      </c>
      <c r="AT1347" s="10"/>
      <c r="AU1347" s="10"/>
      <c r="AV1347" s="10"/>
      <c r="AW1347" s="10"/>
      <c r="AX1347" s="10"/>
      <c r="AY1347" s="10"/>
      <c r="AZ1347" s="10"/>
      <c r="BA1347" s="10"/>
      <c r="BB1347" s="10"/>
      <c r="BC1347" s="10"/>
      <c r="BD1347" s="10"/>
      <c r="BE1347" s="10"/>
      <c r="BF1347" s="10"/>
      <c r="BG1347" s="10"/>
      <c r="BH1347" s="10"/>
      <c r="BI1347" s="10"/>
      <c r="BJ1347" s="10"/>
      <c r="BK1347" s="10"/>
      <c r="BM1347" s="10"/>
    </row>
    <row r="1348" spans="1:65" ht="12.75">
      <c r="A1348" s="9"/>
      <c r="B1348" s="10"/>
      <c r="C1348" s="11"/>
      <c r="D1348" s="12"/>
      <c r="E1348" s="10"/>
      <c r="F1348" s="10"/>
      <c r="G1348" s="10"/>
      <c r="H1348" s="14"/>
      <c r="I1348" s="14"/>
      <c r="J1348" s="14"/>
      <c r="K1348" s="14"/>
      <c r="L1348" s="14"/>
      <c r="M1348" s="15"/>
      <c r="N1348" s="10"/>
      <c r="O1348" s="14"/>
      <c r="P1348" s="14"/>
      <c r="Q1348" s="14"/>
      <c r="R1348" s="14"/>
      <c r="S1348" s="14"/>
      <c r="T1348" s="14"/>
      <c r="U1348" s="14"/>
      <c r="V1348" s="14">
        <f t="shared" si="1602"/>
        <v>1900</v>
      </c>
      <c r="W1348" s="14">
        <f t="shared" si="1603"/>
        <v>1</v>
      </c>
      <c r="X1348" s="14"/>
      <c r="Y1348" s="14"/>
      <c r="Z1348" s="14"/>
      <c r="AA1348" s="16" t="str">
        <f t="shared" ca="1" si="1611"/>
        <v>Johnson &amp; Johnson</v>
      </c>
      <c r="AB1348" s="16">
        <f t="shared" si="1611"/>
        <v>0</v>
      </c>
      <c r="AC1348" s="16">
        <f t="shared" si="1611"/>
        <v>0</v>
      </c>
      <c r="AD1348" s="16">
        <f t="shared" si="1611"/>
        <v>0</v>
      </c>
      <c r="AE1348" s="16">
        <f t="shared" si="1611"/>
        <v>0</v>
      </c>
      <c r="AF1348" s="16">
        <f t="shared" si="1611"/>
        <v>0</v>
      </c>
      <c r="AG1348" s="16">
        <f t="shared" si="1611"/>
        <v>0</v>
      </c>
      <c r="AH1348" s="16">
        <f t="shared" si="1611"/>
        <v>0</v>
      </c>
      <c r="AI1348" s="16">
        <f t="shared" si="1611"/>
        <v>0</v>
      </c>
      <c r="AJ1348" s="16">
        <f t="shared" si="1611"/>
        <v>0</v>
      </c>
      <c r="AK1348" s="16">
        <f t="shared" si="1611"/>
        <v>0</v>
      </c>
      <c r="AL1348" s="16">
        <f t="shared" si="1611"/>
        <v>0</v>
      </c>
      <c r="AM1348" s="16">
        <f t="shared" si="1611"/>
        <v>0</v>
      </c>
      <c r="AN1348" s="16">
        <f t="shared" si="1611"/>
        <v>0</v>
      </c>
      <c r="AO1348" s="16">
        <f t="shared" si="1611"/>
        <v>0</v>
      </c>
      <c r="AP1348" s="10"/>
      <c r="AQ1348" s="10"/>
      <c r="AR1348" s="10"/>
      <c r="AS1348" s="10" t="str">
        <f t="shared" ca="1" si="1606"/>
        <v>Johnson &amp; Johnson</v>
      </c>
      <c r="AT1348" s="10"/>
      <c r="AU1348" s="10"/>
      <c r="AV1348" s="10"/>
      <c r="AW1348" s="10"/>
      <c r="AX1348" s="10"/>
      <c r="AY1348" s="10"/>
      <c r="AZ1348" s="10"/>
      <c r="BA1348" s="10"/>
      <c r="BB1348" s="10"/>
      <c r="BC1348" s="10"/>
      <c r="BD1348" s="10"/>
      <c r="BE1348" s="10"/>
      <c r="BF1348" s="10"/>
      <c r="BG1348" s="10"/>
      <c r="BH1348" s="10"/>
      <c r="BI1348" s="10"/>
      <c r="BJ1348" s="10"/>
      <c r="BK1348" s="10"/>
      <c r="BM1348" s="10"/>
    </row>
    <row r="1349" spans="1:65" ht="12.75">
      <c r="A1349" s="9"/>
      <c r="B1349" s="10"/>
      <c r="C1349" s="11"/>
      <c r="D1349" s="12"/>
      <c r="E1349" s="10"/>
      <c r="F1349" s="10"/>
      <c r="G1349" s="10"/>
      <c r="H1349" s="14"/>
      <c r="I1349" s="14"/>
      <c r="J1349" s="14"/>
      <c r="K1349" s="14"/>
      <c r="L1349" s="14"/>
      <c r="M1349" s="15"/>
      <c r="N1349" s="10"/>
      <c r="O1349" s="14"/>
      <c r="P1349" s="14"/>
      <c r="Q1349" s="14"/>
      <c r="R1349" s="14"/>
      <c r="S1349" s="14"/>
      <c r="T1349" s="14"/>
      <c r="U1349" s="14"/>
      <c r="V1349" s="14">
        <f t="shared" si="1602"/>
        <v>1900</v>
      </c>
      <c r="W1349" s="14">
        <f t="shared" si="1603"/>
        <v>1</v>
      </c>
      <c r="X1349" s="14"/>
      <c r="Y1349" s="14"/>
      <c r="Z1349" s="14"/>
      <c r="AA1349" s="16" t="str">
        <f t="shared" ca="1" si="1611"/>
        <v>Johnson &amp; Johnson</v>
      </c>
      <c r="AB1349" s="16">
        <f t="shared" si="1611"/>
        <v>0</v>
      </c>
      <c r="AC1349" s="16">
        <f t="shared" si="1611"/>
        <v>0</v>
      </c>
      <c r="AD1349" s="16">
        <f t="shared" si="1611"/>
        <v>0</v>
      </c>
      <c r="AE1349" s="16">
        <f t="shared" si="1611"/>
        <v>0</v>
      </c>
      <c r="AF1349" s="16">
        <f t="shared" si="1611"/>
        <v>0</v>
      </c>
      <c r="AG1349" s="16">
        <f t="shared" si="1611"/>
        <v>0</v>
      </c>
      <c r="AH1349" s="16">
        <f t="shared" si="1611"/>
        <v>0</v>
      </c>
      <c r="AI1349" s="16">
        <f t="shared" si="1611"/>
        <v>0</v>
      </c>
      <c r="AJ1349" s="16">
        <f t="shared" si="1611"/>
        <v>0</v>
      </c>
      <c r="AK1349" s="16">
        <f t="shared" si="1611"/>
        <v>0</v>
      </c>
      <c r="AL1349" s="16">
        <f t="shared" si="1611"/>
        <v>0</v>
      </c>
      <c r="AM1349" s="16">
        <f t="shared" si="1611"/>
        <v>0</v>
      </c>
      <c r="AN1349" s="16">
        <f t="shared" si="1611"/>
        <v>0</v>
      </c>
      <c r="AO1349" s="16">
        <f t="shared" si="1611"/>
        <v>0</v>
      </c>
      <c r="AP1349" s="10"/>
      <c r="AQ1349" s="10"/>
      <c r="AR1349" s="10"/>
      <c r="AS1349" s="10" t="str">
        <f t="shared" ca="1" si="1606"/>
        <v>Johnson &amp; Johnson</v>
      </c>
      <c r="AT1349" s="10"/>
      <c r="AU1349" s="10"/>
      <c r="AV1349" s="10"/>
      <c r="AW1349" s="10"/>
      <c r="AX1349" s="10"/>
      <c r="AY1349" s="10"/>
      <c r="AZ1349" s="10"/>
      <c r="BA1349" s="10"/>
      <c r="BB1349" s="10"/>
      <c r="BC1349" s="10"/>
      <c r="BD1349" s="10"/>
      <c r="BE1349" s="10"/>
      <c r="BF1349" s="10"/>
      <c r="BG1349" s="10"/>
      <c r="BH1349" s="10"/>
      <c r="BI1349" s="10"/>
      <c r="BJ1349" s="10"/>
      <c r="BK1349" s="10"/>
      <c r="BM1349" s="10"/>
    </row>
    <row r="1350" spans="1:65" ht="12.75">
      <c r="A1350" s="9"/>
      <c r="B1350" s="10"/>
      <c r="C1350" s="11"/>
      <c r="D1350" s="12"/>
      <c r="E1350" s="10"/>
      <c r="F1350" s="10"/>
      <c r="G1350" s="10"/>
      <c r="H1350" s="14"/>
      <c r="I1350" s="14"/>
      <c r="J1350" s="14"/>
      <c r="K1350" s="14"/>
      <c r="L1350" s="14"/>
      <c r="M1350" s="15"/>
      <c r="N1350" s="10"/>
      <c r="O1350" s="14"/>
      <c r="P1350" s="14"/>
      <c r="Q1350" s="14"/>
      <c r="R1350" s="14"/>
      <c r="S1350" s="14"/>
      <c r="T1350" s="14"/>
      <c r="U1350" s="14"/>
      <c r="V1350" s="14">
        <f t="shared" si="1602"/>
        <v>1900</v>
      </c>
      <c r="W1350" s="14">
        <f t="shared" si="1603"/>
        <v>1</v>
      </c>
      <c r="X1350" s="14"/>
      <c r="Y1350" s="14"/>
      <c r="Z1350" s="14"/>
      <c r="AA1350" s="16" t="str">
        <f t="shared" ca="1" si="1611"/>
        <v>Johnson &amp; Johnson</v>
      </c>
      <c r="AB1350" s="16">
        <f t="shared" si="1611"/>
        <v>0</v>
      </c>
      <c r="AC1350" s="16">
        <f t="shared" si="1611"/>
        <v>0</v>
      </c>
      <c r="AD1350" s="16">
        <f t="shared" si="1611"/>
        <v>0</v>
      </c>
      <c r="AE1350" s="16">
        <f t="shared" si="1611"/>
        <v>0</v>
      </c>
      <c r="AF1350" s="16">
        <f t="shared" si="1611"/>
        <v>0</v>
      </c>
      <c r="AG1350" s="16">
        <f t="shared" si="1611"/>
        <v>0</v>
      </c>
      <c r="AH1350" s="16">
        <f t="shared" si="1611"/>
        <v>0</v>
      </c>
      <c r="AI1350" s="16">
        <f t="shared" si="1611"/>
        <v>0</v>
      </c>
      <c r="AJ1350" s="16">
        <f t="shared" si="1611"/>
        <v>0</v>
      </c>
      <c r="AK1350" s="16">
        <f t="shared" si="1611"/>
        <v>0</v>
      </c>
      <c r="AL1350" s="16">
        <f t="shared" si="1611"/>
        <v>0</v>
      </c>
      <c r="AM1350" s="16">
        <f t="shared" si="1611"/>
        <v>0</v>
      </c>
      <c r="AN1350" s="16">
        <f t="shared" si="1611"/>
        <v>0</v>
      </c>
      <c r="AO1350" s="16">
        <f t="shared" si="1611"/>
        <v>0</v>
      </c>
      <c r="AP1350" s="10"/>
      <c r="AQ1350" s="10"/>
      <c r="AR1350" s="10"/>
      <c r="AS1350" s="10" t="str">
        <f t="shared" ca="1" si="1606"/>
        <v>Johnson &amp; Johnson</v>
      </c>
      <c r="AT1350" s="10"/>
      <c r="AU1350" s="10"/>
      <c r="AV1350" s="10"/>
      <c r="AW1350" s="10"/>
      <c r="AX1350" s="10"/>
      <c r="AY1350" s="10"/>
      <c r="AZ1350" s="10"/>
      <c r="BA1350" s="10"/>
      <c r="BB1350" s="10"/>
      <c r="BC1350" s="10"/>
      <c r="BD1350" s="10"/>
      <c r="BE1350" s="10"/>
      <c r="BF1350" s="10"/>
      <c r="BG1350" s="10"/>
      <c r="BH1350" s="10"/>
      <c r="BI1350" s="10"/>
      <c r="BJ1350" s="10"/>
      <c r="BK1350" s="10"/>
      <c r="BM1350" s="10"/>
    </row>
    <row r="1351" spans="1:65" ht="12.75">
      <c r="A1351" s="9"/>
      <c r="B1351" s="10"/>
      <c r="C1351" s="11"/>
      <c r="D1351" s="12"/>
      <c r="E1351" s="10"/>
      <c r="F1351" s="10"/>
      <c r="G1351" s="10"/>
      <c r="H1351" s="14"/>
      <c r="I1351" s="14"/>
      <c r="J1351" s="14"/>
      <c r="K1351" s="14"/>
      <c r="L1351" s="14"/>
      <c r="M1351" s="15"/>
      <c r="N1351" s="10"/>
      <c r="O1351" s="14"/>
      <c r="P1351" s="14"/>
      <c r="Q1351" s="14"/>
      <c r="R1351" s="14"/>
      <c r="S1351" s="14"/>
      <c r="T1351" s="14"/>
      <c r="U1351" s="14"/>
      <c r="V1351" s="14">
        <f t="shared" si="1602"/>
        <v>1900</v>
      </c>
      <c r="W1351" s="14">
        <f t="shared" si="1603"/>
        <v>1</v>
      </c>
      <c r="X1351" s="14"/>
      <c r="Y1351" s="14"/>
      <c r="Z1351" s="14"/>
      <c r="AA1351" s="16" t="str">
        <f t="shared" ca="1" si="1611"/>
        <v>Johnson &amp; Johnson</v>
      </c>
      <c r="AB1351" s="16">
        <f t="shared" si="1611"/>
        <v>0</v>
      </c>
      <c r="AC1351" s="16">
        <f t="shared" si="1611"/>
        <v>0</v>
      </c>
      <c r="AD1351" s="16">
        <f t="shared" si="1611"/>
        <v>0</v>
      </c>
      <c r="AE1351" s="16">
        <f t="shared" si="1611"/>
        <v>0</v>
      </c>
      <c r="AF1351" s="16">
        <f t="shared" si="1611"/>
        <v>0</v>
      </c>
      <c r="AG1351" s="16">
        <f t="shared" si="1611"/>
        <v>0</v>
      </c>
      <c r="AH1351" s="16">
        <f t="shared" si="1611"/>
        <v>0</v>
      </c>
      <c r="AI1351" s="16">
        <f t="shared" si="1611"/>
        <v>0</v>
      </c>
      <c r="AJ1351" s="16">
        <f t="shared" si="1611"/>
        <v>0</v>
      </c>
      <c r="AK1351" s="16">
        <f t="shared" si="1611"/>
        <v>0</v>
      </c>
      <c r="AL1351" s="16">
        <f t="shared" si="1611"/>
        <v>0</v>
      </c>
      <c r="AM1351" s="16">
        <f t="shared" si="1611"/>
        <v>0</v>
      </c>
      <c r="AN1351" s="16">
        <f t="shared" si="1611"/>
        <v>0</v>
      </c>
      <c r="AO1351" s="16">
        <f t="shared" si="1611"/>
        <v>0</v>
      </c>
      <c r="AP1351" s="10"/>
      <c r="AQ1351" s="10"/>
      <c r="AR1351" s="10"/>
      <c r="AS1351" s="10" t="str">
        <f t="shared" ca="1" si="1606"/>
        <v>Johnson &amp; Johnson</v>
      </c>
      <c r="AT1351" s="10"/>
      <c r="AU1351" s="10"/>
      <c r="AV1351" s="10"/>
      <c r="AW1351" s="10"/>
      <c r="AX1351" s="10"/>
      <c r="AY1351" s="10"/>
      <c r="AZ1351" s="10"/>
      <c r="BA1351" s="10"/>
      <c r="BB1351" s="10"/>
      <c r="BC1351" s="10"/>
      <c r="BD1351" s="10"/>
      <c r="BE1351" s="10"/>
      <c r="BF1351" s="10"/>
      <c r="BG1351" s="10"/>
      <c r="BH1351" s="10"/>
      <c r="BI1351" s="10"/>
      <c r="BJ1351" s="10"/>
      <c r="BK1351" s="10"/>
      <c r="BM1351" s="10"/>
    </row>
    <row r="1352" spans="1:65" ht="12.75">
      <c r="A1352" s="9"/>
      <c r="B1352" s="10"/>
      <c r="C1352" s="11"/>
      <c r="D1352" s="12"/>
      <c r="E1352" s="10"/>
      <c r="F1352" s="10"/>
      <c r="G1352" s="10"/>
      <c r="H1352" s="14"/>
      <c r="I1352" s="14"/>
      <c r="J1352" s="14"/>
      <c r="K1352" s="14"/>
      <c r="L1352" s="14"/>
      <c r="M1352" s="15"/>
      <c r="N1352" s="10"/>
      <c r="O1352" s="14"/>
      <c r="P1352" s="14"/>
      <c r="Q1352" s="14"/>
      <c r="R1352" s="14"/>
      <c r="S1352" s="14"/>
      <c r="T1352" s="14"/>
      <c r="U1352" s="14"/>
      <c r="V1352" s="14">
        <f t="shared" si="1602"/>
        <v>1900</v>
      </c>
      <c r="W1352" s="14">
        <f t="shared" si="1603"/>
        <v>1</v>
      </c>
      <c r="X1352" s="14"/>
      <c r="Y1352" s="14"/>
      <c r="Z1352" s="14"/>
      <c r="AA1352" s="16" t="str">
        <f t="shared" ca="1" si="1611"/>
        <v>Johnson &amp; Johnson</v>
      </c>
      <c r="AB1352" s="16">
        <f t="shared" si="1611"/>
        <v>0</v>
      </c>
      <c r="AC1352" s="16">
        <f t="shared" si="1611"/>
        <v>0</v>
      </c>
      <c r="AD1352" s="16">
        <f t="shared" si="1611"/>
        <v>0</v>
      </c>
      <c r="AE1352" s="16">
        <f t="shared" si="1611"/>
        <v>0</v>
      </c>
      <c r="AF1352" s="16">
        <f t="shared" si="1611"/>
        <v>0</v>
      </c>
      <c r="AG1352" s="16">
        <f t="shared" si="1611"/>
        <v>0</v>
      </c>
      <c r="AH1352" s="16">
        <f t="shared" si="1611"/>
        <v>0</v>
      </c>
      <c r="AI1352" s="16">
        <f t="shared" si="1611"/>
        <v>0</v>
      </c>
      <c r="AJ1352" s="16">
        <f t="shared" si="1611"/>
        <v>0</v>
      </c>
      <c r="AK1352" s="16">
        <f t="shared" si="1611"/>
        <v>0</v>
      </c>
      <c r="AL1352" s="16">
        <f t="shared" si="1611"/>
        <v>0</v>
      </c>
      <c r="AM1352" s="16">
        <f t="shared" si="1611"/>
        <v>0</v>
      </c>
      <c r="AN1352" s="16">
        <f t="shared" si="1611"/>
        <v>0</v>
      </c>
      <c r="AO1352" s="16">
        <f t="shared" si="1611"/>
        <v>0</v>
      </c>
      <c r="AP1352" s="10"/>
      <c r="AQ1352" s="10"/>
      <c r="AR1352" s="10"/>
      <c r="AS1352" s="10" t="str">
        <f t="shared" ca="1" si="1606"/>
        <v>Johnson &amp; Johnson</v>
      </c>
      <c r="AT1352" s="10"/>
      <c r="AU1352" s="10"/>
      <c r="AV1352" s="10"/>
      <c r="AW1352" s="10"/>
      <c r="AX1352" s="10"/>
      <c r="AY1352" s="10"/>
      <c r="AZ1352" s="10"/>
      <c r="BA1352" s="10"/>
      <c r="BB1352" s="10"/>
      <c r="BC1352" s="10"/>
      <c r="BD1352" s="10"/>
      <c r="BE1352" s="10"/>
      <c r="BF1352" s="10"/>
      <c r="BG1352" s="10"/>
      <c r="BH1352" s="10"/>
      <c r="BI1352" s="10"/>
      <c r="BJ1352" s="10"/>
      <c r="BK1352" s="10"/>
      <c r="BM1352" s="10"/>
    </row>
    <row r="1353" spans="1:65" ht="12.75">
      <c r="A1353" s="9"/>
      <c r="B1353" s="10"/>
      <c r="C1353" s="11"/>
      <c r="D1353" s="12"/>
      <c r="E1353" s="10"/>
      <c r="F1353" s="10"/>
      <c r="G1353" s="10"/>
      <c r="H1353" s="14"/>
      <c r="I1353" s="14"/>
      <c r="J1353" s="14"/>
      <c r="K1353" s="14"/>
      <c r="L1353" s="14"/>
      <c r="M1353" s="15"/>
      <c r="N1353" s="10"/>
      <c r="O1353" s="14"/>
      <c r="P1353" s="14"/>
      <c r="Q1353" s="14"/>
      <c r="R1353" s="14"/>
      <c r="S1353" s="14"/>
      <c r="T1353" s="14"/>
      <c r="U1353" s="14"/>
      <c r="V1353" s="14">
        <f t="shared" si="1602"/>
        <v>1900</v>
      </c>
      <c r="W1353" s="14">
        <f t="shared" si="1603"/>
        <v>1</v>
      </c>
      <c r="X1353" s="14"/>
      <c r="Y1353" s="14"/>
      <c r="Z1353" s="14"/>
      <c r="AA1353" s="16" t="str">
        <f t="shared" ref="AA1353:AO1368" ca="1" si="1612">AS1353</f>
        <v>Johnson &amp; Johnson</v>
      </c>
      <c r="AB1353" s="16">
        <f t="shared" si="1612"/>
        <v>0</v>
      </c>
      <c r="AC1353" s="16">
        <f t="shared" si="1612"/>
        <v>0</v>
      </c>
      <c r="AD1353" s="16">
        <f t="shared" si="1612"/>
        <v>0</v>
      </c>
      <c r="AE1353" s="16">
        <f t="shared" si="1612"/>
        <v>0</v>
      </c>
      <c r="AF1353" s="16">
        <f t="shared" si="1612"/>
        <v>0</v>
      </c>
      <c r="AG1353" s="16">
        <f t="shared" si="1612"/>
        <v>0</v>
      </c>
      <c r="AH1353" s="16">
        <f t="shared" si="1612"/>
        <v>0</v>
      </c>
      <c r="AI1353" s="16">
        <f t="shared" si="1612"/>
        <v>0</v>
      </c>
      <c r="AJ1353" s="16">
        <f t="shared" si="1612"/>
        <v>0</v>
      </c>
      <c r="AK1353" s="16">
        <f t="shared" si="1612"/>
        <v>0</v>
      </c>
      <c r="AL1353" s="16">
        <f t="shared" si="1612"/>
        <v>0</v>
      </c>
      <c r="AM1353" s="16">
        <f t="shared" si="1612"/>
        <v>0</v>
      </c>
      <c r="AN1353" s="16">
        <f t="shared" si="1612"/>
        <v>0</v>
      </c>
      <c r="AO1353" s="16">
        <f t="shared" si="1612"/>
        <v>0</v>
      </c>
      <c r="AP1353" s="10"/>
      <c r="AQ1353" s="10"/>
      <c r="AR1353" s="10"/>
      <c r="AS1353" s="10" t="str">
        <f t="shared" ca="1" si="1606"/>
        <v>Johnson &amp; Johnson</v>
      </c>
      <c r="AT1353" s="10"/>
      <c r="AU1353" s="10"/>
      <c r="AV1353" s="10"/>
      <c r="AW1353" s="10"/>
      <c r="AX1353" s="10"/>
      <c r="AY1353" s="10"/>
      <c r="AZ1353" s="10"/>
      <c r="BA1353" s="10"/>
      <c r="BB1353" s="10"/>
      <c r="BC1353" s="10"/>
      <c r="BD1353" s="10"/>
      <c r="BE1353" s="10"/>
      <c r="BF1353" s="10"/>
      <c r="BG1353" s="10"/>
      <c r="BH1353" s="10"/>
      <c r="BI1353" s="10"/>
      <c r="BJ1353" s="10"/>
      <c r="BK1353" s="10"/>
      <c r="BM1353" s="10"/>
    </row>
    <row r="1354" spans="1:65" ht="12.75">
      <c r="A1354" s="9"/>
      <c r="B1354" s="10"/>
      <c r="C1354" s="11"/>
      <c r="D1354" s="12"/>
      <c r="E1354" s="10"/>
      <c r="F1354" s="10"/>
      <c r="G1354" s="10"/>
      <c r="H1354" s="14"/>
      <c r="I1354" s="14"/>
      <c r="J1354" s="14"/>
      <c r="K1354" s="14"/>
      <c r="L1354" s="14"/>
      <c r="M1354" s="15"/>
      <c r="N1354" s="10"/>
      <c r="O1354" s="14"/>
      <c r="P1354" s="14"/>
      <c r="Q1354" s="14"/>
      <c r="R1354" s="14"/>
      <c r="S1354" s="14"/>
      <c r="T1354" s="14"/>
      <c r="U1354" s="14"/>
      <c r="V1354" s="14">
        <f t="shared" si="1602"/>
        <v>1900</v>
      </c>
      <c r="W1354" s="14">
        <f t="shared" si="1603"/>
        <v>1</v>
      </c>
      <c r="X1354" s="14"/>
      <c r="Y1354" s="14"/>
      <c r="Z1354" s="14"/>
      <c r="AA1354" s="16" t="str">
        <f t="shared" ca="1" si="1612"/>
        <v>Johnson &amp; Johnson</v>
      </c>
      <c r="AB1354" s="16">
        <f t="shared" si="1612"/>
        <v>0</v>
      </c>
      <c r="AC1354" s="16">
        <f t="shared" si="1612"/>
        <v>0</v>
      </c>
      <c r="AD1354" s="16">
        <f t="shared" si="1612"/>
        <v>0</v>
      </c>
      <c r="AE1354" s="16">
        <f t="shared" si="1612"/>
        <v>0</v>
      </c>
      <c r="AF1354" s="16">
        <f t="shared" si="1612"/>
        <v>0</v>
      </c>
      <c r="AG1354" s="16">
        <f t="shared" si="1612"/>
        <v>0</v>
      </c>
      <c r="AH1354" s="16">
        <f t="shared" si="1612"/>
        <v>0</v>
      </c>
      <c r="AI1354" s="16">
        <f t="shared" si="1612"/>
        <v>0</v>
      </c>
      <c r="AJ1354" s="16">
        <f t="shared" si="1612"/>
        <v>0</v>
      </c>
      <c r="AK1354" s="16">
        <f t="shared" si="1612"/>
        <v>0</v>
      </c>
      <c r="AL1354" s="16">
        <f t="shared" si="1612"/>
        <v>0</v>
      </c>
      <c r="AM1354" s="16">
        <f t="shared" si="1612"/>
        <v>0</v>
      </c>
      <c r="AN1354" s="16">
        <f t="shared" si="1612"/>
        <v>0</v>
      </c>
      <c r="AO1354" s="16">
        <f t="shared" si="1612"/>
        <v>0</v>
      </c>
      <c r="AP1354" s="10"/>
      <c r="AQ1354" s="10"/>
      <c r="AR1354" s="10"/>
      <c r="AS1354" s="10" t="str">
        <f t="shared" ca="1" si="1606"/>
        <v>Johnson &amp; Johnson</v>
      </c>
      <c r="AT1354" s="10"/>
      <c r="AU1354" s="10"/>
      <c r="AV1354" s="10"/>
      <c r="AW1354" s="10"/>
      <c r="AX1354" s="10"/>
      <c r="AY1354" s="10"/>
      <c r="AZ1354" s="10"/>
      <c r="BA1354" s="10"/>
      <c r="BB1354" s="10"/>
      <c r="BC1354" s="10"/>
      <c r="BD1354" s="10"/>
      <c r="BE1354" s="10"/>
      <c r="BF1354" s="10"/>
      <c r="BG1354" s="10"/>
      <c r="BH1354" s="10"/>
      <c r="BI1354" s="10"/>
      <c r="BJ1354" s="10"/>
      <c r="BK1354" s="10"/>
      <c r="BM1354" s="10"/>
    </row>
    <row r="1355" spans="1:65" ht="12.75">
      <c r="A1355" s="9"/>
      <c r="B1355" s="10"/>
      <c r="C1355" s="11"/>
      <c r="D1355" s="12"/>
      <c r="E1355" s="10"/>
      <c r="F1355" s="10"/>
      <c r="G1355" s="10"/>
      <c r="H1355" s="14"/>
      <c r="I1355" s="14"/>
      <c r="J1355" s="14"/>
      <c r="K1355" s="14"/>
      <c r="L1355" s="14"/>
      <c r="M1355" s="15"/>
      <c r="N1355" s="10"/>
      <c r="O1355" s="14"/>
      <c r="P1355" s="14"/>
      <c r="Q1355" s="14"/>
      <c r="R1355" s="14"/>
      <c r="S1355" s="14"/>
      <c r="T1355" s="14"/>
      <c r="U1355" s="14"/>
      <c r="V1355" s="14">
        <f t="shared" si="1602"/>
        <v>1900</v>
      </c>
      <c r="W1355" s="14">
        <f t="shared" si="1603"/>
        <v>1</v>
      </c>
      <c r="X1355" s="14"/>
      <c r="Y1355" s="14"/>
      <c r="Z1355" s="14"/>
      <c r="AA1355" s="16" t="str">
        <f t="shared" ca="1" si="1612"/>
        <v>Johnson &amp; Johnson</v>
      </c>
      <c r="AB1355" s="16">
        <f t="shared" si="1612"/>
        <v>0</v>
      </c>
      <c r="AC1355" s="16">
        <f t="shared" si="1612"/>
        <v>0</v>
      </c>
      <c r="AD1355" s="16">
        <f t="shared" si="1612"/>
        <v>0</v>
      </c>
      <c r="AE1355" s="16">
        <f t="shared" si="1612"/>
        <v>0</v>
      </c>
      <c r="AF1355" s="16">
        <f t="shared" si="1612"/>
        <v>0</v>
      </c>
      <c r="AG1355" s="16">
        <f t="shared" si="1612"/>
        <v>0</v>
      </c>
      <c r="AH1355" s="16">
        <f t="shared" si="1612"/>
        <v>0</v>
      </c>
      <c r="AI1355" s="16">
        <f t="shared" si="1612"/>
        <v>0</v>
      </c>
      <c r="AJ1355" s="16">
        <f t="shared" si="1612"/>
        <v>0</v>
      </c>
      <c r="AK1355" s="16">
        <f t="shared" si="1612"/>
        <v>0</v>
      </c>
      <c r="AL1355" s="16">
        <f t="shared" si="1612"/>
        <v>0</v>
      </c>
      <c r="AM1355" s="16">
        <f t="shared" si="1612"/>
        <v>0</v>
      </c>
      <c r="AN1355" s="16">
        <f t="shared" si="1612"/>
        <v>0</v>
      </c>
      <c r="AO1355" s="16">
        <f t="shared" si="1612"/>
        <v>0</v>
      </c>
      <c r="AP1355" s="10"/>
      <c r="AQ1355" s="10"/>
      <c r="AR1355" s="10"/>
      <c r="AS1355" s="10" t="str">
        <f t="shared" ca="1" si="1606"/>
        <v>Johnson &amp; Johnson</v>
      </c>
      <c r="AT1355" s="10"/>
      <c r="AU1355" s="10"/>
      <c r="AV1355" s="10"/>
      <c r="AW1355" s="10"/>
      <c r="AX1355" s="10"/>
      <c r="AY1355" s="10"/>
      <c r="AZ1355" s="10"/>
      <c r="BA1355" s="10"/>
      <c r="BB1355" s="10"/>
      <c r="BC1355" s="10"/>
      <c r="BD1355" s="10"/>
      <c r="BE1355" s="10"/>
      <c r="BF1355" s="10"/>
      <c r="BG1355" s="10"/>
      <c r="BH1355" s="10"/>
      <c r="BI1355" s="10"/>
      <c r="BJ1355" s="10"/>
      <c r="BK1355" s="10"/>
      <c r="BM1355" s="10"/>
    </row>
    <row r="1356" spans="1:65" ht="12.75">
      <c r="A1356" s="9"/>
      <c r="B1356" s="10"/>
      <c r="C1356" s="11"/>
      <c r="D1356" s="12"/>
      <c r="E1356" s="10"/>
      <c r="F1356" s="10"/>
      <c r="G1356" s="10"/>
      <c r="H1356" s="14"/>
      <c r="I1356" s="14"/>
      <c r="J1356" s="14"/>
      <c r="K1356" s="14"/>
      <c r="L1356" s="14"/>
      <c r="M1356" s="15"/>
      <c r="N1356" s="10"/>
      <c r="O1356" s="14"/>
      <c r="P1356" s="14"/>
      <c r="Q1356" s="14"/>
      <c r="R1356" s="14"/>
      <c r="S1356" s="14"/>
      <c r="T1356" s="14"/>
      <c r="U1356" s="14"/>
      <c r="V1356" s="14">
        <f t="shared" si="1602"/>
        <v>1900</v>
      </c>
      <c r="W1356" s="14">
        <f t="shared" si="1603"/>
        <v>1</v>
      </c>
      <c r="X1356" s="14"/>
      <c r="Y1356" s="14"/>
      <c r="Z1356" s="14"/>
      <c r="AA1356" s="16" t="str">
        <f t="shared" ca="1" si="1612"/>
        <v>Johnson &amp; Johnson</v>
      </c>
      <c r="AB1356" s="16">
        <f t="shared" si="1612"/>
        <v>0</v>
      </c>
      <c r="AC1356" s="16">
        <f t="shared" si="1612"/>
        <v>0</v>
      </c>
      <c r="AD1356" s="16">
        <f t="shared" si="1612"/>
        <v>0</v>
      </c>
      <c r="AE1356" s="16">
        <f t="shared" si="1612"/>
        <v>0</v>
      </c>
      <c r="AF1356" s="16">
        <f t="shared" si="1612"/>
        <v>0</v>
      </c>
      <c r="AG1356" s="16">
        <f t="shared" si="1612"/>
        <v>0</v>
      </c>
      <c r="AH1356" s="16">
        <f t="shared" si="1612"/>
        <v>0</v>
      </c>
      <c r="AI1356" s="16">
        <f t="shared" si="1612"/>
        <v>0</v>
      </c>
      <c r="AJ1356" s="16">
        <f t="shared" si="1612"/>
        <v>0</v>
      </c>
      <c r="AK1356" s="16">
        <f t="shared" si="1612"/>
        <v>0</v>
      </c>
      <c r="AL1356" s="16">
        <f t="shared" si="1612"/>
        <v>0</v>
      </c>
      <c r="AM1356" s="16">
        <f t="shared" si="1612"/>
        <v>0</v>
      </c>
      <c r="AN1356" s="16">
        <f t="shared" si="1612"/>
        <v>0</v>
      </c>
      <c r="AO1356" s="16">
        <f t="shared" si="1612"/>
        <v>0</v>
      </c>
      <c r="AP1356" s="10"/>
      <c r="AQ1356" s="10"/>
      <c r="AR1356" s="10"/>
      <c r="AS1356" s="10" t="str">
        <f t="shared" ca="1" si="1606"/>
        <v>Johnson &amp; Johnson</v>
      </c>
      <c r="AT1356" s="10"/>
      <c r="AU1356" s="10"/>
      <c r="AV1356" s="10"/>
      <c r="AW1356" s="10"/>
      <c r="AX1356" s="10"/>
      <c r="AY1356" s="10"/>
      <c r="AZ1356" s="10"/>
      <c r="BA1356" s="10"/>
      <c r="BB1356" s="10"/>
      <c r="BC1356" s="10"/>
      <c r="BD1356" s="10"/>
      <c r="BE1356" s="10"/>
      <c r="BF1356" s="10"/>
      <c r="BG1356" s="10"/>
      <c r="BH1356" s="10"/>
      <c r="BI1356" s="10"/>
      <c r="BJ1356" s="10"/>
      <c r="BK1356" s="10"/>
      <c r="BM1356" s="10"/>
    </row>
    <row r="1357" spans="1:65" ht="12.75">
      <c r="A1357" s="9"/>
      <c r="B1357" s="10"/>
      <c r="C1357" s="11"/>
      <c r="D1357" s="12"/>
      <c r="E1357" s="10"/>
      <c r="F1357" s="10"/>
      <c r="G1357" s="10"/>
      <c r="H1357" s="14"/>
      <c r="I1357" s="14"/>
      <c r="J1357" s="14"/>
      <c r="K1357" s="14"/>
      <c r="L1357" s="14"/>
      <c r="M1357" s="15"/>
      <c r="N1357" s="10"/>
      <c r="O1357" s="14"/>
      <c r="P1357" s="14"/>
      <c r="Q1357" s="14"/>
      <c r="R1357" s="14"/>
      <c r="S1357" s="14"/>
      <c r="T1357" s="14"/>
      <c r="U1357" s="14"/>
      <c r="V1357" s="14">
        <f t="shared" si="1602"/>
        <v>1900</v>
      </c>
      <c r="W1357" s="14">
        <f t="shared" si="1603"/>
        <v>1</v>
      </c>
      <c r="X1357" s="14"/>
      <c r="Y1357" s="14"/>
      <c r="Z1357" s="14"/>
      <c r="AA1357" s="16" t="str">
        <f t="shared" ca="1" si="1612"/>
        <v>Johnson &amp; Johnson</v>
      </c>
      <c r="AB1357" s="16">
        <f t="shared" si="1612"/>
        <v>0</v>
      </c>
      <c r="AC1357" s="16">
        <f t="shared" si="1612"/>
        <v>0</v>
      </c>
      <c r="AD1357" s="16">
        <f t="shared" si="1612"/>
        <v>0</v>
      </c>
      <c r="AE1357" s="16">
        <f t="shared" si="1612"/>
        <v>0</v>
      </c>
      <c r="AF1357" s="16">
        <f t="shared" si="1612"/>
        <v>0</v>
      </c>
      <c r="AG1357" s="16">
        <f t="shared" si="1612"/>
        <v>0</v>
      </c>
      <c r="AH1357" s="16">
        <f t="shared" si="1612"/>
        <v>0</v>
      </c>
      <c r="AI1357" s="16">
        <f t="shared" si="1612"/>
        <v>0</v>
      </c>
      <c r="AJ1357" s="16">
        <f t="shared" si="1612"/>
        <v>0</v>
      </c>
      <c r="AK1357" s="16">
        <f t="shared" si="1612"/>
        <v>0</v>
      </c>
      <c r="AL1357" s="16">
        <f t="shared" si="1612"/>
        <v>0</v>
      </c>
      <c r="AM1357" s="16">
        <f t="shared" si="1612"/>
        <v>0</v>
      </c>
      <c r="AN1357" s="16">
        <f t="shared" si="1612"/>
        <v>0</v>
      </c>
      <c r="AO1357" s="16">
        <f t="shared" si="1612"/>
        <v>0</v>
      </c>
      <c r="AP1357" s="10"/>
      <c r="AQ1357" s="10"/>
      <c r="AR1357" s="10"/>
      <c r="AS1357" s="10" t="str">
        <f t="shared" ca="1" si="1606"/>
        <v>Johnson &amp; Johnson</v>
      </c>
      <c r="AT1357" s="10"/>
      <c r="AU1357" s="10"/>
      <c r="AV1357" s="10"/>
      <c r="AW1357" s="10"/>
      <c r="AX1357" s="10"/>
      <c r="AY1357" s="10"/>
      <c r="AZ1357" s="10"/>
      <c r="BA1357" s="10"/>
      <c r="BB1357" s="10"/>
      <c r="BC1357" s="10"/>
      <c r="BD1357" s="10"/>
      <c r="BE1357" s="10"/>
      <c r="BF1357" s="10"/>
      <c r="BG1357" s="10"/>
      <c r="BH1357" s="10"/>
      <c r="BI1357" s="10"/>
      <c r="BJ1357" s="10"/>
      <c r="BK1357" s="10"/>
      <c r="BM1357" s="10"/>
    </row>
    <row r="1358" spans="1:65" ht="12.75">
      <c r="A1358" s="9"/>
      <c r="B1358" s="10"/>
      <c r="C1358" s="11"/>
      <c r="D1358" s="12"/>
      <c r="E1358" s="10"/>
      <c r="F1358" s="10"/>
      <c r="G1358" s="10"/>
      <c r="H1358" s="14"/>
      <c r="I1358" s="14"/>
      <c r="J1358" s="14"/>
      <c r="K1358" s="14"/>
      <c r="L1358" s="14"/>
      <c r="M1358" s="15"/>
      <c r="N1358" s="10"/>
      <c r="O1358" s="14"/>
      <c r="P1358" s="14"/>
      <c r="Q1358" s="14"/>
      <c r="R1358" s="14"/>
      <c r="S1358" s="14"/>
      <c r="T1358" s="14"/>
      <c r="U1358" s="14"/>
      <c r="V1358" s="14">
        <f t="shared" si="1602"/>
        <v>1900</v>
      </c>
      <c r="W1358" s="14">
        <f t="shared" si="1603"/>
        <v>1</v>
      </c>
      <c r="X1358" s="14"/>
      <c r="Y1358" s="14"/>
      <c r="Z1358" s="14"/>
      <c r="AA1358" s="16" t="str">
        <f t="shared" ca="1" si="1612"/>
        <v>Johnson &amp; Johnson</v>
      </c>
      <c r="AB1358" s="16">
        <f t="shared" si="1612"/>
        <v>0</v>
      </c>
      <c r="AC1358" s="16">
        <f t="shared" si="1612"/>
        <v>0</v>
      </c>
      <c r="AD1358" s="16">
        <f t="shared" si="1612"/>
        <v>0</v>
      </c>
      <c r="AE1358" s="16">
        <f t="shared" si="1612"/>
        <v>0</v>
      </c>
      <c r="AF1358" s="16">
        <f t="shared" si="1612"/>
        <v>0</v>
      </c>
      <c r="AG1358" s="16">
        <f t="shared" si="1612"/>
        <v>0</v>
      </c>
      <c r="AH1358" s="16">
        <f t="shared" si="1612"/>
        <v>0</v>
      </c>
      <c r="AI1358" s="16">
        <f t="shared" si="1612"/>
        <v>0</v>
      </c>
      <c r="AJ1358" s="16">
        <f t="shared" si="1612"/>
        <v>0</v>
      </c>
      <c r="AK1358" s="16">
        <f t="shared" si="1612"/>
        <v>0</v>
      </c>
      <c r="AL1358" s="16">
        <f t="shared" si="1612"/>
        <v>0</v>
      </c>
      <c r="AM1358" s="16">
        <f t="shared" si="1612"/>
        <v>0</v>
      </c>
      <c r="AN1358" s="16">
        <f t="shared" si="1612"/>
        <v>0</v>
      </c>
      <c r="AO1358" s="16">
        <f t="shared" si="1612"/>
        <v>0</v>
      </c>
      <c r="AP1358" s="10"/>
      <c r="AQ1358" s="10"/>
      <c r="AR1358" s="10"/>
      <c r="AS1358" s="10" t="str">
        <f t="shared" ca="1" si="1606"/>
        <v>Johnson &amp; Johnson</v>
      </c>
      <c r="AT1358" s="10"/>
      <c r="AU1358" s="10"/>
      <c r="AV1358" s="10"/>
      <c r="AW1358" s="10"/>
      <c r="AX1358" s="10"/>
      <c r="AY1358" s="10"/>
      <c r="AZ1358" s="10"/>
      <c r="BA1358" s="10"/>
      <c r="BB1358" s="10"/>
      <c r="BC1358" s="10"/>
      <c r="BD1358" s="10"/>
      <c r="BE1358" s="10"/>
      <c r="BF1358" s="10"/>
      <c r="BG1358" s="10"/>
      <c r="BH1358" s="10"/>
      <c r="BI1358" s="10"/>
      <c r="BJ1358" s="10"/>
      <c r="BK1358" s="10"/>
      <c r="BM1358" s="10"/>
    </row>
    <row r="1359" spans="1:65" ht="12.75">
      <c r="A1359" s="9"/>
      <c r="B1359" s="10"/>
      <c r="C1359" s="11"/>
      <c r="D1359" s="12"/>
      <c r="E1359" s="10"/>
      <c r="F1359" s="10"/>
      <c r="G1359" s="10"/>
      <c r="H1359" s="14"/>
      <c r="I1359" s="14"/>
      <c r="J1359" s="14"/>
      <c r="K1359" s="14"/>
      <c r="L1359" s="14"/>
      <c r="M1359" s="15"/>
      <c r="N1359" s="10"/>
      <c r="O1359" s="14"/>
      <c r="P1359" s="14"/>
      <c r="Q1359" s="14"/>
      <c r="R1359" s="14"/>
      <c r="S1359" s="14"/>
      <c r="T1359" s="14"/>
      <c r="U1359" s="14"/>
      <c r="V1359" s="14">
        <f t="shared" si="1602"/>
        <v>1900</v>
      </c>
      <c r="W1359" s="14">
        <f t="shared" si="1603"/>
        <v>1</v>
      </c>
      <c r="X1359" s="14"/>
      <c r="Y1359" s="14"/>
      <c r="Z1359" s="14"/>
      <c r="AA1359" s="16" t="str">
        <f t="shared" ca="1" si="1612"/>
        <v>Johnson &amp; Johnson</v>
      </c>
      <c r="AB1359" s="16">
        <f t="shared" si="1612"/>
        <v>0</v>
      </c>
      <c r="AC1359" s="16">
        <f t="shared" si="1612"/>
        <v>0</v>
      </c>
      <c r="AD1359" s="16">
        <f t="shared" si="1612"/>
        <v>0</v>
      </c>
      <c r="AE1359" s="16">
        <f t="shared" si="1612"/>
        <v>0</v>
      </c>
      <c r="AF1359" s="16">
        <f t="shared" si="1612"/>
        <v>0</v>
      </c>
      <c r="AG1359" s="16">
        <f t="shared" si="1612"/>
        <v>0</v>
      </c>
      <c r="AH1359" s="16">
        <f t="shared" si="1612"/>
        <v>0</v>
      </c>
      <c r="AI1359" s="16">
        <f t="shared" si="1612"/>
        <v>0</v>
      </c>
      <c r="AJ1359" s="16">
        <f t="shared" si="1612"/>
        <v>0</v>
      </c>
      <c r="AK1359" s="16">
        <f t="shared" si="1612"/>
        <v>0</v>
      </c>
      <c r="AL1359" s="16">
        <f t="shared" si="1612"/>
        <v>0</v>
      </c>
      <c r="AM1359" s="16">
        <f t="shared" si="1612"/>
        <v>0</v>
      </c>
      <c r="AN1359" s="16">
        <f t="shared" si="1612"/>
        <v>0</v>
      </c>
      <c r="AO1359" s="16">
        <f t="shared" si="1612"/>
        <v>0</v>
      </c>
      <c r="AP1359" s="10"/>
      <c r="AQ1359" s="10"/>
      <c r="AR1359" s="10"/>
      <c r="AS1359" s="10" t="str">
        <f t="shared" ca="1" si="1606"/>
        <v>Johnson &amp; Johnson</v>
      </c>
      <c r="AT1359" s="10"/>
      <c r="AU1359" s="10"/>
      <c r="AV1359" s="10"/>
      <c r="AW1359" s="10"/>
      <c r="AX1359" s="10"/>
      <c r="AY1359" s="10"/>
      <c r="AZ1359" s="10"/>
      <c r="BA1359" s="10"/>
      <c r="BB1359" s="10"/>
      <c r="BC1359" s="10"/>
      <c r="BD1359" s="10"/>
      <c r="BE1359" s="10"/>
      <c r="BF1359" s="10"/>
      <c r="BG1359" s="10"/>
      <c r="BH1359" s="10"/>
      <c r="BI1359" s="10"/>
      <c r="BJ1359" s="10"/>
      <c r="BK1359" s="10"/>
      <c r="BM1359" s="10"/>
    </row>
    <row r="1360" spans="1:65" ht="12.75">
      <c r="A1360" s="9"/>
      <c r="B1360" s="10"/>
      <c r="C1360" s="11"/>
      <c r="D1360" s="12"/>
      <c r="E1360" s="10"/>
      <c r="F1360" s="10"/>
      <c r="G1360" s="10"/>
      <c r="H1360" s="14"/>
      <c r="I1360" s="14"/>
      <c r="J1360" s="14"/>
      <c r="K1360" s="14"/>
      <c r="L1360" s="14"/>
      <c r="M1360" s="15"/>
      <c r="N1360" s="10"/>
      <c r="O1360" s="14"/>
      <c r="P1360" s="14"/>
      <c r="Q1360" s="14"/>
      <c r="R1360" s="14"/>
      <c r="S1360" s="14"/>
      <c r="T1360" s="14"/>
      <c r="U1360" s="14"/>
      <c r="V1360" s="14">
        <f t="shared" si="1602"/>
        <v>1900</v>
      </c>
      <c r="W1360" s="14">
        <f t="shared" si="1603"/>
        <v>1</v>
      </c>
      <c r="X1360" s="14"/>
      <c r="Y1360" s="14"/>
      <c r="Z1360" s="14"/>
      <c r="AA1360" s="16" t="str">
        <f t="shared" ca="1" si="1612"/>
        <v>Johnson &amp; Johnson</v>
      </c>
      <c r="AB1360" s="16">
        <f t="shared" si="1612"/>
        <v>0</v>
      </c>
      <c r="AC1360" s="16">
        <f t="shared" si="1612"/>
        <v>0</v>
      </c>
      <c r="AD1360" s="16">
        <f t="shared" si="1612"/>
        <v>0</v>
      </c>
      <c r="AE1360" s="16">
        <f t="shared" si="1612"/>
        <v>0</v>
      </c>
      <c r="AF1360" s="16">
        <f t="shared" si="1612"/>
        <v>0</v>
      </c>
      <c r="AG1360" s="16">
        <f t="shared" si="1612"/>
        <v>0</v>
      </c>
      <c r="AH1360" s="16">
        <f t="shared" si="1612"/>
        <v>0</v>
      </c>
      <c r="AI1360" s="16">
        <f t="shared" si="1612"/>
        <v>0</v>
      </c>
      <c r="AJ1360" s="16">
        <f t="shared" si="1612"/>
        <v>0</v>
      </c>
      <c r="AK1360" s="16">
        <f t="shared" si="1612"/>
        <v>0</v>
      </c>
      <c r="AL1360" s="16">
        <f t="shared" si="1612"/>
        <v>0</v>
      </c>
      <c r="AM1360" s="16">
        <f t="shared" si="1612"/>
        <v>0</v>
      </c>
      <c r="AN1360" s="16">
        <f t="shared" si="1612"/>
        <v>0</v>
      </c>
      <c r="AO1360" s="16">
        <f t="shared" si="1612"/>
        <v>0</v>
      </c>
      <c r="AP1360" s="10"/>
      <c r="AQ1360" s="10"/>
      <c r="AR1360" s="10"/>
      <c r="AS1360" s="10" t="str">
        <f t="shared" ca="1" si="1606"/>
        <v>Johnson &amp; Johnson</v>
      </c>
      <c r="AT1360" s="10"/>
      <c r="AU1360" s="10"/>
      <c r="AV1360" s="10"/>
      <c r="AW1360" s="10"/>
      <c r="AX1360" s="10"/>
      <c r="AY1360" s="10"/>
      <c r="AZ1360" s="10"/>
      <c r="BA1360" s="10"/>
      <c r="BB1360" s="10"/>
      <c r="BC1360" s="10"/>
      <c r="BD1360" s="10"/>
      <c r="BE1360" s="10"/>
      <c r="BF1360" s="10"/>
      <c r="BG1360" s="10"/>
      <c r="BH1360" s="10"/>
      <c r="BI1360" s="10"/>
      <c r="BJ1360" s="10"/>
      <c r="BK1360" s="10"/>
      <c r="BM1360" s="10"/>
    </row>
    <row r="1361" spans="1:65" ht="12.75">
      <c r="A1361" s="9"/>
      <c r="B1361" s="10"/>
      <c r="C1361" s="11"/>
      <c r="D1361" s="12"/>
      <c r="E1361" s="10"/>
      <c r="F1361" s="10"/>
      <c r="G1361" s="10"/>
      <c r="H1361" s="14"/>
      <c r="I1361" s="14"/>
      <c r="J1361" s="14"/>
      <c r="K1361" s="14"/>
      <c r="L1361" s="14"/>
      <c r="M1361" s="15"/>
      <c r="N1361" s="10"/>
      <c r="O1361" s="14"/>
      <c r="P1361" s="14"/>
      <c r="Q1361" s="14"/>
      <c r="R1361" s="14"/>
      <c r="S1361" s="14"/>
      <c r="T1361" s="14"/>
      <c r="U1361" s="14"/>
      <c r="V1361" s="14">
        <f t="shared" si="1602"/>
        <v>1900</v>
      </c>
      <c r="W1361" s="14">
        <f t="shared" si="1603"/>
        <v>1</v>
      </c>
      <c r="X1361" s="14"/>
      <c r="Y1361" s="14"/>
      <c r="Z1361" s="14"/>
      <c r="AA1361" s="16" t="str">
        <f t="shared" ca="1" si="1612"/>
        <v>Johnson &amp; Johnson</v>
      </c>
      <c r="AB1361" s="16">
        <f t="shared" si="1612"/>
        <v>0</v>
      </c>
      <c r="AC1361" s="16">
        <f t="shared" si="1612"/>
        <v>0</v>
      </c>
      <c r="AD1361" s="16">
        <f t="shared" si="1612"/>
        <v>0</v>
      </c>
      <c r="AE1361" s="16">
        <f t="shared" si="1612"/>
        <v>0</v>
      </c>
      <c r="AF1361" s="16">
        <f t="shared" si="1612"/>
        <v>0</v>
      </c>
      <c r="AG1361" s="16">
        <f t="shared" si="1612"/>
        <v>0</v>
      </c>
      <c r="AH1361" s="16">
        <f t="shared" si="1612"/>
        <v>0</v>
      </c>
      <c r="AI1361" s="16">
        <f t="shared" si="1612"/>
        <v>0</v>
      </c>
      <c r="AJ1361" s="16">
        <f t="shared" si="1612"/>
        <v>0</v>
      </c>
      <c r="AK1361" s="16">
        <f t="shared" si="1612"/>
        <v>0</v>
      </c>
      <c r="AL1361" s="16">
        <f t="shared" si="1612"/>
        <v>0</v>
      </c>
      <c r="AM1361" s="16">
        <f t="shared" si="1612"/>
        <v>0</v>
      </c>
      <c r="AN1361" s="16">
        <f t="shared" si="1612"/>
        <v>0</v>
      </c>
      <c r="AO1361" s="16">
        <f t="shared" si="1612"/>
        <v>0</v>
      </c>
      <c r="AP1361" s="10"/>
      <c r="AQ1361" s="10"/>
      <c r="AR1361" s="10"/>
      <c r="AS1361" s="10" t="str">
        <f t="shared" ca="1" si="1606"/>
        <v>Johnson &amp; Johnson</v>
      </c>
      <c r="AT1361" s="10"/>
      <c r="AU1361" s="10"/>
      <c r="AV1361" s="10"/>
      <c r="AW1361" s="10"/>
      <c r="AX1361" s="10"/>
      <c r="AY1361" s="10"/>
      <c r="AZ1361" s="10"/>
      <c r="BA1361" s="10"/>
      <c r="BB1361" s="10"/>
      <c r="BC1361" s="10"/>
      <c r="BD1361" s="10"/>
      <c r="BE1361" s="10"/>
      <c r="BF1361" s="10"/>
      <c r="BG1361" s="10"/>
      <c r="BH1361" s="10"/>
      <c r="BI1361" s="10"/>
      <c r="BJ1361" s="10"/>
      <c r="BK1361" s="10"/>
      <c r="BM1361" s="10"/>
    </row>
    <row r="1362" spans="1:65" ht="12.75">
      <c r="A1362" s="9"/>
      <c r="B1362" s="10"/>
      <c r="C1362" s="11"/>
      <c r="D1362" s="12"/>
      <c r="E1362" s="10"/>
      <c r="F1362" s="10"/>
      <c r="G1362" s="10"/>
      <c r="H1362" s="14"/>
      <c r="I1362" s="14"/>
      <c r="J1362" s="14"/>
      <c r="K1362" s="14"/>
      <c r="L1362" s="14"/>
      <c r="M1362" s="15"/>
      <c r="N1362" s="10"/>
      <c r="O1362" s="14"/>
      <c r="P1362" s="14"/>
      <c r="Q1362" s="14"/>
      <c r="R1362" s="14"/>
      <c r="S1362" s="14"/>
      <c r="T1362" s="14"/>
      <c r="U1362" s="14"/>
      <c r="V1362" s="14">
        <f t="shared" si="1602"/>
        <v>1900</v>
      </c>
      <c r="W1362" s="14">
        <f t="shared" si="1603"/>
        <v>1</v>
      </c>
      <c r="X1362" s="14"/>
      <c r="Y1362" s="14"/>
      <c r="Z1362" s="14"/>
      <c r="AA1362" s="16" t="str">
        <f t="shared" ca="1" si="1612"/>
        <v>Johnson &amp; Johnson</v>
      </c>
      <c r="AB1362" s="16">
        <f t="shared" si="1612"/>
        <v>0</v>
      </c>
      <c r="AC1362" s="16">
        <f t="shared" si="1612"/>
        <v>0</v>
      </c>
      <c r="AD1362" s="16">
        <f t="shared" si="1612"/>
        <v>0</v>
      </c>
      <c r="AE1362" s="16">
        <f t="shared" si="1612"/>
        <v>0</v>
      </c>
      <c r="AF1362" s="16">
        <f t="shared" si="1612"/>
        <v>0</v>
      </c>
      <c r="AG1362" s="16">
        <f t="shared" si="1612"/>
        <v>0</v>
      </c>
      <c r="AH1362" s="16">
        <f t="shared" si="1612"/>
        <v>0</v>
      </c>
      <c r="AI1362" s="16">
        <f t="shared" si="1612"/>
        <v>0</v>
      </c>
      <c r="AJ1362" s="16">
        <f t="shared" si="1612"/>
        <v>0</v>
      </c>
      <c r="AK1362" s="16">
        <f t="shared" si="1612"/>
        <v>0</v>
      </c>
      <c r="AL1362" s="16">
        <f t="shared" si="1612"/>
        <v>0</v>
      </c>
      <c r="AM1362" s="16">
        <f t="shared" si="1612"/>
        <v>0</v>
      </c>
      <c r="AN1362" s="16">
        <f t="shared" si="1612"/>
        <v>0</v>
      </c>
      <c r="AO1362" s="16">
        <f t="shared" si="1612"/>
        <v>0</v>
      </c>
      <c r="AP1362" s="10"/>
      <c r="AQ1362" s="10"/>
      <c r="AR1362" s="10"/>
      <c r="AS1362" s="10" t="str">
        <f t="shared" ca="1" si="1606"/>
        <v>Johnson &amp; Johnson</v>
      </c>
      <c r="AT1362" s="10"/>
      <c r="AU1362" s="10"/>
      <c r="AV1362" s="10"/>
      <c r="AW1362" s="10"/>
      <c r="AX1362" s="10"/>
      <c r="AY1362" s="10"/>
      <c r="AZ1362" s="10"/>
      <c r="BA1362" s="10"/>
      <c r="BB1362" s="10"/>
      <c r="BC1362" s="10"/>
      <c r="BD1362" s="10"/>
      <c r="BE1362" s="10"/>
      <c r="BF1362" s="10"/>
      <c r="BG1362" s="10"/>
      <c r="BH1362" s="10"/>
      <c r="BI1362" s="10"/>
      <c r="BJ1362" s="10"/>
      <c r="BK1362" s="10"/>
      <c r="BM1362" s="10"/>
    </row>
    <row r="1363" spans="1:65" ht="12.75">
      <c r="A1363" s="9"/>
      <c r="B1363" s="10"/>
      <c r="C1363" s="11"/>
      <c r="D1363" s="12"/>
      <c r="E1363" s="10"/>
      <c r="F1363" s="10"/>
      <c r="G1363" s="10"/>
      <c r="H1363" s="14"/>
      <c r="I1363" s="14"/>
      <c r="J1363" s="14"/>
      <c r="K1363" s="14"/>
      <c r="L1363" s="14"/>
      <c r="M1363" s="15"/>
      <c r="N1363" s="10"/>
      <c r="O1363" s="14"/>
      <c r="P1363" s="14"/>
      <c r="Q1363" s="14"/>
      <c r="R1363" s="14"/>
      <c r="S1363" s="14"/>
      <c r="T1363" s="14"/>
      <c r="U1363" s="14"/>
      <c r="V1363" s="14">
        <f t="shared" si="1602"/>
        <v>1900</v>
      </c>
      <c r="W1363" s="14">
        <f t="shared" si="1603"/>
        <v>1</v>
      </c>
      <c r="X1363" s="14"/>
      <c r="Y1363" s="14"/>
      <c r="Z1363" s="14"/>
      <c r="AA1363" s="16" t="str">
        <f t="shared" ca="1" si="1612"/>
        <v>Johnson &amp; Johnson</v>
      </c>
      <c r="AB1363" s="16">
        <f t="shared" si="1612"/>
        <v>0</v>
      </c>
      <c r="AC1363" s="16">
        <f t="shared" si="1612"/>
        <v>0</v>
      </c>
      <c r="AD1363" s="16">
        <f t="shared" si="1612"/>
        <v>0</v>
      </c>
      <c r="AE1363" s="16">
        <f t="shared" si="1612"/>
        <v>0</v>
      </c>
      <c r="AF1363" s="16">
        <f t="shared" si="1612"/>
        <v>0</v>
      </c>
      <c r="AG1363" s="16">
        <f t="shared" si="1612"/>
        <v>0</v>
      </c>
      <c r="AH1363" s="16">
        <f t="shared" si="1612"/>
        <v>0</v>
      </c>
      <c r="AI1363" s="16">
        <f t="shared" si="1612"/>
        <v>0</v>
      </c>
      <c r="AJ1363" s="16">
        <f t="shared" si="1612"/>
        <v>0</v>
      </c>
      <c r="AK1363" s="16">
        <f t="shared" si="1612"/>
        <v>0</v>
      </c>
      <c r="AL1363" s="16">
        <f t="shared" si="1612"/>
        <v>0</v>
      </c>
      <c r="AM1363" s="16">
        <f t="shared" si="1612"/>
        <v>0</v>
      </c>
      <c r="AN1363" s="16">
        <f t="shared" si="1612"/>
        <v>0</v>
      </c>
      <c r="AO1363" s="16">
        <f t="shared" si="1612"/>
        <v>0</v>
      </c>
      <c r="AP1363" s="10"/>
      <c r="AQ1363" s="10"/>
      <c r="AR1363" s="10"/>
      <c r="AS1363" s="10" t="str">
        <f t="shared" ca="1" si="1606"/>
        <v>Johnson &amp; Johnson</v>
      </c>
      <c r="AT1363" s="10"/>
      <c r="AU1363" s="10"/>
      <c r="AV1363" s="10"/>
      <c r="AW1363" s="10"/>
      <c r="AX1363" s="10"/>
      <c r="AY1363" s="10"/>
      <c r="AZ1363" s="10"/>
      <c r="BA1363" s="10"/>
      <c r="BB1363" s="10"/>
      <c r="BC1363" s="10"/>
      <c r="BD1363" s="10"/>
      <c r="BE1363" s="10"/>
      <c r="BF1363" s="10"/>
      <c r="BG1363" s="10"/>
      <c r="BH1363" s="10"/>
      <c r="BI1363" s="10"/>
      <c r="BJ1363" s="10"/>
      <c r="BK1363" s="10"/>
      <c r="BM1363" s="10"/>
    </row>
    <row r="1364" spans="1:65" ht="12.75">
      <c r="A1364" s="9"/>
      <c r="B1364" s="10"/>
      <c r="C1364" s="11"/>
      <c r="D1364" s="12"/>
      <c r="E1364" s="10"/>
      <c r="F1364" s="10"/>
      <c r="G1364" s="10"/>
      <c r="H1364" s="14"/>
      <c r="I1364" s="14"/>
      <c r="J1364" s="14"/>
      <c r="K1364" s="14"/>
      <c r="L1364" s="14"/>
      <c r="M1364" s="15"/>
      <c r="N1364" s="10"/>
      <c r="O1364" s="14"/>
      <c r="P1364" s="14"/>
      <c r="Q1364" s="14"/>
      <c r="R1364" s="14"/>
      <c r="S1364" s="14"/>
      <c r="T1364" s="14"/>
      <c r="U1364" s="14"/>
      <c r="V1364" s="14">
        <f t="shared" si="1602"/>
        <v>1900</v>
      </c>
      <c r="W1364" s="14">
        <f t="shared" si="1603"/>
        <v>1</v>
      </c>
      <c r="X1364" s="14"/>
      <c r="Y1364" s="14"/>
      <c r="Z1364" s="14"/>
      <c r="AA1364" s="16" t="str">
        <f t="shared" ca="1" si="1612"/>
        <v>Johnson &amp; Johnson</v>
      </c>
      <c r="AB1364" s="16">
        <f t="shared" si="1612"/>
        <v>0</v>
      </c>
      <c r="AC1364" s="16">
        <f t="shared" si="1612"/>
        <v>0</v>
      </c>
      <c r="AD1364" s="16">
        <f t="shared" si="1612"/>
        <v>0</v>
      </c>
      <c r="AE1364" s="16">
        <f t="shared" si="1612"/>
        <v>0</v>
      </c>
      <c r="AF1364" s="16">
        <f t="shared" si="1612"/>
        <v>0</v>
      </c>
      <c r="AG1364" s="16">
        <f t="shared" si="1612"/>
        <v>0</v>
      </c>
      <c r="AH1364" s="16">
        <f t="shared" si="1612"/>
        <v>0</v>
      </c>
      <c r="AI1364" s="16">
        <f t="shared" si="1612"/>
        <v>0</v>
      </c>
      <c r="AJ1364" s="16">
        <f t="shared" si="1612"/>
        <v>0</v>
      </c>
      <c r="AK1364" s="16">
        <f t="shared" si="1612"/>
        <v>0</v>
      </c>
      <c r="AL1364" s="16">
        <f t="shared" si="1612"/>
        <v>0</v>
      </c>
      <c r="AM1364" s="16">
        <f t="shared" si="1612"/>
        <v>0</v>
      </c>
      <c r="AN1364" s="16">
        <f t="shared" si="1612"/>
        <v>0</v>
      </c>
      <c r="AO1364" s="16">
        <f t="shared" si="1612"/>
        <v>0</v>
      </c>
      <c r="AP1364" s="10"/>
      <c r="AQ1364" s="10"/>
      <c r="AR1364" s="10"/>
      <c r="AS1364" s="10" t="str">
        <f t="shared" ca="1" si="1606"/>
        <v>Johnson &amp; Johnson</v>
      </c>
      <c r="AT1364" s="10"/>
      <c r="AU1364" s="10"/>
      <c r="AV1364" s="10"/>
      <c r="AW1364" s="10"/>
      <c r="AX1364" s="10"/>
      <c r="AY1364" s="10"/>
      <c r="AZ1364" s="10"/>
      <c r="BA1364" s="10"/>
      <c r="BB1364" s="10"/>
      <c r="BC1364" s="10"/>
      <c r="BD1364" s="10"/>
      <c r="BE1364" s="10"/>
      <c r="BF1364" s="10"/>
      <c r="BG1364" s="10"/>
      <c r="BH1364" s="10"/>
      <c r="BI1364" s="10"/>
      <c r="BJ1364" s="10"/>
      <c r="BK1364" s="10"/>
      <c r="BM1364" s="10"/>
    </row>
    <row r="1365" spans="1:65" ht="12.75">
      <c r="A1365" s="9"/>
      <c r="B1365" s="10"/>
      <c r="C1365" s="11"/>
      <c r="D1365" s="12"/>
      <c r="E1365" s="10"/>
      <c r="F1365" s="10"/>
      <c r="G1365" s="10"/>
      <c r="H1365" s="14"/>
      <c r="I1365" s="14"/>
      <c r="J1365" s="14"/>
      <c r="K1365" s="14"/>
      <c r="L1365" s="14"/>
      <c r="M1365" s="15"/>
      <c r="N1365" s="10"/>
      <c r="O1365" s="14"/>
      <c r="P1365" s="14"/>
      <c r="Q1365" s="14"/>
      <c r="R1365" s="14"/>
      <c r="S1365" s="14"/>
      <c r="T1365" s="14"/>
      <c r="U1365" s="14"/>
      <c r="V1365" s="14">
        <f t="shared" si="1602"/>
        <v>1900</v>
      </c>
      <c r="W1365" s="14">
        <f t="shared" si="1603"/>
        <v>1</v>
      </c>
      <c r="X1365" s="14"/>
      <c r="Y1365" s="14"/>
      <c r="Z1365" s="14"/>
      <c r="AA1365" s="16" t="str">
        <f t="shared" ca="1" si="1612"/>
        <v>Johnson &amp; Johnson</v>
      </c>
      <c r="AB1365" s="16">
        <f t="shared" si="1612"/>
        <v>0</v>
      </c>
      <c r="AC1365" s="16">
        <f t="shared" si="1612"/>
        <v>0</v>
      </c>
      <c r="AD1365" s="16">
        <f t="shared" si="1612"/>
        <v>0</v>
      </c>
      <c r="AE1365" s="16">
        <f t="shared" si="1612"/>
        <v>0</v>
      </c>
      <c r="AF1365" s="16">
        <f t="shared" si="1612"/>
        <v>0</v>
      </c>
      <c r="AG1365" s="16">
        <f t="shared" si="1612"/>
        <v>0</v>
      </c>
      <c r="AH1365" s="16">
        <f t="shared" si="1612"/>
        <v>0</v>
      </c>
      <c r="AI1365" s="16">
        <f t="shared" si="1612"/>
        <v>0</v>
      </c>
      <c r="AJ1365" s="16">
        <f t="shared" si="1612"/>
        <v>0</v>
      </c>
      <c r="AK1365" s="16">
        <f t="shared" si="1612"/>
        <v>0</v>
      </c>
      <c r="AL1365" s="16">
        <f t="shared" si="1612"/>
        <v>0</v>
      </c>
      <c r="AM1365" s="16">
        <f t="shared" si="1612"/>
        <v>0</v>
      </c>
      <c r="AN1365" s="16">
        <f t="shared" si="1612"/>
        <v>0</v>
      </c>
      <c r="AO1365" s="16">
        <f t="shared" si="1612"/>
        <v>0</v>
      </c>
      <c r="AP1365" s="10"/>
      <c r="AQ1365" s="10"/>
      <c r="AR1365" s="10"/>
      <c r="AS1365" s="10" t="str">
        <f t="shared" ca="1" si="1606"/>
        <v>Johnson &amp; Johnson</v>
      </c>
      <c r="AT1365" s="10"/>
      <c r="AU1365" s="10"/>
      <c r="AV1365" s="10"/>
      <c r="AW1365" s="10"/>
      <c r="AX1365" s="10"/>
      <c r="AY1365" s="10"/>
      <c r="AZ1365" s="10"/>
      <c r="BA1365" s="10"/>
      <c r="BB1365" s="10"/>
      <c r="BC1365" s="10"/>
      <c r="BD1365" s="10"/>
      <c r="BE1365" s="10"/>
      <c r="BF1365" s="10"/>
      <c r="BG1365" s="10"/>
      <c r="BH1365" s="10"/>
      <c r="BI1365" s="10"/>
      <c r="BJ1365" s="10"/>
      <c r="BK1365" s="10"/>
      <c r="BM1365" s="10"/>
    </row>
    <row r="1366" spans="1:65" ht="12.75">
      <c r="A1366" s="9"/>
      <c r="B1366" s="10"/>
      <c r="C1366" s="11"/>
      <c r="D1366" s="12"/>
      <c r="E1366" s="10"/>
      <c r="F1366" s="10"/>
      <c r="G1366" s="10"/>
      <c r="H1366" s="14"/>
      <c r="I1366" s="14"/>
      <c r="J1366" s="14"/>
      <c r="K1366" s="14"/>
      <c r="L1366" s="14"/>
      <c r="M1366" s="15"/>
      <c r="N1366" s="10"/>
      <c r="O1366" s="14"/>
      <c r="P1366" s="14"/>
      <c r="Q1366" s="14"/>
      <c r="R1366" s="14"/>
      <c r="S1366" s="14"/>
      <c r="T1366" s="14"/>
      <c r="U1366" s="14"/>
      <c r="V1366" s="14">
        <f t="shared" si="1602"/>
        <v>1900</v>
      </c>
      <c r="W1366" s="14">
        <f t="shared" si="1603"/>
        <v>1</v>
      </c>
      <c r="X1366" s="14"/>
      <c r="Y1366" s="14"/>
      <c r="Z1366" s="14"/>
      <c r="AA1366" s="16" t="str">
        <f t="shared" ca="1" si="1612"/>
        <v>Johnson &amp; Johnson</v>
      </c>
      <c r="AB1366" s="16">
        <f t="shared" si="1612"/>
        <v>0</v>
      </c>
      <c r="AC1366" s="16">
        <f t="shared" si="1612"/>
        <v>0</v>
      </c>
      <c r="AD1366" s="16">
        <f t="shared" si="1612"/>
        <v>0</v>
      </c>
      <c r="AE1366" s="16">
        <f t="shared" si="1612"/>
        <v>0</v>
      </c>
      <c r="AF1366" s="16">
        <f t="shared" si="1612"/>
        <v>0</v>
      </c>
      <c r="AG1366" s="16">
        <f t="shared" si="1612"/>
        <v>0</v>
      </c>
      <c r="AH1366" s="16">
        <f t="shared" si="1612"/>
        <v>0</v>
      </c>
      <c r="AI1366" s="16">
        <f t="shared" si="1612"/>
        <v>0</v>
      </c>
      <c r="AJ1366" s="16">
        <f t="shared" si="1612"/>
        <v>0</v>
      </c>
      <c r="AK1366" s="16">
        <f t="shared" si="1612"/>
        <v>0</v>
      </c>
      <c r="AL1366" s="16">
        <f t="shared" si="1612"/>
        <v>0</v>
      </c>
      <c r="AM1366" s="16">
        <f t="shared" si="1612"/>
        <v>0</v>
      </c>
      <c r="AN1366" s="16">
        <f t="shared" si="1612"/>
        <v>0</v>
      </c>
      <c r="AO1366" s="16">
        <f t="shared" si="1612"/>
        <v>0</v>
      </c>
      <c r="AP1366" s="10"/>
      <c r="AQ1366" s="10"/>
      <c r="AR1366" s="10"/>
      <c r="AS1366" s="10" t="str">
        <f t="shared" ca="1" si="1606"/>
        <v>Johnson &amp; Johnson</v>
      </c>
      <c r="AT1366" s="10"/>
      <c r="AU1366" s="10"/>
      <c r="AV1366" s="10"/>
      <c r="AW1366" s="10"/>
      <c r="AX1366" s="10"/>
      <c r="AY1366" s="10"/>
      <c r="AZ1366" s="10"/>
      <c r="BA1366" s="10"/>
      <c r="BB1366" s="10"/>
      <c r="BC1366" s="10"/>
      <c r="BD1366" s="10"/>
      <c r="BE1366" s="10"/>
      <c r="BF1366" s="10"/>
      <c r="BG1366" s="10"/>
      <c r="BH1366" s="10"/>
      <c r="BI1366" s="10"/>
      <c r="BJ1366" s="10"/>
      <c r="BK1366" s="10"/>
      <c r="BM1366" s="10"/>
    </row>
    <row r="1367" spans="1:65" ht="12.75">
      <c r="A1367" s="9"/>
      <c r="B1367" s="10"/>
      <c r="C1367" s="11"/>
      <c r="D1367" s="12"/>
      <c r="E1367" s="10"/>
      <c r="F1367" s="10"/>
      <c r="G1367" s="10"/>
      <c r="H1367" s="14"/>
      <c r="I1367" s="14"/>
      <c r="J1367" s="14"/>
      <c r="K1367" s="14"/>
      <c r="L1367" s="14"/>
      <c r="M1367" s="15"/>
      <c r="N1367" s="10"/>
      <c r="O1367" s="14"/>
      <c r="P1367" s="14"/>
      <c r="Q1367" s="14"/>
      <c r="R1367" s="14"/>
      <c r="S1367" s="14"/>
      <c r="T1367" s="14"/>
      <c r="U1367" s="14"/>
      <c r="V1367" s="14">
        <f t="shared" si="1602"/>
        <v>1900</v>
      </c>
      <c r="W1367" s="14">
        <f t="shared" si="1603"/>
        <v>1</v>
      </c>
      <c r="X1367" s="14"/>
      <c r="Y1367" s="14"/>
      <c r="Z1367" s="14"/>
      <c r="AA1367" s="16" t="str">
        <f t="shared" ca="1" si="1612"/>
        <v>Johnson &amp; Johnson</v>
      </c>
      <c r="AB1367" s="16">
        <f t="shared" si="1612"/>
        <v>0</v>
      </c>
      <c r="AC1367" s="16">
        <f t="shared" si="1612"/>
        <v>0</v>
      </c>
      <c r="AD1367" s="16">
        <f t="shared" si="1612"/>
        <v>0</v>
      </c>
      <c r="AE1367" s="16">
        <f t="shared" si="1612"/>
        <v>0</v>
      </c>
      <c r="AF1367" s="16">
        <f t="shared" si="1612"/>
        <v>0</v>
      </c>
      <c r="AG1367" s="16">
        <f t="shared" si="1612"/>
        <v>0</v>
      </c>
      <c r="AH1367" s="16">
        <f t="shared" si="1612"/>
        <v>0</v>
      </c>
      <c r="AI1367" s="16">
        <f t="shared" si="1612"/>
        <v>0</v>
      </c>
      <c r="AJ1367" s="16">
        <f t="shared" si="1612"/>
        <v>0</v>
      </c>
      <c r="AK1367" s="16">
        <f t="shared" si="1612"/>
        <v>0</v>
      </c>
      <c r="AL1367" s="16">
        <f t="shared" si="1612"/>
        <v>0</v>
      </c>
      <c r="AM1367" s="16">
        <f t="shared" si="1612"/>
        <v>0</v>
      </c>
      <c r="AN1367" s="16">
        <f t="shared" si="1612"/>
        <v>0</v>
      </c>
      <c r="AO1367" s="16">
        <f t="shared" si="1612"/>
        <v>0</v>
      </c>
      <c r="AP1367" s="10"/>
      <c r="AQ1367" s="10"/>
      <c r="AR1367" s="10"/>
      <c r="AS1367" s="10" t="str">
        <f t="shared" ca="1" si="1606"/>
        <v>Johnson &amp; Johnson</v>
      </c>
      <c r="AT1367" s="10"/>
      <c r="AU1367" s="10"/>
      <c r="AV1367" s="10"/>
      <c r="AW1367" s="10"/>
      <c r="AX1367" s="10"/>
      <c r="AY1367" s="10"/>
      <c r="AZ1367" s="10"/>
      <c r="BA1367" s="10"/>
      <c r="BB1367" s="10"/>
      <c r="BC1367" s="10"/>
      <c r="BD1367" s="10"/>
      <c r="BE1367" s="10"/>
      <c r="BF1367" s="10"/>
      <c r="BG1367" s="10"/>
      <c r="BH1367" s="10"/>
      <c r="BI1367" s="10"/>
      <c r="BJ1367" s="10"/>
      <c r="BK1367" s="10"/>
      <c r="BM1367" s="10"/>
    </row>
    <row r="1368" spans="1:65" ht="12.75">
      <c r="A1368" s="9"/>
      <c r="B1368" s="10"/>
      <c r="C1368" s="11"/>
      <c r="D1368" s="12"/>
      <c r="E1368" s="10"/>
      <c r="F1368" s="10"/>
      <c r="G1368" s="10"/>
      <c r="H1368" s="14"/>
      <c r="I1368" s="14"/>
      <c r="J1368" s="14"/>
      <c r="K1368" s="14"/>
      <c r="L1368" s="14"/>
      <c r="M1368" s="15"/>
      <c r="N1368" s="10"/>
      <c r="O1368" s="14"/>
      <c r="P1368" s="14"/>
      <c r="Q1368" s="14"/>
      <c r="R1368" s="14"/>
      <c r="S1368" s="14"/>
      <c r="T1368" s="14"/>
      <c r="U1368" s="14"/>
      <c r="V1368" s="14">
        <f t="shared" si="1602"/>
        <v>1900</v>
      </c>
      <c r="W1368" s="14">
        <f t="shared" si="1603"/>
        <v>1</v>
      </c>
      <c r="X1368" s="14"/>
      <c r="Y1368" s="14"/>
      <c r="Z1368" s="14"/>
      <c r="AA1368" s="16" t="str">
        <f t="shared" ca="1" si="1612"/>
        <v>Johnson &amp; Johnson</v>
      </c>
      <c r="AB1368" s="16">
        <f t="shared" si="1612"/>
        <v>0</v>
      </c>
      <c r="AC1368" s="16">
        <f t="shared" si="1612"/>
        <v>0</v>
      </c>
      <c r="AD1368" s="16">
        <f t="shared" si="1612"/>
        <v>0</v>
      </c>
      <c r="AE1368" s="16">
        <f t="shared" si="1612"/>
        <v>0</v>
      </c>
      <c r="AF1368" s="16">
        <f t="shared" si="1612"/>
        <v>0</v>
      </c>
      <c r="AG1368" s="16">
        <f t="shared" si="1612"/>
        <v>0</v>
      </c>
      <c r="AH1368" s="16">
        <f t="shared" si="1612"/>
        <v>0</v>
      </c>
      <c r="AI1368" s="16">
        <f t="shared" si="1612"/>
        <v>0</v>
      </c>
      <c r="AJ1368" s="16">
        <f t="shared" si="1612"/>
        <v>0</v>
      </c>
      <c r="AK1368" s="16">
        <f t="shared" si="1612"/>
        <v>0</v>
      </c>
      <c r="AL1368" s="16">
        <f t="shared" si="1612"/>
        <v>0</v>
      </c>
      <c r="AM1368" s="16">
        <f t="shared" si="1612"/>
        <v>0</v>
      </c>
      <c r="AN1368" s="16">
        <f t="shared" si="1612"/>
        <v>0</v>
      </c>
      <c r="AO1368" s="16">
        <f t="shared" si="1612"/>
        <v>0</v>
      </c>
      <c r="AP1368" s="10"/>
      <c r="AQ1368" s="10"/>
      <c r="AR1368" s="10"/>
      <c r="AS1368" s="10" t="str">
        <f t="shared" ca="1" si="1606"/>
        <v>Johnson &amp; Johnson</v>
      </c>
      <c r="AT1368" s="10"/>
      <c r="AU1368" s="10"/>
      <c r="AV1368" s="10"/>
      <c r="AW1368" s="10"/>
      <c r="AX1368" s="10"/>
      <c r="AY1368" s="10"/>
      <c r="AZ1368" s="10"/>
      <c r="BA1368" s="10"/>
      <c r="BB1368" s="10"/>
      <c r="BC1368" s="10"/>
      <c r="BD1368" s="10"/>
      <c r="BE1368" s="10"/>
      <c r="BF1368" s="10"/>
      <c r="BG1368" s="10"/>
      <c r="BH1368" s="10"/>
      <c r="BI1368" s="10"/>
      <c r="BJ1368" s="10"/>
      <c r="BK1368" s="10"/>
      <c r="BM1368" s="10"/>
    </row>
    <row r="1369" spans="1:65" ht="12.75">
      <c r="A1369" s="9"/>
      <c r="B1369" s="10"/>
      <c r="C1369" s="11"/>
      <c r="D1369" s="12"/>
      <c r="E1369" s="10"/>
      <c r="F1369" s="10"/>
      <c r="G1369" s="10"/>
      <c r="H1369" s="14"/>
      <c r="I1369" s="14"/>
      <c r="J1369" s="14"/>
      <c r="K1369" s="14"/>
      <c r="L1369" s="14"/>
      <c r="M1369" s="15"/>
      <c r="N1369" s="10"/>
      <c r="O1369" s="14"/>
      <c r="P1369" s="14"/>
      <c r="Q1369" s="14"/>
      <c r="R1369" s="14"/>
      <c r="S1369" s="14"/>
      <c r="T1369" s="14"/>
      <c r="U1369" s="14"/>
      <c r="V1369" s="14">
        <f t="shared" si="1602"/>
        <v>1900</v>
      </c>
      <c r="W1369" s="14">
        <f t="shared" si="1603"/>
        <v>1</v>
      </c>
      <c r="X1369" s="14"/>
      <c r="Y1369" s="14"/>
      <c r="Z1369" s="14"/>
      <c r="AA1369" s="16" t="str">
        <f t="shared" ref="AA1369:AO1384" ca="1" si="1613">AS1369</f>
        <v>Johnson &amp; Johnson</v>
      </c>
      <c r="AB1369" s="16">
        <f t="shared" si="1613"/>
        <v>0</v>
      </c>
      <c r="AC1369" s="16">
        <f t="shared" si="1613"/>
        <v>0</v>
      </c>
      <c r="AD1369" s="16">
        <f t="shared" si="1613"/>
        <v>0</v>
      </c>
      <c r="AE1369" s="16">
        <f t="shared" si="1613"/>
        <v>0</v>
      </c>
      <c r="AF1369" s="16">
        <f t="shared" si="1613"/>
        <v>0</v>
      </c>
      <c r="AG1369" s="16">
        <f t="shared" si="1613"/>
        <v>0</v>
      </c>
      <c r="AH1369" s="16">
        <f t="shared" si="1613"/>
        <v>0</v>
      </c>
      <c r="AI1369" s="16">
        <f t="shared" si="1613"/>
        <v>0</v>
      </c>
      <c r="AJ1369" s="16">
        <f t="shared" si="1613"/>
        <v>0</v>
      </c>
      <c r="AK1369" s="16">
        <f t="shared" si="1613"/>
        <v>0</v>
      </c>
      <c r="AL1369" s="16">
        <f t="shared" si="1613"/>
        <v>0</v>
      </c>
      <c r="AM1369" s="16">
        <f t="shared" si="1613"/>
        <v>0</v>
      </c>
      <c r="AN1369" s="16">
        <f t="shared" si="1613"/>
        <v>0</v>
      </c>
      <c r="AO1369" s="16">
        <f t="shared" si="1613"/>
        <v>0</v>
      </c>
      <c r="AP1369" s="10"/>
      <c r="AQ1369" s="10"/>
      <c r="AR1369" s="10"/>
      <c r="AS1369" s="10" t="str">
        <f t="shared" ca="1" si="1606"/>
        <v>Johnson &amp; Johnson</v>
      </c>
      <c r="AT1369" s="10"/>
      <c r="AU1369" s="10"/>
      <c r="AV1369" s="10"/>
      <c r="AW1369" s="10"/>
      <c r="AX1369" s="10"/>
      <c r="AY1369" s="10"/>
      <c r="AZ1369" s="10"/>
      <c r="BA1369" s="10"/>
      <c r="BB1369" s="10"/>
      <c r="BC1369" s="10"/>
      <c r="BD1369" s="10"/>
      <c r="BE1369" s="10"/>
      <c r="BF1369" s="10"/>
      <c r="BG1369" s="10"/>
      <c r="BH1369" s="10"/>
      <c r="BI1369" s="10"/>
      <c r="BJ1369" s="10"/>
      <c r="BK1369" s="10"/>
      <c r="BM1369" s="10"/>
    </row>
    <row r="1370" spans="1:65" ht="12.75">
      <c r="A1370" s="9"/>
      <c r="B1370" s="10"/>
      <c r="C1370" s="11"/>
      <c r="D1370" s="12"/>
      <c r="E1370" s="10"/>
      <c r="F1370" s="10"/>
      <c r="G1370" s="10"/>
      <c r="H1370" s="14"/>
      <c r="I1370" s="14"/>
      <c r="J1370" s="14"/>
      <c r="K1370" s="14"/>
      <c r="L1370" s="14"/>
      <c r="M1370" s="15"/>
      <c r="N1370" s="10"/>
      <c r="O1370" s="14"/>
      <c r="P1370" s="14"/>
      <c r="Q1370" s="14"/>
      <c r="R1370" s="14"/>
      <c r="S1370" s="14"/>
      <c r="T1370" s="14"/>
      <c r="U1370" s="14"/>
      <c r="V1370" s="14">
        <f t="shared" si="1602"/>
        <v>1900</v>
      </c>
      <c r="W1370" s="14">
        <f t="shared" si="1603"/>
        <v>1</v>
      </c>
      <c r="X1370" s="14"/>
      <c r="Y1370" s="14"/>
      <c r="Z1370" s="14"/>
      <c r="AA1370" s="16" t="str">
        <f t="shared" ca="1" si="1613"/>
        <v>Johnson &amp; Johnson</v>
      </c>
      <c r="AB1370" s="16">
        <f t="shared" si="1613"/>
        <v>0</v>
      </c>
      <c r="AC1370" s="16">
        <f t="shared" si="1613"/>
        <v>0</v>
      </c>
      <c r="AD1370" s="16">
        <f t="shared" si="1613"/>
        <v>0</v>
      </c>
      <c r="AE1370" s="16">
        <f t="shared" si="1613"/>
        <v>0</v>
      </c>
      <c r="AF1370" s="16">
        <f t="shared" si="1613"/>
        <v>0</v>
      </c>
      <c r="AG1370" s="16">
        <f t="shared" si="1613"/>
        <v>0</v>
      </c>
      <c r="AH1370" s="16">
        <f t="shared" si="1613"/>
        <v>0</v>
      </c>
      <c r="AI1370" s="16">
        <f t="shared" si="1613"/>
        <v>0</v>
      </c>
      <c r="AJ1370" s="16">
        <f t="shared" si="1613"/>
        <v>0</v>
      </c>
      <c r="AK1370" s="16">
        <f t="shared" si="1613"/>
        <v>0</v>
      </c>
      <c r="AL1370" s="16">
        <f t="shared" si="1613"/>
        <v>0</v>
      </c>
      <c r="AM1370" s="16">
        <f t="shared" si="1613"/>
        <v>0</v>
      </c>
      <c r="AN1370" s="16">
        <f t="shared" si="1613"/>
        <v>0</v>
      </c>
      <c r="AO1370" s="16">
        <f t="shared" si="1613"/>
        <v>0</v>
      </c>
      <c r="AP1370" s="10"/>
      <c r="AQ1370" s="10"/>
      <c r="AR1370" s="10"/>
      <c r="AS1370" s="10" t="str">
        <f t="shared" ca="1" si="1606"/>
        <v>Johnson &amp; Johnson</v>
      </c>
      <c r="AT1370" s="10"/>
      <c r="AU1370" s="10"/>
      <c r="AV1370" s="10"/>
      <c r="AW1370" s="10"/>
      <c r="AX1370" s="10"/>
      <c r="AY1370" s="10"/>
      <c r="AZ1370" s="10"/>
      <c r="BA1370" s="10"/>
      <c r="BB1370" s="10"/>
      <c r="BC1370" s="10"/>
      <c r="BD1370" s="10"/>
      <c r="BE1370" s="10"/>
      <c r="BF1370" s="10"/>
      <c r="BG1370" s="10"/>
      <c r="BH1370" s="10"/>
      <c r="BI1370" s="10"/>
      <c r="BJ1370" s="10"/>
      <c r="BK1370" s="10"/>
      <c r="BM1370" s="10"/>
    </row>
    <row r="1371" spans="1:65" ht="12.75">
      <c r="A1371" s="9"/>
      <c r="B1371" s="10"/>
      <c r="C1371" s="11"/>
      <c r="D1371" s="12"/>
      <c r="E1371" s="10"/>
      <c r="F1371" s="10"/>
      <c r="G1371" s="10"/>
      <c r="H1371" s="14"/>
      <c r="I1371" s="14"/>
      <c r="J1371" s="14"/>
      <c r="K1371" s="14"/>
      <c r="L1371" s="14"/>
      <c r="M1371" s="15"/>
      <c r="N1371" s="10"/>
      <c r="O1371" s="14"/>
      <c r="P1371" s="14"/>
      <c r="Q1371" s="14"/>
      <c r="R1371" s="14"/>
      <c r="S1371" s="14"/>
      <c r="T1371" s="14"/>
      <c r="U1371" s="14"/>
      <c r="V1371" s="14">
        <f t="shared" si="1602"/>
        <v>1900</v>
      </c>
      <c r="W1371" s="14">
        <f t="shared" si="1603"/>
        <v>1</v>
      </c>
      <c r="X1371" s="14"/>
      <c r="Y1371" s="14"/>
      <c r="Z1371" s="14"/>
      <c r="AA1371" s="16" t="str">
        <f t="shared" ca="1" si="1613"/>
        <v>Johnson &amp; Johnson</v>
      </c>
      <c r="AB1371" s="16">
        <f t="shared" si="1613"/>
        <v>0</v>
      </c>
      <c r="AC1371" s="16">
        <f t="shared" si="1613"/>
        <v>0</v>
      </c>
      <c r="AD1371" s="16">
        <f t="shared" si="1613"/>
        <v>0</v>
      </c>
      <c r="AE1371" s="16">
        <f t="shared" si="1613"/>
        <v>0</v>
      </c>
      <c r="AF1371" s="16">
        <f t="shared" si="1613"/>
        <v>0</v>
      </c>
      <c r="AG1371" s="16">
        <f t="shared" si="1613"/>
        <v>0</v>
      </c>
      <c r="AH1371" s="16">
        <f t="shared" si="1613"/>
        <v>0</v>
      </c>
      <c r="AI1371" s="16">
        <f t="shared" si="1613"/>
        <v>0</v>
      </c>
      <c r="AJ1371" s="16">
        <f t="shared" si="1613"/>
        <v>0</v>
      </c>
      <c r="AK1371" s="16">
        <f t="shared" si="1613"/>
        <v>0</v>
      </c>
      <c r="AL1371" s="16">
        <f t="shared" si="1613"/>
        <v>0</v>
      </c>
      <c r="AM1371" s="16">
        <f t="shared" si="1613"/>
        <v>0</v>
      </c>
      <c r="AN1371" s="16">
        <f t="shared" si="1613"/>
        <v>0</v>
      </c>
      <c r="AO1371" s="16">
        <f t="shared" si="1613"/>
        <v>0</v>
      </c>
      <c r="AP1371" s="10"/>
      <c r="AQ1371" s="10"/>
      <c r="AR1371" s="10"/>
      <c r="AS1371" s="10" t="str">
        <f t="shared" ca="1" si="1606"/>
        <v>Johnson &amp; Johnson</v>
      </c>
      <c r="AT1371" s="10"/>
      <c r="AU1371" s="10"/>
      <c r="AV1371" s="10"/>
      <c r="AW1371" s="10"/>
      <c r="AX1371" s="10"/>
      <c r="AY1371" s="10"/>
      <c r="AZ1371" s="10"/>
      <c r="BA1371" s="10"/>
      <c r="BB1371" s="10"/>
      <c r="BC1371" s="10"/>
      <c r="BD1371" s="10"/>
      <c r="BE1371" s="10"/>
      <c r="BF1371" s="10"/>
      <c r="BG1371" s="10"/>
      <c r="BH1371" s="10"/>
      <c r="BI1371" s="10"/>
      <c r="BJ1371" s="10"/>
      <c r="BK1371" s="10"/>
      <c r="BM1371" s="10"/>
    </row>
    <row r="1372" spans="1:65" ht="12.75">
      <c r="A1372" s="9"/>
      <c r="B1372" s="10"/>
      <c r="C1372" s="11"/>
      <c r="D1372" s="12"/>
      <c r="E1372" s="10"/>
      <c r="F1372" s="10"/>
      <c r="G1372" s="10"/>
      <c r="H1372" s="14"/>
      <c r="I1372" s="14"/>
      <c r="J1372" s="14"/>
      <c r="K1372" s="14"/>
      <c r="L1372" s="14"/>
      <c r="M1372" s="15"/>
      <c r="N1372" s="10"/>
      <c r="O1372" s="14"/>
      <c r="P1372" s="14"/>
      <c r="Q1372" s="14"/>
      <c r="R1372" s="14"/>
      <c r="S1372" s="14"/>
      <c r="T1372" s="14"/>
      <c r="U1372" s="14"/>
      <c r="V1372" s="14">
        <f t="shared" si="1602"/>
        <v>1900</v>
      </c>
      <c r="W1372" s="14">
        <f t="shared" si="1603"/>
        <v>1</v>
      </c>
      <c r="X1372" s="14"/>
      <c r="Y1372" s="14"/>
      <c r="Z1372" s="14"/>
      <c r="AA1372" s="16" t="str">
        <f t="shared" ca="1" si="1613"/>
        <v>Johnson &amp; Johnson</v>
      </c>
      <c r="AB1372" s="16">
        <f t="shared" si="1613"/>
        <v>0</v>
      </c>
      <c r="AC1372" s="16">
        <f t="shared" si="1613"/>
        <v>0</v>
      </c>
      <c r="AD1372" s="16">
        <f t="shared" si="1613"/>
        <v>0</v>
      </c>
      <c r="AE1372" s="16">
        <f t="shared" si="1613"/>
        <v>0</v>
      </c>
      <c r="AF1372" s="16">
        <f t="shared" si="1613"/>
        <v>0</v>
      </c>
      <c r="AG1372" s="16">
        <f t="shared" si="1613"/>
        <v>0</v>
      </c>
      <c r="AH1372" s="16">
        <f t="shared" si="1613"/>
        <v>0</v>
      </c>
      <c r="AI1372" s="16">
        <f t="shared" si="1613"/>
        <v>0</v>
      </c>
      <c r="AJ1372" s="16">
        <f t="shared" si="1613"/>
        <v>0</v>
      </c>
      <c r="AK1372" s="16">
        <f t="shared" si="1613"/>
        <v>0</v>
      </c>
      <c r="AL1372" s="16">
        <f t="shared" si="1613"/>
        <v>0</v>
      </c>
      <c r="AM1372" s="16">
        <f t="shared" si="1613"/>
        <v>0</v>
      </c>
      <c r="AN1372" s="16">
        <f t="shared" si="1613"/>
        <v>0</v>
      </c>
      <c r="AO1372" s="16">
        <f t="shared" si="1613"/>
        <v>0</v>
      </c>
      <c r="AP1372" s="10"/>
      <c r="AQ1372" s="10"/>
      <c r="AR1372" s="10"/>
      <c r="AS1372" s="10" t="str">
        <f t="shared" ca="1" si="1606"/>
        <v>Johnson &amp; Johnson</v>
      </c>
      <c r="AT1372" s="10"/>
      <c r="AU1372" s="10"/>
      <c r="AV1372" s="10"/>
      <c r="AW1372" s="10"/>
      <c r="AX1372" s="10"/>
      <c r="AY1372" s="10"/>
      <c r="AZ1372" s="10"/>
      <c r="BA1372" s="10"/>
      <c r="BB1372" s="10"/>
      <c r="BC1372" s="10"/>
      <c r="BD1372" s="10"/>
      <c r="BE1372" s="10"/>
      <c r="BF1372" s="10"/>
      <c r="BG1372" s="10"/>
      <c r="BH1372" s="10"/>
      <c r="BI1372" s="10"/>
      <c r="BJ1372" s="10"/>
      <c r="BK1372" s="10"/>
      <c r="BM1372" s="10"/>
    </row>
    <row r="1373" spans="1:65" ht="12.75">
      <c r="A1373" s="9"/>
      <c r="B1373" s="10"/>
      <c r="C1373" s="11"/>
      <c r="D1373" s="12"/>
      <c r="E1373" s="10"/>
      <c r="F1373" s="10"/>
      <c r="G1373" s="10"/>
      <c r="H1373" s="14"/>
      <c r="I1373" s="14"/>
      <c r="J1373" s="14"/>
      <c r="K1373" s="14"/>
      <c r="L1373" s="14"/>
      <c r="M1373" s="15"/>
      <c r="N1373" s="10"/>
      <c r="O1373" s="14"/>
      <c r="P1373" s="14"/>
      <c r="Q1373" s="14"/>
      <c r="R1373" s="14"/>
      <c r="S1373" s="14"/>
      <c r="T1373" s="14"/>
      <c r="U1373" s="14"/>
      <c r="V1373" s="14">
        <f t="shared" si="1602"/>
        <v>1900</v>
      </c>
      <c r="W1373" s="14">
        <f t="shared" si="1603"/>
        <v>1</v>
      </c>
      <c r="X1373" s="14"/>
      <c r="Y1373" s="14"/>
      <c r="Z1373" s="14"/>
      <c r="AA1373" s="16" t="str">
        <f t="shared" ca="1" si="1613"/>
        <v>Johnson &amp; Johnson</v>
      </c>
      <c r="AB1373" s="16">
        <f t="shared" si="1613"/>
        <v>0</v>
      </c>
      <c r="AC1373" s="16">
        <f t="shared" si="1613"/>
        <v>0</v>
      </c>
      <c r="AD1373" s="16">
        <f t="shared" si="1613"/>
        <v>0</v>
      </c>
      <c r="AE1373" s="16">
        <f t="shared" si="1613"/>
        <v>0</v>
      </c>
      <c r="AF1373" s="16">
        <f t="shared" si="1613"/>
        <v>0</v>
      </c>
      <c r="AG1373" s="16">
        <f t="shared" si="1613"/>
        <v>0</v>
      </c>
      <c r="AH1373" s="16">
        <f t="shared" si="1613"/>
        <v>0</v>
      </c>
      <c r="AI1373" s="16">
        <f t="shared" si="1613"/>
        <v>0</v>
      </c>
      <c r="AJ1373" s="16">
        <f t="shared" si="1613"/>
        <v>0</v>
      </c>
      <c r="AK1373" s="16">
        <f t="shared" si="1613"/>
        <v>0</v>
      </c>
      <c r="AL1373" s="16">
        <f t="shared" si="1613"/>
        <v>0</v>
      </c>
      <c r="AM1373" s="16">
        <f t="shared" si="1613"/>
        <v>0</v>
      </c>
      <c r="AN1373" s="16">
        <f t="shared" si="1613"/>
        <v>0</v>
      </c>
      <c r="AO1373" s="16">
        <f t="shared" si="1613"/>
        <v>0</v>
      </c>
      <c r="AP1373" s="10"/>
      <c r="AQ1373" s="10"/>
      <c r="AR1373" s="10"/>
      <c r="AS1373" s="10" t="str">
        <f t="shared" ca="1" si="1606"/>
        <v>Johnson &amp; Johnson</v>
      </c>
      <c r="AT1373" s="10"/>
      <c r="AU1373" s="10"/>
      <c r="AV1373" s="10"/>
      <c r="AW1373" s="10"/>
      <c r="AX1373" s="10"/>
      <c r="AY1373" s="10"/>
      <c r="AZ1373" s="10"/>
      <c r="BA1373" s="10"/>
      <c r="BB1373" s="10"/>
      <c r="BC1373" s="10"/>
      <c r="BD1373" s="10"/>
      <c r="BE1373" s="10"/>
      <c r="BF1373" s="10"/>
      <c r="BG1373" s="10"/>
      <c r="BH1373" s="10"/>
      <c r="BI1373" s="10"/>
      <c r="BJ1373" s="10"/>
      <c r="BK1373" s="10"/>
      <c r="BM1373" s="10"/>
    </row>
    <row r="1374" spans="1:65" ht="12.75">
      <c r="A1374" s="9"/>
      <c r="B1374" s="10"/>
      <c r="C1374" s="11"/>
      <c r="D1374" s="12"/>
      <c r="E1374" s="10"/>
      <c r="F1374" s="10"/>
      <c r="G1374" s="10"/>
      <c r="H1374" s="14"/>
      <c r="I1374" s="14"/>
      <c r="J1374" s="14"/>
      <c r="K1374" s="14"/>
      <c r="L1374" s="14"/>
      <c r="M1374" s="15"/>
      <c r="N1374" s="10"/>
      <c r="O1374" s="14"/>
      <c r="P1374" s="14"/>
      <c r="Q1374" s="14"/>
      <c r="R1374" s="14"/>
      <c r="S1374" s="14"/>
      <c r="T1374" s="14"/>
      <c r="U1374" s="14"/>
      <c r="V1374" s="14">
        <f t="shared" si="1602"/>
        <v>1900</v>
      </c>
      <c r="W1374" s="14">
        <f t="shared" si="1603"/>
        <v>1</v>
      </c>
      <c r="X1374" s="14"/>
      <c r="Y1374" s="14"/>
      <c r="Z1374" s="14"/>
      <c r="AA1374" s="16" t="str">
        <f t="shared" ca="1" si="1613"/>
        <v>Johnson &amp; Johnson</v>
      </c>
      <c r="AB1374" s="16">
        <f t="shared" si="1613"/>
        <v>0</v>
      </c>
      <c r="AC1374" s="16">
        <f t="shared" si="1613"/>
        <v>0</v>
      </c>
      <c r="AD1374" s="16">
        <f t="shared" si="1613"/>
        <v>0</v>
      </c>
      <c r="AE1374" s="16">
        <f t="shared" si="1613"/>
        <v>0</v>
      </c>
      <c r="AF1374" s="16">
        <f t="shared" si="1613"/>
        <v>0</v>
      </c>
      <c r="AG1374" s="16">
        <f t="shared" si="1613"/>
        <v>0</v>
      </c>
      <c r="AH1374" s="16">
        <f t="shared" si="1613"/>
        <v>0</v>
      </c>
      <c r="AI1374" s="16">
        <f t="shared" si="1613"/>
        <v>0</v>
      </c>
      <c r="AJ1374" s="16">
        <f t="shared" si="1613"/>
        <v>0</v>
      </c>
      <c r="AK1374" s="16">
        <f t="shared" si="1613"/>
        <v>0</v>
      </c>
      <c r="AL1374" s="16">
        <f t="shared" si="1613"/>
        <v>0</v>
      </c>
      <c r="AM1374" s="16">
        <f t="shared" si="1613"/>
        <v>0</v>
      </c>
      <c r="AN1374" s="16">
        <f t="shared" si="1613"/>
        <v>0</v>
      </c>
      <c r="AO1374" s="16">
        <f t="shared" si="1613"/>
        <v>0</v>
      </c>
      <c r="AP1374" s="10"/>
      <c r="AQ1374" s="10"/>
      <c r="AR1374" s="10"/>
      <c r="AS1374" s="10" t="str">
        <f t="shared" ca="1" si="1606"/>
        <v>Johnson &amp; Johnson</v>
      </c>
      <c r="AT1374" s="10"/>
      <c r="AU1374" s="10"/>
      <c r="AV1374" s="10"/>
      <c r="AW1374" s="10"/>
      <c r="AX1374" s="10"/>
      <c r="AY1374" s="10"/>
      <c r="AZ1374" s="10"/>
      <c r="BA1374" s="10"/>
      <c r="BB1374" s="10"/>
      <c r="BC1374" s="10"/>
      <c r="BD1374" s="10"/>
      <c r="BE1374" s="10"/>
      <c r="BF1374" s="10"/>
      <c r="BG1374" s="10"/>
      <c r="BH1374" s="10"/>
      <c r="BI1374" s="10"/>
      <c r="BJ1374" s="10"/>
      <c r="BK1374" s="10"/>
      <c r="BM1374" s="10"/>
    </row>
    <row r="1375" spans="1:65" ht="12.75">
      <c r="A1375" s="9"/>
      <c r="B1375" s="10"/>
      <c r="C1375" s="11"/>
      <c r="D1375" s="12"/>
      <c r="E1375" s="10"/>
      <c r="F1375" s="10"/>
      <c r="G1375" s="10"/>
      <c r="H1375" s="14"/>
      <c r="I1375" s="14"/>
      <c r="J1375" s="14"/>
      <c r="K1375" s="14"/>
      <c r="L1375" s="14"/>
      <c r="M1375" s="15"/>
      <c r="N1375" s="10"/>
      <c r="O1375" s="14"/>
      <c r="P1375" s="14"/>
      <c r="Q1375" s="14"/>
      <c r="R1375" s="14"/>
      <c r="S1375" s="14"/>
      <c r="T1375" s="14"/>
      <c r="U1375" s="14"/>
      <c r="V1375" s="14">
        <f t="shared" si="1602"/>
        <v>1900</v>
      </c>
      <c r="W1375" s="14">
        <f t="shared" si="1603"/>
        <v>1</v>
      </c>
      <c r="X1375" s="14"/>
      <c r="Y1375" s="14"/>
      <c r="Z1375" s="14"/>
      <c r="AA1375" s="16" t="str">
        <f t="shared" ca="1" si="1613"/>
        <v>Johnson &amp; Johnson</v>
      </c>
      <c r="AB1375" s="16">
        <f t="shared" si="1613"/>
        <v>0</v>
      </c>
      <c r="AC1375" s="16">
        <f t="shared" si="1613"/>
        <v>0</v>
      </c>
      <c r="AD1375" s="16">
        <f t="shared" si="1613"/>
        <v>0</v>
      </c>
      <c r="AE1375" s="16">
        <f t="shared" si="1613"/>
        <v>0</v>
      </c>
      <c r="AF1375" s="16">
        <f t="shared" si="1613"/>
        <v>0</v>
      </c>
      <c r="AG1375" s="16">
        <f t="shared" si="1613"/>
        <v>0</v>
      </c>
      <c r="AH1375" s="16">
        <f t="shared" si="1613"/>
        <v>0</v>
      </c>
      <c r="AI1375" s="16">
        <f t="shared" si="1613"/>
        <v>0</v>
      </c>
      <c r="AJ1375" s="16">
        <f t="shared" si="1613"/>
        <v>0</v>
      </c>
      <c r="AK1375" s="16">
        <f t="shared" si="1613"/>
        <v>0</v>
      </c>
      <c r="AL1375" s="16">
        <f t="shared" si="1613"/>
        <v>0</v>
      </c>
      <c r="AM1375" s="16">
        <f t="shared" si="1613"/>
        <v>0</v>
      </c>
      <c r="AN1375" s="16">
        <f t="shared" si="1613"/>
        <v>0</v>
      </c>
      <c r="AO1375" s="16">
        <f t="shared" si="1613"/>
        <v>0</v>
      </c>
      <c r="AP1375" s="10"/>
      <c r="AQ1375" s="10"/>
      <c r="AR1375" s="10"/>
      <c r="AS1375" s="10" t="str">
        <f t="shared" ca="1" si="1606"/>
        <v>Johnson &amp; Johnson</v>
      </c>
      <c r="AT1375" s="10"/>
      <c r="AU1375" s="10"/>
      <c r="AV1375" s="10"/>
      <c r="AW1375" s="10"/>
      <c r="AX1375" s="10"/>
      <c r="AY1375" s="10"/>
      <c r="AZ1375" s="10"/>
      <c r="BA1375" s="10"/>
      <c r="BB1375" s="10"/>
      <c r="BC1375" s="10"/>
      <c r="BD1375" s="10"/>
      <c r="BE1375" s="10"/>
      <c r="BF1375" s="10"/>
      <c r="BG1375" s="10"/>
      <c r="BH1375" s="10"/>
      <c r="BI1375" s="10"/>
      <c r="BJ1375" s="10"/>
      <c r="BK1375" s="10"/>
      <c r="BM1375" s="10"/>
    </row>
    <row r="1376" spans="1:65" ht="12.75">
      <c r="A1376" s="9"/>
      <c r="B1376" s="10"/>
      <c r="C1376" s="11"/>
      <c r="D1376" s="12"/>
      <c r="E1376" s="10"/>
      <c r="F1376" s="10"/>
      <c r="G1376" s="10"/>
      <c r="H1376" s="14"/>
      <c r="I1376" s="14"/>
      <c r="J1376" s="14"/>
      <c r="K1376" s="14"/>
      <c r="L1376" s="14"/>
      <c r="M1376" s="15"/>
      <c r="N1376" s="10"/>
      <c r="O1376" s="14"/>
      <c r="P1376" s="14"/>
      <c r="Q1376" s="14"/>
      <c r="R1376" s="14"/>
      <c r="S1376" s="14"/>
      <c r="T1376" s="14"/>
      <c r="U1376" s="14"/>
      <c r="V1376" s="14">
        <f t="shared" si="1602"/>
        <v>1900</v>
      </c>
      <c r="W1376" s="14">
        <f t="shared" si="1603"/>
        <v>1</v>
      </c>
      <c r="X1376" s="14"/>
      <c r="Y1376" s="14"/>
      <c r="Z1376" s="14"/>
      <c r="AA1376" s="16" t="str">
        <f t="shared" ca="1" si="1613"/>
        <v>Johnson &amp; Johnson</v>
      </c>
      <c r="AB1376" s="16">
        <f t="shared" si="1613"/>
        <v>0</v>
      </c>
      <c r="AC1376" s="16">
        <f t="shared" si="1613"/>
        <v>0</v>
      </c>
      <c r="AD1376" s="16">
        <f t="shared" si="1613"/>
        <v>0</v>
      </c>
      <c r="AE1376" s="16">
        <f t="shared" si="1613"/>
        <v>0</v>
      </c>
      <c r="AF1376" s="16">
        <f t="shared" si="1613"/>
        <v>0</v>
      </c>
      <c r="AG1376" s="16">
        <f t="shared" si="1613"/>
        <v>0</v>
      </c>
      <c r="AH1376" s="16">
        <f t="shared" si="1613"/>
        <v>0</v>
      </c>
      <c r="AI1376" s="16">
        <f t="shared" si="1613"/>
        <v>0</v>
      </c>
      <c r="AJ1376" s="16">
        <f t="shared" si="1613"/>
        <v>0</v>
      </c>
      <c r="AK1376" s="16">
        <f t="shared" si="1613"/>
        <v>0</v>
      </c>
      <c r="AL1376" s="16">
        <f t="shared" si="1613"/>
        <v>0</v>
      </c>
      <c r="AM1376" s="16">
        <f t="shared" si="1613"/>
        <v>0</v>
      </c>
      <c r="AN1376" s="16">
        <f t="shared" si="1613"/>
        <v>0</v>
      </c>
      <c r="AO1376" s="16">
        <f t="shared" si="1613"/>
        <v>0</v>
      </c>
      <c r="AP1376" s="10"/>
      <c r="AQ1376" s="10"/>
      <c r="AR1376" s="10"/>
      <c r="AS1376" s="10" t="str">
        <f t="shared" ca="1" si="1606"/>
        <v>Johnson &amp; Johnson</v>
      </c>
      <c r="AT1376" s="10"/>
      <c r="AU1376" s="10"/>
      <c r="AV1376" s="10"/>
      <c r="AW1376" s="10"/>
      <c r="AX1376" s="10"/>
      <c r="AY1376" s="10"/>
      <c r="AZ1376" s="10"/>
      <c r="BA1376" s="10"/>
      <c r="BB1376" s="10"/>
      <c r="BC1376" s="10"/>
      <c r="BD1376" s="10"/>
      <c r="BE1376" s="10"/>
      <c r="BF1376" s="10"/>
      <c r="BG1376" s="10"/>
      <c r="BH1376" s="10"/>
      <c r="BI1376" s="10"/>
      <c r="BJ1376" s="10"/>
      <c r="BK1376" s="10"/>
      <c r="BM1376" s="10"/>
    </row>
    <row r="1377" spans="1:65" ht="12.75">
      <c r="A1377" s="9"/>
      <c r="B1377" s="10"/>
      <c r="C1377" s="11"/>
      <c r="D1377" s="12"/>
      <c r="E1377" s="10"/>
      <c r="F1377" s="10"/>
      <c r="G1377" s="10"/>
      <c r="H1377" s="14"/>
      <c r="I1377" s="14"/>
      <c r="J1377" s="14"/>
      <c r="K1377" s="14"/>
      <c r="L1377" s="14"/>
      <c r="M1377" s="15"/>
      <c r="N1377" s="10"/>
      <c r="O1377" s="14"/>
      <c r="P1377" s="14"/>
      <c r="Q1377" s="14"/>
      <c r="R1377" s="14"/>
      <c r="S1377" s="14"/>
      <c r="T1377" s="14"/>
      <c r="U1377" s="14"/>
      <c r="V1377" s="14">
        <f t="shared" si="1602"/>
        <v>1900</v>
      </c>
      <c r="W1377" s="14">
        <f t="shared" si="1603"/>
        <v>1</v>
      </c>
      <c r="X1377" s="14"/>
      <c r="Y1377" s="14"/>
      <c r="Z1377" s="14"/>
      <c r="AA1377" s="16" t="str">
        <f t="shared" ca="1" si="1613"/>
        <v>Johnson &amp; Johnson</v>
      </c>
      <c r="AB1377" s="16">
        <f t="shared" si="1613"/>
        <v>0</v>
      </c>
      <c r="AC1377" s="16">
        <f t="shared" si="1613"/>
        <v>0</v>
      </c>
      <c r="AD1377" s="16">
        <f t="shared" si="1613"/>
        <v>0</v>
      </c>
      <c r="AE1377" s="16">
        <f t="shared" si="1613"/>
        <v>0</v>
      </c>
      <c r="AF1377" s="16">
        <f t="shared" si="1613"/>
        <v>0</v>
      </c>
      <c r="AG1377" s="16">
        <f t="shared" si="1613"/>
        <v>0</v>
      </c>
      <c r="AH1377" s="16">
        <f t="shared" si="1613"/>
        <v>0</v>
      </c>
      <c r="AI1377" s="16">
        <f t="shared" si="1613"/>
        <v>0</v>
      </c>
      <c r="AJ1377" s="16">
        <f t="shared" si="1613"/>
        <v>0</v>
      </c>
      <c r="AK1377" s="16">
        <f t="shared" si="1613"/>
        <v>0</v>
      </c>
      <c r="AL1377" s="16">
        <f t="shared" si="1613"/>
        <v>0</v>
      </c>
      <c r="AM1377" s="16">
        <f t="shared" si="1613"/>
        <v>0</v>
      </c>
      <c r="AN1377" s="16">
        <f t="shared" si="1613"/>
        <v>0</v>
      </c>
      <c r="AO1377" s="16">
        <f t="shared" si="1613"/>
        <v>0</v>
      </c>
      <c r="AP1377" s="10"/>
      <c r="AQ1377" s="10"/>
      <c r="AR1377" s="10"/>
      <c r="AS1377" s="10" t="str">
        <f t="shared" ca="1" si="1606"/>
        <v>Johnson &amp; Johnson</v>
      </c>
      <c r="AT1377" s="10"/>
      <c r="AU1377" s="10"/>
      <c r="AV1377" s="10"/>
      <c r="AW1377" s="10"/>
      <c r="AX1377" s="10"/>
      <c r="AY1377" s="10"/>
      <c r="AZ1377" s="10"/>
      <c r="BA1377" s="10"/>
      <c r="BB1377" s="10"/>
      <c r="BC1377" s="10"/>
      <c r="BD1377" s="10"/>
      <c r="BE1377" s="10"/>
      <c r="BF1377" s="10"/>
      <c r="BG1377" s="10"/>
      <c r="BH1377" s="10"/>
      <c r="BI1377" s="10"/>
      <c r="BJ1377" s="10"/>
      <c r="BK1377" s="10"/>
      <c r="BM1377" s="10"/>
    </row>
    <row r="1378" spans="1:65" ht="12.75">
      <c r="A1378" s="9"/>
      <c r="B1378" s="10"/>
      <c r="C1378" s="11"/>
      <c r="D1378" s="12"/>
      <c r="E1378" s="10"/>
      <c r="F1378" s="10"/>
      <c r="G1378" s="10"/>
      <c r="H1378" s="14"/>
      <c r="I1378" s="14"/>
      <c r="J1378" s="14"/>
      <c r="K1378" s="14"/>
      <c r="L1378" s="14"/>
      <c r="M1378" s="15"/>
      <c r="N1378" s="10"/>
      <c r="O1378" s="14"/>
      <c r="P1378" s="14"/>
      <c r="Q1378" s="14"/>
      <c r="R1378" s="14"/>
      <c r="S1378" s="14"/>
      <c r="T1378" s="14"/>
      <c r="U1378" s="14"/>
      <c r="V1378" s="14">
        <f t="shared" si="1602"/>
        <v>1900</v>
      </c>
      <c r="W1378" s="14">
        <f t="shared" si="1603"/>
        <v>1</v>
      </c>
      <c r="X1378" s="14"/>
      <c r="Y1378" s="14"/>
      <c r="Z1378" s="14"/>
      <c r="AA1378" s="16" t="str">
        <f t="shared" ca="1" si="1613"/>
        <v>Johnson &amp; Johnson</v>
      </c>
      <c r="AB1378" s="16">
        <f t="shared" si="1613"/>
        <v>0</v>
      </c>
      <c r="AC1378" s="16">
        <f t="shared" si="1613"/>
        <v>0</v>
      </c>
      <c r="AD1378" s="16">
        <f t="shared" si="1613"/>
        <v>0</v>
      </c>
      <c r="AE1378" s="16">
        <f t="shared" si="1613"/>
        <v>0</v>
      </c>
      <c r="AF1378" s="16">
        <f t="shared" si="1613"/>
        <v>0</v>
      </c>
      <c r="AG1378" s="16">
        <f t="shared" si="1613"/>
        <v>0</v>
      </c>
      <c r="AH1378" s="16">
        <f t="shared" si="1613"/>
        <v>0</v>
      </c>
      <c r="AI1378" s="16">
        <f t="shared" si="1613"/>
        <v>0</v>
      </c>
      <c r="AJ1378" s="16">
        <f t="shared" si="1613"/>
        <v>0</v>
      </c>
      <c r="AK1378" s="16">
        <f t="shared" si="1613"/>
        <v>0</v>
      </c>
      <c r="AL1378" s="16">
        <f t="shared" si="1613"/>
        <v>0</v>
      </c>
      <c r="AM1378" s="16">
        <f t="shared" si="1613"/>
        <v>0</v>
      </c>
      <c r="AN1378" s="16">
        <f t="shared" si="1613"/>
        <v>0</v>
      </c>
      <c r="AO1378" s="16">
        <f t="shared" si="1613"/>
        <v>0</v>
      </c>
      <c r="AP1378" s="10"/>
      <c r="AQ1378" s="10"/>
      <c r="AR1378" s="10"/>
      <c r="AS1378" s="10" t="str">
        <f t="shared" ca="1" si="1606"/>
        <v>Johnson &amp; Johnson</v>
      </c>
      <c r="AT1378" s="10"/>
      <c r="AU1378" s="10"/>
      <c r="AV1378" s="10"/>
      <c r="AW1378" s="10"/>
      <c r="AX1378" s="10"/>
      <c r="AY1378" s="10"/>
      <c r="AZ1378" s="10"/>
      <c r="BA1378" s="10"/>
      <c r="BB1378" s="10"/>
      <c r="BC1378" s="10"/>
      <c r="BD1378" s="10"/>
      <c r="BE1378" s="10"/>
      <c r="BF1378" s="10"/>
      <c r="BG1378" s="10"/>
      <c r="BH1378" s="10"/>
      <c r="BI1378" s="10"/>
      <c r="BJ1378" s="10"/>
      <c r="BK1378" s="10"/>
      <c r="BM1378" s="10"/>
    </row>
    <row r="1379" spans="1:65" ht="12.75">
      <c r="A1379" s="9"/>
      <c r="B1379" s="10"/>
      <c r="C1379" s="11"/>
      <c r="D1379" s="12"/>
      <c r="E1379" s="10"/>
      <c r="F1379" s="10"/>
      <c r="G1379" s="10"/>
      <c r="H1379" s="14"/>
      <c r="I1379" s="14"/>
      <c r="J1379" s="14"/>
      <c r="K1379" s="14"/>
      <c r="L1379" s="14"/>
      <c r="M1379" s="15"/>
      <c r="N1379" s="10"/>
      <c r="O1379" s="14"/>
      <c r="P1379" s="14"/>
      <c r="Q1379" s="14"/>
      <c r="R1379" s="14"/>
      <c r="S1379" s="14"/>
      <c r="T1379" s="14"/>
      <c r="U1379" s="14"/>
      <c r="V1379" s="14">
        <f t="shared" si="1602"/>
        <v>1900</v>
      </c>
      <c r="W1379" s="14">
        <f t="shared" si="1603"/>
        <v>1</v>
      </c>
      <c r="X1379" s="14"/>
      <c r="Y1379" s="14"/>
      <c r="Z1379" s="14"/>
      <c r="AA1379" s="16" t="str">
        <f t="shared" ca="1" si="1613"/>
        <v>Johnson &amp; Johnson</v>
      </c>
      <c r="AB1379" s="16">
        <f t="shared" si="1613"/>
        <v>0</v>
      </c>
      <c r="AC1379" s="16">
        <f t="shared" si="1613"/>
        <v>0</v>
      </c>
      <c r="AD1379" s="16">
        <f t="shared" si="1613"/>
        <v>0</v>
      </c>
      <c r="AE1379" s="16">
        <f t="shared" si="1613"/>
        <v>0</v>
      </c>
      <c r="AF1379" s="16">
        <f t="shared" si="1613"/>
        <v>0</v>
      </c>
      <c r="AG1379" s="16">
        <f t="shared" si="1613"/>
        <v>0</v>
      </c>
      <c r="AH1379" s="16">
        <f t="shared" si="1613"/>
        <v>0</v>
      </c>
      <c r="AI1379" s="16">
        <f t="shared" si="1613"/>
        <v>0</v>
      </c>
      <c r="AJ1379" s="16">
        <f t="shared" si="1613"/>
        <v>0</v>
      </c>
      <c r="AK1379" s="16">
        <f t="shared" si="1613"/>
        <v>0</v>
      </c>
      <c r="AL1379" s="16">
        <f t="shared" si="1613"/>
        <v>0</v>
      </c>
      <c r="AM1379" s="16">
        <f t="shared" si="1613"/>
        <v>0</v>
      </c>
      <c r="AN1379" s="16">
        <f t="shared" si="1613"/>
        <v>0</v>
      </c>
      <c r="AO1379" s="16">
        <f t="shared" si="1613"/>
        <v>0</v>
      </c>
      <c r="AP1379" s="10"/>
      <c r="AQ1379" s="10"/>
      <c r="AR1379" s="10"/>
      <c r="AS1379" s="10" t="str">
        <f t="shared" ca="1" si="1606"/>
        <v>Johnson &amp; Johnson</v>
      </c>
      <c r="AT1379" s="10"/>
      <c r="AU1379" s="10"/>
      <c r="AV1379" s="10"/>
      <c r="AW1379" s="10"/>
      <c r="AX1379" s="10"/>
      <c r="AY1379" s="10"/>
      <c r="AZ1379" s="10"/>
      <c r="BA1379" s="10"/>
      <c r="BB1379" s="10"/>
      <c r="BC1379" s="10"/>
      <c r="BD1379" s="10"/>
      <c r="BE1379" s="10"/>
      <c r="BF1379" s="10"/>
      <c r="BG1379" s="10"/>
      <c r="BH1379" s="10"/>
      <c r="BI1379" s="10"/>
      <c r="BJ1379" s="10"/>
      <c r="BK1379" s="10"/>
      <c r="BM1379" s="10"/>
    </row>
    <row r="1380" spans="1:65" ht="12.75">
      <c r="A1380" s="9"/>
      <c r="B1380" s="10"/>
      <c r="C1380" s="11"/>
      <c r="D1380" s="12"/>
      <c r="E1380" s="10"/>
      <c r="F1380" s="10"/>
      <c r="G1380" s="10"/>
      <c r="H1380" s="14"/>
      <c r="I1380" s="14"/>
      <c r="J1380" s="14"/>
      <c r="K1380" s="14"/>
      <c r="L1380" s="14"/>
      <c r="M1380" s="15"/>
      <c r="N1380" s="10"/>
      <c r="O1380" s="14"/>
      <c r="P1380" s="14"/>
      <c r="Q1380" s="14"/>
      <c r="R1380" s="14"/>
      <c r="S1380" s="14"/>
      <c r="T1380" s="14"/>
      <c r="U1380" s="14"/>
      <c r="V1380" s="14">
        <f t="shared" si="1602"/>
        <v>1900</v>
      </c>
      <c r="W1380" s="14">
        <f t="shared" si="1603"/>
        <v>1</v>
      </c>
      <c r="X1380" s="14"/>
      <c r="Y1380" s="14"/>
      <c r="Z1380" s="14"/>
      <c r="AA1380" s="16" t="str">
        <f t="shared" ca="1" si="1613"/>
        <v>Johnson &amp; Johnson</v>
      </c>
      <c r="AB1380" s="16">
        <f t="shared" si="1613"/>
        <v>0</v>
      </c>
      <c r="AC1380" s="16">
        <f t="shared" si="1613"/>
        <v>0</v>
      </c>
      <c r="AD1380" s="16">
        <f t="shared" si="1613"/>
        <v>0</v>
      </c>
      <c r="AE1380" s="16">
        <f t="shared" si="1613"/>
        <v>0</v>
      </c>
      <c r="AF1380" s="16">
        <f t="shared" si="1613"/>
        <v>0</v>
      </c>
      <c r="AG1380" s="16">
        <f t="shared" si="1613"/>
        <v>0</v>
      </c>
      <c r="AH1380" s="16">
        <f t="shared" si="1613"/>
        <v>0</v>
      </c>
      <c r="AI1380" s="16">
        <f t="shared" si="1613"/>
        <v>0</v>
      </c>
      <c r="AJ1380" s="16">
        <f t="shared" si="1613"/>
        <v>0</v>
      </c>
      <c r="AK1380" s="16">
        <f t="shared" si="1613"/>
        <v>0</v>
      </c>
      <c r="AL1380" s="16">
        <f t="shared" si="1613"/>
        <v>0</v>
      </c>
      <c r="AM1380" s="16">
        <f t="shared" si="1613"/>
        <v>0</v>
      </c>
      <c r="AN1380" s="16">
        <f t="shared" si="1613"/>
        <v>0</v>
      </c>
      <c r="AO1380" s="16">
        <f t="shared" si="1613"/>
        <v>0</v>
      </c>
      <c r="AP1380" s="10"/>
      <c r="AQ1380" s="10"/>
      <c r="AR1380" s="10"/>
      <c r="AS1380" s="10" t="str">
        <f t="shared" ca="1" si="1606"/>
        <v>Johnson &amp; Johnson</v>
      </c>
      <c r="AT1380" s="10"/>
      <c r="AU1380" s="10"/>
      <c r="AV1380" s="10"/>
      <c r="AW1380" s="10"/>
      <c r="AX1380" s="10"/>
      <c r="AY1380" s="10"/>
      <c r="AZ1380" s="10"/>
      <c r="BA1380" s="10"/>
      <c r="BB1380" s="10"/>
      <c r="BC1380" s="10"/>
      <c r="BD1380" s="10"/>
      <c r="BE1380" s="10"/>
      <c r="BF1380" s="10"/>
      <c r="BG1380" s="10"/>
      <c r="BH1380" s="10"/>
      <c r="BI1380" s="10"/>
      <c r="BJ1380" s="10"/>
      <c r="BK1380" s="10"/>
      <c r="BM1380" s="10"/>
    </row>
    <row r="1381" spans="1:65" ht="12.75">
      <c r="A1381" s="9"/>
      <c r="B1381" s="10"/>
      <c r="C1381" s="11"/>
      <c r="D1381" s="12"/>
      <c r="E1381" s="10"/>
      <c r="F1381" s="10"/>
      <c r="G1381" s="10"/>
      <c r="H1381" s="14"/>
      <c r="I1381" s="14"/>
      <c r="J1381" s="14"/>
      <c r="K1381" s="14"/>
      <c r="L1381" s="14"/>
      <c r="M1381" s="15"/>
      <c r="N1381" s="10"/>
      <c r="O1381" s="14"/>
      <c r="P1381" s="14"/>
      <c r="Q1381" s="14"/>
      <c r="R1381" s="14"/>
      <c r="S1381" s="14"/>
      <c r="T1381" s="14"/>
      <c r="U1381" s="14"/>
      <c r="V1381" s="14">
        <f t="shared" si="1602"/>
        <v>1900</v>
      </c>
      <c r="W1381" s="14">
        <f t="shared" si="1603"/>
        <v>1</v>
      </c>
      <c r="X1381" s="14"/>
      <c r="Y1381" s="14"/>
      <c r="Z1381" s="14"/>
      <c r="AA1381" s="16" t="str">
        <f t="shared" ca="1" si="1613"/>
        <v>Johnson &amp; Johnson</v>
      </c>
      <c r="AB1381" s="16">
        <f t="shared" si="1613"/>
        <v>0</v>
      </c>
      <c r="AC1381" s="16">
        <f t="shared" si="1613"/>
        <v>0</v>
      </c>
      <c r="AD1381" s="16">
        <f t="shared" si="1613"/>
        <v>0</v>
      </c>
      <c r="AE1381" s="16">
        <f t="shared" si="1613"/>
        <v>0</v>
      </c>
      <c r="AF1381" s="16">
        <f t="shared" si="1613"/>
        <v>0</v>
      </c>
      <c r="AG1381" s="16">
        <f t="shared" si="1613"/>
        <v>0</v>
      </c>
      <c r="AH1381" s="16">
        <f t="shared" si="1613"/>
        <v>0</v>
      </c>
      <c r="AI1381" s="16">
        <f t="shared" si="1613"/>
        <v>0</v>
      </c>
      <c r="AJ1381" s="16">
        <f t="shared" si="1613"/>
        <v>0</v>
      </c>
      <c r="AK1381" s="16">
        <f t="shared" si="1613"/>
        <v>0</v>
      </c>
      <c r="AL1381" s="16">
        <f t="shared" si="1613"/>
        <v>0</v>
      </c>
      <c r="AM1381" s="16">
        <f t="shared" si="1613"/>
        <v>0</v>
      </c>
      <c r="AN1381" s="16">
        <f t="shared" si="1613"/>
        <v>0</v>
      </c>
      <c r="AO1381" s="16">
        <f t="shared" si="1613"/>
        <v>0</v>
      </c>
      <c r="AP1381" s="10"/>
      <c r="AQ1381" s="10"/>
      <c r="AR1381" s="10"/>
      <c r="AS1381" s="10" t="str">
        <f t="shared" ca="1" si="1606"/>
        <v>Johnson &amp; Johnson</v>
      </c>
      <c r="AT1381" s="10"/>
      <c r="AU1381" s="10"/>
      <c r="AV1381" s="10"/>
      <c r="AW1381" s="10"/>
      <c r="AX1381" s="10"/>
      <c r="AY1381" s="10"/>
      <c r="AZ1381" s="10"/>
      <c r="BA1381" s="10"/>
      <c r="BB1381" s="10"/>
      <c r="BC1381" s="10"/>
      <c r="BD1381" s="10"/>
      <c r="BE1381" s="10"/>
      <c r="BF1381" s="10"/>
      <c r="BG1381" s="10"/>
      <c r="BH1381" s="10"/>
      <c r="BI1381" s="10"/>
      <c r="BJ1381" s="10"/>
      <c r="BK1381" s="10"/>
      <c r="BM1381" s="10"/>
    </row>
    <row r="1382" spans="1:65" ht="12.75">
      <c r="A1382" s="9"/>
      <c r="B1382" s="10"/>
      <c r="C1382" s="11"/>
      <c r="D1382" s="12"/>
      <c r="E1382" s="10"/>
      <c r="F1382" s="10"/>
      <c r="G1382" s="10"/>
      <c r="H1382" s="14"/>
      <c r="I1382" s="14"/>
      <c r="J1382" s="14"/>
      <c r="K1382" s="14"/>
      <c r="L1382" s="14"/>
      <c r="M1382" s="15"/>
      <c r="N1382" s="10"/>
      <c r="O1382" s="14"/>
      <c r="P1382" s="14"/>
      <c r="Q1382" s="14"/>
      <c r="R1382" s="14"/>
      <c r="S1382" s="14"/>
      <c r="T1382" s="14"/>
      <c r="U1382" s="14"/>
      <c r="V1382" s="14">
        <f t="shared" si="1602"/>
        <v>1900</v>
      </c>
      <c r="W1382" s="14">
        <f t="shared" si="1603"/>
        <v>1</v>
      </c>
      <c r="X1382" s="14"/>
      <c r="Y1382" s="14"/>
      <c r="Z1382" s="14"/>
      <c r="AA1382" s="16" t="str">
        <f t="shared" ca="1" si="1613"/>
        <v>Johnson &amp; Johnson</v>
      </c>
      <c r="AB1382" s="16">
        <f t="shared" si="1613"/>
        <v>0</v>
      </c>
      <c r="AC1382" s="16">
        <f t="shared" si="1613"/>
        <v>0</v>
      </c>
      <c r="AD1382" s="16">
        <f t="shared" si="1613"/>
        <v>0</v>
      </c>
      <c r="AE1382" s="16">
        <f t="shared" si="1613"/>
        <v>0</v>
      </c>
      <c r="AF1382" s="16">
        <f t="shared" si="1613"/>
        <v>0</v>
      </c>
      <c r="AG1382" s="16">
        <f t="shared" si="1613"/>
        <v>0</v>
      </c>
      <c r="AH1382" s="16">
        <f t="shared" si="1613"/>
        <v>0</v>
      </c>
      <c r="AI1382" s="16">
        <f t="shared" si="1613"/>
        <v>0</v>
      </c>
      <c r="AJ1382" s="16">
        <f t="shared" si="1613"/>
        <v>0</v>
      </c>
      <c r="AK1382" s="16">
        <f t="shared" si="1613"/>
        <v>0</v>
      </c>
      <c r="AL1382" s="16">
        <f t="shared" si="1613"/>
        <v>0</v>
      </c>
      <c r="AM1382" s="16">
        <f t="shared" si="1613"/>
        <v>0</v>
      </c>
      <c r="AN1382" s="16">
        <f t="shared" si="1613"/>
        <v>0</v>
      </c>
      <c r="AO1382" s="16">
        <f t="shared" si="1613"/>
        <v>0</v>
      </c>
      <c r="AP1382" s="10"/>
      <c r="AQ1382" s="10"/>
      <c r="AR1382" s="10"/>
      <c r="AS1382" s="10" t="str">
        <f t="shared" ca="1" si="1606"/>
        <v>Johnson &amp; Johnson</v>
      </c>
      <c r="AT1382" s="10"/>
      <c r="AU1382" s="10"/>
      <c r="AV1382" s="10"/>
      <c r="AW1382" s="10"/>
      <c r="AX1382" s="10"/>
      <c r="AY1382" s="10"/>
      <c r="AZ1382" s="10"/>
      <c r="BA1382" s="10"/>
      <c r="BB1382" s="10"/>
      <c r="BC1382" s="10"/>
      <c r="BD1382" s="10"/>
      <c r="BE1382" s="10"/>
      <c r="BF1382" s="10"/>
      <c r="BG1382" s="10"/>
      <c r="BH1382" s="10"/>
      <c r="BI1382" s="10"/>
      <c r="BJ1382" s="10"/>
      <c r="BK1382" s="10"/>
      <c r="BM1382" s="10"/>
    </row>
    <row r="1383" spans="1:65" ht="12.75">
      <c r="A1383" s="9"/>
      <c r="B1383" s="10"/>
      <c r="C1383" s="11"/>
      <c r="D1383" s="12"/>
      <c r="E1383" s="10"/>
      <c r="F1383" s="10"/>
      <c r="G1383" s="10"/>
      <c r="H1383" s="14"/>
      <c r="I1383" s="14"/>
      <c r="J1383" s="14"/>
      <c r="K1383" s="14"/>
      <c r="L1383" s="14"/>
      <c r="M1383" s="15"/>
      <c r="N1383" s="10"/>
      <c r="O1383" s="14"/>
      <c r="P1383" s="14"/>
      <c r="Q1383" s="14"/>
      <c r="R1383" s="14"/>
      <c r="S1383" s="14"/>
      <c r="T1383" s="14"/>
      <c r="U1383" s="14"/>
      <c r="V1383" s="14">
        <f t="shared" si="1602"/>
        <v>1900</v>
      </c>
      <c r="W1383" s="14">
        <f t="shared" si="1603"/>
        <v>1</v>
      </c>
      <c r="X1383" s="14"/>
      <c r="Y1383" s="14"/>
      <c r="Z1383" s="14"/>
      <c r="AA1383" s="16" t="str">
        <f t="shared" ca="1" si="1613"/>
        <v>Johnson &amp; Johnson</v>
      </c>
      <c r="AB1383" s="16">
        <f t="shared" si="1613"/>
        <v>0</v>
      </c>
      <c r="AC1383" s="16">
        <f t="shared" si="1613"/>
        <v>0</v>
      </c>
      <c r="AD1383" s="16">
        <f t="shared" si="1613"/>
        <v>0</v>
      </c>
      <c r="AE1383" s="16">
        <f t="shared" si="1613"/>
        <v>0</v>
      </c>
      <c r="AF1383" s="16">
        <f t="shared" si="1613"/>
        <v>0</v>
      </c>
      <c r="AG1383" s="16">
        <f t="shared" si="1613"/>
        <v>0</v>
      </c>
      <c r="AH1383" s="16">
        <f t="shared" si="1613"/>
        <v>0</v>
      </c>
      <c r="AI1383" s="16">
        <f t="shared" si="1613"/>
        <v>0</v>
      </c>
      <c r="AJ1383" s="16">
        <f t="shared" si="1613"/>
        <v>0</v>
      </c>
      <c r="AK1383" s="16">
        <f t="shared" si="1613"/>
        <v>0</v>
      </c>
      <c r="AL1383" s="16">
        <f t="shared" si="1613"/>
        <v>0</v>
      </c>
      <c r="AM1383" s="16">
        <f t="shared" si="1613"/>
        <v>0</v>
      </c>
      <c r="AN1383" s="16">
        <f t="shared" si="1613"/>
        <v>0</v>
      </c>
      <c r="AO1383" s="16">
        <f t="shared" si="1613"/>
        <v>0</v>
      </c>
      <c r="AP1383" s="10"/>
      <c r="AQ1383" s="10"/>
      <c r="AR1383" s="10"/>
      <c r="AS1383" s="10" t="str">
        <f t="shared" ca="1" si="1606"/>
        <v>Johnson &amp; Johnson</v>
      </c>
      <c r="AT1383" s="10"/>
      <c r="AU1383" s="10"/>
      <c r="AV1383" s="10"/>
      <c r="AW1383" s="10"/>
      <c r="AX1383" s="10"/>
      <c r="AY1383" s="10"/>
      <c r="AZ1383" s="10"/>
      <c r="BA1383" s="10"/>
      <c r="BB1383" s="10"/>
      <c r="BC1383" s="10"/>
      <c r="BD1383" s="10"/>
      <c r="BE1383" s="10"/>
      <c r="BF1383" s="10"/>
      <c r="BG1383" s="10"/>
      <c r="BH1383" s="10"/>
      <c r="BI1383" s="10"/>
      <c r="BJ1383" s="10"/>
      <c r="BK1383" s="10"/>
      <c r="BM1383" s="10"/>
    </row>
    <row r="1384" spans="1:65" ht="12.75">
      <c r="A1384" s="9"/>
      <c r="B1384" s="10"/>
      <c r="C1384" s="11"/>
      <c r="D1384" s="12"/>
      <c r="E1384" s="10"/>
      <c r="F1384" s="10"/>
      <c r="G1384" s="10"/>
      <c r="H1384" s="14"/>
      <c r="I1384" s="14"/>
      <c r="J1384" s="14"/>
      <c r="K1384" s="14"/>
      <c r="L1384" s="14"/>
      <c r="M1384" s="15"/>
      <c r="N1384" s="10"/>
      <c r="O1384" s="14"/>
      <c r="P1384" s="14"/>
      <c r="Q1384" s="14"/>
      <c r="R1384" s="14"/>
      <c r="S1384" s="14"/>
      <c r="T1384" s="14"/>
      <c r="U1384" s="14"/>
      <c r="V1384" s="14">
        <f t="shared" si="1602"/>
        <v>1900</v>
      </c>
      <c r="W1384" s="14">
        <f t="shared" si="1603"/>
        <v>1</v>
      </c>
      <c r="X1384" s="14"/>
      <c r="Y1384" s="14"/>
      <c r="Z1384" s="14"/>
      <c r="AA1384" s="16" t="str">
        <f t="shared" ca="1" si="1613"/>
        <v>Johnson &amp; Johnson</v>
      </c>
      <c r="AB1384" s="16">
        <f t="shared" si="1613"/>
        <v>0</v>
      </c>
      <c r="AC1384" s="16">
        <f t="shared" si="1613"/>
        <v>0</v>
      </c>
      <c r="AD1384" s="16">
        <f t="shared" si="1613"/>
        <v>0</v>
      </c>
      <c r="AE1384" s="16">
        <f t="shared" si="1613"/>
        <v>0</v>
      </c>
      <c r="AF1384" s="16">
        <f t="shared" si="1613"/>
        <v>0</v>
      </c>
      <c r="AG1384" s="16">
        <f t="shared" si="1613"/>
        <v>0</v>
      </c>
      <c r="AH1384" s="16">
        <f t="shared" si="1613"/>
        <v>0</v>
      </c>
      <c r="AI1384" s="16">
        <f t="shared" si="1613"/>
        <v>0</v>
      </c>
      <c r="AJ1384" s="16">
        <f t="shared" si="1613"/>
        <v>0</v>
      </c>
      <c r="AK1384" s="16">
        <f t="shared" si="1613"/>
        <v>0</v>
      </c>
      <c r="AL1384" s="16">
        <f t="shared" si="1613"/>
        <v>0</v>
      </c>
      <c r="AM1384" s="16">
        <f t="shared" si="1613"/>
        <v>0</v>
      </c>
      <c r="AN1384" s="16">
        <f t="shared" si="1613"/>
        <v>0</v>
      </c>
      <c r="AO1384" s="16">
        <f t="shared" si="1613"/>
        <v>0</v>
      </c>
      <c r="AP1384" s="10"/>
      <c r="AQ1384" s="10"/>
      <c r="AR1384" s="10"/>
      <c r="AS1384" s="10" t="str">
        <f t="shared" ca="1" si="1606"/>
        <v>Johnson &amp; Johnson</v>
      </c>
      <c r="AT1384" s="10"/>
      <c r="AU1384" s="10"/>
      <c r="AV1384" s="10"/>
      <c r="AW1384" s="10"/>
      <c r="AX1384" s="10"/>
      <c r="AY1384" s="10"/>
      <c r="AZ1384" s="10"/>
      <c r="BA1384" s="10"/>
      <c r="BB1384" s="10"/>
      <c r="BC1384" s="10"/>
      <c r="BD1384" s="10"/>
      <c r="BE1384" s="10"/>
      <c r="BF1384" s="10"/>
      <c r="BG1384" s="10"/>
      <c r="BH1384" s="10"/>
      <c r="BI1384" s="10"/>
      <c r="BJ1384" s="10"/>
      <c r="BK1384" s="10"/>
      <c r="BM1384" s="10"/>
    </row>
    <row r="1385" spans="1:65" ht="12.75">
      <c r="A1385" s="9"/>
      <c r="B1385" s="10"/>
      <c r="C1385" s="11"/>
      <c r="D1385" s="12"/>
      <c r="E1385" s="10"/>
      <c r="F1385" s="10"/>
      <c r="G1385" s="10"/>
      <c r="H1385" s="14"/>
      <c r="I1385" s="14"/>
      <c r="J1385" s="14"/>
      <c r="K1385" s="14"/>
      <c r="L1385" s="14"/>
      <c r="M1385" s="15"/>
      <c r="N1385" s="10"/>
      <c r="O1385" s="14"/>
      <c r="P1385" s="14"/>
      <c r="Q1385" s="14"/>
      <c r="R1385" s="14"/>
      <c r="S1385" s="14"/>
      <c r="T1385" s="14"/>
      <c r="U1385" s="14"/>
      <c r="V1385" s="14">
        <f t="shared" si="1602"/>
        <v>1900</v>
      </c>
      <c r="W1385" s="14">
        <f t="shared" si="1603"/>
        <v>1</v>
      </c>
      <c r="X1385" s="14"/>
      <c r="Y1385" s="14"/>
      <c r="Z1385" s="14"/>
      <c r="AA1385" s="16" t="str">
        <f t="shared" ref="AA1385:AO1400" ca="1" si="1614">AS1385</f>
        <v>Johnson &amp; Johnson</v>
      </c>
      <c r="AB1385" s="16">
        <f t="shared" si="1614"/>
        <v>0</v>
      </c>
      <c r="AC1385" s="16">
        <f t="shared" si="1614"/>
        <v>0</v>
      </c>
      <c r="AD1385" s="16">
        <f t="shared" si="1614"/>
        <v>0</v>
      </c>
      <c r="AE1385" s="16">
        <f t="shared" si="1614"/>
        <v>0</v>
      </c>
      <c r="AF1385" s="16">
        <f t="shared" si="1614"/>
        <v>0</v>
      </c>
      <c r="AG1385" s="16">
        <f t="shared" si="1614"/>
        <v>0</v>
      </c>
      <c r="AH1385" s="16">
        <f t="shared" si="1614"/>
        <v>0</v>
      </c>
      <c r="AI1385" s="16">
        <f t="shared" si="1614"/>
        <v>0</v>
      </c>
      <c r="AJ1385" s="16">
        <f t="shared" si="1614"/>
        <v>0</v>
      </c>
      <c r="AK1385" s="16">
        <f t="shared" si="1614"/>
        <v>0</v>
      </c>
      <c r="AL1385" s="16">
        <f t="shared" si="1614"/>
        <v>0</v>
      </c>
      <c r="AM1385" s="16">
        <f t="shared" si="1614"/>
        <v>0</v>
      </c>
      <c r="AN1385" s="16">
        <f t="shared" si="1614"/>
        <v>0</v>
      </c>
      <c r="AO1385" s="16">
        <f t="shared" si="1614"/>
        <v>0</v>
      </c>
      <c r="AP1385" s="10"/>
      <c r="AQ1385" s="10"/>
      <c r="AR1385" s="10"/>
      <c r="AS1385" s="10" t="str">
        <f t="shared" ca="1" si="1606"/>
        <v>Johnson &amp; Johnson</v>
      </c>
      <c r="AT1385" s="10"/>
      <c r="AU1385" s="10"/>
      <c r="AV1385" s="10"/>
      <c r="AW1385" s="10"/>
      <c r="AX1385" s="10"/>
      <c r="AY1385" s="10"/>
      <c r="AZ1385" s="10"/>
      <c r="BA1385" s="10"/>
      <c r="BB1385" s="10"/>
      <c r="BC1385" s="10"/>
      <c r="BD1385" s="10"/>
      <c r="BE1385" s="10"/>
      <c r="BF1385" s="10"/>
      <c r="BG1385" s="10"/>
      <c r="BH1385" s="10"/>
      <c r="BI1385" s="10"/>
      <c r="BJ1385" s="10"/>
      <c r="BK1385" s="10"/>
      <c r="BM1385" s="10"/>
    </row>
    <row r="1386" spans="1:65" ht="12.75">
      <c r="A1386" s="9"/>
      <c r="B1386" s="10"/>
      <c r="C1386" s="11"/>
      <c r="D1386" s="12"/>
      <c r="E1386" s="10"/>
      <c r="F1386" s="10"/>
      <c r="G1386" s="10"/>
      <c r="H1386" s="14"/>
      <c r="I1386" s="14"/>
      <c r="J1386" s="14"/>
      <c r="K1386" s="14"/>
      <c r="L1386" s="14"/>
      <c r="M1386" s="15"/>
      <c r="N1386" s="10"/>
      <c r="O1386" s="14"/>
      <c r="P1386" s="14"/>
      <c r="Q1386" s="14"/>
      <c r="R1386" s="14"/>
      <c r="S1386" s="14"/>
      <c r="T1386" s="14"/>
      <c r="U1386" s="14"/>
      <c r="V1386" s="14">
        <f t="shared" si="1602"/>
        <v>1900</v>
      </c>
      <c r="W1386" s="14">
        <f t="shared" si="1603"/>
        <v>1</v>
      </c>
      <c r="X1386" s="14"/>
      <c r="Y1386" s="14"/>
      <c r="Z1386" s="14"/>
      <c r="AA1386" s="16" t="str">
        <f t="shared" ca="1" si="1614"/>
        <v>Johnson &amp; Johnson</v>
      </c>
      <c r="AB1386" s="16">
        <f t="shared" si="1614"/>
        <v>0</v>
      </c>
      <c r="AC1386" s="16">
        <f t="shared" si="1614"/>
        <v>0</v>
      </c>
      <c r="AD1386" s="16">
        <f t="shared" si="1614"/>
        <v>0</v>
      </c>
      <c r="AE1386" s="16">
        <f t="shared" si="1614"/>
        <v>0</v>
      </c>
      <c r="AF1386" s="16">
        <f t="shared" si="1614"/>
        <v>0</v>
      </c>
      <c r="AG1386" s="16">
        <f t="shared" si="1614"/>
        <v>0</v>
      </c>
      <c r="AH1386" s="16">
        <f t="shared" si="1614"/>
        <v>0</v>
      </c>
      <c r="AI1386" s="16">
        <f t="shared" si="1614"/>
        <v>0</v>
      </c>
      <c r="AJ1386" s="16">
        <f t="shared" si="1614"/>
        <v>0</v>
      </c>
      <c r="AK1386" s="16">
        <f t="shared" si="1614"/>
        <v>0</v>
      </c>
      <c r="AL1386" s="16">
        <f t="shared" si="1614"/>
        <v>0</v>
      </c>
      <c r="AM1386" s="16">
        <f t="shared" si="1614"/>
        <v>0</v>
      </c>
      <c r="AN1386" s="16">
        <f t="shared" si="1614"/>
        <v>0</v>
      </c>
      <c r="AO1386" s="16">
        <f t="shared" si="1614"/>
        <v>0</v>
      </c>
      <c r="AP1386" s="10"/>
      <c r="AQ1386" s="10"/>
      <c r="AR1386" s="10"/>
      <c r="AS1386" s="10" t="str">
        <f t="shared" ca="1" si="1606"/>
        <v>Johnson &amp; Johnson</v>
      </c>
      <c r="AT1386" s="10"/>
      <c r="AU1386" s="10"/>
      <c r="AV1386" s="10"/>
      <c r="AW1386" s="10"/>
      <c r="AX1386" s="10"/>
      <c r="AY1386" s="10"/>
      <c r="AZ1386" s="10"/>
      <c r="BA1386" s="10"/>
      <c r="BB1386" s="10"/>
      <c r="BC1386" s="10"/>
      <c r="BD1386" s="10"/>
      <c r="BE1386" s="10"/>
      <c r="BF1386" s="10"/>
      <c r="BG1386" s="10"/>
      <c r="BH1386" s="10"/>
      <c r="BI1386" s="10"/>
      <c r="BJ1386" s="10"/>
      <c r="BK1386" s="10"/>
      <c r="BM1386" s="10"/>
    </row>
    <row r="1387" spans="1:65" ht="12.75">
      <c r="A1387" s="9"/>
      <c r="B1387" s="10"/>
      <c r="C1387" s="11"/>
      <c r="D1387" s="12"/>
      <c r="E1387" s="10"/>
      <c r="F1387" s="10"/>
      <c r="G1387" s="10"/>
      <c r="H1387" s="14"/>
      <c r="I1387" s="14"/>
      <c r="J1387" s="14"/>
      <c r="K1387" s="14"/>
      <c r="L1387" s="14"/>
      <c r="M1387" s="15"/>
      <c r="N1387" s="10"/>
      <c r="O1387" s="14"/>
      <c r="P1387" s="14"/>
      <c r="Q1387" s="14"/>
      <c r="R1387" s="14"/>
      <c r="S1387" s="14"/>
      <c r="T1387" s="14"/>
      <c r="U1387" s="14"/>
      <c r="V1387" s="14">
        <f t="shared" si="1602"/>
        <v>1900</v>
      </c>
      <c r="W1387" s="14">
        <f t="shared" si="1603"/>
        <v>1</v>
      </c>
      <c r="X1387" s="14"/>
      <c r="Y1387" s="14"/>
      <c r="Z1387" s="14"/>
      <c r="AA1387" s="16" t="str">
        <f t="shared" ca="1" si="1614"/>
        <v>Johnson &amp; Johnson</v>
      </c>
      <c r="AB1387" s="16">
        <f t="shared" si="1614"/>
        <v>0</v>
      </c>
      <c r="AC1387" s="16">
        <f t="shared" si="1614"/>
        <v>0</v>
      </c>
      <c r="AD1387" s="16">
        <f t="shared" si="1614"/>
        <v>0</v>
      </c>
      <c r="AE1387" s="16">
        <f t="shared" si="1614"/>
        <v>0</v>
      </c>
      <c r="AF1387" s="16">
        <f t="shared" si="1614"/>
        <v>0</v>
      </c>
      <c r="AG1387" s="16">
        <f t="shared" si="1614"/>
        <v>0</v>
      </c>
      <c r="AH1387" s="16">
        <f t="shared" si="1614"/>
        <v>0</v>
      </c>
      <c r="AI1387" s="16">
        <f t="shared" si="1614"/>
        <v>0</v>
      </c>
      <c r="AJ1387" s="16">
        <f t="shared" si="1614"/>
        <v>0</v>
      </c>
      <c r="AK1387" s="16">
        <f t="shared" si="1614"/>
        <v>0</v>
      </c>
      <c r="AL1387" s="16">
        <f t="shared" si="1614"/>
        <v>0</v>
      </c>
      <c r="AM1387" s="16">
        <f t="shared" si="1614"/>
        <v>0</v>
      </c>
      <c r="AN1387" s="16">
        <f t="shared" si="1614"/>
        <v>0</v>
      </c>
      <c r="AO1387" s="16">
        <f t="shared" si="1614"/>
        <v>0</v>
      </c>
      <c r="AP1387" s="10"/>
      <c r="AQ1387" s="10"/>
      <c r="AR1387" s="10"/>
      <c r="AS1387" s="10" t="str">
        <f t="shared" ca="1" si="1606"/>
        <v>Johnson &amp; Johnson</v>
      </c>
      <c r="AT1387" s="10"/>
      <c r="AU1387" s="10"/>
      <c r="AV1387" s="10"/>
      <c r="AW1387" s="10"/>
      <c r="AX1387" s="10"/>
      <c r="AY1387" s="10"/>
      <c r="AZ1387" s="10"/>
      <c r="BA1387" s="10"/>
      <c r="BB1387" s="10"/>
      <c r="BC1387" s="10"/>
      <c r="BD1387" s="10"/>
      <c r="BE1387" s="10"/>
      <c r="BF1387" s="10"/>
      <c r="BG1387" s="10"/>
      <c r="BH1387" s="10"/>
      <c r="BI1387" s="10"/>
      <c r="BJ1387" s="10"/>
      <c r="BK1387" s="10"/>
      <c r="BM1387" s="10"/>
    </row>
    <row r="1388" spans="1:65" ht="12.75">
      <c r="A1388" s="9"/>
      <c r="B1388" s="10"/>
      <c r="C1388" s="11"/>
      <c r="D1388" s="12"/>
      <c r="E1388" s="10"/>
      <c r="F1388" s="10"/>
      <c r="G1388" s="10"/>
      <c r="H1388" s="14"/>
      <c r="I1388" s="14"/>
      <c r="J1388" s="14"/>
      <c r="K1388" s="14"/>
      <c r="L1388" s="14"/>
      <c r="M1388" s="15"/>
      <c r="N1388" s="10"/>
      <c r="O1388" s="14"/>
      <c r="P1388" s="14"/>
      <c r="Q1388" s="14"/>
      <c r="R1388" s="14"/>
      <c r="S1388" s="14"/>
      <c r="T1388" s="14"/>
      <c r="U1388" s="14"/>
      <c r="V1388" s="14">
        <f t="shared" si="1602"/>
        <v>1900</v>
      </c>
      <c r="W1388" s="14">
        <f t="shared" si="1603"/>
        <v>1</v>
      </c>
      <c r="X1388" s="14"/>
      <c r="Y1388" s="14"/>
      <c r="Z1388" s="14"/>
      <c r="AA1388" s="16" t="str">
        <f t="shared" ca="1" si="1614"/>
        <v>Johnson &amp; Johnson</v>
      </c>
      <c r="AB1388" s="16">
        <f t="shared" si="1614"/>
        <v>0</v>
      </c>
      <c r="AC1388" s="16">
        <f t="shared" si="1614"/>
        <v>0</v>
      </c>
      <c r="AD1388" s="16">
        <f t="shared" si="1614"/>
        <v>0</v>
      </c>
      <c r="AE1388" s="16">
        <f t="shared" si="1614"/>
        <v>0</v>
      </c>
      <c r="AF1388" s="16">
        <f t="shared" si="1614"/>
        <v>0</v>
      </c>
      <c r="AG1388" s="16">
        <f t="shared" si="1614"/>
        <v>0</v>
      </c>
      <c r="AH1388" s="16">
        <f t="shared" si="1614"/>
        <v>0</v>
      </c>
      <c r="AI1388" s="16">
        <f t="shared" si="1614"/>
        <v>0</v>
      </c>
      <c r="AJ1388" s="16">
        <f t="shared" si="1614"/>
        <v>0</v>
      </c>
      <c r="AK1388" s="16">
        <f t="shared" si="1614"/>
        <v>0</v>
      </c>
      <c r="AL1388" s="16">
        <f t="shared" si="1614"/>
        <v>0</v>
      </c>
      <c r="AM1388" s="16">
        <f t="shared" si="1614"/>
        <v>0</v>
      </c>
      <c r="AN1388" s="16">
        <f t="shared" si="1614"/>
        <v>0</v>
      </c>
      <c r="AO1388" s="16">
        <f t="shared" si="1614"/>
        <v>0</v>
      </c>
      <c r="AP1388" s="10"/>
      <c r="AQ1388" s="10"/>
      <c r="AR1388" s="10"/>
      <c r="AS1388" s="10" t="str">
        <f t="shared" ca="1" si="1606"/>
        <v>Johnson &amp; Johnson</v>
      </c>
      <c r="AT1388" s="10"/>
      <c r="AU1388" s="10"/>
      <c r="AV1388" s="10"/>
      <c r="AW1388" s="10"/>
      <c r="AX1388" s="10"/>
      <c r="AY1388" s="10"/>
      <c r="AZ1388" s="10"/>
      <c r="BA1388" s="10"/>
      <c r="BB1388" s="10"/>
      <c r="BC1388" s="10"/>
      <c r="BD1388" s="10"/>
      <c r="BE1388" s="10"/>
      <c r="BF1388" s="10"/>
      <c r="BG1388" s="10"/>
      <c r="BH1388" s="10"/>
      <c r="BI1388" s="10"/>
      <c r="BJ1388" s="10"/>
      <c r="BK1388" s="10"/>
      <c r="BM1388" s="10"/>
    </row>
    <row r="1389" spans="1:65" ht="12.75">
      <c r="A1389" s="9"/>
      <c r="B1389" s="10"/>
      <c r="C1389" s="11"/>
      <c r="D1389" s="12"/>
      <c r="E1389" s="10"/>
      <c r="F1389" s="10"/>
      <c r="G1389" s="10"/>
      <c r="H1389" s="14"/>
      <c r="I1389" s="14"/>
      <c r="J1389" s="14"/>
      <c r="K1389" s="14"/>
      <c r="L1389" s="14"/>
      <c r="M1389" s="15"/>
      <c r="N1389" s="10"/>
      <c r="O1389" s="14"/>
      <c r="P1389" s="14"/>
      <c r="Q1389" s="14"/>
      <c r="R1389" s="14"/>
      <c r="S1389" s="14"/>
      <c r="T1389" s="14"/>
      <c r="U1389" s="14"/>
      <c r="V1389" s="14">
        <f t="shared" si="1602"/>
        <v>1900</v>
      </c>
      <c r="W1389" s="14">
        <f t="shared" si="1603"/>
        <v>1</v>
      </c>
      <c r="X1389" s="14"/>
      <c r="Y1389" s="14"/>
      <c r="Z1389" s="14"/>
      <c r="AA1389" s="16" t="str">
        <f t="shared" ca="1" si="1614"/>
        <v>Johnson &amp; Johnson</v>
      </c>
      <c r="AB1389" s="16">
        <f t="shared" si="1614"/>
        <v>0</v>
      </c>
      <c r="AC1389" s="16">
        <f t="shared" si="1614"/>
        <v>0</v>
      </c>
      <c r="AD1389" s="16">
        <f t="shared" si="1614"/>
        <v>0</v>
      </c>
      <c r="AE1389" s="16">
        <f t="shared" si="1614"/>
        <v>0</v>
      </c>
      <c r="AF1389" s="16">
        <f t="shared" si="1614"/>
        <v>0</v>
      </c>
      <c r="AG1389" s="16">
        <f t="shared" si="1614"/>
        <v>0</v>
      </c>
      <c r="AH1389" s="16">
        <f t="shared" si="1614"/>
        <v>0</v>
      </c>
      <c r="AI1389" s="16">
        <f t="shared" si="1614"/>
        <v>0</v>
      </c>
      <c r="AJ1389" s="16">
        <f t="shared" si="1614"/>
        <v>0</v>
      </c>
      <c r="AK1389" s="16">
        <f t="shared" si="1614"/>
        <v>0</v>
      </c>
      <c r="AL1389" s="16">
        <f t="shared" si="1614"/>
        <v>0</v>
      </c>
      <c r="AM1389" s="16">
        <f t="shared" si="1614"/>
        <v>0</v>
      </c>
      <c r="AN1389" s="16">
        <f t="shared" si="1614"/>
        <v>0</v>
      </c>
      <c r="AO1389" s="16">
        <f t="shared" si="1614"/>
        <v>0</v>
      </c>
      <c r="AP1389" s="10"/>
      <c r="AQ1389" s="10"/>
      <c r="AR1389" s="10"/>
      <c r="AS1389" s="10" t="str">
        <f t="shared" ca="1" si="1606"/>
        <v>Johnson &amp; Johnson</v>
      </c>
      <c r="AT1389" s="10"/>
      <c r="AU1389" s="10"/>
      <c r="AV1389" s="10"/>
      <c r="AW1389" s="10"/>
      <c r="AX1389" s="10"/>
      <c r="AY1389" s="10"/>
      <c r="AZ1389" s="10"/>
      <c r="BA1389" s="10"/>
      <c r="BB1389" s="10"/>
      <c r="BC1389" s="10"/>
      <c r="BD1389" s="10"/>
      <c r="BE1389" s="10"/>
      <c r="BF1389" s="10"/>
      <c r="BG1389" s="10"/>
      <c r="BH1389" s="10"/>
      <c r="BI1389" s="10"/>
      <c r="BJ1389" s="10"/>
      <c r="BK1389" s="10"/>
      <c r="BM1389" s="10"/>
    </row>
    <row r="1390" spans="1:65" ht="12.75">
      <c r="A1390" s="9"/>
      <c r="B1390" s="10"/>
      <c r="C1390" s="11"/>
      <c r="D1390" s="12"/>
      <c r="E1390" s="10"/>
      <c r="F1390" s="10"/>
      <c r="G1390" s="10"/>
      <c r="H1390" s="14"/>
      <c r="I1390" s="14"/>
      <c r="J1390" s="14"/>
      <c r="K1390" s="14"/>
      <c r="L1390" s="14"/>
      <c r="M1390" s="15"/>
      <c r="N1390" s="10"/>
      <c r="O1390" s="14"/>
      <c r="P1390" s="14"/>
      <c r="Q1390" s="14"/>
      <c r="R1390" s="14"/>
      <c r="S1390" s="14"/>
      <c r="T1390" s="14"/>
      <c r="U1390" s="14"/>
      <c r="V1390" s="14">
        <f t="shared" si="1602"/>
        <v>1900</v>
      </c>
      <c r="W1390" s="14">
        <f t="shared" si="1603"/>
        <v>1</v>
      </c>
      <c r="X1390" s="14"/>
      <c r="Y1390" s="14"/>
      <c r="Z1390" s="14"/>
      <c r="AA1390" s="16" t="str">
        <f t="shared" ca="1" si="1614"/>
        <v>Johnson &amp; Johnson</v>
      </c>
      <c r="AB1390" s="16">
        <f t="shared" si="1614"/>
        <v>0</v>
      </c>
      <c r="AC1390" s="16">
        <f t="shared" si="1614"/>
        <v>0</v>
      </c>
      <c r="AD1390" s="16">
        <f t="shared" si="1614"/>
        <v>0</v>
      </c>
      <c r="AE1390" s="16">
        <f t="shared" si="1614"/>
        <v>0</v>
      </c>
      <c r="AF1390" s="16">
        <f t="shared" si="1614"/>
        <v>0</v>
      </c>
      <c r="AG1390" s="16">
        <f t="shared" si="1614"/>
        <v>0</v>
      </c>
      <c r="AH1390" s="16">
        <f t="shared" si="1614"/>
        <v>0</v>
      </c>
      <c r="AI1390" s="16">
        <f t="shared" si="1614"/>
        <v>0</v>
      </c>
      <c r="AJ1390" s="16">
        <f t="shared" si="1614"/>
        <v>0</v>
      </c>
      <c r="AK1390" s="16">
        <f t="shared" si="1614"/>
        <v>0</v>
      </c>
      <c r="AL1390" s="16">
        <f t="shared" si="1614"/>
        <v>0</v>
      </c>
      <c r="AM1390" s="16">
        <f t="shared" si="1614"/>
        <v>0</v>
      </c>
      <c r="AN1390" s="16">
        <f t="shared" si="1614"/>
        <v>0</v>
      </c>
      <c r="AO1390" s="16">
        <f t="shared" si="1614"/>
        <v>0</v>
      </c>
      <c r="AP1390" s="10"/>
      <c r="AQ1390" s="10"/>
      <c r="AR1390" s="10"/>
      <c r="AS1390" s="10" t="str">
        <f t="shared" ca="1" si="1606"/>
        <v>Johnson &amp; Johnson</v>
      </c>
      <c r="AT1390" s="10"/>
      <c r="AU1390" s="10"/>
      <c r="AV1390" s="10"/>
      <c r="AW1390" s="10"/>
      <c r="AX1390" s="10"/>
      <c r="AY1390" s="10"/>
      <c r="AZ1390" s="10"/>
      <c r="BA1390" s="10"/>
      <c r="BB1390" s="10"/>
      <c r="BC1390" s="10"/>
      <c r="BD1390" s="10"/>
      <c r="BE1390" s="10"/>
      <c r="BF1390" s="10"/>
      <c r="BG1390" s="10"/>
      <c r="BH1390" s="10"/>
      <c r="BI1390" s="10"/>
      <c r="BJ1390" s="10"/>
      <c r="BK1390" s="10"/>
      <c r="BM1390" s="10"/>
    </row>
    <row r="1391" spans="1:65" ht="12.75">
      <c r="A1391" s="9"/>
      <c r="B1391" s="10"/>
      <c r="C1391" s="11"/>
      <c r="D1391" s="12"/>
      <c r="E1391" s="10"/>
      <c r="F1391" s="10"/>
      <c r="G1391" s="10"/>
      <c r="H1391" s="14"/>
      <c r="I1391" s="14"/>
      <c r="J1391" s="14"/>
      <c r="K1391" s="14"/>
      <c r="L1391" s="14"/>
      <c r="M1391" s="15"/>
      <c r="N1391" s="10"/>
      <c r="O1391" s="14"/>
      <c r="P1391" s="14"/>
      <c r="Q1391" s="14"/>
      <c r="R1391" s="14"/>
      <c r="S1391" s="14"/>
      <c r="T1391" s="14"/>
      <c r="U1391" s="14"/>
      <c r="V1391" s="14">
        <f t="shared" si="1602"/>
        <v>1900</v>
      </c>
      <c r="W1391" s="14">
        <f t="shared" si="1603"/>
        <v>1</v>
      </c>
      <c r="X1391" s="14"/>
      <c r="Y1391" s="14"/>
      <c r="Z1391" s="14"/>
      <c r="AA1391" s="16" t="str">
        <f t="shared" ca="1" si="1614"/>
        <v>Johnson &amp; Johnson</v>
      </c>
      <c r="AB1391" s="16">
        <f t="shared" si="1614"/>
        <v>0</v>
      </c>
      <c r="AC1391" s="16">
        <f t="shared" si="1614"/>
        <v>0</v>
      </c>
      <c r="AD1391" s="16">
        <f t="shared" si="1614"/>
        <v>0</v>
      </c>
      <c r="AE1391" s="16">
        <f t="shared" si="1614"/>
        <v>0</v>
      </c>
      <c r="AF1391" s="16">
        <f t="shared" si="1614"/>
        <v>0</v>
      </c>
      <c r="AG1391" s="16">
        <f t="shared" si="1614"/>
        <v>0</v>
      </c>
      <c r="AH1391" s="16">
        <f t="shared" si="1614"/>
        <v>0</v>
      </c>
      <c r="AI1391" s="16">
        <f t="shared" si="1614"/>
        <v>0</v>
      </c>
      <c r="AJ1391" s="16">
        <f t="shared" si="1614"/>
        <v>0</v>
      </c>
      <c r="AK1391" s="16">
        <f t="shared" si="1614"/>
        <v>0</v>
      </c>
      <c r="AL1391" s="16">
        <f t="shared" si="1614"/>
        <v>0</v>
      </c>
      <c r="AM1391" s="16">
        <f t="shared" si="1614"/>
        <v>0</v>
      </c>
      <c r="AN1391" s="16">
        <f t="shared" si="1614"/>
        <v>0</v>
      </c>
      <c r="AO1391" s="16">
        <f t="shared" si="1614"/>
        <v>0</v>
      </c>
      <c r="AP1391" s="10"/>
      <c r="AQ1391" s="10"/>
      <c r="AR1391" s="10"/>
      <c r="AS1391" s="10" t="str">
        <f t="shared" ca="1" si="1606"/>
        <v>Johnson &amp; Johnson</v>
      </c>
      <c r="AT1391" s="10"/>
      <c r="AU1391" s="10"/>
      <c r="AV1391" s="10"/>
      <c r="AW1391" s="10"/>
      <c r="AX1391" s="10"/>
      <c r="AY1391" s="10"/>
      <c r="AZ1391" s="10"/>
      <c r="BA1391" s="10"/>
      <c r="BB1391" s="10"/>
      <c r="BC1391" s="10"/>
      <c r="BD1391" s="10"/>
      <c r="BE1391" s="10"/>
      <c r="BF1391" s="10"/>
      <c r="BG1391" s="10"/>
      <c r="BH1391" s="10"/>
      <c r="BI1391" s="10"/>
      <c r="BJ1391" s="10"/>
      <c r="BK1391" s="10"/>
      <c r="BM1391" s="10"/>
    </row>
    <row r="1392" spans="1:65" ht="12.75">
      <c r="A1392" s="9"/>
      <c r="B1392" s="10"/>
      <c r="C1392" s="11"/>
      <c r="D1392" s="12"/>
      <c r="E1392" s="10"/>
      <c r="F1392" s="10"/>
      <c r="G1392" s="10"/>
      <c r="H1392" s="14"/>
      <c r="I1392" s="14"/>
      <c r="J1392" s="14"/>
      <c r="K1392" s="14"/>
      <c r="L1392" s="14"/>
      <c r="M1392" s="15"/>
      <c r="N1392" s="10"/>
      <c r="O1392" s="14"/>
      <c r="P1392" s="14"/>
      <c r="Q1392" s="14"/>
      <c r="R1392" s="14"/>
      <c r="S1392" s="14"/>
      <c r="T1392" s="14"/>
      <c r="U1392" s="14"/>
      <c r="V1392" s="14">
        <f t="shared" si="1602"/>
        <v>1900</v>
      </c>
      <c r="W1392" s="14">
        <f t="shared" si="1603"/>
        <v>1</v>
      </c>
      <c r="X1392" s="14"/>
      <c r="Y1392" s="14"/>
      <c r="Z1392" s="14"/>
      <c r="AA1392" s="16" t="str">
        <f t="shared" ca="1" si="1614"/>
        <v>Johnson &amp; Johnson</v>
      </c>
      <c r="AB1392" s="16">
        <f t="shared" si="1614"/>
        <v>0</v>
      </c>
      <c r="AC1392" s="16">
        <f t="shared" si="1614"/>
        <v>0</v>
      </c>
      <c r="AD1392" s="16">
        <f t="shared" si="1614"/>
        <v>0</v>
      </c>
      <c r="AE1392" s="16">
        <f t="shared" si="1614"/>
        <v>0</v>
      </c>
      <c r="AF1392" s="16">
        <f t="shared" si="1614"/>
        <v>0</v>
      </c>
      <c r="AG1392" s="16">
        <f t="shared" si="1614"/>
        <v>0</v>
      </c>
      <c r="AH1392" s="16">
        <f t="shared" si="1614"/>
        <v>0</v>
      </c>
      <c r="AI1392" s="16">
        <f t="shared" si="1614"/>
        <v>0</v>
      </c>
      <c r="AJ1392" s="16">
        <f t="shared" si="1614"/>
        <v>0</v>
      </c>
      <c r="AK1392" s="16">
        <f t="shared" si="1614"/>
        <v>0</v>
      </c>
      <c r="AL1392" s="16">
        <f t="shared" si="1614"/>
        <v>0</v>
      </c>
      <c r="AM1392" s="16">
        <f t="shared" si="1614"/>
        <v>0</v>
      </c>
      <c r="AN1392" s="16">
        <f t="shared" si="1614"/>
        <v>0</v>
      </c>
      <c r="AO1392" s="16">
        <f t="shared" si="1614"/>
        <v>0</v>
      </c>
      <c r="AP1392" s="10"/>
      <c r="AQ1392" s="10"/>
      <c r="AR1392" s="10"/>
      <c r="AS1392" s="10" t="str">
        <f t="shared" ca="1" si="1606"/>
        <v>Johnson &amp; Johnson</v>
      </c>
      <c r="AT1392" s="10"/>
      <c r="AU1392" s="10"/>
      <c r="AV1392" s="10"/>
      <c r="AW1392" s="10"/>
      <c r="AX1392" s="10"/>
      <c r="AY1392" s="10"/>
      <c r="AZ1392" s="10"/>
      <c r="BA1392" s="10"/>
      <c r="BB1392" s="10"/>
      <c r="BC1392" s="10"/>
      <c r="BD1392" s="10"/>
      <c r="BE1392" s="10"/>
      <c r="BF1392" s="10"/>
      <c r="BG1392" s="10"/>
      <c r="BH1392" s="10"/>
      <c r="BI1392" s="10"/>
      <c r="BJ1392" s="10"/>
      <c r="BK1392" s="10"/>
      <c r="BM1392" s="10"/>
    </row>
    <row r="1393" spans="1:65" ht="12.75">
      <c r="A1393" s="9"/>
      <c r="B1393" s="10"/>
      <c r="C1393" s="11"/>
      <c r="D1393" s="12"/>
      <c r="E1393" s="10"/>
      <c r="F1393" s="10"/>
      <c r="G1393" s="10"/>
      <c r="H1393" s="14"/>
      <c r="I1393" s="14"/>
      <c r="J1393" s="14"/>
      <c r="K1393" s="14"/>
      <c r="L1393" s="14"/>
      <c r="M1393" s="15"/>
      <c r="N1393" s="10"/>
      <c r="O1393" s="14"/>
      <c r="P1393" s="14"/>
      <c r="Q1393" s="14"/>
      <c r="R1393" s="14"/>
      <c r="S1393" s="14"/>
      <c r="T1393" s="14"/>
      <c r="U1393" s="14"/>
      <c r="V1393" s="14">
        <f t="shared" si="1602"/>
        <v>1900</v>
      </c>
      <c r="W1393" s="14">
        <f t="shared" si="1603"/>
        <v>1</v>
      </c>
      <c r="X1393" s="14"/>
      <c r="Y1393" s="14"/>
      <c r="Z1393" s="14"/>
      <c r="AA1393" s="16" t="str">
        <f t="shared" ca="1" si="1614"/>
        <v>Johnson &amp; Johnson</v>
      </c>
      <c r="AB1393" s="16">
        <f t="shared" si="1614"/>
        <v>0</v>
      </c>
      <c r="AC1393" s="16">
        <f t="shared" si="1614"/>
        <v>0</v>
      </c>
      <c r="AD1393" s="16">
        <f t="shared" si="1614"/>
        <v>0</v>
      </c>
      <c r="AE1393" s="16">
        <f t="shared" si="1614"/>
        <v>0</v>
      </c>
      <c r="AF1393" s="16">
        <f t="shared" si="1614"/>
        <v>0</v>
      </c>
      <c r="AG1393" s="16">
        <f t="shared" si="1614"/>
        <v>0</v>
      </c>
      <c r="AH1393" s="16">
        <f t="shared" si="1614"/>
        <v>0</v>
      </c>
      <c r="AI1393" s="16">
        <f t="shared" si="1614"/>
        <v>0</v>
      </c>
      <c r="AJ1393" s="16">
        <f t="shared" si="1614"/>
        <v>0</v>
      </c>
      <c r="AK1393" s="16">
        <f t="shared" si="1614"/>
        <v>0</v>
      </c>
      <c r="AL1393" s="16">
        <f t="shared" si="1614"/>
        <v>0</v>
      </c>
      <c r="AM1393" s="16">
        <f t="shared" si="1614"/>
        <v>0</v>
      </c>
      <c r="AN1393" s="16">
        <f t="shared" si="1614"/>
        <v>0</v>
      </c>
      <c r="AO1393" s="16">
        <f t="shared" si="1614"/>
        <v>0</v>
      </c>
      <c r="AP1393" s="10"/>
      <c r="AQ1393" s="10"/>
      <c r="AR1393" s="10"/>
      <c r="AS1393" s="10" t="str">
        <f t="shared" ca="1" si="1606"/>
        <v>Johnson &amp; Johnson</v>
      </c>
      <c r="AT1393" s="10"/>
      <c r="AU1393" s="10"/>
      <c r="AV1393" s="10"/>
      <c r="AW1393" s="10"/>
      <c r="AX1393" s="10"/>
      <c r="AY1393" s="10"/>
      <c r="AZ1393" s="10"/>
      <c r="BA1393" s="10"/>
      <c r="BB1393" s="10"/>
      <c r="BC1393" s="10"/>
      <c r="BD1393" s="10"/>
      <c r="BE1393" s="10"/>
      <c r="BF1393" s="10"/>
      <c r="BG1393" s="10"/>
      <c r="BH1393" s="10"/>
      <c r="BI1393" s="10"/>
      <c r="BJ1393" s="10"/>
      <c r="BK1393" s="10"/>
      <c r="BM1393" s="10"/>
    </row>
    <row r="1394" spans="1:65" ht="12.75">
      <c r="A1394" s="9"/>
      <c r="B1394" s="10"/>
      <c r="C1394" s="11"/>
      <c r="D1394" s="12"/>
      <c r="E1394" s="10"/>
      <c r="F1394" s="10"/>
      <c r="G1394" s="10"/>
      <c r="H1394" s="14"/>
      <c r="I1394" s="14"/>
      <c r="J1394" s="14"/>
      <c r="K1394" s="14"/>
      <c r="L1394" s="14"/>
      <c r="M1394" s="15"/>
      <c r="N1394" s="10"/>
      <c r="O1394" s="14"/>
      <c r="P1394" s="14"/>
      <c r="Q1394" s="14"/>
      <c r="R1394" s="14"/>
      <c r="S1394" s="14"/>
      <c r="T1394" s="14"/>
      <c r="U1394" s="14"/>
      <c r="V1394" s="14">
        <f t="shared" si="1602"/>
        <v>1900</v>
      </c>
      <c r="W1394" s="14">
        <f t="shared" si="1603"/>
        <v>1</v>
      </c>
      <c r="X1394" s="14"/>
      <c r="Y1394" s="14"/>
      <c r="Z1394" s="14"/>
      <c r="AA1394" s="16" t="str">
        <f t="shared" ca="1" si="1614"/>
        <v>Johnson &amp; Johnson</v>
      </c>
      <c r="AB1394" s="16">
        <f t="shared" si="1614"/>
        <v>0</v>
      </c>
      <c r="AC1394" s="16">
        <f t="shared" si="1614"/>
        <v>0</v>
      </c>
      <c r="AD1394" s="16">
        <f t="shared" si="1614"/>
        <v>0</v>
      </c>
      <c r="AE1394" s="16">
        <f t="shared" si="1614"/>
        <v>0</v>
      </c>
      <c r="AF1394" s="16">
        <f t="shared" si="1614"/>
        <v>0</v>
      </c>
      <c r="AG1394" s="16">
        <f t="shared" si="1614"/>
        <v>0</v>
      </c>
      <c r="AH1394" s="16">
        <f t="shared" si="1614"/>
        <v>0</v>
      </c>
      <c r="AI1394" s="16">
        <f t="shared" si="1614"/>
        <v>0</v>
      </c>
      <c r="AJ1394" s="16">
        <f t="shared" si="1614"/>
        <v>0</v>
      </c>
      <c r="AK1394" s="16">
        <f t="shared" si="1614"/>
        <v>0</v>
      </c>
      <c r="AL1394" s="16">
        <f t="shared" si="1614"/>
        <v>0</v>
      </c>
      <c r="AM1394" s="16">
        <f t="shared" si="1614"/>
        <v>0</v>
      </c>
      <c r="AN1394" s="16">
        <f t="shared" si="1614"/>
        <v>0</v>
      </c>
      <c r="AO1394" s="16">
        <f t="shared" si="1614"/>
        <v>0</v>
      </c>
      <c r="AP1394" s="10"/>
      <c r="AQ1394" s="10"/>
      <c r="AR1394" s="10"/>
      <c r="AS1394" s="10" t="str">
        <f t="shared" ca="1" si="1606"/>
        <v>Johnson &amp; Johnson</v>
      </c>
      <c r="AT1394" s="10"/>
      <c r="AU1394" s="10"/>
      <c r="AV1394" s="10"/>
      <c r="AW1394" s="10"/>
      <c r="AX1394" s="10"/>
      <c r="AY1394" s="10"/>
      <c r="AZ1394" s="10"/>
      <c r="BA1394" s="10"/>
      <c r="BB1394" s="10"/>
      <c r="BC1394" s="10"/>
      <c r="BD1394" s="10"/>
      <c r="BE1394" s="10"/>
      <c r="BF1394" s="10"/>
      <c r="BG1394" s="10"/>
      <c r="BH1394" s="10"/>
      <c r="BI1394" s="10"/>
      <c r="BJ1394" s="10"/>
      <c r="BK1394" s="10"/>
      <c r="BM1394" s="10"/>
    </row>
    <row r="1395" spans="1:65" ht="12.75">
      <c r="A1395" s="9"/>
      <c r="B1395" s="10"/>
      <c r="C1395" s="11"/>
      <c r="D1395" s="12"/>
      <c r="E1395" s="10"/>
      <c r="F1395" s="10"/>
      <c r="G1395" s="10"/>
      <c r="H1395" s="14"/>
      <c r="I1395" s="14"/>
      <c r="J1395" s="14"/>
      <c r="K1395" s="14"/>
      <c r="L1395" s="14"/>
      <c r="M1395" s="15"/>
      <c r="N1395" s="10"/>
      <c r="O1395" s="14"/>
      <c r="P1395" s="14"/>
      <c r="Q1395" s="14"/>
      <c r="R1395" s="14"/>
      <c r="S1395" s="14"/>
      <c r="T1395" s="14"/>
      <c r="U1395" s="14"/>
      <c r="V1395" s="14">
        <f t="shared" si="1602"/>
        <v>1900</v>
      </c>
      <c r="W1395" s="14">
        <f t="shared" si="1603"/>
        <v>1</v>
      </c>
      <c r="X1395" s="14"/>
      <c r="Y1395" s="14"/>
      <c r="Z1395" s="14"/>
      <c r="AA1395" s="16" t="str">
        <f t="shared" ca="1" si="1614"/>
        <v>Johnson &amp; Johnson</v>
      </c>
      <c r="AB1395" s="16">
        <f t="shared" si="1614"/>
        <v>0</v>
      </c>
      <c r="AC1395" s="16">
        <f t="shared" si="1614"/>
        <v>0</v>
      </c>
      <c r="AD1395" s="16">
        <f t="shared" si="1614"/>
        <v>0</v>
      </c>
      <c r="AE1395" s="16">
        <f t="shared" si="1614"/>
        <v>0</v>
      </c>
      <c r="AF1395" s="16">
        <f t="shared" si="1614"/>
        <v>0</v>
      </c>
      <c r="AG1395" s="16">
        <f t="shared" si="1614"/>
        <v>0</v>
      </c>
      <c r="AH1395" s="16">
        <f t="shared" si="1614"/>
        <v>0</v>
      </c>
      <c r="AI1395" s="16">
        <f t="shared" si="1614"/>
        <v>0</v>
      </c>
      <c r="AJ1395" s="16">
        <f t="shared" si="1614"/>
        <v>0</v>
      </c>
      <c r="AK1395" s="16">
        <f t="shared" si="1614"/>
        <v>0</v>
      </c>
      <c r="AL1395" s="16">
        <f t="shared" si="1614"/>
        <v>0</v>
      </c>
      <c r="AM1395" s="16">
        <f t="shared" si="1614"/>
        <v>0</v>
      </c>
      <c r="AN1395" s="16">
        <f t="shared" si="1614"/>
        <v>0</v>
      </c>
      <c r="AO1395" s="16">
        <f t="shared" si="1614"/>
        <v>0</v>
      </c>
      <c r="AP1395" s="10"/>
      <c r="AQ1395" s="10"/>
      <c r="AR1395" s="10"/>
      <c r="AS1395" s="10" t="str">
        <f t="shared" ca="1" si="1606"/>
        <v>Johnson &amp; Johnson</v>
      </c>
      <c r="AT1395" s="10"/>
      <c r="AU1395" s="10"/>
      <c r="AV1395" s="10"/>
      <c r="AW1395" s="10"/>
      <c r="AX1395" s="10"/>
      <c r="AY1395" s="10"/>
      <c r="AZ1395" s="10"/>
      <c r="BA1395" s="10"/>
      <c r="BB1395" s="10"/>
      <c r="BC1395" s="10"/>
      <c r="BD1395" s="10"/>
      <c r="BE1395" s="10"/>
      <c r="BF1395" s="10"/>
      <c r="BG1395" s="10"/>
      <c r="BH1395" s="10"/>
      <c r="BI1395" s="10"/>
      <c r="BJ1395" s="10"/>
      <c r="BK1395" s="10"/>
      <c r="BM1395" s="10"/>
    </row>
    <row r="1396" spans="1:65" ht="12.75">
      <c r="A1396" s="9"/>
      <c r="B1396" s="10"/>
      <c r="C1396" s="11"/>
      <c r="D1396" s="12"/>
      <c r="E1396" s="10"/>
      <c r="F1396" s="10"/>
      <c r="G1396" s="10"/>
      <c r="H1396" s="14"/>
      <c r="I1396" s="14"/>
      <c r="J1396" s="14"/>
      <c r="K1396" s="14"/>
      <c r="L1396" s="14"/>
      <c r="M1396" s="15"/>
      <c r="N1396" s="10"/>
      <c r="O1396" s="14"/>
      <c r="P1396" s="14"/>
      <c r="Q1396" s="14"/>
      <c r="R1396" s="14"/>
      <c r="S1396" s="14"/>
      <c r="T1396" s="14"/>
      <c r="U1396" s="14"/>
      <c r="V1396" s="14">
        <f t="shared" si="1602"/>
        <v>1900</v>
      </c>
      <c r="W1396" s="14">
        <f t="shared" si="1603"/>
        <v>1</v>
      </c>
      <c r="X1396" s="14"/>
      <c r="Y1396" s="14"/>
      <c r="Z1396" s="14"/>
      <c r="AA1396" s="16" t="str">
        <f t="shared" ca="1" si="1614"/>
        <v>Johnson &amp; Johnson</v>
      </c>
      <c r="AB1396" s="16">
        <f t="shared" si="1614"/>
        <v>0</v>
      </c>
      <c r="AC1396" s="16">
        <f t="shared" si="1614"/>
        <v>0</v>
      </c>
      <c r="AD1396" s="16">
        <f t="shared" si="1614"/>
        <v>0</v>
      </c>
      <c r="AE1396" s="16">
        <f t="shared" si="1614"/>
        <v>0</v>
      </c>
      <c r="AF1396" s="16">
        <f t="shared" si="1614"/>
        <v>0</v>
      </c>
      <c r="AG1396" s="16">
        <f t="shared" si="1614"/>
        <v>0</v>
      </c>
      <c r="AH1396" s="16">
        <f t="shared" si="1614"/>
        <v>0</v>
      </c>
      <c r="AI1396" s="16">
        <f t="shared" si="1614"/>
        <v>0</v>
      </c>
      <c r="AJ1396" s="16">
        <f t="shared" si="1614"/>
        <v>0</v>
      </c>
      <c r="AK1396" s="16">
        <f t="shared" si="1614"/>
        <v>0</v>
      </c>
      <c r="AL1396" s="16">
        <f t="shared" si="1614"/>
        <v>0</v>
      </c>
      <c r="AM1396" s="16">
        <f t="shared" si="1614"/>
        <v>0</v>
      </c>
      <c r="AN1396" s="16">
        <f t="shared" si="1614"/>
        <v>0</v>
      </c>
      <c r="AO1396" s="16">
        <f t="shared" si="1614"/>
        <v>0</v>
      </c>
      <c r="AP1396" s="10"/>
      <c r="AQ1396" s="10"/>
      <c r="AR1396" s="10"/>
      <c r="AS1396" s="10" t="str">
        <f t="shared" ca="1" si="1606"/>
        <v>Johnson &amp; Johnson</v>
      </c>
      <c r="AT1396" s="10"/>
      <c r="AU1396" s="10"/>
      <c r="AV1396" s="10"/>
      <c r="AW1396" s="10"/>
      <c r="AX1396" s="10"/>
      <c r="AY1396" s="10"/>
      <c r="AZ1396" s="10"/>
      <c r="BA1396" s="10"/>
      <c r="BB1396" s="10"/>
      <c r="BC1396" s="10"/>
      <c r="BD1396" s="10"/>
      <c r="BE1396" s="10"/>
      <c r="BF1396" s="10"/>
      <c r="BG1396" s="10"/>
      <c r="BH1396" s="10"/>
      <c r="BI1396" s="10"/>
      <c r="BJ1396" s="10"/>
      <c r="BK1396" s="10"/>
      <c r="BM1396" s="10"/>
    </row>
    <row r="1397" spans="1:65" ht="12.75">
      <c r="A1397" s="9"/>
      <c r="B1397" s="10"/>
      <c r="C1397" s="11"/>
      <c r="D1397" s="12"/>
      <c r="E1397" s="10"/>
      <c r="F1397" s="10"/>
      <c r="G1397" s="10"/>
      <c r="H1397" s="14"/>
      <c r="I1397" s="14"/>
      <c r="J1397" s="14"/>
      <c r="K1397" s="14"/>
      <c r="L1397" s="14"/>
      <c r="M1397" s="15"/>
      <c r="N1397" s="10"/>
      <c r="O1397" s="14"/>
      <c r="P1397" s="14"/>
      <c r="Q1397" s="14"/>
      <c r="R1397" s="14"/>
      <c r="S1397" s="14"/>
      <c r="T1397" s="14"/>
      <c r="U1397" s="14"/>
      <c r="V1397" s="14">
        <f t="shared" si="1602"/>
        <v>1900</v>
      </c>
      <c r="W1397" s="14">
        <f t="shared" si="1603"/>
        <v>1</v>
      </c>
      <c r="X1397" s="14"/>
      <c r="Y1397" s="14"/>
      <c r="Z1397" s="14"/>
      <c r="AA1397" s="16" t="str">
        <f t="shared" ca="1" si="1614"/>
        <v>Johnson &amp; Johnson</v>
      </c>
      <c r="AB1397" s="16">
        <f t="shared" si="1614"/>
        <v>0</v>
      </c>
      <c r="AC1397" s="16">
        <f t="shared" si="1614"/>
        <v>0</v>
      </c>
      <c r="AD1397" s="16">
        <f t="shared" si="1614"/>
        <v>0</v>
      </c>
      <c r="AE1397" s="16">
        <f t="shared" si="1614"/>
        <v>0</v>
      </c>
      <c r="AF1397" s="16">
        <f t="shared" si="1614"/>
        <v>0</v>
      </c>
      <c r="AG1397" s="16">
        <f t="shared" si="1614"/>
        <v>0</v>
      </c>
      <c r="AH1397" s="16">
        <f t="shared" si="1614"/>
        <v>0</v>
      </c>
      <c r="AI1397" s="16">
        <f t="shared" si="1614"/>
        <v>0</v>
      </c>
      <c r="AJ1397" s="16">
        <f t="shared" si="1614"/>
        <v>0</v>
      </c>
      <c r="AK1397" s="16">
        <f t="shared" si="1614"/>
        <v>0</v>
      </c>
      <c r="AL1397" s="16">
        <f t="shared" si="1614"/>
        <v>0</v>
      </c>
      <c r="AM1397" s="16">
        <f t="shared" si="1614"/>
        <v>0</v>
      </c>
      <c r="AN1397" s="16">
        <f t="shared" si="1614"/>
        <v>0</v>
      </c>
      <c r="AO1397" s="16">
        <f t="shared" si="1614"/>
        <v>0</v>
      </c>
      <c r="AP1397" s="10"/>
      <c r="AQ1397" s="10"/>
      <c r="AR1397" s="10"/>
      <c r="AS1397" s="10" t="str">
        <f t="shared" ca="1" si="1606"/>
        <v>Johnson &amp; Johnson</v>
      </c>
      <c r="AT1397" s="10"/>
      <c r="AU1397" s="10"/>
      <c r="AV1397" s="10"/>
      <c r="AW1397" s="10"/>
      <c r="AX1397" s="10"/>
      <c r="AY1397" s="10"/>
      <c r="AZ1397" s="10"/>
      <c r="BA1397" s="10"/>
      <c r="BB1397" s="10"/>
      <c r="BC1397" s="10"/>
      <c r="BD1397" s="10"/>
      <c r="BE1397" s="10"/>
      <c r="BF1397" s="10"/>
      <c r="BG1397" s="10"/>
      <c r="BH1397" s="10"/>
      <c r="BI1397" s="10"/>
      <c r="BJ1397" s="10"/>
      <c r="BK1397" s="10"/>
      <c r="BM1397" s="10"/>
    </row>
    <row r="1398" spans="1:65" ht="12.75">
      <c r="A1398" s="9"/>
      <c r="B1398" s="10"/>
      <c r="C1398" s="11"/>
      <c r="D1398" s="12"/>
      <c r="E1398" s="10"/>
      <c r="F1398" s="10"/>
      <c r="G1398" s="10"/>
      <c r="H1398" s="14"/>
      <c r="I1398" s="14"/>
      <c r="J1398" s="14"/>
      <c r="K1398" s="14"/>
      <c r="L1398" s="14"/>
      <c r="M1398" s="15"/>
      <c r="N1398" s="10"/>
      <c r="O1398" s="14"/>
      <c r="P1398" s="14"/>
      <c r="Q1398" s="14"/>
      <c r="R1398" s="14"/>
      <c r="S1398" s="14"/>
      <c r="T1398" s="14"/>
      <c r="U1398" s="14"/>
      <c r="V1398" s="14">
        <f t="shared" si="1602"/>
        <v>1900</v>
      </c>
      <c r="W1398" s="14">
        <f t="shared" si="1603"/>
        <v>1</v>
      </c>
      <c r="X1398" s="14"/>
      <c r="Y1398" s="14"/>
      <c r="Z1398" s="14"/>
      <c r="AA1398" s="16" t="str">
        <f t="shared" ca="1" si="1614"/>
        <v>Johnson &amp; Johnson</v>
      </c>
      <c r="AB1398" s="16">
        <f t="shared" si="1614"/>
        <v>0</v>
      </c>
      <c r="AC1398" s="16">
        <f t="shared" si="1614"/>
        <v>0</v>
      </c>
      <c r="AD1398" s="16">
        <f t="shared" si="1614"/>
        <v>0</v>
      </c>
      <c r="AE1398" s="16">
        <f t="shared" si="1614"/>
        <v>0</v>
      </c>
      <c r="AF1398" s="16">
        <f t="shared" si="1614"/>
        <v>0</v>
      </c>
      <c r="AG1398" s="16">
        <f t="shared" si="1614"/>
        <v>0</v>
      </c>
      <c r="AH1398" s="16">
        <f t="shared" si="1614"/>
        <v>0</v>
      </c>
      <c r="AI1398" s="16">
        <f t="shared" si="1614"/>
        <v>0</v>
      </c>
      <c r="AJ1398" s="16">
        <f t="shared" si="1614"/>
        <v>0</v>
      </c>
      <c r="AK1398" s="16">
        <f t="shared" si="1614"/>
        <v>0</v>
      </c>
      <c r="AL1398" s="16">
        <f t="shared" si="1614"/>
        <v>0</v>
      </c>
      <c r="AM1398" s="16">
        <f t="shared" si="1614"/>
        <v>0</v>
      </c>
      <c r="AN1398" s="16">
        <f t="shared" si="1614"/>
        <v>0</v>
      </c>
      <c r="AO1398" s="16">
        <f t="shared" si="1614"/>
        <v>0</v>
      </c>
      <c r="AP1398" s="10"/>
      <c r="AQ1398" s="10"/>
      <c r="AR1398" s="10"/>
      <c r="AS1398" s="10" t="str">
        <f t="shared" ca="1" si="1606"/>
        <v>Johnson &amp; Johnson</v>
      </c>
      <c r="AT1398" s="10"/>
      <c r="AU1398" s="10"/>
      <c r="AV1398" s="10"/>
      <c r="AW1398" s="10"/>
      <c r="AX1398" s="10"/>
      <c r="AY1398" s="10"/>
      <c r="AZ1398" s="10"/>
      <c r="BA1398" s="10"/>
      <c r="BB1398" s="10"/>
      <c r="BC1398" s="10"/>
      <c r="BD1398" s="10"/>
      <c r="BE1398" s="10"/>
      <c r="BF1398" s="10"/>
      <c r="BG1398" s="10"/>
      <c r="BH1398" s="10"/>
      <c r="BI1398" s="10"/>
      <c r="BJ1398" s="10"/>
      <c r="BK1398" s="10"/>
      <c r="BM1398" s="10"/>
    </row>
    <row r="1399" spans="1:65" ht="12.75">
      <c r="A1399" s="9"/>
      <c r="B1399" s="10"/>
      <c r="C1399" s="11"/>
      <c r="D1399" s="12"/>
      <c r="E1399" s="10"/>
      <c r="F1399" s="10"/>
      <c r="G1399" s="10"/>
      <c r="H1399" s="14"/>
      <c r="I1399" s="14"/>
      <c r="J1399" s="14"/>
      <c r="K1399" s="14"/>
      <c r="L1399" s="14"/>
      <c r="M1399" s="15"/>
      <c r="N1399" s="10"/>
      <c r="O1399" s="14"/>
      <c r="P1399" s="14"/>
      <c r="Q1399" s="14"/>
      <c r="R1399" s="14"/>
      <c r="S1399" s="14"/>
      <c r="T1399" s="14"/>
      <c r="U1399" s="14"/>
      <c r="V1399" s="14">
        <f t="shared" si="1602"/>
        <v>1900</v>
      </c>
      <c r="W1399" s="14">
        <f t="shared" si="1603"/>
        <v>1</v>
      </c>
      <c r="X1399" s="14"/>
      <c r="Y1399" s="14"/>
      <c r="Z1399" s="14"/>
      <c r="AA1399" s="16" t="str">
        <f t="shared" ca="1" si="1614"/>
        <v>Johnson &amp; Johnson</v>
      </c>
      <c r="AB1399" s="16">
        <f t="shared" si="1614"/>
        <v>0</v>
      </c>
      <c r="AC1399" s="16">
        <f t="shared" si="1614"/>
        <v>0</v>
      </c>
      <c r="AD1399" s="16">
        <f t="shared" si="1614"/>
        <v>0</v>
      </c>
      <c r="AE1399" s="16">
        <f t="shared" si="1614"/>
        <v>0</v>
      </c>
      <c r="AF1399" s="16">
        <f t="shared" si="1614"/>
        <v>0</v>
      </c>
      <c r="AG1399" s="16">
        <f t="shared" si="1614"/>
        <v>0</v>
      </c>
      <c r="AH1399" s="16">
        <f t="shared" si="1614"/>
        <v>0</v>
      </c>
      <c r="AI1399" s="16">
        <f t="shared" si="1614"/>
        <v>0</v>
      </c>
      <c r="AJ1399" s="16">
        <f t="shared" si="1614"/>
        <v>0</v>
      </c>
      <c r="AK1399" s="16">
        <f t="shared" si="1614"/>
        <v>0</v>
      </c>
      <c r="AL1399" s="16">
        <f t="shared" si="1614"/>
        <v>0</v>
      </c>
      <c r="AM1399" s="16">
        <f t="shared" si="1614"/>
        <v>0</v>
      </c>
      <c r="AN1399" s="16">
        <f t="shared" si="1614"/>
        <v>0</v>
      </c>
      <c r="AO1399" s="16">
        <f t="shared" si="1614"/>
        <v>0</v>
      </c>
      <c r="AP1399" s="10"/>
      <c r="AQ1399" s="10"/>
      <c r="AR1399" s="10"/>
      <c r="AS1399" s="10" t="str">
        <f t="shared" ca="1" si="1606"/>
        <v>Johnson &amp; Johnson</v>
      </c>
      <c r="AT1399" s="10"/>
      <c r="AU1399" s="10"/>
      <c r="AV1399" s="10"/>
      <c r="AW1399" s="10"/>
      <c r="AX1399" s="10"/>
      <c r="AY1399" s="10"/>
      <c r="AZ1399" s="10"/>
      <c r="BA1399" s="10"/>
      <c r="BB1399" s="10"/>
      <c r="BC1399" s="10"/>
      <c r="BD1399" s="10"/>
      <c r="BE1399" s="10"/>
      <c r="BF1399" s="10"/>
      <c r="BG1399" s="10"/>
      <c r="BH1399" s="10"/>
      <c r="BI1399" s="10"/>
      <c r="BJ1399" s="10"/>
      <c r="BK1399" s="10"/>
      <c r="BM1399" s="10"/>
    </row>
    <row r="1400" spans="1:65" ht="12.75">
      <c r="A1400" s="9"/>
      <c r="B1400" s="10"/>
      <c r="C1400" s="11"/>
      <c r="D1400" s="12"/>
      <c r="E1400" s="10"/>
      <c r="F1400" s="10"/>
      <c r="G1400" s="10"/>
      <c r="H1400" s="14"/>
      <c r="I1400" s="14"/>
      <c r="J1400" s="14"/>
      <c r="K1400" s="14"/>
      <c r="L1400" s="14"/>
      <c r="M1400" s="15"/>
      <c r="N1400" s="10"/>
      <c r="O1400" s="14"/>
      <c r="P1400" s="14"/>
      <c r="Q1400" s="14"/>
      <c r="R1400" s="14"/>
      <c r="S1400" s="14"/>
      <c r="T1400" s="14"/>
      <c r="U1400" s="14"/>
      <c r="V1400" s="14">
        <f t="shared" si="1602"/>
        <v>1900</v>
      </c>
      <c r="W1400" s="14">
        <f t="shared" si="1603"/>
        <v>1</v>
      </c>
      <c r="X1400" s="14"/>
      <c r="Y1400" s="14"/>
      <c r="Z1400" s="14"/>
      <c r="AA1400" s="16" t="str">
        <f t="shared" ca="1" si="1614"/>
        <v>Johnson &amp; Johnson</v>
      </c>
      <c r="AB1400" s="16">
        <f t="shared" si="1614"/>
        <v>0</v>
      </c>
      <c r="AC1400" s="16">
        <f t="shared" si="1614"/>
        <v>0</v>
      </c>
      <c r="AD1400" s="16">
        <f t="shared" si="1614"/>
        <v>0</v>
      </c>
      <c r="AE1400" s="16">
        <f t="shared" si="1614"/>
        <v>0</v>
      </c>
      <c r="AF1400" s="16">
        <f t="shared" si="1614"/>
        <v>0</v>
      </c>
      <c r="AG1400" s="16">
        <f t="shared" si="1614"/>
        <v>0</v>
      </c>
      <c r="AH1400" s="16">
        <f t="shared" si="1614"/>
        <v>0</v>
      </c>
      <c r="AI1400" s="16">
        <f t="shared" si="1614"/>
        <v>0</v>
      </c>
      <c r="AJ1400" s="16">
        <f t="shared" si="1614"/>
        <v>0</v>
      </c>
      <c r="AK1400" s="16">
        <f t="shared" si="1614"/>
        <v>0</v>
      </c>
      <c r="AL1400" s="16">
        <f t="shared" si="1614"/>
        <v>0</v>
      </c>
      <c r="AM1400" s="16">
        <f t="shared" si="1614"/>
        <v>0</v>
      </c>
      <c r="AN1400" s="16">
        <f t="shared" si="1614"/>
        <v>0</v>
      </c>
      <c r="AO1400" s="16">
        <f t="shared" si="1614"/>
        <v>0</v>
      </c>
      <c r="AP1400" s="10"/>
      <c r="AQ1400" s="10"/>
      <c r="AR1400" s="10"/>
      <c r="AS1400" s="10" t="str">
        <f t="shared" ca="1" si="1606"/>
        <v>Johnson &amp; Johnson</v>
      </c>
      <c r="AT1400" s="10"/>
      <c r="AU1400" s="10"/>
      <c r="AV1400" s="10"/>
      <c r="AW1400" s="10"/>
      <c r="AX1400" s="10"/>
      <c r="AY1400" s="10"/>
      <c r="AZ1400" s="10"/>
      <c r="BA1400" s="10"/>
      <c r="BB1400" s="10"/>
      <c r="BC1400" s="10"/>
      <c r="BD1400" s="10"/>
      <c r="BE1400" s="10"/>
      <c r="BF1400" s="10"/>
      <c r="BG1400" s="10"/>
      <c r="BH1400" s="10"/>
      <c r="BI1400" s="10"/>
      <c r="BJ1400" s="10"/>
      <c r="BK1400" s="10"/>
      <c r="BM1400" s="10"/>
    </row>
    <row r="1401" spans="1:65" ht="12.75">
      <c r="A1401" s="9"/>
      <c r="B1401" s="10"/>
      <c r="C1401" s="11"/>
      <c r="D1401" s="12"/>
      <c r="E1401" s="10"/>
      <c r="F1401" s="10"/>
      <c r="G1401" s="10"/>
      <c r="H1401" s="14"/>
      <c r="I1401" s="14"/>
      <c r="J1401" s="14"/>
      <c r="K1401" s="14"/>
      <c r="L1401" s="14"/>
      <c r="M1401" s="15"/>
      <c r="N1401" s="10"/>
      <c r="O1401" s="14"/>
      <c r="P1401" s="14"/>
      <c r="Q1401" s="14"/>
      <c r="R1401" s="14"/>
      <c r="S1401" s="14"/>
      <c r="T1401" s="14"/>
      <c r="U1401" s="14"/>
      <c r="V1401" s="14">
        <f t="shared" si="1602"/>
        <v>1900</v>
      </c>
      <c r="W1401" s="14">
        <f t="shared" si="1603"/>
        <v>1</v>
      </c>
      <c r="X1401" s="14"/>
      <c r="Y1401" s="14"/>
      <c r="Z1401" s="14"/>
      <c r="AA1401" s="16" t="str">
        <f t="shared" ref="AA1401:AO1416" ca="1" si="1615">AS1401</f>
        <v>Johnson &amp; Johnson</v>
      </c>
      <c r="AB1401" s="16">
        <f t="shared" si="1615"/>
        <v>0</v>
      </c>
      <c r="AC1401" s="16">
        <f t="shared" si="1615"/>
        <v>0</v>
      </c>
      <c r="AD1401" s="16">
        <f t="shared" si="1615"/>
        <v>0</v>
      </c>
      <c r="AE1401" s="16">
        <f t="shared" si="1615"/>
        <v>0</v>
      </c>
      <c r="AF1401" s="16">
        <f t="shared" si="1615"/>
        <v>0</v>
      </c>
      <c r="AG1401" s="16">
        <f t="shared" si="1615"/>
        <v>0</v>
      </c>
      <c r="AH1401" s="16">
        <f t="shared" si="1615"/>
        <v>0</v>
      </c>
      <c r="AI1401" s="16">
        <f t="shared" si="1615"/>
        <v>0</v>
      </c>
      <c r="AJ1401" s="16">
        <f t="shared" si="1615"/>
        <v>0</v>
      </c>
      <c r="AK1401" s="16">
        <f t="shared" si="1615"/>
        <v>0</v>
      </c>
      <c r="AL1401" s="16">
        <f t="shared" si="1615"/>
        <v>0</v>
      </c>
      <c r="AM1401" s="16">
        <f t="shared" si="1615"/>
        <v>0</v>
      </c>
      <c r="AN1401" s="16">
        <f t="shared" si="1615"/>
        <v>0</v>
      </c>
      <c r="AO1401" s="16">
        <f t="shared" si="1615"/>
        <v>0</v>
      </c>
      <c r="AP1401" s="10"/>
      <c r="AQ1401" s="10"/>
      <c r="AR1401" s="10"/>
      <c r="AS1401" s="10" t="str">
        <f t="shared" ca="1" si="1606"/>
        <v>Johnson &amp; Johnson</v>
      </c>
      <c r="AT1401" s="10"/>
      <c r="AU1401" s="10"/>
      <c r="AV1401" s="10"/>
      <c r="AW1401" s="10"/>
      <c r="AX1401" s="10"/>
      <c r="AY1401" s="10"/>
      <c r="AZ1401" s="10"/>
      <c r="BA1401" s="10"/>
      <c r="BB1401" s="10"/>
      <c r="BC1401" s="10"/>
      <c r="BD1401" s="10"/>
      <c r="BE1401" s="10"/>
      <c r="BF1401" s="10"/>
      <c r="BG1401" s="10"/>
      <c r="BH1401" s="10"/>
      <c r="BI1401" s="10"/>
      <c r="BJ1401" s="10"/>
      <c r="BK1401" s="10"/>
      <c r="BM1401" s="10"/>
    </row>
    <row r="1402" spans="1:65" ht="12.75">
      <c r="A1402" s="9"/>
      <c r="B1402" s="10"/>
      <c r="C1402" s="11"/>
      <c r="D1402" s="12"/>
      <c r="E1402" s="10"/>
      <c r="F1402" s="10"/>
      <c r="G1402" s="10"/>
      <c r="H1402" s="14"/>
      <c r="I1402" s="14"/>
      <c r="J1402" s="14"/>
      <c r="K1402" s="14"/>
      <c r="L1402" s="14"/>
      <c r="M1402" s="15"/>
      <c r="N1402" s="10"/>
      <c r="O1402" s="14"/>
      <c r="P1402" s="14"/>
      <c r="Q1402" s="14"/>
      <c r="R1402" s="14"/>
      <c r="S1402" s="14"/>
      <c r="T1402" s="14"/>
      <c r="U1402" s="14"/>
      <c r="V1402" s="14">
        <f t="shared" si="1602"/>
        <v>1900</v>
      </c>
      <c r="W1402" s="14">
        <f t="shared" si="1603"/>
        <v>1</v>
      </c>
      <c r="X1402" s="14"/>
      <c r="Y1402" s="14"/>
      <c r="Z1402" s="14"/>
      <c r="AA1402" s="16" t="str">
        <f t="shared" ca="1" si="1615"/>
        <v>Johnson &amp; Johnson</v>
      </c>
      <c r="AB1402" s="16">
        <f t="shared" si="1615"/>
        <v>0</v>
      </c>
      <c r="AC1402" s="16">
        <f t="shared" si="1615"/>
        <v>0</v>
      </c>
      <c r="AD1402" s="16">
        <f t="shared" si="1615"/>
        <v>0</v>
      </c>
      <c r="AE1402" s="16">
        <f t="shared" si="1615"/>
        <v>0</v>
      </c>
      <c r="AF1402" s="16">
        <f t="shared" si="1615"/>
        <v>0</v>
      </c>
      <c r="AG1402" s="16">
        <f t="shared" si="1615"/>
        <v>0</v>
      </c>
      <c r="AH1402" s="16">
        <f t="shared" si="1615"/>
        <v>0</v>
      </c>
      <c r="AI1402" s="16">
        <f t="shared" si="1615"/>
        <v>0</v>
      </c>
      <c r="AJ1402" s="16">
        <f t="shared" si="1615"/>
        <v>0</v>
      </c>
      <c r="AK1402" s="16">
        <f t="shared" si="1615"/>
        <v>0</v>
      </c>
      <c r="AL1402" s="16">
        <f t="shared" si="1615"/>
        <v>0</v>
      </c>
      <c r="AM1402" s="16">
        <f t="shared" si="1615"/>
        <v>0</v>
      </c>
      <c r="AN1402" s="16">
        <f t="shared" si="1615"/>
        <v>0</v>
      </c>
      <c r="AO1402" s="16">
        <f t="shared" si="1615"/>
        <v>0</v>
      </c>
      <c r="AP1402" s="10"/>
      <c r="AQ1402" s="10"/>
      <c r="AR1402" s="10"/>
      <c r="AS1402" s="10" t="str">
        <f t="shared" ca="1" si="1606"/>
        <v>Johnson &amp; Johnson</v>
      </c>
      <c r="AT1402" s="10"/>
      <c r="AU1402" s="10"/>
      <c r="AV1402" s="10"/>
      <c r="AW1402" s="10"/>
      <c r="AX1402" s="10"/>
      <c r="AY1402" s="10"/>
      <c r="AZ1402" s="10"/>
      <c r="BA1402" s="10"/>
      <c r="BB1402" s="10"/>
      <c r="BC1402" s="10"/>
      <c r="BD1402" s="10"/>
      <c r="BE1402" s="10"/>
      <c r="BF1402" s="10"/>
      <c r="BG1402" s="10"/>
      <c r="BH1402" s="10"/>
      <c r="BI1402" s="10"/>
      <c r="BJ1402" s="10"/>
      <c r="BK1402" s="10"/>
      <c r="BM1402" s="10"/>
    </row>
    <row r="1403" spans="1:65" ht="12.75">
      <c r="A1403" s="9"/>
      <c r="B1403" s="10"/>
      <c r="C1403" s="11"/>
      <c r="D1403" s="12"/>
      <c r="E1403" s="10"/>
      <c r="F1403" s="10"/>
      <c r="G1403" s="10"/>
      <c r="H1403" s="14"/>
      <c r="I1403" s="14"/>
      <c r="J1403" s="14"/>
      <c r="K1403" s="14"/>
      <c r="L1403" s="14"/>
      <c r="M1403" s="15"/>
      <c r="N1403" s="10"/>
      <c r="O1403" s="14"/>
      <c r="P1403" s="14"/>
      <c r="Q1403" s="14"/>
      <c r="R1403" s="14"/>
      <c r="S1403" s="14"/>
      <c r="T1403" s="14"/>
      <c r="U1403" s="14"/>
      <c r="V1403" s="14">
        <f t="shared" si="1602"/>
        <v>1900</v>
      </c>
      <c r="W1403" s="14">
        <f t="shared" si="1603"/>
        <v>1</v>
      </c>
      <c r="X1403" s="14"/>
      <c r="Y1403" s="14"/>
      <c r="Z1403" s="14"/>
      <c r="AA1403" s="16" t="str">
        <f t="shared" ca="1" si="1615"/>
        <v>Johnson &amp; Johnson</v>
      </c>
      <c r="AB1403" s="16">
        <f t="shared" si="1615"/>
        <v>0</v>
      </c>
      <c r="AC1403" s="16">
        <f t="shared" si="1615"/>
        <v>0</v>
      </c>
      <c r="AD1403" s="16">
        <f t="shared" si="1615"/>
        <v>0</v>
      </c>
      <c r="AE1403" s="16">
        <f t="shared" si="1615"/>
        <v>0</v>
      </c>
      <c r="AF1403" s="16">
        <f t="shared" si="1615"/>
        <v>0</v>
      </c>
      <c r="AG1403" s="16">
        <f t="shared" si="1615"/>
        <v>0</v>
      </c>
      <c r="AH1403" s="16">
        <f t="shared" si="1615"/>
        <v>0</v>
      </c>
      <c r="AI1403" s="16">
        <f t="shared" si="1615"/>
        <v>0</v>
      </c>
      <c r="AJ1403" s="16">
        <f t="shared" si="1615"/>
        <v>0</v>
      </c>
      <c r="AK1403" s="16">
        <f t="shared" si="1615"/>
        <v>0</v>
      </c>
      <c r="AL1403" s="16">
        <f t="shared" si="1615"/>
        <v>0</v>
      </c>
      <c r="AM1403" s="16">
        <f t="shared" si="1615"/>
        <v>0</v>
      </c>
      <c r="AN1403" s="16">
        <f t="shared" si="1615"/>
        <v>0</v>
      </c>
      <c r="AO1403" s="16">
        <f t="shared" si="1615"/>
        <v>0</v>
      </c>
      <c r="AP1403" s="10"/>
      <c r="AQ1403" s="10"/>
      <c r="AR1403" s="10"/>
      <c r="AS1403" s="10" t="str">
        <f t="shared" ca="1" si="1606"/>
        <v>Johnson &amp; Johnson</v>
      </c>
      <c r="AT1403" s="10"/>
      <c r="AU1403" s="10"/>
      <c r="AV1403" s="10"/>
      <c r="AW1403" s="10"/>
      <c r="AX1403" s="10"/>
      <c r="AY1403" s="10"/>
      <c r="AZ1403" s="10"/>
      <c r="BA1403" s="10"/>
      <c r="BB1403" s="10"/>
      <c r="BC1403" s="10"/>
      <c r="BD1403" s="10"/>
      <c r="BE1403" s="10"/>
      <c r="BF1403" s="10"/>
      <c r="BG1403" s="10"/>
      <c r="BH1403" s="10"/>
      <c r="BI1403" s="10"/>
      <c r="BJ1403" s="10"/>
      <c r="BK1403" s="10"/>
      <c r="BM1403" s="10"/>
    </row>
    <row r="1404" spans="1:65" ht="12.75">
      <c r="A1404" s="9"/>
      <c r="B1404" s="10"/>
      <c r="C1404" s="11"/>
      <c r="D1404" s="12"/>
      <c r="E1404" s="10"/>
      <c r="F1404" s="10"/>
      <c r="G1404" s="10"/>
      <c r="H1404" s="14"/>
      <c r="I1404" s="14"/>
      <c r="J1404" s="14"/>
      <c r="K1404" s="14"/>
      <c r="L1404" s="14"/>
      <c r="M1404" s="15"/>
      <c r="N1404" s="10"/>
      <c r="O1404" s="14"/>
      <c r="P1404" s="14"/>
      <c r="Q1404" s="14"/>
      <c r="R1404" s="14"/>
      <c r="S1404" s="14"/>
      <c r="T1404" s="14"/>
      <c r="U1404" s="14"/>
      <c r="V1404" s="14">
        <f t="shared" si="1602"/>
        <v>1900</v>
      </c>
      <c r="W1404" s="14">
        <f t="shared" si="1603"/>
        <v>1</v>
      </c>
      <c r="X1404" s="14"/>
      <c r="Y1404" s="14"/>
      <c r="Z1404" s="14"/>
      <c r="AA1404" s="16" t="str">
        <f t="shared" ca="1" si="1615"/>
        <v>Johnson &amp; Johnson</v>
      </c>
      <c r="AB1404" s="16">
        <f t="shared" si="1615"/>
        <v>0</v>
      </c>
      <c r="AC1404" s="16">
        <f t="shared" si="1615"/>
        <v>0</v>
      </c>
      <c r="AD1404" s="16">
        <f t="shared" si="1615"/>
        <v>0</v>
      </c>
      <c r="AE1404" s="16">
        <f t="shared" si="1615"/>
        <v>0</v>
      </c>
      <c r="AF1404" s="16">
        <f t="shared" si="1615"/>
        <v>0</v>
      </c>
      <c r="AG1404" s="16">
        <f t="shared" si="1615"/>
        <v>0</v>
      </c>
      <c r="AH1404" s="16">
        <f t="shared" si="1615"/>
        <v>0</v>
      </c>
      <c r="AI1404" s="16">
        <f t="shared" si="1615"/>
        <v>0</v>
      </c>
      <c r="AJ1404" s="16">
        <f t="shared" si="1615"/>
        <v>0</v>
      </c>
      <c r="AK1404" s="16">
        <f t="shared" si="1615"/>
        <v>0</v>
      </c>
      <c r="AL1404" s="16">
        <f t="shared" si="1615"/>
        <v>0</v>
      </c>
      <c r="AM1404" s="16">
        <f t="shared" si="1615"/>
        <v>0</v>
      </c>
      <c r="AN1404" s="16">
        <f t="shared" si="1615"/>
        <v>0</v>
      </c>
      <c r="AO1404" s="16">
        <f t="shared" si="1615"/>
        <v>0</v>
      </c>
      <c r="AP1404" s="10"/>
      <c r="AQ1404" s="10"/>
      <c r="AR1404" s="10"/>
      <c r="AS1404" s="10" t="str">
        <f t="shared" ca="1" si="1606"/>
        <v>Johnson &amp; Johnson</v>
      </c>
      <c r="AT1404" s="10"/>
      <c r="AU1404" s="10"/>
      <c r="AV1404" s="10"/>
      <c r="AW1404" s="10"/>
      <c r="AX1404" s="10"/>
      <c r="AY1404" s="10"/>
      <c r="AZ1404" s="10"/>
      <c r="BA1404" s="10"/>
      <c r="BB1404" s="10"/>
      <c r="BC1404" s="10"/>
      <c r="BD1404" s="10"/>
      <c r="BE1404" s="10"/>
      <c r="BF1404" s="10"/>
      <c r="BG1404" s="10"/>
      <c r="BH1404" s="10"/>
      <c r="BI1404" s="10"/>
      <c r="BJ1404" s="10"/>
      <c r="BK1404" s="10"/>
      <c r="BM1404" s="10"/>
    </row>
    <row r="1405" spans="1:65" ht="12.75">
      <c r="A1405" s="9"/>
      <c r="B1405" s="10"/>
      <c r="C1405" s="11"/>
      <c r="D1405" s="12"/>
      <c r="E1405" s="10"/>
      <c r="F1405" s="10"/>
      <c r="G1405" s="10"/>
      <c r="H1405" s="14"/>
      <c r="I1405" s="14"/>
      <c r="J1405" s="14"/>
      <c r="K1405" s="14"/>
      <c r="L1405" s="14"/>
      <c r="M1405" s="15"/>
      <c r="N1405" s="10"/>
      <c r="O1405" s="14"/>
      <c r="P1405" s="14"/>
      <c r="Q1405" s="14"/>
      <c r="R1405" s="14"/>
      <c r="S1405" s="14"/>
      <c r="T1405" s="14"/>
      <c r="U1405" s="14"/>
      <c r="V1405" s="14">
        <f t="shared" si="1602"/>
        <v>1900</v>
      </c>
      <c r="W1405" s="14">
        <f t="shared" si="1603"/>
        <v>1</v>
      </c>
      <c r="X1405" s="14"/>
      <c r="Y1405" s="14"/>
      <c r="Z1405" s="14"/>
      <c r="AA1405" s="16" t="str">
        <f t="shared" ca="1" si="1615"/>
        <v>Johnson &amp; Johnson</v>
      </c>
      <c r="AB1405" s="16">
        <f t="shared" si="1615"/>
        <v>0</v>
      </c>
      <c r="AC1405" s="16">
        <f t="shared" si="1615"/>
        <v>0</v>
      </c>
      <c r="AD1405" s="16">
        <f t="shared" si="1615"/>
        <v>0</v>
      </c>
      <c r="AE1405" s="16">
        <f t="shared" si="1615"/>
        <v>0</v>
      </c>
      <c r="AF1405" s="16">
        <f t="shared" si="1615"/>
        <v>0</v>
      </c>
      <c r="AG1405" s="16">
        <f t="shared" si="1615"/>
        <v>0</v>
      </c>
      <c r="AH1405" s="16">
        <f t="shared" si="1615"/>
        <v>0</v>
      </c>
      <c r="AI1405" s="16">
        <f t="shared" si="1615"/>
        <v>0</v>
      </c>
      <c r="AJ1405" s="16">
        <f t="shared" si="1615"/>
        <v>0</v>
      </c>
      <c r="AK1405" s="16">
        <f t="shared" si="1615"/>
        <v>0</v>
      </c>
      <c r="AL1405" s="16">
        <f t="shared" si="1615"/>
        <v>0</v>
      </c>
      <c r="AM1405" s="16">
        <f t="shared" si="1615"/>
        <v>0</v>
      </c>
      <c r="AN1405" s="16">
        <f t="shared" si="1615"/>
        <v>0</v>
      </c>
      <c r="AO1405" s="16">
        <f t="shared" si="1615"/>
        <v>0</v>
      </c>
      <c r="AP1405" s="10"/>
      <c r="AQ1405" s="10"/>
      <c r="AR1405" s="10"/>
      <c r="AS1405" s="10" t="str">
        <f t="shared" ca="1" si="1606"/>
        <v>Johnson &amp; Johnson</v>
      </c>
      <c r="AT1405" s="10"/>
      <c r="AU1405" s="10"/>
      <c r="AV1405" s="10"/>
      <c r="AW1405" s="10"/>
      <c r="AX1405" s="10"/>
      <c r="AY1405" s="10"/>
      <c r="AZ1405" s="10"/>
      <c r="BA1405" s="10"/>
      <c r="BB1405" s="10"/>
      <c r="BC1405" s="10"/>
      <c r="BD1405" s="10"/>
      <c r="BE1405" s="10"/>
      <c r="BF1405" s="10"/>
      <c r="BG1405" s="10"/>
      <c r="BH1405" s="10"/>
      <c r="BI1405" s="10"/>
      <c r="BJ1405" s="10"/>
      <c r="BK1405" s="10"/>
      <c r="BM1405" s="10"/>
    </row>
    <row r="1406" spans="1:65" ht="12.75">
      <c r="A1406" s="9"/>
      <c r="B1406" s="10"/>
      <c r="C1406" s="11"/>
      <c r="D1406" s="12"/>
      <c r="E1406" s="10"/>
      <c r="F1406" s="10"/>
      <c r="G1406" s="10"/>
      <c r="H1406" s="14"/>
      <c r="I1406" s="14"/>
      <c r="J1406" s="14"/>
      <c r="K1406" s="14"/>
      <c r="L1406" s="14"/>
      <c r="M1406" s="15"/>
      <c r="N1406" s="10"/>
      <c r="O1406" s="14"/>
      <c r="P1406" s="14"/>
      <c r="Q1406" s="14"/>
      <c r="R1406" s="14"/>
      <c r="S1406" s="14"/>
      <c r="T1406" s="14"/>
      <c r="U1406" s="14"/>
      <c r="V1406" s="14">
        <f t="shared" si="1602"/>
        <v>1900</v>
      </c>
      <c r="W1406" s="14">
        <f t="shared" si="1603"/>
        <v>1</v>
      </c>
      <c r="X1406" s="14"/>
      <c r="Y1406" s="14"/>
      <c r="Z1406" s="14"/>
      <c r="AA1406" s="16" t="str">
        <f t="shared" ca="1" si="1615"/>
        <v>Johnson &amp; Johnson</v>
      </c>
      <c r="AB1406" s="16">
        <f t="shared" si="1615"/>
        <v>0</v>
      </c>
      <c r="AC1406" s="16">
        <f t="shared" si="1615"/>
        <v>0</v>
      </c>
      <c r="AD1406" s="16">
        <f t="shared" si="1615"/>
        <v>0</v>
      </c>
      <c r="AE1406" s="16">
        <f t="shared" si="1615"/>
        <v>0</v>
      </c>
      <c r="AF1406" s="16">
        <f t="shared" si="1615"/>
        <v>0</v>
      </c>
      <c r="AG1406" s="16">
        <f t="shared" si="1615"/>
        <v>0</v>
      </c>
      <c r="AH1406" s="16">
        <f t="shared" si="1615"/>
        <v>0</v>
      </c>
      <c r="AI1406" s="16">
        <f t="shared" si="1615"/>
        <v>0</v>
      </c>
      <c r="AJ1406" s="16">
        <f t="shared" si="1615"/>
        <v>0</v>
      </c>
      <c r="AK1406" s="16">
        <f t="shared" si="1615"/>
        <v>0</v>
      </c>
      <c r="AL1406" s="16">
        <f t="shared" si="1615"/>
        <v>0</v>
      </c>
      <c r="AM1406" s="16">
        <f t="shared" si="1615"/>
        <v>0</v>
      </c>
      <c r="AN1406" s="16">
        <f t="shared" si="1615"/>
        <v>0</v>
      </c>
      <c r="AO1406" s="16">
        <f t="shared" si="1615"/>
        <v>0</v>
      </c>
      <c r="AP1406" s="10"/>
      <c r="AQ1406" s="10"/>
      <c r="AR1406" s="10"/>
      <c r="AS1406" s="10" t="str">
        <f t="shared" ca="1" si="1606"/>
        <v>Johnson &amp; Johnson</v>
      </c>
      <c r="AT1406" s="10"/>
      <c r="AU1406" s="10"/>
      <c r="AV1406" s="10"/>
      <c r="AW1406" s="10"/>
      <c r="AX1406" s="10"/>
      <c r="AY1406" s="10"/>
      <c r="AZ1406" s="10"/>
      <c r="BA1406" s="10"/>
      <c r="BB1406" s="10"/>
      <c r="BC1406" s="10"/>
      <c r="BD1406" s="10"/>
      <c r="BE1406" s="10"/>
      <c r="BF1406" s="10"/>
      <c r="BG1406" s="10"/>
      <c r="BH1406" s="10"/>
      <c r="BI1406" s="10"/>
      <c r="BJ1406" s="10"/>
      <c r="BK1406" s="10"/>
      <c r="BM1406" s="10"/>
    </row>
    <row r="1407" spans="1:65" ht="12.75">
      <c r="A1407" s="9"/>
      <c r="B1407" s="10"/>
      <c r="C1407" s="11"/>
      <c r="D1407" s="12"/>
      <c r="E1407" s="10"/>
      <c r="F1407" s="10"/>
      <c r="G1407" s="10"/>
      <c r="H1407" s="14"/>
      <c r="I1407" s="14"/>
      <c r="J1407" s="14"/>
      <c r="K1407" s="14"/>
      <c r="L1407" s="14"/>
      <c r="M1407" s="15"/>
      <c r="N1407" s="10"/>
      <c r="O1407" s="14"/>
      <c r="P1407" s="14"/>
      <c r="Q1407" s="14"/>
      <c r="R1407" s="14"/>
      <c r="S1407" s="14"/>
      <c r="T1407" s="14"/>
      <c r="U1407" s="14"/>
      <c r="V1407" s="14">
        <f t="shared" si="1602"/>
        <v>1900</v>
      </c>
      <c r="W1407" s="14">
        <f t="shared" si="1603"/>
        <v>1</v>
      </c>
      <c r="X1407" s="14"/>
      <c r="Y1407" s="14"/>
      <c r="Z1407" s="14"/>
      <c r="AA1407" s="16" t="str">
        <f t="shared" ca="1" si="1615"/>
        <v>Johnson &amp; Johnson</v>
      </c>
      <c r="AB1407" s="16">
        <f t="shared" si="1615"/>
        <v>0</v>
      </c>
      <c r="AC1407" s="16">
        <f t="shared" si="1615"/>
        <v>0</v>
      </c>
      <c r="AD1407" s="16">
        <f t="shared" si="1615"/>
        <v>0</v>
      </c>
      <c r="AE1407" s="16">
        <f t="shared" si="1615"/>
        <v>0</v>
      </c>
      <c r="AF1407" s="16">
        <f t="shared" si="1615"/>
        <v>0</v>
      </c>
      <c r="AG1407" s="16">
        <f t="shared" si="1615"/>
        <v>0</v>
      </c>
      <c r="AH1407" s="16">
        <f t="shared" si="1615"/>
        <v>0</v>
      </c>
      <c r="AI1407" s="16">
        <f t="shared" si="1615"/>
        <v>0</v>
      </c>
      <c r="AJ1407" s="16">
        <f t="shared" si="1615"/>
        <v>0</v>
      </c>
      <c r="AK1407" s="16">
        <f t="shared" si="1615"/>
        <v>0</v>
      </c>
      <c r="AL1407" s="16">
        <f t="shared" si="1615"/>
        <v>0</v>
      </c>
      <c r="AM1407" s="16">
        <f t="shared" si="1615"/>
        <v>0</v>
      </c>
      <c r="AN1407" s="16">
        <f t="shared" si="1615"/>
        <v>0</v>
      </c>
      <c r="AO1407" s="16">
        <f t="shared" si="1615"/>
        <v>0</v>
      </c>
      <c r="AP1407" s="10"/>
      <c r="AQ1407" s="10"/>
      <c r="AR1407" s="10"/>
      <c r="AS1407" s="10" t="str">
        <f t="shared" ca="1" si="1606"/>
        <v>Johnson &amp; Johnson</v>
      </c>
      <c r="AT1407" s="10"/>
      <c r="AU1407" s="10"/>
      <c r="AV1407" s="10"/>
      <c r="AW1407" s="10"/>
      <c r="AX1407" s="10"/>
      <c r="AY1407" s="10"/>
      <c r="AZ1407" s="10"/>
      <c r="BA1407" s="10"/>
      <c r="BB1407" s="10"/>
      <c r="BC1407" s="10"/>
      <c r="BD1407" s="10"/>
      <c r="BE1407" s="10"/>
      <c r="BF1407" s="10"/>
      <c r="BG1407" s="10"/>
      <c r="BH1407" s="10"/>
      <c r="BI1407" s="10"/>
      <c r="BJ1407" s="10"/>
      <c r="BK1407" s="10"/>
      <c r="BM1407" s="10"/>
    </row>
    <row r="1408" spans="1:65" ht="12.75">
      <c r="A1408" s="9"/>
      <c r="B1408" s="10"/>
      <c r="C1408" s="11"/>
      <c r="D1408" s="12"/>
      <c r="E1408" s="10"/>
      <c r="F1408" s="10"/>
      <c r="G1408" s="10"/>
      <c r="H1408" s="14"/>
      <c r="I1408" s="14"/>
      <c r="J1408" s="14"/>
      <c r="K1408" s="14"/>
      <c r="L1408" s="14"/>
      <c r="M1408" s="15"/>
      <c r="N1408" s="10"/>
      <c r="O1408" s="14"/>
      <c r="P1408" s="14"/>
      <c r="Q1408" s="14"/>
      <c r="R1408" s="14"/>
      <c r="S1408" s="14"/>
      <c r="T1408" s="14"/>
      <c r="U1408" s="14"/>
      <c r="V1408" s="14">
        <f t="shared" si="1602"/>
        <v>1900</v>
      </c>
      <c r="W1408" s="14">
        <f t="shared" si="1603"/>
        <v>1</v>
      </c>
      <c r="X1408" s="14"/>
      <c r="Y1408" s="14"/>
      <c r="Z1408" s="14"/>
      <c r="AA1408" s="16" t="str">
        <f t="shared" ca="1" si="1615"/>
        <v>Johnson &amp; Johnson</v>
      </c>
      <c r="AB1408" s="16">
        <f t="shared" si="1615"/>
        <v>0</v>
      </c>
      <c r="AC1408" s="16">
        <f t="shared" si="1615"/>
        <v>0</v>
      </c>
      <c r="AD1408" s="16">
        <f t="shared" si="1615"/>
        <v>0</v>
      </c>
      <c r="AE1408" s="16">
        <f t="shared" si="1615"/>
        <v>0</v>
      </c>
      <c r="AF1408" s="16">
        <f t="shared" si="1615"/>
        <v>0</v>
      </c>
      <c r="AG1408" s="16">
        <f t="shared" si="1615"/>
        <v>0</v>
      </c>
      <c r="AH1408" s="16">
        <f t="shared" si="1615"/>
        <v>0</v>
      </c>
      <c r="AI1408" s="16">
        <f t="shared" si="1615"/>
        <v>0</v>
      </c>
      <c r="AJ1408" s="16">
        <f t="shared" si="1615"/>
        <v>0</v>
      </c>
      <c r="AK1408" s="16">
        <f t="shared" si="1615"/>
        <v>0</v>
      </c>
      <c r="AL1408" s="16">
        <f t="shared" si="1615"/>
        <v>0</v>
      </c>
      <c r="AM1408" s="16">
        <f t="shared" si="1615"/>
        <v>0</v>
      </c>
      <c r="AN1408" s="16">
        <f t="shared" si="1615"/>
        <v>0</v>
      </c>
      <c r="AO1408" s="16">
        <f t="shared" si="1615"/>
        <v>0</v>
      </c>
      <c r="AP1408" s="10"/>
      <c r="AQ1408" s="10"/>
      <c r="AR1408" s="10"/>
      <c r="AS1408" s="10" t="str">
        <f t="shared" ca="1" si="1606"/>
        <v>Johnson &amp; Johnson</v>
      </c>
      <c r="AT1408" s="10"/>
      <c r="AU1408" s="10"/>
      <c r="AV1408" s="10"/>
      <c r="AW1408" s="10"/>
      <c r="AX1408" s="10"/>
      <c r="AY1408" s="10"/>
      <c r="AZ1408" s="10"/>
      <c r="BA1408" s="10"/>
      <c r="BB1408" s="10"/>
      <c r="BC1408" s="10"/>
      <c r="BD1408" s="10"/>
      <c r="BE1408" s="10"/>
      <c r="BF1408" s="10"/>
      <c r="BG1408" s="10"/>
      <c r="BH1408" s="10"/>
      <c r="BI1408" s="10"/>
      <c r="BJ1408" s="10"/>
      <c r="BK1408" s="10"/>
      <c r="BM1408" s="10"/>
    </row>
    <row r="1409" spans="1:65" ht="12.75">
      <c r="A1409" s="9"/>
      <c r="B1409" s="10"/>
      <c r="C1409" s="11"/>
      <c r="D1409" s="12"/>
      <c r="E1409" s="10"/>
      <c r="F1409" s="10"/>
      <c r="G1409" s="10"/>
      <c r="H1409" s="14"/>
      <c r="I1409" s="14"/>
      <c r="J1409" s="14"/>
      <c r="K1409" s="14"/>
      <c r="L1409" s="14"/>
      <c r="M1409" s="15"/>
      <c r="N1409" s="10"/>
      <c r="O1409" s="14"/>
      <c r="P1409" s="14"/>
      <c r="Q1409" s="14"/>
      <c r="R1409" s="14"/>
      <c r="S1409" s="14"/>
      <c r="T1409" s="14"/>
      <c r="U1409" s="14"/>
      <c r="V1409" s="14">
        <f t="shared" si="1602"/>
        <v>1900</v>
      </c>
      <c r="W1409" s="14">
        <f t="shared" si="1603"/>
        <v>1</v>
      </c>
      <c r="X1409" s="14"/>
      <c r="Y1409" s="14"/>
      <c r="Z1409" s="14"/>
      <c r="AA1409" s="16" t="str">
        <f t="shared" ca="1" si="1615"/>
        <v>Johnson &amp; Johnson</v>
      </c>
      <c r="AB1409" s="16">
        <f t="shared" si="1615"/>
        <v>0</v>
      </c>
      <c r="AC1409" s="16">
        <f t="shared" si="1615"/>
        <v>0</v>
      </c>
      <c r="AD1409" s="16">
        <f t="shared" si="1615"/>
        <v>0</v>
      </c>
      <c r="AE1409" s="16">
        <f t="shared" si="1615"/>
        <v>0</v>
      </c>
      <c r="AF1409" s="16">
        <f t="shared" si="1615"/>
        <v>0</v>
      </c>
      <c r="AG1409" s="16">
        <f t="shared" si="1615"/>
        <v>0</v>
      </c>
      <c r="AH1409" s="16">
        <f t="shared" si="1615"/>
        <v>0</v>
      </c>
      <c r="AI1409" s="16">
        <f t="shared" si="1615"/>
        <v>0</v>
      </c>
      <c r="AJ1409" s="16">
        <f t="shared" si="1615"/>
        <v>0</v>
      </c>
      <c r="AK1409" s="16">
        <f t="shared" si="1615"/>
        <v>0</v>
      </c>
      <c r="AL1409" s="16">
        <f t="shared" si="1615"/>
        <v>0</v>
      </c>
      <c r="AM1409" s="16">
        <f t="shared" si="1615"/>
        <v>0</v>
      </c>
      <c r="AN1409" s="16">
        <f t="shared" si="1615"/>
        <v>0</v>
      </c>
      <c r="AO1409" s="16">
        <f t="shared" si="1615"/>
        <v>0</v>
      </c>
      <c r="AP1409" s="10"/>
      <c r="AQ1409" s="10"/>
      <c r="AR1409" s="10"/>
      <c r="AS1409" s="10" t="str">
        <f t="shared" ca="1" si="1606"/>
        <v>Johnson &amp; Johnson</v>
      </c>
      <c r="AT1409" s="10"/>
      <c r="AU1409" s="10"/>
      <c r="AV1409" s="10"/>
      <c r="AW1409" s="10"/>
      <c r="AX1409" s="10"/>
      <c r="AY1409" s="10"/>
      <c r="AZ1409" s="10"/>
      <c r="BA1409" s="10"/>
      <c r="BB1409" s="10"/>
      <c r="BC1409" s="10"/>
      <c r="BD1409" s="10"/>
      <c r="BE1409" s="10"/>
      <c r="BF1409" s="10"/>
      <c r="BG1409" s="10"/>
      <c r="BH1409" s="10"/>
      <c r="BI1409" s="10"/>
      <c r="BJ1409" s="10"/>
      <c r="BK1409" s="10"/>
      <c r="BM1409" s="10"/>
    </row>
    <row r="1410" spans="1:65" ht="12.75">
      <c r="A1410" s="9"/>
      <c r="B1410" s="10"/>
      <c r="C1410" s="11"/>
      <c r="D1410" s="12"/>
      <c r="E1410" s="10"/>
      <c r="F1410" s="10"/>
      <c r="G1410" s="10"/>
      <c r="H1410" s="14"/>
      <c r="I1410" s="14"/>
      <c r="J1410" s="14"/>
      <c r="K1410" s="14"/>
      <c r="L1410" s="14"/>
      <c r="M1410" s="15"/>
      <c r="N1410" s="10"/>
      <c r="O1410" s="14"/>
      <c r="P1410" s="14"/>
      <c r="Q1410" s="14"/>
      <c r="R1410" s="14"/>
      <c r="S1410" s="14"/>
      <c r="T1410" s="14"/>
      <c r="U1410" s="14"/>
      <c r="V1410" s="14">
        <f t="shared" si="1602"/>
        <v>1900</v>
      </c>
      <c r="W1410" s="14">
        <f t="shared" si="1603"/>
        <v>1</v>
      </c>
      <c r="X1410" s="14"/>
      <c r="Y1410" s="14"/>
      <c r="Z1410" s="14"/>
      <c r="AA1410" s="16" t="str">
        <f t="shared" ca="1" si="1615"/>
        <v>Johnson &amp; Johnson</v>
      </c>
      <c r="AB1410" s="16">
        <f t="shared" si="1615"/>
        <v>0</v>
      </c>
      <c r="AC1410" s="16">
        <f t="shared" si="1615"/>
        <v>0</v>
      </c>
      <c r="AD1410" s="16">
        <f t="shared" si="1615"/>
        <v>0</v>
      </c>
      <c r="AE1410" s="16">
        <f t="shared" si="1615"/>
        <v>0</v>
      </c>
      <c r="AF1410" s="16">
        <f t="shared" si="1615"/>
        <v>0</v>
      </c>
      <c r="AG1410" s="16">
        <f t="shared" si="1615"/>
        <v>0</v>
      </c>
      <c r="AH1410" s="16">
        <f t="shared" si="1615"/>
        <v>0</v>
      </c>
      <c r="AI1410" s="16">
        <f t="shared" si="1615"/>
        <v>0</v>
      </c>
      <c r="AJ1410" s="16">
        <f t="shared" si="1615"/>
        <v>0</v>
      </c>
      <c r="AK1410" s="16">
        <f t="shared" si="1615"/>
        <v>0</v>
      </c>
      <c r="AL1410" s="16">
        <f t="shared" si="1615"/>
        <v>0</v>
      </c>
      <c r="AM1410" s="16">
        <f t="shared" si="1615"/>
        <v>0</v>
      </c>
      <c r="AN1410" s="16">
        <f t="shared" si="1615"/>
        <v>0</v>
      </c>
      <c r="AO1410" s="16">
        <f t="shared" si="1615"/>
        <v>0</v>
      </c>
      <c r="AP1410" s="10"/>
      <c r="AQ1410" s="10"/>
      <c r="AR1410" s="10"/>
      <c r="AS1410" s="10" t="str">
        <f t="shared" ca="1" si="1606"/>
        <v>Johnson &amp; Johnson</v>
      </c>
      <c r="AT1410" s="10"/>
      <c r="AU1410" s="10"/>
      <c r="AV1410" s="10"/>
      <c r="AW1410" s="10"/>
      <c r="AX1410" s="10"/>
      <c r="AY1410" s="10"/>
      <c r="AZ1410" s="10"/>
      <c r="BA1410" s="10"/>
      <c r="BB1410" s="10"/>
      <c r="BC1410" s="10"/>
      <c r="BD1410" s="10"/>
      <c r="BE1410" s="10"/>
      <c r="BF1410" s="10"/>
      <c r="BG1410" s="10"/>
      <c r="BH1410" s="10"/>
      <c r="BI1410" s="10"/>
      <c r="BJ1410" s="10"/>
      <c r="BK1410" s="10"/>
      <c r="BM1410" s="10"/>
    </row>
    <row r="1411" spans="1:65" ht="12.75">
      <c r="A1411" s="9"/>
      <c r="B1411" s="10"/>
      <c r="C1411" s="11"/>
      <c r="D1411" s="12"/>
      <c r="E1411" s="10"/>
      <c r="F1411" s="10"/>
      <c r="G1411" s="10"/>
      <c r="H1411" s="14"/>
      <c r="I1411" s="14"/>
      <c r="J1411" s="14"/>
      <c r="K1411" s="14"/>
      <c r="L1411" s="14"/>
      <c r="M1411" s="15"/>
      <c r="N1411" s="10"/>
      <c r="O1411" s="14"/>
      <c r="P1411" s="14"/>
      <c r="Q1411" s="14"/>
      <c r="R1411" s="14"/>
      <c r="S1411" s="14"/>
      <c r="T1411" s="14"/>
      <c r="U1411" s="14"/>
      <c r="V1411" s="14">
        <f t="shared" si="1602"/>
        <v>1900</v>
      </c>
      <c r="W1411" s="14">
        <f t="shared" si="1603"/>
        <v>1</v>
      </c>
      <c r="X1411" s="14"/>
      <c r="Y1411" s="14"/>
      <c r="Z1411" s="14"/>
      <c r="AA1411" s="16" t="str">
        <f t="shared" ca="1" si="1615"/>
        <v>Johnson &amp; Johnson</v>
      </c>
      <c r="AB1411" s="16">
        <f t="shared" si="1615"/>
        <v>0</v>
      </c>
      <c r="AC1411" s="16">
        <f t="shared" si="1615"/>
        <v>0</v>
      </c>
      <c r="AD1411" s="16">
        <f t="shared" si="1615"/>
        <v>0</v>
      </c>
      <c r="AE1411" s="16">
        <f t="shared" si="1615"/>
        <v>0</v>
      </c>
      <c r="AF1411" s="16">
        <f t="shared" si="1615"/>
        <v>0</v>
      </c>
      <c r="AG1411" s="16">
        <f t="shared" si="1615"/>
        <v>0</v>
      </c>
      <c r="AH1411" s="16">
        <f t="shared" si="1615"/>
        <v>0</v>
      </c>
      <c r="AI1411" s="16">
        <f t="shared" si="1615"/>
        <v>0</v>
      </c>
      <c r="AJ1411" s="16">
        <f t="shared" si="1615"/>
        <v>0</v>
      </c>
      <c r="AK1411" s="16">
        <f t="shared" si="1615"/>
        <v>0</v>
      </c>
      <c r="AL1411" s="16">
        <f t="shared" si="1615"/>
        <v>0</v>
      </c>
      <c r="AM1411" s="16">
        <f t="shared" si="1615"/>
        <v>0</v>
      </c>
      <c r="AN1411" s="16">
        <f t="shared" si="1615"/>
        <v>0</v>
      </c>
      <c r="AO1411" s="16">
        <f t="shared" si="1615"/>
        <v>0</v>
      </c>
      <c r="AP1411" s="10"/>
      <c r="AQ1411" s="10"/>
      <c r="AR1411" s="10"/>
      <c r="AS1411" s="10" t="str">
        <f t="shared" ca="1" si="1606"/>
        <v>Johnson &amp; Johnson</v>
      </c>
      <c r="AT1411" s="10"/>
      <c r="AU1411" s="10"/>
      <c r="AV1411" s="10"/>
      <c r="AW1411" s="10"/>
      <c r="AX1411" s="10"/>
      <c r="AY1411" s="10"/>
      <c r="AZ1411" s="10"/>
      <c r="BA1411" s="10"/>
      <c r="BB1411" s="10"/>
      <c r="BC1411" s="10"/>
      <c r="BD1411" s="10"/>
      <c r="BE1411" s="10"/>
      <c r="BF1411" s="10"/>
      <c r="BG1411" s="10"/>
      <c r="BH1411" s="10"/>
      <c r="BI1411" s="10"/>
      <c r="BJ1411" s="10"/>
      <c r="BK1411" s="10"/>
      <c r="BM1411" s="10"/>
    </row>
    <row r="1412" spans="1:65" ht="12.75">
      <c r="A1412" s="9"/>
      <c r="B1412" s="10"/>
      <c r="C1412" s="11"/>
      <c r="D1412" s="12"/>
      <c r="E1412" s="10"/>
      <c r="F1412" s="10"/>
      <c r="G1412" s="10"/>
      <c r="H1412" s="14"/>
      <c r="I1412" s="14"/>
      <c r="J1412" s="14"/>
      <c r="K1412" s="14"/>
      <c r="L1412" s="14"/>
      <c r="M1412" s="15"/>
      <c r="N1412" s="10"/>
      <c r="O1412" s="14"/>
      <c r="P1412" s="14"/>
      <c r="Q1412" s="14"/>
      <c r="R1412" s="14"/>
      <c r="S1412" s="14"/>
      <c r="T1412" s="14"/>
      <c r="U1412" s="14"/>
      <c r="V1412" s="14">
        <f t="shared" si="1602"/>
        <v>1900</v>
      </c>
      <c r="W1412" s="14">
        <f t="shared" si="1603"/>
        <v>1</v>
      </c>
      <c r="X1412" s="14"/>
      <c r="Y1412" s="14"/>
      <c r="Z1412" s="14"/>
      <c r="AA1412" s="16" t="str">
        <f t="shared" ca="1" si="1615"/>
        <v>Johnson &amp; Johnson</v>
      </c>
      <c r="AB1412" s="16">
        <f t="shared" si="1615"/>
        <v>0</v>
      </c>
      <c r="AC1412" s="16">
        <f t="shared" si="1615"/>
        <v>0</v>
      </c>
      <c r="AD1412" s="16">
        <f t="shared" si="1615"/>
        <v>0</v>
      </c>
      <c r="AE1412" s="16">
        <f t="shared" si="1615"/>
        <v>0</v>
      </c>
      <c r="AF1412" s="16">
        <f t="shared" si="1615"/>
        <v>0</v>
      </c>
      <c r="AG1412" s="16">
        <f t="shared" si="1615"/>
        <v>0</v>
      </c>
      <c r="AH1412" s="16">
        <f t="shared" si="1615"/>
        <v>0</v>
      </c>
      <c r="AI1412" s="16">
        <f t="shared" si="1615"/>
        <v>0</v>
      </c>
      <c r="AJ1412" s="16">
        <f t="shared" si="1615"/>
        <v>0</v>
      </c>
      <c r="AK1412" s="16">
        <f t="shared" si="1615"/>
        <v>0</v>
      </c>
      <c r="AL1412" s="16">
        <f t="shared" si="1615"/>
        <v>0</v>
      </c>
      <c r="AM1412" s="16">
        <f t="shared" si="1615"/>
        <v>0</v>
      </c>
      <c r="AN1412" s="16">
        <f t="shared" si="1615"/>
        <v>0</v>
      </c>
      <c r="AO1412" s="16">
        <f t="shared" si="1615"/>
        <v>0</v>
      </c>
      <c r="AP1412" s="10"/>
      <c r="AQ1412" s="10"/>
      <c r="AR1412" s="10"/>
      <c r="AS1412" s="10" t="str">
        <f t="shared" ca="1" si="1606"/>
        <v>Johnson &amp; Johnson</v>
      </c>
      <c r="AT1412" s="10"/>
      <c r="AU1412" s="10"/>
      <c r="AV1412" s="10"/>
      <c r="AW1412" s="10"/>
      <c r="AX1412" s="10"/>
      <c r="AY1412" s="10"/>
      <c r="AZ1412" s="10"/>
      <c r="BA1412" s="10"/>
      <c r="BB1412" s="10"/>
      <c r="BC1412" s="10"/>
      <c r="BD1412" s="10"/>
      <c r="BE1412" s="10"/>
      <c r="BF1412" s="10"/>
      <c r="BG1412" s="10"/>
      <c r="BH1412" s="10"/>
      <c r="BI1412" s="10"/>
      <c r="BJ1412" s="10"/>
      <c r="BK1412" s="10"/>
      <c r="BM1412" s="10"/>
    </row>
    <row r="1413" spans="1:65" ht="12.75">
      <c r="A1413" s="9"/>
      <c r="B1413" s="10"/>
      <c r="C1413" s="11"/>
      <c r="D1413" s="12"/>
      <c r="E1413" s="10"/>
      <c r="F1413" s="10"/>
      <c r="G1413" s="10"/>
      <c r="H1413" s="14"/>
      <c r="I1413" s="14"/>
      <c r="J1413" s="14"/>
      <c r="K1413" s="14"/>
      <c r="L1413" s="14"/>
      <c r="M1413" s="15"/>
      <c r="N1413" s="10"/>
      <c r="O1413" s="14"/>
      <c r="P1413" s="14"/>
      <c r="Q1413" s="14"/>
      <c r="R1413" s="14"/>
      <c r="S1413" s="14"/>
      <c r="T1413" s="14"/>
      <c r="U1413" s="14"/>
      <c r="V1413" s="14">
        <f t="shared" si="1602"/>
        <v>1900</v>
      </c>
      <c r="W1413" s="14">
        <f t="shared" si="1603"/>
        <v>1</v>
      </c>
      <c r="X1413" s="14"/>
      <c r="Y1413" s="14"/>
      <c r="Z1413" s="14"/>
      <c r="AA1413" s="16" t="str">
        <f t="shared" ca="1" si="1615"/>
        <v>Johnson &amp; Johnson</v>
      </c>
      <c r="AB1413" s="16">
        <f t="shared" si="1615"/>
        <v>0</v>
      </c>
      <c r="AC1413" s="16">
        <f t="shared" si="1615"/>
        <v>0</v>
      </c>
      <c r="AD1413" s="16">
        <f t="shared" si="1615"/>
        <v>0</v>
      </c>
      <c r="AE1413" s="16">
        <f t="shared" si="1615"/>
        <v>0</v>
      </c>
      <c r="AF1413" s="16">
        <f t="shared" si="1615"/>
        <v>0</v>
      </c>
      <c r="AG1413" s="16">
        <f t="shared" si="1615"/>
        <v>0</v>
      </c>
      <c r="AH1413" s="16">
        <f t="shared" si="1615"/>
        <v>0</v>
      </c>
      <c r="AI1413" s="16">
        <f t="shared" si="1615"/>
        <v>0</v>
      </c>
      <c r="AJ1413" s="16">
        <f t="shared" si="1615"/>
        <v>0</v>
      </c>
      <c r="AK1413" s="16">
        <f t="shared" si="1615"/>
        <v>0</v>
      </c>
      <c r="AL1413" s="16">
        <f t="shared" si="1615"/>
        <v>0</v>
      </c>
      <c r="AM1413" s="16">
        <f t="shared" si="1615"/>
        <v>0</v>
      </c>
      <c r="AN1413" s="16">
        <f t="shared" si="1615"/>
        <v>0</v>
      </c>
      <c r="AO1413" s="16">
        <f t="shared" si="1615"/>
        <v>0</v>
      </c>
      <c r="AP1413" s="10"/>
      <c r="AQ1413" s="10"/>
      <c r="AR1413" s="10"/>
      <c r="AS1413" s="10" t="str">
        <f t="shared" ca="1" si="1606"/>
        <v>Johnson &amp; Johnson</v>
      </c>
      <c r="AT1413" s="10"/>
      <c r="AU1413" s="10"/>
      <c r="AV1413" s="10"/>
      <c r="AW1413" s="10"/>
      <c r="AX1413" s="10"/>
      <c r="AY1413" s="10"/>
      <c r="AZ1413" s="10"/>
      <c r="BA1413" s="10"/>
      <c r="BB1413" s="10"/>
      <c r="BC1413" s="10"/>
      <c r="BD1413" s="10"/>
      <c r="BE1413" s="10"/>
      <c r="BF1413" s="10"/>
      <c r="BG1413" s="10"/>
      <c r="BH1413" s="10"/>
      <c r="BI1413" s="10"/>
      <c r="BJ1413" s="10"/>
      <c r="BK1413" s="10"/>
      <c r="BM1413" s="10"/>
    </row>
    <row r="1414" spans="1:65" ht="12.75">
      <c r="A1414" s="9"/>
      <c r="B1414" s="10"/>
      <c r="C1414" s="11"/>
      <c r="D1414" s="12"/>
      <c r="E1414" s="10"/>
      <c r="F1414" s="10"/>
      <c r="G1414" s="10"/>
      <c r="H1414" s="14"/>
      <c r="I1414" s="14"/>
      <c r="J1414" s="14"/>
      <c r="K1414" s="14"/>
      <c r="L1414" s="14"/>
      <c r="M1414" s="15"/>
      <c r="N1414" s="10"/>
      <c r="O1414" s="14"/>
      <c r="P1414" s="14"/>
      <c r="Q1414" s="14"/>
      <c r="R1414" s="14"/>
      <c r="S1414" s="14"/>
      <c r="T1414" s="14"/>
      <c r="U1414" s="14"/>
      <c r="V1414" s="14">
        <f t="shared" si="1602"/>
        <v>1900</v>
      </c>
      <c r="W1414" s="14">
        <f t="shared" si="1603"/>
        <v>1</v>
      </c>
      <c r="X1414" s="14"/>
      <c r="Y1414" s="14"/>
      <c r="Z1414" s="14"/>
      <c r="AA1414" s="16" t="str">
        <f t="shared" ca="1" si="1615"/>
        <v>Johnson &amp; Johnson</v>
      </c>
      <c r="AB1414" s="16">
        <f t="shared" si="1615"/>
        <v>0</v>
      </c>
      <c r="AC1414" s="16">
        <f t="shared" si="1615"/>
        <v>0</v>
      </c>
      <c r="AD1414" s="16">
        <f t="shared" si="1615"/>
        <v>0</v>
      </c>
      <c r="AE1414" s="16">
        <f t="shared" si="1615"/>
        <v>0</v>
      </c>
      <c r="AF1414" s="16">
        <f t="shared" si="1615"/>
        <v>0</v>
      </c>
      <c r="AG1414" s="16">
        <f t="shared" si="1615"/>
        <v>0</v>
      </c>
      <c r="AH1414" s="16">
        <f t="shared" si="1615"/>
        <v>0</v>
      </c>
      <c r="AI1414" s="16">
        <f t="shared" si="1615"/>
        <v>0</v>
      </c>
      <c r="AJ1414" s="16">
        <f t="shared" si="1615"/>
        <v>0</v>
      </c>
      <c r="AK1414" s="16">
        <f t="shared" si="1615"/>
        <v>0</v>
      </c>
      <c r="AL1414" s="16">
        <f t="shared" si="1615"/>
        <v>0</v>
      </c>
      <c r="AM1414" s="16">
        <f t="shared" si="1615"/>
        <v>0</v>
      </c>
      <c r="AN1414" s="16">
        <f t="shared" si="1615"/>
        <v>0</v>
      </c>
      <c r="AO1414" s="16">
        <f t="shared" si="1615"/>
        <v>0</v>
      </c>
      <c r="AP1414" s="10"/>
      <c r="AQ1414" s="10"/>
      <c r="AR1414" s="10"/>
      <c r="AS1414" s="10" t="str">
        <f t="shared" ca="1" si="1606"/>
        <v>Johnson &amp; Johnson</v>
      </c>
      <c r="AT1414" s="10"/>
      <c r="AU1414" s="10"/>
      <c r="AV1414" s="10"/>
      <c r="AW1414" s="10"/>
      <c r="AX1414" s="10"/>
      <c r="AY1414" s="10"/>
      <c r="AZ1414" s="10"/>
      <c r="BA1414" s="10"/>
      <c r="BB1414" s="10"/>
      <c r="BC1414" s="10"/>
      <c r="BD1414" s="10"/>
      <c r="BE1414" s="10"/>
      <c r="BF1414" s="10"/>
      <c r="BG1414" s="10"/>
      <c r="BH1414" s="10"/>
      <c r="BI1414" s="10"/>
      <c r="BJ1414" s="10"/>
      <c r="BK1414" s="10"/>
      <c r="BM1414" s="10"/>
    </row>
    <row r="1415" spans="1:65" ht="12.75">
      <c r="A1415" s="9"/>
      <c r="B1415" s="10"/>
      <c r="C1415" s="11"/>
      <c r="D1415" s="12"/>
      <c r="E1415" s="10"/>
      <c r="F1415" s="10"/>
      <c r="G1415" s="10"/>
      <c r="H1415" s="14"/>
      <c r="I1415" s="14"/>
      <c r="J1415" s="14"/>
      <c r="K1415" s="14"/>
      <c r="L1415" s="14"/>
      <c r="M1415" s="15"/>
      <c r="N1415" s="10"/>
      <c r="O1415" s="14"/>
      <c r="P1415" s="14"/>
      <c r="Q1415" s="14"/>
      <c r="R1415" s="14"/>
      <c r="S1415" s="14"/>
      <c r="T1415" s="14"/>
      <c r="U1415" s="14"/>
      <c r="V1415" s="14">
        <f t="shared" si="1602"/>
        <v>1900</v>
      </c>
      <c r="W1415" s="14">
        <f t="shared" si="1603"/>
        <v>1</v>
      </c>
      <c r="X1415" s="14"/>
      <c r="Y1415" s="14"/>
      <c r="Z1415" s="14"/>
      <c r="AA1415" s="16" t="str">
        <f t="shared" ca="1" si="1615"/>
        <v>Johnson &amp; Johnson</v>
      </c>
      <c r="AB1415" s="16">
        <f t="shared" si="1615"/>
        <v>0</v>
      </c>
      <c r="AC1415" s="16">
        <f t="shared" si="1615"/>
        <v>0</v>
      </c>
      <c r="AD1415" s="16">
        <f t="shared" si="1615"/>
        <v>0</v>
      </c>
      <c r="AE1415" s="16">
        <f t="shared" si="1615"/>
        <v>0</v>
      </c>
      <c r="AF1415" s="16">
        <f t="shared" si="1615"/>
        <v>0</v>
      </c>
      <c r="AG1415" s="16">
        <f t="shared" si="1615"/>
        <v>0</v>
      </c>
      <c r="AH1415" s="16">
        <f t="shared" si="1615"/>
        <v>0</v>
      </c>
      <c r="AI1415" s="16">
        <f t="shared" si="1615"/>
        <v>0</v>
      </c>
      <c r="AJ1415" s="16">
        <f t="shared" si="1615"/>
        <v>0</v>
      </c>
      <c r="AK1415" s="16">
        <f t="shared" si="1615"/>
        <v>0</v>
      </c>
      <c r="AL1415" s="16">
        <f t="shared" si="1615"/>
        <v>0</v>
      </c>
      <c r="AM1415" s="16">
        <f t="shared" si="1615"/>
        <v>0</v>
      </c>
      <c r="AN1415" s="16">
        <f t="shared" si="1615"/>
        <v>0</v>
      </c>
      <c r="AO1415" s="16">
        <f t="shared" si="1615"/>
        <v>0</v>
      </c>
      <c r="AP1415" s="10"/>
      <c r="AQ1415" s="10"/>
      <c r="AR1415" s="10"/>
      <c r="AS1415" s="10" t="str">
        <f t="shared" ca="1" si="1606"/>
        <v>Johnson &amp; Johnson</v>
      </c>
      <c r="AT1415" s="10"/>
      <c r="AU1415" s="10"/>
      <c r="AV1415" s="10"/>
      <c r="AW1415" s="10"/>
      <c r="AX1415" s="10"/>
      <c r="AY1415" s="10"/>
      <c r="AZ1415" s="10"/>
      <c r="BA1415" s="10"/>
      <c r="BB1415" s="10"/>
      <c r="BC1415" s="10"/>
      <c r="BD1415" s="10"/>
      <c r="BE1415" s="10"/>
      <c r="BF1415" s="10"/>
      <c r="BG1415" s="10"/>
      <c r="BH1415" s="10"/>
      <c r="BI1415" s="10"/>
      <c r="BJ1415" s="10"/>
      <c r="BK1415" s="10"/>
      <c r="BM1415" s="10"/>
    </row>
    <row r="1416" spans="1:65" ht="12.75">
      <c r="A1416" s="9"/>
      <c r="B1416" s="10"/>
      <c r="C1416" s="11"/>
      <c r="D1416" s="12"/>
      <c r="E1416" s="10"/>
      <c r="F1416" s="10"/>
      <c r="G1416" s="10"/>
      <c r="H1416" s="14"/>
      <c r="I1416" s="14"/>
      <c r="J1416" s="14"/>
      <c r="K1416" s="14"/>
      <c r="L1416" s="14"/>
      <c r="M1416" s="15"/>
      <c r="N1416" s="10"/>
      <c r="O1416" s="14"/>
      <c r="P1416" s="14"/>
      <c r="Q1416" s="14"/>
      <c r="R1416" s="14"/>
      <c r="S1416" s="14"/>
      <c r="T1416" s="14"/>
      <c r="U1416" s="14"/>
      <c r="V1416" s="14">
        <f t="shared" si="1602"/>
        <v>1900</v>
      </c>
      <c r="W1416" s="14">
        <f t="shared" si="1603"/>
        <v>1</v>
      </c>
      <c r="X1416" s="14"/>
      <c r="Y1416" s="14"/>
      <c r="Z1416" s="14"/>
      <c r="AA1416" s="16" t="str">
        <f t="shared" ca="1" si="1615"/>
        <v>Johnson &amp; Johnson</v>
      </c>
      <c r="AB1416" s="16">
        <f t="shared" si="1615"/>
        <v>0</v>
      </c>
      <c r="AC1416" s="16">
        <f t="shared" si="1615"/>
        <v>0</v>
      </c>
      <c r="AD1416" s="16">
        <f t="shared" si="1615"/>
        <v>0</v>
      </c>
      <c r="AE1416" s="16">
        <f t="shared" si="1615"/>
        <v>0</v>
      </c>
      <c r="AF1416" s="16">
        <f t="shared" si="1615"/>
        <v>0</v>
      </c>
      <c r="AG1416" s="16">
        <f t="shared" si="1615"/>
        <v>0</v>
      </c>
      <c r="AH1416" s="16">
        <f t="shared" si="1615"/>
        <v>0</v>
      </c>
      <c r="AI1416" s="16">
        <f t="shared" si="1615"/>
        <v>0</v>
      </c>
      <c r="AJ1416" s="16">
        <f t="shared" si="1615"/>
        <v>0</v>
      </c>
      <c r="AK1416" s="16">
        <f t="shared" si="1615"/>
        <v>0</v>
      </c>
      <c r="AL1416" s="16">
        <f t="shared" si="1615"/>
        <v>0</v>
      </c>
      <c r="AM1416" s="16">
        <f t="shared" si="1615"/>
        <v>0</v>
      </c>
      <c r="AN1416" s="16">
        <f t="shared" si="1615"/>
        <v>0</v>
      </c>
      <c r="AO1416" s="16">
        <f t="shared" si="1615"/>
        <v>0</v>
      </c>
      <c r="AP1416" s="10"/>
      <c r="AQ1416" s="10"/>
      <c r="AR1416" s="10"/>
      <c r="AS1416" s="10" t="str">
        <f t="shared" ca="1" si="1606"/>
        <v>Johnson &amp; Johnson</v>
      </c>
      <c r="AT1416" s="10"/>
      <c r="AU1416" s="10"/>
      <c r="AV1416" s="10"/>
      <c r="AW1416" s="10"/>
      <c r="AX1416" s="10"/>
      <c r="AY1416" s="10"/>
      <c r="AZ1416" s="10"/>
      <c r="BA1416" s="10"/>
      <c r="BB1416" s="10"/>
      <c r="BC1416" s="10"/>
      <c r="BD1416" s="10"/>
      <c r="BE1416" s="10"/>
      <c r="BF1416" s="10"/>
      <c r="BG1416" s="10"/>
      <c r="BH1416" s="10"/>
      <c r="BI1416" s="10"/>
      <c r="BJ1416" s="10"/>
      <c r="BK1416" s="10"/>
      <c r="BM1416" s="10"/>
    </row>
    <row r="1417" spans="1:65" ht="12.75">
      <c r="A1417" s="9"/>
      <c r="B1417" s="10"/>
      <c r="C1417" s="11"/>
      <c r="D1417" s="12"/>
      <c r="E1417" s="10"/>
      <c r="F1417" s="10"/>
      <c r="G1417" s="10"/>
      <c r="H1417" s="14"/>
      <c r="I1417" s="14"/>
      <c r="J1417" s="14"/>
      <c r="K1417" s="14"/>
      <c r="L1417" s="14"/>
      <c r="M1417" s="15"/>
      <c r="N1417" s="10"/>
      <c r="O1417" s="14"/>
      <c r="P1417" s="14"/>
      <c r="Q1417" s="14"/>
      <c r="R1417" s="14"/>
      <c r="S1417" s="14"/>
      <c r="T1417" s="14"/>
      <c r="U1417" s="14"/>
      <c r="V1417" s="14">
        <f t="shared" si="1602"/>
        <v>1900</v>
      </c>
      <c r="W1417" s="14">
        <f t="shared" si="1603"/>
        <v>1</v>
      </c>
      <c r="X1417" s="14"/>
      <c r="Y1417" s="14"/>
      <c r="Z1417" s="14"/>
      <c r="AA1417" s="16" t="str">
        <f t="shared" ref="AA1417:AO1432" ca="1" si="1616">AS1417</f>
        <v>Johnson &amp; Johnson</v>
      </c>
      <c r="AB1417" s="16">
        <f t="shared" si="1616"/>
        <v>0</v>
      </c>
      <c r="AC1417" s="16">
        <f t="shared" si="1616"/>
        <v>0</v>
      </c>
      <c r="AD1417" s="16">
        <f t="shared" si="1616"/>
        <v>0</v>
      </c>
      <c r="AE1417" s="16">
        <f t="shared" si="1616"/>
        <v>0</v>
      </c>
      <c r="AF1417" s="16">
        <f t="shared" si="1616"/>
        <v>0</v>
      </c>
      <c r="AG1417" s="16">
        <f t="shared" si="1616"/>
        <v>0</v>
      </c>
      <c r="AH1417" s="16">
        <f t="shared" si="1616"/>
        <v>0</v>
      </c>
      <c r="AI1417" s="16">
        <f t="shared" si="1616"/>
        <v>0</v>
      </c>
      <c r="AJ1417" s="16">
        <f t="shared" si="1616"/>
        <v>0</v>
      </c>
      <c r="AK1417" s="16">
        <f t="shared" si="1616"/>
        <v>0</v>
      </c>
      <c r="AL1417" s="16">
        <f t="shared" si="1616"/>
        <v>0</v>
      </c>
      <c r="AM1417" s="16">
        <f t="shared" si="1616"/>
        <v>0</v>
      </c>
      <c r="AN1417" s="16">
        <f t="shared" si="1616"/>
        <v>0</v>
      </c>
      <c r="AO1417" s="16">
        <f t="shared" si="1616"/>
        <v>0</v>
      </c>
      <c r="AP1417" s="10"/>
      <c r="AQ1417" s="10"/>
      <c r="AR1417" s="10"/>
      <c r="AS1417" s="10" t="str">
        <f t="shared" ca="1" si="1606"/>
        <v>Johnson &amp; Johnson</v>
      </c>
      <c r="AT1417" s="10"/>
      <c r="AU1417" s="10"/>
      <c r="AV1417" s="10"/>
      <c r="AW1417" s="10"/>
      <c r="AX1417" s="10"/>
      <c r="AY1417" s="10"/>
      <c r="AZ1417" s="10"/>
      <c r="BA1417" s="10"/>
      <c r="BB1417" s="10"/>
      <c r="BC1417" s="10"/>
      <c r="BD1417" s="10"/>
      <c r="BE1417" s="10"/>
      <c r="BF1417" s="10"/>
      <c r="BG1417" s="10"/>
      <c r="BH1417" s="10"/>
      <c r="BI1417" s="10"/>
      <c r="BJ1417" s="10"/>
      <c r="BK1417" s="10"/>
      <c r="BM1417" s="10"/>
    </row>
    <row r="1418" spans="1:65" ht="12.75">
      <c r="A1418" s="9"/>
      <c r="B1418" s="10"/>
      <c r="C1418" s="11"/>
      <c r="D1418" s="12"/>
      <c r="E1418" s="10"/>
      <c r="F1418" s="10"/>
      <c r="G1418" s="10"/>
      <c r="H1418" s="14"/>
      <c r="I1418" s="14"/>
      <c r="J1418" s="14"/>
      <c r="K1418" s="14"/>
      <c r="L1418" s="14"/>
      <c r="M1418" s="15"/>
      <c r="N1418" s="10"/>
      <c r="O1418" s="14"/>
      <c r="P1418" s="14"/>
      <c r="Q1418" s="14"/>
      <c r="R1418" s="14"/>
      <c r="S1418" s="14"/>
      <c r="T1418" s="14"/>
      <c r="U1418" s="14"/>
      <c r="V1418" s="14">
        <f t="shared" si="1602"/>
        <v>1900</v>
      </c>
      <c r="W1418" s="14">
        <f t="shared" si="1603"/>
        <v>1</v>
      </c>
      <c r="X1418" s="14"/>
      <c r="Y1418" s="14"/>
      <c r="Z1418" s="14"/>
      <c r="AA1418" s="16" t="str">
        <f t="shared" ca="1" si="1616"/>
        <v>Johnson &amp; Johnson</v>
      </c>
      <c r="AB1418" s="16">
        <f t="shared" si="1616"/>
        <v>0</v>
      </c>
      <c r="AC1418" s="16">
        <f t="shared" si="1616"/>
        <v>0</v>
      </c>
      <c r="AD1418" s="16">
        <f t="shared" si="1616"/>
        <v>0</v>
      </c>
      <c r="AE1418" s="16">
        <f t="shared" si="1616"/>
        <v>0</v>
      </c>
      <c r="AF1418" s="16">
        <f t="shared" si="1616"/>
        <v>0</v>
      </c>
      <c r="AG1418" s="16">
        <f t="shared" si="1616"/>
        <v>0</v>
      </c>
      <c r="AH1418" s="16">
        <f t="shared" si="1616"/>
        <v>0</v>
      </c>
      <c r="AI1418" s="16">
        <f t="shared" si="1616"/>
        <v>0</v>
      </c>
      <c r="AJ1418" s="16">
        <f t="shared" si="1616"/>
        <v>0</v>
      </c>
      <c r="AK1418" s="16">
        <f t="shared" si="1616"/>
        <v>0</v>
      </c>
      <c r="AL1418" s="16">
        <f t="shared" si="1616"/>
        <v>0</v>
      </c>
      <c r="AM1418" s="16">
        <f t="shared" si="1616"/>
        <v>0</v>
      </c>
      <c r="AN1418" s="16">
        <f t="shared" si="1616"/>
        <v>0</v>
      </c>
      <c r="AO1418" s="16">
        <f t="shared" si="1616"/>
        <v>0</v>
      </c>
      <c r="AP1418" s="10"/>
      <c r="AQ1418" s="10"/>
      <c r="AR1418" s="10"/>
      <c r="AS1418" s="10" t="str">
        <f t="shared" ca="1" si="1606"/>
        <v>Johnson &amp; Johnson</v>
      </c>
      <c r="AT1418" s="10"/>
      <c r="AU1418" s="10"/>
      <c r="AV1418" s="10"/>
      <c r="AW1418" s="10"/>
      <c r="AX1418" s="10"/>
      <c r="AY1418" s="10"/>
      <c r="AZ1418" s="10"/>
      <c r="BA1418" s="10"/>
      <c r="BB1418" s="10"/>
      <c r="BC1418" s="10"/>
      <c r="BD1418" s="10"/>
      <c r="BE1418" s="10"/>
      <c r="BF1418" s="10"/>
      <c r="BG1418" s="10"/>
      <c r="BH1418" s="10"/>
      <c r="BI1418" s="10"/>
      <c r="BJ1418" s="10"/>
      <c r="BK1418" s="10"/>
      <c r="BM1418" s="10"/>
    </row>
    <row r="1419" spans="1:65" ht="12.75">
      <c r="A1419" s="9"/>
      <c r="B1419" s="10"/>
      <c r="C1419" s="11"/>
      <c r="D1419" s="12"/>
      <c r="E1419" s="10"/>
      <c r="F1419" s="10"/>
      <c r="G1419" s="10"/>
      <c r="H1419" s="14"/>
      <c r="I1419" s="14"/>
      <c r="J1419" s="14"/>
      <c r="K1419" s="14"/>
      <c r="L1419" s="14"/>
      <c r="M1419" s="15"/>
      <c r="N1419" s="10"/>
      <c r="O1419" s="14"/>
      <c r="P1419" s="14"/>
      <c r="Q1419" s="14"/>
      <c r="R1419" s="14"/>
      <c r="S1419" s="14"/>
      <c r="T1419" s="14"/>
      <c r="U1419" s="14"/>
      <c r="V1419" s="14">
        <f t="shared" si="1602"/>
        <v>1900</v>
      </c>
      <c r="W1419" s="14">
        <f t="shared" si="1603"/>
        <v>1</v>
      </c>
      <c r="X1419" s="14"/>
      <c r="Y1419" s="14"/>
      <c r="Z1419" s="14"/>
      <c r="AA1419" s="16" t="str">
        <f t="shared" ca="1" si="1616"/>
        <v>Johnson &amp; Johnson</v>
      </c>
      <c r="AB1419" s="16">
        <f t="shared" si="1616"/>
        <v>0</v>
      </c>
      <c r="AC1419" s="16">
        <f t="shared" si="1616"/>
        <v>0</v>
      </c>
      <c r="AD1419" s="16">
        <f t="shared" si="1616"/>
        <v>0</v>
      </c>
      <c r="AE1419" s="16">
        <f t="shared" si="1616"/>
        <v>0</v>
      </c>
      <c r="AF1419" s="16">
        <f t="shared" si="1616"/>
        <v>0</v>
      </c>
      <c r="AG1419" s="16">
        <f t="shared" si="1616"/>
        <v>0</v>
      </c>
      <c r="AH1419" s="16">
        <f t="shared" si="1616"/>
        <v>0</v>
      </c>
      <c r="AI1419" s="16">
        <f t="shared" si="1616"/>
        <v>0</v>
      </c>
      <c r="AJ1419" s="16">
        <f t="shared" si="1616"/>
        <v>0</v>
      </c>
      <c r="AK1419" s="16">
        <f t="shared" si="1616"/>
        <v>0</v>
      </c>
      <c r="AL1419" s="16">
        <f t="shared" si="1616"/>
        <v>0</v>
      </c>
      <c r="AM1419" s="16">
        <f t="shared" si="1616"/>
        <v>0</v>
      </c>
      <c r="AN1419" s="16">
        <f t="shared" si="1616"/>
        <v>0</v>
      </c>
      <c r="AO1419" s="16">
        <f t="shared" si="1616"/>
        <v>0</v>
      </c>
      <c r="AP1419" s="10"/>
      <c r="AQ1419" s="10"/>
      <c r="AR1419" s="10"/>
      <c r="AS1419" s="10" t="str">
        <f t="shared" ca="1" si="1606"/>
        <v>Johnson &amp; Johnson</v>
      </c>
      <c r="AT1419" s="10"/>
      <c r="AU1419" s="10"/>
      <c r="AV1419" s="10"/>
      <c r="AW1419" s="10"/>
      <c r="AX1419" s="10"/>
      <c r="AY1419" s="10"/>
      <c r="AZ1419" s="10"/>
      <c r="BA1419" s="10"/>
      <c r="BB1419" s="10"/>
      <c r="BC1419" s="10"/>
      <c r="BD1419" s="10"/>
      <c r="BE1419" s="10"/>
      <c r="BF1419" s="10"/>
      <c r="BG1419" s="10"/>
      <c r="BH1419" s="10"/>
      <c r="BI1419" s="10"/>
      <c r="BJ1419" s="10"/>
      <c r="BK1419" s="10"/>
      <c r="BM1419" s="10"/>
    </row>
    <row r="1420" spans="1:65" ht="12.75">
      <c r="A1420" s="9"/>
      <c r="B1420" s="10"/>
      <c r="C1420" s="11"/>
      <c r="D1420" s="12"/>
      <c r="E1420" s="10"/>
      <c r="F1420" s="10"/>
      <c r="G1420" s="10"/>
      <c r="H1420" s="14"/>
      <c r="I1420" s="14"/>
      <c r="J1420" s="14"/>
      <c r="K1420" s="14"/>
      <c r="L1420" s="14"/>
      <c r="M1420" s="15"/>
      <c r="N1420" s="10"/>
      <c r="O1420" s="14"/>
      <c r="P1420" s="14"/>
      <c r="Q1420" s="14"/>
      <c r="R1420" s="14"/>
      <c r="S1420" s="14"/>
      <c r="T1420" s="14"/>
      <c r="U1420" s="14"/>
      <c r="V1420" s="14">
        <f t="shared" si="1602"/>
        <v>1900</v>
      </c>
      <c r="W1420" s="14">
        <f t="shared" si="1603"/>
        <v>1</v>
      </c>
      <c r="X1420" s="14"/>
      <c r="Y1420" s="14"/>
      <c r="Z1420" s="14"/>
      <c r="AA1420" s="16" t="str">
        <f t="shared" ca="1" si="1616"/>
        <v>Johnson &amp; Johnson</v>
      </c>
      <c r="AB1420" s="16">
        <f t="shared" si="1616"/>
        <v>0</v>
      </c>
      <c r="AC1420" s="16">
        <f t="shared" si="1616"/>
        <v>0</v>
      </c>
      <c r="AD1420" s="16">
        <f t="shared" si="1616"/>
        <v>0</v>
      </c>
      <c r="AE1420" s="16">
        <f t="shared" si="1616"/>
        <v>0</v>
      </c>
      <c r="AF1420" s="16">
        <f t="shared" si="1616"/>
        <v>0</v>
      </c>
      <c r="AG1420" s="16">
        <f t="shared" si="1616"/>
        <v>0</v>
      </c>
      <c r="AH1420" s="16">
        <f t="shared" si="1616"/>
        <v>0</v>
      </c>
      <c r="AI1420" s="16">
        <f t="shared" si="1616"/>
        <v>0</v>
      </c>
      <c r="AJ1420" s="16">
        <f t="shared" si="1616"/>
        <v>0</v>
      </c>
      <c r="AK1420" s="16">
        <f t="shared" si="1616"/>
        <v>0</v>
      </c>
      <c r="AL1420" s="16">
        <f t="shared" si="1616"/>
        <v>0</v>
      </c>
      <c r="AM1420" s="16">
        <f t="shared" si="1616"/>
        <v>0</v>
      </c>
      <c r="AN1420" s="16">
        <f t="shared" si="1616"/>
        <v>0</v>
      </c>
      <c r="AO1420" s="16">
        <f t="shared" si="1616"/>
        <v>0</v>
      </c>
      <c r="AP1420" s="10"/>
      <c r="AQ1420" s="10"/>
      <c r="AR1420" s="10"/>
      <c r="AS1420" s="10" t="str">
        <f t="shared" ca="1" si="1606"/>
        <v>Johnson &amp; Johnson</v>
      </c>
      <c r="AT1420" s="10"/>
      <c r="AU1420" s="10"/>
      <c r="AV1420" s="10"/>
      <c r="AW1420" s="10"/>
      <c r="AX1420" s="10"/>
      <c r="AY1420" s="10"/>
      <c r="AZ1420" s="10"/>
      <c r="BA1420" s="10"/>
      <c r="BB1420" s="10"/>
      <c r="BC1420" s="10"/>
      <c r="BD1420" s="10"/>
      <c r="BE1420" s="10"/>
      <c r="BF1420" s="10"/>
      <c r="BG1420" s="10"/>
      <c r="BH1420" s="10"/>
      <c r="BI1420" s="10"/>
      <c r="BJ1420" s="10"/>
      <c r="BK1420" s="10"/>
      <c r="BM1420" s="10"/>
    </row>
    <row r="1421" spans="1:65" ht="12.75">
      <c r="A1421" s="9"/>
      <c r="B1421" s="10"/>
      <c r="C1421" s="11"/>
      <c r="D1421" s="12"/>
      <c r="E1421" s="10"/>
      <c r="F1421" s="10"/>
      <c r="G1421" s="10"/>
      <c r="H1421" s="14"/>
      <c r="I1421" s="14"/>
      <c r="J1421" s="14"/>
      <c r="K1421" s="14"/>
      <c r="L1421" s="14"/>
      <c r="M1421" s="15"/>
      <c r="N1421" s="10"/>
      <c r="O1421" s="14"/>
      <c r="P1421" s="14"/>
      <c r="Q1421" s="14"/>
      <c r="R1421" s="14"/>
      <c r="S1421" s="14"/>
      <c r="T1421" s="14"/>
      <c r="U1421" s="14"/>
      <c r="V1421" s="14">
        <f t="shared" si="1602"/>
        <v>1900</v>
      </c>
      <c r="W1421" s="14">
        <f t="shared" si="1603"/>
        <v>1</v>
      </c>
      <c r="X1421" s="14"/>
      <c r="Y1421" s="14"/>
      <c r="Z1421" s="14"/>
      <c r="AA1421" s="16" t="str">
        <f t="shared" ca="1" si="1616"/>
        <v>Johnson &amp; Johnson</v>
      </c>
      <c r="AB1421" s="16">
        <f t="shared" si="1616"/>
        <v>0</v>
      </c>
      <c r="AC1421" s="16">
        <f t="shared" si="1616"/>
        <v>0</v>
      </c>
      <c r="AD1421" s="16">
        <f t="shared" si="1616"/>
        <v>0</v>
      </c>
      <c r="AE1421" s="16">
        <f t="shared" si="1616"/>
        <v>0</v>
      </c>
      <c r="AF1421" s="16">
        <f t="shared" si="1616"/>
        <v>0</v>
      </c>
      <c r="AG1421" s="16">
        <f t="shared" si="1616"/>
        <v>0</v>
      </c>
      <c r="AH1421" s="16">
        <f t="shared" si="1616"/>
        <v>0</v>
      </c>
      <c r="AI1421" s="16">
        <f t="shared" si="1616"/>
        <v>0</v>
      </c>
      <c r="AJ1421" s="16">
        <f t="shared" si="1616"/>
        <v>0</v>
      </c>
      <c r="AK1421" s="16">
        <f t="shared" si="1616"/>
        <v>0</v>
      </c>
      <c r="AL1421" s="16">
        <f t="shared" si="1616"/>
        <v>0</v>
      </c>
      <c r="AM1421" s="16">
        <f t="shared" si="1616"/>
        <v>0</v>
      </c>
      <c r="AN1421" s="16">
        <f t="shared" si="1616"/>
        <v>0</v>
      </c>
      <c r="AO1421" s="16">
        <f t="shared" si="1616"/>
        <v>0</v>
      </c>
      <c r="AP1421" s="10"/>
      <c r="AQ1421" s="10"/>
      <c r="AR1421" s="10"/>
      <c r="AS1421" s="10" t="str">
        <f t="shared" ca="1" si="1606"/>
        <v>Johnson &amp; Johnson</v>
      </c>
      <c r="AT1421" s="10"/>
      <c r="AU1421" s="10"/>
      <c r="AV1421" s="10"/>
      <c r="AW1421" s="10"/>
      <c r="AX1421" s="10"/>
      <c r="AY1421" s="10"/>
      <c r="AZ1421" s="10"/>
      <c r="BA1421" s="10"/>
      <c r="BB1421" s="10"/>
      <c r="BC1421" s="10"/>
      <c r="BD1421" s="10"/>
      <c r="BE1421" s="10"/>
      <c r="BF1421" s="10"/>
      <c r="BG1421" s="10"/>
      <c r="BH1421" s="10"/>
      <c r="BI1421" s="10"/>
      <c r="BJ1421" s="10"/>
      <c r="BK1421" s="10"/>
      <c r="BM1421" s="10"/>
    </row>
    <row r="1422" spans="1:65" ht="12.75">
      <c r="A1422" s="9"/>
      <c r="B1422" s="10"/>
      <c r="C1422" s="11"/>
      <c r="D1422" s="12"/>
      <c r="E1422" s="10"/>
      <c r="F1422" s="10"/>
      <c r="G1422" s="10"/>
      <c r="H1422" s="14"/>
      <c r="I1422" s="14"/>
      <c r="J1422" s="14"/>
      <c r="K1422" s="14"/>
      <c r="L1422" s="14"/>
      <c r="M1422" s="15"/>
      <c r="N1422" s="10"/>
      <c r="O1422" s="14"/>
      <c r="P1422" s="14"/>
      <c r="Q1422" s="14"/>
      <c r="R1422" s="14"/>
      <c r="S1422" s="14"/>
      <c r="T1422" s="14"/>
      <c r="U1422" s="14"/>
      <c r="V1422" s="14">
        <f t="shared" si="1602"/>
        <v>1900</v>
      </c>
      <c r="W1422" s="14">
        <f t="shared" si="1603"/>
        <v>1</v>
      </c>
      <c r="X1422" s="14"/>
      <c r="Y1422" s="14"/>
      <c r="Z1422" s="14"/>
      <c r="AA1422" s="16" t="str">
        <f t="shared" ca="1" si="1616"/>
        <v>Johnson &amp; Johnson</v>
      </c>
      <c r="AB1422" s="16">
        <f t="shared" si="1616"/>
        <v>0</v>
      </c>
      <c r="AC1422" s="16">
        <f t="shared" si="1616"/>
        <v>0</v>
      </c>
      <c r="AD1422" s="16">
        <f t="shared" si="1616"/>
        <v>0</v>
      </c>
      <c r="AE1422" s="16">
        <f t="shared" si="1616"/>
        <v>0</v>
      </c>
      <c r="AF1422" s="16">
        <f t="shared" si="1616"/>
        <v>0</v>
      </c>
      <c r="AG1422" s="16">
        <f t="shared" si="1616"/>
        <v>0</v>
      </c>
      <c r="AH1422" s="16">
        <f t="shared" si="1616"/>
        <v>0</v>
      </c>
      <c r="AI1422" s="16">
        <f t="shared" si="1616"/>
        <v>0</v>
      </c>
      <c r="AJ1422" s="16">
        <f t="shared" si="1616"/>
        <v>0</v>
      </c>
      <c r="AK1422" s="16">
        <f t="shared" si="1616"/>
        <v>0</v>
      </c>
      <c r="AL1422" s="16">
        <f t="shared" si="1616"/>
        <v>0</v>
      </c>
      <c r="AM1422" s="16">
        <f t="shared" si="1616"/>
        <v>0</v>
      </c>
      <c r="AN1422" s="16">
        <f t="shared" si="1616"/>
        <v>0</v>
      </c>
      <c r="AO1422" s="16">
        <f t="shared" si="1616"/>
        <v>0</v>
      </c>
      <c r="AP1422" s="10"/>
      <c r="AQ1422" s="10"/>
      <c r="AR1422" s="10"/>
      <c r="AS1422" s="10" t="str">
        <f t="shared" ca="1" si="1606"/>
        <v>Johnson &amp; Johnson</v>
      </c>
      <c r="AT1422" s="10"/>
      <c r="AU1422" s="10"/>
      <c r="AV1422" s="10"/>
      <c r="AW1422" s="10"/>
      <c r="AX1422" s="10"/>
      <c r="AY1422" s="10"/>
      <c r="AZ1422" s="10"/>
      <c r="BA1422" s="10"/>
      <c r="BB1422" s="10"/>
      <c r="BC1422" s="10"/>
      <c r="BD1422" s="10"/>
      <c r="BE1422" s="10"/>
      <c r="BF1422" s="10"/>
      <c r="BG1422" s="10"/>
      <c r="BH1422" s="10"/>
      <c r="BI1422" s="10"/>
      <c r="BJ1422" s="10"/>
      <c r="BK1422" s="10"/>
      <c r="BM1422" s="10"/>
    </row>
    <row r="1423" spans="1:65" ht="12.75">
      <c r="A1423" s="9"/>
      <c r="B1423" s="10"/>
      <c r="C1423" s="11"/>
      <c r="D1423" s="12"/>
      <c r="E1423" s="10"/>
      <c r="F1423" s="10"/>
      <c r="G1423" s="10"/>
      <c r="H1423" s="14"/>
      <c r="I1423" s="14"/>
      <c r="J1423" s="14"/>
      <c r="K1423" s="14"/>
      <c r="L1423" s="14"/>
      <c r="M1423" s="15"/>
      <c r="N1423" s="10"/>
      <c r="O1423" s="14"/>
      <c r="P1423" s="14"/>
      <c r="Q1423" s="14"/>
      <c r="R1423" s="14"/>
      <c r="S1423" s="14"/>
      <c r="T1423" s="14"/>
      <c r="U1423" s="14"/>
      <c r="V1423" s="14">
        <f t="shared" si="1602"/>
        <v>1900</v>
      </c>
      <c r="W1423" s="14">
        <f t="shared" si="1603"/>
        <v>1</v>
      </c>
      <c r="X1423" s="14"/>
      <c r="Y1423" s="14"/>
      <c r="Z1423" s="14"/>
      <c r="AA1423" s="16" t="str">
        <f t="shared" ca="1" si="1616"/>
        <v>Johnson &amp; Johnson</v>
      </c>
      <c r="AB1423" s="16">
        <f t="shared" si="1616"/>
        <v>0</v>
      </c>
      <c r="AC1423" s="16">
        <f t="shared" si="1616"/>
        <v>0</v>
      </c>
      <c r="AD1423" s="16">
        <f t="shared" si="1616"/>
        <v>0</v>
      </c>
      <c r="AE1423" s="16">
        <f t="shared" si="1616"/>
        <v>0</v>
      </c>
      <c r="AF1423" s="16">
        <f t="shared" si="1616"/>
        <v>0</v>
      </c>
      <c r="AG1423" s="16">
        <f t="shared" si="1616"/>
        <v>0</v>
      </c>
      <c r="AH1423" s="16">
        <f t="shared" si="1616"/>
        <v>0</v>
      </c>
      <c r="AI1423" s="16">
        <f t="shared" si="1616"/>
        <v>0</v>
      </c>
      <c r="AJ1423" s="16">
        <f t="shared" si="1616"/>
        <v>0</v>
      </c>
      <c r="AK1423" s="16">
        <f t="shared" si="1616"/>
        <v>0</v>
      </c>
      <c r="AL1423" s="16">
        <f t="shared" si="1616"/>
        <v>0</v>
      </c>
      <c r="AM1423" s="16">
        <f t="shared" si="1616"/>
        <v>0</v>
      </c>
      <c r="AN1423" s="16">
        <f t="shared" si="1616"/>
        <v>0</v>
      </c>
      <c r="AO1423" s="16">
        <f t="shared" si="1616"/>
        <v>0</v>
      </c>
      <c r="AP1423" s="10"/>
      <c r="AQ1423" s="10"/>
      <c r="AR1423" s="10"/>
      <c r="AS1423" s="10" t="str">
        <f t="shared" ca="1" si="1606"/>
        <v>Johnson &amp; Johnson</v>
      </c>
      <c r="AT1423" s="10"/>
      <c r="AU1423" s="10"/>
      <c r="AV1423" s="10"/>
      <c r="AW1423" s="10"/>
      <c r="AX1423" s="10"/>
      <c r="AY1423" s="10"/>
      <c r="AZ1423" s="10"/>
      <c r="BA1423" s="10"/>
      <c r="BB1423" s="10"/>
      <c r="BC1423" s="10"/>
      <c r="BD1423" s="10"/>
      <c r="BE1423" s="10"/>
      <c r="BF1423" s="10"/>
      <c r="BG1423" s="10"/>
      <c r="BH1423" s="10"/>
      <c r="BI1423" s="10"/>
      <c r="BJ1423" s="10"/>
      <c r="BK1423" s="10"/>
      <c r="BM1423" s="10"/>
    </row>
    <row r="1424" spans="1:65" ht="12.75">
      <c r="A1424" s="9"/>
      <c r="B1424" s="10"/>
      <c r="C1424" s="11"/>
      <c r="D1424" s="12"/>
      <c r="E1424" s="10"/>
      <c r="F1424" s="10"/>
      <c r="G1424" s="10"/>
      <c r="H1424" s="14"/>
      <c r="I1424" s="14"/>
      <c r="J1424" s="14"/>
      <c r="K1424" s="14"/>
      <c r="L1424" s="14"/>
      <c r="M1424" s="15"/>
      <c r="N1424" s="10"/>
      <c r="O1424" s="14"/>
      <c r="P1424" s="14"/>
      <c r="Q1424" s="14"/>
      <c r="R1424" s="14"/>
      <c r="S1424" s="14"/>
      <c r="T1424" s="14"/>
      <c r="U1424" s="14"/>
      <c r="V1424" s="14">
        <f t="shared" si="1602"/>
        <v>1900</v>
      </c>
      <c r="W1424" s="14">
        <f t="shared" si="1603"/>
        <v>1</v>
      </c>
      <c r="X1424" s="14"/>
      <c r="Y1424" s="14"/>
      <c r="Z1424" s="14"/>
      <c r="AA1424" s="16" t="str">
        <f t="shared" ca="1" si="1616"/>
        <v>Johnson &amp; Johnson</v>
      </c>
      <c r="AB1424" s="16">
        <f t="shared" si="1616"/>
        <v>0</v>
      </c>
      <c r="AC1424" s="16">
        <f t="shared" si="1616"/>
        <v>0</v>
      </c>
      <c r="AD1424" s="16">
        <f t="shared" si="1616"/>
        <v>0</v>
      </c>
      <c r="AE1424" s="16">
        <f t="shared" si="1616"/>
        <v>0</v>
      </c>
      <c r="AF1424" s="16">
        <f t="shared" si="1616"/>
        <v>0</v>
      </c>
      <c r="AG1424" s="16">
        <f t="shared" si="1616"/>
        <v>0</v>
      </c>
      <c r="AH1424" s="16">
        <f t="shared" si="1616"/>
        <v>0</v>
      </c>
      <c r="AI1424" s="16">
        <f t="shared" si="1616"/>
        <v>0</v>
      </c>
      <c r="AJ1424" s="16">
        <f t="shared" si="1616"/>
        <v>0</v>
      </c>
      <c r="AK1424" s="16">
        <f t="shared" si="1616"/>
        <v>0</v>
      </c>
      <c r="AL1424" s="16">
        <f t="shared" si="1616"/>
        <v>0</v>
      </c>
      <c r="AM1424" s="16">
        <f t="shared" si="1616"/>
        <v>0</v>
      </c>
      <c r="AN1424" s="16">
        <f t="shared" si="1616"/>
        <v>0</v>
      </c>
      <c r="AO1424" s="16">
        <f t="shared" si="1616"/>
        <v>0</v>
      </c>
      <c r="AP1424" s="10"/>
      <c r="AQ1424" s="10"/>
      <c r="AR1424" s="10"/>
      <c r="AS1424" s="10" t="str">
        <f t="shared" ca="1" si="1606"/>
        <v>Johnson &amp; Johnson</v>
      </c>
      <c r="AT1424" s="10"/>
      <c r="AU1424" s="10"/>
      <c r="AV1424" s="10"/>
      <c r="AW1424" s="10"/>
      <c r="AX1424" s="10"/>
      <c r="AY1424" s="10"/>
      <c r="AZ1424" s="10"/>
      <c r="BA1424" s="10"/>
      <c r="BB1424" s="10"/>
      <c r="BC1424" s="10"/>
      <c r="BD1424" s="10"/>
      <c r="BE1424" s="10"/>
      <c r="BF1424" s="10"/>
      <c r="BG1424" s="10"/>
      <c r="BH1424" s="10"/>
      <c r="BI1424" s="10"/>
      <c r="BJ1424" s="10"/>
      <c r="BK1424" s="10"/>
      <c r="BM1424" s="10"/>
    </row>
    <row r="1425" spans="1:65" ht="12.75">
      <c r="A1425" s="9"/>
      <c r="B1425" s="10"/>
      <c r="C1425" s="11"/>
      <c r="D1425" s="12"/>
      <c r="E1425" s="10"/>
      <c r="F1425" s="10"/>
      <c r="G1425" s="10"/>
      <c r="H1425" s="14"/>
      <c r="I1425" s="14"/>
      <c r="J1425" s="14"/>
      <c r="K1425" s="14"/>
      <c r="L1425" s="14"/>
      <c r="M1425" s="15"/>
      <c r="N1425" s="10"/>
      <c r="O1425" s="14"/>
      <c r="P1425" s="14"/>
      <c r="Q1425" s="14"/>
      <c r="R1425" s="14"/>
      <c r="S1425" s="14"/>
      <c r="T1425" s="14"/>
      <c r="U1425" s="14"/>
      <c r="V1425" s="14">
        <f t="shared" si="1602"/>
        <v>1900</v>
      </c>
      <c r="W1425" s="14">
        <f t="shared" si="1603"/>
        <v>1</v>
      </c>
      <c r="X1425" s="14"/>
      <c r="Y1425" s="14"/>
      <c r="Z1425" s="14"/>
      <c r="AA1425" s="16" t="str">
        <f t="shared" ca="1" si="1616"/>
        <v>Johnson &amp; Johnson</v>
      </c>
      <c r="AB1425" s="16">
        <f t="shared" si="1616"/>
        <v>0</v>
      </c>
      <c r="AC1425" s="16">
        <f t="shared" si="1616"/>
        <v>0</v>
      </c>
      <c r="AD1425" s="16">
        <f t="shared" si="1616"/>
        <v>0</v>
      </c>
      <c r="AE1425" s="16">
        <f t="shared" si="1616"/>
        <v>0</v>
      </c>
      <c r="AF1425" s="16">
        <f t="shared" si="1616"/>
        <v>0</v>
      </c>
      <c r="AG1425" s="16">
        <f t="shared" si="1616"/>
        <v>0</v>
      </c>
      <c r="AH1425" s="16">
        <f t="shared" si="1616"/>
        <v>0</v>
      </c>
      <c r="AI1425" s="16">
        <f t="shared" si="1616"/>
        <v>0</v>
      </c>
      <c r="AJ1425" s="16">
        <f t="shared" si="1616"/>
        <v>0</v>
      </c>
      <c r="AK1425" s="16">
        <f t="shared" si="1616"/>
        <v>0</v>
      </c>
      <c r="AL1425" s="16">
        <f t="shared" si="1616"/>
        <v>0</v>
      </c>
      <c r="AM1425" s="16">
        <f t="shared" si="1616"/>
        <v>0</v>
      </c>
      <c r="AN1425" s="16">
        <f t="shared" si="1616"/>
        <v>0</v>
      </c>
      <c r="AO1425" s="16">
        <f t="shared" si="1616"/>
        <v>0</v>
      </c>
      <c r="AP1425" s="10"/>
      <c r="AQ1425" s="10"/>
      <c r="AR1425" s="10"/>
      <c r="AS1425" s="10" t="str">
        <f t="shared" ca="1" si="1606"/>
        <v>Johnson &amp; Johnson</v>
      </c>
      <c r="AT1425" s="10"/>
      <c r="AU1425" s="10"/>
      <c r="AV1425" s="10"/>
      <c r="AW1425" s="10"/>
      <c r="AX1425" s="10"/>
      <c r="AY1425" s="10"/>
      <c r="AZ1425" s="10"/>
      <c r="BA1425" s="10"/>
      <c r="BB1425" s="10"/>
      <c r="BC1425" s="10"/>
      <c r="BD1425" s="10"/>
      <c r="BE1425" s="10"/>
      <c r="BF1425" s="10"/>
      <c r="BG1425" s="10"/>
      <c r="BH1425" s="10"/>
      <c r="BI1425" s="10"/>
      <c r="BJ1425" s="10"/>
      <c r="BK1425" s="10"/>
      <c r="BM1425" s="10"/>
    </row>
    <row r="1426" spans="1:65" ht="12.75">
      <c r="A1426" s="9"/>
      <c r="B1426" s="10"/>
      <c r="C1426" s="11"/>
      <c r="D1426" s="12"/>
      <c r="E1426" s="10"/>
      <c r="F1426" s="10"/>
      <c r="G1426" s="10"/>
      <c r="H1426" s="14"/>
      <c r="I1426" s="14"/>
      <c r="J1426" s="14"/>
      <c r="K1426" s="14"/>
      <c r="L1426" s="14"/>
      <c r="M1426" s="15"/>
      <c r="N1426" s="10"/>
      <c r="O1426" s="14"/>
      <c r="P1426" s="14"/>
      <c r="Q1426" s="14"/>
      <c r="R1426" s="14"/>
      <c r="S1426" s="14"/>
      <c r="T1426" s="14"/>
      <c r="U1426" s="14"/>
      <c r="V1426" s="14">
        <f t="shared" si="1602"/>
        <v>1900</v>
      </c>
      <c r="W1426" s="14">
        <f t="shared" si="1603"/>
        <v>1</v>
      </c>
      <c r="X1426" s="14"/>
      <c r="Y1426" s="14"/>
      <c r="Z1426" s="14"/>
      <c r="AA1426" s="16" t="str">
        <f t="shared" ca="1" si="1616"/>
        <v>Johnson &amp; Johnson</v>
      </c>
      <c r="AB1426" s="16">
        <f t="shared" si="1616"/>
        <v>0</v>
      </c>
      <c r="AC1426" s="16">
        <f t="shared" si="1616"/>
        <v>0</v>
      </c>
      <c r="AD1426" s="16">
        <f t="shared" si="1616"/>
        <v>0</v>
      </c>
      <c r="AE1426" s="16">
        <f t="shared" si="1616"/>
        <v>0</v>
      </c>
      <c r="AF1426" s="16">
        <f t="shared" si="1616"/>
        <v>0</v>
      </c>
      <c r="AG1426" s="16">
        <f t="shared" si="1616"/>
        <v>0</v>
      </c>
      <c r="AH1426" s="16">
        <f t="shared" si="1616"/>
        <v>0</v>
      </c>
      <c r="AI1426" s="16">
        <f t="shared" si="1616"/>
        <v>0</v>
      </c>
      <c r="AJ1426" s="16">
        <f t="shared" si="1616"/>
        <v>0</v>
      </c>
      <c r="AK1426" s="16">
        <f t="shared" si="1616"/>
        <v>0</v>
      </c>
      <c r="AL1426" s="16">
        <f t="shared" si="1616"/>
        <v>0</v>
      </c>
      <c r="AM1426" s="16">
        <f t="shared" si="1616"/>
        <v>0</v>
      </c>
      <c r="AN1426" s="16">
        <f t="shared" si="1616"/>
        <v>0</v>
      </c>
      <c r="AO1426" s="16">
        <f t="shared" si="1616"/>
        <v>0</v>
      </c>
      <c r="AP1426" s="10"/>
      <c r="AQ1426" s="10"/>
      <c r="AR1426" s="10"/>
      <c r="AS1426" s="10" t="str">
        <f t="shared" ca="1" si="1606"/>
        <v>Johnson &amp; Johnson</v>
      </c>
      <c r="AT1426" s="10"/>
      <c r="AU1426" s="10"/>
      <c r="AV1426" s="10"/>
      <c r="AW1426" s="10"/>
      <c r="AX1426" s="10"/>
      <c r="AY1426" s="10"/>
      <c r="AZ1426" s="10"/>
      <c r="BA1426" s="10"/>
      <c r="BB1426" s="10"/>
      <c r="BC1426" s="10"/>
      <c r="BD1426" s="10"/>
      <c r="BE1426" s="10"/>
      <c r="BF1426" s="10"/>
      <c r="BG1426" s="10"/>
      <c r="BH1426" s="10"/>
      <c r="BI1426" s="10"/>
      <c r="BJ1426" s="10"/>
      <c r="BK1426" s="10"/>
      <c r="BM1426" s="10"/>
    </row>
    <row r="1427" spans="1:65" ht="12.75">
      <c r="A1427" s="9"/>
      <c r="B1427" s="10"/>
      <c r="C1427" s="11"/>
      <c r="D1427" s="12"/>
      <c r="E1427" s="10"/>
      <c r="F1427" s="10"/>
      <c r="G1427" s="10"/>
      <c r="H1427" s="14"/>
      <c r="I1427" s="14"/>
      <c r="J1427" s="14"/>
      <c r="K1427" s="14"/>
      <c r="L1427" s="14"/>
      <c r="M1427" s="15"/>
      <c r="N1427" s="10"/>
      <c r="O1427" s="14"/>
      <c r="P1427" s="14"/>
      <c r="Q1427" s="14"/>
      <c r="R1427" s="14"/>
      <c r="S1427" s="14"/>
      <c r="T1427" s="14"/>
      <c r="U1427" s="14"/>
      <c r="V1427" s="14">
        <f t="shared" si="1602"/>
        <v>1900</v>
      </c>
      <c r="W1427" s="14">
        <f t="shared" si="1603"/>
        <v>1</v>
      </c>
      <c r="X1427" s="14"/>
      <c r="Y1427" s="14"/>
      <c r="Z1427" s="14"/>
      <c r="AA1427" s="16" t="str">
        <f t="shared" ca="1" si="1616"/>
        <v>Johnson &amp; Johnson</v>
      </c>
      <c r="AB1427" s="16">
        <f t="shared" si="1616"/>
        <v>0</v>
      </c>
      <c r="AC1427" s="16">
        <f t="shared" si="1616"/>
        <v>0</v>
      </c>
      <c r="AD1427" s="16">
        <f t="shared" si="1616"/>
        <v>0</v>
      </c>
      <c r="AE1427" s="16">
        <f t="shared" si="1616"/>
        <v>0</v>
      </c>
      <c r="AF1427" s="16">
        <f t="shared" si="1616"/>
        <v>0</v>
      </c>
      <c r="AG1427" s="16">
        <f t="shared" si="1616"/>
        <v>0</v>
      </c>
      <c r="AH1427" s="16">
        <f t="shared" si="1616"/>
        <v>0</v>
      </c>
      <c r="AI1427" s="16">
        <f t="shared" si="1616"/>
        <v>0</v>
      </c>
      <c r="AJ1427" s="16">
        <f t="shared" si="1616"/>
        <v>0</v>
      </c>
      <c r="AK1427" s="16">
        <f t="shared" si="1616"/>
        <v>0</v>
      </c>
      <c r="AL1427" s="16">
        <f t="shared" si="1616"/>
        <v>0</v>
      </c>
      <c r="AM1427" s="16">
        <f t="shared" si="1616"/>
        <v>0</v>
      </c>
      <c r="AN1427" s="16">
        <f t="shared" si="1616"/>
        <v>0</v>
      </c>
      <c r="AO1427" s="16">
        <f t="shared" si="1616"/>
        <v>0</v>
      </c>
      <c r="AP1427" s="10"/>
      <c r="AQ1427" s="10"/>
      <c r="AR1427" s="10"/>
      <c r="AS1427" s="10" t="str">
        <f t="shared" ca="1" si="1606"/>
        <v>Johnson &amp; Johnson</v>
      </c>
      <c r="AT1427" s="10"/>
      <c r="AU1427" s="10"/>
      <c r="AV1427" s="10"/>
      <c r="AW1427" s="10"/>
      <c r="AX1427" s="10"/>
      <c r="AY1427" s="10"/>
      <c r="AZ1427" s="10"/>
      <c r="BA1427" s="10"/>
      <c r="BB1427" s="10"/>
      <c r="BC1427" s="10"/>
      <c r="BD1427" s="10"/>
      <c r="BE1427" s="10"/>
      <c r="BF1427" s="10"/>
      <c r="BG1427" s="10"/>
      <c r="BH1427" s="10"/>
      <c r="BI1427" s="10"/>
      <c r="BJ1427" s="10"/>
      <c r="BK1427" s="10"/>
      <c r="BM1427" s="10"/>
    </row>
    <row r="1428" spans="1:65" ht="12.75">
      <c r="A1428" s="9"/>
      <c r="B1428" s="10"/>
      <c r="C1428" s="11"/>
      <c r="D1428" s="12"/>
      <c r="E1428" s="10"/>
      <c r="F1428" s="10"/>
      <c r="G1428" s="10"/>
      <c r="H1428" s="14"/>
      <c r="I1428" s="14"/>
      <c r="J1428" s="14"/>
      <c r="K1428" s="14"/>
      <c r="L1428" s="14"/>
      <c r="M1428" s="15"/>
      <c r="N1428" s="10"/>
      <c r="O1428" s="14"/>
      <c r="P1428" s="14"/>
      <c r="Q1428" s="14"/>
      <c r="R1428" s="14"/>
      <c r="S1428" s="14"/>
      <c r="T1428" s="14"/>
      <c r="U1428" s="14"/>
      <c r="V1428" s="14">
        <f t="shared" si="1602"/>
        <v>1900</v>
      </c>
      <c r="W1428" s="14">
        <f t="shared" si="1603"/>
        <v>1</v>
      </c>
      <c r="X1428" s="14"/>
      <c r="Y1428" s="14"/>
      <c r="Z1428" s="14"/>
      <c r="AA1428" s="16" t="str">
        <f t="shared" ca="1" si="1616"/>
        <v>Johnson &amp; Johnson</v>
      </c>
      <c r="AB1428" s="16">
        <f t="shared" si="1616"/>
        <v>0</v>
      </c>
      <c r="AC1428" s="16">
        <f t="shared" si="1616"/>
        <v>0</v>
      </c>
      <c r="AD1428" s="16">
        <f t="shared" si="1616"/>
        <v>0</v>
      </c>
      <c r="AE1428" s="16">
        <f t="shared" si="1616"/>
        <v>0</v>
      </c>
      <c r="AF1428" s="16">
        <f t="shared" si="1616"/>
        <v>0</v>
      </c>
      <c r="AG1428" s="16">
        <f t="shared" si="1616"/>
        <v>0</v>
      </c>
      <c r="AH1428" s="16">
        <f t="shared" si="1616"/>
        <v>0</v>
      </c>
      <c r="AI1428" s="16">
        <f t="shared" si="1616"/>
        <v>0</v>
      </c>
      <c r="AJ1428" s="16">
        <f t="shared" si="1616"/>
        <v>0</v>
      </c>
      <c r="AK1428" s="16">
        <f t="shared" si="1616"/>
        <v>0</v>
      </c>
      <c r="AL1428" s="16">
        <f t="shared" si="1616"/>
        <v>0</v>
      </c>
      <c r="AM1428" s="16">
        <f t="shared" si="1616"/>
        <v>0</v>
      </c>
      <c r="AN1428" s="16">
        <f t="shared" si="1616"/>
        <v>0</v>
      </c>
      <c r="AO1428" s="16">
        <f t="shared" si="1616"/>
        <v>0</v>
      </c>
      <c r="AP1428" s="10"/>
      <c r="AQ1428" s="10"/>
      <c r="AR1428" s="10"/>
      <c r="AS1428" s="10" t="str">
        <f t="shared" ca="1" si="1606"/>
        <v>Johnson &amp; Johnson</v>
      </c>
      <c r="AT1428" s="10"/>
      <c r="AU1428" s="10"/>
      <c r="AV1428" s="10"/>
      <c r="AW1428" s="10"/>
      <c r="AX1428" s="10"/>
      <c r="AY1428" s="10"/>
      <c r="AZ1428" s="10"/>
      <c r="BA1428" s="10"/>
      <c r="BB1428" s="10"/>
      <c r="BC1428" s="10"/>
      <c r="BD1428" s="10"/>
      <c r="BE1428" s="10"/>
      <c r="BF1428" s="10"/>
      <c r="BG1428" s="10"/>
      <c r="BH1428" s="10"/>
      <c r="BI1428" s="10"/>
      <c r="BJ1428" s="10"/>
      <c r="BK1428" s="10"/>
      <c r="BM1428" s="10"/>
    </row>
    <row r="1429" spans="1:65" ht="12.75">
      <c r="A1429" s="9"/>
      <c r="B1429" s="10"/>
      <c r="C1429" s="11"/>
      <c r="D1429" s="12"/>
      <c r="E1429" s="10"/>
      <c r="F1429" s="10"/>
      <c r="G1429" s="10"/>
      <c r="H1429" s="14"/>
      <c r="I1429" s="14"/>
      <c r="J1429" s="14"/>
      <c r="K1429" s="14"/>
      <c r="L1429" s="14"/>
      <c r="M1429" s="15"/>
      <c r="N1429" s="10"/>
      <c r="O1429" s="14"/>
      <c r="P1429" s="14"/>
      <c r="Q1429" s="14"/>
      <c r="R1429" s="14"/>
      <c r="S1429" s="14"/>
      <c r="T1429" s="14"/>
      <c r="U1429" s="14"/>
      <c r="V1429" s="14">
        <f t="shared" si="1602"/>
        <v>1900</v>
      </c>
      <c r="W1429" s="14">
        <f t="shared" si="1603"/>
        <v>1</v>
      </c>
      <c r="X1429" s="14"/>
      <c r="Y1429" s="14"/>
      <c r="Z1429" s="14"/>
      <c r="AA1429" s="16" t="str">
        <f t="shared" ca="1" si="1616"/>
        <v>Johnson &amp; Johnson</v>
      </c>
      <c r="AB1429" s="16">
        <f t="shared" si="1616"/>
        <v>0</v>
      </c>
      <c r="AC1429" s="16">
        <f t="shared" si="1616"/>
        <v>0</v>
      </c>
      <c r="AD1429" s="16">
        <f t="shared" si="1616"/>
        <v>0</v>
      </c>
      <c r="AE1429" s="16">
        <f t="shared" si="1616"/>
        <v>0</v>
      </c>
      <c r="AF1429" s="16">
        <f t="shared" si="1616"/>
        <v>0</v>
      </c>
      <c r="AG1429" s="16">
        <f t="shared" si="1616"/>
        <v>0</v>
      </c>
      <c r="AH1429" s="16">
        <f t="shared" si="1616"/>
        <v>0</v>
      </c>
      <c r="AI1429" s="16">
        <f t="shared" si="1616"/>
        <v>0</v>
      </c>
      <c r="AJ1429" s="16">
        <f t="shared" si="1616"/>
        <v>0</v>
      </c>
      <c r="AK1429" s="16">
        <f t="shared" si="1616"/>
        <v>0</v>
      </c>
      <c r="AL1429" s="16">
        <f t="shared" si="1616"/>
        <v>0</v>
      </c>
      <c r="AM1429" s="16">
        <f t="shared" si="1616"/>
        <v>0</v>
      </c>
      <c r="AN1429" s="16">
        <f t="shared" si="1616"/>
        <v>0</v>
      </c>
      <c r="AO1429" s="16">
        <f t="shared" si="1616"/>
        <v>0</v>
      </c>
      <c r="AP1429" s="10"/>
      <c r="AQ1429" s="10"/>
      <c r="AR1429" s="10"/>
      <c r="AS1429" s="10" t="str">
        <f t="shared" ca="1" si="1606"/>
        <v>Johnson &amp; Johnson</v>
      </c>
      <c r="AT1429" s="10"/>
      <c r="AU1429" s="10"/>
      <c r="AV1429" s="10"/>
      <c r="AW1429" s="10"/>
      <c r="AX1429" s="10"/>
      <c r="AY1429" s="10"/>
      <c r="AZ1429" s="10"/>
      <c r="BA1429" s="10"/>
      <c r="BB1429" s="10"/>
      <c r="BC1429" s="10"/>
      <c r="BD1429" s="10"/>
      <c r="BE1429" s="10"/>
      <c r="BF1429" s="10"/>
      <c r="BG1429" s="10"/>
      <c r="BH1429" s="10"/>
      <c r="BI1429" s="10"/>
      <c r="BJ1429" s="10"/>
      <c r="BK1429" s="10"/>
      <c r="BM1429" s="10"/>
    </row>
    <row r="1430" spans="1:65" ht="12.75">
      <c r="A1430" s="9"/>
      <c r="B1430" s="10"/>
      <c r="C1430" s="11"/>
      <c r="D1430" s="12"/>
      <c r="E1430" s="10"/>
      <c r="F1430" s="10"/>
      <c r="G1430" s="10"/>
      <c r="H1430" s="14"/>
      <c r="I1430" s="14"/>
      <c r="J1430" s="14"/>
      <c r="K1430" s="14"/>
      <c r="L1430" s="14"/>
      <c r="M1430" s="15"/>
      <c r="N1430" s="10"/>
      <c r="O1430" s="14"/>
      <c r="P1430" s="14"/>
      <c r="Q1430" s="14"/>
      <c r="R1430" s="14"/>
      <c r="S1430" s="14"/>
      <c r="T1430" s="14"/>
      <c r="U1430" s="14"/>
      <c r="V1430" s="14">
        <f t="shared" si="1602"/>
        <v>1900</v>
      </c>
      <c r="W1430" s="14">
        <f t="shared" si="1603"/>
        <v>1</v>
      </c>
      <c r="X1430" s="14"/>
      <c r="Y1430" s="14"/>
      <c r="Z1430" s="14"/>
      <c r="AA1430" s="16" t="str">
        <f t="shared" ca="1" si="1616"/>
        <v>Johnson &amp; Johnson</v>
      </c>
      <c r="AB1430" s="16">
        <f t="shared" si="1616"/>
        <v>0</v>
      </c>
      <c r="AC1430" s="16">
        <f t="shared" si="1616"/>
        <v>0</v>
      </c>
      <c r="AD1430" s="16">
        <f t="shared" si="1616"/>
        <v>0</v>
      </c>
      <c r="AE1430" s="16">
        <f t="shared" si="1616"/>
        <v>0</v>
      </c>
      <c r="AF1430" s="16">
        <f t="shared" si="1616"/>
        <v>0</v>
      </c>
      <c r="AG1430" s="16">
        <f t="shared" si="1616"/>
        <v>0</v>
      </c>
      <c r="AH1430" s="16">
        <f t="shared" si="1616"/>
        <v>0</v>
      </c>
      <c r="AI1430" s="16">
        <f t="shared" si="1616"/>
        <v>0</v>
      </c>
      <c r="AJ1430" s="16">
        <f t="shared" si="1616"/>
        <v>0</v>
      </c>
      <c r="AK1430" s="16">
        <f t="shared" si="1616"/>
        <v>0</v>
      </c>
      <c r="AL1430" s="16">
        <f t="shared" si="1616"/>
        <v>0</v>
      </c>
      <c r="AM1430" s="16">
        <f t="shared" si="1616"/>
        <v>0</v>
      </c>
      <c r="AN1430" s="16">
        <f t="shared" si="1616"/>
        <v>0</v>
      </c>
      <c r="AO1430" s="16">
        <f t="shared" si="1616"/>
        <v>0</v>
      </c>
      <c r="AP1430" s="10"/>
      <c r="AQ1430" s="10"/>
      <c r="AR1430" s="10"/>
      <c r="AS1430" s="10" t="str">
        <f t="shared" ca="1" si="1606"/>
        <v>Johnson &amp; Johnson</v>
      </c>
      <c r="AT1430" s="10"/>
      <c r="AU1430" s="10"/>
      <c r="AV1430" s="10"/>
      <c r="AW1430" s="10"/>
      <c r="AX1430" s="10"/>
      <c r="AY1430" s="10"/>
      <c r="AZ1430" s="10"/>
      <c r="BA1430" s="10"/>
      <c r="BB1430" s="10"/>
      <c r="BC1430" s="10"/>
      <c r="BD1430" s="10"/>
      <c r="BE1430" s="10"/>
      <c r="BF1430" s="10"/>
      <c r="BG1430" s="10"/>
      <c r="BH1430" s="10"/>
      <c r="BI1430" s="10"/>
      <c r="BJ1430" s="10"/>
      <c r="BK1430" s="10"/>
      <c r="BM1430" s="10"/>
    </row>
    <row r="1431" spans="1:65" ht="12.75">
      <c r="A1431" s="9"/>
      <c r="B1431" s="10"/>
      <c r="C1431" s="11"/>
      <c r="D1431" s="12"/>
      <c r="E1431" s="10"/>
      <c r="F1431" s="10"/>
      <c r="G1431" s="10"/>
      <c r="H1431" s="14"/>
      <c r="I1431" s="14"/>
      <c r="J1431" s="14"/>
      <c r="K1431" s="14"/>
      <c r="L1431" s="14"/>
      <c r="M1431" s="15"/>
      <c r="N1431" s="10"/>
      <c r="O1431" s="14"/>
      <c r="P1431" s="14"/>
      <c r="Q1431" s="14"/>
      <c r="R1431" s="14"/>
      <c r="S1431" s="14"/>
      <c r="T1431" s="14"/>
      <c r="U1431" s="14"/>
      <c r="V1431" s="14">
        <f t="shared" si="1602"/>
        <v>1900</v>
      </c>
      <c r="W1431" s="14">
        <f t="shared" si="1603"/>
        <v>1</v>
      </c>
      <c r="X1431" s="14"/>
      <c r="Y1431" s="14"/>
      <c r="Z1431" s="14"/>
      <c r="AA1431" s="16" t="str">
        <f t="shared" ca="1" si="1616"/>
        <v>Johnson &amp; Johnson</v>
      </c>
      <c r="AB1431" s="16">
        <f t="shared" si="1616"/>
        <v>0</v>
      </c>
      <c r="AC1431" s="16">
        <f t="shared" si="1616"/>
        <v>0</v>
      </c>
      <c r="AD1431" s="16">
        <f t="shared" si="1616"/>
        <v>0</v>
      </c>
      <c r="AE1431" s="16">
        <f t="shared" si="1616"/>
        <v>0</v>
      </c>
      <c r="AF1431" s="16">
        <f t="shared" si="1616"/>
        <v>0</v>
      </c>
      <c r="AG1431" s="16">
        <f t="shared" si="1616"/>
        <v>0</v>
      </c>
      <c r="AH1431" s="16">
        <f t="shared" si="1616"/>
        <v>0</v>
      </c>
      <c r="AI1431" s="16">
        <f t="shared" si="1616"/>
        <v>0</v>
      </c>
      <c r="AJ1431" s="16">
        <f t="shared" si="1616"/>
        <v>0</v>
      </c>
      <c r="AK1431" s="16">
        <f t="shared" si="1616"/>
        <v>0</v>
      </c>
      <c r="AL1431" s="16">
        <f t="shared" si="1616"/>
        <v>0</v>
      </c>
      <c r="AM1431" s="16">
        <f t="shared" si="1616"/>
        <v>0</v>
      </c>
      <c r="AN1431" s="16">
        <f t="shared" si="1616"/>
        <v>0</v>
      </c>
      <c r="AO1431" s="16">
        <f t="shared" si="1616"/>
        <v>0</v>
      </c>
      <c r="AP1431" s="10"/>
      <c r="AQ1431" s="10"/>
      <c r="AR1431" s="10"/>
      <c r="AS1431" s="10" t="str">
        <f t="shared" ca="1" si="1606"/>
        <v>Johnson &amp; Johnson</v>
      </c>
      <c r="AT1431" s="10"/>
      <c r="AU1431" s="10"/>
      <c r="AV1431" s="10"/>
      <c r="AW1431" s="10"/>
      <c r="AX1431" s="10"/>
      <c r="AY1431" s="10"/>
      <c r="AZ1431" s="10"/>
      <c r="BA1431" s="10"/>
      <c r="BB1431" s="10"/>
      <c r="BC1431" s="10"/>
      <c r="BD1431" s="10"/>
      <c r="BE1431" s="10"/>
      <c r="BF1431" s="10"/>
      <c r="BG1431" s="10"/>
      <c r="BH1431" s="10"/>
      <c r="BI1431" s="10"/>
      <c r="BJ1431" s="10"/>
      <c r="BK1431" s="10"/>
      <c r="BM1431" s="10"/>
    </row>
    <row r="1432" spans="1:65" ht="12.75">
      <c r="A1432" s="9"/>
      <c r="B1432" s="10"/>
      <c r="C1432" s="11"/>
      <c r="D1432" s="12"/>
      <c r="E1432" s="10"/>
      <c r="F1432" s="10"/>
      <c r="G1432" s="10"/>
      <c r="H1432" s="14"/>
      <c r="I1432" s="14"/>
      <c r="J1432" s="14"/>
      <c r="K1432" s="14"/>
      <c r="L1432" s="14"/>
      <c r="M1432" s="15"/>
      <c r="N1432" s="10"/>
      <c r="O1432" s="14"/>
      <c r="P1432" s="14"/>
      <c r="Q1432" s="14"/>
      <c r="R1432" s="14"/>
      <c r="S1432" s="14"/>
      <c r="T1432" s="14"/>
      <c r="U1432" s="14"/>
      <c r="V1432" s="14">
        <f t="shared" si="1602"/>
        <v>1900</v>
      </c>
      <c r="W1432" s="14">
        <f t="shared" si="1603"/>
        <v>1</v>
      </c>
      <c r="X1432" s="14"/>
      <c r="Y1432" s="14"/>
      <c r="Z1432" s="14"/>
      <c r="AA1432" s="16" t="str">
        <f t="shared" ca="1" si="1616"/>
        <v>Johnson &amp; Johnson</v>
      </c>
      <c r="AB1432" s="16">
        <f t="shared" si="1616"/>
        <v>0</v>
      </c>
      <c r="AC1432" s="16">
        <f t="shared" si="1616"/>
        <v>0</v>
      </c>
      <c r="AD1432" s="16">
        <f t="shared" si="1616"/>
        <v>0</v>
      </c>
      <c r="AE1432" s="16">
        <f t="shared" si="1616"/>
        <v>0</v>
      </c>
      <c r="AF1432" s="16">
        <f t="shared" si="1616"/>
        <v>0</v>
      </c>
      <c r="AG1432" s="16">
        <f t="shared" si="1616"/>
        <v>0</v>
      </c>
      <c r="AH1432" s="16">
        <f t="shared" si="1616"/>
        <v>0</v>
      </c>
      <c r="AI1432" s="16">
        <f t="shared" si="1616"/>
        <v>0</v>
      </c>
      <c r="AJ1432" s="16">
        <f t="shared" si="1616"/>
        <v>0</v>
      </c>
      <c r="AK1432" s="16">
        <f t="shared" si="1616"/>
        <v>0</v>
      </c>
      <c r="AL1432" s="16">
        <f t="shared" si="1616"/>
        <v>0</v>
      </c>
      <c r="AM1432" s="16">
        <f t="shared" si="1616"/>
        <v>0</v>
      </c>
      <c r="AN1432" s="16">
        <f t="shared" si="1616"/>
        <v>0</v>
      </c>
      <c r="AO1432" s="16">
        <f t="shared" si="1616"/>
        <v>0</v>
      </c>
      <c r="AP1432" s="10"/>
      <c r="AQ1432" s="10"/>
      <c r="AR1432" s="10"/>
      <c r="AS1432" s="10" t="str">
        <f t="shared" ca="1" si="1606"/>
        <v>Johnson &amp; Johnson</v>
      </c>
      <c r="AT1432" s="10"/>
      <c r="AU1432" s="10"/>
      <c r="AV1432" s="10"/>
      <c r="AW1432" s="10"/>
      <c r="AX1432" s="10"/>
      <c r="AY1432" s="10"/>
      <c r="AZ1432" s="10"/>
      <c r="BA1432" s="10"/>
      <c r="BB1432" s="10"/>
      <c r="BC1432" s="10"/>
      <c r="BD1432" s="10"/>
      <c r="BE1432" s="10"/>
      <c r="BF1432" s="10"/>
      <c r="BG1432" s="10"/>
      <c r="BH1432" s="10"/>
      <c r="BI1432" s="10"/>
      <c r="BJ1432" s="10"/>
      <c r="BK1432" s="10"/>
      <c r="BM1432" s="10"/>
    </row>
    <row r="1433" spans="1:65" ht="12.75">
      <c r="A1433" s="9"/>
      <c r="B1433" s="10"/>
      <c r="C1433" s="11"/>
      <c r="D1433" s="12"/>
      <c r="E1433" s="10"/>
      <c r="F1433" s="10"/>
      <c r="G1433" s="10"/>
      <c r="H1433" s="14"/>
      <c r="I1433" s="14"/>
      <c r="J1433" s="14"/>
      <c r="K1433" s="14"/>
      <c r="L1433" s="14"/>
      <c r="M1433" s="15"/>
      <c r="N1433" s="10"/>
      <c r="O1433" s="14"/>
      <c r="P1433" s="14"/>
      <c r="Q1433" s="14"/>
      <c r="R1433" s="14"/>
      <c r="S1433" s="14"/>
      <c r="T1433" s="14"/>
      <c r="U1433" s="14"/>
      <c r="V1433" s="14">
        <f t="shared" si="1602"/>
        <v>1900</v>
      </c>
      <c r="W1433" s="14">
        <f t="shared" si="1603"/>
        <v>1</v>
      </c>
      <c r="X1433" s="14"/>
      <c r="Y1433" s="14"/>
      <c r="Z1433" s="14"/>
      <c r="AA1433" s="16" t="str">
        <f t="shared" ref="AA1433:AO1448" ca="1" si="1617">AS1433</f>
        <v>Johnson &amp; Johnson</v>
      </c>
      <c r="AB1433" s="16">
        <f t="shared" si="1617"/>
        <v>0</v>
      </c>
      <c r="AC1433" s="16">
        <f t="shared" si="1617"/>
        <v>0</v>
      </c>
      <c r="AD1433" s="16">
        <f t="shared" si="1617"/>
        <v>0</v>
      </c>
      <c r="AE1433" s="16">
        <f t="shared" si="1617"/>
        <v>0</v>
      </c>
      <c r="AF1433" s="16">
        <f t="shared" si="1617"/>
        <v>0</v>
      </c>
      <c r="AG1433" s="16">
        <f t="shared" si="1617"/>
        <v>0</v>
      </c>
      <c r="AH1433" s="16">
        <f t="shared" si="1617"/>
        <v>0</v>
      </c>
      <c r="AI1433" s="16">
        <f t="shared" si="1617"/>
        <v>0</v>
      </c>
      <c r="AJ1433" s="16">
        <f t="shared" si="1617"/>
        <v>0</v>
      </c>
      <c r="AK1433" s="16">
        <f t="shared" si="1617"/>
        <v>0</v>
      </c>
      <c r="AL1433" s="16">
        <f t="shared" si="1617"/>
        <v>0</v>
      </c>
      <c r="AM1433" s="16">
        <f t="shared" si="1617"/>
        <v>0</v>
      </c>
      <c r="AN1433" s="16">
        <f t="shared" si="1617"/>
        <v>0</v>
      </c>
      <c r="AO1433" s="16">
        <f t="shared" si="1617"/>
        <v>0</v>
      </c>
      <c r="AP1433" s="10"/>
      <c r="AQ1433" s="10"/>
      <c r="AR1433" s="10"/>
      <c r="AS1433" s="10" t="str">
        <f t="shared" ca="1" si="1606"/>
        <v>Johnson &amp; Johnson</v>
      </c>
      <c r="AT1433" s="10"/>
      <c r="AU1433" s="10"/>
      <c r="AV1433" s="10"/>
      <c r="AW1433" s="10"/>
      <c r="AX1433" s="10"/>
      <c r="AY1433" s="10"/>
      <c r="AZ1433" s="10"/>
      <c r="BA1433" s="10"/>
      <c r="BB1433" s="10"/>
      <c r="BC1433" s="10"/>
      <c r="BD1433" s="10"/>
      <c r="BE1433" s="10"/>
      <c r="BF1433" s="10"/>
      <c r="BG1433" s="10"/>
      <c r="BH1433" s="10"/>
      <c r="BI1433" s="10"/>
      <c r="BJ1433" s="10"/>
      <c r="BK1433" s="10"/>
      <c r="BM1433" s="10"/>
    </row>
    <row r="1434" spans="1:65" ht="12.75">
      <c r="A1434" s="9"/>
      <c r="B1434" s="10"/>
      <c r="C1434" s="11"/>
      <c r="D1434" s="12"/>
      <c r="E1434" s="10"/>
      <c r="F1434" s="10"/>
      <c r="G1434" s="10"/>
      <c r="H1434" s="14"/>
      <c r="I1434" s="14"/>
      <c r="J1434" s="14"/>
      <c r="K1434" s="14"/>
      <c r="L1434" s="14"/>
      <c r="M1434" s="15"/>
      <c r="N1434" s="10"/>
      <c r="O1434" s="14"/>
      <c r="P1434" s="14"/>
      <c r="Q1434" s="14"/>
      <c r="R1434" s="14"/>
      <c r="S1434" s="14"/>
      <c r="T1434" s="14"/>
      <c r="U1434" s="14"/>
      <c r="V1434" s="14">
        <f t="shared" si="1602"/>
        <v>1900</v>
      </c>
      <c r="W1434" s="14">
        <f t="shared" si="1603"/>
        <v>1</v>
      </c>
      <c r="X1434" s="14"/>
      <c r="Y1434" s="14"/>
      <c r="Z1434" s="14"/>
      <c r="AA1434" s="16" t="str">
        <f t="shared" ca="1" si="1617"/>
        <v>Johnson &amp; Johnson</v>
      </c>
      <c r="AB1434" s="16">
        <f t="shared" si="1617"/>
        <v>0</v>
      </c>
      <c r="AC1434" s="16">
        <f t="shared" si="1617"/>
        <v>0</v>
      </c>
      <c r="AD1434" s="16">
        <f t="shared" si="1617"/>
        <v>0</v>
      </c>
      <c r="AE1434" s="16">
        <f t="shared" si="1617"/>
        <v>0</v>
      </c>
      <c r="AF1434" s="16">
        <f t="shared" si="1617"/>
        <v>0</v>
      </c>
      <c r="AG1434" s="16">
        <f t="shared" si="1617"/>
        <v>0</v>
      </c>
      <c r="AH1434" s="16">
        <f t="shared" si="1617"/>
        <v>0</v>
      </c>
      <c r="AI1434" s="16">
        <f t="shared" si="1617"/>
        <v>0</v>
      </c>
      <c r="AJ1434" s="16">
        <f t="shared" si="1617"/>
        <v>0</v>
      </c>
      <c r="AK1434" s="16">
        <f t="shared" si="1617"/>
        <v>0</v>
      </c>
      <c r="AL1434" s="16">
        <f t="shared" si="1617"/>
        <v>0</v>
      </c>
      <c r="AM1434" s="16">
        <f t="shared" si="1617"/>
        <v>0</v>
      </c>
      <c r="AN1434" s="16">
        <f t="shared" si="1617"/>
        <v>0</v>
      </c>
      <c r="AO1434" s="16">
        <f t="shared" si="1617"/>
        <v>0</v>
      </c>
      <c r="AP1434" s="10"/>
      <c r="AQ1434" s="10"/>
      <c r="AR1434" s="10"/>
      <c r="AS1434" s="10" t="str">
        <f t="shared" ca="1" si="1606"/>
        <v>Johnson &amp; Johnson</v>
      </c>
      <c r="AT1434" s="10"/>
      <c r="AU1434" s="10"/>
      <c r="AV1434" s="10"/>
      <c r="AW1434" s="10"/>
      <c r="AX1434" s="10"/>
      <c r="AY1434" s="10"/>
      <c r="AZ1434" s="10"/>
      <c r="BA1434" s="10"/>
      <c r="BB1434" s="10"/>
      <c r="BC1434" s="10"/>
      <c r="BD1434" s="10"/>
      <c r="BE1434" s="10"/>
      <c r="BF1434" s="10"/>
      <c r="BG1434" s="10"/>
      <c r="BH1434" s="10"/>
      <c r="BI1434" s="10"/>
      <c r="BJ1434" s="10"/>
      <c r="BK1434" s="10"/>
      <c r="BM1434" s="10"/>
    </row>
    <row r="1435" spans="1:65" ht="12.75">
      <c r="A1435" s="9"/>
      <c r="B1435" s="10"/>
      <c r="C1435" s="11"/>
      <c r="D1435" s="12"/>
      <c r="E1435" s="10"/>
      <c r="F1435" s="10"/>
      <c r="G1435" s="10"/>
      <c r="H1435" s="14"/>
      <c r="I1435" s="14"/>
      <c r="J1435" s="14"/>
      <c r="K1435" s="14"/>
      <c r="L1435" s="14"/>
      <c r="M1435" s="15"/>
      <c r="N1435" s="10"/>
      <c r="O1435" s="14"/>
      <c r="P1435" s="14"/>
      <c r="Q1435" s="14"/>
      <c r="R1435" s="14"/>
      <c r="S1435" s="14"/>
      <c r="T1435" s="14"/>
      <c r="U1435" s="14"/>
      <c r="V1435" s="14">
        <f t="shared" si="1602"/>
        <v>1900</v>
      </c>
      <c r="W1435" s="14">
        <f t="shared" si="1603"/>
        <v>1</v>
      </c>
      <c r="X1435" s="14"/>
      <c r="Y1435" s="14"/>
      <c r="Z1435" s="14"/>
      <c r="AA1435" s="16" t="str">
        <f t="shared" ca="1" si="1617"/>
        <v>Johnson &amp; Johnson</v>
      </c>
      <c r="AB1435" s="16">
        <f t="shared" si="1617"/>
        <v>0</v>
      </c>
      <c r="AC1435" s="16">
        <f t="shared" si="1617"/>
        <v>0</v>
      </c>
      <c r="AD1435" s="16">
        <f t="shared" si="1617"/>
        <v>0</v>
      </c>
      <c r="AE1435" s="16">
        <f t="shared" si="1617"/>
        <v>0</v>
      </c>
      <c r="AF1435" s="16">
        <f t="shared" si="1617"/>
        <v>0</v>
      </c>
      <c r="AG1435" s="16">
        <f t="shared" si="1617"/>
        <v>0</v>
      </c>
      <c r="AH1435" s="16">
        <f t="shared" si="1617"/>
        <v>0</v>
      </c>
      <c r="AI1435" s="16">
        <f t="shared" si="1617"/>
        <v>0</v>
      </c>
      <c r="AJ1435" s="16">
        <f t="shared" si="1617"/>
        <v>0</v>
      </c>
      <c r="AK1435" s="16">
        <f t="shared" si="1617"/>
        <v>0</v>
      </c>
      <c r="AL1435" s="16">
        <f t="shared" si="1617"/>
        <v>0</v>
      </c>
      <c r="AM1435" s="16">
        <f t="shared" si="1617"/>
        <v>0</v>
      </c>
      <c r="AN1435" s="16">
        <f t="shared" si="1617"/>
        <v>0</v>
      </c>
      <c r="AO1435" s="16">
        <f t="shared" si="1617"/>
        <v>0</v>
      </c>
      <c r="AP1435" s="10"/>
      <c r="AQ1435" s="10"/>
      <c r="AR1435" s="10"/>
      <c r="AS1435" s="10" t="str">
        <f t="shared" ca="1" si="1606"/>
        <v>Johnson &amp; Johnson</v>
      </c>
      <c r="AT1435" s="10"/>
      <c r="AU1435" s="10"/>
      <c r="AV1435" s="10"/>
      <c r="AW1435" s="10"/>
      <c r="AX1435" s="10"/>
      <c r="AY1435" s="10"/>
      <c r="AZ1435" s="10"/>
      <c r="BA1435" s="10"/>
      <c r="BB1435" s="10"/>
      <c r="BC1435" s="10"/>
      <c r="BD1435" s="10"/>
      <c r="BE1435" s="10"/>
      <c r="BF1435" s="10"/>
      <c r="BG1435" s="10"/>
      <c r="BH1435" s="10"/>
      <c r="BI1435" s="10"/>
      <c r="BJ1435" s="10"/>
      <c r="BK1435" s="10"/>
      <c r="BM1435" s="10"/>
    </row>
    <row r="1436" spans="1:65" ht="12.75">
      <c r="A1436" s="9"/>
      <c r="B1436" s="10"/>
      <c r="C1436" s="11"/>
      <c r="D1436" s="12"/>
      <c r="E1436" s="10"/>
      <c r="F1436" s="10"/>
      <c r="G1436" s="10"/>
      <c r="H1436" s="14"/>
      <c r="I1436" s="14"/>
      <c r="J1436" s="14"/>
      <c r="K1436" s="14"/>
      <c r="L1436" s="14"/>
      <c r="M1436" s="15"/>
      <c r="N1436" s="10"/>
      <c r="O1436" s="14"/>
      <c r="P1436" s="14"/>
      <c r="Q1436" s="14"/>
      <c r="R1436" s="14"/>
      <c r="S1436" s="14"/>
      <c r="T1436" s="14"/>
      <c r="U1436" s="14"/>
      <c r="V1436" s="14">
        <f t="shared" si="1602"/>
        <v>1900</v>
      </c>
      <c r="W1436" s="14">
        <f t="shared" si="1603"/>
        <v>1</v>
      </c>
      <c r="X1436" s="14"/>
      <c r="Y1436" s="14"/>
      <c r="Z1436" s="14"/>
      <c r="AA1436" s="16" t="str">
        <f t="shared" ca="1" si="1617"/>
        <v>Johnson &amp; Johnson</v>
      </c>
      <c r="AB1436" s="16">
        <f t="shared" si="1617"/>
        <v>0</v>
      </c>
      <c r="AC1436" s="16">
        <f t="shared" si="1617"/>
        <v>0</v>
      </c>
      <c r="AD1436" s="16">
        <f t="shared" si="1617"/>
        <v>0</v>
      </c>
      <c r="AE1436" s="16">
        <f t="shared" si="1617"/>
        <v>0</v>
      </c>
      <c r="AF1436" s="16">
        <f t="shared" si="1617"/>
        <v>0</v>
      </c>
      <c r="AG1436" s="16">
        <f t="shared" si="1617"/>
        <v>0</v>
      </c>
      <c r="AH1436" s="16">
        <f t="shared" si="1617"/>
        <v>0</v>
      </c>
      <c r="AI1436" s="16">
        <f t="shared" si="1617"/>
        <v>0</v>
      </c>
      <c r="AJ1436" s="16">
        <f t="shared" si="1617"/>
        <v>0</v>
      </c>
      <c r="AK1436" s="16">
        <f t="shared" si="1617"/>
        <v>0</v>
      </c>
      <c r="AL1436" s="16">
        <f t="shared" si="1617"/>
        <v>0</v>
      </c>
      <c r="AM1436" s="16">
        <f t="shared" si="1617"/>
        <v>0</v>
      </c>
      <c r="AN1436" s="16">
        <f t="shared" si="1617"/>
        <v>0</v>
      </c>
      <c r="AO1436" s="16">
        <f t="shared" si="1617"/>
        <v>0</v>
      </c>
      <c r="AP1436" s="10"/>
      <c r="AQ1436" s="10"/>
      <c r="AR1436" s="10"/>
      <c r="AS1436" s="10" t="str">
        <f t="shared" ca="1" si="1606"/>
        <v>Johnson &amp; Johnson</v>
      </c>
      <c r="AT1436" s="10"/>
      <c r="AU1436" s="10"/>
      <c r="AV1436" s="10"/>
      <c r="AW1436" s="10"/>
      <c r="AX1436" s="10"/>
      <c r="AY1436" s="10"/>
      <c r="AZ1436" s="10"/>
      <c r="BA1436" s="10"/>
      <c r="BB1436" s="10"/>
      <c r="BC1436" s="10"/>
      <c r="BD1436" s="10"/>
      <c r="BE1436" s="10"/>
      <c r="BF1436" s="10"/>
      <c r="BG1436" s="10"/>
      <c r="BH1436" s="10"/>
      <c r="BI1436" s="10"/>
      <c r="BJ1436" s="10"/>
      <c r="BK1436" s="10"/>
      <c r="BM1436" s="10"/>
    </row>
    <row r="1437" spans="1:65" ht="12.75">
      <c r="A1437" s="9"/>
      <c r="B1437" s="10"/>
      <c r="C1437" s="11"/>
      <c r="D1437" s="12"/>
      <c r="E1437" s="10"/>
      <c r="F1437" s="10"/>
      <c r="G1437" s="10"/>
      <c r="H1437" s="14"/>
      <c r="I1437" s="14"/>
      <c r="J1437" s="14"/>
      <c r="K1437" s="14"/>
      <c r="L1437" s="14"/>
      <c r="M1437" s="15"/>
      <c r="N1437" s="10"/>
      <c r="O1437" s="14"/>
      <c r="P1437" s="14"/>
      <c r="Q1437" s="14"/>
      <c r="R1437" s="14"/>
      <c r="S1437" s="14"/>
      <c r="T1437" s="14"/>
      <c r="U1437" s="14"/>
      <c r="V1437" s="14">
        <f t="shared" si="1602"/>
        <v>1900</v>
      </c>
      <c r="W1437" s="14">
        <f t="shared" si="1603"/>
        <v>1</v>
      </c>
      <c r="X1437" s="14"/>
      <c r="Y1437" s="14"/>
      <c r="Z1437" s="14"/>
      <c r="AA1437" s="16" t="str">
        <f t="shared" ca="1" si="1617"/>
        <v>Johnson &amp; Johnson</v>
      </c>
      <c r="AB1437" s="16">
        <f t="shared" si="1617"/>
        <v>0</v>
      </c>
      <c r="AC1437" s="16">
        <f t="shared" si="1617"/>
        <v>0</v>
      </c>
      <c r="AD1437" s="16">
        <f t="shared" si="1617"/>
        <v>0</v>
      </c>
      <c r="AE1437" s="16">
        <f t="shared" si="1617"/>
        <v>0</v>
      </c>
      <c r="AF1437" s="16">
        <f t="shared" si="1617"/>
        <v>0</v>
      </c>
      <c r="AG1437" s="16">
        <f t="shared" si="1617"/>
        <v>0</v>
      </c>
      <c r="AH1437" s="16">
        <f t="shared" si="1617"/>
        <v>0</v>
      </c>
      <c r="AI1437" s="16">
        <f t="shared" si="1617"/>
        <v>0</v>
      </c>
      <c r="AJ1437" s="16">
        <f t="shared" si="1617"/>
        <v>0</v>
      </c>
      <c r="AK1437" s="16">
        <f t="shared" si="1617"/>
        <v>0</v>
      </c>
      <c r="AL1437" s="16">
        <f t="shared" si="1617"/>
        <v>0</v>
      </c>
      <c r="AM1437" s="16">
        <f t="shared" si="1617"/>
        <v>0</v>
      </c>
      <c r="AN1437" s="16">
        <f t="shared" si="1617"/>
        <v>0</v>
      </c>
      <c r="AO1437" s="16">
        <f t="shared" si="1617"/>
        <v>0</v>
      </c>
      <c r="AP1437" s="10"/>
      <c r="AQ1437" s="10"/>
      <c r="AR1437" s="10"/>
      <c r="AS1437" s="10" t="str">
        <f t="shared" ca="1" si="1606"/>
        <v>Johnson &amp; Johnson</v>
      </c>
      <c r="AT1437" s="10"/>
      <c r="AU1437" s="10"/>
      <c r="AV1437" s="10"/>
      <c r="AW1437" s="10"/>
      <c r="AX1437" s="10"/>
      <c r="AY1437" s="10"/>
      <c r="AZ1437" s="10"/>
      <c r="BA1437" s="10"/>
      <c r="BB1437" s="10"/>
      <c r="BC1437" s="10"/>
      <c r="BD1437" s="10"/>
      <c r="BE1437" s="10"/>
      <c r="BF1437" s="10"/>
      <c r="BG1437" s="10"/>
      <c r="BH1437" s="10"/>
      <c r="BI1437" s="10"/>
      <c r="BJ1437" s="10"/>
      <c r="BK1437" s="10"/>
      <c r="BM1437" s="10"/>
    </row>
    <row r="1438" spans="1:65" ht="12.75">
      <c r="A1438" s="9"/>
      <c r="B1438" s="10"/>
      <c r="C1438" s="11"/>
      <c r="D1438" s="12"/>
      <c r="E1438" s="10"/>
      <c r="F1438" s="10"/>
      <c r="G1438" s="10"/>
      <c r="H1438" s="14"/>
      <c r="I1438" s="14"/>
      <c r="J1438" s="14"/>
      <c r="K1438" s="14"/>
      <c r="L1438" s="14"/>
      <c r="M1438" s="15"/>
      <c r="N1438" s="10"/>
      <c r="O1438" s="14"/>
      <c r="P1438" s="14"/>
      <c r="Q1438" s="14"/>
      <c r="R1438" s="14"/>
      <c r="S1438" s="14"/>
      <c r="T1438" s="14"/>
      <c r="U1438" s="14"/>
      <c r="V1438" s="14">
        <f t="shared" si="1602"/>
        <v>1900</v>
      </c>
      <c r="W1438" s="14">
        <f t="shared" si="1603"/>
        <v>1</v>
      </c>
      <c r="X1438" s="14"/>
      <c r="Y1438" s="14"/>
      <c r="Z1438" s="14"/>
      <c r="AA1438" s="16" t="str">
        <f t="shared" ca="1" si="1617"/>
        <v>Johnson &amp; Johnson</v>
      </c>
      <c r="AB1438" s="16">
        <f t="shared" si="1617"/>
        <v>0</v>
      </c>
      <c r="AC1438" s="16">
        <f t="shared" si="1617"/>
        <v>0</v>
      </c>
      <c r="AD1438" s="16">
        <f t="shared" si="1617"/>
        <v>0</v>
      </c>
      <c r="AE1438" s="16">
        <f t="shared" si="1617"/>
        <v>0</v>
      </c>
      <c r="AF1438" s="16">
        <f t="shared" si="1617"/>
        <v>0</v>
      </c>
      <c r="AG1438" s="16">
        <f t="shared" si="1617"/>
        <v>0</v>
      </c>
      <c r="AH1438" s="16">
        <f t="shared" si="1617"/>
        <v>0</v>
      </c>
      <c r="AI1438" s="16">
        <f t="shared" si="1617"/>
        <v>0</v>
      </c>
      <c r="AJ1438" s="16">
        <f t="shared" si="1617"/>
        <v>0</v>
      </c>
      <c r="AK1438" s="16">
        <f t="shared" si="1617"/>
        <v>0</v>
      </c>
      <c r="AL1438" s="16">
        <f t="shared" si="1617"/>
        <v>0</v>
      </c>
      <c r="AM1438" s="16">
        <f t="shared" si="1617"/>
        <v>0</v>
      </c>
      <c r="AN1438" s="16">
        <f t="shared" si="1617"/>
        <v>0</v>
      </c>
      <c r="AO1438" s="16">
        <f t="shared" si="1617"/>
        <v>0</v>
      </c>
      <c r="AP1438" s="10"/>
      <c r="AQ1438" s="10"/>
      <c r="AR1438" s="10"/>
      <c r="AS1438" s="10" t="str">
        <f t="shared" ca="1" si="1606"/>
        <v>Johnson &amp; Johnson</v>
      </c>
      <c r="AT1438" s="10"/>
      <c r="AU1438" s="10"/>
      <c r="AV1438" s="10"/>
      <c r="AW1438" s="10"/>
      <c r="AX1438" s="10"/>
      <c r="AY1438" s="10"/>
      <c r="AZ1438" s="10"/>
      <c r="BA1438" s="10"/>
      <c r="BB1438" s="10"/>
      <c r="BC1438" s="10"/>
      <c r="BD1438" s="10"/>
      <c r="BE1438" s="10"/>
      <c r="BF1438" s="10"/>
      <c r="BG1438" s="10"/>
      <c r="BH1438" s="10"/>
      <c r="BI1438" s="10"/>
      <c r="BJ1438" s="10"/>
      <c r="BK1438" s="10"/>
      <c r="BM1438" s="10"/>
    </row>
    <row r="1439" spans="1:65" ht="12.75">
      <c r="A1439" s="9"/>
      <c r="B1439" s="10"/>
      <c r="C1439" s="11"/>
      <c r="D1439" s="12"/>
      <c r="E1439" s="10"/>
      <c r="F1439" s="10"/>
      <c r="G1439" s="10"/>
      <c r="H1439" s="14"/>
      <c r="I1439" s="14"/>
      <c r="J1439" s="14"/>
      <c r="K1439" s="14"/>
      <c r="L1439" s="14"/>
      <c r="M1439" s="15"/>
      <c r="N1439" s="10"/>
      <c r="O1439" s="14"/>
      <c r="P1439" s="14"/>
      <c r="Q1439" s="14"/>
      <c r="R1439" s="14"/>
      <c r="S1439" s="14"/>
      <c r="T1439" s="14"/>
      <c r="U1439" s="14"/>
      <c r="V1439" s="14">
        <f t="shared" si="1602"/>
        <v>1900</v>
      </c>
      <c r="W1439" s="14">
        <f t="shared" si="1603"/>
        <v>1</v>
      </c>
      <c r="X1439" s="14"/>
      <c r="Y1439" s="14"/>
      <c r="Z1439" s="14"/>
      <c r="AA1439" s="16" t="str">
        <f t="shared" ca="1" si="1617"/>
        <v>Johnson &amp; Johnson</v>
      </c>
      <c r="AB1439" s="16">
        <f t="shared" si="1617"/>
        <v>0</v>
      </c>
      <c r="AC1439" s="16">
        <f t="shared" si="1617"/>
        <v>0</v>
      </c>
      <c r="AD1439" s="16">
        <f t="shared" si="1617"/>
        <v>0</v>
      </c>
      <c r="AE1439" s="16">
        <f t="shared" si="1617"/>
        <v>0</v>
      </c>
      <c r="AF1439" s="16">
        <f t="shared" si="1617"/>
        <v>0</v>
      </c>
      <c r="AG1439" s="16">
        <f t="shared" si="1617"/>
        <v>0</v>
      </c>
      <c r="AH1439" s="16">
        <f t="shared" si="1617"/>
        <v>0</v>
      </c>
      <c r="AI1439" s="16">
        <f t="shared" si="1617"/>
        <v>0</v>
      </c>
      <c r="AJ1439" s="16">
        <f t="shared" si="1617"/>
        <v>0</v>
      </c>
      <c r="AK1439" s="16">
        <f t="shared" si="1617"/>
        <v>0</v>
      </c>
      <c r="AL1439" s="16">
        <f t="shared" si="1617"/>
        <v>0</v>
      </c>
      <c r="AM1439" s="16">
        <f t="shared" si="1617"/>
        <v>0</v>
      </c>
      <c r="AN1439" s="16">
        <f t="shared" si="1617"/>
        <v>0</v>
      </c>
      <c r="AO1439" s="16">
        <f t="shared" si="1617"/>
        <v>0</v>
      </c>
      <c r="AP1439" s="10"/>
      <c r="AQ1439" s="10"/>
      <c r="AR1439" s="10"/>
      <c r="AS1439" s="10" t="str">
        <f t="shared" ca="1" si="1606"/>
        <v>Johnson &amp; Johnson</v>
      </c>
      <c r="AT1439" s="10"/>
      <c r="AU1439" s="10"/>
      <c r="AV1439" s="10"/>
      <c r="AW1439" s="10"/>
      <c r="AX1439" s="10"/>
      <c r="AY1439" s="10"/>
      <c r="AZ1439" s="10"/>
      <c r="BA1439" s="10"/>
      <c r="BB1439" s="10"/>
      <c r="BC1439" s="10"/>
      <c r="BD1439" s="10"/>
      <c r="BE1439" s="10"/>
      <c r="BF1439" s="10"/>
      <c r="BG1439" s="10"/>
      <c r="BH1439" s="10"/>
      <c r="BI1439" s="10"/>
      <c r="BJ1439" s="10"/>
      <c r="BK1439" s="10"/>
      <c r="BM1439" s="10"/>
    </row>
    <row r="1440" spans="1:65" ht="12.75">
      <c r="A1440" s="9"/>
      <c r="B1440" s="10"/>
      <c r="C1440" s="11"/>
      <c r="D1440" s="12"/>
      <c r="E1440" s="10"/>
      <c r="F1440" s="10"/>
      <c r="G1440" s="10"/>
      <c r="H1440" s="14"/>
      <c r="I1440" s="14"/>
      <c r="J1440" s="14"/>
      <c r="K1440" s="14"/>
      <c r="L1440" s="14"/>
      <c r="M1440" s="15"/>
      <c r="N1440" s="10"/>
      <c r="O1440" s="14"/>
      <c r="P1440" s="14"/>
      <c r="Q1440" s="14"/>
      <c r="R1440" s="14"/>
      <c r="S1440" s="14"/>
      <c r="T1440" s="14"/>
      <c r="U1440" s="14"/>
      <c r="V1440" s="14">
        <f t="shared" si="1602"/>
        <v>1900</v>
      </c>
      <c r="W1440" s="14">
        <f t="shared" si="1603"/>
        <v>1</v>
      </c>
      <c r="X1440" s="14"/>
      <c r="Y1440" s="14"/>
      <c r="Z1440" s="14"/>
      <c r="AA1440" s="16" t="str">
        <f t="shared" ca="1" si="1617"/>
        <v>Johnson &amp; Johnson</v>
      </c>
      <c r="AB1440" s="16">
        <f t="shared" si="1617"/>
        <v>0</v>
      </c>
      <c r="AC1440" s="16">
        <f t="shared" si="1617"/>
        <v>0</v>
      </c>
      <c r="AD1440" s="16">
        <f t="shared" si="1617"/>
        <v>0</v>
      </c>
      <c r="AE1440" s="16">
        <f t="shared" si="1617"/>
        <v>0</v>
      </c>
      <c r="AF1440" s="16">
        <f t="shared" si="1617"/>
        <v>0</v>
      </c>
      <c r="AG1440" s="16">
        <f t="shared" si="1617"/>
        <v>0</v>
      </c>
      <c r="AH1440" s="16">
        <f t="shared" si="1617"/>
        <v>0</v>
      </c>
      <c r="AI1440" s="16">
        <f t="shared" si="1617"/>
        <v>0</v>
      </c>
      <c r="AJ1440" s="16">
        <f t="shared" si="1617"/>
        <v>0</v>
      </c>
      <c r="AK1440" s="16">
        <f t="shared" si="1617"/>
        <v>0</v>
      </c>
      <c r="AL1440" s="16">
        <f t="shared" si="1617"/>
        <v>0</v>
      </c>
      <c r="AM1440" s="16">
        <f t="shared" si="1617"/>
        <v>0</v>
      </c>
      <c r="AN1440" s="16">
        <f t="shared" si="1617"/>
        <v>0</v>
      </c>
      <c r="AO1440" s="16">
        <f t="shared" si="1617"/>
        <v>0</v>
      </c>
      <c r="AP1440" s="10"/>
      <c r="AQ1440" s="10"/>
      <c r="AR1440" s="10"/>
      <c r="AS1440" s="10" t="str">
        <f t="shared" ca="1" si="1606"/>
        <v>Johnson &amp; Johnson</v>
      </c>
      <c r="AT1440" s="10"/>
      <c r="AU1440" s="10"/>
      <c r="AV1440" s="10"/>
      <c r="AW1440" s="10"/>
      <c r="AX1440" s="10"/>
      <c r="AY1440" s="10"/>
      <c r="AZ1440" s="10"/>
      <c r="BA1440" s="10"/>
      <c r="BB1440" s="10"/>
      <c r="BC1440" s="10"/>
      <c r="BD1440" s="10"/>
      <c r="BE1440" s="10"/>
      <c r="BF1440" s="10"/>
      <c r="BG1440" s="10"/>
      <c r="BH1440" s="10"/>
      <c r="BI1440" s="10"/>
      <c r="BJ1440" s="10"/>
      <c r="BK1440" s="10"/>
      <c r="BM1440" s="10"/>
    </row>
    <row r="1441" spans="1:65" ht="12.75">
      <c r="A1441" s="9"/>
      <c r="B1441" s="10"/>
      <c r="C1441" s="11"/>
      <c r="D1441" s="12"/>
      <c r="E1441" s="10"/>
      <c r="F1441" s="10"/>
      <c r="G1441" s="10"/>
      <c r="H1441" s="14"/>
      <c r="I1441" s="14"/>
      <c r="J1441" s="14"/>
      <c r="K1441" s="14"/>
      <c r="L1441" s="14"/>
      <c r="M1441" s="15"/>
      <c r="N1441" s="10"/>
      <c r="O1441" s="14"/>
      <c r="P1441" s="14"/>
      <c r="Q1441" s="14"/>
      <c r="R1441" s="14"/>
      <c r="S1441" s="14"/>
      <c r="T1441" s="14"/>
      <c r="U1441" s="14"/>
      <c r="V1441" s="14">
        <f t="shared" si="1602"/>
        <v>1900</v>
      </c>
      <c r="W1441" s="14">
        <f t="shared" si="1603"/>
        <v>1</v>
      </c>
      <c r="X1441" s="14"/>
      <c r="Y1441" s="14"/>
      <c r="Z1441" s="14"/>
      <c r="AA1441" s="16" t="str">
        <f t="shared" ca="1" si="1617"/>
        <v>Johnson &amp; Johnson</v>
      </c>
      <c r="AB1441" s="16">
        <f t="shared" si="1617"/>
        <v>0</v>
      </c>
      <c r="AC1441" s="16">
        <f t="shared" si="1617"/>
        <v>0</v>
      </c>
      <c r="AD1441" s="16">
        <f t="shared" si="1617"/>
        <v>0</v>
      </c>
      <c r="AE1441" s="16">
        <f t="shared" si="1617"/>
        <v>0</v>
      </c>
      <c r="AF1441" s="16">
        <f t="shared" si="1617"/>
        <v>0</v>
      </c>
      <c r="AG1441" s="16">
        <f t="shared" si="1617"/>
        <v>0</v>
      </c>
      <c r="AH1441" s="16">
        <f t="shared" si="1617"/>
        <v>0</v>
      </c>
      <c r="AI1441" s="16">
        <f t="shared" si="1617"/>
        <v>0</v>
      </c>
      <c r="AJ1441" s="16">
        <f t="shared" si="1617"/>
        <v>0</v>
      </c>
      <c r="AK1441" s="16">
        <f t="shared" si="1617"/>
        <v>0</v>
      </c>
      <c r="AL1441" s="16">
        <f t="shared" si="1617"/>
        <v>0</v>
      </c>
      <c r="AM1441" s="16">
        <f t="shared" si="1617"/>
        <v>0</v>
      </c>
      <c r="AN1441" s="16">
        <f t="shared" si="1617"/>
        <v>0</v>
      </c>
      <c r="AO1441" s="16">
        <f t="shared" si="1617"/>
        <v>0</v>
      </c>
      <c r="AP1441" s="10"/>
      <c r="AQ1441" s="10"/>
      <c r="AR1441" s="10"/>
      <c r="AS1441" s="10" t="str">
        <f t="shared" ca="1" si="1606"/>
        <v>Johnson &amp; Johnson</v>
      </c>
      <c r="AT1441" s="10"/>
      <c r="AU1441" s="10"/>
      <c r="AV1441" s="10"/>
      <c r="AW1441" s="10"/>
      <c r="AX1441" s="10"/>
      <c r="AY1441" s="10"/>
      <c r="AZ1441" s="10"/>
      <c r="BA1441" s="10"/>
      <c r="BB1441" s="10"/>
      <c r="BC1441" s="10"/>
      <c r="BD1441" s="10"/>
      <c r="BE1441" s="10"/>
      <c r="BF1441" s="10"/>
      <c r="BG1441" s="10"/>
      <c r="BH1441" s="10"/>
      <c r="BI1441" s="10"/>
      <c r="BJ1441" s="10"/>
      <c r="BK1441" s="10"/>
      <c r="BM1441" s="10"/>
    </row>
    <row r="1442" spans="1:65" ht="12.75">
      <c r="A1442" s="9"/>
      <c r="B1442" s="10"/>
      <c r="C1442" s="11"/>
      <c r="D1442" s="12"/>
      <c r="E1442" s="10"/>
      <c r="F1442" s="10"/>
      <c r="G1442" s="10"/>
      <c r="H1442" s="14"/>
      <c r="I1442" s="14"/>
      <c r="J1442" s="14"/>
      <c r="K1442" s="14"/>
      <c r="L1442" s="14"/>
      <c r="M1442" s="15"/>
      <c r="N1442" s="10"/>
      <c r="O1442" s="14"/>
      <c r="P1442" s="14"/>
      <c r="Q1442" s="14"/>
      <c r="R1442" s="14"/>
      <c r="S1442" s="14"/>
      <c r="T1442" s="14"/>
      <c r="U1442" s="14"/>
      <c r="V1442" s="14">
        <f t="shared" si="1602"/>
        <v>1900</v>
      </c>
      <c r="W1442" s="14">
        <f t="shared" si="1603"/>
        <v>1</v>
      </c>
      <c r="X1442" s="14"/>
      <c r="Y1442" s="14"/>
      <c r="Z1442" s="14"/>
      <c r="AA1442" s="16" t="str">
        <f t="shared" ca="1" si="1617"/>
        <v>Johnson &amp; Johnson</v>
      </c>
      <c r="AB1442" s="16">
        <f t="shared" si="1617"/>
        <v>0</v>
      </c>
      <c r="AC1442" s="16">
        <f t="shared" si="1617"/>
        <v>0</v>
      </c>
      <c r="AD1442" s="16">
        <f t="shared" si="1617"/>
        <v>0</v>
      </c>
      <c r="AE1442" s="16">
        <f t="shared" si="1617"/>
        <v>0</v>
      </c>
      <c r="AF1442" s="16">
        <f t="shared" si="1617"/>
        <v>0</v>
      </c>
      <c r="AG1442" s="16">
        <f t="shared" si="1617"/>
        <v>0</v>
      </c>
      <c r="AH1442" s="16">
        <f t="shared" si="1617"/>
        <v>0</v>
      </c>
      <c r="AI1442" s="16">
        <f t="shared" si="1617"/>
        <v>0</v>
      </c>
      <c r="AJ1442" s="16">
        <f t="shared" si="1617"/>
        <v>0</v>
      </c>
      <c r="AK1442" s="16">
        <f t="shared" si="1617"/>
        <v>0</v>
      </c>
      <c r="AL1442" s="16">
        <f t="shared" si="1617"/>
        <v>0</v>
      </c>
      <c r="AM1442" s="16">
        <f t="shared" si="1617"/>
        <v>0</v>
      </c>
      <c r="AN1442" s="16">
        <f t="shared" si="1617"/>
        <v>0</v>
      </c>
      <c r="AO1442" s="16">
        <f t="shared" si="1617"/>
        <v>0</v>
      </c>
      <c r="AP1442" s="10"/>
      <c r="AQ1442" s="10"/>
      <c r="AR1442" s="10"/>
      <c r="AS1442" s="10" t="str">
        <f t="shared" ca="1" si="1606"/>
        <v>Johnson &amp; Johnson</v>
      </c>
      <c r="AT1442" s="10"/>
      <c r="AU1442" s="10"/>
      <c r="AV1442" s="10"/>
      <c r="AW1442" s="10"/>
      <c r="AX1442" s="10"/>
      <c r="AY1442" s="10"/>
      <c r="AZ1442" s="10"/>
      <c r="BA1442" s="10"/>
      <c r="BB1442" s="10"/>
      <c r="BC1442" s="10"/>
      <c r="BD1442" s="10"/>
      <c r="BE1442" s="10"/>
      <c r="BF1442" s="10"/>
      <c r="BG1442" s="10"/>
      <c r="BH1442" s="10"/>
      <c r="BI1442" s="10"/>
      <c r="BJ1442" s="10"/>
      <c r="BK1442" s="10"/>
      <c r="BM1442" s="10"/>
    </row>
    <row r="1443" spans="1:65" ht="12.75">
      <c r="A1443" s="9"/>
      <c r="B1443" s="10"/>
      <c r="C1443" s="11"/>
      <c r="D1443" s="12"/>
      <c r="E1443" s="10"/>
      <c r="F1443" s="10"/>
      <c r="G1443" s="10"/>
      <c r="H1443" s="14"/>
      <c r="I1443" s="14"/>
      <c r="J1443" s="14"/>
      <c r="K1443" s="14"/>
      <c r="L1443" s="14"/>
      <c r="M1443" s="15"/>
      <c r="N1443" s="10"/>
      <c r="O1443" s="14"/>
      <c r="P1443" s="14"/>
      <c r="Q1443" s="14"/>
      <c r="R1443" s="14"/>
      <c r="S1443" s="14"/>
      <c r="T1443" s="14"/>
      <c r="U1443" s="14"/>
      <c r="V1443" s="14">
        <f t="shared" si="1602"/>
        <v>1900</v>
      </c>
      <c r="W1443" s="14">
        <f t="shared" si="1603"/>
        <v>1</v>
      </c>
      <c r="X1443" s="14"/>
      <c r="Y1443" s="14"/>
      <c r="Z1443" s="14"/>
      <c r="AA1443" s="16" t="str">
        <f t="shared" ca="1" si="1617"/>
        <v>Johnson &amp; Johnson</v>
      </c>
      <c r="AB1443" s="16">
        <f t="shared" si="1617"/>
        <v>0</v>
      </c>
      <c r="AC1443" s="16">
        <f t="shared" si="1617"/>
        <v>0</v>
      </c>
      <c r="AD1443" s="16">
        <f t="shared" si="1617"/>
        <v>0</v>
      </c>
      <c r="AE1443" s="16">
        <f t="shared" si="1617"/>
        <v>0</v>
      </c>
      <c r="AF1443" s="16">
        <f t="shared" si="1617"/>
        <v>0</v>
      </c>
      <c r="AG1443" s="16">
        <f t="shared" si="1617"/>
        <v>0</v>
      </c>
      <c r="AH1443" s="16">
        <f t="shared" si="1617"/>
        <v>0</v>
      </c>
      <c r="AI1443" s="16">
        <f t="shared" si="1617"/>
        <v>0</v>
      </c>
      <c r="AJ1443" s="16">
        <f t="shared" si="1617"/>
        <v>0</v>
      </c>
      <c r="AK1443" s="16">
        <f t="shared" si="1617"/>
        <v>0</v>
      </c>
      <c r="AL1443" s="16">
        <f t="shared" si="1617"/>
        <v>0</v>
      </c>
      <c r="AM1443" s="16">
        <f t="shared" si="1617"/>
        <v>0</v>
      </c>
      <c r="AN1443" s="16">
        <f t="shared" si="1617"/>
        <v>0</v>
      </c>
      <c r="AO1443" s="16">
        <f t="shared" si="1617"/>
        <v>0</v>
      </c>
      <c r="AP1443" s="10"/>
      <c r="AQ1443" s="10"/>
      <c r="AR1443" s="10"/>
      <c r="AS1443" s="10" t="str">
        <f t="shared" ca="1" si="1606"/>
        <v>Johnson &amp; Johnson</v>
      </c>
      <c r="AT1443" s="10"/>
      <c r="AU1443" s="10"/>
      <c r="AV1443" s="10"/>
      <c r="AW1443" s="10"/>
      <c r="AX1443" s="10"/>
      <c r="AY1443" s="10"/>
      <c r="AZ1443" s="10"/>
      <c r="BA1443" s="10"/>
      <c r="BB1443" s="10"/>
      <c r="BC1443" s="10"/>
      <c r="BD1443" s="10"/>
      <c r="BE1443" s="10"/>
      <c r="BF1443" s="10"/>
      <c r="BG1443" s="10"/>
      <c r="BH1443" s="10"/>
      <c r="BI1443" s="10"/>
      <c r="BJ1443" s="10"/>
      <c r="BK1443" s="10"/>
      <c r="BM1443" s="10"/>
    </row>
    <row r="1444" spans="1:65" ht="12.75">
      <c r="A1444" s="9"/>
      <c r="B1444" s="10"/>
      <c r="C1444" s="11"/>
      <c r="D1444" s="12"/>
      <c r="E1444" s="10"/>
      <c r="F1444" s="10"/>
      <c r="G1444" s="10"/>
      <c r="H1444" s="14"/>
      <c r="I1444" s="14"/>
      <c r="J1444" s="14"/>
      <c r="K1444" s="14"/>
      <c r="L1444" s="14"/>
      <c r="M1444" s="15"/>
      <c r="N1444" s="10"/>
      <c r="O1444" s="14"/>
      <c r="P1444" s="14"/>
      <c r="Q1444" s="14"/>
      <c r="R1444" s="14"/>
      <c r="S1444" s="14"/>
      <c r="T1444" s="14"/>
      <c r="U1444" s="14"/>
      <c r="V1444" s="14">
        <f t="shared" si="1602"/>
        <v>1900</v>
      </c>
      <c r="W1444" s="14">
        <f t="shared" si="1603"/>
        <v>1</v>
      </c>
      <c r="X1444" s="14"/>
      <c r="Y1444" s="14"/>
      <c r="Z1444" s="14"/>
      <c r="AA1444" s="16" t="str">
        <f t="shared" ca="1" si="1617"/>
        <v>Johnson &amp; Johnson</v>
      </c>
      <c r="AB1444" s="16">
        <f t="shared" si="1617"/>
        <v>0</v>
      </c>
      <c r="AC1444" s="16">
        <f t="shared" si="1617"/>
        <v>0</v>
      </c>
      <c r="AD1444" s="16">
        <f t="shared" si="1617"/>
        <v>0</v>
      </c>
      <c r="AE1444" s="16">
        <f t="shared" si="1617"/>
        <v>0</v>
      </c>
      <c r="AF1444" s="16">
        <f t="shared" si="1617"/>
        <v>0</v>
      </c>
      <c r="AG1444" s="16">
        <f t="shared" si="1617"/>
        <v>0</v>
      </c>
      <c r="AH1444" s="16">
        <f t="shared" si="1617"/>
        <v>0</v>
      </c>
      <c r="AI1444" s="16">
        <f t="shared" si="1617"/>
        <v>0</v>
      </c>
      <c r="AJ1444" s="16">
        <f t="shared" si="1617"/>
        <v>0</v>
      </c>
      <c r="AK1444" s="16">
        <f t="shared" si="1617"/>
        <v>0</v>
      </c>
      <c r="AL1444" s="16">
        <f t="shared" si="1617"/>
        <v>0</v>
      </c>
      <c r="AM1444" s="16">
        <f t="shared" si="1617"/>
        <v>0</v>
      </c>
      <c r="AN1444" s="16">
        <f t="shared" si="1617"/>
        <v>0</v>
      </c>
      <c r="AO1444" s="16">
        <f t="shared" si="1617"/>
        <v>0</v>
      </c>
      <c r="AP1444" s="10"/>
      <c r="AQ1444" s="10"/>
      <c r="AR1444" s="10"/>
      <c r="AS1444" s="10" t="str">
        <f t="shared" ca="1" si="1606"/>
        <v>Johnson &amp; Johnson</v>
      </c>
      <c r="AT1444" s="10"/>
      <c r="AU1444" s="10"/>
      <c r="AV1444" s="10"/>
      <c r="AW1444" s="10"/>
      <c r="AX1444" s="10"/>
      <c r="AY1444" s="10"/>
      <c r="AZ1444" s="10"/>
      <c r="BA1444" s="10"/>
      <c r="BB1444" s="10"/>
      <c r="BC1444" s="10"/>
      <c r="BD1444" s="10"/>
      <c r="BE1444" s="10"/>
      <c r="BF1444" s="10"/>
      <c r="BG1444" s="10"/>
      <c r="BH1444" s="10"/>
      <c r="BI1444" s="10"/>
      <c r="BJ1444" s="10"/>
      <c r="BK1444" s="10"/>
      <c r="BM1444" s="10"/>
    </row>
    <row r="1445" spans="1:65" ht="12.75">
      <c r="A1445" s="9"/>
      <c r="B1445" s="10"/>
      <c r="C1445" s="11"/>
      <c r="D1445" s="12"/>
      <c r="E1445" s="10"/>
      <c r="F1445" s="10"/>
      <c r="G1445" s="10"/>
      <c r="H1445" s="14"/>
      <c r="I1445" s="14"/>
      <c r="J1445" s="14"/>
      <c r="K1445" s="14"/>
      <c r="L1445" s="14"/>
      <c r="M1445" s="15"/>
      <c r="N1445" s="10"/>
      <c r="O1445" s="14"/>
      <c r="P1445" s="14"/>
      <c r="Q1445" s="14"/>
      <c r="R1445" s="14"/>
      <c r="S1445" s="14"/>
      <c r="T1445" s="14"/>
      <c r="U1445" s="14"/>
      <c r="V1445" s="14">
        <f t="shared" si="1602"/>
        <v>1900</v>
      </c>
      <c r="W1445" s="14">
        <f t="shared" si="1603"/>
        <v>1</v>
      </c>
      <c r="X1445" s="14"/>
      <c r="Y1445" s="14"/>
      <c r="Z1445" s="14"/>
      <c r="AA1445" s="16" t="str">
        <f t="shared" ca="1" si="1617"/>
        <v>Johnson &amp; Johnson</v>
      </c>
      <c r="AB1445" s="16">
        <f t="shared" si="1617"/>
        <v>0</v>
      </c>
      <c r="AC1445" s="16">
        <f t="shared" si="1617"/>
        <v>0</v>
      </c>
      <c r="AD1445" s="16">
        <f t="shared" si="1617"/>
        <v>0</v>
      </c>
      <c r="AE1445" s="16">
        <f t="shared" si="1617"/>
        <v>0</v>
      </c>
      <c r="AF1445" s="16">
        <f t="shared" si="1617"/>
        <v>0</v>
      </c>
      <c r="AG1445" s="16">
        <f t="shared" si="1617"/>
        <v>0</v>
      </c>
      <c r="AH1445" s="16">
        <f t="shared" si="1617"/>
        <v>0</v>
      </c>
      <c r="AI1445" s="16">
        <f t="shared" si="1617"/>
        <v>0</v>
      </c>
      <c r="AJ1445" s="16">
        <f t="shared" si="1617"/>
        <v>0</v>
      </c>
      <c r="AK1445" s="16">
        <f t="shared" si="1617"/>
        <v>0</v>
      </c>
      <c r="AL1445" s="16">
        <f t="shared" si="1617"/>
        <v>0</v>
      </c>
      <c r="AM1445" s="16">
        <f t="shared" si="1617"/>
        <v>0</v>
      </c>
      <c r="AN1445" s="16">
        <f t="shared" si="1617"/>
        <v>0</v>
      </c>
      <c r="AO1445" s="16">
        <f t="shared" si="1617"/>
        <v>0</v>
      </c>
      <c r="AP1445" s="10"/>
      <c r="AQ1445" s="10"/>
      <c r="AR1445" s="10"/>
      <c r="AS1445" s="10" t="str">
        <f t="shared" ca="1" si="1606"/>
        <v>Johnson &amp; Johnson</v>
      </c>
      <c r="AT1445" s="10"/>
      <c r="AU1445" s="10"/>
      <c r="AV1445" s="10"/>
      <c r="AW1445" s="10"/>
      <c r="AX1445" s="10"/>
      <c r="AY1445" s="10"/>
      <c r="AZ1445" s="10"/>
      <c r="BA1445" s="10"/>
      <c r="BB1445" s="10"/>
      <c r="BC1445" s="10"/>
      <c r="BD1445" s="10"/>
      <c r="BE1445" s="10"/>
      <c r="BF1445" s="10"/>
      <c r="BG1445" s="10"/>
      <c r="BH1445" s="10"/>
      <c r="BI1445" s="10"/>
      <c r="BJ1445" s="10"/>
      <c r="BK1445" s="10"/>
      <c r="BM1445" s="10"/>
    </row>
    <row r="1446" spans="1:65" ht="12.75">
      <c r="A1446" s="9"/>
      <c r="B1446" s="10"/>
      <c r="C1446" s="11"/>
      <c r="D1446" s="12"/>
      <c r="E1446" s="10"/>
      <c r="F1446" s="10"/>
      <c r="G1446" s="10"/>
      <c r="H1446" s="14"/>
      <c r="I1446" s="14"/>
      <c r="J1446" s="14"/>
      <c r="K1446" s="14"/>
      <c r="L1446" s="14"/>
      <c r="M1446" s="15"/>
      <c r="N1446" s="10"/>
      <c r="O1446" s="14"/>
      <c r="P1446" s="14"/>
      <c r="Q1446" s="14"/>
      <c r="R1446" s="14"/>
      <c r="S1446" s="14"/>
      <c r="T1446" s="14"/>
      <c r="U1446" s="14"/>
      <c r="V1446" s="14">
        <f t="shared" si="1602"/>
        <v>1900</v>
      </c>
      <c r="W1446" s="14">
        <f t="shared" si="1603"/>
        <v>1</v>
      </c>
      <c r="X1446" s="14"/>
      <c r="Y1446" s="14"/>
      <c r="Z1446" s="14"/>
      <c r="AA1446" s="16" t="str">
        <f t="shared" ca="1" si="1617"/>
        <v>Johnson &amp; Johnson</v>
      </c>
      <c r="AB1446" s="16">
        <f t="shared" si="1617"/>
        <v>0</v>
      </c>
      <c r="AC1446" s="16">
        <f t="shared" si="1617"/>
        <v>0</v>
      </c>
      <c r="AD1446" s="16">
        <f t="shared" si="1617"/>
        <v>0</v>
      </c>
      <c r="AE1446" s="16">
        <f t="shared" si="1617"/>
        <v>0</v>
      </c>
      <c r="AF1446" s="16">
        <f t="shared" si="1617"/>
        <v>0</v>
      </c>
      <c r="AG1446" s="16">
        <f t="shared" si="1617"/>
        <v>0</v>
      </c>
      <c r="AH1446" s="16">
        <f t="shared" si="1617"/>
        <v>0</v>
      </c>
      <c r="AI1446" s="16">
        <f t="shared" si="1617"/>
        <v>0</v>
      </c>
      <c r="AJ1446" s="16">
        <f t="shared" si="1617"/>
        <v>0</v>
      </c>
      <c r="AK1446" s="16">
        <f t="shared" si="1617"/>
        <v>0</v>
      </c>
      <c r="AL1446" s="16">
        <f t="shared" si="1617"/>
        <v>0</v>
      </c>
      <c r="AM1446" s="16">
        <f t="shared" si="1617"/>
        <v>0</v>
      </c>
      <c r="AN1446" s="16">
        <f t="shared" si="1617"/>
        <v>0</v>
      </c>
      <c r="AO1446" s="16">
        <f t="shared" si="1617"/>
        <v>0</v>
      </c>
      <c r="AP1446" s="10"/>
      <c r="AQ1446" s="10"/>
      <c r="AR1446" s="10"/>
      <c r="AS1446" s="10" t="str">
        <f t="shared" ca="1" si="1606"/>
        <v>Johnson &amp; Johnson</v>
      </c>
      <c r="AT1446" s="10"/>
      <c r="AU1446" s="10"/>
      <c r="AV1446" s="10"/>
      <c r="AW1446" s="10"/>
      <c r="AX1446" s="10"/>
      <c r="AY1446" s="10"/>
      <c r="AZ1446" s="10"/>
      <c r="BA1446" s="10"/>
      <c r="BB1446" s="10"/>
      <c r="BC1446" s="10"/>
      <c r="BD1446" s="10"/>
      <c r="BE1446" s="10"/>
      <c r="BF1446" s="10"/>
      <c r="BG1446" s="10"/>
      <c r="BH1446" s="10"/>
      <c r="BI1446" s="10"/>
      <c r="BJ1446" s="10"/>
      <c r="BK1446" s="10"/>
      <c r="BM1446" s="10"/>
    </row>
    <row r="1447" spans="1:65" ht="12.75">
      <c r="A1447" s="9"/>
      <c r="B1447" s="10"/>
      <c r="C1447" s="11"/>
      <c r="D1447" s="12"/>
      <c r="E1447" s="10"/>
      <c r="F1447" s="10"/>
      <c r="G1447" s="10"/>
      <c r="H1447" s="14"/>
      <c r="I1447" s="14"/>
      <c r="J1447" s="14"/>
      <c r="K1447" s="14"/>
      <c r="L1447" s="14"/>
      <c r="M1447" s="15"/>
      <c r="N1447" s="10"/>
      <c r="O1447" s="14"/>
      <c r="P1447" s="14"/>
      <c r="Q1447" s="14"/>
      <c r="R1447" s="14"/>
      <c r="S1447" s="14"/>
      <c r="T1447" s="14"/>
      <c r="U1447" s="14"/>
      <c r="V1447" s="14">
        <f t="shared" si="1602"/>
        <v>1900</v>
      </c>
      <c r="W1447" s="14">
        <f t="shared" si="1603"/>
        <v>1</v>
      </c>
      <c r="X1447" s="14"/>
      <c r="Y1447" s="14"/>
      <c r="Z1447" s="14"/>
      <c r="AA1447" s="16" t="str">
        <f t="shared" ca="1" si="1617"/>
        <v>Johnson &amp; Johnson</v>
      </c>
      <c r="AB1447" s="16">
        <f t="shared" si="1617"/>
        <v>0</v>
      </c>
      <c r="AC1447" s="16">
        <f t="shared" si="1617"/>
        <v>0</v>
      </c>
      <c r="AD1447" s="16">
        <f t="shared" si="1617"/>
        <v>0</v>
      </c>
      <c r="AE1447" s="16">
        <f t="shared" si="1617"/>
        <v>0</v>
      </c>
      <c r="AF1447" s="16">
        <f t="shared" si="1617"/>
        <v>0</v>
      </c>
      <c r="AG1447" s="16">
        <f t="shared" si="1617"/>
        <v>0</v>
      </c>
      <c r="AH1447" s="16">
        <f t="shared" si="1617"/>
        <v>0</v>
      </c>
      <c r="AI1447" s="16">
        <f t="shared" si="1617"/>
        <v>0</v>
      </c>
      <c r="AJ1447" s="16">
        <f t="shared" si="1617"/>
        <v>0</v>
      </c>
      <c r="AK1447" s="16">
        <f t="shared" si="1617"/>
        <v>0</v>
      </c>
      <c r="AL1447" s="16">
        <f t="shared" si="1617"/>
        <v>0</v>
      </c>
      <c r="AM1447" s="16">
        <f t="shared" si="1617"/>
        <v>0</v>
      </c>
      <c r="AN1447" s="16">
        <f t="shared" si="1617"/>
        <v>0</v>
      </c>
      <c r="AO1447" s="16">
        <f t="shared" si="1617"/>
        <v>0</v>
      </c>
      <c r="AP1447" s="10"/>
      <c r="AQ1447" s="10"/>
      <c r="AR1447" s="10"/>
      <c r="AS1447" s="10" t="str">
        <f t="shared" ca="1" si="1606"/>
        <v>Johnson &amp; Johnson</v>
      </c>
      <c r="AT1447" s="10"/>
      <c r="AU1447" s="10"/>
      <c r="AV1447" s="10"/>
      <c r="AW1447" s="10"/>
      <c r="AX1447" s="10"/>
      <c r="AY1447" s="10"/>
      <c r="AZ1447" s="10"/>
      <c r="BA1447" s="10"/>
      <c r="BB1447" s="10"/>
      <c r="BC1447" s="10"/>
      <c r="BD1447" s="10"/>
      <c r="BE1447" s="10"/>
      <c r="BF1447" s="10"/>
      <c r="BG1447" s="10"/>
      <c r="BH1447" s="10"/>
      <c r="BI1447" s="10"/>
      <c r="BJ1447" s="10"/>
      <c r="BK1447" s="10"/>
      <c r="BM1447" s="10"/>
    </row>
    <row r="1448" spans="1:65" ht="12.75">
      <c r="A1448" s="9"/>
      <c r="B1448" s="10"/>
      <c r="C1448" s="11"/>
      <c r="D1448" s="12"/>
      <c r="E1448" s="10"/>
      <c r="F1448" s="10"/>
      <c r="G1448" s="10"/>
      <c r="H1448" s="14"/>
      <c r="I1448" s="14"/>
      <c r="J1448" s="14"/>
      <c r="K1448" s="14"/>
      <c r="L1448" s="14"/>
      <c r="M1448" s="15"/>
      <c r="N1448" s="10"/>
      <c r="O1448" s="14"/>
      <c r="P1448" s="14"/>
      <c r="Q1448" s="14"/>
      <c r="R1448" s="14"/>
      <c r="S1448" s="14"/>
      <c r="T1448" s="14"/>
      <c r="U1448" s="14"/>
      <c r="V1448" s="14">
        <f t="shared" si="1602"/>
        <v>1900</v>
      </c>
      <c r="W1448" s="14">
        <f t="shared" si="1603"/>
        <v>1</v>
      </c>
      <c r="X1448" s="14"/>
      <c r="Y1448" s="14"/>
      <c r="Z1448" s="14"/>
      <c r="AA1448" s="16" t="str">
        <f t="shared" ca="1" si="1617"/>
        <v>Johnson &amp; Johnson</v>
      </c>
      <c r="AB1448" s="16">
        <f t="shared" si="1617"/>
        <v>0</v>
      </c>
      <c r="AC1448" s="16">
        <f t="shared" si="1617"/>
        <v>0</v>
      </c>
      <c r="AD1448" s="16">
        <f t="shared" si="1617"/>
        <v>0</v>
      </c>
      <c r="AE1448" s="16">
        <f t="shared" si="1617"/>
        <v>0</v>
      </c>
      <c r="AF1448" s="16">
        <f t="shared" si="1617"/>
        <v>0</v>
      </c>
      <c r="AG1448" s="16">
        <f t="shared" si="1617"/>
        <v>0</v>
      </c>
      <c r="AH1448" s="16">
        <f t="shared" si="1617"/>
        <v>0</v>
      </c>
      <c r="AI1448" s="16">
        <f t="shared" si="1617"/>
        <v>0</v>
      </c>
      <c r="AJ1448" s="16">
        <f t="shared" si="1617"/>
        <v>0</v>
      </c>
      <c r="AK1448" s="16">
        <f t="shared" si="1617"/>
        <v>0</v>
      </c>
      <c r="AL1448" s="16">
        <f t="shared" si="1617"/>
        <v>0</v>
      </c>
      <c r="AM1448" s="16">
        <f t="shared" si="1617"/>
        <v>0</v>
      </c>
      <c r="AN1448" s="16">
        <f t="shared" si="1617"/>
        <v>0</v>
      </c>
      <c r="AO1448" s="16">
        <f t="shared" si="1617"/>
        <v>0</v>
      </c>
      <c r="AP1448" s="10"/>
      <c r="AQ1448" s="10"/>
      <c r="AR1448" s="10"/>
      <c r="AS1448" s="10" t="str">
        <f t="shared" ca="1" si="1606"/>
        <v>Johnson &amp; Johnson</v>
      </c>
      <c r="AT1448" s="10"/>
      <c r="AU1448" s="10"/>
      <c r="AV1448" s="10"/>
      <c r="AW1448" s="10"/>
      <c r="AX1448" s="10"/>
      <c r="AY1448" s="10"/>
      <c r="AZ1448" s="10"/>
      <c r="BA1448" s="10"/>
      <c r="BB1448" s="10"/>
      <c r="BC1448" s="10"/>
      <c r="BD1448" s="10"/>
      <c r="BE1448" s="10"/>
      <c r="BF1448" s="10"/>
      <c r="BG1448" s="10"/>
      <c r="BH1448" s="10"/>
      <c r="BI1448" s="10"/>
      <c r="BJ1448" s="10"/>
      <c r="BK1448" s="10"/>
      <c r="BM1448" s="10"/>
    </row>
    <row r="1449" spans="1:65" ht="12.75">
      <c r="A1449" s="9"/>
      <c r="B1449" s="10"/>
      <c r="C1449" s="11"/>
      <c r="D1449" s="12"/>
      <c r="E1449" s="10"/>
      <c r="F1449" s="10"/>
      <c r="G1449" s="10"/>
      <c r="H1449" s="14"/>
      <c r="I1449" s="14"/>
      <c r="J1449" s="14"/>
      <c r="K1449" s="14"/>
      <c r="L1449" s="14"/>
      <c r="M1449" s="15"/>
      <c r="N1449" s="10"/>
      <c r="O1449" s="14"/>
      <c r="P1449" s="14"/>
      <c r="Q1449" s="14"/>
      <c r="R1449" s="14"/>
      <c r="S1449" s="14"/>
      <c r="T1449" s="14"/>
      <c r="U1449" s="14"/>
      <c r="V1449" s="14">
        <f t="shared" si="1602"/>
        <v>1900</v>
      </c>
      <c r="W1449" s="14">
        <f t="shared" si="1603"/>
        <v>1</v>
      </c>
      <c r="X1449" s="14"/>
      <c r="Y1449" s="14"/>
      <c r="Z1449" s="14"/>
      <c r="AA1449" s="16" t="str">
        <f t="shared" ref="AA1449:AO1464" ca="1" si="1618">AS1449</f>
        <v>Johnson &amp; Johnson</v>
      </c>
      <c r="AB1449" s="16">
        <f t="shared" si="1618"/>
        <v>0</v>
      </c>
      <c r="AC1449" s="16">
        <f t="shared" si="1618"/>
        <v>0</v>
      </c>
      <c r="AD1449" s="16">
        <f t="shared" si="1618"/>
        <v>0</v>
      </c>
      <c r="AE1449" s="16">
        <f t="shared" si="1618"/>
        <v>0</v>
      </c>
      <c r="AF1449" s="16">
        <f t="shared" si="1618"/>
        <v>0</v>
      </c>
      <c r="AG1449" s="16">
        <f t="shared" si="1618"/>
        <v>0</v>
      </c>
      <c r="AH1449" s="16">
        <f t="shared" si="1618"/>
        <v>0</v>
      </c>
      <c r="AI1449" s="16">
        <f t="shared" si="1618"/>
        <v>0</v>
      </c>
      <c r="AJ1449" s="16">
        <f t="shared" si="1618"/>
        <v>0</v>
      </c>
      <c r="AK1449" s="16">
        <f t="shared" si="1618"/>
        <v>0</v>
      </c>
      <c r="AL1449" s="16">
        <f t="shared" si="1618"/>
        <v>0</v>
      </c>
      <c r="AM1449" s="16">
        <f t="shared" si="1618"/>
        <v>0</v>
      </c>
      <c r="AN1449" s="16">
        <f t="shared" si="1618"/>
        <v>0</v>
      </c>
      <c r="AO1449" s="16">
        <f t="shared" si="1618"/>
        <v>0</v>
      </c>
      <c r="AP1449" s="10"/>
      <c r="AQ1449" s="10"/>
      <c r="AR1449" s="10"/>
      <c r="AS1449" s="10" t="str">
        <f t="shared" ca="1" si="1606"/>
        <v>Johnson &amp; Johnson</v>
      </c>
      <c r="AT1449" s="10"/>
      <c r="AU1449" s="10"/>
      <c r="AV1449" s="10"/>
      <c r="AW1449" s="10"/>
      <c r="AX1449" s="10"/>
      <c r="AY1449" s="10"/>
      <c r="AZ1449" s="10"/>
      <c r="BA1449" s="10"/>
      <c r="BB1449" s="10"/>
      <c r="BC1449" s="10"/>
      <c r="BD1449" s="10"/>
      <c r="BE1449" s="10"/>
      <c r="BF1449" s="10"/>
      <c r="BG1449" s="10"/>
      <c r="BH1449" s="10"/>
      <c r="BI1449" s="10"/>
      <c r="BJ1449" s="10"/>
      <c r="BK1449" s="10"/>
      <c r="BM1449" s="10"/>
    </row>
    <row r="1450" spans="1:65" ht="12.75">
      <c r="A1450" s="9"/>
      <c r="B1450" s="10"/>
      <c r="C1450" s="11"/>
      <c r="D1450" s="12"/>
      <c r="E1450" s="10"/>
      <c r="F1450" s="10"/>
      <c r="G1450" s="10"/>
      <c r="H1450" s="14"/>
      <c r="I1450" s="14"/>
      <c r="J1450" s="14"/>
      <c r="K1450" s="14"/>
      <c r="L1450" s="14"/>
      <c r="M1450" s="15"/>
      <c r="N1450" s="10"/>
      <c r="O1450" s="14"/>
      <c r="P1450" s="14"/>
      <c r="Q1450" s="14"/>
      <c r="R1450" s="14"/>
      <c r="S1450" s="14"/>
      <c r="T1450" s="14"/>
      <c r="U1450" s="14"/>
      <c r="V1450" s="14">
        <f t="shared" si="1602"/>
        <v>1900</v>
      </c>
      <c r="W1450" s="14">
        <f t="shared" si="1603"/>
        <v>1</v>
      </c>
      <c r="X1450" s="14"/>
      <c r="Y1450" s="14"/>
      <c r="Z1450" s="14"/>
      <c r="AA1450" s="16" t="str">
        <f t="shared" ca="1" si="1618"/>
        <v>Johnson &amp; Johnson</v>
      </c>
      <c r="AB1450" s="16">
        <f t="shared" si="1618"/>
        <v>0</v>
      </c>
      <c r="AC1450" s="16">
        <f t="shared" si="1618"/>
        <v>0</v>
      </c>
      <c r="AD1450" s="16">
        <f t="shared" si="1618"/>
        <v>0</v>
      </c>
      <c r="AE1450" s="16">
        <f t="shared" si="1618"/>
        <v>0</v>
      </c>
      <c r="AF1450" s="16">
        <f t="shared" si="1618"/>
        <v>0</v>
      </c>
      <c r="AG1450" s="16">
        <f t="shared" si="1618"/>
        <v>0</v>
      </c>
      <c r="AH1450" s="16">
        <f t="shared" si="1618"/>
        <v>0</v>
      </c>
      <c r="AI1450" s="16">
        <f t="shared" si="1618"/>
        <v>0</v>
      </c>
      <c r="AJ1450" s="16">
        <f t="shared" si="1618"/>
        <v>0</v>
      </c>
      <c r="AK1450" s="16">
        <f t="shared" si="1618"/>
        <v>0</v>
      </c>
      <c r="AL1450" s="16">
        <f t="shared" si="1618"/>
        <v>0</v>
      </c>
      <c r="AM1450" s="16">
        <f t="shared" si="1618"/>
        <v>0</v>
      </c>
      <c r="AN1450" s="16">
        <f t="shared" si="1618"/>
        <v>0</v>
      </c>
      <c r="AO1450" s="16">
        <f t="shared" si="1618"/>
        <v>0</v>
      </c>
      <c r="AP1450" s="10"/>
      <c r="AQ1450" s="10"/>
      <c r="AR1450" s="10"/>
      <c r="AS1450" s="10" t="str">
        <f t="shared" ca="1" si="1606"/>
        <v>Johnson &amp; Johnson</v>
      </c>
      <c r="AT1450" s="10"/>
      <c r="AU1450" s="10"/>
      <c r="AV1450" s="10"/>
      <c r="AW1450" s="10"/>
      <c r="AX1450" s="10"/>
      <c r="AY1450" s="10"/>
      <c r="AZ1450" s="10"/>
      <c r="BA1450" s="10"/>
      <c r="BB1450" s="10"/>
      <c r="BC1450" s="10"/>
      <c r="BD1450" s="10"/>
      <c r="BE1450" s="10"/>
      <c r="BF1450" s="10"/>
      <c r="BG1450" s="10"/>
      <c r="BH1450" s="10"/>
      <c r="BI1450" s="10"/>
      <c r="BJ1450" s="10"/>
      <c r="BK1450" s="10"/>
      <c r="BM1450" s="10"/>
    </row>
    <row r="1451" spans="1:65" ht="12.75">
      <c r="A1451" s="9"/>
      <c r="B1451" s="10"/>
      <c r="C1451" s="11"/>
      <c r="D1451" s="12"/>
      <c r="E1451" s="10"/>
      <c r="F1451" s="10"/>
      <c r="G1451" s="10"/>
      <c r="H1451" s="14"/>
      <c r="I1451" s="14"/>
      <c r="J1451" s="14"/>
      <c r="K1451" s="14"/>
      <c r="L1451" s="14"/>
      <c r="M1451" s="15"/>
      <c r="N1451" s="10"/>
      <c r="O1451" s="14"/>
      <c r="P1451" s="14"/>
      <c r="Q1451" s="14"/>
      <c r="R1451" s="14"/>
      <c r="S1451" s="14"/>
      <c r="T1451" s="14"/>
      <c r="U1451" s="14"/>
      <c r="V1451" s="14">
        <f t="shared" si="1602"/>
        <v>1900</v>
      </c>
      <c r="W1451" s="14">
        <f t="shared" si="1603"/>
        <v>1</v>
      </c>
      <c r="X1451" s="14"/>
      <c r="Y1451" s="14"/>
      <c r="Z1451" s="14"/>
      <c r="AA1451" s="16" t="str">
        <f t="shared" ca="1" si="1618"/>
        <v>Johnson &amp; Johnson</v>
      </c>
      <c r="AB1451" s="16">
        <f t="shared" si="1618"/>
        <v>0</v>
      </c>
      <c r="AC1451" s="16">
        <f t="shared" si="1618"/>
        <v>0</v>
      </c>
      <c r="AD1451" s="16">
        <f t="shared" si="1618"/>
        <v>0</v>
      </c>
      <c r="AE1451" s="16">
        <f t="shared" si="1618"/>
        <v>0</v>
      </c>
      <c r="AF1451" s="16">
        <f t="shared" si="1618"/>
        <v>0</v>
      </c>
      <c r="AG1451" s="16">
        <f t="shared" si="1618"/>
        <v>0</v>
      </c>
      <c r="AH1451" s="16">
        <f t="shared" si="1618"/>
        <v>0</v>
      </c>
      <c r="AI1451" s="16">
        <f t="shared" si="1618"/>
        <v>0</v>
      </c>
      <c r="AJ1451" s="16">
        <f t="shared" si="1618"/>
        <v>0</v>
      </c>
      <c r="AK1451" s="16">
        <f t="shared" si="1618"/>
        <v>0</v>
      </c>
      <c r="AL1451" s="16">
        <f t="shared" si="1618"/>
        <v>0</v>
      </c>
      <c r="AM1451" s="16">
        <f t="shared" si="1618"/>
        <v>0</v>
      </c>
      <c r="AN1451" s="16">
        <f t="shared" si="1618"/>
        <v>0</v>
      </c>
      <c r="AO1451" s="16">
        <f t="shared" si="1618"/>
        <v>0</v>
      </c>
      <c r="AP1451" s="10"/>
      <c r="AQ1451" s="10"/>
      <c r="AR1451" s="10"/>
      <c r="AS1451" s="10" t="str">
        <f t="shared" ca="1" si="1606"/>
        <v>Johnson &amp; Johnson</v>
      </c>
      <c r="AT1451" s="10"/>
      <c r="AU1451" s="10"/>
      <c r="AV1451" s="10"/>
      <c r="AW1451" s="10"/>
      <c r="AX1451" s="10"/>
      <c r="AY1451" s="10"/>
      <c r="AZ1451" s="10"/>
      <c r="BA1451" s="10"/>
      <c r="BB1451" s="10"/>
      <c r="BC1451" s="10"/>
      <c r="BD1451" s="10"/>
      <c r="BE1451" s="10"/>
      <c r="BF1451" s="10"/>
      <c r="BG1451" s="10"/>
      <c r="BH1451" s="10"/>
      <c r="BI1451" s="10"/>
      <c r="BJ1451" s="10"/>
      <c r="BK1451" s="10"/>
      <c r="BM1451" s="10"/>
    </row>
    <row r="1452" spans="1:65" ht="12.75">
      <c r="A1452" s="9"/>
      <c r="B1452" s="10"/>
      <c r="C1452" s="11"/>
      <c r="D1452" s="12"/>
      <c r="E1452" s="10"/>
      <c r="F1452" s="10"/>
      <c r="G1452" s="10"/>
      <c r="H1452" s="14"/>
      <c r="I1452" s="14"/>
      <c r="J1452" s="14"/>
      <c r="K1452" s="14"/>
      <c r="L1452" s="14"/>
      <c r="M1452" s="15"/>
      <c r="N1452" s="10"/>
      <c r="O1452" s="14"/>
      <c r="P1452" s="14"/>
      <c r="Q1452" s="14"/>
      <c r="R1452" s="14"/>
      <c r="S1452" s="14"/>
      <c r="T1452" s="14"/>
      <c r="U1452" s="14"/>
      <c r="V1452" s="14">
        <f t="shared" si="1602"/>
        <v>1900</v>
      </c>
      <c r="W1452" s="14">
        <f t="shared" si="1603"/>
        <v>1</v>
      </c>
      <c r="X1452" s="14"/>
      <c r="Y1452" s="14"/>
      <c r="Z1452" s="14"/>
      <c r="AA1452" s="16" t="str">
        <f t="shared" ca="1" si="1618"/>
        <v>Johnson &amp; Johnson</v>
      </c>
      <c r="AB1452" s="16">
        <f t="shared" si="1618"/>
        <v>0</v>
      </c>
      <c r="AC1452" s="16">
        <f t="shared" si="1618"/>
        <v>0</v>
      </c>
      <c r="AD1452" s="16">
        <f t="shared" si="1618"/>
        <v>0</v>
      </c>
      <c r="AE1452" s="16">
        <f t="shared" si="1618"/>
        <v>0</v>
      </c>
      <c r="AF1452" s="16">
        <f t="shared" si="1618"/>
        <v>0</v>
      </c>
      <c r="AG1452" s="16">
        <f t="shared" si="1618"/>
        <v>0</v>
      </c>
      <c r="AH1452" s="16">
        <f t="shared" si="1618"/>
        <v>0</v>
      </c>
      <c r="AI1452" s="16">
        <f t="shared" si="1618"/>
        <v>0</v>
      </c>
      <c r="AJ1452" s="16">
        <f t="shared" si="1618"/>
        <v>0</v>
      </c>
      <c r="AK1452" s="16">
        <f t="shared" si="1618"/>
        <v>0</v>
      </c>
      <c r="AL1452" s="16">
        <f t="shared" si="1618"/>
        <v>0</v>
      </c>
      <c r="AM1452" s="16">
        <f t="shared" si="1618"/>
        <v>0</v>
      </c>
      <c r="AN1452" s="16">
        <f t="shared" si="1618"/>
        <v>0</v>
      </c>
      <c r="AO1452" s="16">
        <f t="shared" si="1618"/>
        <v>0</v>
      </c>
      <c r="AP1452" s="10"/>
      <c r="AQ1452" s="10"/>
      <c r="AR1452" s="10"/>
      <c r="AS1452" s="10" t="str">
        <f t="shared" ca="1" si="1606"/>
        <v>Johnson &amp; Johnson</v>
      </c>
      <c r="AT1452" s="10"/>
      <c r="AU1452" s="10"/>
      <c r="AV1452" s="10"/>
      <c r="AW1452" s="10"/>
      <c r="AX1452" s="10"/>
      <c r="AY1452" s="10"/>
      <c r="AZ1452" s="10"/>
      <c r="BA1452" s="10"/>
      <c r="BB1452" s="10"/>
      <c r="BC1452" s="10"/>
      <c r="BD1452" s="10"/>
      <c r="BE1452" s="10"/>
      <c r="BF1452" s="10"/>
      <c r="BG1452" s="10"/>
      <c r="BH1452" s="10"/>
      <c r="BI1452" s="10"/>
      <c r="BJ1452" s="10"/>
      <c r="BK1452" s="10"/>
      <c r="BM1452" s="10"/>
    </row>
    <row r="1453" spans="1:65" ht="12.75">
      <c r="A1453" s="9"/>
      <c r="B1453" s="10"/>
      <c r="C1453" s="11"/>
      <c r="D1453" s="12"/>
      <c r="E1453" s="10"/>
      <c r="F1453" s="10"/>
      <c r="G1453" s="10"/>
      <c r="H1453" s="14"/>
      <c r="I1453" s="14"/>
      <c r="J1453" s="14"/>
      <c r="K1453" s="14"/>
      <c r="L1453" s="14"/>
      <c r="M1453" s="15"/>
      <c r="N1453" s="10"/>
      <c r="O1453" s="14"/>
      <c r="P1453" s="14"/>
      <c r="Q1453" s="14"/>
      <c r="R1453" s="14"/>
      <c r="S1453" s="14"/>
      <c r="T1453" s="14"/>
      <c r="U1453" s="14"/>
      <c r="V1453" s="14">
        <f t="shared" si="1602"/>
        <v>1900</v>
      </c>
      <c r="W1453" s="14">
        <f t="shared" si="1603"/>
        <v>1</v>
      </c>
      <c r="X1453" s="14"/>
      <c r="Y1453" s="14"/>
      <c r="Z1453" s="14"/>
      <c r="AA1453" s="16" t="str">
        <f t="shared" ca="1" si="1618"/>
        <v>Johnson &amp; Johnson</v>
      </c>
      <c r="AB1453" s="16">
        <f t="shared" si="1618"/>
        <v>0</v>
      </c>
      <c r="AC1453" s="16">
        <f t="shared" si="1618"/>
        <v>0</v>
      </c>
      <c r="AD1453" s="16">
        <f t="shared" si="1618"/>
        <v>0</v>
      </c>
      <c r="AE1453" s="16">
        <f t="shared" si="1618"/>
        <v>0</v>
      </c>
      <c r="AF1453" s="16">
        <f t="shared" si="1618"/>
        <v>0</v>
      </c>
      <c r="AG1453" s="16">
        <f t="shared" si="1618"/>
        <v>0</v>
      </c>
      <c r="AH1453" s="16">
        <f t="shared" si="1618"/>
        <v>0</v>
      </c>
      <c r="AI1453" s="16">
        <f t="shared" si="1618"/>
        <v>0</v>
      </c>
      <c r="AJ1453" s="16">
        <f t="shared" si="1618"/>
        <v>0</v>
      </c>
      <c r="AK1453" s="16">
        <f t="shared" si="1618"/>
        <v>0</v>
      </c>
      <c r="AL1453" s="16">
        <f t="shared" si="1618"/>
        <v>0</v>
      </c>
      <c r="AM1453" s="16">
        <f t="shared" si="1618"/>
        <v>0</v>
      </c>
      <c r="AN1453" s="16">
        <f t="shared" si="1618"/>
        <v>0</v>
      </c>
      <c r="AO1453" s="16">
        <f t="shared" si="1618"/>
        <v>0</v>
      </c>
      <c r="AP1453" s="10"/>
      <c r="AQ1453" s="10"/>
      <c r="AR1453" s="10"/>
      <c r="AS1453" s="10" t="str">
        <f t="shared" ca="1" si="1606"/>
        <v>Johnson &amp; Johnson</v>
      </c>
      <c r="AT1453" s="10"/>
      <c r="AU1453" s="10"/>
      <c r="AV1453" s="10"/>
      <c r="AW1453" s="10"/>
      <c r="AX1453" s="10"/>
      <c r="AY1453" s="10"/>
      <c r="AZ1453" s="10"/>
      <c r="BA1453" s="10"/>
      <c r="BB1453" s="10"/>
      <c r="BC1453" s="10"/>
      <c r="BD1453" s="10"/>
      <c r="BE1453" s="10"/>
      <c r="BF1453" s="10"/>
      <c r="BG1453" s="10"/>
      <c r="BH1453" s="10"/>
      <c r="BI1453" s="10"/>
      <c r="BJ1453" s="10"/>
      <c r="BK1453" s="10"/>
      <c r="BM1453" s="10"/>
    </row>
    <row r="1454" spans="1:65" ht="12.75">
      <c r="A1454" s="9"/>
      <c r="B1454" s="10"/>
      <c r="C1454" s="11"/>
      <c r="D1454" s="12"/>
      <c r="E1454" s="10"/>
      <c r="F1454" s="10"/>
      <c r="G1454" s="10"/>
      <c r="H1454" s="14"/>
      <c r="I1454" s="14"/>
      <c r="J1454" s="14"/>
      <c r="K1454" s="14"/>
      <c r="L1454" s="14"/>
      <c r="M1454" s="15"/>
      <c r="N1454" s="10"/>
      <c r="O1454" s="14"/>
      <c r="P1454" s="14"/>
      <c r="Q1454" s="14"/>
      <c r="R1454" s="14"/>
      <c r="S1454" s="14"/>
      <c r="T1454" s="14"/>
      <c r="U1454" s="14"/>
      <c r="V1454" s="14">
        <f t="shared" si="1602"/>
        <v>1900</v>
      </c>
      <c r="W1454" s="14">
        <f t="shared" si="1603"/>
        <v>1</v>
      </c>
      <c r="X1454" s="14"/>
      <c r="Y1454" s="14"/>
      <c r="Z1454" s="14"/>
      <c r="AA1454" s="16" t="str">
        <f t="shared" ca="1" si="1618"/>
        <v>Johnson &amp; Johnson</v>
      </c>
      <c r="AB1454" s="16">
        <f t="shared" si="1618"/>
        <v>0</v>
      </c>
      <c r="AC1454" s="16">
        <f t="shared" si="1618"/>
        <v>0</v>
      </c>
      <c r="AD1454" s="16">
        <f t="shared" si="1618"/>
        <v>0</v>
      </c>
      <c r="AE1454" s="16">
        <f t="shared" si="1618"/>
        <v>0</v>
      </c>
      <c r="AF1454" s="16">
        <f t="shared" si="1618"/>
        <v>0</v>
      </c>
      <c r="AG1454" s="16">
        <f t="shared" si="1618"/>
        <v>0</v>
      </c>
      <c r="AH1454" s="16">
        <f t="shared" si="1618"/>
        <v>0</v>
      </c>
      <c r="AI1454" s="16">
        <f t="shared" si="1618"/>
        <v>0</v>
      </c>
      <c r="AJ1454" s="16">
        <f t="shared" si="1618"/>
        <v>0</v>
      </c>
      <c r="AK1454" s="16">
        <f t="shared" si="1618"/>
        <v>0</v>
      </c>
      <c r="AL1454" s="16">
        <f t="shared" si="1618"/>
        <v>0</v>
      </c>
      <c r="AM1454" s="16">
        <f t="shared" si="1618"/>
        <v>0</v>
      </c>
      <c r="AN1454" s="16">
        <f t="shared" si="1618"/>
        <v>0</v>
      </c>
      <c r="AO1454" s="16">
        <f t="shared" si="1618"/>
        <v>0</v>
      </c>
      <c r="AP1454" s="10"/>
      <c r="AQ1454" s="10"/>
      <c r="AR1454" s="10"/>
      <c r="AS1454" s="10" t="str">
        <f t="shared" ca="1" si="1606"/>
        <v>Johnson &amp; Johnson</v>
      </c>
      <c r="AT1454" s="10"/>
      <c r="AU1454" s="10"/>
      <c r="AV1454" s="10"/>
      <c r="AW1454" s="10"/>
      <c r="AX1454" s="10"/>
      <c r="AY1454" s="10"/>
      <c r="AZ1454" s="10"/>
      <c r="BA1454" s="10"/>
      <c r="BB1454" s="10"/>
      <c r="BC1454" s="10"/>
      <c r="BD1454" s="10"/>
      <c r="BE1454" s="10"/>
      <c r="BF1454" s="10"/>
      <c r="BG1454" s="10"/>
      <c r="BH1454" s="10"/>
      <c r="BI1454" s="10"/>
      <c r="BJ1454" s="10"/>
      <c r="BK1454" s="10"/>
      <c r="BM1454" s="10"/>
    </row>
    <row r="1455" spans="1:65" ht="12.75">
      <c r="A1455" s="9"/>
      <c r="B1455" s="10"/>
      <c r="C1455" s="11"/>
      <c r="D1455" s="12"/>
      <c r="E1455" s="10"/>
      <c r="F1455" s="10"/>
      <c r="G1455" s="10"/>
      <c r="H1455" s="14"/>
      <c r="I1455" s="14"/>
      <c r="J1455" s="14"/>
      <c r="K1455" s="14"/>
      <c r="L1455" s="14"/>
      <c r="M1455" s="15"/>
      <c r="N1455" s="10"/>
      <c r="O1455" s="14"/>
      <c r="P1455" s="14"/>
      <c r="Q1455" s="14"/>
      <c r="R1455" s="14"/>
      <c r="S1455" s="14"/>
      <c r="T1455" s="14"/>
      <c r="U1455" s="14"/>
      <c r="V1455" s="14">
        <f t="shared" si="1602"/>
        <v>1900</v>
      </c>
      <c r="W1455" s="14">
        <f t="shared" si="1603"/>
        <v>1</v>
      </c>
      <c r="X1455" s="14"/>
      <c r="Y1455" s="14"/>
      <c r="Z1455" s="14"/>
      <c r="AA1455" s="16" t="str">
        <f t="shared" ca="1" si="1618"/>
        <v>Johnson &amp; Johnson</v>
      </c>
      <c r="AB1455" s="16">
        <f t="shared" si="1618"/>
        <v>0</v>
      </c>
      <c r="AC1455" s="16">
        <f t="shared" si="1618"/>
        <v>0</v>
      </c>
      <c r="AD1455" s="16">
        <f t="shared" si="1618"/>
        <v>0</v>
      </c>
      <c r="AE1455" s="16">
        <f t="shared" si="1618"/>
        <v>0</v>
      </c>
      <c r="AF1455" s="16">
        <f t="shared" si="1618"/>
        <v>0</v>
      </c>
      <c r="AG1455" s="16">
        <f t="shared" si="1618"/>
        <v>0</v>
      </c>
      <c r="AH1455" s="16">
        <f t="shared" si="1618"/>
        <v>0</v>
      </c>
      <c r="AI1455" s="16">
        <f t="shared" si="1618"/>
        <v>0</v>
      </c>
      <c r="AJ1455" s="16">
        <f t="shared" si="1618"/>
        <v>0</v>
      </c>
      <c r="AK1455" s="16">
        <f t="shared" si="1618"/>
        <v>0</v>
      </c>
      <c r="AL1455" s="16">
        <f t="shared" si="1618"/>
        <v>0</v>
      </c>
      <c r="AM1455" s="16">
        <f t="shared" si="1618"/>
        <v>0</v>
      </c>
      <c r="AN1455" s="16">
        <f t="shared" si="1618"/>
        <v>0</v>
      </c>
      <c r="AO1455" s="16">
        <f t="shared" si="1618"/>
        <v>0</v>
      </c>
      <c r="AP1455" s="10"/>
      <c r="AQ1455" s="10"/>
      <c r="AR1455" s="10"/>
      <c r="AS1455" s="10" t="str">
        <f t="shared" ca="1" si="1606"/>
        <v>Johnson &amp; Johnson</v>
      </c>
      <c r="AT1455" s="10"/>
      <c r="AU1455" s="10"/>
      <c r="AV1455" s="10"/>
      <c r="AW1455" s="10"/>
      <c r="AX1455" s="10"/>
      <c r="AY1455" s="10"/>
      <c r="AZ1455" s="10"/>
      <c r="BA1455" s="10"/>
      <c r="BB1455" s="10"/>
      <c r="BC1455" s="10"/>
      <c r="BD1455" s="10"/>
      <c r="BE1455" s="10"/>
      <c r="BF1455" s="10"/>
      <c r="BG1455" s="10"/>
      <c r="BH1455" s="10"/>
      <c r="BI1455" s="10"/>
      <c r="BJ1455" s="10"/>
      <c r="BK1455" s="10"/>
      <c r="BM1455" s="10"/>
    </row>
    <row r="1456" spans="1:65" ht="12.75">
      <c r="A1456" s="9"/>
      <c r="B1456" s="10"/>
      <c r="C1456" s="11"/>
      <c r="D1456" s="12"/>
      <c r="E1456" s="10"/>
      <c r="F1456" s="10"/>
      <c r="G1456" s="10"/>
      <c r="H1456" s="14"/>
      <c r="I1456" s="14"/>
      <c r="J1456" s="14"/>
      <c r="K1456" s="14"/>
      <c r="L1456" s="14"/>
      <c r="M1456" s="15"/>
      <c r="N1456" s="10"/>
      <c r="O1456" s="14"/>
      <c r="P1456" s="14"/>
      <c r="Q1456" s="14"/>
      <c r="R1456" s="14"/>
      <c r="S1456" s="14"/>
      <c r="T1456" s="14"/>
      <c r="U1456" s="14"/>
      <c r="V1456" s="14">
        <f t="shared" si="1602"/>
        <v>1900</v>
      </c>
      <c r="W1456" s="14">
        <f t="shared" si="1603"/>
        <v>1</v>
      </c>
      <c r="X1456" s="14"/>
      <c r="Y1456" s="14"/>
      <c r="Z1456" s="14"/>
      <c r="AA1456" s="16" t="str">
        <f t="shared" ca="1" si="1618"/>
        <v>Johnson &amp; Johnson</v>
      </c>
      <c r="AB1456" s="16">
        <f t="shared" si="1618"/>
        <v>0</v>
      </c>
      <c r="AC1456" s="16">
        <f t="shared" si="1618"/>
        <v>0</v>
      </c>
      <c r="AD1456" s="16">
        <f t="shared" si="1618"/>
        <v>0</v>
      </c>
      <c r="AE1456" s="16">
        <f t="shared" si="1618"/>
        <v>0</v>
      </c>
      <c r="AF1456" s="16">
        <f t="shared" si="1618"/>
        <v>0</v>
      </c>
      <c r="AG1456" s="16">
        <f t="shared" si="1618"/>
        <v>0</v>
      </c>
      <c r="AH1456" s="16">
        <f t="shared" si="1618"/>
        <v>0</v>
      </c>
      <c r="AI1456" s="16">
        <f t="shared" si="1618"/>
        <v>0</v>
      </c>
      <c r="AJ1456" s="16">
        <f t="shared" si="1618"/>
        <v>0</v>
      </c>
      <c r="AK1456" s="16">
        <f t="shared" si="1618"/>
        <v>0</v>
      </c>
      <c r="AL1456" s="16">
        <f t="shared" si="1618"/>
        <v>0</v>
      </c>
      <c r="AM1456" s="16">
        <f t="shared" si="1618"/>
        <v>0</v>
      </c>
      <c r="AN1456" s="16">
        <f t="shared" si="1618"/>
        <v>0</v>
      </c>
      <c r="AO1456" s="16">
        <f t="shared" si="1618"/>
        <v>0</v>
      </c>
      <c r="AP1456" s="10"/>
      <c r="AQ1456" s="10"/>
      <c r="AR1456" s="10"/>
      <c r="AS1456" s="10" t="str">
        <f t="shared" ca="1" si="1606"/>
        <v>Johnson &amp; Johnson</v>
      </c>
      <c r="AT1456" s="10"/>
      <c r="AU1456" s="10"/>
      <c r="AV1456" s="10"/>
      <c r="AW1456" s="10"/>
      <c r="AX1456" s="10"/>
      <c r="AY1456" s="10"/>
      <c r="AZ1456" s="10"/>
      <c r="BA1456" s="10"/>
      <c r="BB1456" s="10"/>
      <c r="BC1456" s="10"/>
      <c r="BD1456" s="10"/>
      <c r="BE1456" s="10"/>
      <c r="BF1456" s="10"/>
      <c r="BG1456" s="10"/>
      <c r="BH1456" s="10"/>
      <c r="BI1456" s="10"/>
      <c r="BJ1456" s="10"/>
      <c r="BK1456" s="10"/>
      <c r="BM1456" s="10"/>
    </row>
    <row r="1457" spans="1:65" ht="12.75">
      <c r="A1457" s="9"/>
      <c r="B1457" s="10"/>
      <c r="C1457" s="11"/>
      <c r="D1457" s="12"/>
      <c r="E1457" s="10"/>
      <c r="F1457" s="10"/>
      <c r="G1457" s="10"/>
      <c r="H1457" s="14"/>
      <c r="I1457" s="14"/>
      <c r="J1457" s="14"/>
      <c r="K1457" s="14"/>
      <c r="L1457" s="14"/>
      <c r="M1457" s="15"/>
      <c r="N1457" s="10"/>
      <c r="O1457" s="14"/>
      <c r="P1457" s="14"/>
      <c r="Q1457" s="14"/>
      <c r="R1457" s="14"/>
      <c r="S1457" s="14"/>
      <c r="T1457" s="14"/>
      <c r="U1457" s="14"/>
      <c r="V1457" s="14">
        <f t="shared" si="1602"/>
        <v>1900</v>
      </c>
      <c r="W1457" s="14">
        <f t="shared" si="1603"/>
        <v>1</v>
      </c>
      <c r="X1457" s="14"/>
      <c r="Y1457" s="14"/>
      <c r="Z1457" s="14"/>
      <c r="AA1457" s="16" t="str">
        <f t="shared" ca="1" si="1618"/>
        <v>Johnson &amp; Johnson</v>
      </c>
      <c r="AB1457" s="16">
        <f t="shared" si="1618"/>
        <v>0</v>
      </c>
      <c r="AC1457" s="16">
        <f t="shared" si="1618"/>
        <v>0</v>
      </c>
      <c r="AD1457" s="16">
        <f t="shared" si="1618"/>
        <v>0</v>
      </c>
      <c r="AE1457" s="16">
        <f t="shared" si="1618"/>
        <v>0</v>
      </c>
      <c r="AF1457" s="16">
        <f t="shared" si="1618"/>
        <v>0</v>
      </c>
      <c r="AG1457" s="16">
        <f t="shared" si="1618"/>
        <v>0</v>
      </c>
      <c r="AH1457" s="16">
        <f t="shared" si="1618"/>
        <v>0</v>
      </c>
      <c r="AI1457" s="16">
        <f t="shared" si="1618"/>
        <v>0</v>
      </c>
      <c r="AJ1457" s="16">
        <f t="shared" si="1618"/>
        <v>0</v>
      </c>
      <c r="AK1457" s="16">
        <f t="shared" si="1618"/>
        <v>0</v>
      </c>
      <c r="AL1457" s="16">
        <f t="shared" si="1618"/>
        <v>0</v>
      </c>
      <c r="AM1457" s="16">
        <f t="shared" si="1618"/>
        <v>0</v>
      </c>
      <c r="AN1457" s="16">
        <f t="shared" si="1618"/>
        <v>0</v>
      </c>
      <c r="AO1457" s="16">
        <f t="shared" si="1618"/>
        <v>0</v>
      </c>
      <c r="AP1457" s="10"/>
      <c r="AQ1457" s="10"/>
      <c r="AR1457" s="10"/>
      <c r="AS1457" s="10" t="str">
        <f t="shared" ca="1" si="1606"/>
        <v>Johnson &amp; Johnson</v>
      </c>
      <c r="AT1457" s="10"/>
      <c r="AU1457" s="10"/>
      <c r="AV1457" s="10"/>
      <c r="AW1457" s="10"/>
      <c r="AX1457" s="10"/>
      <c r="AY1457" s="10"/>
      <c r="AZ1457" s="10"/>
      <c r="BA1457" s="10"/>
      <c r="BB1457" s="10"/>
      <c r="BC1457" s="10"/>
      <c r="BD1457" s="10"/>
      <c r="BE1457" s="10"/>
      <c r="BF1457" s="10"/>
      <c r="BG1457" s="10"/>
      <c r="BH1457" s="10"/>
      <c r="BI1457" s="10"/>
      <c r="BJ1457" s="10"/>
      <c r="BK1457" s="10"/>
      <c r="BM1457" s="10"/>
    </row>
    <row r="1458" spans="1:65" ht="12.75">
      <c r="A1458" s="9"/>
      <c r="B1458" s="10"/>
      <c r="C1458" s="11"/>
      <c r="D1458" s="12"/>
      <c r="E1458" s="10"/>
      <c r="F1458" s="10"/>
      <c r="G1458" s="10"/>
      <c r="H1458" s="14"/>
      <c r="I1458" s="14"/>
      <c r="J1458" s="14"/>
      <c r="K1458" s="14"/>
      <c r="L1458" s="14"/>
      <c r="M1458" s="15"/>
      <c r="N1458" s="10"/>
      <c r="O1458" s="14"/>
      <c r="P1458" s="14"/>
      <c r="Q1458" s="14"/>
      <c r="R1458" s="14"/>
      <c r="S1458" s="14"/>
      <c r="T1458" s="14"/>
      <c r="U1458" s="14"/>
      <c r="V1458" s="14">
        <f t="shared" si="1602"/>
        <v>1900</v>
      </c>
      <c r="W1458" s="14">
        <f t="shared" si="1603"/>
        <v>1</v>
      </c>
      <c r="X1458" s="14"/>
      <c r="Y1458" s="14"/>
      <c r="Z1458" s="14"/>
      <c r="AA1458" s="16" t="str">
        <f t="shared" ca="1" si="1618"/>
        <v>Johnson &amp; Johnson</v>
      </c>
      <c r="AB1458" s="16">
        <f t="shared" si="1618"/>
        <v>0</v>
      </c>
      <c r="AC1458" s="16">
        <f t="shared" si="1618"/>
        <v>0</v>
      </c>
      <c r="AD1458" s="16">
        <f t="shared" si="1618"/>
        <v>0</v>
      </c>
      <c r="AE1458" s="16">
        <f t="shared" si="1618"/>
        <v>0</v>
      </c>
      <c r="AF1458" s="16">
        <f t="shared" si="1618"/>
        <v>0</v>
      </c>
      <c r="AG1458" s="16">
        <f t="shared" si="1618"/>
        <v>0</v>
      </c>
      <c r="AH1458" s="16">
        <f t="shared" si="1618"/>
        <v>0</v>
      </c>
      <c r="AI1458" s="16">
        <f t="shared" si="1618"/>
        <v>0</v>
      </c>
      <c r="AJ1458" s="16">
        <f t="shared" si="1618"/>
        <v>0</v>
      </c>
      <c r="AK1458" s="16">
        <f t="shared" si="1618"/>
        <v>0</v>
      </c>
      <c r="AL1458" s="16">
        <f t="shared" si="1618"/>
        <v>0</v>
      </c>
      <c r="AM1458" s="16">
        <f t="shared" si="1618"/>
        <v>0</v>
      </c>
      <c r="AN1458" s="16">
        <f t="shared" si="1618"/>
        <v>0</v>
      </c>
      <c r="AO1458" s="16">
        <f t="shared" si="1618"/>
        <v>0</v>
      </c>
      <c r="AP1458" s="10"/>
      <c r="AQ1458" s="10"/>
      <c r="AR1458" s="10"/>
      <c r="AS1458" s="10" t="str">
        <f t="shared" ca="1" si="1606"/>
        <v>Johnson &amp; Johnson</v>
      </c>
      <c r="AT1458" s="10"/>
      <c r="AU1458" s="10"/>
      <c r="AV1458" s="10"/>
      <c r="AW1458" s="10"/>
      <c r="AX1458" s="10"/>
      <c r="AY1458" s="10"/>
      <c r="AZ1458" s="10"/>
      <c r="BA1458" s="10"/>
      <c r="BB1458" s="10"/>
      <c r="BC1458" s="10"/>
      <c r="BD1458" s="10"/>
      <c r="BE1458" s="10"/>
      <c r="BF1458" s="10"/>
      <c r="BG1458" s="10"/>
      <c r="BH1458" s="10"/>
      <c r="BI1458" s="10"/>
      <c r="BJ1458" s="10"/>
      <c r="BK1458" s="10"/>
      <c r="BM1458" s="10"/>
    </row>
    <row r="1459" spans="1:65" ht="12.75">
      <c r="A1459" s="9"/>
      <c r="B1459" s="10"/>
      <c r="C1459" s="11"/>
      <c r="D1459" s="12"/>
      <c r="E1459" s="10"/>
      <c r="F1459" s="10"/>
      <c r="G1459" s="10"/>
      <c r="H1459" s="14"/>
      <c r="I1459" s="14"/>
      <c r="J1459" s="14"/>
      <c r="K1459" s="14"/>
      <c r="L1459" s="14"/>
      <c r="M1459" s="15"/>
      <c r="N1459" s="10"/>
      <c r="O1459" s="14"/>
      <c r="P1459" s="14"/>
      <c r="Q1459" s="14"/>
      <c r="R1459" s="14"/>
      <c r="S1459" s="14"/>
      <c r="T1459" s="14"/>
      <c r="U1459" s="14"/>
      <c r="V1459" s="14">
        <f t="shared" si="1602"/>
        <v>1900</v>
      </c>
      <c r="W1459" s="14">
        <f t="shared" si="1603"/>
        <v>1</v>
      </c>
      <c r="X1459" s="14"/>
      <c r="Y1459" s="14"/>
      <c r="Z1459" s="14"/>
      <c r="AA1459" s="16" t="str">
        <f t="shared" ca="1" si="1618"/>
        <v>Johnson &amp; Johnson</v>
      </c>
      <c r="AB1459" s="16">
        <f t="shared" si="1618"/>
        <v>0</v>
      </c>
      <c r="AC1459" s="16">
        <f t="shared" si="1618"/>
        <v>0</v>
      </c>
      <c r="AD1459" s="16">
        <f t="shared" si="1618"/>
        <v>0</v>
      </c>
      <c r="AE1459" s="16">
        <f t="shared" si="1618"/>
        <v>0</v>
      </c>
      <c r="AF1459" s="16">
        <f t="shared" si="1618"/>
        <v>0</v>
      </c>
      <c r="AG1459" s="16">
        <f t="shared" si="1618"/>
        <v>0</v>
      </c>
      <c r="AH1459" s="16">
        <f t="shared" si="1618"/>
        <v>0</v>
      </c>
      <c r="AI1459" s="16">
        <f t="shared" si="1618"/>
        <v>0</v>
      </c>
      <c r="AJ1459" s="16">
        <f t="shared" si="1618"/>
        <v>0</v>
      </c>
      <c r="AK1459" s="16">
        <f t="shared" si="1618"/>
        <v>0</v>
      </c>
      <c r="AL1459" s="16">
        <f t="shared" si="1618"/>
        <v>0</v>
      </c>
      <c r="AM1459" s="16">
        <f t="shared" si="1618"/>
        <v>0</v>
      </c>
      <c r="AN1459" s="16">
        <f t="shared" si="1618"/>
        <v>0</v>
      </c>
      <c r="AO1459" s="16">
        <f t="shared" si="1618"/>
        <v>0</v>
      </c>
      <c r="AP1459" s="10"/>
      <c r="AQ1459" s="10"/>
      <c r="AR1459" s="10"/>
      <c r="AS1459" s="10" t="str">
        <f t="shared" ca="1" si="1606"/>
        <v>Johnson &amp; Johnson</v>
      </c>
      <c r="AT1459" s="10"/>
      <c r="AU1459" s="10"/>
      <c r="AV1459" s="10"/>
      <c r="AW1459" s="10"/>
      <c r="AX1459" s="10"/>
      <c r="AY1459" s="10"/>
      <c r="AZ1459" s="10"/>
      <c r="BA1459" s="10"/>
      <c r="BB1459" s="10"/>
      <c r="BC1459" s="10"/>
      <c r="BD1459" s="10"/>
      <c r="BE1459" s="10"/>
      <c r="BF1459" s="10"/>
      <c r="BG1459" s="10"/>
      <c r="BH1459" s="10"/>
      <c r="BI1459" s="10"/>
      <c r="BJ1459" s="10"/>
      <c r="BK1459" s="10"/>
      <c r="BM1459" s="10"/>
    </row>
    <row r="1460" spans="1:65" ht="12.75">
      <c r="A1460" s="9"/>
      <c r="B1460" s="10"/>
      <c r="C1460" s="11"/>
      <c r="D1460" s="12"/>
      <c r="E1460" s="10"/>
      <c r="F1460" s="10"/>
      <c r="G1460" s="10"/>
      <c r="H1460" s="14"/>
      <c r="I1460" s="14"/>
      <c r="J1460" s="14"/>
      <c r="K1460" s="14"/>
      <c r="L1460" s="14"/>
      <c r="M1460" s="15"/>
      <c r="N1460" s="10"/>
      <c r="O1460" s="14"/>
      <c r="P1460" s="14"/>
      <c r="Q1460" s="14"/>
      <c r="R1460" s="14"/>
      <c r="S1460" s="14"/>
      <c r="T1460" s="14"/>
      <c r="U1460" s="14"/>
      <c r="V1460" s="14">
        <f t="shared" si="1602"/>
        <v>1900</v>
      </c>
      <c r="W1460" s="14">
        <f t="shared" si="1603"/>
        <v>1</v>
      </c>
      <c r="X1460" s="14"/>
      <c r="Y1460" s="14"/>
      <c r="Z1460" s="14"/>
      <c r="AA1460" s="16" t="str">
        <f t="shared" ca="1" si="1618"/>
        <v>Johnson &amp; Johnson</v>
      </c>
      <c r="AB1460" s="16">
        <f t="shared" si="1618"/>
        <v>0</v>
      </c>
      <c r="AC1460" s="16">
        <f t="shared" si="1618"/>
        <v>0</v>
      </c>
      <c r="AD1460" s="16">
        <f t="shared" si="1618"/>
        <v>0</v>
      </c>
      <c r="AE1460" s="16">
        <f t="shared" si="1618"/>
        <v>0</v>
      </c>
      <c r="AF1460" s="16">
        <f t="shared" si="1618"/>
        <v>0</v>
      </c>
      <c r="AG1460" s="16">
        <f t="shared" si="1618"/>
        <v>0</v>
      </c>
      <c r="AH1460" s="16">
        <f t="shared" si="1618"/>
        <v>0</v>
      </c>
      <c r="AI1460" s="16">
        <f t="shared" si="1618"/>
        <v>0</v>
      </c>
      <c r="AJ1460" s="16">
        <f t="shared" si="1618"/>
        <v>0</v>
      </c>
      <c r="AK1460" s="16">
        <f t="shared" si="1618"/>
        <v>0</v>
      </c>
      <c r="AL1460" s="16">
        <f t="shared" si="1618"/>
        <v>0</v>
      </c>
      <c r="AM1460" s="16">
        <f t="shared" si="1618"/>
        <v>0</v>
      </c>
      <c r="AN1460" s="16">
        <f t="shared" si="1618"/>
        <v>0</v>
      </c>
      <c r="AO1460" s="16">
        <f t="shared" si="1618"/>
        <v>0</v>
      </c>
      <c r="AP1460" s="10"/>
      <c r="AQ1460" s="10"/>
      <c r="AR1460" s="10"/>
      <c r="AS1460" s="10" t="str">
        <f t="shared" ca="1" si="1606"/>
        <v>Johnson &amp; Johnson</v>
      </c>
      <c r="AT1460" s="10"/>
      <c r="AU1460" s="10"/>
      <c r="AV1460" s="10"/>
      <c r="AW1460" s="10"/>
      <c r="AX1460" s="10"/>
      <c r="AY1460" s="10"/>
      <c r="AZ1460" s="10"/>
      <c r="BA1460" s="10"/>
      <c r="BB1460" s="10"/>
      <c r="BC1460" s="10"/>
      <c r="BD1460" s="10"/>
      <c r="BE1460" s="10"/>
      <c r="BF1460" s="10"/>
      <c r="BG1460" s="10"/>
      <c r="BH1460" s="10"/>
      <c r="BI1460" s="10"/>
      <c r="BJ1460" s="10"/>
      <c r="BK1460" s="10"/>
      <c r="BM1460" s="10"/>
    </row>
    <row r="1461" spans="1:65" ht="12.75">
      <c r="A1461" s="9"/>
      <c r="B1461" s="10"/>
      <c r="C1461" s="11"/>
      <c r="D1461" s="12"/>
      <c r="E1461" s="10"/>
      <c r="F1461" s="10"/>
      <c r="G1461" s="10"/>
      <c r="H1461" s="14"/>
      <c r="I1461" s="14"/>
      <c r="J1461" s="14"/>
      <c r="K1461" s="14"/>
      <c r="L1461" s="14"/>
      <c r="M1461" s="15"/>
      <c r="N1461" s="10"/>
      <c r="O1461" s="14"/>
      <c r="P1461" s="14"/>
      <c r="Q1461" s="14"/>
      <c r="R1461" s="14"/>
      <c r="S1461" s="14"/>
      <c r="T1461" s="14"/>
      <c r="U1461" s="14"/>
      <c r="V1461" s="14">
        <f t="shared" si="1602"/>
        <v>1900</v>
      </c>
      <c r="W1461" s="14">
        <f t="shared" si="1603"/>
        <v>1</v>
      </c>
      <c r="X1461" s="14"/>
      <c r="Y1461" s="14"/>
      <c r="Z1461" s="14"/>
      <c r="AA1461" s="16" t="str">
        <f t="shared" ca="1" si="1618"/>
        <v>Johnson &amp; Johnson</v>
      </c>
      <c r="AB1461" s="16">
        <f t="shared" si="1618"/>
        <v>0</v>
      </c>
      <c r="AC1461" s="16">
        <f t="shared" si="1618"/>
        <v>0</v>
      </c>
      <c r="AD1461" s="16">
        <f t="shared" si="1618"/>
        <v>0</v>
      </c>
      <c r="AE1461" s="16">
        <f t="shared" si="1618"/>
        <v>0</v>
      </c>
      <c r="AF1461" s="16">
        <f t="shared" si="1618"/>
        <v>0</v>
      </c>
      <c r="AG1461" s="16">
        <f t="shared" si="1618"/>
        <v>0</v>
      </c>
      <c r="AH1461" s="16">
        <f t="shared" si="1618"/>
        <v>0</v>
      </c>
      <c r="AI1461" s="16">
        <f t="shared" si="1618"/>
        <v>0</v>
      </c>
      <c r="AJ1461" s="16">
        <f t="shared" si="1618"/>
        <v>0</v>
      </c>
      <c r="AK1461" s="16">
        <f t="shared" si="1618"/>
        <v>0</v>
      </c>
      <c r="AL1461" s="16">
        <f t="shared" si="1618"/>
        <v>0</v>
      </c>
      <c r="AM1461" s="16">
        <f t="shared" si="1618"/>
        <v>0</v>
      </c>
      <c r="AN1461" s="16">
        <f t="shared" si="1618"/>
        <v>0</v>
      </c>
      <c r="AO1461" s="16">
        <f t="shared" si="1618"/>
        <v>0</v>
      </c>
      <c r="AP1461" s="10"/>
      <c r="AQ1461" s="10"/>
      <c r="AR1461" s="10"/>
      <c r="AS1461" s="10" t="str">
        <f t="shared" ca="1" si="1606"/>
        <v>Johnson &amp; Johnson</v>
      </c>
      <c r="AT1461" s="10"/>
      <c r="AU1461" s="10"/>
      <c r="AV1461" s="10"/>
      <c r="AW1461" s="10"/>
      <c r="AX1461" s="10"/>
      <c r="AY1461" s="10"/>
      <c r="AZ1461" s="10"/>
      <c r="BA1461" s="10"/>
      <c r="BB1461" s="10"/>
      <c r="BC1461" s="10"/>
      <c r="BD1461" s="10"/>
      <c r="BE1461" s="10"/>
      <c r="BF1461" s="10"/>
      <c r="BG1461" s="10"/>
      <c r="BH1461" s="10"/>
      <c r="BI1461" s="10"/>
      <c r="BJ1461" s="10"/>
      <c r="BK1461" s="10"/>
      <c r="BM1461" s="10"/>
    </row>
    <row r="1462" spans="1:65" ht="12.75">
      <c r="A1462" s="9"/>
      <c r="B1462" s="10"/>
      <c r="C1462" s="11"/>
      <c r="D1462" s="12"/>
      <c r="E1462" s="10"/>
      <c r="F1462" s="10"/>
      <c r="G1462" s="10"/>
      <c r="H1462" s="14"/>
      <c r="I1462" s="14"/>
      <c r="J1462" s="14"/>
      <c r="K1462" s="14"/>
      <c r="L1462" s="14"/>
      <c r="M1462" s="15"/>
      <c r="N1462" s="10"/>
      <c r="O1462" s="14"/>
      <c r="P1462" s="14"/>
      <c r="Q1462" s="14"/>
      <c r="R1462" s="14"/>
      <c r="S1462" s="14"/>
      <c r="T1462" s="14"/>
      <c r="U1462" s="14"/>
      <c r="V1462" s="14">
        <f t="shared" si="1602"/>
        <v>1900</v>
      </c>
      <c r="W1462" s="14">
        <f t="shared" si="1603"/>
        <v>1</v>
      </c>
      <c r="X1462" s="14"/>
      <c r="Y1462" s="14"/>
      <c r="Z1462" s="14"/>
      <c r="AA1462" s="16" t="str">
        <f t="shared" ca="1" si="1618"/>
        <v>Johnson &amp; Johnson</v>
      </c>
      <c r="AB1462" s="16">
        <f t="shared" si="1618"/>
        <v>0</v>
      </c>
      <c r="AC1462" s="16">
        <f t="shared" si="1618"/>
        <v>0</v>
      </c>
      <c r="AD1462" s="16">
        <f t="shared" si="1618"/>
        <v>0</v>
      </c>
      <c r="AE1462" s="16">
        <f t="shared" si="1618"/>
        <v>0</v>
      </c>
      <c r="AF1462" s="16">
        <f t="shared" si="1618"/>
        <v>0</v>
      </c>
      <c r="AG1462" s="16">
        <f t="shared" si="1618"/>
        <v>0</v>
      </c>
      <c r="AH1462" s="16">
        <f t="shared" si="1618"/>
        <v>0</v>
      </c>
      <c r="AI1462" s="16">
        <f t="shared" si="1618"/>
        <v>0</v>
      </c>
      <c r="AJ1462" s="16">
        <f t="shared" si="1618"/>
        <v>0</v>
      </c>
      <c r="AK1462" s="16">
        <f t="shared" si="1618"/>
        <v>0</v>
      </c>
      <c r="AL1462" s="16">
        <f t="shared" si="1618"/>
        <v>0</v>
      </c>
      <c r="AM1462" s="16">
        <f t="shared" si="1618"/>
        <v>0</v>
      </c>
      <c r="AN1462" s="16">
        <f t="shared" si="1618"/>
        <v>0</v>
      </c>
      <c r="AO1462" s="16">
        <f t="shared" si="1618"/>
        <v>0</v>
      </c>
      <c r="AP1462" s="10"/>
      <c r="AQ1462" s="10"/>
      <c r="AR1462" s="10"/>
      <c r="AS1462" s="10" t="str">
        <f t="shared" ca="1" si="1606"/>
        <v>Johnson &amp; Johnson</v>
      </c>
      <c r="AT1462" s="10"/>
      <c r="AU1462" s="10"/>
      <c r="AV1462" s="10"/>
      <c r="AW1462" s="10"/>
      <c r="AX1462" s="10"/>
      <c r="AY1462" s="10"/>
      <c r="AZ1462" s="10"/>
      <c r="BA1462" s="10"/>
      <c r="BB1462" s="10"/>
      <c r="BC1462" s="10"/>
      <c r="BD1462" s="10"/>
      <c r="BE1462" s="10"/>
      <c r="BF1462" s="10"/>
      <c r="BG1462" s="10"/>
      <c r="BH1462" s="10"/>
      <c r="BI1462" s="10"/>
      <c r="BJ1462" s="10"/>
      <c r="BK1462" s="10"/>
      <c r="BM1462" s="10"/>
    </row>
    <row r="1463" spans="1:65" ht="12.75">
      <c r="A1463" s="9"/>
      <c r="B1463" s="10"/>
      <c r="C1463" s="11"/>
      <c r="D1463" s="12"/>
      <c r="E1463" s="10"/>
      <c r="F1463" s="10"/>
      <c r="G1463" s="10"/>
      <c r="H1463" s="14"/>
      <c r="I1463" s="14"/>
      <c r="J1463" s="14"/>
      <c r="K1463" s="14"/>
      <c r="L1463" s="14"/>
      <c r="M1463" s="15"/>
      <c r="N1463" s="10"/>
      <c r="O1463" s="14"/>
      <c r="P1463" s="14"/>
      <c r="Q1463" s="14"/>
      <c r="R1463" s="14"/>
      <c r="S1463" s="14"/>
      <c r="T1463" s="14"/>
      <c r="U1463" s="14"/>
      <c r="V1463" s="14">
        <f t="shared" si="1602"/>
        <v>1900</v>
      </c>
      <c r="W1463" s="14">
        <f t="shared" si="1603"/>
        <v>1</v>
      </c>
      <c r="X1463" s="14"/>
      <c r="Y1463" s="14"/>
      <c r="Z1463" s="14"/>
      <c r="AA1463" s="16" t="str">
        <f t="shared" ca="1" si="1618"/>
        <v>Johnson &amp; Johnson</v>
      </c>
      <c r="AB1463" s="16">
        <f t="shared" si="1618"/>
        <v>0</v>
      </c>
      <c r="AC1463" s="16">
        <f t="shared" si="1618"/>
        <v>0</v>
      </c>
      <c r="AD1463" s="16">
        <f t="shared" si="1618"/>
        <v>0</v>
      </c>
      <c r="AE1463" s="16">
        <f t="shared" si="1618"/>
        <v>0</v>
      </c>
      <c r="AF1463" s="16">
        <f t="shared" si="1618"/>
        <v>0</v>
      </c>
      <c r="AG1463" s="16">
        <f t="shared" si="1618"/>
        <v>0</v>
      </c>
      <c r="AH1463" s="16">
        <f t="shared" si="1618"/>
        <v>0</v>
      </c>
      <c r="AI1463" s="16">
        <f t="shared" si="1618"/>
        <v>0</v>
      </c>
      <c r="AJ1463" s="16">
        <f t="shared" si="1618"/>
        <v>0</v>
      </c>
      <c r="AK1463" s="16">
        <f t="shared" si="1618"/>
        <v>0</v>
      </c>
      <c r="AL1463" s="16">
        <f t="shared" si="1618"/>
        <v>0</v>
      </c>
      <c r="AM1463" s="16">
        <f t="shared" si="1618"/>
        <v>0</v>
      </c>
      <c r="AN1463" s="16">
        <f t="shared" si="1618"/>
        <v>0</v>
      </c>
      <c r="AO1463" s="16">
        <f t="shared" si="1618"/>
        <v>0</v>
      </c>
      <c r="AP1463" s="10"/>
      <c r="AQ1463" s="10"/>
      <c r="AR1463" s="10"/>
      <c r="AS1463" s="10" t="str">
        <f t="shared" ca="1" si="1606"/>
        <v>Johnson &amp; Johnson</v>
      </c>
      <c r="AT1463" s="10"/>
      <c r="AU1463" s="10"/>
      <c r="AV1463" s="10"/>
      <c r="AW1463" s="10"/>
      <c r="AX1463" s="10"/>
      <c r="AY1463" s="10"/>
      <c r="AZ1463" s="10"/>
      <c r="BA1463" s="10"/>
      <c r="BB1463" s="10"/>
      <c r="BC1463" s="10"/>
      <c r="BD1463" s="10"/>
      <c r="BE1463" s="10"/>
      <c r="BF1463" s="10"/>
      <c r="BG1463" s="10"/>
      <c r="BH1463" s="10"/>
      <c r="BI1463" s="10"/>
      <c r="BJ1463" s="10"/>
      <c r="BK1463" s="10"/>
      <c r="BM1463" s="10"/>
    </row>
    <row r="1464" spans="1:65" ht="12.75">
      <c r="A1464" s="9"/>
      <c r="B1464" s="10"/>
      <c r="C1464" s="11"/>
      <c r="D1464" s="12"/>
      <c r="E1464" s="10"/>
      <c r="F1464" s="10"/>
      <c r="G1464" s="10"/>
      <c r="H1464" s="14"/>
      <c r="I1464" s="14"/>
      <c r="J1464" s="14"/>
      <c r="K1464" s="14"/>
      <c r="L1464" s="14"/>
      <c r="M1464" s="15"/>
      <c r="N1464" s="10"/>
      <c r="O1464" s="14"/>
      <c r="P1464" s="14"/>
      <c r="Q1464" s="14"/>
      <c r="R1464" s="14"/>
      <c r="S1464" s="14"/>
      <c r="T1464" s="14"/>
      <c r="U1464" s="14"/>
      <c r="V1464" s="14">
        <f t="shared" si="1602"/>
        <v>1900</v>
      </c>
      <c r="W1464" s="14">
        <f t="shared" si="1603"/>
        <v>1</v>
      </c>
      <c r="X1464" s="14"/>
      <c r="Y1464" s="14"/>
      <c r="Z1464" s="14"/>
      <c r="AA1464" s="16" t="str">
        <f t="shared" ca="1" si="1618"/>
        <v>Johnson &amp; Johnson</v>
      </c>
      <c r="AB1464" s="16">
        <f t="shared" si="1618"/>
        <v>0</v>
      </c>
      <c r="AC1464" s="16">
        <f t="shared" si="1618"/>
        <v>0</v>
      </c>
      <c r="AD1464" s="16">
        <f t="shared" si="1618"/>
        <v>0</v>
      </c>
      <c r="AE1464" s="16">
        <f t="shared" si="1618"/>
        <v>0</v>
      </c>
      <c r="AF1464" s="16">
        <f t="shared" si="1618"/>
        <v>0</v>
      </c>
      <c r="AG1464" s="16">
        <f t="shared" si="1618"/>
        <v>0</v>
      </c>
      <c r="AH1464" s="16">
        <f t="shared" si="1618"/>
        <v>0</v>
      </c>
      <c r="AI1464" s="16">
        <f t="shared" si="1618"/>
        <v>0</v>
      </c>
      <c r="AJ1464" s="16">
        <f t="shared" si="1618"/>
        <v>0</v>
      </c>
      <c r="AK1464" s="16">
        <f t="shared" si="1618"/>
        <v>0</v>
      </c>
      <c r="AL1464" s="16">
        <f t="shared" si="1618"/>
        <v>0</v>
      </c>
      <c r="AM1464" s="16">
        <f t="shared" si="1618"/>
        <v>0</v>
      </c>
      <c r="AN1464" s="16">
        <f t="shared" si="1618"/>
        <v>0</v>
      </c>
      <c r="AO1464" s="16">
        <f t="shared" si="1618"/>
        <v>0</v>
      </c>
      <c r="AP1464" s="10"/>
      <c r="AQ1464" s="10"/>
      <c r="AR1464" s="10"/>
      <c r="AS1464" s="10" t="str">
        <f t="shared" ca="1" si="1606"/>
        <v>Johnson &amp; Johnson</v>
      </c>
      <c r="AT1464" s="10"/>
      <c r="AU1464" s="10"/>
      <c r="AV1464" s="10"/>
      <c r="AW1464" s="10"/>
      <c r="AX1464" s="10"/>
      <c r="AY1464" s="10"/>
      <c r="AZ1464" s="10"/>
      <c r="BA1464" s="10"/>
      <c r="BB1464" s="10"/>
      <c r="BC1464" s="10"/>
      <c r="BD1464" s="10"/>
      <c r="BE1464" s="10"/>
      <c r="BF1464" s="10"/>
      <c r="BG1464" s="10"/>
      <c r="BH1464" s="10"/>
      <c r="BI1464" s="10"/>
      <c r="BJ1464" s="10"/>
      <c r="BK1464" s="10"/>
      <c r="BM1464" s="10"/>
    </row>
    <row r="1465" spans="1:65" ht="12.75">
      <c r="A1465" s="9"/>
      <c r="B1465" s="10"/>
      <c r="C1465" s="11"/>
      <c r="D1465" s="12"/>
      <c r="E1465" s="10"/>
      <c r="F1465" s="10"/>
      <c r="G1465" s="10"/>
      <c r="H1465" s="14"/>
      <c r="I1465" s="14"/>
      <c r="J1465" s="14"/>
      <c r="K1465" s="14"/>
      <c r="L1465" s="14"/>
      <c r="M1465" s="15"/>
      <c r="N1465" s="10"/>
      <c r="O1465" s="14"/>
      <c r="P1465" s="14"/>
      <c r="Q1465" s="14"/>
      <c r="R1465" s="14"/>
      <c r="S1465" s="14"/>
      <c r="T1465" s="14"/>
      <c r="U1465" s="14"/>
      <c r="V1465" s="14">
        <f t="shared" si="1602"/>
        <v>1900</v>
      </c>
      <c r="W1465" s="14">
        <f t="shared" si="1603"/>
        <v>1</v>
      </c>
      <c r="X1465" s="14"/>
      <c r="Y1465" s="14"/>
      <c r="Z1465" s="14"/>
      <c r="AA1465" s="16" t="str">
        <f t="shared" ref="AA1465:AO1480" ca="1" si="1619">AS1465</f>
        <v>Johnson &amp; Johnson</v>
      </c>
      <c r="AB1465" s="16">
        <f t="shared" si="1619"/>
        <v>0</v>
      </c>
      <c r="AC1465" s="16">
        <f t="shared" si="1619"/>
        <v>0</v>
      </c>
      <c r="AD1465" s="16">
        <f t="shared" si="1619"/>
        <v>0</v>
      </c>
      <c r="AE1465" s="16">
        <f t="shared" si="1619"/>
        <v>0</v>
      </c>
      <c r="AF1465" s="16">
        <f t="shared" si="1619"/>
        <v>0</v>
      </c>
      <c r="AG1465" s="16">
        <f t="shared" si="1619"/>
        <v>0</v>
      </c>
      <c r="AH1465" s="16">
        <f t="shared" si="1619"/>
        <v>0</v>
      </c>
      <c r="AI1465" s="16">
        <f t="shared" si="1619"/>
        <v>0</v>
      </c>
      <c r="AJ1465" s="16">
        <f t="shared" si="1619"/>
        <v>0</v>
      </c>
      <c r="AK1465" s="16">
        <f t="shared" si="1619"/>
        <v>0</v>
      </c>
      <c r="AL1465" s="16">
        <f t="shared" si="1619"/>
        <v>0</v>
      </c>
      <c r="AM1465" s="16">
        <f t="shared" si="1619"/>
        <v>0</v>
      </c>
      <c r="AN1465" s="16">
        <f t="shared" si="1619"/>
        <v>0</v>
      </c>
      <c r="AO1465" s="16">
        <f t="shared" si="1619"/>
        <v>0</v>
      </c>
      <c r="AP1465" s="10"/>
      <c r="AQ1465" s="10"/>
      <c r="AR1465" s="10"/>
      <c r="AS1465" s="10" t="str">
        <f t="shared" ca="1" si="1606"/>
        <v>Johnson &amp; Johnson</v>
      </c>
      <c r="AT1465" s="10"/>
      <c r="AU1465" s="10"/>
      <c r="AV1465" s="10"/>
      <c r="AW1465" s="10"/>
      <c r="AX1465" s="10"/>
      <c r="AY1465" s="10"/>
      <c r="AZ1465" s="10"/>
      <c r="BA1465" s="10"/>
      <c r="BB1465" s="10"/>
      <c r="BC1465" s="10"/>
      <c r="BD1465" s="10"/>
      <c r="BE1465" s="10"/>
      <c r="BF1465" s="10"/>
      <c r="BG1465" s="10"/>
      <c r="BH1465" s="10"/>
      <c r="BI1465" s="10"/>
      <c r="BJ1465" s="10"/>
      <c r="BK1465" s="10"/>
      <c r="BM1465" s="10"/>
    </row>
    <row r="1466" spans="1:65" ht="12.75">
      <c r="A1466" s="9"/>
      <c r="B1466" s="10"/>
      <c r="C1466" s="11"/>
      <c r="D1466" s="12"/>
      <c r="E1466" s="10"/>
      <c r="F1466" s="10"/>
      <c r="G1466" s="10"/>
      <c r="H1466" s="14"/>
      <c r="I1466" s="14"/>
      <c r="J1466" s="14"/>
      <c r="K1466" s="14"/>
      <c r="L1466" s="14"/>
      <c r="M1466" s="15"/>
      <c r="N1466" s="10"/>
      <c r="O1466" s="14"/>
      <c r="P1466" s="14"/>
      <c r="Q1466" s="14"/>
      <c r="R1466" s="14"/>
      <c r="S1466" s="14"/>
      <c r="T1466" s="14"/>
      <c r="U1466" s="14"/>
      <c r="V1466" s="14">
        <f t="shared" si="1602"/>
        <v>1900</v>
      </c>
      <c r="W1466" s="14">
        <f t="shared" si="1603"/>
        <v>1</v>
      </c>
      <c r="X1466" s="14"/>
      <c r="Y1466" s="14"/>
      <c r="Z1466" s="14"/>
      <c r="AA1466" s="16" t="str">
        <f t="shared" ca="1" si="1619"/>
        <v>Johnson &amp; Johnson</v>
      </c>
      <c r="AB1466" s="16">
        <f t="shared" si="1619"/>
        <v>0</v>
      </c>
      <c r="AC1466" s="16">
        <f t="shared" si="1619"/>
        <v>0</v>
      </c>
      <c r="AD1466" s="16">
        <f t="shared" si="1619"/>
        <v>0</v>
      </c>
      <c r="AE1466" s="16">
        <f t="shared" si="1619"/>
        <v>0</v>
      </c>
      <c r="AF1466" s="16">
        <f t="shared" si="1619"/>
        <v>0</v>
      </c>
      <c r="AG1466" s="16">
        <f t="shared" si="1619"/>
        <v>0</v>
      </c>
      <c r="AH1466" s="16">
        <f t="shared" si="1619"/>
        <v>0</v>
      </c>
      <c r="AI1466" s="16">
        <f t="shared" si="1619"/>
        <v>0</v>
      </c>
      <c r="AJ1466" s="16">
        <f t="shared" si="1619"/>
        <v>0</v>
      </c>
      <c r="AK1466" s="16">
        <f t="shared" si="1619"/>
        <v>0</v>
      </c>
      <c r="AL1466" s="16">
        <f t="shared" si="1619"/>
        <v>0</v>
      </c>
      <c r="AM1466" s="16">
        <f t="shared" si="1619"/>
        <v>0</v>
      </c>
      <c r="AN1466" s="16">
        <f t="shared" si="1619"/>
        <v>0</v>
      </c>
      <c r="AO1466" s="16">
        <f t="shared" si="1619"/>
        <v>0</v>
      </c>
      <c r="AP1466" s="10"/>
      <c r="AQ1466" s="10"/>
      <c r="AR1466" s="10"/>
      <c r="AS1466" s="10" t="str">
        <f t="shared" ca="1" si="1606"/>
        <v>Johnson &amp; Johnson</v>
      </c>
      <c r="AT1466" s="10"/>
      <c r="AU1466" s="10"/>
      <c r="AV1466" s="10"/>
      <c r="AW1466" s="10"/>
      <c r="AX1466" s="10"/>
      <c r="AY1466" s="10"/>
      <c r="AZ1466" s="10"/>
      <c r="BA1466" s="10"/>
      <c r="BB1466" s="10"/>
      <c r="BC1466" s="10"/>
      <c r="BD1466" s="10"/>
      <c r="BE1466" s="10"/>
      <c r="BF1466" s="10"/>
      <c r="BG1466" s="10"/>
      <c r="BH1466" s="10"/>
      <c r="BI1466" s="10"/>
      <c r="BJ1466" s="10"/>
      <c r="BK1466" s="10"/>
      <c r="BM1466" s="10"/>
    </row>
    <row r="1467" spans="1:65" ht="12.75">
      <c r="A1467" s="9"/>
      <c r="B1467" s="10"/>
      <c r="C1467" s="11"/>
      <c r="D1467" s="12"/>
      <c r="E1467" s="10"/>
      <c r="F1467" s="10"/>
      <c r="G1467" s="10"/>
      <c r="H1467" s="14"/>
      <c r="I1467" s="14"/>
      <c r="J1467" s="14"/>
      <c r="K1467" s="14"/>
      <c r="L1467" s="14"/>
      <c r="M1467" s="15"/>
      <c r="N1467" s="10"/>
      <c r="O1467" s="14"/>
      <c r="P1467" s="14"/>
      <c r="Q1467" s="14"/>
      <c r="R1467" s="14"/>
      <c r="S1467" s="14"/>
      <c r="T1467" s="14"/>
      <c r="U1467" s="14"/>
      <c r="V1467" s="14">
        <f t="shared" si="1602"/>
        <v>1900</v>
      </c>
      <c r="W1467" s="14">
        <f t="shared" si="1603"/>
        <v>1</v>
      </c>
      <c r="X1467" s="14"/>
      <c r="Y1467" s="14"/>
      <c r="Z1467" s="14"/>
      <c r="AA1467" s="16" t="str">
        <f t="shared" ca="1" si="1619"/>
        <v>Johnson &amp; Johnson</v>
      </c>
      <c r="AB1467" s="16">
        <f t="shared" si="1619"/>
        <v>0</v>
      </c>
      <c r="AC1467" s="16">
        <f t="shared" si="1619"/>
        <v>0</v>
      </c>
      <c r="AD1467" s="16">
        <f t="shared" si="1619"/>
        <v>0</v>
      </c>
      <c r="AE1467" s="16">
        <f t="shared" si="1619"/>
        <v>0</v>
      </c>
      <c r="AF1467" s="16">
        <f t="shared" si="1619"/>
        <v>0</v>
      </c>
      <c r="AG1467" s="16">
        <f t="shared" si="1619"/>
        <v>0</v>
      </c>
      <c r="AH1467" s="16">
        <f t="shared" si="1619"/>
        <v>0</v>
      </c>
      <c r="AI1467" s="16">
        <f t="shared" si="1619"/>
        <v>0</v>
      </c>
      <c r="AJ1467" s="16">
        <f t="shared" si="1619"/>
        <v>0</v>
      </c>
      <c r="AK1467" s="16">
        <f t="shared" si="1619"/>
        <v>0</v>
      </c>
      <c r="AL1467" s="16">
        <f t="shared" si="1619"/>
        <v>0</v>
      </c>
      <c r="AM1467" s="16">
        <f t="shared" si="1619"/>
        <v>0</v>
      </c>
      <c r="AN1467" s="16">
        <f t="shared" si="1619"/>
        <v>0</v>
      </c>
      <c r="AO1467" s="16">
        <f t="shared" si="1619"/>
        <v>0</v>
      </c>
      <c r="AP1467" s="10"/>
      <c r="AQ1467" s="10"/>
      <c r="AR1467" s="10"/>
      <c r="AS1467" s="10" t="str">
        <f t="shared" ca="1" si="1606"/>
        <v>Johnson &amp; Johnson</v>
      </c>
      <c r="AT1467" s="10"/>
      <c r="AU1467" s="10"/>
      <c r="AV1467" s="10"/>
      <c r="AW1467" s="10"/>
      <c r="AX1467" s="10"/>
      <c r="AY1467" s="10"/>
      <c r="AZ1467" s="10"/>
      <c r="BA1467" s="10"/>
      <c r="BB1467" s="10"/>
      <c r="BC1467" s="10"/>
      <c r="BD1467" s="10"/>
      <c r="BE1467" s="10"/>
      <c r="BF1467" s="10"/>
      <c r="BG1467" s="10"/>
      <c r="BH1467" s="10"/>
      <c r="BI1467" s="10"/>
      <c r="BJ1467" s="10"/>
      <c r="BK1467" s="10"/>
      <c r="BM1467" s="10"/>
    </row>
    <row r="1468" spans="1:65" ht="12.75">
      <c r="A1468" s="9"/>
      <c r="B1468" s="10"/>
      <c r="C1468" s="11"/>
      <c r="D1468" s="12"/>
      <c r="E1468" s="10"/>
      <c r="F1468" s="10"/>
      <c r="G1468" s="10"/>
      <c r="H1468" s="14"/>
      <c r="I1468" s="14"/>
      <c r="J1468" s="14"/>
      <c r="K1468" s="14"/>
      <c r="L1468" s="14"/>
      <c r="M1468" s="15"/>
      <c r="N1468" s="10"/>
      <c r="O1468" s="14"/>
      <c r="P1468" s="14"/>
      <c r="Q1468" s="14"/>
      <c r="R1468" s="14"/>
      <c r="S1468" s="14"/>
      <c r="T1468" s="14"/>
      <c r="U1468" s="14"/>
      <c r="V1468" s="14">
        <f t="shared" si="1602"/>
        <v>1900</v>
      </c>
      <c r="W1468" s="14">
        <f t="shared" si="1603"/>
        <v>1</v>
      </c>
      <c r="X1468" s="14"/>
      <c r="Y1468" s="14"/>
      <c r="Z1468" s="14"/>
      <c r="AA1468" s="16" t="str">
        <f t="shared" ca="1" si="1619"/>
        <v>Johnson &amp; Johnson</v>
      </c>
      <c r="AB1468" s="16">
        <f t="shared" si="1619"/>
        <v>0</v>
      </c>
      <c r="AC1468" s="16">
        <f t="shared" si="1619"/>
        <v>0</v>
      </c>
      <c r="AD1468" s="16">
        <f t="shared" si="1619"/>
        <v>0</v>
      </c>
      <c r="AE1468" s="16">
        <f t="shared" si="1619"/>
        <v>0</v>
      </c>
      <c r="AF1468" s="16">
        <f t="shared" si="1619"/>
        <v>0</v>
      </c>
      <c r="AG1468" s="16">
        <f t="shared" si="1619"/>
        <v>0</v>
      </c>
      <c r="AH1468" s="16">
        <f t="shared" si="1619"/>
        <v>0</v>
      </c>
      <c r="AI1468" s="16">
        <f t="shared" si="1619"/>
        <v>0</v>
      </c>
      <c r="AJ1468" s="16">
        <f t="shared" si="1619"/>
        <v>0</v>
      </c>
      <c r="AK1468" s="16">
        <f t="shared" si="1619"/>
        <v>0</v>
      </c>
      <c r="AL1468" s="16">
        <f t="shared" si="1619"/>
        <v>0</v>
      </c>
      <c r="AM1468" s="16">
        <f t="shared" si="1619"/>
        <v>0</v>
      </c>
      <c r="AN1468" s="16">
        <f t="shared" si="1619"/>
        <v>0</v>
      </c>
      <c r="AO1468" s="16">
        <f t="shared" si="1619"/>
        <v>0</v>
      </c>
      <c r="AP1468" s="10"/>
      <c r="AQ1468" s="10"/>
      <c r="AR1468" s="10"/>
      <c r="AS1468" s="10" t="str">
        <f t="shared" ca="1" si="1606"/>
        <v>Johnson &amp; Johnson</v>
      </c>
      <c r="AT1468" s="10"/>
      <c r="AU1468" s="10"/>
      <c r="AV1468" s="10"/>
      <c r="AW1468" s="10"/>
      <c r="AX1468" s="10"/>
      <c r="AY1468" s="10"/>
      <c r="AZ1468" s="10"/>
      <c r="BA1468" s="10"/>
      <c r="BB1468" s="10"/>
      <c r="BC1468" s="10"/>
      <c r="BD1468" s="10"/>
      <c r="BE1468" s="10"/>
      <c r="BF1468" s="10"/>
      <c r="BG1468" s="10"/>
      <c r="BH1468" s="10"/>
      <c r="BI1468" s="10"/>
      <c r="BJ1468" s="10"/>
      <c r="BK1468" s="10"/>
      <c r="BM1468" s="10"/>
    </row>
    <row r="1469" spans="1:65" ht="12.75">
      <c r="A1469" s="9"/>
      <c r="B1469" s="10"/>
      <c r="C1469" s="11"/>
      <c r="D1469" s="12"/>
      <c r="E1469" s="10"/>
      <c r="F1469" s="10"/>
      <c r="G1469" s="10"/>
      <c r="H1469" s="14"/>
      <c r="I1469" s="14"/>
      <c r="J1469" s="14"/>
      <c r="K1469" s="14"/>
      <c r="L1469" s="14"/>
      <c r="M1469" s="15"/>
      <c r="N1469" s="10"/>
      <c r="O1469" s="14"/>
      <c r="P1469" s="14"/>
      <c r="Q1469" s="14"/>
      <c r="R1469" s="14"/>
      <c r="S1469" s="14"/>
      <c r="T1469" s="14"/>
      <c r="U1469" s="14"/>
      <c r="V1469" s="14">
        <f t="shared" si="1602"/>
        <v>1900</v>
      </c>
      <c r="W1469" s="14">
        <f t="shared" si="1603"/>
        <v>1</v>
      </c>
      <c r="X1469" s="14"/>
      <c r="Y1469" s="14"/>
      <c r="Z1469" s="14"/>
      <c r="AA1469" s="16" t="str">
        <f t="shared" ca="1" si="1619"/>
        <v>Johnson &amp; Johnson</v>
      </c>
      <c r="AB1469" s="16">
        <f t="shared" si="1619"/>
        <v>0</v>
      </c>
      <c r="AC1469" s="16">
        <f t="shared" si="1619"/>
        <v>0</v>
      </c>
      <c r="AD1469" s="16">
        <f t="shared" si="1619"/>
        <v>0</v>
      </c>
      <c r="AE1469" s="16">
        <f t="shared" si="1619"/>
        <v>0</v>
      </c>
      <c r="AF1469" s="16">
        <f t="shared" si="1619"/>
        <v>0</v>
      </c>
      <c r="AG1469" s="16">
        <f t="shared" si="1619"/>
        <v>0</v>
      </c>
      <c r="AH1469" s="16">
        <f t="shared" si="1619"/>
        <v>0</v>
      </c>
      <c r="AI1469" s="16">
        <f t="shared" si="1619"/>
        <v>0</v>
      </c>
      <c r="AJ1469" s="16">
        <f t="shared" si="1619"/>
        <v>0</v>
      </c>
      <c r="AK1469" s="16">
        <f t="shared" si="1619"/>
        <v>0</v>
      </c>
      <c r="AL1469" s="16">
        <f t="shared" si="1619"/>
        <v>0</v>
      </c>
      <c r="AM1469" s="16">
        <f t="shared" si="1619"/>
        <v>0</v>
      </c>
      <c r="AN1469" s="16">
        <f t="shared" si="1619"/>
        <v>0</v>
      </c>
      <c r="AO1469" s="16">
        <f t="shared" si="1619"/>
        <v>0</v>
      </c>
      <c r="AP1469" s="10"/>
      <c r="AQ1469" s="10"/>
      <c r="AR1469" s="10"/>
      <c r="AS1469" s="10" t="str">
        <f t="shared" ca="1" si="1606"/>
        <v>Johnson &amp; Johnson</v>
      </c>
      <c r="AT1469" s="10"/>
      <c r="AU1469" s="10"/>
      <c r="AV1469" s="10"/>
      <c r="AW1469" s="10"/>
      <c r="AX1469" s="10"/>
      <c r="AY1469" s="10"/>
      <c r="AZ1469" s="10"/>
      <c r="BA1469" s="10"/>
      <c r="BB1469" s="10"/>
      <c r="BC1469" s="10"/>
      <c r="BD1469" s="10"/>
      <c r="BE1469" s="10"/>
      <c r="BF1469" s="10"/>
      <c r="BG1469" s="10"/>
      <c r="BH1469" s="10"/>
      <c r="BI1469" s="10"/>
      <c r="BJ1469" s="10"/>
      <c r="BK1469" s="10"/>
      <c r="BM1469" s="10"/>
    </row>
    <row r="1470" spans="1:65" ht="12.75">
      <c r="A1470" s="9"/>
      <c r="B1470" s="10"/>
      <c r="C1470" s="11"/>
      <c r="D1470" s="12"/>
      <c r="E1470" s="10"/>
      <c r="F1470" s="10"/>
      <c r="G1470" s="10"/>
      <c r="H1470" s="14"/>
      <c r="I1470" s="14"/>
      <c r="J1470" s="14"/>
      <c r="K1470" s="14"/>
      <c r="L1470" s="14"/>
      <c r="M1470" s="15"/>
      <c r="N1470" s="10"/>
      <c r="O1470" s="14"/>
      <c r="P1470" s="14"/>
      <c r="Q1470" s="14"/>
      <c r="R1470" s="14"/>
      <c r="S1470" s="14"/>
      <c r="T1470" s="14"/>
      <c r="U1470" s="14"/>
      <c r="V1470" s="14">
        <f t="shared" si="1602"/>
        <v>1900</v>
      </c>
      <c r="W1470" s="14">
        <f t="shared" si="1603"/>
        <v>1</v>
      </c>
      <c r="X1470" s="14"/>
      <c r="Y1470" s="14"/>
      <c r="Z1470" s="14"/>
      <c r="AA1470" s="16" t="str">
        <f t="shared" ca="1" si="1619"/>
        <v>Johnson &amp; Johnson</v>
      </c>
      <c r="AB1470" s="16">
        <f t="shared" si="1619"/>
        <v>0</v>
      </c>
      <c r="AC1470" s="16">
        <f t="shared" si="1619"/>
        <v>0</v>
      </c>
      <c r="AD1470" s="16">
        <f t="shared" si="1619"/>
        <v>0</v>
      </c>
      <c r="AE1470" s="16">
        <f t="shared" si="1619"/>
        <v>0</v>
      </c>
      <c r="AF1470" s="16">
        <f t="shared" si="1619"/>
        <v>0</v>
      </c>
      <c r="AG1470" s="16">
        <f t="shared" si="1619"/>
        <v>0</v>
      </c>
      <c r="AH1470" s="16">
        <f t="shared" si="1619"/>
        <v>0</v>
      </c>
      <c r="AI1470" s="16">
        <f t="shared" si="1619"/>
        <v>0</v>
      </c>
      <c r="AJ1470" s="16">
        <f t="shared" si="1619"/>
        <v>0</v>
      </c>
      <c r="AK1470" s="16">
        <f t="shared" si="1619"/>
        <v>0</v>
      </c>
      <c r="AL1470" s="16">
        <f t="shared" si="1619"/>
        <v>0</v>
      </c>
      <c r="AM1470" s="16">
        <f t="shared" si="1619"/>
        <v>0</v>
      </c>
      <c r="AN1470" s="16">
        <f t="shared" si="1619"/>
        <v>0</v>
      </c>
      <c r="AO1470" s="16">
        <f t="shared" si="1619"/>
        <v>0</v>
      </c>
      <c r="AP1470" s="10"/>
      <c r="AQ1470" s="10"/>
      <c r="AR1470" s="10"/>
      <c r="AS1470" s="10" t="str">
        <f t="shared" ca="1" si="1606"/>
        <v>Johnson &amp; Johnson</v>
      </c>
      <c r="AT1470" s="10"/>
      <c r="AU1470" s="10"/>
      <c r="AV1470" s="10"/>
      <c r="AW1470" s="10"/>
      <c r="AX1470" s="10"/>
      <c r="AY1470" s="10"/>
      <c r="AZ1470" s="10"/>
      <c r="BA1470" s="10"/>
      <c r="BB1470" s="10"/>
      <c r="BC1470" s="10"/>
      <c r="BD1470" s="10"/>
      <c r="BE1470" s="10"/>
      <c r="BF1470" s="10"/>
      <c r="BG1470" s="10"/>
      <c r="BH1470" s="10"/>
      <c r="BI1470" s="10"/>
      <c r="BJ1470" s="10"/>
      <c r="BK1470" s="10"/>
      <c r="BM1470" s="10"/>
    </row>
    <row r="1471" spans="1:65" ht="12.75">
      <c r="A1471" s="9"/>
      <c r="B1471" s="10"/>
      <c r="C1471" s="11"/>
      <c r="D1471" s="12"/>
      <c r="E1471" s="10"/>
      <c r="F1471" s="10"/>
      <c r="G1471" s="10"/>
      <c r="H1471" s="14"/>
      <c r="I1471" s="14"/>
      <c r="J1471" s="14"/>
      <c r="K1471" s="14"/>
      <c r="L1471" s="14"/>
      <c r="M1471" s="15"/>
      <c r="N1471" s="10"/>
      <c r="O1471" s="14"/>
      <c r="P1471" s="14"/>
      <c r="Q1471" s="14"/>
      <c r="R1471" s="14"/>
      <c r="S1471" s="14"/>
      <c r="T1471" s="14"/>
      <c r="U1471" s="14"/>
      <c r="V1471" s="14">
        <f t="shared" si="1602"/>
        <v>1900</v>
      </c>
      <c r="W1471" s="14">
        <f t="shared" si="1603"/>
        <v>1</v>
      </c>
      <c r="X1471" s="14"/>
      <c r="Y1471" s="14"/>
      <c r="Z1471" s="14"/>
      <c r="AA1471" s="16" t="str">
        <f t="shared" ca="1" si="1619"/>
        <v>Johnson &amp; Johnson</v>
      </c>
      <c r="AB1471" s="16">
        <f t="shared" si="1619"/>
        <v>0</v>
      </c>
      <c r="AC1471" s="16">
        <f t="shared" si="1619"/>
        <v>0</v>
      </c>
      <c r="AD1471" s="16">
        <f t="shared" si="1619"/>
        <v>0</v>
      </c>
      <c r="AE1471" s="16">
        <f t="shared" si="1619"/>
        <v>0</v>
      </c>
      <c r="AF1471" s="16">
        <f t="shared" si="1619"/>
        <v>0</v>
      </c>
      <c r="AG1471" s="16">
        <f t="shared" si="1619"/>
        <v>0</v>
      </c>
      <c r="AH1471" s="16">
        <f t="shared" si="1619"/>
        <v>0</v>
      </c>
      <c r="AI1471" s="16">
        <f t="shared" si="1619"/>
        <v>0</v>
      </c>
      <c r="AJ1471" s="16">
        <f t="shared" si="1619"/>
        <v>0</v>
      </c>
      <c r="AK1471" s="16">
        <f t="shared" si="1619"/>
        <v>0</v>
      </c>
      <c r="AL1471" s="16">
        <f t="shared" si="1619"/>
        <v>0</v>
      </c>
      <c r="AM1471" s="16">
        <f t="shared" si="1619"/>
        <v>0</v>
      </c>
      <c r="AN1471" s="16">
        <f t="shared" si="1619"/>
        <v>0</v>
      </c>
      <c r="AO1471" s="16">
        <f t="shared" si="1619"/>
        <v>0</v>
      </c>
      <c r="AP1471" s="10"/>
      <c r="AQ1471" s="10"/>
      <c r="AR1471" s="10"/>
      <c r="AS1471" s="10" t="str">
        <f t="shared" ca="1" si="1606"/>
        <v>Johnson &amp; Johnson</v>
      </c>
      <c r="AT1471" s="10"/>
      <c r="AU1471" s="10"/>
      <c r="AV1471" s="10"/>
      <c r="AW1471" s="10"/>
      <c r="AX1471" s="10"/>
      <c r="AY1471" s="10"/>
      <c r="AZ1471" s="10"/>
      <c r="BA1471" s="10"/>
      <c r="BB1471" s="10"/>
      <c r="BC1471" s="10"/>
      <c r="BD1471" s="10"/>
      <c r="BE1471" s="10"/>
      <c r="BF1471" s="10"/>
      <c r="BG1471" s="10"/>
      <c r="BH1471" s="10"/>
      <c r="BI1471" s="10"/>
      <c r="BJ1471" s="10"/>
      <c r="BK1471" s="10"/>
      <c r="BM1471" s="10"/>
    </row>
    <row r="1472" spans="1:65" ht="12.75">
      <c r="A1472" s="9"/>
      <c r="B1472" s="10"/>
      <c r="C1472" s="11"/>
      <c r="D1472" s="12"/>
      <c r="E1472" s="10"/>
      <c r="F1472" s="10"/>
      <c r="G1472" s="10"/>
      <c r="H1472" s="14"/>
      <c r="I1472" s="14"/>
      <c r="J1472" s="14"/>
      <c r="K1472" s="14"/>
      <c r="L1472" s="14"/>
      <c r="M1472" s="15"/>
      <c r="N1472" s="10"/>
      <c r="O1472" s="14"/>
      <c r="P1472" s="14"/>
      <c r="Q1472" s="14"/>
      <c r="R1472" s="14"/>
      <c r="S1472" s="14"/>
      <c r="T1472" s="14"/>
      <c r="U1472" s="14"/>
      <c r="V1472" s="14">
        <f t="shared" si="1602"/>
        <v>1900</v>
      </c>
      <c r="W1472" s="14">
        <f t="shared" si="1603"/>
        <v>1</v>
      </c>
      <c r="X1472" s="14"/>
      <c r="Y1472" s="14"/>
      <c r="Z1472" s="14"/>
      <c r="AA1472" s="16" t="str">
        <f t="shared" ca="1" si="1619"/>
        <v>Johnson &amp; Johnson</v>
      </c>
      <c r="AB1472" s="16">
        <f t="shared" si="1619"/>
        <v>0</v>
      </c>
      <c r="AC1472" s="16">
        <f t="shared" si="1619"/>
        <v>0</v>
      </c>
      <c r="AD1472" s="16">
        <f t="shared" si="1619"/>
        <v>0</v>
      </c>
      <c r="AE1472" s="16">
        <f t="shared" si="1619"/>
        <v>0</v>
      </c>
      <c r="AF1472" s="16">
        <f t="shared" si="1619"/>
        <v>0</v>
      </c>
      <c r="AG1472" s="16">
        <f t="shared" si="1619"/>
        <v>0</v>
      </c>
      <c r="AH1472" s="16">
        <f t="shared" si="1619"/>
        <v>0</v>
      </c>
      <c r="AI1472" s="16">
        <f t="shared" si="1619"/>
        <v>0</v>
      </c>
      <c r="AJ1472" s="16">
        <f t="shared" si="1619"/>
        <v>0</v>
      </c>
      <c r="AK1472" s="16">
        <f t="shared" si="1619"/>
        <v>0</v>
      </c>
      <c r="AL1472" s="16">
        <f t="shared" si="1619"/>
        <v>0</v>
      </c>
      <c r="AM1472" s="16">
        <f t="shared" si="1619"/>
        <v>0</v>
      </c>
      <c r="AN1472" s="16">
        <f t="shared" si="1619"/>
        <v>0</v>
      </c>
      <c r="AO1472" s="16">
        <f t="shared" si="1619"/>
        <v>0</v>
      </c>
      <c r="AP1472" s="10"/>
      <c r="AQ1472" s="10"/>
      <c r="AR1472" s="10"/>
      <c r="AS1472" s="10" t="str">
        <f t="shared" ca="1" si="1606"/>
        <v>Johnson &amp; Johnson</v>
      </c>
      <c r="AT1472" s="10"/>
      <c r="AU1472" s="10"/>
      <c r="AV1472" s="10"/>
      <c r="AW1472" s="10"/>
      <c r="AX1472" s="10"/>
      <c r="AY1472" s="10"/>
      <c r="AZ1472" s="10"/>
      <c r="BA1472" s="10"/>
      <c r="BB1472" s="10"/>
      <c r="BC1472" s="10"/>
      <c r="BD1472" s="10"/>
      <c r="BE1472" s="10"/>
      <c r="BF1472" s="10"/>
      <c r="BG1472" s="10"/>
      <c r="BH1472" s="10"/>
      <c r="BI1472" s="10"/>
      <c r="BJ1472" s="10"/>
      <c r="BK1472" s="10"/>
      <c r="BM1472" s="10"/>
    </row>
    <row r="1473" spans="1:65" ht="12.75">
      <c r="A1473" s="9"/>
      <c r="B1473" s="10"/>
      <c r="C1473" s="11"/>
      <c r="D1473" s="12"/>
      <c r="E1473" s="10"/>
      <c r="F1473" s="10"/>
      <c r="G1473" s="10"/>
      <c r="H1473" s="14"/>
      <c r="I1473" s="14"/>
      <c r="J1473" s="14"/>
      <c r="K1473" s="14"/>
      <c r="L1473" s="14"/>
      <c r="M1473" s="15"/>
      <c r="N1473" s="10"/>
      <c r="O1473" s="14"/>
      <c r="P1473" s="14"/>
      <c r="Q1473" s="14"/>
      <c r="R1473" s="14"/>
      <c r="S1473" s="14"/>
      <c r="T1473" s="14"/>
      <c r="U1473" s="14"/>
      <c r="V1473" s="14">
        <f t="shared" si="1602"/>
        <v>1900</v>
      </c>
      <c r="W1473" s="14">
        <f t="shared" si="1603"/>
        <v>1</v>
      </c>
      <c r="X1473" s="14"/>
      <c r="Y1473" s="14"/>
      <c r="Z1473" s="14"/>
      <c r="AA1473" s="16" t="str">
        <f t="shared" ca="1" si="1619"/>
        <v>Johnson &amp; Johnson</v>
      </c>
      <c r="AB1473" s="16">
        <f t="shared" si="1619"/>
        <v>0</v>
      </c>
      <c r="AC1473" s="16">
        <f t="shared" si="1619"/>
        <v>0</v>
      </c>
      <c r="AD1473" s="16">
        <f t="shared" si="1619"/>
        <v>0</v>
      </c>
      <c r="AE1473" s="16">
        <f t="shared" si="1619"/>
        <v>0</v>
      </c>
      <c r="AF1473" s="16">
        <f t="shared" si="1619"/>
        <v>0</v>
      </c>
      <c r="AG1473" s="16">
        <f t="shared" si="1619"/>
        <v>0</v>
      </c>
      <c r="AH1473" s="16">
        <f t="shared" si="1619"/>
        <v>0</v>
      </c>
      <c r="AI1473" s="16">
        <f t="shared" si="1619"/>
        <v>0</v>
      </c>
      <c r="AJ1473" s="16">
        <f t="shared" si="1619"/>
        <v>0</v>
      </c>
      <c r="AK1473" s="16">
        <f t="shared" si="1619"/>
        <v>0</v>
      </c>
      <c r="AL1473" s="16">
        <f t="shared" si="1619"/>
        <v>0</v>
      </c>
      <c r="AM1473" s="16">
        <f t="shared" si="1619"/>
        <v>0</v>
      </c>
      <c r="AN1473" s="16">
        <f t="shared" si="1619"/>
        <v>0</v>
      </c>
      <c r="AO1473" s="16">
        <f t="shared" si="1619"/>
        <v>0</v>
      </c>
      <c r="AP1473" s="10"/>
      <c r="AQ1473" s="10"/>
      <c r="AR1473" s="10"/>
      <c r="AS1473" s="10" t="str">
        <f t="shared" ca="1" si="1606"/>
        <v>Johnson &amp; Johnson</v>
      </c>
      <c r="AT1473" s="10"/>
      <c r="AU1473" s="10"/>
      <c r="AV1473" s="10"/>
      <c r="AW1473" s="10"/>
      <c r="AX1473" s="10"/>
      <c r="AY1473" s="10"/>
      <c r="AZ1473" s="10"/>
      <c r="BA1473" s="10"/>
      <c r="BB1473" s="10"/>
      <c r="BC1473" s="10"/>
      <c r="BD1473" s="10"/>
      <c r="BE1473" s="10"/>
      <c r="BF1473" s="10"/>
      <c r="BG1473" s="10"/>
      <c r="BH1473" s="10"/>
      <c r="BI1473" s="10"/>
      <c r="BJ1473" s="10"/>
      <c r="BK1473" s="10"/>
      <c r="BM1473" s="10"/>
    </row>
    <row r="1474" spans="1:65" ht="12.75">
      <c r="A1474" s="9"/>
      <c r="B1474" s="10"/>
      <c r="C1474" s="11"/>
      <c r="D1474" s="12"/>
      <c r="E1474" s="10"/>
      <c r="F1474" s="10"/>
      <c r="G1474" s="10"/>
      <c r="H1474" s="14"/>
      <c r="I1474" s="14"/>
      <c r="J1474" s="14"/>
      <c r="K1474" s="14"/>
      <c r="L1474" s="14"/>
      <c r="M1474" s="15"/>
      <c r="N1474" s="10"/>
      <c r="O1474" s="14"/>
      <c r="P1474" s="14"/>
      <c r="Q1474" s="14"/>
      <c r="R1474" s="14"/>
      <c r="S1474" s="14"/>
      <c r="T1474" s="14"/>
      <c r="U1474" s="14"/>
      <c r="V1474" s="14">
        <f t="shared" si="1602"/>
        <v>1900</v>
      </c>
      <c r="W1474" s="14">
        <f t="shared" si="1603"/>
        <v>1</v>
      </c>
      <c r="X1474" s="14"/>
      <c r="Y1474" s="14"/>
      <c r="Z1474" s="14"/>
      <c r="AA1474" s="16" t="str">
        <f t="shared" ca="1" si="1619"/>
        <v>Johnson &amp; Johnson</v>
      </c>
      <c r="AB1474" s="16">
        <f t="shared" si="1619"/>
        <v>0</v>
      </c>
      <c r="AC1474" s="16">
        <f t="shared" si="1619"/>
        <v>0</v>
      </c>
      <c r="AD1474" s="16">
        <f t="shared" si="1619"/>
        <v>0</v>
      </c>
      <c r="AE1474" s="16">
        <f t="shared" si="1619"/>
        <v>0</v>
      </c>
      <c r="AF1474" s="16">
        <f t="shared" si="1619"/>
        <v>0</v>
      </c>
      <c r="AG1474" s="16">
        <f t="shared" si="1619"/>
        <v>0</v>
      </c>
      <c r="AH1474" s="16">
        <f t="shared" si="1619"/>
        <v>0</v>
      </c>
      <c r="AI1474" s="16">
        <f t="shared" si="1619"/>
        <v>0</v>
      </c>
      <c r="AJ1474" s="16">
        <f t="shared" si="1619"/>
        <v>0</v>
      </c>
      <c r="AK1474" s="16">
        <f t="shared" si="1619"/>
        <v>0</v>
      </c>
      <c r="AL1474" s="16">
        <f t="shared" si="1619"/>
        <v>0</v>
      </c>
      <c r="AM1474" s="16">
        <f t="shared" si="1619"/>
        <v>0</v>
      </c>
      <c r="AN1474" s="16">
        <f t="shared" si="1619"/>
        <v>0</v>
      </c>
      <c r="AO1474" s="16">
        <f t="shared" si="1619"/>
        <v>0</v>
      </c>
      <c r="AP1474" s="10"/>
      <c r="AQ1474" s="10"/>
      <c r="AR1474" s="10"/>
      <c r="AS1474" s="10" t="str">
        <f t="shared" ca="1" si="1606"/>
        <v>Johnson &amp; Johnson</v>
      </c>
      <c r="AT1474" s="10"/>
      <c r="AU1474" s="10"/>
      <c r="AV1474" s="10"/>
      <c r="AW1474" s="10"/>
      <c r="AX1474" s="10"/>
      <c r="AY1474" s="10"/>
      <c r="AZ1474" s="10"/>
      <c r="BA1474" s="10"/>
      <c r="BB1474" s="10"/>
      <c r="BC1474" s="10"/>
      <c r="BD1474" s="10"/>
      <c r="BE1474" s="10"/>
      <c r="BF1474" s="10"/>
      <c r="BG1474" s="10"/>
      <c r="BH1474" s="10"/>
      <c r="BI1474" s="10"/>
      <c r="BJ1474" s="10"/>
      <c r="BK1474" s="10"/>
      <c r="BM1474" s="10"/>
    </row>
    <row r="1475" spans="1:65" ht="12.75">
      <c r="A1475" s="9"/>
      <c r="B1475" s="10"/>
      <c r="C1475" s="11"/>
      <c r="D1475" s="12"/>
      <c r="E1475" s="10"/>
      <c r="F1475" s="10"/>
      <c r="G1475" s="10"/>
      <c r="H1475" s="14"/>
      <c r="I1475" s="14"/>
      <c r="J1475" s="14"/>
      <c r="K1475" s="14"/>
      <c r="L1475" s="14"/>
      <c r="M1475" s="15"/>
      <c r="N1475" s="10"/>
      <c r="O1475" s="14"/>
      <c r="P1475" s="14"/>
      <c r="Q1475" s="14"/>
      <c r="R1475" s="14"/>
      <c r="S1475" s="14"/>
      <c r="T1475" s="14"/>
      <c r="U1475" s="14"/>
      <c r="V1475" s="14">
        <f t="shared" si="1602"/>
        <v>1900</v>
      </c>
      <c r="W1475" s="14">
        <f t="shared" si="1603"/>
        <v>1</v>
      </c>
      <c r="X1475" s="14"/>
      <c r="Y1475" s="14"/>
      <c r="Z1475" s="14"/>
      <c r="AA1475" s="16" t="str">
        <f t="shared" ca="1" si="1619"/>
        <v>Johnson &amp; Johnson</v>
      </c>
      <c r="AB1475" s="16">
        <f t="shared" si="1619"/>
        <v>0</v>
      </c>
      <c r="AC1475" s="16">
        <f t="shared" si="1619"/>
        <v>0</v>
      </c>
      <c r="AD1475" s="16">
        <f t="shared" si="1619"/>
        <v>0</v>
      </c>
      <c r="AE1475" s="16">
        <f t="shared" si="1619"/>
        <v>0</v>
      </c>
      <c r="AF1475" s="16">
        <f t="shared" si="1619"/>
        <v>0</v>
      </c>
      <c r="AG1475" s="16">
        <f t="shared" si="1619"/>
        <v>0</v>
      </c>
      <c r="AH1475" s="16">
        <f t="shared" si="1619"/>
        <v>0</v>
      </c>
      <c r="AI1475" s="16">
        <f t="shared" si="1619"/>
        <v>0</v>
      </c>
      <c r="AJ1475" s="16">
        <f t="shared" si="1619"/>
        <v>0</v>
      </c>
      <c r="AK1475" s="16">
        <f t="shared" si="1619"/>
        <v>0</v>
      </c>
      <c r="AL1475" s="16">
        <f t="shared" si="1619"/>
        <v>0</v>
      </c>
      <c r="AM1475" s="16">
        <f t="shared" si="1619"/>
        <v>0</v>
      </c>
      <c r="AN1475" s="16">
        <f t="shared" si="1619"/>
        <v>0</v>
      </c>
      <c r="AO1475" s="16">
        <f t="shared" si="1619"/>
        <v>0</v>
      </c>
      <c r="AP1475" s="10"/>
      <c r="AQ1475" s="10"/>
      <c r="AR1475" s="10"/>
      <c r="AS1475" s="10" t="str">
        <f t="shared" ca="1" si="1606"/>
        <v>Johnson &amp; Johnson</v>
      </c>
      <c r="AT1475" s="10"/>
      <c r="AU1475" s="10"/>
      <c r="AV1475" s="10"/>
      <c r="AW1475" s="10"/>
      <c r="AX1475" s="10"/>
      <c r="AY1475" s="10"/>
      <c r="AZ1475" s="10"/>
      <c r="BA1475" s="10"/>
      <c r="BB1475" s="10"/>
      <c r="BC1475" s="10"/>
      <c r="BD1475" s="10"/>
      <c r="BE1475" s="10"/>
      <c r="BF1475" s="10"/>
      <c r="BG1475" s="10"/>
      <c r="BH1475" s="10"/>
      <c r="BI1475" s="10"/>
      <c r="BJ1475" s="10"/>
      <c r="BK1475" s="10"/>
      <c r="BM1475" s="10"/>
    </row>
    <row r="1476" spans="1:65" ht="12.75">
      <c r="A1476" s="9"/>
      <c r="B1476" s="10"/>
      <c r="C1476" s="11"/>
      <c r="D1476" s="12"/>
      <c r="E1476" s="10"/>
      <c r="F1476" s="10"/>
      <c r="G1476" s="10"/>
      <c r="H1476" s="14"/>
      <c r="I1476" s="14"/>
      <c r="J1476" s="14"/>
      <c r="K1476" s="14"/>
      <c r="L1476" s="14"/>
      <c r="M1476" s="15"/>
      <c r="N1476" s="10"/>
      <c r="O1476" s="14"/>
      <c r="P1476" s="14"/>
      <c r="Q1476" s="14"/>
      <c r="R1476" s="14"/>
      <c r="S1476" s="14"/>
      <c r="T1476" s="14"/>
      <c r="U1476" s="14"/>
      <c r="V1476" s="14">
        <f t="shared" si="1602"/>
        <v>1900</v>
      </c>
      <c r="W1476" s="14">
        <f t="shared" si="1603"/>
        <v>1</v>
      </c>
      <c r="X1476" s="14"/>
      <c r="Y1476" s="14"/>
      <c r="Z1476" s="14"/>
      <c r="AA1476" s="16" t="str">
        <f t="shared" ca="1" si="1619"/>
        <v>Johnson &amp; Johnson</v>
      </c>
      <c r="AB1476" s="16">
        <f t="shared" si="1619"/>
        <v>0</v>
      </c>
      <c r="AC1476" s="16">
        <f t="shared" si="1619"/>
        <v>0</v>
      </c>
      <c r="AD1476" s="16">
        <f t="shared" si="1619"/>
        <v>0</v>
      </c>
      <c r="AE1476" s="16">
        <f t="shared" si="1619"/>
        <v>0</v>
      </c>
      <c r="AF1476" s="16">
        <f t="shared" si="1619"/>
        <v>0</v>
      </c>
      <c r="AG1476" s="16">
        <f t="shared" si="1619"/>
        <v>0</v>
      </c>
      <c r="AH1476" s="16">
        <f t="shared" si="1619"/>
        <v>0</v>
      </c>
      <c r="AI1476" s="16">
        <f t="shared" si="1619"/>
        <v>0</v>
      </c>
      <c r="AJ1476" s="16">
        <f t="shared" si="1619"/>
        <v>0</v>
      </c>
      <c r="AK1476" s="16">
        <f t="shared" si="1619"/>
        <v>0</v>
      </c>
      <c r="AL1476" s="16">
        <f t="shared" si="1619"/>
        <v>0</v>
      </c>
      <c r="AM1476" s="16">
        <f t="shared" si="1619"/>
        <v>0</v>
      </c>
      <c r="AN1476" s="16">
        <f t="shared" si="1619"/>
        <v>0</v>
      </c>
      <c r="AO1476" s="16">
        <f t="shared" si="1619"/>
        <v>0</v>
      </c>
      <c r="AP1476" s="10"/>
      <c r="AQ1476" s="10"/>
      <c r="AR1476" s="10"/>
      <c r="AS1476" s="10" t="str">
        <f t="shared" ca="1" si="1606"/>
        <v>Johnson &amp; Johnson</v>
      </c>
      <c r="AT1476" s="10"/>
      <c r="AU1476" s="10"/>
      <c r="AV1476" s="10"/>
      <c r="AW1476" s="10"/>
      <c r="AX1476" s="10"/>
      <c r="AY1476" s="10"/>
      <c r="AZ1476" s="10"/>
      <c r="BA1476" s="10"/>
      <c r="BB1476" s="10"/>
      <c r="BC1476" s="10"/>
      <c r="BD1476" s="10"/>
      <c r="BE1476" s="10"/>
      <c r="BF1476" s="10"/>
      <c r="BG1476" s="10"/>
      <c r="BH1476" s="10"/>
      <c r="BI1476" s="10"/>
      <c r="BJ1476" s="10"/>
      <c r="BK1476" s="10"/>
      <c r="BM1476" s="10"/>
    </row>
    <row r="1477" spans="1:65" ht="12.75">
      <c r="A1477" s="9"/>
      <c r="B1477" s="10"/>
      <c r="C1477" s="11"/>
      <c r="D1477" s="12"/>
      <c r="E1477" s="10"/>
      <c r="F1477" s="10"/>
      <c r="G1477" s="10"/>
      <c r="H1477" s="14"/>
      <c r="I1477" s="14"/>
      <c r="J1477" s="14"/>
      <c r="K1477" s="14"/>
      <c r="L1477" s="14"/>
      <c r="M1477" s="15"/>
      <c r="N1477" s="10"/>
      <c r="O1477" s="14"/>
      <c r="P1477" s="14"/>
      <c r="Q1477" s="14"/>
      <c r="R1477" s="14"/>
      <c r="S1477" s="14"/>
      <c r="T1477" s="14"/>
      <c r="U1477" s="14"/>
      <c r="V1477" s="14">
        <f t="shared" si="1602"/>
        <v>1900</v>
      </c>
      <c r="W1477" s="14">
        <f t="shared" si="1603"/>
        <v>1</v>
      </c>
      <c r="X1477" s="14"/>
      <c r="Y1477" s="14"/>
      <c r="Z1477" s="14"/>
      <c r="AA1477" s="16" t="str">
        <f t="shared" ca="1" si="1619"/>
        <v>Johnson &amp; Johnson</v>
      </c>
      <c r="AB1477" s="16">
        <f t="shared" si="1619"/>
        <v>0</v>
      </c>
      <c r="AC1477" s="16">
        <f t="shared" si="1619"/>
        <v>0</v>
      </c>
      <c r="AD1477" s="16">
        <f t="shared" si="1619"/>
        <v>0</v>
      </c>
      <c r="AE1477" s="16">
        <f t="shared" si="1619"/>
        <v>0</v>
      </c>
      <c r="AF1477" s="16">
        <f t="shared" si="1619"/>
        <v>0</v>
      </c>
      <c r="AG1477" s="16">
        <f t="shared" si="1619"/>
        <v>0</v>
      </c>
      <c r="AH1477" s="16">
        <f t="shared" si="1619"/>
        <v>0</v>
      </c>
      <c r="AI1477" s="16">
        <f t="shared" si="1619"/>
        <v>0</v>
      </c>
      <c r="AJ1477" s="16">
        <f t="shared" si="1619"/>
        <v>0</v>
      </c>
      <c r="AK1477" s="16">
        <f t="shared" si="1619"/>
        <v>0</v>
      </c>
      <c r="AL1477" s="16">
        <f t="shared" si="1619"/>
        <v>0</v>
      </c>
      <c r="AM1477" s="16">
        <f t="shared" si="1619"/>
        <v>0</v>
      </c>
      <c r="AN1477" s="16">
        <f t="shared" si="1619"/>
        <v>0</v>
      </c>
      <c r="AO1477" s="16">
        <f t="shared" si="1619"/>
        <v>0</v>
      </c>
      <c r="AP1477" s="10"/>
      <c r="AQ1477" s="10"/>
      <c r="AR1477" s="10"/>
      <c r="AS1477" s="10" t="str">
        <f t="shared" ca="1" si="1606"/>
        <v>Johnson &amp; Johnson</v>
      </c>
      <c r="AT1477" s="10"/>
      <c r="AU1477" s="10"/>
      <c r="AV1477" s="10"/>
      <c r="AW1477" s="10"/>
      <c r="AX1477" s="10"/>
      <c r="AY1477" s="10"/>
      <c r="AZ1477" s="10"/>
      <c r="BA1477" s="10"/>
      <c r="BB1477" s="10"/>
      <c r="BC1477" s="10"/>
      <c r="BD1477" s="10"/>
      <c r="BE1477" s="10"/>
      <c r="BF1477" s="10"/>
      <c r="BG1477" s="10"/>
      <c r="BH1477" s="10"/>
      <c r="BI1477" s="10"/>
      <c r="BJ1477" s="10"/>
      <c r="BK1477" s="10"/>
      <c r="BM1477" s="10"/>
    </row>
    <row r="1478" spans="1:65" ht="12.75">
      <c r="A1478" s="9"/>
      <c r="B1478" s="10"/>
      <c r="C1478" s="11"/>
      <c r="D1478" s="12"/>
      <c r="E1478" s="10"/>
      <c r="F1478" s="10"/>
      <c r="G1478" s="10"/>
      <c r="H1478" s="14"/>
      <c r="I1478" s="14"/>
      <c r="J1478" s="14"/>
      <c r="K1478" s="14"/>
      <c r="L1478" s="14"/>
      <c r="M1478" s="15"/>
      <c r="N1478" s="10"/>
      <c r="O1478" s="14"/>
      <c r="P1478" s="14"/>
      <c r="Q1478" s="14"/>
      <c r="R1478" s="14"/>
      <c r="S1478" s="14"/>
      <c r="T1478" s="14"/>
      <c r="U1478" s="14"/>
      <c r="V1478" s="14">
        <f t="shared" si="1602"/>
        <v>1900</v>
      </c>
      <c r="W1478" s="14">
        <f t="shared" si="1603"/>
        <v>1</v>
      </c>
      <c r="X1478" s="14"/>
      <c r="Y1478" s="14"/>
      <c r="Z1478" s="14"/>
      <c r="AA1478" s="16" t="str">
        <f t="shared" ca="1" si="1619"/>
        <v>Johnson &amp; Johnson</v>
      </c>
      <c r="AB1478" s="16">
        <f t="shared" si="1619"/>
        <v>0</v>
      </c>
      <c r="AC1478" s="16">
        <f t="shared" si="1619"/>
        <v>0</v>
      </c>
      <c r="AD1478" s="16">
        <f t="shared" si="1619"/>
        <v>0</v>
      </c>
      <c r="AE1478" s="16">
        <f t="shared" si="1619"/>
        <v>0</v>
      </c>
      <c r="AF1478" s="16">
        <f t="shared" si="1619"/>
        <v>0</v>
      </c>
      <c r="AG1478" s="16">
        <f t="shared" si="1619"/>
        <v>0</v>
      </c>
      <c r="AH1478" s="16">
        <f t="shared" si="1619"/>
        <v>0</v>
      </c>
      <c r="AI1478" s="16">
        <f t="shared" si="1619"/>
        <v>0</v>
      </c>
      <c r="AJ1478" s="16">
        <f t="shared" si="1619"/>
        <v>0</v>
      </c>
      <c r="AK1478" s="16">
        <f t="shared" si="1619"/>
        <v>0</v>
      </c>
      <c r="AL1478" s="16">
        <f t="shared" si="1619"/>
        <v>0</v>
      </c>
      <c r="AM1478" s="16">
        <f t="shared" si="1619"/>
        <v>0</v>
      </c>
      <c r="AN1478" s="16">
        <f t="shared" si="1619"/>
        <v>0</v>
      </c>
      <c r="AO1478" s="16">
        <f t="shared" si="1619"/>
        <v>0</v>
      </c>
      <c r="AP1478" s="10"/>
      <c r="AQ1478" s="10"/>
      <c r="AR1478" s="10"/>
      <c r="AS1478" s="10" t="str">
        <f t="shared" ca="1" si="1606"/>
        <v>Johnson &amp; Johnson</v>
      </c>
      <c r="AT1478" s="10"/>
      <c r="AU1478" s="10"/>
      <c r="AV1478" s="10"/>
      <c r="AW1478" s="10"/>
      <c r="AX1478" s="10"/>
      <c r="AY1478" s="10"/>
      <c r="AZ1478" s="10"/>
      <c r="BA1478" s="10"/>
      <c r="BB1478" s="10"/>
      <c r="BC1478" s="10"/>
      <c r="BD1478" s="10"/>
      <c r="BE1478" s="10"/>
      <c r="BF1478" s="10"/>
      <c r="BG1478" s="10"/>
      <c r="BH1478" s="10"/>
      <c r="BI1478" s="10"/>
      <c r="BJ1478" s="10"/>
      <c r="BK1478" s="10"/>
      <c r="BM1478" s="10"/>
    </row>
    <row r="1479" spans="1:65" ht="12.75">
      <c r="A1479" s="9"/>
      <c r="B1479" s="10"/>
      <c r="C1479" s="11"/>
      <c r="D1479" s="12"/>
      <c r="E1479" s="10"/>
      <c r="F1479" s="10"/>
      <c r="G1479" s="10"/>
      <c r="H1479" s="14"/>
      <c r="I1479" s="14"/>
      <c r="J1479" s="14"/>
      <c r="K1479" s="14"/>
      <c r="L1479" s="14"/>
      <c r="M1479" s="15"/>
      <c r="N1479" s="10"/>
      <c r="O1479" s="14"/>
      <c r="P1479" s="14"/>
      <c r="Q1479" s="14"/>
      <c r="R1479" s="14"/>
      <c r="S1479" s="14"/>
      <c r="T1479" s="14"/>
      <c r="U1479" s="14"/>
      <c r="V1479" s="14">
        <f t="shared" si="1602"/>
        <v>1900</v>
      </c>
      <c r="W1479" s="14">
        <f t="shared" si="1603"/>
        <v>1</v>
      </c>
      <c r="X1479" s="14"/>
      <c r="Y1479" s="14"/>
      <c r="Z1479" s="14"/>
      <c r="AA1479" s="16" t="str">
        <f t="shared" ca="1" si="1619"/>
        <v>Johnson &amp; Johnson</v>
      </c>
      <c r="AB1479" s="16">
        <f t="shared" si="1619"/>
        <v>0</v>
      </c>
      <c r="AC1479" s="16">
        <f t="shared" si="1619"/>
        <v>0</v>
      </c>
      <c r="AD1479" s="16">
        <f t="shared" si="1619"/>
        <v>0</v>
      </c>
      <c r="AE1479" s="16">
        <f t="shared" si="1619"/>
        <v>0</v>
      </c>
      <c r="AF1479" s="16">
        <f t="shared" si="1619"/>
        <v>0</v>
      </c>
      <c r="AG1479" s="16">
        <f t="shared" si="1619"/>
        <v>0</v>
      </c>
      <c r="AH1479" s="16">
        <f t="shared" si="1619"/>
        <v>0</v>
      </c>
      <c r="AI1479" s="16">
        <f t="shared" si="1619"/>
        <v>0</v>
      </c>
      <c r="AJ1479" s="16">
        <f t="shared" si="1619"/>
        <v>0</v>
      </c>
      <c r="AK1479" s="16">
        <f t="shared" si="1619"/>
        <v>0</v>
      </c>
      <c r="AL1479" s="16">
        <f t="shared" si="1619"/>
        <v>0</v>
      </c>
      <c r="AM1479" s="16">
        <f t="shared" si="1619"/>
        <v>0</v>
      </c>
      <c r="AN1479" s="16">
        <f t="shared" si="1619"/>
        <v>0</v>
      </c>
      <c r="AO1479" s="16">
        <f t="shared" si="1619"/>
        <v>0</v>
      </c>
      <c r="AP1479" s="10"/>
      <c r="AQ1479" s="10"/>
      <c r="AR1479" s="10"/>
      <c r="AS1479" s="10" t="str">
        <f t="shared" ca="1" si="1606"/>
        <v>Johnson &amp; Johnson</v>
      </c>
      <c r="AT1479" s="10"/>
      <c r="AU1479" s="10"/>
      <c r="AV1479" s="10"/>
      <c r="AW1479" s="10"/>
      <c r="AX1479" s="10"/>
      <c r="AY1479" s="10"/>
      <c r="AZ1479" s="10"/>
      <c r="BA1479" s="10"/>
      <c r="BB1479" s="10"/>
      <c r="BC1479" s="10"/>
      <c r="BD1479" s="10"/>
      <c r="BE1479" s="10"/>
      <c r="BF1479" s="10"/>
      <c r="BG1479" s="10"/>
      <c r="BH1479" s="10"/>
      <c r="BI1479" s="10"/>
      <c r="BJ1479" s="10"/>
      <c r="BK1479" s="10"/>
      <c r="BM1479" s="10"/>
    </row>
    <row r="1480" spans="1:65" ht="12.75">
      <c r="A1480" s="9"/>
      <c r="B1480" s="10"/>
      <c r="C1480" s="11"/>
      <c r="D1480" s="12"/>
      <c r="E1480" s="10"/>
      <c r="F1480" s="10"/>
      <c r="G1480" s="10"/>
      <c r="H1480" s="14"/>
      <c r="I1480" s="14"/>
      <c r="J1480" s="14"/>
      <c r="K1480" s="14"/>
      <c r="L1480" s="14"/>
      <c r="M1480" s="15"/>
      <c r="N1480" s="10"/>
      <c r="O1480" s="14"/>
      <c r="P1480" s="14"/>
      <c r="Q1480" s="14"/>
      <c r="R1480" s="14"/>
      <c r="S1480" s="14"/>
      <c r="T1480" s="14"/>
      <c r="U1480" s="14"/>
      <c r="V1480" s="14">
        <f t="shared" si="1602"/>
        <v>1900</v>
      </c>
      <c r="W1480" s="14">
        <f t="shared" si="1603"/>
        <v>1</v>
      </c>
      <c r="X1480" s="14"/>
      <c r="Y1480" s="14"/>
      <c r="Z1480" s="14"/>
      <c r="AA1480" s="16" t="str">
        <f t="shared" ca="1" si="1619"/>
        <v>Johnson &amp; Johnson</v>
      </c>
      <c r="AB1480" s="16">
        <f t="shared" si="1619"/>
        <v>0</v>
      </c>
      <c r="AC1480" s="16">
        <f t="shared" si="1619"/>
        <v>0</v>
      </c>
      <c r="AD1480" s="16">
        <f t="shared" si="1619"/>
        <v>0</v>
      </c>
      <c r="AE1480" s="16">
        <f t="shared" si="1619"/>
        <v>0</v>
      </c>
      <c r="AF1480" s="16">
        <f t="shared" si="1619"/>
        <v>0</v>
      </c>
      <c r="AG1480" s="16">
        <f t="shared" si="1619"/>
        <v>0</v>
      </c>
      <c r="AH1480" s="16">
        <f t="shared" si="1619"/>
        <v>0</v>
      </c>
      <c r="AI1480" s="16">
        <f t="shared" si="1619"/>
        <v>0</v>
      </c>
      <c r="AJ1480" s="16">
        <f t="shared" si="1619"/>
        <v>0</v>
      </c>
      <c r="AK1480" s="16">
        <f t="shared" si="1619"/>
        <v>0</v>
      </c>
      <c r="AL1480" s="16">
        <f t="shared" si="1619"/>
        <v>0</v>
      </c>
      <c r="AM1480" s="16">
        <f t="shared" si="1619"/>
        <v>0</v>
      </c>
      <c r="AN1480" s="16">
        <f t="shared" si="1619"/>
        <v>0</v>
      </c>
      <c r="AO1480" s="16">
        <f t="shared" si="1619"/>
        <v>0</v>
      </c>
      <c r="AP1480" s="10"/>
      <c r="AQ1480" s="10"/>
      <c r="AR1480" s="10"/>
      <c r="AS1480" s="10" t="str">
        <f t="shared" ca="1" si="1606"/>
        <v>Johnson &amp; Johnson</v>
      </c>
      <c r="AT1480" s="10"/>
      <c r="AU1480" s="10"/>
      <c r="AV1480" s="10"/>
      <c r="AW1480" s="10"/>
      <c r="AX1480" s="10"/>
      <c r="AY1480" s="10"/>
      <c r="AZ1480" s="10"/>
      <c r="BA1480" s="10"/>
      <c r="BB1480" s="10"/>
      <c r="BC1480" s="10"/>
      <c r="BD1480" s="10"/>
      <c r="BE1480" s="10"/>
      <c r="BF1480" s="10"/>
      <c r="BG1480" s="10"/>
      <c r="BH1480" s="10"/>
      <c r="BI1480" s="10"/>
      <c r="BJ1480" s="10"/>
      <c r="BK1480" s="10"/>
      <c r="BM1480" s="10"/>
    </row>
    <row r="1481" spans="1:65" ht="12.75">
      <c r="A1481" s="9"/>
      <c r="B1481" s="10"/>
      <c r="C1481" s="11"/>
      <c r="D1481" s="12"/>
      <c r="E1481" s="10"/>
      <c r="F1481" s="10"/>
      <c r="G1481" s="10"/>
      <c r="H1481" s="14"/>
      <c r="I1481" s="14"/>
      <c r="J1481" s="14"/>
      <c r="K1481" s="14"/>
      <c r="L1481" s="14"/>
      <c r="M1481" s="15"/>
      <c r="N1481" s="10"/>
      <c r="O1481" s="14"/>
      <c r="P1481" s="14"/>
      <c r="Q1481" s="14"/>
      <c r="R1481" s="14"/>
      <c r="S1481" s="14"/>
      <c r="T1481" s="14"/>
      <c r="U1481" s="14"/>
      <c r="V1481" s="14">
        <f t="shared" si="1602"/>
        <v>1900</v>
      </c>
      <c r="W1481" s="14">
        <f t="shared" si="1603"/>
        <v>1</v>
      </c>
      <c r="X1481" s="14"/>
      <c r="Y1481" s="14"/>
      <c r="Z1481" s="14"/>
      <c r="AA1481" s="16" t="str">
        <f t="shared" ref="AA1481:AO1496" ca="1" si="1620">AS1481</f>
        <v>Johnson &amp; Johnson</v>
      </c>
      <c r="AB1481" s="16">
        <f t="shared" si="1620"/>
        <v>0</v>
      </c>
      <c r="AC1481" s="16">
        <f t="shared" si="1620"/>
        <v>0</v>
      </c>
      <c r="AD1481" s="16">
        <f t="shared" si="1620"/>
        <v>0</v>
      </c>
      <c r="AE1481" s="16">
        <f t="shared" si="1620"/>
        <v>0</v>
      </c>
      <c r="AF1481" s="16">
        <f t="shared" si="1620"/>
        <v>0</v>
      </c>
      <c r="AG1481" s="16">
        <f t="shared" si="1620"/>
        <v>0</v>
      </c>
      <c r="AH1481" s="16">
        <f t="shared" si="1620"/>
        <v>0</v>
      </c>
      <c r="AI1481" s="16">
        <f t="shared" si="1620"/>
        <v>0</v>
      </c>
      <c r="AJ1481" s="16">
        <f t="shared" si="1620"/>
        <v>0</v>
      </c>
      <c r="AK1481" s="16">
        <f t="shared" si="1620"/>
        <v>0</v>
      </c>
      <c r="AL1481" s="16">
        <f t="shared" si="1620"/>
        <v>0</v>
      </c>
      <c r="AM1481" s="16">
        <f t="shared" si="1620"/>
        <v>0</v>
      </c>
      <c r="AN1481" s="16">
        <f t="shared" si="1620"/>
        <v>0</v>
      </c>
      <c r="AO1481" s="16">
        <f t="shared" si="1620"/>
        <v>0</v>
      </c>
      <c r="AP1481" s="10"/>
      <c r="AQ1481" s="10"/>
      <c r="AR1481" s="10"/>
      <c r="AS1481" s="10" t="str">
        <f t="shared" ca="1" si="1606"/>
        <v>Johnson &amp; Johnson</v>
      </c>
      <c r="AT1481" s="10"/>
      <c r="AU1481" s="10"/>
      <c r="AV1481" s="10"/>
      <c r="AW1481" s="10"/>
      <c r="AX1481" s="10"/>
      <c r="AY1481" s="10"/>
      <c r="AZ1481" s="10"/>
      <c r="BA1481" s="10"/>
      <c r="BB1481" s="10"/>
      <c r="BC1481" s="10"/>
      <c r="BD1481" s="10"/>
      <c r="BE1481" s="10"/>
      <c r="BF1481" s="10"/>
      <c r="BG1481" s="10"/>
      <c r="BH1481" s="10"/>
      <c r="BI1481" s="10"/>
      <c r="BJ1481" s="10"/>
      <c r="BK1481" s="10"/>
      <c r="BM1481" s="10"/>
    </row>
    <row r="1482" spans="1:65" ht="12.75">
      <c r="A1482" s="9"/>
      <c r="B1482" s="10"/>
      <c r="C1482" s="11"/>
      <c r="D1482" s="12"/>
      <c r="E1482" s="10"/>
      <c r="F1482" s="10"/>
      <c r="G1482" s="10"/>
      <c r="H1482" s="14"/>
      <c r="I1482" s="14"/>
      <c r="J1482" s="14"/>
      <c r="K1482" s="14"/>
      <c r="L1482" s="14"/>
      <c r="M1482" s="15"/>
      <c r="N1482" s="10"/>
      <c r="O1482" s="14"/>
      <c r="P1482" s="14"/>
      <c r="Q1482" s="14"/>
      <c r="R1482" s="14"/>
      <c r="S1482" s="14"/>
      <c r="T1482" s="14"/>
      <c r="U1482" s="14"/>
      <c r="V1482" s="14">
        <f t="shared" si="1602"/>
        <v>1900</v>
      </c>
      <c r="W1482" s="14">
        <f t="shared" si="1603"/>
        <v>1</v>
      </c>
      <c r="X1482" s="14"/>
      <c r="Y1482" s="14"/>
      <c r="Z1482" s="14"/>
      <c r="AA1482" s="16" t="str">
        <f t="shared" ca="1" si="1620"/>
        <v>Johnson &amp; Johnson</v>
      </c>
      <c r="AB1482" s="16">
        <f t="shared" si="1620"/>
        <v>0</v>
      </c>
      <c r="AC1482" s="16">
        <f t="shared" si="1620"/>
        <v>0</v>
      </c>
      <c r="AD1482" s="16">
        <f t="shared" si="1620"/>
        <v>0</v>
      </c>
      <c r="AE1482" s="16">
        <f t="shared" si="1620"/>
        <v>0</v>
      </c>
      <c r="AF1482" s="16">
        <f t="shared" si="1620"/>
        <v>0</v>
      </c>
      <c r="AG1482" s="16">
        <f t="shared" si="1620"/>
        <v>0</v>
      </c>
      <c r="AH1482" s="16">
        <f t="shared" si="1620"/>
        <v>0</v>
      </c>
      <c r="AI1482" s="16">
        <f t="shared" si="1620"/>
        <v>0</v>
      </c>
      <c r="AJ1482" s="16">
        <f t="shared" si="1620"/>
        <v>0</v>
      </c>
      <c r="AK1482" s="16">
        <f t="shared" si="1620"/>
        <v>0</v>
      </c>
      <c r="AL1482" s="16">
        <f t="shared" si="1620"/>
        <v>0</v>
      </c>
      <c r="AM1482" s="16">
        <f t="shared" si="1620"/>
        <v>0</v>
      </c>
      <c r="AN1482" s="16">
        <f t="shared" si="1620"/>
        <v>0</v>
      </c>
      <c r="AO1482" s="16">
        <f t="shared" si="1620"/>
        <v>0</v>
      </c>
      <c r="AP1482" s="10"/>
      <c r="AQ1482" s="10"/>
      <c r="AR1482" s="10"/>
      <c r="AS1482" s="10" t="str">
        <f t="shared" ca="1" si="1606"/>
        <v>Johnson &amp; Johnson</v>
      </c>
      <c r="AT1482" s="10"/>
      <c r="AU1482" s="10"/>
      <c r="AV1482" s="10"/>
      <c r="AW1482" s="10"/>
      <c r="AX1482" s="10"/>
      <c r="AY1482" s="10"/>
      <c r="AZ1482" s="10"/>
      <c r="BA1482" s="10"/>
      <c r="BB1482" s="10"/>
      <c r="BC1482" s="10"/>
      <c r="BD1482" s="10"/>
      <c r="BE1482" s="10"/>
      <c r="BF1482" s="10"/>
      <c r="BG1482" s="10"/>
      <c r="BH1482" s="10"/>
      <c r="BI1482" s="10"/>
      <c r="BJ1482" s="10"/>
      <c r="BK1482" s="10"/>
      <c r="BM1482" s="10"/>
    </row>
    <row r="1483" spans="1:65" ht="12.75">
      <c r="A1483" s="9"/>
      <c r="B1483" s="10"/>
      <c r="C1483" s="11"/>
      <c r="D1483" s="12"/>
      <c r="E1483" s="10"/>
      <c r="F1483" s="10"/>
      <c r="G1483" s="10"/>
      <c r="H1483" s="14"/>
      <c r="I1483" s="14"/>
      <c r="J1483" s="14"/>
      <c r="K1483" s="14"/>
      <c r="L1483" s="14"/>
      <c r="M1483" s="15"/>
      <c r="N1483" s="10"/>
      <c r="O1483" s="14"/>
      <c r="P1483" s="14"/>
      <c r="Q1483" s="14"/>
      <c r="R1483" s="14"/>
      <c r="S1483" s="14"/>
      <c r="T1483" s="14"/>
      <c r="U1483" s="14"/>
      <c r="V1483" s="14">
        <f t="shared" si="1602"/>
        <v>1900</v>
      </c>
      <c r="W1483" s="14">
        <f t="shared" si="1603"/>
        <v>1</v>
      </c>
      <c r="X1483" s="14"/>
      <c r="Y1483" s="14"/>
      <c r="Z1483" s="14"/>
      <c r="AA1483" s="16" t="str">
        <f t="shared" ca="1" si="1620"/>
        <v>Johnson &amp; Johnson</v>
      </c>
      <c r="AB1483" s="16">
        <f t="shared" si="1620"/>
        <v>0</v>
      </c>
      <c r="AC1483" s="16">
        <f t="shared" si="1620"/>
        <v>0</v>
      </c>
      <c r="AD1483" s="16">
        <f t="shared" si="1620"/>
        <v>0</v>
      </c>
      <c r="AE1483" s="16">
        <f t="shared" si="1620"/>
        <v>0</v>
      </c>
      <c r="AF1483" s="16">
        <f t="shared" si="1620"/>
        <v>0</v>
      </c>
      <c r="AG1483" s="16">
        <f t="shared" si="1620"/>
        <v>0</v>
      </c>
      <c r="AH1483" s="16">
        <f t="shared" si="1620"/>
        <v>0</v>
      </c>
      <c r="AI1483" s="16">
        <f t="shared" si="1620"/>
        <v>0</v>
      </c>
      <c r="AJ1483" s="16">
        <f t="shared" si="1620"/>
        <v>0</v>
      </c>
      <c r="AK1483" s="16">
        <f t="shared" si="1620"/>
        <v>0</v>
      </c>
      <c r="AL1483" s="16">
        <f t="shared" si="1620"/>
        <v>0</v>
      </c>
      <c r="AM1483" s="16">
        <f t="shared" si="1620"/>
        <v>0</v>
      </c>
      <c r="AN1483" s="16">
        <f t="shared" si="1620"/>
        <v>0</v>
      </c>
      <c r="AO1483" s="16">
        <f t="shared" si="1620"/>
        <v>0</v>
      </c>
      <c r="AP1483" s="10"/>
      <c r="AQ1483" s="10"/>
      <c r="AR1483" s="10"/>
      <c r="AS1483" s="10" t="str">
        <f t="shared" ca="1" si="1606"/>
        <v>Johnson &amp; Johnson</v>
      </c>
      <c r="AT1483" s="10"/>
      <c r="AU1483" s="10"/>
      <c r="AV1483" s="10"/>
      <c r="AW1483" s="10"/>
      <c r="AX1483" s="10"/>
      <c r="AY1483" s="10"/>
      <c r="AZ1483" s="10"/>
      <c r="BA1483" s="10"/>
      <c r="BB1483" s="10"/>
      <c r="BC1483" s="10"/>
      <c r="BD1483" s="10"/>
      <c r="BE1483" s="10"/>
      <c r="BF1483" s="10"/>
      <c r="BG1483" s="10"/>
      <c r="BH1483" s="10"/>
      <c r="BI1483" s="10"/>
      <c r="BJ1483" s="10"/>
      <c r="BK1483" s="10"/>
      <c r="BM1483" s="10"/>
    </row>
    <row r="1484" spans="1:65" ht="12.75">
      <c r="A1484" s="9"/>
      <c r="B1484" s="10"/>
      <c r="C1484" s="11"/>
      <c r="D1484" s="12"/>
      <c r="E1484" s="10"/>
      <c r="F1484" s="10"/>
      <c r="G1484" s="10"/>
      <c r="H1484" s="14"/>
      <c r="I1484" s="14"/>
      <c r="J1484" s="14"/>
      <c r="K1484" s="14"/>
      <c r="L1484" s="14"/>
      <c r="M1484" s="15"/>
      <c r="N1484" s="10"/>
      <c r="O1484" s="14"/>
      <c r="P1484" s="14"/>
      <c r="Q1484" s="14"/>
      <c r="R1484" s="14"/>
      <c r="S1484" s="14"/>
      <c r="T1484" s="14"/>
      <c r="U1484" s="14"/>
      <c r="V1484" s="14">
        <f t="shared" si="1602"/>
        <v>1900</v>
      </c>
      <c r="W1484" s="14">
        <f t="shared" si="1603"/>
        <v>1</v>
      </c>
      <c r="X1484" s="14"/>
      <c r="Y1484" s="14"/>
      <c r="Z1484" s="14"/>
      <c r="AA1484" s="16" t="str">
        <f t="shared" ca="1" si="1620"/>
        <v>Johnson &amp; Johnson</v>
      </c>
      <c r="AB1484" s="16">
        <f t="shared" si="1620"/>
        <v>0</v>
      </c>
      <c r="AC1484" s="16">
        <f t="shared" si="1620"/>
        <v>0</v>
      </c>
      <c r="AD1484" s="16">
        <f t="shared" si="1620"/>
        <v>0</v>
      </c>
      <c r="AE1484" s="16">
        <f t="shared" si="1620"/>
        <v>0</v>
      </c>
      <c r="AF1484" s="16">
        <f t="shared" si="1620"/>
        <v>0</v>
      </c>
      <c r="AG1484" s="16">
        <f t="shared" si="1620"/>
        <v>0</v>
      </c>
      <c r="AH1484" s="16">
        <f t="shared" si="1620"/>
        <v>0</v>
      </c>
      <c r="AI1484" s="16">
        <f t="shared" si="1620"/>
        <v>0</v>
      </c>
      <c r="AJ1484" s="16">
        <f t="shared" si="1620"/>
        <v>0</v>
      </c>
      <c r="AK1484" s="16">
        <f t="shared" si="1620"/>
        <v>0</v>
      </c>
      <c r="AL1484" s="16">
        <f t="shared" si="1620"/>
        <v>0</v>
      </c>
      <c r="AM1484" s="16">
        <f t="shared" si="1620"/>
        <v>0</v>
      </c>
      <c r="AN1484" s="16">
        <f t="shared" si="1620"/>
        <v>0</v>
      </c>
      <c r="AO1484" s="16">
        <f t="shared" si="1620"/>
        <v>0</v>
      </c>
      <c r="AP1484" s="10"/>
      <c r="AQ1484" s="10"/>
      <c r="AR1484" s="10"/>
      <c r="AS1484" s="10" t="str">
        <f t="shared" ca="1" si="1606"/>
        <v>Johnson &amp; Johnson</v>
      </c>
      <c r="AT1484" s="10"/>
      <c r="AU1484" s="10"/>
      <c r="AV1484" s="10"/>
      <c r="AW1484" s="10"/>
      <c r="AX1484" s="10"/>
      <c r="AY1484" s="10"/>
      <c r="AZ1484" s="10"/>
      <c r="BA1484" s="10"/>
      <c r="BB1484" s="10"/>
      <c r="BC1484" s="10"/>
      <c r="BD1484" s="10"/>
      <c r="BE1484" s="10"/>
      <c r="BF1484" s="10"/>
      <c r="BG1484" s="10"/>
      <c r="BH1484" s="10"/>
      <c r="BI1484" s="10"/>
      <c r="BJ1484" s="10"/>
      <c r="BK1484" s="10"/>
      <c r="BM1484" s="10"/>
    </row>
    <row r="1485" spans="1:65" ht="12.75">
      <c r="A1485" s="9"/>
      <c r="B1485" s="10"/>
      <c r="C1485" s="11"/>
      <c r="D1485" s="12"/>
      <c r="E1485" s="10"/>
      <c r="F1485" s="10"/>
      <c r="G1485" s="10"/>
      <c r="H1485" s="14"/>
      <c r="I1485" s="14"/>
      <c r="J1485" s="14"/>
      <c r="K1485" s="14"/>
      <c r="L1485" s="14"/>
      <c r="M1485" s="15"/>
      <c r="N1485" s="10"/>
      <c r="O1485" s="14"/>
      <c r="P1485" s="14"/>
      <c r="Q1485" s="14"/>
      <c r="R1485" s="14"/>
      <c r="S1485" s="14"/>
      <c r="T1485" s="14"/>
      <c r="U1485" s="14"/>
      <c r="V1485" s="14">
        <f t="shared" si="1602"/>
        <v>1900</v>
      </c>
      <c r="W1485" s="14">
        <f t="shared" si="1603"/>
        <v>1</v>
      </c>
      <c r="X1485" s="14"/>
      <c r="Y1485" s="14"/>
      <c r="Z1485" s="14"/>
      <c r="AA1485" s="16" t="str">
        <f t="shared" ca="1" si="1620"/>
        <v>Johnson &amp; Johnson</v>
      </c>
      <c r="AB1485" s="16">
        <f t="shared" si="1620"/>
        <v>0</v>
      </c>
      <c r="AC1485" s="16">
        <f t="shared" si="1620"/>
        <v>0</v>
      </c>
      <c r="AD1485" s="16">
        <f t="shared" si="1620"/>
        <v>0</v>
      </c>
      <c r="AE1485" s="16">
        <f t="shared" si="1620"/>
        <v>0</v>
      </c>
      <c r="AF1485" s="16">
        <f t="shared" si="1620"/>
        <v>0</v>
      </c>
      <c r="AG1485" s="16">
        <f t="shared" si="1620"/>
        <v>0</v>
      </c>
      <c r="AH1485" s="16">
        <f t="shared" si="1620"/>
        <v>0</v>
      </c>
      <c r="AI1485" s="16">
        <f t="shared" si="1620"/>
        <v>0</v>
      </c>
      <c r="AJ1485" s="16">
        <f t="shared" si="1620"/>
        <v>0</v>
      </c>
      <c r="AK1485" s="16">
        <f t="shared" si="1620"/>
        <v>0</v>
      </c>
      <c r="AL1485" s="16">
        <f t="shared" si="1620"/>
        <v>0</v>
      </c>
      <c r="AM1485" s="16">
        <f t="shared" si="1620"/>
        <v>0</v>
      </c>
      <c r="AN1485" s="16">
        <f t="shared" si="1620"/>
        <v>0</v>
      </c>
      <c r="AO1485" s="16">
        <f t="shared" si="1620"/>
        <v>0</v>
      </c>
      <c r="AP1485" s="10"/>
      <c r="AQ1485" s="10"/>
      <c r="AR1485" s="10"/>
      <c r="AS1485" s="10" t="str">
        <f t="shared" ca="1" si="1606"/>
        <v>Johnson &amp; Johnson</v>
      </c>
      <c r="AT1485" s="10"/>
      <c r="AU1485" s="10"/>
      <c r="AV1485" s="10"/>
      <c r="AW1485" s="10"/>
      <c r="AX1485" s="10"/>
      <c r="AY1485" s="10"/>
      <c r="AZ1485" s="10"/>
      <c r="BA1485" s="10"/>
      <c r="BB1485" s="10"/>
      <c r="BC1485" s="10"/>
      <c r="BD1485" s="10"/>
      <c r="BE1485" s="10"/>
      <c r="BF1485" s="10"/>
      <c r="BG1485" s="10"/>
      <c r="BH1485" s="10"/>
      <c r="BI1485" s="10"/>
      <c r="BJ1485" s="10"/>
      <c r="BK1485" s="10"/>
      <c r="BM1485" s="10"/>
    </row>
    <row r="1486" spans="1:65" ht="12.75">
      <c r="A1486" s="9"/>
      <c r="B1486" s="10"/>
      <c r="C1486" s="11"/>
      <c r="D1486" s="12"/>
      <c r="E1486" s="10"/>
      <c r="F1486" s="10"/>
      <c r="G1486" s="10"/>
      <c r="H1486" s="14"/>
      <c r="I1486" s="14"/>
      <c r="J1486" s="14"/>
      <c r="K1486" s="14"/>
      <c r="L1486" s="14"/>
      <c r="M1486" s="15"/>
      <c r="N1486" s="10"/>
      <c r="O1486" s="14"/>
      <c r="P1486" s="14"/>
      <c r="Q1486" s="14"/>
      <c r="R1486" s="14"/>
      <c r="S1486" s="14"/>
      <c r="T1486" s="14"/>
      <c r="U1486" s="14"/>
      <c r="V1486" s="14">
        <f t="shared" si="1602"/>
        <v>1900</v>
      </c>
      <c r="W1486" s="14">
        <f t="shared" si="1603"/>
        <v>1</v>
      </c>
      <c r="X1486" s="14"/>
      <c r="Y1486" s="14"/>
      <c r="Z1486" s="14"/>
      <c r="AA1486" s="16" t="str">
        <f t="shared" ca="1" si="1620"/>
        <v>Johnson &amp; Johnson</v>
      </c>
      <c r="AB1486" s="16">
        <f t="shared" si="1620"/>
        <v>0</v>
      </c>
      <c r="AC1486" s="16">
        <f t="shared" si="1620"/>
        <v>0</v>
      </c>
      <c r="AD1486" s="16">
        <f t="shared" si="1620"/>
        <v>0</v>
      </c>
      <c r="AE1486" s="16">
        <f t="shared" si="1620"/>
        <v>0</v>
      </c>
      <c r="AF1486" s="16">
        <f t="shared" si="1620"/>
        <v>0</v>
      </c>
      <c r="AG1486" s="16">
        <f t="shared" si="1620"/>
        <v>0</v>
      </c>
      <c r="AH1486" s="16">
        <f t="shared" si="1620"/>
        <v>0</v>
      </c>
      <c r="AI1486" s="16">
        <f t="shared" si="1620"/>
        <v>0</v>
      </c>
      <c r="AJ1486" s="16">
        <f t="shared" si="1620"/>
        <v>0</v>
      </c>
      <c r="AK1486" s="16">
        <f t="shared" si="1620"/>
        <v>0</v>
      </c>
      <c r="AL1486" s="16">
        <f t="shared" si="1620"/>
        <v>0</v>
      </c>
      <c r="AM1486" s="16">
        <f t="shared" si="1620"/>
        <v>0</v>
      </c>
      <c r="AN1486" s="16">
        <f t="shared" si="1620"/>
        <v>0</v>
      </c>
      <c r="AO1486" s="16">
        <f t="shared" si="1620"/>
        <v>0</v>
      </c>
      <c r="AP1486" s="10"/>
      <c r="AQ1486" s="10"/>
      <c r="AR1486" s="10"/>
      <c r="AS1486" s="10" t="str">
        <f t="shared" ca="1" si="1606"/>
        <v>Johnson &amp; Johnson</v>
      </c>
      <c r="AT1486" s="10"/>
      <c r="AU1486" s="10"/>
      <c r="AV1486" s="10"/>
      <c r="AW1486" s="10"/>
      <c r="AX1486" s="10"/>
      <c r="AY1486" s="10"/>
      <c r="AZ1486" s="10"/>
      <c r="BA1486" s="10"/>
      <c r="BB1486" s="10"/>
      <c r="BC1486" s="10"/>
      <c r="BD1486" s="10"/>
      <c r="BE1486" s="10"/>
      <c r="BF1486" s="10"/>
      <c r="BG1486" s="10"/>
      <c r="BH1486" s="10"/>
      <c r="BI1486" s="10"/>
      <c r="BJ1486" s="10"/>
      <c r="BK1486" s="10"/>
      <c r="BM1486" s="10"/>
    </row>
    <row r="1487" spans="1:65" ht="12.75">
      <c r="A1487" s="9"/>
      <c r="B1487" s="10"/>
      <c r="C1487" s="11"/>
      <c r="D1487" s="12"/>
      <c r="E1487" s="10"/>
      <c r="F1487" s="10"/>
      <c r="G1487" s="10"/>
      <c r="H1487" s="14"/>
      <c r="I1487" s="14"/>
      <c r="J1487" s="14"/>
      <c r="K1487" s="14"/>
      <c r="L1487" s="14"/>
      <c r="M1487" s="15"/>
      <c r="N1487" s="10"/>
      <c r="O1487" s="14"/>
      <c r="P1487" s="14"/>
      <c r="Q1487" s="14"/>
      <c r="R1487" s="14"/>
      <c r="S1487" s="14"/>
      <c r="T1487" s="14"/>
      <c r="U1487" s="14"/>
      <c r="V1487" s="14">
        <f t="shared" si="1602"/>
        <v>1900</v>
      </c>
      <c r="W1487" s="14">
        <f t="shared" si="1603"/>
        <v>1</v>
      </c>
      <c r="X1487" s="14"/>
      <c r="Y1487" s="14"/>
      <c r="Z1487" s="14"/>
      <c r="AA1487" s="16" t="str">
        <f t="shared" ca="1" si="1620"/>
        <v>Johnson &amp; Johnson</v>
      </c>
      <c r="AB1487" s="16">
        <f t="shared" si="1620"/>
        <v>0</v>
      </c>
      <c r="AC1487" s="16">
        <f t="shared" si="1620"/>
        <v>0</v>
      </c>
      <c r="AD1487" s="16">
        <f t="shared" si="1620"/>
        <v>0</v>
      </c>
      <c r="AE1487" s="16">
        <f t="shared" si="1620"/>
        <v>0</v>
      </c>
      <c r="AF1487" s="16">
        <f t="shared" si="1620"/>
        <v>0</v>
      </c>
      <c r="AG1487" s="16">
        <f t="shared" si="1620"/>
        <v>0</v>
      </c>
      <c r="AH1487" s="16">
        <f t="shared" si="1620"/>
        <v>0</v>
      </c>
      <c r="AI1487" s="16">
        <f t="shared" si="1620"/>
        <v>0</v>
      </c>
      <c r="AJ1487" s="16">
        <f t="shared" si="1620"/>
        <v>0</v>
      </c>
      <c r="AK1487" s="16">
        <f t="shared" si="1620"/>
        <v>0</v>
      </c>
      <c r="AL1487" s="16">
        <f t="shared" si="1620"/>
        <v>0</v>
      </c>
      <c r="AM1487" s="16">
        <f t="shared" si="1620"/>
        <v>0</v>
      </c>
      <c r="AN1487" s="16">
        <f t="shared" si="1620"/>
        <v>0</v>
      </c>
      <c r="AO1487" s="16">
        <f t="shared" si="1620"/>
        <v>0</v>
      </c>
      <c r="AP1487" s="10"/>
      <c r="AQ1487" s="10"/>
      <c r="AR1487" s="10"/>
      <c r="AS1487" s="10" t="str">
        <f t="shared" ca="1" si="1606"/>
        <v>Johnson &amp; Johnson</v>
      </c>
      <c r="AT1487" s="10"/>
      <c r="AU1487" s="10"/>
      <c r="AV1487" s="10"/>
      <c r="AW1487" s="10"/>
      <c r="AX1487" s="10"/>
      <c r="AY1487" s="10"/>
      <c r="AZ1487" s="10"/>
      <c r="BA1487" s="10"/>
      <c r="BB1487" s="10"/>
      <c r="BC1487" s="10"/>
      <c r="BD1487" s="10"/>
      <c r="BE1487" s="10"/>
      <c r="BF1487" s="10"/>
      <c r="BG1487" s="10"/>
      <c r="BH1487" s="10"/>
      <c r="BI1487" s="10"/>
      <c r="BJ1487" s="10"/>
      <c r="BK1487" s="10"/>
      <c r="BM1487" s="10"/>
    </row>
    <row r="1488" spans="1:65" ht="12.75">
      <c r="A1488" s="9"/>
      <c r="B1488" s="10"/>
      <c r="C1488" s="11"/>
      <c r="D1488" s="12"/>
      <c r="E1488" s="10"/>
      <c r="F1488" s="10"/>
      <c r="G1488" s="10"/>
      <c r="H1488" s="14"/>
      <c r="I1488" s="14"/>
      <c r="J1488" s="14"/>
      <c r="K1488" s="14"/>
      <c r="L1488" s="14"/>
      <c r="M1488" s="15"/>
      <c r="N1488" s="10"/>
      <c r="O1488" s="14"/>
      <c r="P1488" s="14"/>
      <c r="Q1488" s="14"/>
      <c r="R1488" s="14"/>
      <c r="S1488" s="14"/>
      <c r="T1488" s="14"/>
      <c r="U1488" s="14"/>
      <c r="V1488" s="14">
        <f t="shared" si="1602"/>
        <v>1900</v>
      </c>
      <c r="W1488" s="14">
        <f t="shared" si="1603"/>
        <v>1</v>
      </c>
      <c r="X1488" s="14"/>
      <c r="Y1488" s="14"/>
      <c r="Z1488" s="14"/>
      <c r="AA1488" s="16" t="str">
        <f t="shared" ca="1" si="1620"/>
        <v>Johnson &amp; Johnson</v>
      </c>
      <c r="AB1488" s="16">
        <f t="shared" si="1620"/>
        <v>0</v>
      </c>
      <c r="AC1488" s="16">
        <f t="shared" si="1620"/>
        <v>0</v>
      </c>
      <c r="AD1488" s="16">
        <f t="shared" si="1620"/>
        <v>0</v>
      </c>
      <c r="AE1488" s="16">
        <f t="shared" si="1620"/>
        <v>0</v>
      </c>
      <c r="AF1488" s="16">
        <f t="shared" si="1620"/>
        <v>0</v>
      </c>
      <c r="AG1488" s="16">
        <f t="shared" si="1620"/>
        <v>0</v>
      </c>
      <c r="AH1488" s="16">
        <f t="shared" si="1620"/>
        <v>0</v>
      </c>
      <c r="AI1488" s="16">
        <f t="shared" si="1620"/>
        <v>0</v>
      </c>
      <c r="AJ1488" s="16">
        <f t="shared" si="1620"/>
        <v>0</v>
      </c>
      <c r="AK1488" s="16">
        <f t="shared" si="1620"/>
        <v>0</v>
      </c>
      <c r="AL1488" s="16">
        <f t="shared" si="1620"/>
        <v>0</v>
      </c>
      <c r="AM1488" s="16">
        <f t="shared" si="1620"/>
        <v>0</v>
      </c>
      <c r="AN1488" s="16">
        <f t="shared" si="1620"/>
        <v>0</v>
      </c>
      <c r="AO1488" s="16">
        <f t="shared" si="1620"/>
        <v>0</v>
      </c>
      <c r="AP1488" s="10"/>
      <c r="AQ1488" s="10"/>
      <c r="AR1488" s="10"/>
      <c r="AS1488" s="10" t="str">
        <f t="shared" ca="1" si="1606"/>
        <v>Johnson &amp; Johnson</v>
      </c>
      <c r="AT1488" s="10"/>
      <c r="AU1488" s="10"/>
      <c r="AV1488" s="10"/>
      <c r="AW1488" s="10"/>
      <c r="AX1488" s="10"/>
      <c r="AY1488" s="10"/>
      <c r="AZ1488" s="10"/>
      <c r="BA1488" s="10"/>
      <c r="BB1488" s="10"/>
      <c r="BC1488" s="10"/>
      <c r="BD1488" s="10"/>
      <c r="BE1488" s="10"/>
      <c r="BF1488" s="10"/>
      <c r="BG1488" s="10"/>
      <c r="BH1488" s="10"/>
      <c r="BI1488" s="10"/>
      <c r="BJ1488" s="10"/>
      <c r="BK1488" s="10"/>
      <c r="BM1488" s="10"/>
    </row>
    <row r="1489" spans="1:65" ht="12.75">
      <c r="A1489" s="9"/>
      <c r="B1489" s="10"/>
      <c r="C1489" s="11"/>
      <c r="D1489" s="12"/>
      <c r="E1489" s="10"/>
      <c r="F1489" s="10"/>
      <c r="G1489" s="10"/>
      <c r="H1489" s="14"/>
      <c r="I1489" s="14"/>
      <c r="J1489" s="14"/>
      <c r="K1489" s="14"/>
      <c r="L1489" s="14"/>
      <c r="M1489" s="15"/>
      <c r="N1489" s="10"/>
      <c r="O1489" s="14"/>
      <c r="P1489" s="14"/>
      <c r="Q1489" s="14"/>
      <c r="R1489" s="14"/>
      <c r="S1489" s="14"/>
      <c r="T1489" s="14"/>
      <c r="U1489" s="14"/>
      <c r="V1489" s="14">
        <f t="shared" si="1602"/>
        <v>1900</v>
      </c>
      <c r="W1489" s="14">
        <f t="shared" si="1603"/>
        <v>1</v>
      </c>
      <c r="X1489" s="14"/>
      <c r="Y1489" s="14"/>
      <c r="Z1489" s="14"/>
      <c r="AA1489" s="16" t="str">
        <f t="shared" ca="1" si="1620"/>
        <v>Johnson &amp; Johnson</v>
      </c>
      <c r="AB1489" s="16">
        <f t="shared" si="1620"/>
        <v>0</v>
      </c>
      <c r="AC1489" s="16">
        <f t="shared" si="1620"/>
        <v>0</v>
      </c>
      <c r="AD1489" s="16">
        <f t="shared" si="1620"/>
        <v>0</v>
      </c>
      <c r="AE1489" s="16">
        <f t="shared" si="1620"/>
        <v>0</v>
      </c>
      <c r="AF1489" s="16">
        <f t="shared" si="1620"/>
        <v>0</v>
      </c>
      <c r="AG1489" s="16">
        <f t="shared" si="1620"/>
        <v>0</v>
      </c>
      <c r="AH1489" s="16">
        <f t="shared" si="1620"/>
        <v>0</v>
      </c>
      <c r="AI1489" s="16">
        <f t="shared" si="1620"/>
        <v>0</v>
      </c>
      <c r="AJ1489" s="16">
        <f t="shared" si="1620"/>
        <v>0</v>
      </c>
      <c r="AK1489" s="16">
        <f t="shared" si="1620"/>
        <v>0</v>
      </c>
      <c r="AL1489" s="16">
        <f t="shared" si="1620"/>
        <v>0</v>
      </c>
      <c r="AM1489" s="16">
        <f t="shared" si="1620"/>
        <v>0</v>
      </c>
      <c r="AN1489" s="16">
        <f t="shared" si="1620"/>
        <v>0</v>
      </c>
      <c r="AO1489" s="16">
        <f t="shared" si="1620"/>
        <v>0</v>
      </c>
      <c r="AP1489" s="10"/>
      <c r="AQ1489" s="10"/>
      <c r="AR1489" s="10"/>
      <c r="AS1489" s="10" t="str">
        <f t="shared" ca="1" si="1606"/>
        <v>Johnson &amp; Johnson</v>
      </c>
      <c r="AT1489" s="10"/>
      <c r="AU1489" s="10"/>
      <c r="AV1489" s="10"/>
      <c r="AW1489" s="10"/>
      <c r="AX1489" s="10"/>
      <c r="AY1489" s="10"/>
      <c r="AZ1489" s="10"/>
      <c r="BA1489" s="10"/>
      <c r="BB1489" s="10"/>
      <c r="BC1489" s="10"/>
      <c r="BD1489" s="10"/>
      <c r="BE1489" s="10"/>
      <c r="BF1489" s="10"/>
      <c r="BG1489" s="10"/>
      <c r="BH1489" s="10"/>
      <c r="BI1489" s="10"/>
      <c r="BJ1489" s="10"/>
      <c r="BK1489" s="10"/>
      <c r="BM1489" s="10"/>
    </row>
    <row r="1490" spans="1:65" ht="12.75">
      <c r="A1490" s="9"/>
      <c r="B1490" s="10"/>
      <c r="C1490" s="11"/>
      <c r="D1490" s="12"/>
      <c r="E1490" s="10"/>
      <c r="F1490" s="10"/>
      <c r="G1490" s="10"/>
      <c r="H1490" s="14"/>
      <c r="I1490" s="14"/>
      <c r="J1490" s="14"/>
      <c r="K1490" s="14"/>
      <c r="L1490" s="14"/>
      <c r="M1490" s="15"/>
      <c r="N1490" s="10"/>
      <c r="O1490" s="14"/>
      <c r="P1490" s="14"/>
      <c r="Q1490" s="14"/>
      <c r="R1490" s="14"/>
      <c r="S1490" s="14"/>
      <c r="T1490" s="14"/>
      <c r="U1490" s="14"/>
      <c r="V1490" s="14">
        <f t="shared" si="1602"/>
        <v>1900</v>
      </c>
      <c r="W1490" s="14">
        <f t="shared" si="1603"/>
        <v>1</v>
      </c>
      <c r="X1490" s="14"/>
      <c r="Y1490" s="14"/>
      <c r="Z1490" s="14"/>
      <c r="AA1490" s="16" t="str">
        <f t="shared" ca="1" si="1620"/>
        <v>Johnson &amp; Johnson</v>
      </c>
      <c r="AB1490" s="16">
        <f t="shared" si="1620"/>
        <v>0</v>
      </c>
      <c r="AC1490" s="16">
        <f t="shared" si="1620"/>
        <v>0</v>
      </c>
      <c r="AD1490" s="16">
        <f t="shared" si="1620"/>
        <v>0</v>
      </c>
      <c r="AE1490" s="16">
        <f t="shared" si="1620"/>
        <v>0</v>
      </c>
      <c r="AF1490" s="16">
        <f t="shared" si="1620"/>
        <v>0</v>
      </c>
      <c r="AG1490" s="16">
        <f t="shared" si="1620"/>
        <v>0</v>
      </c>
      <c r="AH1490" s="16">
        <f t="shared" si="1620"/>
        <v>0</v>
      </c>
      <c r="AI1490" s="16">
        <f t="shared" si="1620"/>
        <v>0</v>
      </c>
      <c r="AJ1490" s="16">
        <f t="shared" si="1620"/>
        <v>0</v>
      </c>
      <c r="AK1490" s="16">
        <f t="shared" si="1620"/>
        <v>0</v>
      </c>
      <c r="AL1490" s="16">
        <f t="shared" si="1620"/>
        <v>0</v>
      </c>
      <c r="AM1490" s="16">
        <f t="shared" si="1620"/>
        <v>0</v>
      </c>
      <c r="AN1490" s="16">
        <f t="shared" si="1620"/>
        <v>0</v>
      </c>
      <c r="AO1490" s="16">
        <f t="shared" si="1620"/>
        <v>0</v>
      </c>
      <c r="AP1490" s="10"/>
      <c r="AQ1490" s="10"/>
      <c r="AR1490" s="10"/>
      <c r="AS1490" s="10" t="str">
        <f t="shared" ca="1" si="1606"/>
        <v>Johnson &amp; Johnson</v>
      </c>
      <c r="AT1490" s="10"/>
      <c r="AU1490" s="10"/>
      <c r="AV1490" s="10"/>
      <c r="AW1490" s="10"/>
      <c r="AX1490" s="10"/>
      <c r="AY1490" s="10"/>
      <c r="AZ1490" s="10"/>
      <c r="BA1490" s="10"/>
      <c r="BB1490" s="10"/>
      <c r="BC1490" s="10"/>
      <c r="BD1490" s="10"/>
      <c r="BE1490" s="10"/>
      <c r="BF1490" s="10"/>
      <c r="BG1490" s="10"/>
      <c r="BH1490" s="10"/>
      <c r="BI1490" s="10"/>
      <c r="BJ1490" s="10"/>
      <c r="BK1490" s="10"/>
      <c r="BM1490" s="10"/>
    </row>
    <row r="1491" spans="1:65" ht="12.75">
      <c r="A1491" s="9"/>
      <c r="B1491" s="10"/>
      <c r="C1491" s="11"/>
      <c r="D1491" s="12"/>
      <c r="E1491" s="10"/>
      <c r="F1491" s="10"/>
      <c r="G1491" s="10"/>
      <c r="H1491" s="14"/>
      <c r="I1491" s="14"/>
      <c r="J1491" s="14"/>
      <c r="K1491" s="14"/>
      <c r="L1491" s="14"/>
      <c r="M1491" s="15"/>
      <c r="N1491" s="10"/>
      <c r="O1491" s="14"/>
      <c r="P1491" s="14"/>
      <c r="Q1491" s="14"/>
      <c r="R1491" s="14"/>
      <c r="S1491" s="14"/>
      <c r="T1491" s="14"/>
      <c r="U1491" s="14"/>
      <c r="V1491" s="14">
        <f t="shared" si="1602"/>
        <v>1900</v>
      </c>
      <c r="W1491" s="14">
        <f t="shared" si="1603"/>
        <v>1</v>
      </c>
      <c r="X1491" s="14"/>
      <c r="Y1491" s="14"/>
      <c r="Z1491" s="14"/>
      <c r="AA1491" s="16" t="str">
        <f t="shared" ca="1" si="1620"/>
        <v>Johnson &amp; Johnson</v>
      </c>
      <c r="AB1491" s="16">
        <f t="shared" si="1620"/>
        <v>0</v>
      </c>
      <c r="AC1491" s="16">
        <f t="shared" si="1620"/>
        <v>0</v>
      </c>
      <c r="AD1491" s="16">
        <f t="shared" si="1620"/>
        <v>0</v>
      </c>
      <c r="AE1491" s="16">
        <f t="shared" si="1620"/>
        <v>0</v>
      </c>
      <c r="AF1491" s="16">
        <f t="shared" si="1620"/>
        <v>0</v>
      </c>
      <c r="AG1491" s="16">
        <f t="shared" si="1620"/>
        <v>0</v>
      </c>
      <c r="AH1491" s="16">
        <f t="shared" si="1620"/>
        <v>0</v>
      </c>
      <c r="AI1491" s="16">
        <f t="shared" si="1620"/>
        <v>0</v>
      </c>
      <c r="AJ1491" s="16">
        <f t="shared" si="1620"/>
        <v>0</v>
      </c>
      <c r="AK1491" s="16">
        <f t="shared" si="1620"/>
        <v>0</v>
      </c>
      <c r="AL1491" s="16">
        <f t="shared" si="1620"/>
        <v>0</v>
      </c>
      <c r="AM1491" s="16">
        <f t="shared" si="1620"/>
        <v>0</v>
      </c>
      <c r="AN1491" s="16">
        <f t="shared" si="1620"/>
        <v>0</v>
      </c>
      <c r="AO1491" s="16">
        <f t="shared" si="1620"/>
        <v>0</v>
      </c>
      <c r="AP1491" s="10"/>
      <c r="AQ1491" s="10"/>
      <c r="AR1491" s="10"/>
      <c r="AS1491" s="10" t="str">
        <f t="shared" ca="1" si="1606"/>
        <v>Johnson &amp; Johnson</v>
      </c>
      <c r="AT1491" s="10"/>
      <c r="AU1491" s="10"/>
      <c r="AV1491" s="10"/>
      <c r="AW1491" s="10"/>
      <c r="AX1491" s="10"/>
      <c r="AY1491" s="10"/>
      <c r="AZ1491" s="10"/>
      <c r="BA1491" s="10"/>
      <c r="BB1491" s="10"/>
      <c r="BC1491" s="10"/>
      <c r="BD1491" s="10"/>
      <c r="BE1491" s="10"/>
      <c r="BF1491" s="10"/>
      <c r="BG1491" s="10"/>
      <c r="BH1491" s="10"/>
      <c r="BI1491" s="10"/>
      <c r="BJ1491" s="10"/>
      <c r="BK1491" s="10"/>
      <c r="BM1491" s="10"/>
    </row>
    <row r="1492" spans="1:65" ht="12.75">
      <c r="A1492" s="9"/>
      <c r="B1492" s="10"/>
      <c r="C1492" s="11"/>
      <c r="D1492" s="12"/>
      <c r="E1492" s="10"/>
      <c r="F1492" s="10"/>
      <c r="G1492" s="10"/>
      <c r="H1492" s="14"/>
      <c r="I1492" s="14"/>
      <c r="J1492" s="14"/>
      <c r="K1492" s="14"/>
      <c r="L1492" s="14"/>
      <c r="M1492" s="15"/>
      <c r="N1492" s="10"/>
      <c r="O1492" s="14"/>
      <c r="P1492" s="14"/>
      <c r="Q1492" s="14"/>
      <c r="R1492" s="14"/>
      <c r="S1492" s="14"/>
      <c r="T1492" s="14"/>
      <c r="U1492" s="14"/>
      <c r="V1492" s="14">
        <f t="shared" si="1602"/>
        <v>1900</v>
      </c>
      <c r="W1492" s="14">
        <f t="shared" si="1603"/>
        <v>1</v>
      </c>
      <c r="X1492" s="14"/>
      <c r="Y1492" s="14"/>
      <c r="Z1492" s="14"/>
      <c r="AA1492" s="16" t="str">
        <f t="shared" ca="1" si="1620"/>
        <v>Johnson &amp; Johnson</v>
      </c>
      <c r="AB1492" s="16">
        <f t="shared" si="1620"/>
        <v>0</v>
      </c>
      <c r="AC1492" s="16">
        <f t="shared" si="1620"/>
        <v>0</v>
      </c>
      <c r="AD1492" s="16">
        <f t="shared" si="1620"/>
        <v>0</v>
      </c>
      <c r="AE1492" s="16">
        <f t="shared" si="1620"/>
        <v>0</v>
      </c>
      <c r="AF1492" s="16">
        <f t="shared" si="1620"/>
        <v>0</v>
      </c>
      <c r="AG1492" s="16">
        <f t="shared" si="1620"/>
        <v>0</v>
      </c>
      <c r="AH1492" s="16">
        <f t="shared" si="1620"/>
        <v>0</v>
      </c>
      <c r="AI1492" s="16">
        <f t="shared" si="1620"/>
        <v>0</v>
      </c>
      <c r="AJ1492" s="16">
        <f t="shared" si="1620"/>
        <v>0</v>
      </c>
      <c r="AK1492" s="16">
        <f t="shared" si="1620"/>
        <v>0</v>
      </c>
      <c r="AL1492" s="16">
        <f t="shared" si="1620"/>
        <v>0</v>
      </c>
      <c r="AM1492" s="16">
        <f t="shared" si="1620"/>
        <v>0</v>
      </c>
      <c r="AN1492" s="16">
        <f t="shared" si="1620"/>
        <v>0</v>
      </c>
      <c r="AO1492" s="16">
        <f t="shared" si="1620"/>
        <v>0</v>
      </c>
      <c r="AP1492" s="10"/>
      <c r="AQ1492" s="10"/>
      <c r="AR1492" s="10"/>
      <c r="AS1492" s="10" t="str">
        <f t="shared" ca="1" si="1606"/>
        <v>Johnson &amp; Johnson</v>
      </c>
      <c r="AT1492" s="10"/>
      <c r="AU1492" s="10"/>
      <c r="AV1492" s="10"/>
      <c r="AW1492" s="10"/>
      <c r="AX1492" s="10"/>
      <c r="AY1492" s="10"/>
      <c r="AZ1492" s="10"/>
      <c r="BA1492" s="10"/>
      <c r="BB1492" s="10"/>
      <c r="BC1492" s="10"/>
      <c r="BD1492" s="10"/>
      <c r="BE1492" s="10"/>
      <c r="BF1492" s="10"/>
      <c r="BG1492" s="10"/>
      <c r="BH1492" s="10"/>
      <c r="BI1492" s="10"/>
      <c r="BJ1492" s="10"/>
      <c r="BK1492" s="10"/>
      <c r="BM1492" s="10"/>
    </row>
    <row r="1493" spans="1:65" ht="12.75">
      <c r="A1493" s="9"/>
      <c r="B1493" s="10"/>
      <c r="C1493" s="11"/>
      <c r="D1493" s="12"/>
      <c r="E1493" s="10"/>
      <c r="F1493" s="10"/>
      <c r="G1493" s="10"/>
      <c r="H1493" s="14"/>
      <c r="I1493" s="14"/>
      <c r="J1493" s="14"/>
      <c r="K1493" s="14"/>
      <c r="L1493" s="14"/>
      <c r="M1493" s="15"/>
      <c r="N1493" s="10"/>
      <c r="O1493" s="14"/>
      <c r="P1493" s="14"/>
      <c r="Q1493" s="14"/>
      <c r="R1493" s="14"/>
      <c r="S1493" s="14"/>
      <c r="T1493" s="14"/>
      <c r="U1493" s="14"/>
      <c r="V1493" s="14">
        <f t="shared" si="1602"/>
        <v>1900</v>
      </c>
      <c r="W1493" s="14">
        <f t="shared" si="1603"/>
        <v>1</v>
      </c>
      <c r="X1493" s="14"/>
      <c r="Y1493" s="14"/>
      <c r="Z1493" s="14"/>
      <c r="AA1493" s="16" t="str">
        <f t="shared" ca="1" si="1620"/>
        <v>Johnson &amp; Johnson</v>
      </c>
      <c r="AB1493" s="16">
        <f t="shared" si="1620"/>
        <v>0</v>
      </c>
      <c r="AC1493" s="16">
        <f t="shared" si="1620"/>
        <v>0</v>
      </c>
      <c r="AD1493" s="16">
        <f t="shared" si="1620"/>
        <v>0</v>
      </c>
      <c r="AE1493" s="16">
        <f t="shared" si="1620"/>
        <v>0</v>
      </c>
      <c r="AF1493" s="16">
        <f t="shared" si="1620"/>
        <v>0</v>
      </c>
      <c r="AG1493" s="16">
        <f t="shared" si="1620"/>
        <v>0</v>
      </c>
      <c r="AH1493" s="16">
        <f t="shared" si="1620"/>
        <v>0</v>
      </c>
      <c r="AI1493" s="16">
        <f t="shared" si="1620"/>
        <v>0</v>
      </c>
      <c r="AJ1493" s="16">
        <f t="shared" si="1620"/>
        <v>0</v>
      </c>
      <c r="AK1493" s="16">
        <f t="shared" si="1620"/>
        <v>0</v>
      </c>
      <c r="AL1493" s="16">
        <f t="shared" si="1620"/>
        <v>0</v>
      </c>
      <c r="AM1493" s="16">
        <f t="shared" si="1620"/>
        <v>0</v>
      </c>
      <c r="AN1493" s="16">
        <f t="shared" si="1620"/>
        <v>0</v>
      </c>
      <c r="AO1493" s="16">
        <f t="shared" si="1620"/>
        <v>0</v>
      </c>
      <c r="AP1493" s="10"/>
      <c r="AQ1493" s="10"/>
      <c r="AR1493" s="10"/>
      <c r="AS1493" s="10" t="str">
        <f t="shared" ca="1" si="1606"/>
        <v>Johnson &amp; Johnson</v>
      </c>
      <c r="AT1493" s="10"/>
      <c r="AU1493" s="10"/>
      <c r="AV1493" s="10"/>
      <c r="AW1493" s="10"/>
      <c r="AX1493" s="10"/>
      <c r="AY1493" s="10"/>
      <c r="AZ1493" s="10"/>
      <c r="BA1493" s="10"/>
      <c r="BB1493" s="10"/>
      <c r="BC1493" s="10"/>
      <c r="BD1493" s="10"/>
      <c r="BE1493" s="10"/>
      <c r="BF1493" s="10"/>
      <c r="BG1493" s="10"/>
      <c r="BH1493" s="10"/>
      <c r="BI1493" s="10"/>
      <c r="BJ1493" s="10"/>
      <c r="BK1493" s="10"/>
      <c r="BM1493" s="10"/>
    </row>
    <row r="1494" spans="1:65" ht="12.75">
      <c r="A1494" s="9"/>
      <c r="B1494" s="10"/>
      <c r="C1494" s="11"/>
      <c r="D1494" s="12"/>
      <c r="E1494" s="10"/>
      <c r="F1494" s="10"/>
      <c r="G1494" s="10"/>
      <c r="H1494" s="14"/>
      <c r="I1494" s="14"/>
      <c r="J1494" s="14"/>
      <c r="K1494" s="14"/>
      <c r="L1494" s="14"/>
      <c r="M1494" s="15"/>
      <c r="N1494" s="10"/>
      <c r="O1494" s="14"/>
      <c r="P1494" s="14"/>
      <c r="Q1494" s="14"/>
      <c r="R1494" s="14"/>
      <c r="S1494" s="14"/>
      <c r="T1494" s="14"/>
      <c r="U1494" s="14"/>
      <c r="V1494" s="14">
        <f t="shared" si="1602"/>
        <v>1900</v>
      </c>
      <c r="W1494" s="14">
        <f t="shared" si="1603"/>
        <v>1</v>
      </c>
      <c r="X1494" s="14"/>
      <c r="Y1494" s="14"/>
      <c r="Z1494" s="14"/>
      <c r="AA1494" s="16" t="str">
        <f t="shared" ca="1" si="1620"/>
        <v>Johnson &amp; Johnson</v>
      </c>
      <c r="AB1494" s="16">
        <f t="shared" si="1620"/>
        <v>0</v>
      </c>
      <c r="AC1494" s="16">
        <f t="shared" si="1620"/>
        <v>0</v>
      </c>
      <c r="AD1494" s="16">
        <f t="shared" si="1620"/>
        <v>0</v>
      </c>
      <c r="AE1494" s="16">
        <f t="shared" si="1620"/>
        <v>0</v>
      </c>
      <c r="AF1494" s="16">
        <f t="shared" si="1620"/>
        <v>0</v>
      </c>
      <c r="AG1494" s="16">
        <f t="shared" si="1620"/>
        <v>0</v>
      </c>
      <c r="AH1494" s="16">
        <f t="shared" si="1620"/>
        <v>0</v>
      </c>
      <c r="AI1494" s="16">
        <f t="shared" si="1620"/>
        <v>0</v>
      </c>
      <c r="AJ1494" s="16">
        <f t="shared" si="1620"/>
        <v>0</v>
      </c>
      <c r="AK1494" s="16">
        <f t="shared" si="1620"/>
        <v>0</v>
      </c>
      <c r="AL1494" s="16">
        <f t="shared" si="1620"/>
        <v>0</v>
      </c>
      <c r="AM1494" s="16">
        <f t="shared" si="1620"/>
        <v>0</v>
      </c>
      <c r="AN1494" s="16">
        <f t="shared" si="1620"/>
        <v>0</v>
      </c>
      <c r="AO1494" s="16">
        <f t="shared" si="1620"/>
        <v>0</v>
      </c>
      <c r="AP1494" s="10"/>
      <c r="AQ1494" s="10"/>
      <c r="AR1494" s="10"/>
      <c r="AS1494" s="10" t="str">
        <f t="shared" ca="1" si="1606"/>
        <v>Johnson &amp; Johnson</v>
      </c>
      <c r="AT1494" s="10"/>
      <c r="AU1494" s="10"/>
      <c r="AV1494" s="10"/>
      <c r="AW1494" s="10"/>
      <c r="AX1494" s="10"/>
      <c r="AY1494" s="10"/>
      <c r="AZ1494" s="10"/>
      <c r="BA1494" s="10"/>
      <c r="BB1494" s="10"/>
      <c r="BC1494" s="10"/>
      <c r="BD1494" s="10"/>
      <c r="BE1494" s="10"/>
      <c r="BF1494" s="10"/>
      <c r="BG1494" s="10"/>
      <c r="BH1494" s="10"/>
      <c r="BI1494" s="10"/>
      <c r="BJ1494" s="10"/>
      <c r="BK1494" s="10"/>
      <c r="BM1494" s="10"/>
    </row>
    <row r="1495" spans="1:65" ht="12.75">
      <c r="A1495" s="9"/>
      <c r="B1495" s="10"/>
      <c r="C1495" s="11"/>
      <c r="D1495" s="12"/>
      <c r="E1495" s="10"/>
      <c r="F1495" s="10"/>
      <c r="G1495" s="10"/>
      <c r="H1495" s="14"/>
      <c r="I1495" s="14"/>
      <c r="J1495" s="14"/>
      <c r="K1495" s="14"/>
      <c r="L1495" s="14"/>
      <c r="M1495" s="15"/>
      <c r="N1495" s="10"/>
      <c r="O1495" s="14"/>
      <c r="P1495" s="14"/>
      <c r="Q1495" s="14"/>
      <c r="R1495" s="14"/>
      <c r="S1495" s="14"/>
      <c r="T1495" s="14"/>
      <c r="U1495" s="14"/>
      <c r="V1495" s="14">
        <f t="shared" si="1602"/>
        <v>1900</v>
      </c>
      <c r="W1495" s="14">
        <f t="shared" si="1603"/>
        <v>1</v>
      </c>
      <c r="X1495" s="14"/>
      <c r="Y1495" s="14"/>
      <c r="Z1495" s="14"/>
      <c r="AA1495" s="16" t="str">
        <f t="shared" ca="1" si="1620"/>
        <v>Johnson &amp; Johnson</v>
      </c>
      <c r="AB1495" s="16">
        <f t="shared" si="1620"/>
        <v>0</v>
      </c>
      <c r="AC1495" s="16">
        <f t="shared" si="1620"/>
        <v>0</v>
      </c>
      <c r="AD1495" s="16">
        <f t="shared" si="1620"/>
        <v>0</v>
      </c>
      <c r="AE1495" s="16">
        <f t="shared" si="1620"/>
        <v>0</v>
      </c>
      <c r="AF1495" s="16">
        <f t="shared" si="1620"/>
        <v>0</v>
      </c>
      <c r="AG1495" s="16">
        <f t="shared" si="1620"/>
        <v>0</v>
      </c>
      <c r="AH1495" s="16">
        <f t="shared" si="1620"/>
        <v>0</v>
      </c>
      <c r="AI1495" s="16">
        <f t="shared" si="1620"/>
        <v>0</v>
      </c>
      <c r="AJ1495" s="16">
        <f t="shared" si="1620"/>
        <v>0</v>
      </c>
      <c r="AK1495" s="16">
        <f t="shared" si="1620"/>
        <v>0</v>
      </c>
      <c r="AL1495" s="16">
        <f t="shared" si="1620"/>
        <v>0</v>
      </c>
      <c r="AM1495" s="16">
        <f t="shared" si="1620"/>
        <v>0</v>
      </c>
      <c r="AN1495" s="16">
        <f t="shared" si="1620"/>
        <v>0</v>
      </c>
      <c r="AO1495" s="16">
        <f t="shared" si="1620"/>
        <v>0</v>
      </c>
      <c r="AP1495" s="10"/>
      <c r="AQ1495" s="10"/>
      <c r="AR1495" s="10"/>
      <c r="AS1495" s="10" t="str">
        <f t="shared" ca="1" si="1606"/>
        <v>Johnson &amp; Johnson</v>
      </c>
      <c r="AT1495" s="10"/>
      <c r="AU1495" s="10"/>
      <c r="AV1495" s="10"/>
      <c r="AW1495" s="10"/>
      <c r="AX1495" s="10"/>
      <c r="AY1495" s="10"/>
      <c r="AZ1495" s="10"/>
      <c r="BA1495" s="10"/>
      <c r="BB1495" s="10"/>
      <c r="BC1495" s="10"/>
      <c r="BD1495" s="10"/>
      <c r="BE1495" s="10"/>
      <c r="BF1495" s="10"/>
      <c r="BG1495" s="10"/>
      <c r="BH1495" s="10"/>
      <c r="BI1495" s="10"/>
      <c r="BJ1495" s="10"/>
      <c r="BK1495" s="10"/>
      <c r="BM1495" s="10"/>
    </row>
    <row r="1496" spans="1:65" ht="12.75">
      <c r="A1496" s="9"/>
      <c r="B1496" s="10"/>
      <c r="C1496" s="11"/>
      <c r="D1496" s="12"/>
      <c r="E1496" s="10"/>
      <c r="F1496" s="10"/>
      <c r="G1496" s="10"/>
      <c r="H1496" s="14"/>
      <c r="I1496" s="14"/>
      <c r="J1496" s="14"/>
      <c r="K1496" s="14"/>
      <c r="L1496" s="14"/>
      <c r="M1496" s="15"/>
      <c r="N1496" s="10"/>
      <c r="O1496" s="14"/>
      <c r="P1496" s="14"/>
      <c r="Q1496" s="14"/>
      <c r="R1496" s="14"/>
      <c r="S1496" s="14"/>
      <c r="T1496" s="14"/>
      <c r="U1496" s="14"/>
      <c r="V1496" s="14">
        <f t="shared" si="1602"/>
        <v>1900</v>
      </c>
      <c r="W1496" s="14">
        <f t="shared" si="1603"/>
        <v>1</v>
      </c>
      <c r="X1496" s="14"/>
      <c r="Y1496" s="14"/>
      <c r="Z1496" s="14"/>
      <c r="AA1496" s="16" t="str">
        <f t="shared" ca="1" si="1620"/>
        <v>Johnson &amp; Johnson</v>
      </c>
      <c r="AB1496" s="16">
        <f t="shared" si="1620"/>
        <v>0</v>
      </c>
      <c r="AC1496" s="16">
        <f t="shared" si="1620"/>
        <v>0</v>
      </c>
      <c r="AD1496" s="16">
        <f t="shared" si="1620"/>
        <v>0</v>
      </c>
      <c r="AE1496" s="16">
        <f t="shared" si="1620"/>
        <v>0</v>
      </c>
      <c r="AF1496" s="16">
        <f t="shared" si="1620"/>
        <v>0</v>
      </c>
      <c r="AG1496" s="16">
        <f t="shared" si="1620"/>
        <v>0</v>
      </c>
      <c r="AH1496" s="16">
        <f t="shared" si="1620"/>
        <v>0</v>
      </c>
      <c r="AI1496" s="16">
        <f t="shared" si="1620"/>
        <v>0</v>
      </c>
      <c r="AJ1496" s="16">
        <f t="shared" si="1620"/>
        <v>0</v>
      </c>
      <c r="AK1496" s="16">
        <f t="shared" si="1620"/>
        <v>0</v>
      </c>
      <c r="AL1496" s="16">
        <f t="shared" si="1620"/>
        <v>0</v>
      </c>
      <c r="AM1496" s="16">
        <f t="shared" si="1620"/>
        <v>0</v>
      </c>
      <c r="AN1496" s="16">
        <f t="shared" si="1620"/>
        <v>0</v>
      </c>
      <c r="AO1496" s="16">
        <f t="shared" si="1620"/>
        <v>0</v>
      </c>
      <c r="AP1496" s="10"/>
      <c r="AQ1496" s="10"/>
      <c r="AR1496" s="10"/>
      <c r="AS1496" s="10" t="str">
        <f t="shared" ca="1" si="1606"/>
        <v>Johnson &amp; Johnson</v>
      </c>
      <c r="AT1496" s="10"/>
      <c r="AU1496" s="10"/>
      <c r="AV1496" s="10"/>
      <c r="AW1496" s="10"/>
      <c r="AX1496" s="10"/>
      <c r="AY1496" s="10"/>
      <c r="AZ1496" s="10"/>
      <c r="BA1496" s="10"/>
      <c r="BB1496" s="10"/>
      <c r="BC1496" s="10"/>
      <c r="BD1496" s="10"/>
      <c r="BE1496" s="10"/>
      <c r="BF1496" s="10"/>
      <c r="BG1496" s="10"/>
      <c r="BH1496" s="10"/>
      <c r="BI1496" s="10"/>
      <c r="BJ1496" s="10"/>
      <c r="BK1496" s="10"/>
      <c r="BM1496" s="10"/>
    </row>
    <row r="1497" spans="1:65" ht="12.75">
      <c r="A1497" s="9"/>
      <c r="B1497" s="10"/>
      <c r="C1497" s="11"/>
      <c r="D1497" s="12"/>
      <c r="E1497" s="10"/>
      <c r="F1497" s="10"/>
      <c r="G1497" s="10"/>
      <c r="H1497" s="14"/>
      <c r="I1497" s="14"/>
      <c r="J1497" s="14"/>
      <c r="K1497" s="14"/>
      <c r="L1497" s="14"/>
      <c r="M1497" s="15"/>
      <c r="N1497" s="10"/>
      <c r="O1497" s="14"/>
      <c r="P1497" s="14"/>
      <c r="Q1497" s="14"/>
      <c r="R1497" s="14"/>
      <c r="S1497" s="14"/>
      <c r="T1497" s="14"/>
      <c r="U1497" s="14"/>
      <c r="V1497" s="14">
        <f t="shared" si="1602"/>
        <v>1900</v>
      </c>
      <c r="W1497" s="14">
        <f t="shared" si="1603"/>
        <v>1</v>
      </c>
      <c r="X1497" s="14"/>
      <c r="Y1497" s="14"/>
      <c r="Z1497" s="14"/>
      <c r="AA1497" s="16" t="str">
        <f t="shared" ref="AA1497:AO1512" ca="1" si="1621">AS1497</f>
        <v>Johnson &amp; Johnson</v>
      </c>
      <c r="AB1497" s="16">
        <f t="shared" si="1621"/>
        <v>0</v>
      </c>
      <c r="AC1497" s="16">
        <f t="shared" si="1621"/>
        <v>0</v>
      </c>
      <c r="AD1497" s="16">
        <f t="shared" si="1621"/>
        <v>0</v>
      </c>
      <c r="AE1497" s="16">
        <f t="shared" si="1621"/>
        <v>0</v>
      </c>
      <c r="AF1497" s="16">
        <f t="shared" si="1621"/>
        <v>0</v>
      </c>
      <c r="AG1497" s="16">
        <f t="shared" si="1621"/>
        <v>0</v>
      </c>
      <c r="AH1497" s="16">
        <f t="shared" si="1621"/>
        <v>0</v>
      </c>
      <c r="AI1497" s="16">
        <f t="shared" si="1621"/>
        <v>0</v>
      </c>
      <c r="AJ1497" s="16">
        <f t="shared" si="1621"/>
        <v>0</v>
      </c>
      <c r="AK1497" s="16">
        <f t="shared" si="1621"/>
        <v>0</v>
      </c>
      <c r="AL1497" s="16">
        <f t="shared" si="1621"/>
        <v>0</v>
      </c>
      <c r="AM1497" s="16">
        <f t="shared" si="1621"/>
        <v>0</v>
      </c>
      <c r="AN1497" s="16">
        <f t="shared" si="1621"/>
        <v>0</v>
      </c>
      <c r="AO1497" s="16">
        <f t="shared" si="1621"/>
        <v>0</v>
      </c>
      <c r="AP1497" s="10"/>
      <c r="AQ1497" s="10"/>
      <c r="AR1497" s="10"/>
      <c r="AS1497" s="10" t="str">
        <f t="shared" ca="1" si="1606"/>
        <v>Johnson &amp; Johnson</v>
      </c>
      <c r="AT1497" s="10"/>
      <c r="AU1497" s="10"/>
      <c r="AV1497" s="10"/>
      <c r="AW1497" s="10"/>
      <c r="AX1497" s="10"/>
      <c r="AY1497" s="10"/>
      <c r="AZ1497" s="10"/>
      <c r="BA1497" s="10"/>
      <c r="BB1497" s="10"/>
      <c r="BC1497" s="10"/>
      <c r="BD1497" s="10"/>
      <c r="BE1497" s="10"/>
      <c r="BF1497" s="10"/>
      <c r="BG1497" s="10"/>
      <c r="BH1497" s="10"/>
      <c r="BI1497" s="10"/>
      <c r="BJ1497" s="10"/>
      <c r="BK1497" s="10"/>
      <c r="BM1497" s="10"/>
    </row>
    <row r="1498" spans="1:65" ht="12.75">
      <c r="A1498" s="9"/>
      <c r="B1498" s="10"/>
      <c r="C1498" s="11"/>
      <c r="D1498" s="12"/>
      <c r="E1498" s="10"/>
      <c r="F1498" s="10"/>
      <c r="G1498" s="10"/>
      <c r="H1498" s="14"/>
      <c r="I1498" s="14"/>
      <c r="J1498" s="14"/>
      <c r="K1498" s="14"/>
      <c r="L1498" s="14"/>
      <c r="M1498" s="15"/>
      <c r="N1498" s="10"/>
      <c r="O1498" s="14"/>
      <c r="P1498" s="14"/>
      <c r="Q1498" s="14"/>
      <c r="R1498" s="14"/>
      <c r="S1498" s="14"/>
      <c r="T1498" s="14"/>
      <c r="U1498" s="14"/>
      <c r="V1498" s="14">
        <f t="shared" si="1602"/>
        <v>1900</v>
      </c>
      <c r="W1498" s="14">
        <f t="shared" si="1603"/>
        <v>1</v>
      </c>
      <c r="X1498" s="14"/>
      <c r="Y1498" s="14"/>
      <c r="Z1498" s="14"/>
      <c r="AA1498" s="16" t="str">
        <f t="shared" ca="1" si="1621"/>
        <v>Johnson &amp; Johnson</v>
      </c>
      <c r="AB1498" s="16">
        <f t="shared" si="1621"/>
        <v>0</v>
      </c>
      <c r="AC1498" s="16">
        <f t="shared" si="1621"/>
        <v>0</v>
      </c>
      <c r="AD1498" s="16">
        <f t="shared" si="1621"/>
        <v>0</v>
      </c>
      <c r="AE1498" s="16">
        <f t="shared" si="1621"/>
        <v>0</v>
      </c>
      <c r="AF1498" s="16">
        <f t="shared" si="1621"/>
        <v>0</v>
      </c>
      <c r="AG1498" s="16">
        <f t="shared" si="1621"/>
        <v>0</v>
      </c>
      <c r="AH1498" s="16">
        <f t="shared" si="1621"/>
        <v>0</v>
      </c>
      <c r="AI1498" s="16">
        <f t="shared" si="1621"/>
        <v>0</v>
      </c>
      <c r="AJ1498" s="16">
        <f t="shared" si="1621"/>
        <v>0</v>
      </c>
      <c r="AK1498" s="16">
        <f t="shared" si="1621"/>
        <v>0</v>
      </c>
      <c r="AL1498" s="16">
        <f t="shared" si="1621"/>
        <v>0</v>
      </c>
      <c r="AM1498" s="16">
        <f t="shared" si="1621"/>
        <v>0</v>
      </c>
      <c r="AN1498" s="16">
        <f t="shared" si="1621"/>
        <v>0</v>
      </c>
      <c r="AO1498" s="16">
        <f t="shared" si="1621"/>
        <v>0</v>
      </c>
      <c r="AP1498" s="10"/>
      <c r="AQ1498" s="10"/>
      <c r="AR1498" s="10"/>
      <c r="AS1498" s="10" t="str">
        <f t="shared" ca="1" si="1606"/>
        <v>Johnson &amp; Johnson</v>
      </c>
      <c r="AT1498" s="10"/>
      <c r="AU1498" s="10"/>
      <c r="AV1498" s="10"/>
      <c r="AW1498" s="10"/>
      <c r="AX1498" s="10"/>
      <c r="AY1498" s="10"/>
      <c r="AZ1498" s="10"/>
      <c r="BA1498" s="10"/>
      <c r="BB1498" s="10"/>
      <c r="BC1498" s="10"/>
      <c r="BD1498" s="10"/>
      <c r="BE1498" s="10"/>
      <c r="BF1498" s="10"/>
      <c r="BG1498" s="10"/>
      <c r="BH1498" s="10"/>
      <c r="BI1498" s="10"/>
      <c r="BJ1498" s="10"/>
      <c r="BK1498" s="10"/>
      <c r="BM1498" s="10"/>
    </row>
    <row r="1499" spans="1:65" ht="12.75">
      <c r="A1499" s="9"/>
      <c r="B1499" s="10"/>
      <c r="C1499" s="11"/>
      <c r="D1499" s="12"/>
      <c r="E1499" s="10"/>
      <c r="F1499" s="10"/>
      <c r="G1499" s="10"/>
      <c r="H1499" s="14"/>
      <c r="I1499" s="14"/>
      <c r="J1499" s="14"/>
      <c r="K1499" s="14"/>
      <c r="L1499" s="14"/>
      <c r="M1499" s="15"/>
      <c r="N1499" s="10"/>
      <c r="O1499" s="14"/>
      <c r="P1499" s="14"/>
      <c r="Q1499" s="14"/>
      <c r="R1499" s="14"/>
      <c r="S1499" s="14"/>
      <c r="T1499" s="14"/>
      <c r="U1499" s="14"/>
      <c r="V1499" s="14">
        <f t="shared" si="1602"/>
        <v>1900</v>
      </c>
      <c r="W1499" s="14">
        <f t="shared" si="1603"/>
        <v>1</v>
      </c>
      <c r="X1499" s="14"/>
      <c r="Y1499" s="14"/>
      <c r="Z1499" s="14"/>
      <c r="AA1499" s="16" t="str">
        <f t="shared" ca="1" si="1621"/>
        <v>Johnson &amp; Johnson</v>
      </c>
      <c r="AB1499" s="16">
        <f t="shared" si="1621"/>
        <v>0</v>
      </c>
      <c r="AC1499" s="16">
        <f t="shared" si="1621"/>
        <v>0</v>
      </c>
      <c r="AD1499" s="16">
        <f t="shared" si="1621"/>
        <v>0</v>
      </c>
      <c r="AE1499" s="16">
        <f t="shared" si="1621"/>
        <v>0</v>
      </c>
      <c r="AF1499" s="16">
        <f t="shared" si="1621"/>
        <v>0</v>
      </c>
      <c r="AG1499" s="16">
        <f t="shared" si="1621"/>
        <v>0</v>
      </c>
      <c r="AH1499" s="16">
        <f t="shared" si="1621"/>
        <v>0</v>
      </c>
      <c r="AI1499" s="16">
        <f t="shared" si="1621"/>
        <v>0</v>
      </c>
      <c r="AJ1499" s="16">
        <f t="shared" si="1621"/>
        <v>0</v>
      </c>
      <c r="AK1499" s="16">
        <f t="shared" si="1621"/>
        <v>0</v>
      </c>
      <c r="AL1499" s="16">
        <f t="shared" si="1621"/>
        <v>0</v>
      </c>
      <c r="AM1499" s="16">
        <f t="shared" si="1621"/>
        <v>0</v>
      </c>
      <c r="AN1499" s="16">
        <f t="shared" si="1621"/>
        <v>0</v>
      </c>
      <c r="AO1499" s="16">
        <f t="shared" si="1621"/>
        <v>0</v>
      </c>
      <c r="AP1499" s="10"/>
      <c r="AQ1499" s="10"/>
      <c r="AR1499" s="10"/>
      <c r="AS1499" s="10" t="str">
        <f t="shared" ca="1" si="1606"/>
        <v>Johnson &amp; Johnson</v>
      </c>
      <c r="AT1499" s="10"/>
      <c r="AU1499" s="10"/>
      <c r="AV1499" s="10"/>
      <c r="AW1499" s="10"/>
      <c r="AX1499" s="10"/>
      <c r="AY1499" s="10"/>
      <c r="AZ1499" s="10"/>
      <c r="BA1499" s="10"/>
      <c r="BB1499" s="10"/>
      <c r="BC1499" s="10"/>
      <c r="BD1499" s="10"/>
      <c r="BE1499" s="10"/>
      <c r="BF1499" s="10"/>
      <c r="BG1499" s="10"/>
      <c r="BH1499" s="10"/>
      <c r="BI1499" s="10"/>
      <c r="BJ1499" s="10"/>
      <c r="BK1499" s="10"/>
      <c r="BM1499" s="10"/>
    </row>
    <row r="1500" spans="1:65" ht="12.75">
      <c r="A1500" s="9"/>
      <c r="B1500" s="10"/>
      <c r="C1500" s="11"/>
      <c r="D1500" s="12"/>
      <c r="E1500" s="10"/>
      <c r="F1500" s="10"/>
      <c r="G1500" s="10"/>
      <c r="H1500" s="14"/>
      <c r="I1500" s="14"/>
      <c r="J1500" s="14"/>
      <c r="K1500" s="14"/>
      <c r="L1500" s="14"/>
      <c r="M1500" s="15"/>
      <c r="N1500" s="10"/>
      <c r="O1500" s="14"/>
      <c r="P1500" s="14"/>
      <c r="Q1500" s="14"/>
      <c r="R1500" s="14"/>
      <c r="S1500" s="14"/>
      <c r="T1500" s="14"/>
      <c r="U1500" s="14"/>
      <c r="V1500" s="14">
        <f t="shared" si="1602"/>
        <v>1900</v>
      </c>
      <c r="W1500" s="14">
        <f t="shared" si="1603"/>
        <v>1</v>
      </c>
      <c r="X1500" s="14"/>
      <c r="Y1500" s="14"/>
      <c r="Z1500" s="14"/>
      <c r="AA1500" s="16" t="str">
        <f t="shared" ca="1" si="1621"/>
        <v>Johnson &amp; Johnson</v>
      </c>
      <c r="AB1500" s="16">
        <f t="shared" si="1621"/>
        <v>0</v>
      </c>
      <c r="AC1500" s="16">
        <f t="shared" si="1621"/>
        <v>0</v>
      </c>
      <c r="AD1500" s="16">
        <f t="shared" si="1621"/>
        <v>0</v>
      </c>
      <c r="AE1500" s="16">
        <f t="shared" si="1621"/>
        <v>0</v>
      </c>
      <c r="AF1500" s="16">
        <f t="shared" si="1621"/>
        <v>0</v>
      </c>
      <c r="AG1500" s="16">
        <f t="shared" si="1621"/>
        <v>0</v>
      </c>
      <c r="AH1500" s="16">
        <f t="shared" si="1621"/>
        <v>0</v>
      </c>
      <c r="AI1500" s="16">
        <f t="shared" si="1621"/>
        <v>0</v>
      </c>
      <c r="AJ1500" s="16">
        <f t="shared" si="1621"/>
        <v>0</v>
      </c>
      <c r="AK1500" s="16">
        <f t="shared" si="1621"/>
        <v>0</v>
      </c>
      <c r="AL1500" s="16">
        <f t="shared" si="1621"/>
        <v>0</v>
      </c>
      <c r="AM1500" s="16">
        <f t="shared" si="1621"/>
        <v>0</v>
      </c>
      <c r="AN1500" s="16">
        <f t="shared" si="1621"/>
        <v>0</v>
      </c>
      <c r="AO1500" s="16">
        <f t="shared" si="1621"/>
        <v>0</v>
      </c>
      <c r="AP1500" s="10"/>
      <c r="AQ1500" s="10"/>
      <c r="AR1500" s="10"/>
      <c r="AS1500" s="10" t="str">
        <f t="shared" ca="1" si="1606"/>
        <v>Johnson &amp; Johnson</v>
      </c>
      <c r="AT1500" s="10"/>
      <c r="AU1500" s="10"/>
      <c r="AV1500" s="10"/>
      <c r="AW1500" s="10"/>
      <c r="AX1500" s="10"/>
      <c r="AY1500" s="10"/>
      <c r="AZ1500" s="10"/>
      <c r="BA1500" s="10"/>
      <c r="BB1500" s="10"/>
      <c r="BC1500" s="10"/>
      <c r="BD1500" s="10"/>
      <c r="BE1500" s="10"/>
      <c r="BF1500" s="10"/>
      <c r="BG1500" s="10"/>
      <c r="BH1500" s="10"/>
      <c r="BI1500" s="10"/>
      <c r="BJ1500" s="10"/>
      <c r="BK1500" s="10"/>
      <c r="BM1500" s="10"/>
    </row>
    <row r="1501" spans="1:65" ht="12.75">
      <c r="A1501" s="9"/>
      <c r="B1501" s="10"/>
      <c r="C1501" s="11"/>
      <c r="D1501" s="12"/>
      <c r="E1501" s="10"/>
      <c r="F1501" s="10"/>
      <c r="G1501" s="10"/>
      <c r="H1501" s="14"/>
      <c r="I1501" s="14"/>
      <c r="J1501" s="14"/>
      <c r="K1501" s="14"/>
      <c r="L1501" s="14"/>
      <c r="M1501" s="15"/>
      <c r="N1501" s="10"/>
      <c r="O1501" s="14"/>
      <c r="P1501" s="14"/>
      <c r="Q1501" s="14"/>
      <c r="R1501" s="14"/>
      <c r="S1501" s="14"/>
      <c r="T1501" s="14"/>
      <c r="U1501" s="14"/>
      <c r="V1501" s="14">
        <f t="shared" si="1602"/>
        <v>1900</v>
      </c>
      <c r="W1501" s="14">
        <f t="shared" si="1603"/>
        <v>1</v>
      </c>
      <c r="X1501" s="14"/>
      <c r="Y1501" s="14"/>
      <c r="Z1501" s="14"/>
      <c r="AA1501" s="16" t="str">
        <f t="shared" ca="1" si="1621"/>
        <v>Johnson &amp; Johnson</v>
      </c>
      <c r="AB1501" s="16">
        <f t="shared" si="1621"/>
        <v>0</v>
      </c>
      <c r="AC1501" s="16">
        <f t="shared" si="1621"/>
        <v>0</v>
      </c>
      <c r="AD1501" s="16">
        <f t="shared" si="1621"/>
        <v>0</v>
      </c>
      <c r="AE1501" s="16">
        <f t="shared" si="1621"/>
        <v>0</v>
      </c>
      <c r="AF1501" s="16">
        <f t="shared" si="1621"/>
        <v>0</v>
      </c>
      <c r="AG1501" s="16">
        <f t="shared" si="1621"/>
        <v>0</v>
      </c>
      <c r="AH1501" s="16">
        <f t="shared" si="1621"/>
        <v>0</v>
      </c>
      <c r="AI1501" s="16">
        <f t="shared" si="1621"/>
        <v>0</v>
      </c>
      <c r="AJ1501" s="16">
        <f t="shared" si="1621"/>
        <v>0</v>
      </c>
      <c r="AK1501" s="16">
        <f t="shared" si="1621"/>
        <v>0</v>
      </c>
      <c r="AL1501" s="16">
        <f t="shared" si="1621"/>
        <v>0</v>
      </c>
      <c r="AM1501" s="16">
        <f t="shared" si="1621"/>
        <v>0</v>
      </c>
      <c r="AN1501" s="16">
        <f t="shared" si="1621"/>
        <v>0</v>
      </c>
      <c r="AO1501" s="16">
        <f t="shared" si="1621"/>
        <v>0</v>
      </c>
      <c r="AP1501" s="10"/>
      <c r="AQ1501" s="10"/>
      <c r="AR1501" s="10"/>
      <c r="AS1501" s="10" t="str">
        <f t="shared" ca="1" si="1606"/>
        <v>Johnson &amp; Johnson</v>
      </c>
      <c r="AT1501" s="10"/>
      <c r="AU1501" s="10"/>
      <c r="AV1501" s="10"/>
      <c r="AW1501" s="10"/>
      <c r="AX1501" s="10"/>
      <c r="AY1501" s="10"/>
      <c r="AZ1501" s="10"/>
      <c r="BA1501" s="10"/>
      <c r="BB1501" s="10"/>
      <c r="BC1501" s="10"/>
      <c r="BD1501" s="10"/>
      <c r="BE1501" s="10"/>
      <c r="BF1501" s="10"/>
      <c r="BG1501" s="10"/>
      <c r="BH1501" s="10"/>
      <c r="BI1501" s="10"/>
      <c r="BJ1501" s="10"/>
      <c r="BK1501" s="10"/>
      <c r="BM1501" s="10"/>
    </row>
    <row r="1502" spans="1:65" ht="12.75">
      <c r="A1502" s="9"/>
      <c r="B1502" s="10"/>
      <c r="C1502" s="11"/>
      <c r="D1502" s="12"/>
      <c r="E1502" s="10"/>
      <c r="F1502" s="10"/>
      <c r="G1502" s="10"/>
      <c r="H1502" s="14"/>
      <c r="I1502" s="14"/>
      <c r="J1502" s="14"/>
      <c r="K1502" s="14"/>
      <c r="L1502" s="14"/>
      <c r="M1502" s="15"/>
      <c r="N1502" s="10"/>
      <c r="O1502" s="14"/>
      <c r="P1502" s="14"/>
      <c r="Q1502" s="14"/>
      <c r="R1502" s="14"/>
      <c r="S1502" s="14"/>
      <c r="T1502" s="14"/>
      <c r="U1502" s="14"/>
      <c r="V1502" s="14">
        <f t="shared" si="1602"/>
        <v>1900</v>
      </c>
      <c r="W1502" s="14">
        <f t="shared" si="1603"/>
        <v>1</v>
      </c>
      <c r="X1502" s="14"/>
      <c r="Y1502" s="14"/>
      <c r="Z1502" s="14"/>
      <c r="AA1502" s="16" t="str">
        <f t="shared" ca="1" si="1621"/>
        <v>Johnson &amp; Johnson</v>
      </c>
      <c r="AB1502" s="16">
        <f t="shared" si="1621"/>
        <v>0</v>
      </c>
      <c r="AC1502" s="16">
        <f t="shared" si="1621"/>
        <v>0</v>
      </c>
      <c r="AD1502" s="16">
        <f t="shared" si="1621"/>
        <v>0</v>
      </c>
      <c r="AE1502" s="16">
        <f t="shared" si="1621"/>
        <v>0</v>
      </c>
      <c r="AF1502" s="16">
        <f t="shared" si="1621"/>
        <v>0</v>
      </c>
      <c r="AG1502" s="16">
        <f t="shared" si="1621"/>
        <v>0</v>
      </c>
      <c r="AH1502" s="16">
        <f t="shared" si="1621"/>
        <v>0</v>
      </c>
      <c r="AI1502" s="16">
        <f t="shared" si="1621"/>
        <v>0</v>
      </c>
      <c r="AJ1502" s="16">
        <f t="shared" si="1621"/>
        <v>0</v>
      </c>
      <c r="AK1502" s="16">
        <f t="shared" si="1621"/>
        <v>0</v>
      </c>
      <c r="AL1502" s="16">
        <f t="shared" si="1621"/>
        <v>0</v>
      </c>
      <c r="AM1502" s="16">
        <f t="shared" si="1621"/>
        <v>0</v>
      </c>
      <c r="AN1502" s="16">
        <f t="shared" si="1621"/>
        <v>0</v>
      </c>
      <c r="AO1502" s="16">
        <f t="shared" si="1621"/>
        <v>0</v>
      </c>
      <c r="AP1502" s="10"/>
      <c r="AQ1502" s="10"/>
      <c r="AR1502" s="10"/>
      <c r="AS1502" s="10" t="str">
        <f t="shared" ca="1" si="1606"/>
        <v>Johnson &amp; Johnson</v>
      </c>
      <c r="AT1502" s="10"/>
      <c r="AU1502" s="10"/>
      <c r="AV1502" s="10"/>
      <c r="AW1502" s="10"/>
      <c r="AX1502" s="10"/>
      <c r="AY1502" s="10"/>
      <c r="AZ1502" s="10"/>
      <c r="BA1502" s="10"/>
      <c r="BB1502" s="10"/>
      <c r="BC1502" s="10"/>
      <c r="BD1502" s="10"/>
      <c r="BE1502" s="10"/>
      <c r="BF1502" s="10"/>
      <c r="BG1502" s="10"/>
      <c r="BH1502" s="10"/>
      <c r="BI1502" s="10"/>
      <c r="BJ1502" s="10"/>
      <c r="BK1502" s="10"/>
      <c r="BM1502" s="10"/>
    </row>
    <row r="1503" spans="1:65" ht="12.75">
      <c r="A1503" s="9"/>
      <c r="B1503" s="10"/>
      <c r="C1503" s="11"/>
      <c r="D1503" s="12"/>
      <c r="E1503" s="10"/>
      <c r="F1503" s="10"/>
      <c r="G1503" s="10"/>
      <c r="H1503" s="14"/>
      <c r="I1503" s="14"/>
      <c r="J1503" s="14"/>
      <c r="K1503" s="14"/>
      <c r="L1503" s="14"/>
      <c r="M1503" s="15"/>
      <c r="N1503" s="10"/>
      <c r="O1503" s="14"/>
      <c r="P1503" s="14"/>
      <c r="Q1503" s="14"/>
      <c r="R1503" s="14"/>
      <c r="S1503" s="14"/>
      <c r="T1503" s="14"/>
      <c r="U1503" s="14"/>
      <c r="V1503" s="14">
        <f t="shared" si="1602"/>
        <v>1900</v>
      </c>
      <c r="W1503" s="14">
        <f t="shared" si="1603"/>
        <v>1</v>
      </c>
      <c r="X1503" s="14"/>
      <c r="Y1503" s="14"/>
      <c r="Z1503" s="14"/>
      <c r="AA1503" s="16" t="str">
        <f t="shared" ca="1" si="1621"/>
        <v>Johnson &amp; Johnson</v>
      </c>
      <c r="AB1503" s="16">
        <f t="shared" si="1621"/>
        <v>0</v>
      </c>
      <c r="AC1503" s="16">
        <f t="shared" si="1621"/>
        <v>0</v>
      </c>
      <c r="AD1503" s="16">
        <f t="shared" si="1621"/>
        <v>0</v>
      </c>
      <c r="AE1503" s="16">
        <f t="shared" si="1621"/>
        <v>0</v>
      </c>
      <c r="AF1503" s="16">
        <f t="shared" si="1621"/>
        <v>0</v>
      </c>
      <c r="AG1503" s="16">
        <f t="shared" si="1621"/>
        <v>0</v>
      </c>
      <c r="AH1503" s="16">
        <f t="shared" si="1621"/>
        <v>0</v>
      </c>
      <c r="AI1503" s="16">
        <f t="shared" si="1621"/>
        <v>0</v>
      </c>
      <c r="AJ1503" s="16">
        <f t="shared" si="1621"/>
        <v>0</v>
      </c>
      <c r="AK1503" s="16">
        <f t="shared" si="1621"/>
        <v>0</v>
      </c>
      <c r="AL1503" s="16">
        <f t="shared" si="1621"/>
        <v>0</v>
      </c>
      <c r="AM1503" s="16">
        <f t="shared" si="1621"/>
        <v>0</v>
      </c>
      <c r="AN1503" s="16">
        <f t="shared" si="1621"/>
        <v>0</v>
      </c>
      <c r="AO1503" s="16">
        <f t="shared" si="1621"/>
        <v>0</v>
      </c>
      <c r="AP1503" s="10"/>
      <c r="AQ1503" s="10"/>
      <c r="AR1503" s="10"/>
      <c r="AS1503" s="10" t="str">
        <f t="shared" ca="1" si="1606"/>
        <v>Johnson &amp; Johnson</v>
      </c>
      <c r="AT1503" s="10"/>
      <c r="AU1503" s="10"/>
      <c r="AV1503" s="10"/>
      <c r="AW1503" s="10"/>
      <c r="AX1503" s="10"/>
      <c r="AY1503" s="10"/>
      <c r="AZ1503" s="10"/>
      <c r="BA1503" s="10"/>
      <c r="BB1503" s="10"/>
      <c r="BC1503" s="10"/>
      <c r="BD1503" s="10"/>
      <c r="BE1503" s="10"/>
      <c r="BF1503" s="10"/>
      <c r="BG1503" s="10"/>
      <c r="BH1503" s="10"/>
      <c r="BI1503" s="10"/>
      <c r="BJ1503" s="10"/>
      <c r="BK1503" s="10"/>
      <c r="BM1503" s="10"/>
    </row>
    <row r="1504" spans="1:65" ht="12.75">
      <c r="A1504" s="9"/>
      <c r="B1504" s="10"/>
      <c r="C1504" s="11"/>
      <c r="D1504" s="12"/>
      <c r="E1504" s="10"/>
      <c r="F1504" s="10"/>
      <c r="G1504" s="10"/>
      <c r="H1504" s="14"/>
      <c r="I1504" s="14"/>
      <c r="J1504" s="14"/>
      <c r="K1504" s="14"/>
      <c r="L1504" s="14"/>
      <c r="M1504" s="15"/>
      <c r="N1504" s="10"/>
      <c r="O1504" s="14"/>
      <c r="P1504" s="14"/>
      <c r="Q1504" s="14"/>
      <c r="R1504" s="14"/>
      <c r="S1504" s="14"/>
      <c r="T1504" s="14"/>
      <c r="U1504" s="14"/>
      <c r="V1504" s="14">
        <f t="shared" si="1602"/>
        <v>1900</v>
      </c>
      <c r="W1504" s="14">
        <f t="shared" si="1603"/>
        <v>1</v>
      </c>
      <c r="X1504" s="14"/>
      <c r="Y1504" s="14"/>
      <c r="Z1504" s="14"/>
      <c r="AA1504" s="16" t="str">
        <f t="shared" ca="1" si="1621"/>
        <v>Johnson &amp; Johnson</v>
      </c>
      <c r="AB1504" s="16">
        <f t="shared" si="1621"/>
        <v>0</v>
      </c>
      <c r="AC1504" s="16">
        <f t="shared" si="1621"/>
        <v>0</v>
      </c>
      <c r="AD1504" s="16">
        <f t="shared" si="1621"/>
        <v>0</v>
      </c>
      <c r="AE1504" s="16">
        <f t="shared" si="1621"/>
        <v>0</v>
      </c>
      <c r="AF1504" s="16">
        <f t="shared" si="1621"/>
        <v>0</v>
      </c>
      <c r="AG1504" s="16">
        <f t="shared" si="1621"/>
        <v>0</v>
      </c>
      <c r="AH1504" s="16">
        <f t="shared" si="1621"/>
        <v>0</v>
      </c>
      <c r="AI1504" s="16">
        <f t="shared" si="1621"/>
        <v>0</v>
      </c>
      <c r="AJ1504" s="16">
        <f t="shared" si="1621"/>
        <v>0</v>
      </c>
      <c r="AK1504" s="16">
        <f t="shared" si="1621"/>
        <v>0</v>
      </c>
      <c r="AL1504" s="16">
        <f t="shared" si="1621"/>
        <v>0</v>
      </c>
      <c r="AM1504" s="16">
        <f t="shared" si="1621"/>
        <v>0</v>
      </c>
      <c r="AN1504" s="16">
        <f t="shared" si="1621"/>
        <v>0</v>
      </c>
      <c r="AO1504" s="16">
        <f t="shared" si="1621"/>
        <v>0</v>
      </c>
      <c r="AP1504" s="10"/>
      <c r="AQ1504" s="10"/>
      <c r="AR1504" s="10"/>
      <c r="AS1504" s="10" t="str">
        <f t="shared" ca="1" si="1606"/>
        <v>Johnson &amp; Johnson</v>
      </c>
      <c r="AT1504" s="10"/>
      <c r="AU1504" s="10"/>
      <c r="AV1504" s="10"/>
      <c r="AW1504" s="10"/>
      <c r="AX1504" s="10"/>
      <c r="AY1504" s="10"/>
      <c r="AZ1504" s="10"/>
      <c r="BA1504" s="10"/>
      <c r="BB1504" s="10"/>
      <c r="BC1504" s="10"/>
      <c r="BD1504" s="10"/>
      <c r="BE1504" s="10"/>
      <c r="BF1504" s="10"/>
      <c r="BG1504" s="10"/>
      <c r="BH1504" s="10"/>
      <c r="BI1504" s="10"/>
      <c r="BJ1504" s="10"/>
      <c r="BK1504" s="10"/>
      <c r="BM1504" s="10"/>
    </row>
    <row r="1505" spans="1:65" ht="12.75">
      <c r="A1505" s="9"/>
      <c r="B1505" s="10"/>
      <c r="C1505" s="11"/>
      <c r="D1505" s="12"/>
      <c r="E1505" s="10"/>
      <c r="F1505" s="10"/>
      <c r="G1505" s="10"/>
      <c r="H1505" s="14"/>
      <c r="I1505" s="14"/>
      <c r="J1505" s="14"/>
      <c r="K1505" s="14"/>
      <c r="L1505" s="14"/>
      <c r="M1505" s="15"/>
      <c r="N1505" s="10"/>
      <c r="O1505" s="14"/>
      <c r="P1505" s="14"/>
      <c r="Q1505" s="14"/>
      <c r="R1505" s="14"/>
      <c r="S1505" s="14"/>
      <c r="T1505" s="14"/>
      <c r="U1505" s="14"/>
      <c r="V1505" s="14">
        <f t="shared" si="1602"/>
        <v>1900</v>
      </c>
      <c r="W1505" s="14">
        <f t="shared" si="1603"/>
        <v>1</v>
      </c>
      <c r="X1505" s="14"/>
      <c r="Y1505" s="14"/>
      <c r="Z1505" s="14"/>
      <c r="AA1505" s="16" t="str">
        <f t="shared" ca="1" si="1621"/>
        <v>Johnson &amp; Johnson</v>
      </c>
      <c r="AB1505" s="16">
        <f t="shared" si="1621"/>
        <v>0</v>
      </c>
      <c r="AC1505" s="16">
        <f t="shared" si="1621"/>
        <v>0</v>
      </c>
      <c r="AD1505" s="16">
        <f t="shared" si="1621"/>
        <v>0</v>
      </c>
      <c r="AE1505" s="16">
        <f t="shared" si="1621"/>
        <v>0</v>
      </c>
      <c r="AF1505" s="16">
        <f t="shared" si="1621"/>
        <v>0</v>
      </c>
      <c r="AG1505" s="16">
        <f t="shared" si="1621"/>
        <v>0</v>
      </c>
      <c r="AH1505" s="16">
        <f t="shared" si="1621"/>
        <v>0</v>
      </c>
      <c r="AI1505" s="16">
        <f t="shared" si="1621"/>
        <v>0</v>
      </c>
      <c r="AJ1505" s="16">
        <f t="shared" si="1621"/>
        <v>0</v>
      </c>
      <c r="AK1505" s="16">
        <f t="shared" si="1621"/>
        <v>0</v>
      </c>
      <c r="AL1505" s="16">
        <f t="shared" si="1621"/>
        <v>0</v>
      </c>
      <c r="AM1505" s="16">
        <f t="shared" si="1621"/>
        <v>0</v>
      </c>
      <c r="AN1505" s="16">
        <f t="shared" si="1621"/>
        <v>0</v>
      </c>
      <c r="AO1505" s="16">
        <f t="shared" si="1621"/>
        <v>0</v>
      </c>
      <c r="AP1505" s="10"/>
      <c r="AQ1505" s="10"/>
      <c r="AR1505" s="10"/>
      <c r="AS1505" s="10" t="str">
        <f t="shared" ca="1" si="1606"/>
        <v>Johnson &amp; Johnson</v>
      </c>
      <c r="AT1505" s="10"/>
      <c r="AU1505" s="10"/>
      <c r="AV1505" s="10"/>
      <c r="AW1505" s="10"/>
      <c r="AX1505" s="10"/>
      <c r="AY1505" s="10"/>
      <c r="AZ1505" s="10"/>
      <c r="BA1505" s="10"/>
      <c r="BB1505" s="10"/>
      <c r="BC1505" s="10"/>
      <c r="BD1505" s="10"/>
      <c r="BE1505" s="10"/>
      <c r="BF1505" s="10"/>
      <c r="BG1505" s="10"/>
      <c r="BH1505" s="10"/>
      <c r="BI1505" s="10"/>
      <c r="BJ1505" s="10"/>
      <c r="BK1505" s="10"/>
      <c r="BM1505" s="10"/>
    </row>
    <row r="1506" spans="1:65" ht="12.75">
      <c r="A1506" s="9"/>
      <c r="B1506" s="10"/>
      <c r="C1506" s="11"/>
      <c r="D1506" s="12"/>
      <c r="E1506" s="10"/>
      <c r="F1506" s="10"/>
      <c r="G1506" s="10"/>
      <c r="H1506" s="14"/>
      <c r="I1506" s="14"/>
      <c r="J1506" s="14"/>
      <c r="K1506" s="14"/>
      <c r="L1506" s="14"/>
      <c r="M1506" s="15"/>
      <c r="N1506" s="10"/>
      <c r="O1506" s="14"/>
      <c r="P1506" s="14"/>
      <c r="Q1506" s="14"/>
      <c r="R1506" s="14"/>
      <c r="S1506" s="14"/>
      <c r="T1506" s="14"/>
      <c r="U1506" s="14"/>
      <c r="V1506" s="14">
        <f t="shared" si="1602"/>
        <v>1900</v>
      </c>
      <c r="W1506" s="14">
        <f t="shared" si="1603"/>
        <v>1</v>
      </c>
      <c r="X1506" s="14"/>
      <c r="Y1506" s="14"/>
      <c r="Z1506" s="14"/>
      <c r="AA1506" s="16" t="str">
        <f t="shared" ca="1" si="1621"/>
        <v>Johnson &amp; Johnson</v>
      </c>
      <c r="AB1506" s="16">
        <f t="shared" si="1621"/>
        <v>0</v>
      </c>
      <c r="AC1506" s="16">
        <f t="shared" si="1621"/>
        <v>0</v>
      </c>
      <c r="AD1506" s="16">
        <f t="shared" si="1621"/>
        <v>0</v>
      </c>
      <c r="AE1506" s="16">
        <f t="shared" si="1621"/>
        <v>0</v>
      </c>
      <c r="AF1506" s="16">
        <f t="shared" si="1621"/>
        <v>0</v>
      </c>
      <c r="AG1506" s="16">
        <f t="shared" si="1621"/>
        <v>0</v>
      </c>
      <c r="AH1506" s="16">
        <f t="shared" si="1621"/>
        <v>0</v>
      </c>
      <c r="AI1506" s="16">
        <f t="shared" si="1621"/>
        <v>0</v>
      </c>
      <c r="AJ1506" s="16">
        <f t="shared" si="1621"/>
        <v>0</v>
      </c>
      <c r="AK1506" s="16">
        <f t="shared" si="1621"/>
        <v>0</v>
      </c>
      <c r="AL1506" s="16">
        <f t="shared" si="1621"/>
        <v>0</v>
      </c>
      <c r="AM1506" s="16">
        <f t="shared" si="1621"/>
        <v>0</v>
      </c>
      <c r="AN1506" s="16">
        <f t="shared" si="1621"/>
        <v>0</v>
      </c>
      <c r="AO1506" s="16">
        <f t="shared" si="1621"/>
        <v>0</v>
      </c>
      <c r="AP1506" s="10"/>
      <c r="AQ1506" s="10"/>
      <c r="AR1506" s="10"/>
      <c r="AS1506" s="10" t="str">
        <f t="shared" ca="1" si="1606"/>
        <v>Johnson &amp; Johnson</v>
      </c>
      <c r="AT1506" s="10"/>
      <c r="AU1506" s="10"/>
      <c r="AV1506" s="10"/>
      <c r="AW1506" s="10"/>
      <c r="AX1506" s="10"/>
      <c r="AY1506" s="10"/>
      <c r="AZ1506" s="10"/>
      <c r="BA1506" s="10"/>
      <c r="BB1506" s="10"/>
      <c r="BC1506" s="10"/>
      <c r="BD1506" s="10"/>
      <c r="BE1506" s="10"/>
      <c r="BF1506" s="10"/>
      <c r="BG1506" s="10"/>
      <c r="BH1506" s="10"/>
      <c r="BI1506" s="10"/>
      <c r="BJ1506" s="10"/>
      <c r="BK1506" s="10"/>
      <c r="BM1506" s="10"/>
    </row>
    <row r="1507" spans="1:65" ht="12.75">
      <c r="A1507" s="9"/>
      <c r="B1507" s="10"/>
      <c r="C1507" s="11"/>
      <c r="D1507" s="12"/>
      <c r="E1507" s="10"/>
      <c r="F1507" s="10"/>
      <c r="G1507" s="10"/>
      <c r="H1507" s="14"/>
      <c r="I1507" s="14"/>
      <c r="J1507" s="14"/>
      <c r="K1507" s="14"/>
      <c r="L1507" s="14"/>
      <c r="M1507" s="15"/>
      <c r="N1507" s="10"/>
      <c r="O1507" s="14"/>
      <c r="P1507" s="14"/>
      <c r="Q1507" s="14"/>
      <c r="R1507" s="14"/>
      <c r="S1507" s="14"/>
      <c r="T1507" s="14"/>
      <c r="U1507" s="14"/>
      <c r="V1507" s="14">
        <f t="shared" si="1602"/>
        <v>1900</v>
      </c>
      <c r="W1507" s="14">
        <f t="shared" si="1603"/>
        <v>1</v>
      </c>
      <c r="X1507" s="14"/>
      <c r="Y1507" s="14"/>
      <c r="Z1507" s="14"/>
      <c r="AA1507" s="16" t="str">
        <f t="shared" ca="1" si="1621"/>
        <v>Johnson &amp; Johnson</v>
      </c>
      <c r="AB1507" s="16">
        <f t="shared" si="1621"/>
        <v>0</v>
      </c>
      <c r="AC1507" s="16">
        <f t="shared" si="1621"/>
        <v>0</v>
      </c>
      <c r="AD1507" s="16">
        <f t="shared" si="1621"/>
        <v>0</v>
      </c>
      <c r="AE1507" s="16">
        <f t="shared" si="1621"/>
        <v>0</v>
      </c>
      <c r="AF1507" s="16">
        <f t="shared" si="1621"/>
        <v>0</v>
      </c>
      <c r="AG1507" s="16">
        <f t="shared" si="1621"/>
        <v>0</v>
      </c>
      <c r="AH1507" s="16">
        <f t="shared" si="1621"/>
        <v>0</v>
      </c>
      <c r="AI1507" s="16">
        <f t="shared" si="1621"/>
        <v>0</v>
      </c>
      <c r="AJ1507" s="16">
        <f t="shared" si="1621"/>
        <v>0</v>
      </c>
      <c r="AK1507" s="16">
        <f t="shared" si="1621"/>
        <v>0</v>
      </c>
      <c r="AL1507" s="16">
        <f t="shared" si="1621"/>
        <v>0</v>
      </c>
      <c r="AM1507" s="16">
        <f t="shared" si="1621"/>
        <v>0</v>
      </c>
      <c r="AN1507" s="16">
        <f t="shared" si="1621"/>
        <v>0</v>
      </c>
      <c r="AO1507" s="16">
        <f t="shared" si="1621"/>
        <v>0</v>
      </c>
      <c r="AP1507" s="10"/>
      <c r="AQ1507" s="10"/>
      <c r="AR1507" s="10"/>
      <c r="AS1507" s="10" t="str">
        <f t="shared" ca="1" si="1606"/>
        <v>Johnson &amp; Johnson</v>
      </c>
      <c r="AT1507" s="10"/>
      <c r="AU1507" s="10"/>
      <c r="AV1507" s="10"/>
      <c r="AW1507" s="10"/>
      <c r="AX1507" s="10"/>
      <c r="AY1507" s="10"/>
      <c r="AZ1507" s="10"/>
      <c r="BA1507" s="10"/>
      <c r="BB1507" s="10"/>
      <c r="BC1507" s="10"/>
      <c r="BD1507" s="10"/>
      <c r="BE1507" s="10"/>
      <c r="BF1507" s="10"/>
      <c r="BG1507" s="10"/>
      <c r="BH1507" s="10"/>
      <c r="BI1507" s="10"/>
      <c r="BJ1507" s="10"/>
      <c r="BK1507" s="10"/>
      <c r="BM1507" s="10"/>
    </row>
    <row r="1508" spans="1:65" ht="12.75">
      <c r="A1508" s="9"/>
      <c r="B1508" s="10"/>
      <c r="C1508" s="11"/>
      <c r="D1508" s="12"/>
      <c r="E1508" s="10"/>
      <c r="F1508" s="10"/>
      <c r="G1508" s="10"/>
      <c r="H1508" s="14"/>
      <c r="I1508" s="14"/>
      <c r="J1508" s="14"/>
      <c r="K1508" s="14"/>
      <c r="L1508" s="14"/>
      <c r="M1508" s="15"/>
      <c r="N1508" s="10"/>
      <c r="O1508" s="14"/>
      <c r="P1508" s="14"/>
      <c r="Q1508" s="14"/>
      <c r="R1508" s="14"/>
      <c r="S1508" s="14"/>
      <c r="T1508" s="14"/>
      <c r="U1508" s="14"/>
      <c r="V1508" s="14">
        <f t="shared" si="1602"/>
        <v>1900</v>
      </c>
      <c r="W1508" s="14">
        <f t="shared" si="1603"/>
        <v>1</v>
      </c>
      <c r="X1508" s="14"/>
      <c r="Y1508" s="14"/>
      <c r="Z1508" s="14"/>
      <c r="AA1508" s="16" t="str">
        <f t="shared" ca="1" si="1621"/>
        <v>Johnson &amp; Johnson</v>
      </c>
      <c r="AB1508" s="16">
        <f t="shared" si="1621"/>
        <v>0</v>
      </c>
      <c r="AC1508" s="16">
        <f t="shared" si="1621"/>
        <v>0</v>
      </c>
      <c r="AD1508" s="16">
        <f t="shared" si="1621"/>
        <v>0</v>
      </c>
      <c r="AE1508" s="16">
        <f t="shared" si="1621"/>
        <v>0</v>
      </c>
      <c r="AF1508" s="16">
        <f t="shared" si="1621"/>
        <v>0</v>
      </c>
      <c r="AG1508" s="16">
        <f t="shared" si="1621"/>
        <v>0</v>
      </c>
      <c r="AH1508" s="16">
        <f t="shared" si="1621"/>
        <v>0</v>
      </c>
      <c r="AI1508" s="16">
        <f t="shared" si="1621"/>
        <v>0</v>
      </c>
      <c r="AJ1508" s="16">
        <f t="shared" si="1621"/>
        <v>0</v>
      </c>
      <c r="AK1508" s="16">
        <f t="shared" si="1621"/>
        <v>0</v>
      </c>
      <c r="AL1508" s="16">
        <f t="shared" si="1621"/>
        <v>0</v>
      </c>
      <c r="AM1508" s="16">
        <f t="shared" si="1621"/>
        <v>0</v>
      </c>
      <c r="AN1508" s="16">
        <f t="shared" si="1621"/>
        <v>0</v>
      </c>
      <c r="AO1508" s="16">
        <f t="shared" si="1621"/>
        <v>0</v>
      </c>
      <c r="AP1508" s="10"/>
      <c r="AQ1508" s="10"/>
      <c r="AR1508" s="10"/>
      <c r="AS1508" s="10" t="str">
        <f t="shared" ca="1" si="1606"/>
        <v>Johnson &amp; Johnson</v>
      </c>
      <c r="AT1508" s="10"/>
      <c r="AU1508" s="10"/>
      <c r="AV1508" s="10"/>
      <c r="AW1508" s="10"/>
      <c r="AX1508" s="10"/>
      <c r="AY1508" s="10"/>
      <c r="AZ1508" s="10"/>
      <c r="BA1508" s="10"/>
      <c r="BB1508" s="10"/>
      <c r="BC1508" s="10"/>
      <c r="BD1508" s="10"/>
      <c r="BE1508" s="10"/>
      <c r="BF1508" s="10"/>
      <c r="BG1508" s="10"/>
      <c r="BH1508" s="10"/>
      <c r="BI1508" s="10"/>
      <c r="BJ1508" s="10"/>
      <c r="BK1508" s="10"/>
      <c r="BM1508" s="10"/>
    </row>
    <row r="1509" spans="1:65" ht="12.75">
      <c r="A1509" s="9"/>
      <c r="B1509" s="10"/>
      <c r="C1509" s="11"/>
      <c r="D1509" s="12"/>
      <c r="E1509" s="10"/>
      <c r="F1509" s="10"/>
      <c r="G1509" s="10"/>
      <c r="H1509" s="14"/>
      <c r="I1509" s="14"/>
      <c r="J1509" s="14"/>
      <c r="K1509" s="14"/>
      <c r="L1509" s="14"/>
      <c r="M1509" s="15"/>
      <c r="N1509" s="10"/>
      <c r="O1509" s="14"/>
      <c r="P1509" s="14"/>
      <c r="Q1509" s="14"/>
      <c r="R1509" s="14"/>
      <c r="S1509" s="14"/>
      <c r="T1509" s="14"/>
      <c r="U1509" s="14"/>
      <c r="V1509" s="14">
        <f t="shared" si="1602"/>
        <v>1900</v>
      </c>
      <c r="W1509" s="14">
        <f t="shared" si="1603"/>
        <v>1</v>
      </c>
      <c r="X1509" s="14"/>
      <c r="Y1509" s="14"/>
      <c r="Z1509" s="14"/>
      <c r="AA1509" s="16" t="str">
        <f t="shared" ca="1" si="1621"/>
        <v>Johnson &amp; Johnson</v>
      </c>
      <c r="AB1509" s="16">
        <f t="shared" si="1621"/>
        <v>0</v>
      </c>
      <c r="AC1509" s="16">
        <f t="shared" si="1621"/>
        <v>0</v>
      </c>
      <c r="AD1509" s="16">
        <f t="shared" si="1621"/>
        <v>0</v>
      </c>
      <c r="AE1509" s="16">
        <f t="shared" si="1621"/>
        <v>0</v>
      </c>
      <c r="AF1509" s="16">
        <f t="shared" si="1621"/>
        <v>0</v>
      </c>
      <c r="AG1509" s="16">
        <f t="shared" si="1621"/>
        <v>0</v>
      </c>
      <c r="AH1509" s="16">
        <f t="shared" si="1621"/>
        <v>0</v>
      </c>
      <c r="AI1509" s="16">
        <f t="shared" si="1621"/>
        <v>0</v>
      </c>
      <c r="AJ1509" s="16">
        <f t="shared" si="1621"/>
        <v>0</v>
      </c>
      <c r="AK1509" s="16">
        <f t="shared" si="1621"/>
        <v>0</v>
      </c>
      <c r="AL1509" s="16">
        <f t="shared" si="1621"/>
        <v>0</v>
      </c>
      <c r="AM1509" s="16">
        <f t="shared" si="1621"/>
        <v>0</v>
      </c>
      <c r="AN1509" s="16">
        <f t="shared" si="1621"/>
        <v>0</v>
      </c>
      <c r="AO1509" s="16">
        <f t="shared" si="1621"/>
        <v>0</v>
      </c>
      <c r="AP1509" s="10"/>
      <c r="AQ1509" s="10"/>
      <c r="AR1509" s="10"/>
      <c r="AS1509" s="10" t="str">
        <f t="shared" ca="1" si="1606"/>
        <v>Johnson &amp; Johnson</v>
      </c>
      <c r="AT1509" s="10"/>
      <c r="AU1509" s="10"/>
      <c r="AV1509" s="10"/>
      <c r="AW1509" s="10"/>
      <c r="AX1509" s="10"/>
      <c r="AY1509" s="10"/>
      <c r="AZ1509" s="10"/>
      <c r="BA1509" s="10"/>
      <c r="BB1509" s="10"/>
      <c r="BC1509" s="10"/>
      <c r="BD1509" s="10"/>
      <c r="BE1509" s="10"/>
      <c r="BF1509" s="10"/>
      <c r="BG1509" s="10"/>
      <c r="BH1509" s="10"/>
      <c r="BI1509" s="10"/>
      <c r="BJ1509" s="10"/>
      <c r="BK1509" s="10"/>
      <c r="BM1509" s="10"/>
    </row>
    <row r="1510" spans="1:65" ht="12.75">
      <c r="A1510" s="9"/>
      <c r="B1510" s="10"/>
      <c r="C1510" s="11"/>
      <c r="D1510" s="12"/>
      <c r="E1510" s="10"/>
      <c r="F1510" s="10"/>
      <c r="G1510" s="10"/>
      <c r="H1510" s="14"/>
      <c r="I1510" s="14"/>
      <c r="J1510" s="14"/>
      <c r="K1510" s="14"/>
      <c r="L1510" s="14"/>
      <c r="M1510" s="15"/>
      <c r="N1510" s="10"/>
      <c r="O1510" s="14"/>
      <c r="P1510" s="14"/>
      <c r="Q1510" s="14"/>
      <c r="R1510" s="14"/>
      <c r="S1510" s="14"/>
      <c r="T1510" s="14"/>
      <c r="U1510" s="14"/>
      <c r="V1510" s="14">
        <f t="shared" si="1602"/>
        <v>1900</v>
      </c>
      <c r="W1510" s="14">
        <f t="shared" si="1603"/>
        <v>1</v>
      </c>
      <c r="X1510" s="14"/>
      <c r="Y1510" s="14"/>
      <c r="Z1510" s="14"/>
      <c r="AA1510" s="16" t="str">
        <f t="shared" ca="1" si="1621"/>
        <v>Johnson &amp; Johnson</v>
      </c>
      <c r="AB1510" s="16">
        <f t="shared" si="1621"/>
        <v>0</v>
      </c>
      <c r="AC1510" s="16">
        <f t="shared" si="1621"/>
        <v>0</v>
      </c>
      <c r="AD1510" s="16">
        <f t="shared" si="1621"/>
        <v>0</v>
      </c>
      <c r="AE1510" s="16">
        <f t="shared" si="1621"/>
        <v>0</v>
      </c>
      <c r="AF1510" s="16">
        <f t="shared" si="1621"/>
        <v>0</v>
      </c>
      <c r="AG1510" s="16">
        <f t="shared" si="1621"/>
        <v>0</v>
      </c>
      <c r="AH1510" s="16">
        <f t="shared" si="1621"/>
        <v>0</v>
      </c>
      <c r="AI1510" s="16">
        <f t="shared" si="1621"/>
        <v>0</v>
      </c>
      <c r="AJ1510" s="16">
        <f t="shared" si="1621"/>
        <v>0</v>
      </c>
      <c r="AK1510" s="16">
        <f t="shared" si="1621"/>
        <v>0</v>
      </c>
      <c r="AL1510" s="16">
        <f t="shared" si="1621"/>
        <v>0</v>
      </c>
      <c r="AM1510" s="16">
        <f t="shared" si="1621"/>
        <v>0</v>
      </c>
      <c r="AN1510" s="16">
        <f t="shared" si="1621"/>
        <v>0</v>
      </c>
      <c r="AO1510" s="16">
        <f t="shared" si="1621"/>
        <v>0</v>
      </c>
      <c r="AP1510" s="10"/>
      <c r="AQ1510" s="10"/>
      <c r="AR1510" s="10"/>
      <c r="AS1510" s="10" t="str">
        <f t="shared" ca="1" si="1606"/>
        <v>Johnson &amp; Johnson</v>
      </c>
      <c r="AT1510" s="10"/>
      <c r="AU1510" s="10"/>
      <c r="AV1510" s="10"/>
      <c r="AW1510" s="10"/>
      <c r="AX1510" s="10"/>
      <c r="AY1510" s="10"/>
      <c r="AZ1510" s="10"/>
      <c r="BA1510" s="10"/>
      <c r="BB1510" s="10"/>
      <c r="BC1510" s="10"/>
      <c r="BD1510" s="10"/>
      <c r="BE1510" s="10"/>
      <c r="BF1510" s="10"/>
      <c r="BG1510" s="10"/>
      <c r="BH1510" s="10"/>
      <c r="BI1510" s="10"/>
      <c r="BJ1510" s="10"/>
      <c r="BK1510" s="10"/>
      <c r="BM1510" s="10"/>
    </row>
    <row r="1511" spans="1:65" ht="12.75">
      <c r="A1511" s="9"/>
      <c r="B1511" s="10"/>
      <c r="C1511" s="11"/>
      <c r="D1511" s="12"/>
      <c r="E1511" s="10"/>
      <c r="F1511" s="10"/>
      <c r="G1511" s="10"/>
      <c r="H1511" s="14"/>
      <c r="I1511" s="14"/>
      <c r="J1511" s="14"/>
      <c r="K1511" s="14"/>
      <c r="L1511" s="14"/>
      <c r="M1511" s="15"/>
      <c r="N1511" s="10"/>
      <c r="O1511" s="14"/>
      <c r="P1511" s="14"/>
      <c r="Q1511" s="14"/>
      <c r="R1511" s="14"/>
      <c r="S1511" s="14"/>
      <c r="T1511" s="14"/>
      <c r="U1511" s="14"/>
      <c r="V1511" s="14">
        <f t="shared" si="1602"/>
        <v>1900</v>
      </c>
      <c r="W1511" s="14">
        <f t="shared" si="1603"/>
        <v>1</v>
      </c>
      <c r="X1511" s="14"/>
      <c r="Y1511" s="14"/>
      <c r="Z1511" s="14"/>
      <c r="AA1511" s="16" t="str">
        <f t="shared" ca="1" si="1621"/>
        <v>Johnson &amp; Johnson</v>
      </c>
      <c r="AB1511" s="16">
        <f t="shared" si="1621"/>
        <v>0</v>
      </c>
      <c r="AC1511" s="16">
        <f t="shared" si="1621"/>
        <v>0</v>
      </c>
      <c r="AD1511" s="16">
        <f t="shared" si="1621"/>
        <v>0</v>
      </c>
      <c r="AE1511" s="16">
        <f t="shared" si="1621"/>
        <v>0</v>
      </c>
      <c r="AF1511" s="16">
        <f t="shared" si="1621"/>
        <v>0</v>
      </c>
      <c r="AG1511" s="16">
        <f t="shared" si="1621"/>
        <v>0</v>
      </c>
      <c r="AH1511" s="16">
        <f t="shared" si="1621"/>
        <v>0</v>
      </c>
      <c r="AI1511" s="16">
        <f t="shared" si="1621"/>
        <v>0</v>
      </c>
      <c r="AJ1511" s="16">
        <f t="shared" si="1621"/>
        <v>0</v>
      </c>
      <c r="AK1511" s="16">
        <f t="shared" si="1621"/>
        <v>0</v>
      </c>
      <c r="AL1511" s="16">
        <f t="shared" si="1621"/>
        <v>0</v>
      </c>
      <c r="AM1511" s="16">
        <f t="shared" si="1621"/>
        <v>0</v>
      </c>
      <c r="AN1511" s="16">
        <f t="shared" si="1621"/>
        <v>0</v>
      </c>
      <c r="AO1511" s="16">
        <f t="shared" si="1621"/>
        <v>0</v>
      </c>
      <c r="AP1511" s="10"/>
      <c r="AQ1511" s="10"/>
      <c r="AR1511" s="10"/>
      <c r="AS1511" s="10" t="str">
        <f t="shared" ca="1" si="1606"/>
        <v>Johnson &amp; Johnson</v>
      </c>
      <c r="AT1511" s="10"/>
      <c r="AU1511" s="10"/>
      <c r="AV1511" s="10"/>
      <c r="AW1511" s="10"/>
      <c r="AX1511" s="10"/>
      <c r="AY1511" s="10"/>
      <c r="AZ1511" s="10"/>
      <c r="BA1511" s="10"/>
      <c r="BB1511" s="10"/>
      <c r="BC1511" s="10"/>
      <c r="BD1511" s="10"/>
      <c r="BE1511" s="10"/>
      <c r="BF1511" s="10"/>
      <c r="BG1511" s="10"/>
      <c r="BH1511" s="10"/>
      <c r="BI1511" s="10"/>
      <c r="BJ1511" s="10"/>
      <c r="BK1511" s="10"/>
      <c r="BM1511" s="10"/>
    </row>
    <row r="1512" spans="1:65" ht="12.75">
      <c r="A1512" s="9"/>
      <c r="B1512" s="10"/>
      <c r="C1512" s="11"/>
      <c r="D1512" s="12"/>
      <c r="E1512" s="10"/>
      <c r="F1512" s="10"/>
      <c r="G1512" s="10"/>
      <c r="H1512" s="14"/>
      <c r="I1512" s="14"/>
      <c r="J1512" s="14"/>
      <c r="K1512" s="14"/>
      <c r="L1512" s="14"/>
      <c r="M1512" s="15"/>
      <c r="N1512" s="10"/>
      <c r="O1512" s="14"/>
      <c r="P1512" s="14"/>
      <c r="Q1512" s="14"/>
      <c r="R1512" s="14"/>
      <c r="S1512" s="14"/>
      <c r="T1512" s="14"/>
      <c r="U1512" s="14"/>
      <c r="V1512" s="14">
        <f t="shared" ref="V1512:V1534" si="1622">YEAR(A1512)</f>
        <v>1900</v>
      </c>
      <c r="W1512" s="14">
        <f t="shared" ref="W1512:W1534" si="1623">MONTH(A1512)</f>
        <v>1</v>
      </c>
      <c r="X1512" s="14"/>
      <c r="Y1512" s="14"/>
      <c r="Z1512" s="14"/>
      <c r="AA1512" s="16" t="str">
        <f t="shared" ca="1" si="1621"/>
        <v>Johnson &amp; Johnson</v>
      </c>
      <c r="AB1512" s="16">
        <f t="shared" si="1621"/>
        <v>0</v>
      </c>
      <c r="AC1512" s="16">
        <f t="shared" si="1621"/>
        <v>0</v>
      </c>
      <c r="AD1512" s="16">
        <f t="shared" si="1621"/>
        <v>0</v>
      </c>
      <c r="AE1512" s="16">
        <f t="shared" si="1621"/>
        <v>0</v>
      </c>
      <c r="AF1512" s="16">
        <f t="shared" si="1621"/>
        <v>0</v>
      </c>
      <c r="AG1512" s="16">
        <f t="shared" si="1621"/>
        <v>0</v>
      </c>
      <c r="AH1512" s="16">
        <f t="shared" si="1621"/>
        <v>0</v>
      </c>
      <c r="AI1512" s="16">
        <f t="shared" si="1621"/>
        <v>0</v>
      </c>
      <c r="AJ1512" s="16">
        <f t="shared" si="1621"/>
        <v>0</v>
      </c>
      <c r="AK1512" s="16">
        <f t="shared" si="1621"/>
        <v>0</v>
      </c>
      <c r="AL1512" s="16">
        <f t="shared" si="1621"/>
        <v>0</v>
      </c>
      <c r="AM1512" s="16">
        <f t="shared" si="1621"/>
        <v>0</v>
      </c>
      <c r="AN1512" s="16">
        <f t="shared" si="1621"/>
        <v>0</v>
      </c>
      <c r="AO1512" s="16">
        <f t="shared" si="1621"/>
        <v>0</v>
      </c>
      <c r="AP1512" s="10"/>
      <c r="AQ1512" s="10"/>
      <c r="AR1512" s="10"/>
      <c r="AS1512" s="10" t="str">
        <f t="shared" ref="AS1512:AS1766" ca="1" si="1624">IFERROR(__xludf.DUMMYFUNCTION("split(F1257,"","",true,true)"),"Johnson &amp; Johnson")</f>
        <v>Johnson &amp; Johnson</v>
      </c>
      <c r="AT1512" s="10"/>
      <c r="AU1512" s="10"/>
      <c r="AV1512" s="10"/>
      <c r="AW1512" s="10"/>
      <c r="AX1512" s="10"/>
      <c r="AY1512" s="10"/>
      <c r="AZ1512" s="10"/>
      <c r="BA1512" s="10"/>
      <c r="BB1512" s="10"/>
      <c r="BC1512" s="10"/>
      <c r="BD1512" s="10"/>
      <c r="BE1512" s="10"/>
      <c r="BF1512" s="10"/>
      <c r="BG1512" s="10"/>
      <c r="BH1512" s="10"/>
      <c r="BI1512" s="10"/>
      <c r="BJ1512" s="10"/>
      <c r="BK1512" s="10"/>
      <c r="BM1512" s="10"/>
    </row>
    <row r="1513" spans="1:65" ht="12.75">
      <c r="A1513" s="9"/>
      <c r="B1513" s="10"/>
      <c r="C1513" s="11"/>
      <c r="D1513" s="12"/>
      <c r="E1513" s="10"/>
      <c r="F1513" s="10"/>
      <c r="G1513" s="10"/>
      <c r="H1513" s="14"/>
      <c r="I1513" s="14"/>
      <c r="J1513" s="14"/>
      <c r="K1513" s="14"/>
      <c r="L1513" s="14"/>
      <c r="M1513" s="15"/>
      <c r="N1513" s="10"/>
      <c r="O1513" s="14"/>
      <c r="P1513" s="14"/>
      <c r="Q1513" s="14"/>
      <c r="R1513" s="14"/>
      <c r="S1513" s="14"/>
      <c r="T1513" s="14"/>
      <c r="U1513" s="14"/>
      <c r="V1513" s="14">
        <f t="shared" si="1622"/>
        <v>1900</v>
      </c>
      <c r="W1513" s="14">
        <f t="shared" si="1623"/>
        <v>1</v>
      </c>
      <c r="X1513" s="14"/>
      <c r="Y1513" s="14"/>
      <c r="Z1513" s="14"/>
      <c r="AA1513" s="16" t="str">
        <f t="shared" ref="AA1513:AO1528" ca="1" si="1625">AS1513</f>
        <v>Johnson &amp; Johnson</v>
      </c>
      <c r="AB1513" s="16">
        <f t="shared" si="1625"/>
        <v>0</v>
      </c>
      <c r="AC1513" s="16">
        <f t="shared" si="1625"/>
        <v>0</v>
      </c>
      <c r="AD1513" s="16">
        <f t="shared" si="1625"/>
        <v>0</v>
      </c>
      <c r="AE1513" s="16">
        <f t="shared" si="1625"/>
        <v>0</v>
      </c>
      <c r="AF1513" s="16">
        <f t="shared" si="1625"/>
        <v>0</v>
      </c>
      <c r="AG1513" s="16">
        <f t="shared" si="1625"/>
        <v>0</v>
      </c>
      <c r="AH1513" s="16">
        <f t="shared" si="1625"/>
        <v>0</v>
      </c>
      <c r="AI1513" s="16">
        <f t="shared" si="1625"/>
        <v>0</v>
      </c>
      <c r="AJ1513" s="16">
        <f t="shared" si="1625"/>
        <v>0</v>
      </c>
      <c r="AK1513" s="16">
        <f t="shared" si="1625"/>
        <v>0</v>
      </c>
      <c r="AL1513" s="16">
        <f t="shared" si="1625"/>
        <v>0</v>
      </c>
      <c r="AM1513" s="16">
        <f t="shared" si="1625"/>
        <v>0</v>
      </c>
      <c r="AN1513" s="16">
        <f t="shared" si="1625"/>
        <v>0</v>
      </c>
      <c r="AO1513" s="16">
        <f t="shared" si="1625"/>
        <v>0</v>
      </c>
      <c r="AP1513" s="10"/>
      <c r="AQ1513" s="10"/>
      <c r="AR1513" s="10"/>
      <c r="AS1513" s="10" t="str">
        <f t="shared" ca="1" si="1624"/>
        <v>Johnson &amp; Johnson</v>
      </c>
      <c r="AT1513" s="10"/>
      <c r="AU1513" s="10"/>
      <c r="AV1513" s="10"/>
      <c r="AW1513" s="10"/>
      <c r="AX1513" s="10"/>
      <c r="AY1513" s="10"/>
      <c r="AZ1513" s="10"/>
      <c r="BA1513" s="10"/>
      <c r="BB1513" s="10"/>
      <c r="BC1513" s="10"/>
      <c r="BD1513" s="10"/>
      <c r="BE1513" s="10"/>
      <c r="BF1513" s="10"/>
      <c r="BG1513" s="10"/>
      <c r="BH1513" s="10"/>
      <c r="BI1513" s="10"/>
      <c r="BJ1513" s="10"/>
      <c r="BK1513" s="10"/>
      <c r="BM1513" s="10"/>
    </row>
    <row r="1514" spans="1:65" ht="12.75">
      <c r="A1514" s="9"/>
      <c r="B1514" s="10"/>
      <c r="C1514" s="11"/>
      <c r="D1514" s="12"/>
      <c r="E1514" s="10"/>
      <c r="F1514" s="10"/>
      <c r="G1514" s="10"/>
      <c r="H1514" s="14"/>
      <c r="I1514" s="14"/>
      <c r="J1514" s="14"/>
      <c r="K1514" s="14"/>
      <c r="L1514" s="14"/>
      <c r="M1514" s="15"/>
      <c r="N1514" s="10"/>
      <c r="O1514" s="14"/>
      <c r="P1514" s="14"/>
      <c r="Q1514" s="14"/>
      <c r="R1514" s="14"/>
      <c r="S1514" s="14"/>
      <c r="T1514" s="14"/>
      <c r="U1514" s="14"/>
      <c r="V1514" s="14">
        <f t="shared" si="1622"/>
        <v>1900</v>
      </c>
      <c r="W1514" s="14">
        <f t="shared" si="1623"/>
        <v>1</v>
      </c>
      <c r="X1514" s="14"/>
      <c r="Y1514" s="14"/>
      <c r="Z1514" s="14"/>
      <c r="AA1514" s="16" t="str">
        <f t="shared" ca="1" si="1625"/>
        <v>Johnson &amp; Johnson</v>
      </c>
      <c r="AB1514" s="16">
        <f t="shared" si="1625"/>
        <v>0</v>
      </c>
      <c r="AC1514" s="16">
        <f t="shared" si="1625"/>
        <v>0</v>
      </c>
      <c r="AD1514" s="16">
        <f t="shared" si="1625"/>
        <v>0</v>
      </c>
      <c r="AE1514" s="16">
        <f t="shared" si="1625"/>
        <v>0</v>
      </c>
      <c r="AF1514" s="16">
        <f t="shared" si="1625"/>
        <v>0</v>
      </c>
      <c r="AG1514" s="16">
        <f t="shared" si="1625"/>
        <v>0</v>
      </c>
      <c r="AH1514" s="16">
        <f t="shared" si="1625"/>
        <v>0</v>
      </c>
      <c r="AI1514" s="16">
        <f t="shared" si="1625"/>
        <v>0</v>
      </c>
      <c r="AJ1514" s="16">
        <f t="shared" si="1625"/>
        <v>0</v>
      </c>
      <c r="AK1514" s="16">
        <f t="shared" si="1625"/>
        <v>0</v>
      </c>
      <c r="AL1514" s="16">
        <f t="shared" si="1625"/>
        <v>0</v>
      </c>
      <c r="AM1514" s="16">
        <f t="shared" si="1625"/>
        <v>0</v>
      </c>
      <c r="AN1514" s="16">
        <f t="shared" si="1625"/>
        <v>0</v>
      </c>
      <c r="AO1514" s="16">
        <f t="shared" si="1625"/>
        <v>0</v>
      </c>
      <c r="AP1514" s="10"/>
      <c r="AQ1514" s="10"/>
      <c r="AR1514" s="10"/>
      <c r="AS1514" s="10" t="str">
        <f t="shared" ca="1" si="1624"/>
        <v>Johnson &amp; Johnson</v>
      </c>
      <c r="AT1514" s="10"/>
      <c r="AU1514" s="10"/>
      <c r="AV1514" s="10"/>
      <c r="AW1514" s="10"/>
      <c r="AX1514" s="10"/>
      <c r="AY1514" s="10"/>
      <c r="AZ1514" s="10"/>
      <c r="BA1514" s="10"/>
      <c r="BB1514" s="10"/>
      <c r="BC1514" s="10"/>
      <c r="BD1514" s="10"/>
      <c r="BE1514" s="10"/>
      <c r="BF1514" s="10"/>
      <c r="BG1514" s="10"/>
      <c r="BH1514" s="10"/>
      <c r="BI1514" s="10"/>
      <c r="BJ1514" s="10"/>
      <c r="BK1514" s="10"/>
      <c r="BM1514" s="10"/>
    </row>
    <row r="1515" spans="1:65" ht="12.75">
      <c r="A1515" s="9"/>
      <c r="B1515" s="10"/>
      <c r="C1515" s="11"/>
      <c r="D1515" s="12"/>
      <c r="E1515" s="10"/>
      <c r="F1515" s="10"/>
      <c r="G1515" s="10"/>
      <c r="H1515" s="14"/>
      <c r="I1515" s="14"/>
      <c r="J1515" s="14"/>
      <c r="K1515" s="14"/>
      <c r="L1515" s="14"/>
      <c r="M1515" s="15"/>
      <c r="N1515" s="10"/>
      <c r="O1515" s="14"/>
      <c r="P1515" s="14"/>
      <c r="Q1515" s="14"/>
      <c r="R1515" s="14"/>
      <c r="S1515" s="14"/>
      <c r="T1515" s="14"/>
      <c r="U1515" s="14"/>
      <c r="V1515" s="14">
        <f t="shared" si="1622"/>
        <v>1900</v>
      </c>
      <c r="W1515" s="14">
        <f t="shared" si="1623"/>
        <v>1</v>
      </c>
      <c r="X1515" s="14"/>
      <c r="Y1515" s="14"/>
      <c r="Z1515" s="14"/>
      <c r="AA1515" s="16" t="str">
        <f t="shared" ca="1" si="1625"/>
        <v>Johnson &amp; Johnson</v>
      </c>
      <c r="AB1515" s="16">
        <f t="shared" si="1625"/>
        <v>0</v>
      </c>
      <c r="AC1515" s="16">
        <f t="shared" si="1625"/>
        <v>0</v>
      </c>
      <c r="AD1515" s="16">
        <f t="shared" si="1625"/>
        <v>0</v>
      </c>
      <c r="AE1515" s="16">
        <f t="shared" si="1625"/>
        <v>0</v>
      </c>
      <c r="AF1515" s="16">
        <f t="shared" si="1625"/>
        <v>0</v>
      </c>
      <c r="AG1515" s="16">
        <f t="shared" si="1625"/>
        <v>0</v>
      </c>
      <c r="AH1515" s="16">
        <f t="shared" si="1625"/>
        <v>0</v>
      </c>
      <c r="AI1515" s="16">
        <f t="shared" si="1625"/>
        <v>0</v>
      </c>
      <c r="AJ1515" s="16">
        <f t="shared" si="1625"/>
        <v>0</v>
      </c>
      <c r="AK1515" s="16">
        <f t="shared" si="1625"/>
        <v>0</v>
      </c>
      <c r="AL1515" s="16">
        <f t="shared" si="1625"/>
        <v>0</v>
      </c>
      <c r="AM1515" s="16">
        <f t="shared" si="1625"/>
        <v>0</v>
      </c>
      <c r="AN1515" s="16">
        <f t="shared" si="1625"/>
        <v>0</v>
      </c>
      <c r="AO1515" s="16">
        <f t="shared" si="1625"/>
        <v>0</v>
      </c>
      <c r="AP1515" s="10"/>
      <c r="AQ1515" s="10"/>
      <c r="AR1515" s="10"/>
      <c r="AS1515" s="10" t="str">
        <f t="shared" ca="1" si="1624"/>
        <v>Johnson &amp; Johnson</v>
      </c>
      <c r="AT1515" s="10"/>
      <c r="AU1515" s="10"/>
      <c r="AV1515" s="10"/>
      <c r="AW1515" s="10"/>
      <c r="AX1515" s="10"/>
      <c r="AY1515" s="10"/>
      <c r="AZ1515" s="10"/>
      <c r="BA1515" s="10"/>
      <c r="BB1515" s="10"/>
      <c r="BC1515" s="10"/>
      <c r="BD1515" s="10"/>
      <c r="BE1515" s="10"/>
      <c r="BF1515" s="10"/>
      <c r="BG1515" s="10"/>
      <c r="BH1515" s="10"/>
      <c r="BI1515" s="10"/>
      <c r="BJ1515" s="10"/>
      <c r="BK1515" s="10"/>
      <c r="BM1515" s="10"/>
    </row>
    <row r="1516" spans="1:65" ht="12.75">
      <c r="A1516" s="9"/>
      <c r="B1516" s="10"/>
      <c r="C1516" s="11"/>
      <c r="D1516" s="12"/>
      <c r="E1516" s="10"/>
      <c r="F1516" s="10"/>
      <c r="G1516" s="10"/>
      <c r="H1516" s="14"/>
      <c r="I1516" s="14"/>
      <c r="J1516" s="14"/>
      <c r="K1516" s="14"/>
      <c r="L1516" s="14"/>
      <c r="M1516" s="15"/>
      <c r="N1516" s="10"/>
      <c r="O1516" s="14"/>
      <c r="P1516" s="14"/>
      <c r="Q1516" s="14"/>
      <c r="R1516" s="14"/>
      <c r="S1516" s="14"/>
      <c r="T1516" s="14"/>
      <c r="U1516" s="14"/>
      <c r="V1516" s="14">
        <f t="shared" si="1622"/>
        <v>1900</v>
      </c>
      <c r="W1516" s="14">
        <f t="shared" si="1623"/>
        <v>1</v>
      </c>
      <c r="X1516" s="14"/>
      <c r="Y1516" s="14"/>
      <c r="Z1516" s="14"/>
      <c r="AA1516" s="16" t="str">
        <f t="shared" ca="1" si="1625"/>
        <v>Johnson &amp; Johnson</v>
      </c>
      <c r="AB1516" s="16">
        <f t="shared" si="1625"/>
        <v>0</v>
      </c>
      <c r="AC1516" s="16">
        <f t="shared" si="1625"/>
        <v>0</v>
      </c>
      <c r="AD1516" s="16">
        <f t="shared" si="1625"/>
        <v>0</v>
      </c>
      <c r="AE1516" s="16">
        <f t="shared" si="1625"/>
        <v>0</v>
      </c>
      <c r="AF1516" s="16">
        <f t="shared" si="1625"/>
        <v>0</v>
      </c>
      <c r="AG1516" s="16">
        <f t="shared" si="1625"/>
        <v>0</v>
      </c>
      <c r="AH1516" s="16">
        <f t="shared" si="1625"/>
        <v>0</v>
      </c>
      <c r="AI1516" s="16">
        <f t="shared" si="1625"/>
        <v>0</v>
      </c>
      <c r="AJ1516" s="16">
        <f t="shared" si="1625"/>
        <v>0</v>
      </c>
      <c r="AK1516" s="16">
        <f t="shared" si="1625"/>
        <v>0</v>
      </c>
      <c r="AL1516" s="16">
        <f t="shared" si="1625"/>
        <v>0</v>
      </c>
      <c r="AM1516" s="16">
        <f t="shared" si="1625"/>
        <v>0</v>
      </c>
      <c r="AN1516" s="16">
        <f t="shared" si="1625"/>
        <v>0</v>
      </c>
      <c r="AO1516" s="16">
        <f t="shared" si="1625"/>
        <v>0</v>
      </c>
      <c r="AP1516" s="10"/>
      <c r="AQ1516" s="10"/>
      <c r="AR1516" s="10"/>
      <c r="AS1516" s="10" t="str">
        <f t="shared" ca="1" si="1624"/>
        <v>Johnson &amp; Johnson</v>
      </c>
      <c r="AT1516" s="10"/>
      <c r="AU1516" s="10"/>
      <c r="AV1516" s="10"/>
      <c r="AW1516" s="10"/>
      <c r="AX1516" s="10"/>
      <c r="AY1516" s="10"/>
      <c r="AZ1516" s="10"/>
      <c r="BA1516" s="10"/>
      <c r="BB1516" s="10"/>
      <c r="BC1516" s="10"/>
      <c r="BD1516" s="10"/>
      <c r="BE1516" s="10"/>
      <c r="BF1516" s="10"/>
      <c r="BG1516" s="10"/>
      <c r="BH1516" s="10"/>
      <c r="BI1516" s="10"/>
      <c r="BJ1516" s="10"/>
      <c r="BK1516" s="10"/>
      <c r="BM1516" s="10"/>
    </row>
    <row r="1517" spans="1:65" ht="12.75">
      <c r="A1517" s="9"/>
      <c r="B1517" s="10"/>
      <c r="C1517" s="11"/>
      <c r="D1517" s="12"/>
      <c r="E1517" s="10"/>
      <c r="F1517" s="10"/>
      <c r="G1517" s="10"/>
      <c r="H1517" s="14"/>
      <c r="I1517" s="14"/>
      <c r="J1517" s="14"/>
      <c r="K1517" s="14"/>
      <c r="L1517" s="14"/>
      <c r="M1517" s="15"/>
      <c r="N1517" s="10"/>
      <c r="O1517" s="14"/>
      <c r="P1517" s="14"/>
      <c r="Q1517" s="14"/>
      <c r="R1517" s="14"/>
      <c r="S1517" s="14"/>
      <c r="T1517" s="14"/>
      <c r="U1517" s="14"/>
      <c r="V1517" s="14">
        <f t="shared" si="1622"/>
        <v>1900</v>
      </c>
      <c r="W1517" s="14">
        <f t="shared" si="1623"/>
        <v>1</v>
      </c>
      <c r="X1517" s="14"/>
      <c r="Y1517" s="14"/>
      <c r="Z1517" s="14"/>
      <c r="AA1517" s="16" t="str">
        <f t="shared" ca="1" si="1625"/>
        <v>Johnson &amp; Johnson</v>
      </c>
      <c r="AB1517" s="16">
        <f t="shared" si="1625"/>
        <v>0</v>
      </c>
      <c r="AC1517" s="16">
        <f t="shared" si="1625"/>
        <v>0</v>
      </c>
      <c r="AD1517" s="16">
        <f t="shared" si="1625"/>
        <v>0</v>
      </c>
      <c r="AE1517" s="16">
        <f t="shared" si="1625"/>
        <v>0</v>
      </c>
      <c r="AF1517" s="16">
        <f t="shared" si="1625"/>
        <v>0</v>
      </c>
      <c r="AG1517" s="16">
        <f t="shared" si="1625"/>
        <v>0</v>
      </c>
      <c r="AH1517" s="16">
        <f t="shared" si="1625"/>
        <v>0</v>
      </c>
      <c r="AI1517" s="16">
        <f t="shared" si="1625"/>
        <v>0</v>
      </c>
      <c r="AJ1517" s="16">
        <f t="shared" si="1625"/>
        <v>0</v>
      </c>
      <c r="AK1517" s="16">
        <f t="shared" si="1625"/>
        <v>0</v>
      </c>
      <c r="AL1517" s="16">
        <f t="shared" si="1625"/>
        <v>0</v>
      </c>
      <c r="AM1517" s="16">
        <f t="shared" si="1625"/>
        <v>0</v>
      </c>
      <c r="AN1517" s="16">
        <f t="shared" si="1625"/>
        <v>0</v>
      </c>
      <c r="AO1517" s="16">
        <f t="shared" si="1625"/>
        <v>0</v>
      </c>
      <c r="AP1517" s="10"/>
      <c r="AQ1517" s="10"/>
      <c r="AR1517" s="10"/>
      <c r="AS1517" s="10" t="str">
        <f t="shared" ca="1" si="1624"/>
        <v>Johnson &amp; Johnson</v>
      </c>
      <c r="AT1517" s="10"/>
      <c r="AU1517" s="10"/>
      <c r="AV1517" s="10"/>
      <c r="AW1517" s="10"/>
      <c r="AX1517" s="10"/>
      <c r="AY1517" s="10"/>
      <c r="AZ1517" s="10"/>
      <c r="BA1517" s="10"/>
      <c r="BB1517" s="10"/>
      <c r="BC1517" s="10"/>
      <c r="BD1517" s="10"/>
      <c r="BE1517" s="10"/>
      <c r="BF1517" s="10"/>
      <c r="BG1517" s="10"/>
      <c r="BH1517" s="10"/>
      <c r="BI1517" s="10"/>
      <c r="BJ1517" s="10"/>
      <c r="BK1517" s="10"/>
      <c r="BM1517" s="10"/>
    </row>
    <row r="1518" spans="1:65" ht="12.75">
      <c r="A1518" s="9"/>
      <c r="B1518" s="10"/>
      <c r="C1518" s="11"/>
      <c r="D1518" s="12"/>
      <c r="E1518" s="10"/>
      <c r="F1518" s="10"/>
      <c r="G1518" s="10"/>
      <c r="H1518" s="14"/>
      <c r="I1518" s="14"/>
      <c r="J1518" s="14"/>
      <c r="K1518" s="14"/>
      <c r="L1518" s="14"/>
      <c r="M1518" s="15"/>
      <c r="N1518" s="10"/>
      <c r="O1518" s="14"/>
      <c r="P1518" s="14"/>
      <c r="Q1518" s="14"/>
      <c r="R1518" s="14"/>
      <c r="S1518" s="14"/>
      <c r="T1518" s="14"/>
      <c r="U1518" s="14"/>
      <c r="V1518" s="14">
        <f t="shared" si="1622"/>
        <v>1900</v>
      </c>
      <c r="W1518" s="14">
        <f t="shared" si="1623"/>
        <v>1</v>
      </c>
      <c r="X1518" s="14"/>
      <c r="Y1518" s="14"/>
      <c r="Z1518" s="14"/>
      <c r="AA1518" s="16" t="str">
        <f t="shared" ca="1" si="1625"/>
        <v>Johnson &amp; Johnson</v>
      </c>
      <c r="AB1518" s="16">
        <f t="shared" si="1625"/>
        <v>0</v>
      </c>
      <c r="AC1518" s="16">
        <f t="shared" si="1625"/>
        <v>0</v>
      </c>
      <c r="AD1518" s="16">
        <f t="shared" si="1625"/>
        <v>0</v>
      </c>
      <c r="AE1518" s="16">
        <f t="shared" si="1625"/>
        <v>0</v>
      </c>
      <c r="AF1518" s="16">
        <f t="shared" si="1625"/>
        <v>0</v>
      </c>
      <c r="AG1518" s="16">
        <f t="shared" si="1625"/>
        <v>0</v>
      </c>
      <c r="AH1518" s="16">
        <f t="shared" si="1625"/>
        <v>0</v>
      </c>
      <c r="AI1518" s="16">
        <f t="shared" si="1625"/>
        <v>0</v>
      </c>
      <c r="AJ1518" s="16">
        <f t="shared" si="1625"/>
        <v>0</v>
      </c>
      <c r="AK1518" s="16">
        <f t="shared" si="1625"/>
        <v>0</v>
      </c>
      <c r="AL1518" s="16">
        <f t="shared" si="1625"/>
        <v>0</v>
      </c>
      <c r="AM1518" s="16">
        <f t="shared" si="1625"/>
        <v>0</v>
      </c>
      <c r="AN1518" s="16">
        <f t="shared" si="1625"/>
        <v>0</v>
      </c>
      <c r="AO1518" s="16">
        <f t="shared" si="1625"/>
        <v>0</v>
      </c>
      <c r="AP1518" s="10"/>
      <c r="AQ1518" s="10"/>
      <c r="AR1518" s="10"/>
      <c r="AS1518" s="10" t="str">
        <f t="shared" ca="1" si="1624"/>
        <v>Johnson &amp; Johnson</v>
      </c>
      <c r="AT1518" s="10"/>
      <c r="AU1518" s="10"/>
      <c r="AV1518" s="10"/>
      <c r="AW1518" s="10"/>
      <c r="AX1518" s="10"/>
      <c r="AY1518" s="10"/>
      <c r="AZ1518" s="10"/>
      <c r="BA1518" s="10"/>
      <c r="BB1518" s="10"/>
      <c r="BC1518" s="10"/>
      <c r="BD1518" s="10"/>
      <c r="BE1518" s="10"/>
      <c r="BF1518" s="10"/>
      <c r="BG1518" s="10"/>
      <c r="BH1518" s="10"/>
      <c r="BI1518" s="10"/>
      <c r="BJ1518" s="10"/>
      <c r="BK1518" s="10"/>
      <c r="BM1518" s="10"/>
    </row>
    <row r="1519" spans="1:65" ht="12.75">
      <c r="A1519" s="9"/>
      <c r="B1519" s="10"/>
      <c r="C1519" s="11"/>
      <c r="D1519" s="12"/>
      <c r="E1519" s="10"/>
      <c r="F1519" s="10"/>
      <c r="G1519" s="10"/>
      <c r="H1519" s="14"/>
      <c r="I1519" s="14"/>
      <c r="J1519" s="14"/>
      <c r="K1519" s="14"/>
      <c r="L1519" s="14"/>
      <c r="M1519" s="15"/>
      <c r="N1519" s="10"/>
      <c r="O1519" s="14"/>
      <c r="P1519" s="14"/>
      <c r="Q1519" s="14"/>
      <c r="R1519" s="14"/>
      <c r="S1519" s="14"/>
      <c r="T1519" s="14"/>
      <c r="U1519" s="14"/>
      <c r="V1519" s="14">
        <f t="shared" si="1622"/>
        <v>1900</v>
      </c>
      <c r="W1519" s="14">
        <f t="shared" si="1623"/>
        <v>1</v>
      </c>
      <c r="X1519" s="14"/>
      <c r="Y1519" s="14"/>
      <c r="Z1519" s="14"/>
      <c r="AA1519" s="16" t="str">
        <f t="shared" ca="1" si="1625"/>
        <v>Johnson &amp; Johnson</v>
      </c>
      <c r="AB1519" s="16">
        <f t="shared" si="1625"/>
        <v>0</v>
      </c>
      <c r="AC1519" s="16">
        <f t="shared" si="1625"/>
        <v>0</v>
      </c>
      <c r="AD1519" s="16">
        <f t="shared" si="1625"/>
        <v>0</v>
      </c>
      <c r="AE1519" s="16">
        <f t="shared" si="1625"/>
        <v>0</v>
      </c>
      <c r="AF1519" s="16">
        <f t="shared" si="1625"/>
        <v>0</v>
      </c>
      <c r="AG1519" s="16">
        <f t="shared" si="1625"/>
        <v>0</v>
      </c>
      <c r="AH1519" s="16">
        <f t="shared" si="1625"/>
        <v>0</v>
      </c>
      <c r="AI1519" s="16">
        <f t="shared" si="1625"/>
        <v>0</v>
      </c>
      <c r="AJ1519" s="16">
        <f t="shared" si="1625"/>
        <v>0</v>
      </c>
      <c r="AK1519" s="16">
        <f t="shared" si="1625"/>
        <v>0</v>
      </c>
      <c r="AL1519" s="16">
        <f t="shared" si="1625"/>
        <v>0</v>
      </c>
      <c r="AM1519" s="16">
        <f t="shared" si="1625"/>
        <v>0</v>
      </c>
      <c r="AN1519" s="16">
        <f t="shared" si="1625"/>
        <v>0</v>
      </c>
      <c r="AO1519" s="16">
        <f t="shared" si="1625"/>
        <v>0</v>
      </c>
      <c r="AP1519" s="10"/>
      <c r="AQ1519" s="10"/>
      <c r="AR1519" s="10"/>
      <c r="AS1519" s="10" t="str">
        <f t="shared" ca="1" si="1624"/>
        <v>Johnson &amp; Johnson</v>
      </c>
      <c r="AT1519" s="10"/>
      <c r="AU1519" s="10"/>
      <c r="AV1519" s="10"/>
      <c r="AW1519" s="10"/>
      <c r="AX1519" s="10"/>
      <c r="AY1519" s="10"/>
      <c r="AZ1519" s="10"/>
      <c r="BA1519" s="10"/>
      <c r="BB1519" s="10"/>
      <c r="BC1519" s="10"/>
      <c r="BD1519" s="10"/>
      <c r="BE1519" s="10"/>
      <c r="BF1519" s="10"/>
      <c r="BG1519" s="10"/>
      <c r="BH1519" s="10"/>
      <c r="BI1519" s="10"/>
      <c r="BJ1519" s="10"/>
      <c r="BK1519" s="10"/>
      <c r="BM1519" s="10"/>
    </row>
    <row r="1520" spans="1:65" ht="12.75">
      <c r="A1520" s="9"/>
      <c r="B1520" s="10"/>
      <c r="C1520" s="11"/>
      <c r="D1520" s="12"/>
      <c r="E1520" s="10"/>
      <c r="F1520" s="10"/>
      <c r="G1520" s="10"/>
      <c r="H1520" s="14"/>
      <c r="I1520" s="14"/>
      <c r="J1520" s="14"/>
      <c r="K1520" s="14"/>
      <c r="L1520" s="14"/>
      <c r="M1520" s="15"/>
      <c r="N1520" s="10"/>
      <c r="O1520" s="14"/>
      <c r="P1520" s="14"/>
      <c r="Q1520" s="14"/>
      <c r="R1520" s="14"/>
      <c r="S1520" s="14"/>
      <c r="T1520" s="14"/>
      <c r="U1520" s="14"/>
      <c r="V1520" s="14">
        <f t="shared" si="1622"/>
        <v>1900</v>
      </c>
      <c r="W1520" s="14">
        <f t="shared" si="1623"/>
        <v>1</v>
      </c>
      <c r="X1520" s="14"/>
      <c r="Y1520" s="14"/>
      <c r="Z1520" s="14"/>
      <c r="AA1520" s="16" t="str">
        <f t="shared" ca="1" si="1625"/>
        <v>Johnson &amp; Johnson</v>
      </c>
      <c r="AB1520" s="16">
        <f t="shared" si="1625"/>
        <v>0</v>
      </c>
      <c r="AC1520" s="16">
        <f t="shared" si="1625"/>
        <v>0</v>
      </c>
      <c r="AD1520" s="16">
        <f t="shared" si="1625"/>
        <v>0</v>
      </c>
      <c r="AE1520" s="16">
        <f t="shared" si="1625"/>
        <v>0</v>
      </c>
      <c r="AF1520" s="16">
        <f t="shared" si="1625"/>
        <v>0</v>
      </c>
      <c r="AG1520" s="16">
        <f t="shared" si="1625"/>
        <v>0</v>
      </c>
      <c r="AH1520" s="16">
        <f t="shared" si="1625"/>
        <v>0</v>
      </c>
      <c r="AI1520" s="16">
        <f t="shared" si="1625"/>
        <v>0</v>
      </c>
      <c r="AJ1520" s="16">
        <f t="shared" si="1625"/>
        <v>0</v>
      </c>
      <c r="AK1520" s="16">
        <f t="shared" si="1625"/>
        <v>0</v>
      </c>
      <c r="AL1520" s="16">
        <f t="shared" si="1625"/>
        <v>0</v>
      </c>
      <c r="AM1520" s="16">
        <f t="shared" si="1625"/>
        <v>0</v>
      </c>
      <c r="AN1520" s="16">
        <f t="shared" si="1625"/>
        <v>0</v>
      </c>
      <c r="AO1520" s="16">
        <f t="shared" si="1625"/>
        <v>0</v>
      </c>
      <c r="AP1520" s="10"/>
      <c r="AQ1520" s="10"/>
      <c r="AR1520" s="10"/>
      <c r="AS1520" s="10" t="str">
        <f t="shared" ca="1" si="1624"/>
        <v>Johnson &amp; Johnson</v>
      </c>
      <c r="AT1520" s="10"/>
      <c r="AU1520" s="10"/>
      <c r="AV1520" s="10"/>
      <c r="AW1520" s="10"/>
      <c r="AX1520" s="10"/>
      <c r="AY1520" s="10"/>
      <c r="AZ1520" s="10"/>
      <c r="BA1520" s="10"/>
      <c r="BB1520" s="10"/>
      <c r="BC1520" s="10"/>
      <c r="BD1520" s="10"/>
      <c r="BE1520" s="10"/>
      <c r="BF1520" s="10"/>
      <c r="BG1520" s="10"/>
      <c r="BH1520" s="10"/>
      <c r="BI1520" s="10"/>
      <c r="BJ1520" s="10"/>
      <c r="BK1520" s="10"/>
      <c r="BM1520" s="10"/>
    </row>
    <row r="1521" spans="1:65" ht="12.75">
      <c r="A1521" s="9"/>
      <c r="B1521" s="10"/>
      <c r="C1521" s="11"/>
      <c r="D1521" s="12"/>
      <c r="E1521" s="10"/>
      <c r="F1521" s="10"/>
      <c r="G1521" s="10"/>
      <c r="H1521" s="14"/>
      <c r="I1521" s="14"/>
      <c r="J1521" s="14"/>
      <c r="K1521" s="14"/>
      <c r="L1521" s="14"/>
      <c r="M1521" s="15"/>
      <c r="N1521" s="10"/>
      <c r="O1521" s="14"/>
      <c r="P1521" s="14"/>
      <c r="Q1521" s="14"/>
      <c r="R1521" s="14"/>
      <c r="S1521" s="14"/>
      <c r="T1521" s="14"/>
      <c r="U1521" s="14"/>
      <c r="V1521" s="14">
        <f t="shared" si="1622"/>
        <v>1900</v>
      </c>
      <c r="W1521" s="14">
        <f t="shared" si="1623"/>
        <v>1</v>
      </c>
      <c r="X1521" s="14"/>
      <c r="Y1521" s="14"/>
      <c r="Z1521" s="14"/>
      <c r="AA1521" s="16" t="str">
        <f t="shared" ca="1" si="1625"/>
        <v>Johnson &amp; Johnson</v>
      </c>
      <c r="AB1521" s="16">
        <f t="shared" si="1625"/>
        <v>0</v>
      </c>
      <c r="AC1521" s="16">
        <f t="shared" si="1625"/>
        <v>0</v>
      </c>
      <c r="AD1521" s="16">
        <f t="shared" si="1625"/>
        <v>0</v>
      </c>
      <c r="AE1521" s="16">
        <f t="shared" si="1625"/>
        <v>0</v>
      </c>
      <c r="AF1521" s="16">
        <f t="shared" si="1625"/>
        <v>0</v>
      </c>
      <c r="AG1521" s="16">
        <f t="shared" si="1625"/>
        <v>0</v>
      </c>
      <c r="AH1521" s="16">
        <f t="shared" si="1625"/>
        <v>0</v>
      </c>
      <c r="AI1521" s="16">
        <f t="shared" si="1625"/>
        <v>0</v>
      </c>
      <c r="AJ1521" s="16">
        <f t="shared" si="1625"/>
        <v>0</v>
      </c>
      <c r="AK1521" s="16">
        <f t="shared" si="1625"/>
        <v>0</v>
      </c>
      <c r="AL1521" s="16">
        <f t="shared" si="1625"/>
        <v>0</v>
      </c>
      <c r="AM1521" s="16">
        <f t="shared" si="1625"/>
        <v>0</v>
      </c>
      <c r="AN1521" s="16">
        <f t="shared" si="1625"/>
        <v>0</v>
      </c>
      <c r="AO1521" s="16">
        <f t="shared" si="1625"/>
        <v>0</v>
      </c>
      <c r="AP1521" s="10"/>
      <c r="AQ1521" s="10"/>
      <c r="AR1521" s="10"/>
      <c r="AS1521" s="10" t="str">
        <f t="shared" ca="1" si="1624"/>
        <v>Johnson &amp; Johnson</v>
      </c>
      <c r="AT1521" s="10"/>
      <c r="AU1521" s="10"/>
      <c r="AV1521" s="10"/>
      <c r="AW1521" s="10"/>
      <c r="AX1521" s="10"/>
      <c r="AY1521" s="10"/>
      <c r="AZ1521" s="10"/>
      <c r="BA1521" s="10"/>
      <c r="BB1521" s="10"/>
      <c r="BC1521" s="10"/>
      <c r="BD1521" s="10"/>
      <c r="BE1521" s="10"/>
      <c r="BF1521" s="10"/>
      <c r="BG1521" s="10"/>
      <c r="BH1521" s="10"/>
      <c r="BI1521" s="10"/>
      <c r="BJ1521" s="10"/>
      <c r="BK1521" s="10"/>
      <c r="BM1521" s="10"/>
    </row>
    <row r="1522" spans="1:65" ht="12.75">
      <c r="A1522" s="9"/>
      <c r="B1522" s="10"/>
      <c r="C1522" s="11"/>
      <c r="D1522" s="12"/>
      <c r="E1522" s="10"/>
      <c r="F1522" s="10"/>
      <c r="G1522" s="10"/>
      <c r="H1522" s="14"/>
      <c r="I1522" s="14"/>
      <c r="J1522" s="14"/>
      <c r="K1522" s="14"/>
      <c r="L1522" s="14"/>
      <c r="M1522" s="15"/>
      <c r="N1522" s="10"/>
      <c r="O1522" s="14"/>
      <c r="P1522" s="14"/>
      <c r="Q1522" s="14"/>
      <c r="R1522" s="14"/>
      <c r="S1522" s="14"/>
      <c r="T1522" s="14"/>
      <c r="U1522" s="14"/>
      <c r="V1522" s="14">
        <f t="shared" si="1622"/>
        <v>1900</v>
      </c>
      <c r="W1522" s="14">
        <f t="shared" si="1623"/>
        <v>1</v>
      </c>
      <c r="X1522" s="14"/>
      <c r="Y1522" s="14"/>
      <c r="Z1522" s="14"/>
      <c r="AA1522" s="16" t="str">
        <f t="shared" ca="1" si="1625"/>
        <v>Johnson &amp; Johnson</v>
      </c>
      <c r="AB1522" s="16">
        <f t="shared" si="1625"/>
        <v>0</v>
      </c>
      <c r="AC1522" s="16">
        <f t="shared" si="1625"/>
        <v>0</v>
      </c>
      <c r="AD1522" s="16">
        <f t="shared" si="1625"/>
        <v>0</v>
      </c>
      <c r="AE1522" s="16">
        <f t="shared" si="1625"/>
        <v>0</v>
      </c>
      <c r="AF1522" s="16">
        <f t="shared" si="1625"/>
        <v>0</v>
      </c>
      <c r="AG1522" s="16">
        <f t="shared" si="1625"/>
        <v>0</v>
      </c>
      <c r="AH1522" s="16">
        <f t="shared" si="1625"/>
        <v>0</v>
      </c>
      <c r="AI1522" s="16">
        <f t="shared" si="1625"/>
        <v>0</v>
      </c>
      <c r="AJ1522" s="16">
        <f t="shared" si="1625"/>
        <v>0</v>
      </c>
      <c r="AK1522" s="16">
        <f t="shared" si="1625"/>
        <v>0</v>
      </c>
      <c r="AL1522" s="16">
        <f t="shared" si="1625"/>
        <v>0</v>
      </c>
      <c r="AM1522" s="16">
        <f t="shared" si="1625"/>
        <v>0</v>
      </c>
      <c r="AN1522" s="16">
        <f t="shared" si="1625"/>
        <v>0</v>
      </c>
      <c r="AO1522" s="16">
        <f t="shared" si="1625"/>
        <v>0</v>
      </c>
      <c r="AP1522" s="10"/>
      <c r="AQ1522" s="10"/>
      <c r="AR1522" s="10"/>
      <c r="AS1522" s="10" t="str">
        <f t="shared" ca="1" si="1624"/>
        <v>Johnson &amp; Johnson</v>
      </c>
      <c r="AT1522" s="10"/>
      <c r="AU1522" s="10"/>
      <c r="AV1522" s="10"/>
      <c r="AW1522" s="10"/>
      <c r="AX1522" s="10"/>
      <c r="AY1522" s="10"/>
      <c r="AZ1522" s="10"/>
      <c r="BA1522" s="10"/>
      <c r="BB1522" s="10"/>
      <c r="BC1522" s="10"/>
      <c r="BD1522" s="10"/>
      <c r="BE1522" s="10"/>
      <c r="BF1522" s="10"/>
      <c r="BG1522" s="10"/>
      <c r="BH1522" s="10"/>
      <c r="BI1522" s="10"/>
      <c r="BJ1522" s="10"/>
      <c r="BK1522" s="10"/>
      <c r="BM1522" s="10"/>
    </row>
    <row r="1523" spans="1:65" ht="12.75">
      <c r="A1523" s="9"/>
      <c r="B1523" s="10"/>
      <c r="C1523" s="11"/>
      <c r="D1523" s="12"/>
      <c r="E1523" s="10"/>
      <c r="F1523" s="10"/>
      <c r="G1523" s="10"/>
      <c r="H1523" s="14"/>
      <c r="I1523" s="14"/>
      <c r="J1523" s="14"/>
      <c r="K1523" s="14"/>
      <c r="L1523" s="14"/>
      <c r="M1523" s="15"/>
      <c r="N1523" s="10"/>
      <c r="O1523" s="14"/>
      <c r="P1523" s="14"/>
      <c r="Q1523" s="14"/>
      <c r="R1523" s="14"/>
      <c r="S1523" s="14"/>
      <c r="T1523" s="14"/>
      <c r="U1523" s="14"/>
      <c r="V1523" s="14">
        <f t="shared" si="1622"/>
        <v>1900</v>
      </c>
      <c r="W1523" s="14">
        <f t="shared" si="1623"/>
        <v>1</v>
      </c>
      <c r="X1523" s="14"/>
      <c r="Y1523" s="14"/>
      <c r="Z1523" s="14"/>
      <c r="AA1523" s="16" t="str">
        <f t="shared" ca="1" si="1625"/>
        <v>Johnson &amp; Johnson</v>
      </c>
      <c r="AB1523" s="16">
        <f t="shared" si="1625"/>
        <v>0</v>
      </c>
      <c r="AC1523" s="16">
        <f t="shared" si="1625"/>
        <v>0</v>
      </c>
      <c r="AD1523" s="16">
        <f t="shared" si="1625"/>
        <v>0</v>
      </c>
      <c r="AE1523" s="16">
        <f t="shared" si="1625"/>
        <v>0</v>
      </c>
      <c r="AF1523" s="16">
        <f t="shared" si="1625"/>
        <v>0</v>
      </c>
      <c r="AG1523" s="16">
        <f t="shared" si="1625"/>
        <v>0</v>
      </c>
      <c r="AH1523" s="16">
        <f t="shared" si="1625"/>
        <v>0</v>
      </c>
      <c r="AI1523" s="16">
        <f t="shared" si="1625"/>
        <v>0</v>
      </c>
      <c r="AJ1523" s="16">
        <f t="shared" si="1625"/>
        <v>0</v>
      </c>
      <c r="AK1523" s="16">
        <f t="shared" si="1625"/>
        <v>0</v>
      </c>
      <c r="AL1523" s="16">
        <f t="shared" si="1625"/>
        <v>0</v>
      </c>
      <c r="AM1523" s="16">
        <f t="shared" si="1625"/>
        <v>0</v>
      </c>
      <c r="AN1523" s="16">
        <f t="shared" si="1625"/>
        <v>0</v>
      </c>
      <c r="AO1523" s="16">
        <f t="shared" si="1625"/>
        <v>0</v>
      </c>
      <c r="AP1523" s="10"/>
      <c r="AQ1523" s="10"/>
      <c r="AR1523" s="10"/>
      <c r="AS1523" s="10" t="str">
        <f t="shared" ca="1" si="1624"/>
        <v>Johnson &amp; Johnson</v>
      </c>
      <c r="AT1523" s="10"/>
      <c r="AU1523" s="10"/>
      <c r="AV1523" s="10"/>
      <c r="AW1523" s="10"/>
      <c r="AX1523" s="10"/>
      <c r="AY1523" s="10"/>
      <c r="AZ1523" s="10"/>
      <c r="BA1523" s="10"/>
      <c r="BB1523" s="10"/>
      <c r="BC1523" s="10"/>
      <c r="BD1523" s="10"/>
      <c r="BE1523" s="10"/>
      <c r="BF1523" s="10"/>
      <c r="BG1523" s="10"/>
      <c r="BH1523" s="10"/>
      <c r="BI1523" s="10"/>
      <c r="BJ1523" s="10"/>
      <c r="BK1523" s="10"/>
      <c r="BM1523" s="10"/>
    </row>
    <row r="1524" spans="1:65" ht="12.75">
      <c r="A1524" s="9"/>
      <c r="B1524" s="10"/>
      <c r="C1524" s="11"/>
      <c r="D1524" s="12"/>
      <c r="E1524" s="10"/>
      <c r="F1524" s="10"/>
      <c r="G1524" s="10"/>
      <c r="H1524" s="14"/>
      <c r="I1524" s="14"/>
      <c r="J1524" s="14"/>
      <c r="K1524" s="14"/>
      <c r="L1524" s="14"/>
      <c r="M1524" s="15"/>
      <c r="N1524" s="10"/>
      <c r="O1524" s="14"/>
      <c r="P1524" s="14"/>
      <c r="Q1524" s="14"/>
      <c r="R1524" s="14"/>
      <c r="S1524" s="14"/>
      <c r="T1524" s="14"/>
      <c r="U1524" s="14"/>
      <c r="V1524" s="14">
        <f t="shared" si="1622"/>
        <v>1900</v>
      </c>
      <c r="W1524" s="14">
        <f t="shared" si="1623"/>
        <v>1</v>
      </c>
      <c r="X1524" s="14"/>
      <c r="Y1524" s="14"/>
      <c r="Z1524" s="14"/>
      <c r="AA1524" s="16" t="str">
        <f t="shared" ca="1" si="1625"/>
        <v>Johnson &amp; Johnson</v>
      </c>
      <c r="AB1524" s="16">
        <f t="shared" si="1625"/>
        <v>0</v>
      </c>
      <c r="AC1524" s="16">
        <f t="shared" si="1625"/>
        <v>0</v>
      </c>
      <c r="AD1524" s="16">
        <f t="shared" si="1625"/>
        <v>0</v>
      </c>
      <c r="AE1524" s="16">
        <f t="shared" si="1625"/>
        <v>0</v>
      </c>
      <c r="AF1524" s="16">
        <f t="shared" si="1625"/>
        <v>0</v>
      </c>
      <c r="AG1524" s="16">
        <f t="shared" si="1625"/>
        <v>0</v>
      </c>
      <c r="AH1524" s="16">
        <f t="shared" si="1625"/>
        <v>0</v>
      </c>
      <c r="AI1524" s="16">
        <f t="shared" si="1625"/>
        <v>0</v>
      </c>
      <c r="AJ1524" s="16">
        <f t="shared" si="1625"/>
        <v>0</v>
      </c>
      <c r="AK1524" s="16">
        <f t="shared" si="1625"/>
        <v>0</v>
      </c>
      <c r="AL1524" s="16">
        <f t="shared" si="1625"/>
        <v>0</v>
      </c>
      <c r="AM1524" s="16">
        <f t="shared" si="1625"/>
        <v>0</v>
      </c>
      <c r="AN1524" s="16">
        <f t="shared" si="1625"/>
        <v>0</v>
      </c>
      <c r="AO1524" s="16">
        <f t="shared" si="1625"/>
        <v>0</v>
      </c>
      <c r="AP1524" s="10"/>
      <c r="AQ1524" s="10"/>
      <c r="AR1524" s="10"/>
      <c r="AS1524" s="10" t="str">
        <f t="shared" ca="1" si="1624"/>
        <v>Johnson &amp; Johnson</v>
      </c>
      <c r="AT1524" s="10"/>
      <c r="AU1524" s="10"/>
      <c r="AV1524" s="10"/>
      <c r="AW1524" s="10"/>
      <c r="AX1524" s="10"/>
      <c r="AY1524" s="10"/>
      <c r="AZ1524" s="10"/>
      <c r="BA1524" s="10"/>
      <c r="BB1524" s="10"/>
      <c r="BC1524" s="10"/>
      <c r="BD1524" s="10"/>
      <c r="BE1524" s="10"/>
      <c r="BF1524" s="10"/>
      <c r="BG1524" s="10"/>
      <c r="BH1524" s="10"/>
      <c r="BI1524" s="10"/>
      <c r="BJ1524" s="10"/>
      <c r="BK1524" s="10"/>
      <c r="BM1524" s="10"/>
    </row>
    <row r="1525" spans="1:65" ht="12.75">
      <c r="A1525" s="9"/>
      <c r="B1525" s="10"/>
      <c r="C1525" s="11"/>
      <c r="D1525" s="12"/>
      <c r="E1525" s="10"/>
      <c r="F1525" s="10"/>
      <c r="G1525" s="10"/>
      <c r="H1525" s="14"/>
      <c r="I1525" s="14"/>
      <c r="J1525" s="14"/>
      <c r="K1525" s="14"/>
      <c r="L1525" s="14"/>
      <c r="M1525" s="15"/>
      <c r="N1525" s="10"/>
      <c r="O1525" s="14"/>
      <c r="P1525" s="14"/>
      <c r="Q1525" s="14"/>
      <c r="R1525" s="14"/>
      <c r="S1525" s="14"/>
      <c r="T1525" s="14"/>
      <c r="U1525" s="14"/>
      <c r="V1525" s="14">
        <f t="shared" si="1622"/>
        <v>1900</v>
      </c>
      <c r="W1525" s="14">
        <f t="shared" si="1623"/>
        <v>1</v>
      </c>
      <c r="X1525" s="14"/>
      <c r="Y1525" s="14"/>
      <c r="Z1525" s="14"/>
      <c r="AA1525" s="16" t="str">
        <f t="shared" ca="1" si="1625"/>
        <v>Johnson &amp; Johnson</v>
      </c>
      <c r="AB1525" s="16">
        <f t="shared" si="1625"/>
        <v>0</v>
      </c>
      <c r="AC1525" s="16">
        <f t="shared" si="1625"/>
        <v>0</v>
      </c>
      <c r="AD1525" s="16">
        <f t="shared" si="1625"/>
        <v>0</v>
      </c>
      <c r="AE1525" s="16">
        <f t="shared" si="1625"/>
        <v>0</v>
      </c>
      <c r="AF1525" s="16">
        <f t="shared" si="1625"/>
        <v>0</v>
      </c>
      <c r="AG1525" s="16">
        <f t="shared" si="1625"/>
        <v>0</v>
      </c>
      <c r="AH1525" s="16">
        <f t="shared" si="1625"/>
        <v>0</v>
      </c>
      <c r="AI1525" s="16">
        <f t="shared" si="1625"/>
        <v>0</v>
      </c>
      <c r="AJ1525" s="16">
        <f t="shared" si="1625"/>
        <v>0</v>
      </c>
      <c r="AK1525" s="16">
        <f t="shared" si="1625"/>
        <v>0</v>
      </c>
      <c r="AL1525" s="16">
        <f t="shared" si="1625"/>
        <v>0</v>
      </c>
      <c r="AM1525" s="16">
        <f t="shared" si="1625"/>
        <v>0</v>
      </c>
      <c r="AN1525" s="16">
        <f t="shared" si="1625"/>
        <v>0</v>
      </c>
      <c r="AO1525" s="16">
        <f t="shared" si="1625"/>
        <v>0</v>
      </c>
      <c r="AP1525" s="10"/>
      <c r="AQ1525" s="10"/>
      <c r="AR1525" s="10"/>
      <c r="AS1525" s="10" t="str">
        <f t="shared" ca="1" si="1624"/>
        <v>Johnson &amp; Johnson</v>
      </c>
      <c r="AT1525" s="10"/>
      <c r="AU1525" s="10"/>
      <c r="AV1525" s="10"/>
      <c r="AW1525" s="10"/>
      <c r="AX1525" s="10"/>
      <c r="AY1525" s="10"/>
      <c r="AZ1525" s="10"/>
      <c r="BA1525" s="10"/>
      <c r="BB1525" s="10"/>
      <c r="BC1525" s="10"/>
      <c r="BD1525" s="10"/>
      <c r="BE1525" s="10"/>
      <c r="BF1525" s="10"/>
      <c r="BG1525" s="10"/>
      <c r="BH1525" s="10"/>
      <c r="BI1525" s="10"/>
      <c r="BJ1525" s="10"/>
      <c r="BK1525" s="10"/>
      <c r="BM1525" s="10"/>
    </row>
    <row r="1526" spans="1:65" ht="12.75">
      <c r="A1526" s="9"/>
      <c r="B1526" s="10"/>
      <c r="C1526" s="11"/>
      <c r="D1526" s="12"/>
      <c r="E1526" s="10"/>
      <c r="F1526" s="10"/>
      <c r="G1526" s="10"/>
      <c r="H1526" s="14"/>
      <c r="I1526" s="14"/>
      <c r="J1526" s="14"/>
      <c r="K1526" s="14"/>
      <c r="L1526" s="14"/>
      <c r="M1526" s="15"/>
      <c r="N1526" s="10"/>
      <c r="O1526" s="14"/>
      <c r="P1526" s="14"/>
      <c r="Q1526" s="14"/>
      <c r="R1526" s="14"/>
      <c r="S1526" s="14"/>
      <c r="T1526" s="14"/>
      <c r="U1526" s="14"/>
      <c r="V1526" s="14">
        <f t="shared" si="1622"/>
        <v>1900</v>
      </c>
      <c r="W1526" s="14">
        <f t="shared" si="1623"/>
        <v>1</v>
      </c>
      <c r="X1526" s="14"/>
      <c r="Y1526" s="14"/>
      <c r="Z1526" s="14"/>
      <c r="AA1526" s="16" t="str">
        <f t="shared" ca="1" si="1625"/>
        <v>Johnson &amp; Johnson</v>
      </c>
      <c r="AB1526" s="16">
        <f t="shared" si="1625"/>
        <v>0</v>
      </c>
      <c r="AC1526" s="16">
        <f t="shared" si="1625"/>
        <v>0</v>
      </c>
      <c r="AD1526" s="16">
        <f t="shared" si="1625"/>
        <v>0</v>
      </c>
      <c r="AE1526" s="16">
        <f t="shared" si="1625"/>
        <v>0</v>
      </c>
      <c r="AF1526" s="16">
        <f t="shared" si="1625"/>
        <v>0</v>
      </c>
      <c r="AG1526" s="16">
        <f t="shared" si="1625"/>
        <v>0</v>
      </c>
      <c r="AH1526" s="16">
        <f t="shared" si="1625"/>
        <v>0</v>
      </c>
      <c r="AI1526" s="16">
        <f t="shared" si="1625"/>
        <v>0</v>
      </c>
      <c r="AJ1526" s="16">
        <f t="shared" si="1625"/>
        <v>0</v>
      </c>
      <c r="AK1526" s="16">
        <f t="shared" si="1625"/>
        <v>0</v>
      </c>
      <c r="AL1526" s="16">
        <f t="shared" si="1625"/>
        <v>0</v>
      </c>
      <c r="AM1526" s="16">
        <f t="shared" si="1625"/>
        <v>0</v>
      </c>
      <c r="AN1526" s="16">
        <f t="shared" si="1625"/>
        <v>0</v>
      </c>
      <c r="AO1526" s="16">
        <f t="shared" si="1625"/>
        <v>0</v>
      </c>
      <c r="AP1526" s="10"/>
      <c r="AQ1526" s="10"/>
      <c r="AR1526" s="10"/>
      <c r="AS1526" s="10" t="str">
        <f t="shared" ca="1" si="1624"/>
        <v>Johnson &amp; Johnson</v>
      </c>
      <c r="AT1526" s="10"/>
      <c r="AU1526" s="10"/>
      <c r="AV1526" s="10"/>
      <c r="AW1526" s="10"/>
      <c r="AX1526" s="10"/>
      <c r="AY1526" s="10"/>
      <c r="AZ1526" s="10"/>
      <c r="BA1526" s="10"/>
      <c r="BB1526" s="10"/>
      <c r="BC1526" s="10"/>
      <c r="BD1526" s="10"/>
      <c r="BE1526" s="10"/>
      <c r="BF1526" s="10"/>
      <c r="BG1526" s="10"/>
      <c r="BH1526" s="10"/>
      <c r="BI1526" s="10"/>
      <c r="BJ1526" s="10"/>
      <c r="BK1526" s="10"/>
      <c r="BM1526" s="10"/>
    </row>
    <row r="1527" spans="1:65" ht="12.75">
      <c r="A1527" s="9"/>
      <c r="B1527" s="10"/>
      <c r="C1527" s="11"/>
      <c r="D1527" s="12"/>
      <c r="E1527" s="10"/>
      <c r="F1527" s="10"/>
      <c r="G1527" s="10"/>
      <c r="H1527" s="14"/>
      <c r="I1527" s="14"/>
      <c r="J1527" s="14"/>
      <c r="K1527" s="14"/>
      <c r="L1527" s="14"/>
      <c r="M1527" s="15"/>
      <c r="N1527" s="10"/>
      <c r="O1527" s="14"/>
      <c r="P1527" s="14"/>
      <c r="Q1527" s="14"/>
      <c r="R1527" s="14"/>
      <c r="S1527" s="14"/>
      <c r="T1527" s="14"/>
      <c r="U1527" s="14"/>
      <c r="V1527" s="14">
        <f t="shared" si="1622"/>
        <v>1900</v>
      </c>
      <c r="W1527" s="14">
        <f t="shared" si="1623"/>
        <v>1</v>
      </c>
      <c r="X1527" s="14"/>
      <c r="Y1527" s="14"/>
      <c r="Z1527" s="14"/>
      <c r="AA1527" s="16" t="str">
        <f t="shared" ca="1" si="1625"/>
        <v>Johnson &amp; Johnson</v>
      </c>
      <c r="AB1527" s="16">
        <f t="shared" si="1625"/>
        <v>0</v>
      </c>
      <c r="AC1527" s="16">
        <f t="shared" si="1625"/>
        <v>0</v>
      </c>
      <c r="AD1527" s="16">
        <f t="shared" si="1625"/>
        <v>0</v>
      </c>
      <c r="AE1527" s="16">
        <f t="shared" si="1625"/>
        <v>0</v>
      </c>
      <c r="AF1527" s="16">
        <f t="shared" si="1625"/>
        <v>0</v>
      </c>
      <c r="AG1527" s="16">
        <f t="shared" si="1625"/>
        <v>0</v>
      </c>
      <c r="AH1527" s="16">
        <f t="shared" si="1625"/>
        <v>0</v>
      </c>
      <c r="AI1527" s="16">
        <f t="shared" si="1625"/>
        <v>0</v>
      </c>
      <c r="AJ1527" s="16">
        <f t="shared" si="1625"/>
        <v>0</v>
      </c>
      <c r="AK1527" s="16">
        <f t="shared" si="1625"/>
        <v>0</v>
      </c>
      <c r="AL1527" s="16">
        <f t="shared" si="1625"/>
        <v>0</v>
      </c>
      <c r="AM1527" s="16">
        <f t="shared" si="1625"/>
        <v>0</v>
      </c>
      <c r="AN1527" s="16">
        <f t="shared" si="1625"/>
        <v>0</v>
      </c>
      <c r="AO1527" s="16">
        <f t="shared" si="1625"/>
        <v>0</v>
      </c>
      <c r="AP1527" s="10"/>
      <c r="AQ1527" s="10"/>
      <c r="AR1527" s="10"/>
      <c r="AS1527" s="10" t="str">
        <f t="shared" ca="1" si="1624"/>
        <v>Johnson &amp; Johnson</v>
      </c>
      <c r="AT1527" s="10"/>
      <c r="AU1527" s="10"/>
      <c r="AV1527" s="10"/>
      <c r="AW1527" s="10"/>
      <c r="AX1527" s="10"/>
      <c r="AY1527" s="10"/>
      <c r="AZ1527" s="10"/>
      <c r="BA1527" s="10"/>
      <c r="BB1527" s="10"/>
      <c r="BC1527" s="10"/>
      <c r="BD1527" s="10"/>
      <c r="BE1527" s="10"/>
      <c r="BF1527" s="10"/>
      <c r="BG1527" s="10"/>
      <c r="BH1527" s="10"/>
      <c r="BI1527" s="10"/>
      <c r="BJ1527" s="10"/>
      <c r="BK1527" s="10"/>
      <c r="BM1527" s="10"/>
    </row>
    <row r="1528" spans="1:65" ht="12.75">
      <c r="A1528" s="9"/>
      <c r="B1528" s="10"/>
      <c r="C1528" s="11"/>
      <c r="D1528" s="12"/>
      <c r="E1528" s="10"/>
      <c r="F1528" s="10"/>
      <c r="G1528" s="10"/>
      <c r="H1528" s="14"/>
      <c r="I1528" s="14"/>
      <c r="J1528" s="14"/>
      <c r="K1528" s="14"/>
      <c r="L1528" s="14"/>
      <c r="M1528" s="15"/>
      <c r="N1528" s="10"/>
      <c r="O1528" s="14"/>
      <c r="P1528" s="14"/>
      <c r="Q1528" s="14"/>
      <c r="R1528" s="14"/>
      <c r="S1528" s="14"/>
      <c r="T1528" s="14"/>
      <c r="U1528" s="14"/>
      <c r="V1528" s="14">
        <f t="shared" si="1622"/>
        <v>1900</v>
      </c>
      <c r="W1528" s="14">
        <f t="shared" si="1623"/>
        <v>1</v>
      </c>
      <c r="X1528" s="14"/>
      <c r="Y1528" s="14"/>
      <c r="Z1528" s="14"/>
      <c r="AA1528" s="16" t="str">
        <f t="shared" ca="1" si="1625"/>
        <v>Johnson &amp; Johnson</v>
      </c>
      <c r="AB1528" s="16">
        <f t="shared" si="1625"/>
        <v>0</v>
      </c>
      <c r="AC1528" s="16">
        <f t="shared" si="1625"/>
        <v>0</v>
      </c>
      <c r="AD1528" s="16">
        <f t="shared" si="1625"/>
        <v>0</v>
      </c>
      <c r="AE1528" s="16">
        <f t="shared" si="1625"/>
        <v>0</v>
      </c>
      <c r="AF1528" s="16">
        <f t="shared" si="1625"/>
        <v>0</v>
      </c>
      <c r="AG1528" s="16">
        <f t="shared" si="1625"/>
        <v>0</v>
      </c>
      <c r="AH1528" s="16">
        <f t="shared" si="1625"/>
        <v>0</v>
      </c>
      <c r="AI1528" s="16">
        <f t="shared" si="1625"/>
        <v>0</v>
      </c>
      <c r="AJ1528" s="16">
        <f t="shared" si="1625"/>
        <v>0</v>
      </c>
      <c r="AK1528" s="16">
        <f t="shared" si="1625"/>
        <v>0</v>
      </c>
      <c r="AL1528" s="16">
        <f t="shared" si="1625"/>
        <v>0</v>
      </c>
      <c r="AM1528" s="16">
        <f t="shared" si="1625"/>
        <v>0</v>
      </c>
      <c r="AN1528" s="16">
        <f t="shared" si="1625"/>
        <v>0</v>
      </c>
      <c r="AO1528" s="16">
        <f t="shared" si="1625"/>
        <v>0</v>
      </c>
      <c r="AP1528" s="10"/>
      <c r="AQ1528" s="10"/>
      <c r="AR1528" s="10"/>
      <c r="AS1528" s="10" t="str">
        <f t="shared" ca="1" si="1624"/>
        <v>Johnson &amp; Johnson</v>
      </c>
      <c r="AT1528" s="10"/>
      <c r="AU1528" s="10"/>
      <c r="AV1528" s="10"/>
      <c r="AW1528" s="10"/>
      <c r="AX1528" s="10"/>
      <c r="AY1528" s="10"/>
      <c r="AZ1528" s="10"/>
      <c r="BA1528" s="10"/>
      <c r="BB1528" s="10"/>
      <c r="BC1528" s="10"/>
      <c r="BD1528" s="10"/>
      <c r="BE1528" s="10"/>
      <c r="BF1528" s="10"/>
      <c r="BG1528" s="10"/>
      <c r="BH1528" s="10"/>
      <c r="BI1528" s="10"/>
      <c r="BJ1528" s="10"/>
      <c r="BK1528" s="10"/>
      <c r="BM1528" s="10"/>
    </row>
    <row r="1529" spans="1:65" ht="12.75">
      <c r="A1529" s="9"/>
      <c r="B1529" s="10"/>
      <c r="C1529" s="11"/>
      <c r="D1529" s="12"/>
      <c r="E1529" s="10"/>
      <c r="F1529" s="10"/>
      <c r="G1529" s="10"/>
      <c r="H1529" s="14"/>
      <c r="I1529" s="14"/>
      <c r="J1529" s="14"/>
      <c r="K1529" s="14"/>
      <c r="L1529" s="14"/>
      <c r="M1529" s="15"/>
      <c r="N1529" s="10"/>
      <c r="O1529" s="14"/>
      <c r="P1529" s="14"/>
      <c r="Q1529" s="14"/>
      <c r="R1529" s="14"/>
      <c r="S1529" s="14"/>
      <c r="T1529" s="14"/>
      <c r="U1529" s="14"/>
      <c r="V1529" s="14">
        <f t="shared" si="1622"/>
        <v>1900</v>
      </c>
      <c r="W1529" s="14">
        <f t="shared" si="1623"/>
        <v>1</v>
      </c>
      <c r="X1529" s="14"/>
      <c r="Y1529" s="14"/>
      <c r="Z1529" s="14"/>
      <c r="AA1529" s="16" t="str">
        <f t="shared" ref="AA1529:AO1544" ca="1" si="1626">AS1529</f>
        <v>Johnson &amp; Johnson</v>
      </c>
      <c r="AB1529" s="16">
        <f t="shared" si="1626"/>
        <v>0</v>
      </c>
      <c r="AC1529" s="16">
        <f t="shared" si="1626"/>
        <v>0</v>
      </c>
      <c r="AD1529" s="16">
        <f t="shared" si="1626"/>
        <v>0</v>
      </c>
      <c r="AE1529" s="16">
        <f t="shared" si="1626"/>
        <v>0</v>
      </c>
      <c r="AF1529" s="16">
        <f t="shared" si="1626"/>
        <v>0</v>
      </c>
      <c r="AG1529" s="16">
        <f t="shared" si="1626"/>
        <v>0</v>
      </c>
      <c r="AH1529" s="16">
        <f t="shared" si="1626"/>
        <v>0</v>
      </c>
      <c r="AI1529" s="16">
        <f t="shared" si="1626"/>
        <v>0</v>
      </c>
      <c r="AJ1529" s="16">
        <f t="shared" si="1626"/>
        <v>0</v>
      </c>
      <c r="AK1529" s="16">
        <f t="shared" si="1626"/>
        <v>0</v>
      </c>
      <c r="AL1529" s="16">
        <f t="shared" si="1626"/>
        <v>0</v>
      </c>
      <c r="AM1529" s="16">
        <f t="shared" si="1626"/>
        <v>0</v>
      </c>
      <c r="AN1529" s="16">
        <f t="shared" si="1626"/>
        <v>0</v>
      </c>
      <c r="AO1529" s="16">
        <f t="shared" si="1626"/>
        <v>0</v>
      </c>
      <c r="AP1529" s="10"/>
      <c r="AQ1529" s="10"/>
      <c r="AR1529" s="10"/>
      <c r="AS1529" s="10" t="str">
        <f t="shared" ca="1" si="1624"/>
        <v>Johnson &amp; Johnson</v>
      </c>
      <c r="AT1529" s="10"/>
      <c r="AU1529" s="10"/>
      <c r="AV1529" s="10"/>
      <c r="AW1529" s="10"/>
      <c r="AX1529" s="10"/>
      <c r="AY1529" s="10"/>
      <c r="AZ1529" s="10"/>
      <c r="BA1529" s="10"/>
      <c r="BB1529" s="10"/>
      <c r="BC1529" s="10"/>
      <c r="BD1529" s="10"/>
      <c r="BE1529" s="10"/>
      <c r="BF1529" s="10"/>
      <c r="BG1529" s="10"/>
      <c r="BH1529" s="10"/>
      <c r="BI1529" s="10"/>
      <c r="BJ1529" s="10"/>
      <c r="BK1529" s="10"/>
      <c r="BM1529" s="10"/>
    </row>
    <row r="1530" spans="1:65" ht="12.75">
      <c r="A1530" s="9"/>
      <c r="B1530" s="10"/>
      <c r="C1530" s="11"/>
      <c r="D1530" s="12"/>
      <c r="E1530" s="10"/>
      <c r="F1530" s="10"/>
      <c r="G1530" s="10"/>
      <c r="H1530" s="14"/>
      <c r="I1530" s="14"/>
      <c r="J1530" s="14"/>
      <c r="K1530" s="14"/>
      <c r="L1530" s="14"/>
      <c r="M1530" s="15"/>
      <c r="N1530" s="10"/>
      <c r="O1530" s="14"/>
      <c r="P1530" s="14"/>
      <c r="Q1530" s="14"/>
      <c r="R1530" s="14"/>
      <c r="S1530" s="14"/>
      <c r="T1530" s="14"/>
      <c r="U1530" s="14"/>
      <c r="V1530" s="14">
        <f t="shared" si="1622"/>
        <v>1900</v>
      </c>
      <c r="W1530" s="14">
        <f t="shared" si="1623"/>
        <v>1</v>
      </c>
      <c r="X1530" s="14"/>
      <c r="Y1530" s="14"/>
      <c r="Z1530" s="14"/>
      <c r="AA1530" s="16" t="str">
        <f t="shared" ca="1" si="1626"/>
        <v>Johnson &amp; Johnson</v>
      </c>
      <c r="AB1530" s="16">
        <f t="shared" si="1626"/>
        <v>0</v>
      </c>
      <c r="AC1530" s="16">
        <f t="shared" si="1626"/>
        <v>0</v>
      </c>
      <c r="AD1530" s="16">
        <f t="shared" si="1626"/>
        <v>0</v>
      </c>
      <c r="AE1530" s="16">
        <f t="shared" si="1626"/>
        <v>0</v>
      </c>
      <c r="AF1530" s="16">
        <f t="shared" si="1626"/>
        <v>0</v>
      </c>
      <c r="AG1530" s="16">
        <f t="shared" si="1626"/>
        <v>0</v>
      </c>
      <c r="AH1530" s="16">
        <f t="shared" si="1626"/>
        <v>0</v>
      </c>
      <c r="AI1530" s="16">
        <f t="shared" si="1626"/>
        <v>0</v>
      </c>
      <c r="AJ1530" s="16">
        <f t="shared" si="1626"/>
        <v>0</v>
      </c>
      <c r="AK1530" s="16">
        <f t="shared" si="1626"/>
        <v>0</v>
      </c>
      <c r="AL1530" s="16">
        <f t="shared" si="1626"/>
        <v>0</v>
      </c>
      <c r="AM1530" s="16">
        <f t="shared" si="1626"/>
        <v>0</v>
      </c>
      <c r="AN1530" s="16">
        <f t="shared" si="1626"/>
        <v>0</v>
      </c>
      <c r="AO1530" s="16">
        <f t="shared" si="1626"/>
        <v>0</v>
      </c>
      <c r="AP1530" s="10"/>
      <c r="AQ1530" s="10"/>
      <c r="AR1530" s="10"/>
      <c r="AS1530" s="10" t="str">
        <f t="shared" ca="1" si="1624"/>
        <v>Johnson &amp; Johnson</v>
      </c>
      <c r="AT1530" s="10"/>
      <c r="AU1530" s="10"/>
      <c r="AV1530" s="10"/>
      <c r="AW1530" s="10"/>
      <c r="AX1530" s="10"/>
      <c r="AY1530" s="10"/>
      <c r="AZ1530" s="10"/>
      <c r="BA1530" s="10"/>
      <c r="BB1530" s="10"/>
      <c r="BC1530" s="10"/>
      <c r="BD1530" s="10"/>
      <c r="BE1530" s="10"/>
      <c r="BF1530" s="10"/>
      <c r="BG1530" s="10"/>
      <c r="BH1530" s="10"/>
      <c r="BI1530" s="10"/>
      <c r="BJ1530" s="10"/>
      <c r="BK1530" s="10"/>
      <c r="BM1530" s="10"/>
    </row>
    <row r="1531" spans="1:65" ht="12.75">
      <c r="A1531" s="9"/>
      <c r="B1531" s="10"/>
      <c r="C1531" s="11"/>
      <c r="D1531" s="12"/>
      <c r="E1531" s="10"/>
      <c r="F1531" s="10"/>
      <c r="G1531" s="10"/>
      <c r="H1531" s="14"/>
      <c r="I1531" s="14"/>
      <c r="J1531" s="14"/>
      <c r="K1531" s="14"/>
      <c r="L1531" s="14"/>
      <c r="M1531" s="15"/>
      <c r="N1531" s="10"/>
      <c r="O1531" s="14"/>
      <c r="P1531" s="14"/>
      <c r="Q1531" s="14"/>
      <c r="R1531" s="14"/>
      <c r="S1531" s="14"/>
      <c r="T1531" s="14"/>
      <c r="U1531" s="14"/>
      <c r="V1531" s="14">
        <f t="shared" si="1622"/>
        <v>1900</v>
      </c>
      <c r="W1531" s="14">
        <f t="shared" si="1623"/>
        <v>1</v>
      </c>
      <c r="X1531" s="14"/>
      <c r="Y1531" s="14"/>
      <c r="Z1531" s="14"/>
      <c r="AA1531" s="16" t="str">
        <f t="shared" ca="1" si="1626"/>
        <v>Johnson &amp; Johnson</v>
      </c>
      <c r="AB1531" s="16">
        <f t="shared" si="1626"/>
        <v>0</v>
      </c>
      <c r="AC1531" s="16">
        <f t="shared" si="1626"/>
        <v>0</v>
      </c>
      <c r="AD1531" s="16">
        <f t="shared" si="1626"/>
        <v>0</v>
      </c>
      <c r="AE1531" s="16">
        <f t="shared" si="1626"/>
        <v>0</v>
      </c>
      <c r="AF1531" s="16">
        <f t="shared" si="1626"/>
        <v>0</v>
      </c>
      <c r="AG1531" s="16">
        <f t="shared" si="1626"/>
        <v>0</v>
      </c>
      <c r="AH1531" s="16">
        <f t="shared" si="1626"/>
        <v>0</v>
      </c>
      <c r="AI1531" s="16">
        <f t="shared" si="1626"/>
        <v>0</v>
      </c>
      <c r="AJ1531" s="16">
        <f t="shared" si="1626"/>
        <v>0</v>
      </c>
      <c r="AK1531" s="16">
        <f t="shared" si="1626"/>
        <v>0</v>
      </c>
      <c r="AL1531" s="16">
        <f t="shared" si="1626"/>
        <v>0</v>
      </c>
      <c r="AM1531" s="16">
        <f t="shared" si="1626"/>
        <v>0</v>
      </c>
      <c r="AN1531" s="16">
        <f t="shared" si="1626"/>
        <v>0</v>
      </c>
      <c r="AO1531" s="16">
        <f t="shared" si="1626"/>
        <v>0</v>
      </c>
      <c r="AP1531" s="10"/>
      <c r="AQ1531" s="10"/>
      <c r="AR1531" s="10"/>
      <c r="AS1531" s="10" t="str">
        <f t="shared" ca="1" si="1624"/>
        <v>Johnson &amp; Johnson</v>
      </c>
      <c r="AT1531" s="10"/>
      <c r="AU1531" s="10"/>
      <c r="AV1531" s="10"/>
      <c r="AW1531" s="10"/>
      <c r="AX1531" s="10"/>
      <c r="AY1531" s="10"/>
      <c r="AZ1531" s="10"/>
      <c r="BA1531" s="10"/>
      <c r="BB1531" s="10"/>
      <c r="BC1531" s="10"/>
      <c r="BD1531" s="10"/>
      <c r="BE1531" s="10"/>
      <c r="BF1531" s="10"/>
      <c r="BG1531" s="10"/>
      <c r="BH1531" s="10"/>
      <c r="BI1531" s="10"/>
      <c r="BJ1531" s="10"/>
      <c r="BK1531" s="10"/>
      <c r="BM1531" s="10"/>
    </row>
    <row r="1532" spans="1:65" ht="12.75">
      <c r="A1532" s="9"/>
      <c r="B1532" s="10"/>
      <c r="C1532" s="11"/>
      <c r="D1532" s="12"/>
      <c r="E1532" s="10"/>
      <c r="F1532" s="10"/>
      <c r="G1532" s="10"/>
      <c r="H1532" s="14"/>
      <c r="I1532" s="14"/>
      <c r="J1532" s="14"/>
      <c r="K1532" s="14"/>
      <c r="L1532" s="14"/>
      <c r="M1532" s="15"/>
      <c r="N1532" s="10"/>
      <c r="O1532" s="14"/>
      <c r="P1532" s="14"/>
      <c r="Q1532" s="14"/>
      <c r="R1532" s="14"/>
      <c r="S1532" s="14"/>
      <c r="T1532" s="14"/>
      <c r="U1532" s="14"/>
      <c r="V1532" s="14">
        <f t="shared" si="1622"/>
        <v>1900</v>
      </c>
      <c r="W1532" s="14">
        <f t="shared" si="1623"/>
        <v>1</v>
      </c>
      <c r="X1532" s="14"/>
      <c r="Y1532" s="14"/>
      <c r="Z1532" s="14"/>
      <c r="AA1532" s="16" t="str">
        <f t="shared" ca="1" si="1626"/>
        <v>Johnson &amp; Johnson</v>
      </c>
      <c r="AB1532" s="16">
        <f t="shared" si="1626"/>
        <v>0</v>
      </c>
      <c r="AC1532" s="16">
        <f t="shared" si="1626"/>
        <v>0</v>
      </c>
      <c r="AD1532" s="16">
        <f t="shared" si="1626"/>
        <v>0</v>
      </c>
      <c r="AE1532" s="16">
        <f t="shared" si="1626"/>
        <v>0</v>
      </c>
      <c r="AF1532" s="16">
        <f t="shared" si="1626"/>
        <v>0</v>
      </c>
      <c r="AG1532" s="16">
        <f t="shared" si="1626"/>
        <v>0</v>
      </c>
      <c r="AH1532" s="16">
        <f t="shared" si="1626"/>
        <v>0</v>
      </c>
      <c r="AI1532" s="16">
        <f t="shared" si="1626"/>
        <v>0</v>
      </c>
      <c r="AJ1532" s="16">
        <f t="shared" si="1626"/>
        <v>0</v>
      </c>
      <c r="AK1532" s="16">
        <f t="shared" si="1626"/>
        <v>0</v>
      </c>
      <c r="AL1532" s="16">
        <f t="shared" si="1626"/>
        <v>0</v>
      </c>
      <c r="AM1532" s="16">
        <f t="shared" si="1626"/>
        <v>0</v>
      </c>
      <c r="AN1532" s="16">
        <f t="shared" si="1626"/>
        <v>0</v>
      </c>
      <c r="AO1532" s="16">
        <f t="shared" si="1626"/>
        <v>0</v>
      </c>
      <c r="AP1532" s="10"/>
      <c r="AQ1532" s="10"/>
      <c r="AR1532" s="10"/>
      <c r="AS1532" s="10" t="str">
        <f t="shared" ca="1" si="1624"/>
        <v>Johnson &amp; Johnson</v>
      </c>
      <c r="AT1532" s="10"/>
      <c r="AU1532" s="10"/>
      <c r="AV1532" s="10"/>
      <c r="AW1532" s="10"/>
      <c r="AX1532" s="10"/>
      <c r="AY1532" s="10"/>
      <c r="AZ1532" s="10"/>
      <c r="BA1532" s="10"/>
      <c r="BB1532" s="10"/>
      <c r="BC1532" s="10"/>
      <c r="BD1532" s="10"/>
      <c r="BE1532" s="10"/>
      <c r="BF1532" s="10"/>
      <c r="BG1532" s="10"/>
      <c r="BH1532" s="10"/>
      <c r="BI1532" s="10"/>
      <c r="BJ1532" s="10"/>
      <c r="BK1532" s="10"/>
      <c r="BM1532" s="10"/>
    </row>
    <row r="1533" spans="1:65" ht="12.75">
      <c r="A1533" s="9"/>
      <c r="B1533" s="10"/>
      <c r="C1533" s="11"/>
      <c r="D1533" s="12"/>
      <c r="E1533" s="10"/>
      <c r="F1533" s="10"/>
      <c r="G1533" s="10"/>
      <c r="H1533" s="14"/>
      <c r="I1533" s="14"/>
      <c r="J1533" s="14"/>
      <c r="K1533" s="14"/>
      <c r="L1533" s="14"/>
      <c r="M1533" s="15"/>
      <c r="N1533" s="10"/>
      <c r="O1533" s="14"/>
      <c r="P1533" s="14"/>
      <c r="Q1533" s="14"/>
      <c r="R1533" s="14"/>
      <c r="S1533" s="14"/>
      <c r="T1533" s="14"/>
      <c r="U1533" s="14"/>
      <c r="V1533" s="14">
        <f t="shared" si="1622"/>
        <v>1900</v>
      </c>
      <c r="W1533" s="14">
        <f t="shared" si="1623"/>
        <v>1</v>
      </c>
      <c r="X1533" s="14"/>
      <c r="Y1533" s="14"/>
      <c r="Z1533" s="14"/>
      <c r="AA1533" s="16" t="str">
        <f t="shared" ca="1" si="1626"/>
        <v>Johnson &amp; Johnson</v>
      </c>
      <c r="AB1533" s="16">
        <f t="shared" si="1626"/>
        <v>0</v>
      </c>
      <c r="AC1533" s="16">
        <f t="shared" si="1626"/>
        <v>0</v>
      </c>
      <c r="AD1533" s="16">
        <f t="shared" si="1626"/>
        <v>0</v>
      </c>
      <c r="AE1533" s="16">
        <f t="shared" si="1626"/>
        <v>0</v>
      </c>
      <c r="AF1533" s="16">
        <f t="shared" si="1626"/>
        <v>0</v>
      </c>
      <c r="AG1533" s="16">
        <f t="shared" si="1626"/>
        <v>0</v>
      </c>
      <c r="AH1533" s="16">
        <f t="shared" si="1626"/>
        <v>0</v>
      </c>
      <c r="AI1533" s="16">
        <f t="shared" si="1626"/>
        <v>0</v>
      </c>
      <c r="AJ1533" s="16">
        <f t="shared" si="1626"/>
        <v>0</v>
      </c>
      <c r="AK1533" s="16">
        <f t="shared" si="1626"/>
        <v>0</v>
      </c>
      <c r="AL1533" s="16">
        <f t="shared" si="1626"/>
        <v>0</v>
      </c>
      <c r="AM1533" s="16">
        <f t="shared" si="1626"/>
        <v>0</v>
      </c>
      <c r="AN1533" s="16">
        <f t="shared" si="1626"/>
        <v>0</v>
      </c>
      <c r="AO1533" s="16">
        <f t="shared" si="1626"/>
        <v>0</v>
      </c>
      <c r="AP1533" s="10"/>
      <c r="AQ1533" s="10"/>
      <c r="AR1533" s="10"/>
      <c r="AS1533" s="10" t="str">
        <f t="shared" ca="1" si="1624"/>
        <v>Johnson &amp; Johnson</v>
      </c>
      <c r="AT1533" s="10"/>
      <c r="AU1533" s="10"/>
      <c r="AV1533" s="10"/>
      <c r="AW1533" s="10"/>
      <c r="AX1533" s="10"/>
      <c r="AY1533" s="10"/>
      <c r="AZ1533" s="10"/>
      <c r="BA1533" s="10"/>
      <c r="BB1533" s="10"/>
      <c r="BC1533" s="10"/>
      <c r="BD1533" s="10"/>
      <c r="BE1533" s="10"/>
      <c r="BF1533" s="10"/>
      <c r="BG1533" s="10"/>
      <c r="BH1533" s="10"/>
      <c r="BI1533" s="10"/>
      <c r="BJ1533" s="10"/>
      <c r="BK1533" s="10"/>
      <c r="BM1533" s="10"/>
    </row>
    <row r="1534" spans="1:65" ht="12.75">
      <c r="A1534" s="9"/>
      <c r="B1534" s="10"/>
      <c r="C1534" s="11"/>
      <c r="D1534" s="12"/>
      <c r="E1534" s="10"/>
      <c r="F1534" s="10"/>
      <c r="G1534" s="10"/>
      <c r="H1534" s="14"/>
      <c r="I1534" s="14"/>
      <c r="J1534" s="14"/>
      <c r="K1534" s="14"/>
      <c r="L1534" s="14"/>
      <c r="M1534" s="15"/>
      <c r="N1534" s="10"/>
      <c r="O1534" s="14"/>
      <c r="P1534" s="14"/>
      <c r="Q1534" s="14"/>
      <c r="R1534" s="14"/>
      <c r="S1534" s="14"/>
      <c r="T1534" s="14"/>
      <c r="U1534" s="14"/>
      <c r="V1534" s="14">
        <f t="shared" si="1622"/>
        <v>1900</v>
      </c>
      <c r="W1534" s="14">
        <f t="shared" si="1623"/>
        <v>1</v>
      </c>
      <c r="X1534" s="14"/>
      <c r="Y1534" s="14"/>
      <c r="Z1534" s="14"/>
      <c r="AA1534" s="16" t="str">
        <f t="shared" ca="1" si="1626"/>
        <v>Johnson &amp; Johnson</v>
      </c>
      <c r="AB1534" s="16">
        <f t="shared" si="1626"/>
        <v>0</v>
      </c>
      <c r="AC1534" s="16">
        <f t="shared" si="1626"/>
        <v>0</v>
      </c>
      <c r="AD1534" s="16">
        <f t="shared" si="1626"/>
        <v>0</v>
      </c>
      <c r="AE1534" s="16">
        <f t="shared" si="1626"/>
        <v>0</v>
      </c>
      <c r="AF1534" s="16">
        <f t="shared" si="1626"/>
        <v>0</v>
      </c>
      <c r="AG1534" s="16">
        <f t="shared" si="1626"/>
        <v>0</v>
      </c>
      <c r="AH1534" s="16">
        <f t="shared" si="1626"/>
        <v>0</v>
      </c>
      <c r="AI1534" s="16">
        <f t="shared" si="1626"/>
        <v>0</v>
      </c>
      <c r="AJ1534" s="16">
        <f t="shared" si="1626"/>
        <v>0</v>
      </c>
      <c r="AK1534" s="16">
        <f t="shared" si="1626"/>
        <v>0</v>
      </c>
      <c r="AL1534" s="16">
        <f t="shared" si="1626"/>
        <v>0</v>
      </c>
      <c r="AM1534" s="16">
        <f t="shared" si="1626"/>
        <v>0</v>
      </c>
      <c r="AN1534" s="16">
        <f t="shared" si="1626"/>
        <v>0</v>
      </c>
      <c r="AO1534" s="16">
        <f t="shared" si="1626"/>
        <v>0</v>
      </c>
      <c r="AP1534" s="10"/>
      <c r="AQ1534" s="10"/>
      <c r="AR1534" s="10"/>
      <c r="AS1534" s="10" t="str">
        <f t="shared" ca="1" si="1624"/>
        <v>Johnson &amp; Johnson</v>
      </c>
      <c r="AT1534" s="10"/>
      <c r="AU1534" s="10"/>
      <c r="AV1534" s="10"/>
      <c r="AW1534" s="10"/>
      <c r="AX1534" s="10"/>
      <c r="AY1534" s="10"/>
      <c r="AZ1534" s="10"/>
      <c r="BA1534" s="10"/>
      <c r="BB1534" s="10"/>
      <c r="BC1534" s="10"/>
      <c r="BD1534" s="10"/>
      <c r="BE1534" s="10"/>
      <c r="BF1534" s="10"/>
      <c r="BG1534" s="10"/>
      <c r="BH1534" s="10"/>
      <c r="BI1534" s="10"/>
      <c r="BJ1534" s="10"/>
      <c r="BK1534" s="10"/>
      <c r="BM1534" s="10"/>
    </row>
    <row r="1535" spans="1:65" ht="12.75">
      <c r="A1535" s="9"/>
      <c r="B1535" s="10"/>
      <c r="C1535" s="11"/>
      <c r="D1535" s="12"/>
      <c r="E1535" s="10"/>
      <c r="F1535" s="10"/>
      <c r="G1535" s="10"/>
      <c r="H1535" s="14"/>
      <c r="I1535" s="14"/>
      <c r="J1535" s="14"/>
      <c r="K1535" s="14"/>
      <c r="L1535" s="14"/>
      <c r="M1535" s="15"/>
      <c r="N1535" s="10"/>
      <c r="O1535" s="14"/>
      <c r="P1535" s="14"/>
      <c r="Q1535" s="14"/>
      <c r="R1535" s="14"/>
      <c r="S1535" s="14"/>
      <c r="T1535" s="14"/>
      <c r="U1535" s="14"/>
      <c r="V1535" s="14"/>
      <c r="W1535" s="14"/>
      <c r="X1535" s="14"/>
      <c r="Y1535" s="14"/>
      <c r="Z1535" s="14"/>
      <c r="AA1535" s="16" t="str">
        <f t="shared" ca="1" si="1626"/>
        <v>Johnson &amp; Johnson</v>
      </c>
      <c r="AB1535" s="16">
        <f t="shared" si="1626"/>
        <v>0</v>
      </c>
      <c r="AC1535" s="16">
        <f t="shared" si="1626"/>
        <v>0</v>
      </c>
      <c r="AD1535" s="16">
        <f t="shared" si="1626"/>
        <v>0</v>
      </c>
      <c r="AE1535" s="16">
        <f t="shared" si="1626"/>
        <v>0</v>
      </c>
      <c r="AF1535" s="16">
        <f t="shared" si="1626"/>
        <v>0</v>
      </c>
      <c r="AG1535" s="16">
        <f t="shared" si="1626"/>
        <v>0</v>
      </c>
      <c r="AH1535" s="16">
        <f t="shared" si="1626"/>
        <v>0</v>
      </c>
      <c r="AI1535" s="16">
        <f t="shared" si="1626"/>
        <v>0</v>
      </c>
      <c r="AJ1535" s="16">
        <f t="shared" si="1626"/>
        <v>0</v>
      </c>
      <c r="AK1535" s="16">
        <f t="shared" si="1626"/>
        <v>0</v>
      </c>
      <c r="AL1535" s="16">
        <f t="shared" si="1626"/>
        <v>0</v>
      </c>
      <c r="AM1535" s="16">
        <f t="shared" si="1626"/>
        <v>0</v>
      </c>
      <c r="AN1535" s="16">
        <f t="shared" si="1626"/>
        <v>0</v>
      </c>
      <c r="AO1535" s="16">
        <f t="shared" si="1626"/>
        <v>0</v>
      </c>
      <c r="AP1535" s="10"/>
      <c r="AQ1535" s="10"/>
      <c r="AR1535" s="10"/>
      <c r="AS1535" s="10" t="str">
        <f t="shared" ca="1" si="1624"/>
        <v>Johnson &amp; Johnson</v>
      </c>
      <c r="AT1535" s="10"/>
      <c r="AU1535" s="10"/>
      <c r="AV1535" s="10"/>
      <c r="AW1535" s="10"/>
      <c r="AX1535" s="10"/>
      <c r="AY1535" s="10"/>
      <c r="AZ1535" s="10"/>
      <c r="BA1535" s="10"/>
      <c r="BB1535" s="10"/>
      <c r="BC1535" s="10"/>
      <c r="BD1535" s="10"/>
      <c r="BE1535" s="10"/>
      <c r="BF1535" s="10"/>
      <c r="BG1535" s="10"/>
      <c r="BH1535" s="10"/>
      <c r="BI1535" s="10"/>
      <c r="BJ1535" s="10"/>
      <c r="BK1535" s="10"/>
      <c r="BM1535" s="10"/>
    </row>
    <row r="1536" spans="1:65" ht="12.75">
      <c r="A1536" s="9"/>
      <c r="B1536" s="10"/>
      <c r="C1536" s="11"/>
      <c r="D1536" s="12"/>
      <c r="E1536" s="10"/>
      <c r="F1536" s="10"/>
      <c r="G1536" s="10"/>
      <c r="H1536" s="14"/>
      <c r="I1536" s="14"/>
      <c r="J1536" s="14"/>
      <c r="K1536" s="14"/>
      <c r="L1536" s="14"/>
      <c r="M1536" s="15"/>
      <c r="N1536" s="10"/>
      <c r="O1536" s="14"/>
      <c r="P1536" s="14"/>
      <c r="Q1536" s="14"/>
      <c r="R1536" s="14"/>
      <c r="S1536" s="14"/>
      <c r="T1536" s="14"/>
      <c r="U1536" s="14"/>
      <c r="V1536" s="14"/>
      <c r="W1536" s="14"/>
      <c r="X1536" s="14"/>
      <c r="Y1536" s="14"/>
      <c r="Z1536" s="14"/>
      <c r="AA1536" s="16" t="str">
        <f t="shared" ca="1" si="1626"/>
        <v>Johnson &amp; Johnson</v>
      </c>
      <c r="AB1536" s="16">
        <f t="shared" si="1626"/>
        <v>0</v>
      </c>
      <c r="AC1536" s="16">
        <f t="shared" si="1626"/>
        <v>0</v>
      </c>
      <c r="AD1536" s="16">
        <f t="shared" si="1626"/>
        <v>0</v>
      </c>
      <c r="AE1536" s="16">
        <f t="shared" si="1626"/>
        <v>0</v>
      </c>
      <c r="AF1536" s="16">
        <f t="shared" si="1626"/>
        <v>0</v>
      </c>
      <c r="AG1536" s="16">
        <f t="shared" si="1626"/>
        <v>0</v>
      </c>
      <c r="AH1536" s="16">
        <f t="shared" si="1626"/>
        <v>0</v>
      </c>
      <c r="AI1536" s="16">
        <f t="shared" si="1626"/>
        <v>0</v>
      </c>
      <c r="AJ1536" s="16">
        <f t="shared" si="1626"/>
        <v>0</v>
      </c>
      <c r="AK1536" s="16">
        <f t="shared" si="1626"/>
        <v>0</v>
      </c>
      <c r="AL1536" s="16">
        <f t="shared" si="1626"/>
        <v>0</v>
      </c>
      <c r="AM1536" s="16">
        <f t="shared" si="1626"/>
        <v>0</v>
      </c>
      <c r="AN1536" s="16">
        <f t="shared" si="1626"/>
        <v>0</v>
      </c>
      <c r="AO1536" s="16">
        <f t="shared" si="1626"/>
        <v>0</v>
      </c>
      <c r="AP1536" s="10"/>
      <c r="AQ1536" s="10"/>
      <c r="AR1536" s="10"/>
      <c r="AS1536" s="10" t="str">
        <f t="shared" ca="1" si="1624"/>
        <v>Johnson &amp; Johnson</v>
      </c>
      <c r="AT1536" s="10"/>
      <c r="AU1536" s="10"/>
      <c r="AV1536" s="10"/>
      <c r="AW1536" s="10"/>
      <c r="AX1536" s="10"/>
      <c r="AY1536" s="10"/>
      <c r="AZ1536" s="10"/>
      <c r="BA1536" s="10"/>
      <c r="BB1536" s="10"/>
      <c r="BC1536" s="10"/>
      <c r="BD1536" s="10"/>
      <c r="BE1536" s="10"/>
      <c r="BF1536" s="10"/>
      <c r="BG1536" s="10"/>
      <c r="BH1536" s="10"/>
      <c r="BI1536" s="10"/>
      <c r="BJ1536" s="10"/>
      <c r="BK1536" s="10"/>
      <c r="BM1536" s="10"/>
    </row>
    <row r="1537" spans="1:65" ht="12.75">
      <c r="A1537" s="9"/>
      <c r="B1537" s="10"/>
      <c r="C1537" s="11"/>
      <c r="D1537" s="12"/>
      <c r="E1537" s="10"/>
      <c r="F1537" s="10"/>
      <c r="G1537" s="10"/>
      <c r="H1537" s="14"/>
      <c r="I1537" s="14"/>
      <c r="J1537" s="14"/>
      <c r="K1537" s="14"/>
      <c r="L1537" s="14"/>
      <c r="M1537" s="15"/>
      <c r="N1537" s="10"/>
      <c r="O1537" s="14"/>
      <c r="P1537" s="14"/>
      <c r="Q1537" s="14"/>
      <c r="R1537" s="14"/>
      <c r="S1537" s="14"/>
      <c r="T1537" s="14"/>
      <c r="U1537" s="14"/>
      <c r="V1537" s="14"/>
      <c r="W1537" s="14"/>
      <c r="X1537" s="14"/>
      <c r="Y1537" s="14"/>
      <c r="Z1537" s="14"/>
      <c r="AA1537" s="16" t="str">
        <f t="shared" ca="1" si="1626"/>
        <v>Johnson &amp; Johnson</v>
      </c>
      <c r="AB1537" s="16">
        <f t="shared" si="1626"/>
        <v>0</v>
      </c>
      <c r="AC1537" s="16">
        <f t="shared" si="1626"/>
        <v>0</v>
      </c>
      <c r="AD1537" s="16">
        <f t="shared" si="1626"/>
        <v>0</v>
      </c>
      <c r="AE1537" s="16">
        <f t="shared" si="1626"/>
        <v>0</v>
      </c>
      <c r="AF1537" s="16">
        <f t="shared" si="1626"/>
        <v>0</v>
      </c>
      <c r="AG1537" s="16">
        <f t="shared" si="1626"/>
        <v>0</v>
      </c>
      <c r="AH1537" s="16">
        <f t="shared" si="1626"/>
        <v>0</v>
      </c>
      <c r="AI1537" s="16">
        <f t="shared" si="1626"/>
        <v>0</v>
      </c>
      <c r="AJ1537" s="16">
        <f t="shared" si="1626"/>
        <v>0</v>
      </c>
      <c r="AK1537" s="16">
        <f t="shared" si="1626"/>
        <v>0</v>
      </c>
      <c r="AL1537" s="16">
        <f t="shared" si="1626"/>
        <v>0</v>
      </c>
      <c r="AM1537" s="16">
        <f t="shared" si="1626"/>
        <v>0</v>
      </c>
      <c r="AN1537" s="16">
        <f t="shared" si="1626"/>
        <v>0</v>
      </c>
      <c r="AO1537" s="16">
        <f t="shared" si="1626"/>
        <v>0</v>
      </c>
      <c r="AP1537" s="10"/>
      <c r="AQ1537" s="10"/>
      <c r="AR1537" s="10"/>
      <c r="AS1537" s="10" t="str">
        <f t="shared" ca="1" si="1624"/>
        <v>Johnson &amp; Johnson</v>
      </c>
      <c r="AT1537" s="10"/>
      <c r="AU1537" s="10"/>
      <c r="AV1537" s="10"/>
      <c r="AW1537" s="10"/>
      <c r="AX1537" s="10"/>
      <c r="AY1537" s="10"/>
      <c r="AZ1537" s="10"/>
      <c r="BA1537" s="10"/>
      <c r="BB1537" s="10"/>
      <c r="BC1537" s="10"/>
      <c r="BD1537" s="10"/>
      <c r="BE1537" s="10"/>
      <c r="BF1537" s="10"/>
      <c r="BG1537" s="10"/>
      <c r="BH1537" s="10"/>
      <c r="BI1537" s="10"/>
      <c r="BJ1537" s="10"/>
      <c r="BK1537" s="10"/>
      <c r="BM1537" s="10"/>
    </row>
    <row r="1538" spans="1:65" ht="12.75">
      <c r="A1538" s="9"/>
      <c r="B1538" s="10"/>
      <c r="C1538" s="11"/>
      <c r="D1538" s="12"/>
      <c r="E1538" s="10"/>
      <c r="F1538" s="10"/>
      <c r="G1538" s="10"/>
      <c r="H1538" s="14"/>
      <c r="I1538" s="14"/>
      <c r="J1538" s="14"/>
      <c r="K1538" s="14"/>
      <c r="L1538" s="14"/>
      <c r="M1538" s="15"/>
      <c r="N1538" s="10"/>
      <c r="O1538" s="14"/>
      <c r="P1538" s="14"/>
      <c r="Q1538" s="14"/>
      <c r="R1538" s="14"/>
      <c r="S1538" s="14"/>
      <c r="T1538" s="14"/>
      <c r="U1538" s="14"/>
      <c r="V1538" s="14"/>
      <c r="W1538" s="14"/>
      <c r="X1538" s="14"/>
      <c r="Y1538" s="14"/>
      <c r="Z1538" s="14"/>
      <c r="AA1538" s="16" t="str">
        <f t="shared" ca="1" si="1626"/>
        <v>Johnson &amp; Johnson</v>
      </c>
      <c r="AB1538" s="16">
        <f t="shared" si="1626"/>
        <v>0</v>
      </c>
      <c r="AC1538" s="16">
        <f t="shared" si="1626"/>
        <v>0</v>
      </c>
      <c r="AD1538" s="16">
        <f t="shared" si="1626"/>
        <v>0</v>
      </c>
      <c r="AE1538" s="16">
        <f t="shared" si="1626"/>
        <v>0</v>
      </c>
      <c r="AF1538" s="16">
        <f t="shared" si="1626"/>
        <v>0</v>
      </c>
      <c r="AG1538" s="16">
        <f t="shared" si="1626"/>
        <v>0</v>
      </c>
      <c r="AH1538" s="16">
        <f t="shared" si="1626"/>
        <v>0</v>
      </c>
      <c r="AI1538" s="16">
        <f t="shared" si="1626"/>
        <v>0</v>
      </c>
      <c r="AJ1538" s="16">
        <f t="shared" si="1626"/>
        <v>0</v>
      </c>
      <c r="AK1538" s="16">
        <f t="shared" si="1626"/>
        <v>0</v>
      </c>
      <c r="AL1538" s="16">
        <f t="shared" si="1626"/>
        <v>0</v>
      </c>
      <c r="AM1538" s="16">
        <f t="shared" si="1626"/>
        <v>0</v>
      </c>
      <c r="AN1538" s="16">
        <f t="shared" si="1626"/>
        <v>0</v>
      </c>
      <c r="AO1538" s="16">
        <f t="shared" si="1626"/>
        <v>0</v>
      </c>
      <c r="AP1538" s="10"/>
      <c r="AQ1538" s="10"/>
      <c r="AR1538" s="10"/>
      <c r="AS1538" s="10" t="str">
        <f t="shared" ca="1" si="1624"/>
        <v>Johnson &amp; Johnson</v>
      </c>
      <c r="AT1538" s="10"/>
      <c r="AU1538" s="10"/>
      <c r="AV1538" s="10"/>
      <c r="AW1538" s="10"/>
      <c r="AX1538" s="10"/>
      <c r="AY1538" s="10"/>
      <c r="AZ1538" s="10"/>
      <c r="BA1538" s="10"/>
      <c r="BB1538" s="10"/>
      <c r="BC1538" s="10"/>
      <c r="BD1538" s="10"/>
      <c r="BE1538" s="10"/>
      <c r="BF1538" s="10"/>
      <c r="BG1538" s="10"/>
      <c r="BH1538" s="10"/>
      <c r="BI1538" s="10"/>
      <c r="BJ1538" s="10"/>
      <c r="BK1538" s="10"/>
      <c r="BM1538" s="10"/>
    </row>
    <row r="1539" spans="1:65" ht="12.75">
      <c r="A1539" s="9"/>
      <c r="B1539" s="10"/>
      <c r="C1539" s="11"/>
      <c r="D1539" s="12"/>
      <c r="E1539" s="10"/>
      <c r="F1539" s="10"/>
      <c r="G1539" s="10"/>
      <c r="H1539" s="14"/>
      <c r="I1539" s="14"/>
      <c r="J1539" s="14"/>
      <c r="K1539" s="14"/>
      <c r="L1539" s="14"/>
      <c r="M1539" s="15"/>
      <c r="N1539" s="10"/>
      <c r="O1539" s="14"/>
      <c r="P1539" s="14"/>
      <c r="Q1539" s="14"/>
      <c r="R1539" s="14"/>
      <c r="S1539" s="14"/>
      <c r="T1539" s="14"/>
      <c r="U1539" s="14"/>
      <c r="V1539" s="14"/>
      <c r="W1539" s="14"/>
      <c r="X1539" s="14"/>
      <c r="Y1539" s="14"/>
      <c r="Z1539" s="14"/>
      <c r="AA1539" s="16" t="str">
        <f t="shared" ca="1" si="1626"/>
        <v>Johnson &amp; Johnson</v>
      </c>
      <c r="AB1539" s="16">
        <f t="shared" si="1626"/>
        <v>0</v>
      </c>
      <c r="AC1539" s="16">
        <f t="shared" si="1626"/>
        <v>0</v>
      </c>
      <c r="AD1539" s="16">
        <f t="shared" si="1626"/>
        <v>0</v>
      </c>
      <c r="AE1539" s="16">
        <f t="shared" si="1626"/>
        <v>0</v>
      </c>
      <c r="AF1539" s="16">
        <f t="shared" si="1626"/>
        <v>0</v>
      </c>
      <c r="AG1539" s="16">
        <f t="shared" si="1626"/>
        <v>0</v>
      </c>
      <c r="AH1539" s="16">
        <f t="shared" si="1626"/>
        <v>0</v>
      </c>
      <c r="AI1539" s="16">
        <f t="shared" si="1626"/>
        <v>0</v>
      </c>
      <c r="AJ1539" s="16">
        <f t="shared" si="1626"/>
        <v>0</v>
      </c>
      <c r="AK1539" s="16">
        <f t="shared" si="1626"/>
        <v>0</v>
      </c>
      <c r="AL1539" s="16">
        <f t="shared" si="1626"/>
        <v>0</v>
      </c>
      <c r="AM1539" s="16">
        <f t="shared" si="1626"/>
        <v>0</v>
      </c>
      <c r="AN1539" s="16">
        <f t="shared" si="1626"/>
        <v>0</v>
      </c>
      <c r="AO1539" s="16">
        <f t="shared" si="1626"/>
        <v>0</v>
      </c>
      <c r="AP1539" s="10"/>
      <c r="AQ1539" s="10"/>
      <c r="AR1539" s="10"/>
      <c r="AS1539" s="10" t="str">
        <f t="shared" ca="1" si="1624"/>
        <v>Johnson &amp; Johnson</v>
      </c>
      <c r="AT1539" s="10"/>
      <c r="AU1539" s="10"/>
      <c r="AV1539" s="10"/>
      <c r="AW1539" s="10"/>
      <c r="AX1539" s="10"/>
      <c r="AY1539" s="10"/>
      <c r="AZ1539" s="10"/>
      <c r="BA1539" s="10"/>
      <c r="BB1539" s="10"/>
      <c r="BC1539" s="10"/>
      <c r="BD1539" s="10"/>
      <c r="BE1539" s="10"/>
      <c r="BF1539" s="10"/>
      <c r="BG1539" s="10"/>
      <c r="BH1539" s="10"/>
      <c r="BI1539" s="10"/>
      <c r="BJ1539" s="10"/>
      <c r="BK1539" s="10"/>
      <c r="BM1539" s="10"/>
    </row>
    <row r="1540" spans="1:65" ht="12.75">
      <c r="A1540" s="9"/>
      <c r="B1540" s="10"/>
      <c r="C1540" s="11"/>
      <c r="D1540" s="12"/>
      <c r="E1540" s="10"/>
      <c r="F1540" s="10"/>
      <c r="G1540" s="10"/>
      <c r="H1540" s="14"/>
      <c r="I1540" s="14"/>
      <c r="J1540" s="14"/>
      <c r="K1540" s="14"/>
      <c r="L1540" s="14"/>
      <c r="M1540" s="15"/>
      <c r="N1540" s="10"/>
      <c r="O1540" s="14"/>
      <c r="P1540" s="14"/>
      <c r="Q1540" s="14"/>
      <c r="R1540" s="14"/>
      <c r="S1540" s="14"/>
      <c r="T1540" s="14"/>
      <c r="U1540" s="14"/>
      <c r="V1540" s="14"/>
      <c r="W1540" s="14"/>
      <c r="X1540" s="14"/>
      <c r="Y1540" s="14"/>
      <c r="Z1540" s="14"/>
      <c r="AA1540" s="16" t="str">
        <f t="shared" ca="1" si="1626"/>
        <v>Johnson &amp; Johnson</v>
      </c>
      <c r="AB1540" s="16">
        <f t="shared" si="1626"/>
        <v>0</v>
      </c>
      <c r="AC1540" s="16">
        <f t="shared" si="1626"/>
        <v>0</v>
      </c>
      <c r="AD1540" s="16">
        <f t="shared" si="1626"/>
        <v>0</v>
      </c>
      <c r="AE1540" s="16">
        <f t="shared" si="1626"/>
        <v>0</v>
      </c>
      <c r="AF1540" s="16">
        <f t="shared" si="1626"/>
        <v>0</v>
      </c>
      <c r="AG1540" s="16">
        <f t="shared" si="1626"/>
        <v>0</v>
      </c>
      <c r="AH1540" s="16">
        <f t="shared" si="1626"/>
        <v>0</v>
      </c>
      <c r="AI1540" s="16">
        <f t="shared" si="1626"/>
        <v>0</v>
      </c>
      <c r="AJ1540" s="16">
        <f t="shared" si="1626"/>
        <v>0</v>
      </c>
      <c r="AK1540" s="16">
        <f t="shared" si="1626"/>
        <v>0</v>
      </c>
      <c r="AL1540" s="16">
        <f t="shared" si="1626"/>
        <v>0</v>
      </c>
      <c r="AM1540" s="16">
        <f t="shared" si="1626"/>
        <v>0</v>
      </c>
      <c r="AN1540" s="16">
        <f t="shared" si="1626"/>
        <v>0</v>
      </c>
      <c r="AO1540" s="16">
        <f t="shared" si="1626"/>
        <v>0</v>
      </c>
      <c r="AP1540" s="10"/>
      <c r="AQ1540" s="10"/>
      <c r="AR1540" s="10"/>
      <c r="AS1540" s="10" t="str">
        <f t="shared" ca="1" si="1624"/>
        <v>Johnson &amp; Johnson</v>
      </c>
      <c r="AT1540" s="10"/>
      <c r="AU1540" s="10"/>
      <c r="AV1540" s="10"/>
      <c r="AW1540" s="10"/>
      <c r="AX1540" s="10"/>
      <c r="AY1540" s="10"/>
      <c r="AZ1540" s="10"/>
      <c r="BA1540" s="10"/>
      <c r="BB1540" s="10"/>
      <c r="BC1540" s="10"/>
      <c r="BD1540" s="10"/>
      <c r="BE1540" s="10"/>
      <c r="BF1540" s="10"/>
      <c r="BG1540" s="10"/>
      <c r="BH1540" s="10"/>
      <c r="BI1540" s="10"/>
      <c r="BJ1540" s="10"/>
      <c r="BK1540" s="10"/>
      <c r="BM1540" s="10"/>
    </row>
    <row r="1541" spans="1:65" ht="12.75">
      <c r="A1541" s="9"/>
      <c r="B1541" s="10"/>
      <c r="C1541" s="11"/>
      <c r="D1541" s="12"/>
      <c r="E1541" s="10"/>
      <c r="F1541" s="10"/>
      <c r="G1541" s="10"/>
      <c r="H1541" s="14"/>
      <c r="I1541" s="14"/>
      <c r="J1541" s="14"/>
      <c r="K1541" s="14"/>
      <c r="L1541" s="14"/>
      <c r="M1541" s="15"/>
      <c r="N1541" s="10"/>
      <c r="O1541" s="14"/>
      <c r="P1541" s="14"/>
      <c r="Q1541" s="14"/>
      <c r="R1541" s="14"/>
      <c r="S1541" s="14"/>
      <c r="T1541" s="14"/>
      <c r="U1541" s="14"/>
      <c r="V1541" s="14"/>
      <c r="W1541" s="14"/>
      <c r="X1541" s="14"/>
      <c r="Y1541" s="14"/>
      <c r="Z1541" s="14"/>
      <c r="AA1541" s="16" t="str">
        <f t="shared" ca="1" si="1626"/>
        <v>Johnson &amp; Johnson</v>
      </c>
      <c r="AB1541" s="16">
        <f t="shared" si="1626"/>
        <v>0</v>
      </c>
      <c r="AC1541" s="16">
        <f t="shared" si="1626"/>
        <v>0</v>
      </c>
      <c r="AD1541" s="16">
        <f t="shared" si="1626"/>
        <v>0</v>
      </c>
      <c r="AE1541" s="16">
        <f t="shared" si="1626"/>
        <v>0</v>
      </c>
      <c r="AF1541" s="16">
        <f t="shared" si="1626"/>
        <v>0</v>
      </c>
      <c r="AG1541" s="16">
        <f t="shared" si="1626"/>
        <v>0</v>
      </c>
      <c r="AH1541" s="16">
        <f t="shared" si="1626"/>
        <v>0</v>
      </c>
      <c r="AI1541" s="16">
        <f t="shared" si="1626"/>
        <v>0</v>
      </c>
      <c r="AJ1541" s="16">
        <f t="shared" si="1626"/>
        <v>0</v>
      </c>
      <c r="AK1541" s="16">
        <f t="shared" si="1626"/>
        <v>0</v>
      </c>
      <c r="AL1541" s="16">
        <f t="shared" si="1626"/>
        <v>0</v>
      </c>
      <c r="AM1541" s="16">
        <f t="shared" si="1626"/>
        <v>0</v>
      </c>
      <c r="AN1541" s="16">
        <f t="shared" si="1626"/>
        <v>0</v>
      </c>
      <c r="AO1541" s="16">
        <f t="shared" si="1626"/>
        <v>0</v>
      </c>
      <c r="AP1541" s="10"/>
      <c r="AQ1541" s="10"/>
      <c r="AR1541" s="10"/>
      <c r="AS1541" s="10" t="str">
        <f t="shared" ca="1" si="1624"/>
        <v>Johnson &amp; Johnson</v>
      </c>
      <c r="AT1541" s="10"/>
      <c r="AU1541" s="10"/>
      <c r="AV1541" s="10"/>
      <c r="AW1541" s="10"/>
      <c r="AX1541" s="10"/>
      <c r="AY1541" s="10"/>
      <c r="AZ1541" s="10"/>
      <c r="BA1541" s="10"/>
      <c r="BB1541" s="10"/>
      <c r="BC1541" s="10"/>
      <c r="BD1541" s="10"/>
      <c r="BE1541" s="10"/>
      <c r="BF1541" s="10"/>
      <c r="BG1541" s="10"/>
      <c r="BH1541" s="10"/>
      <c r="BI1541" s="10"/>
      <c r="BJ1541" s="10"/>
      <c r="BK1541" s="10"/>
      <c r="BM1541" s="10"/>
    </row>
    <row r="1542" spans="1:65" ht="12.75">
      <c r="A1542" s="9"/>
      <c r="B1542" s="10"/>
      <c r="C1542" s="11"/>
      <c r="D1542" s="12"/>
      <c r="E1542" s="10"/>
      <c r="F1542" s="10"/>
      <c r="G1542" s="10"/>
      <c r="H1542" s="14"/>
      <c r="I1542" s="14"/>
      <c r="J1542" s="14"/>
      <c r="K1542" s="14"/>
      <c r="L1542" s="14"/>
      <c r="M1542" s="15"/>
      <c r="N1542" s="10"/>
      <c r="O1542" s="14"/>
      <c r="P1542" s="14"/>
      <c r="Q1542" s="14"/>
      <c r="R1542" s="14"/>
      <c r="S1542" s="14"/>
      <c r="T1542" s="14"/>
      <c r="U1542" s="14"/>
      <c r="V1542" s="14"/>
      <c r="W1542" s="14"/>
      <c r="X1542" s="14"/>
      <c r="Y1542" s="14"/>
      <c r="Z1542" s="14"/>
      <c r="AA1542" s="16" t="str">
        <f t="shared" ca="1" si="1626"/>
        <v>Johnson &amp; Johnson</v>
      </c>
      <c r="AB1542" s="16">
        <f t="shared" si="1626"/>
        <v>0</v>
      </c>
      <c r="AC1542" s="16">
        <f t="shared" si="1626"/>
        <v>0</v>
      </c>
      <c r="AD1542" s="16">
        <f t="shared" si="1626"/>
        <v>0</v>
      </c>
      <c r="AE1542" s="16">
        <f t="shared" si="1626"/>
        <v>0</v>
      </c>
      <c r="AF1542" s="16">
        <f t="shared" si="1626"/>
        <v>0</v>
      </c>
      <c r="AG1542" s="16">
        <f t="shared" si="1626"/>
        <v>0</v>
      </c>
      <c r="AH1542" s="16">
        <f t="shared" si="1626"/>
        <v>0</v>
      </c>
      <c r="AI1542" s="16">
        <f t="shared" si="1626"/>
        <v>0</v>
      </c>
      <c r="AJ1542" s="16">
        <f t="shared" si="1626"/>
        <v>0</v>
      </c>
      <c r="AK1542" s="16">
        <f t="shared" si="1626"/>
        <v>0</v>
      </c>
      <c r="AL1542" s="16">
        <f t="shared" si="1626"/>
        <v>0</v>
      </c>
      <c r="AM1542" s="16">
        <f t="shared" si="1626"/>
        <v>0</v>
      </c>
      <c r="AN1542" s="16">
        <f t="shared" si="1626"/>
        <v>0</v>
      </c>
      <c r="AO1542" s="16">
        <f t="shared" si="1626"/>
        <v>0</v>
      </c>
      <c r="AP1542" s="10"/>
      <c r="AQ1542" s="10"/>
      <c r="AR1542" s="10"/>
      <c r="AS1542" s="10" t="str">
        <f t="shared" ca="1" si="1624"/>
        <v>Johnson &amp; Johnson</v>
      </c>
      <c r="AT1542" s="10"/>
      <c r="AU1542" s="10"/>
      <c r="AV1542" s="10"/>
      <c r="AW1542" s="10"/>
      <c r="AX1542" s="10"/>
      <c r="AY1542" s="10"/>
      <c r="AZ1542" s="10"/>
      <c r="BA1542" s="10"/>
      <c r="BB1542" s="10"/>
      <c r="BC1542" s="10"/>
      <c r="BD1542" s="10"/>
      <c r="BE1542" s="10"/>
      <c r="BF1542" s="10"/>
      <c r="BG1542" s="10"/>
      <c r="BH1542" s="10"/>
      <c r="BI1542" s="10"/>
      <c r="BJ1542" s="10"/>
      <c r="BK1542" s="10"/>
      <c r="BM1542" s="10"/>
    </row>
    <row r="1543" spans="1:65" ht="12.75">
      <c r="A1543" s="9"/>
      <c r="B1543" s="10"/>
      <c r="C1543" s="11"/>
      <c r="D1543" s="12"/>
      <c r="E1543" s="10"/>
      <c r="F1543" s="10"/>
      <c r="G1543" s="10"/>
      <c r="H1543" s="14"/>
      <c r="I1543" s="14"/>
      <c r="J1543" s="14"/>
      <c r="K1543" s="14"/>
      <c r="L1543" s="14"/>
      <c r="M1543" s="15"/>
      <c r="N1543" s="10"/>
      <c r="O1543" s="14"/>
      <c r="P1543" s="14"/>
      <c r="Q1543" s="14"/>
      <c r="R1543" s="14"/>
      <c r="S1543" s="14"/>
      <c r="T1543" s="14"/>
      <c r="U1543" s="14"/>
      <c r="V1543" s="14"/>
      <c r="W1543" s="14"/>
      <c r="X1543" s="14"/>
      <c r="Y1543" s="14"/>
      <c r="Z1543" s="14"/>
      <c r="AA1543" s="16" t="str">
        <f t="shared" ca="1" si="1626"/>
        <v>Johnson &amp; Johnson</v>
      </c>
      <c r="AB1543" s="16">
        <f t="shared" si="1626"/>
        <v>0</v>
      </c>
      <c r="AC1543" s="16">
        <f t="shared" si="1626"/>
        <v>0</v>
      </c>
      <c r="AD1543" s="16">
        <f t="shared" si="1626"/>
        <v>0</v>
      </c>
      <c r="AE1543" s="16">
        <f t="shared" si="1626"/>
        <v>0</v>
      </c>
      <c r="AF1543" s="16">
        <f t="shared" si="1626"/>
        <v>0</v>
      </c>
      <c r="AG1543" s="16">
        <f t="shared" si="1626"/>
        <v>0</v>
      </c>
      <c r="AH1543" s="16">
        <f t="shared" si="1626"/>
        <v>0</v>
      </c>
      <c r="AI1543" s="16">
        <f t="shared" si="1626"/>
        <v>0</v>
      </c>
      <c r="AJ1543" s="16">
        <f t="shared" si="1626"/>
        <v>0</v>
      </c>
      <c r="AK1543" s="16">
        <f t="shared" si="1626"/>
        <v>0</v>
      </c>
      <c r="AL1543" s="16">
        <f t="shared" si="1626"/>
        <v>0</v>
      </c>
      <c r="AM1543" s="16">
        <f t="shared" si="1626"/>
        <v>0</v>
      </c>
      <c r="AN1543" s="16">
        <f t="shared" si="1626"/>
        <v>0</v>
      </c>
      <c r="AO1543" s="16">
        <f t="shared" si="1626"/>
        <v>0</v>
      </c>
      <c r="AP1543" s="10"/>
      <c r="AQ1543" s="10"/>
      <c r="AR1543" s="10"/>
      <c r="AS1543" s="10" t="str">
        <f t="shared" ca="1" si="1624"/>
        <v>Johnson &amp; Johnson</v>
      </c>
      <c r="AT1543" s="10"/>
      <c r="AU1543" s="10"/>
      <c r="AV1543" s="10"/>
      <c r="AW1543" s="10"/>
      <c r="AX1543" s="10"/>
      <c r="AY1543" s="10"/>
      <c r="AZ1543" s="10"/>
      <c r="BA1543" s="10"/>
      <c r="BB1543" s="10"/>
      <c r="BC1543" s="10"/>
      <c r="BD1543" s="10"/>
      <c r="BE1543" s="10"/>
      <c r="BF1543" s="10"/>
      <c r="BG1543" s="10"/>
      <c r="BH1543" s="10"/>
      <c r="BI1543" s="10"/>
      <c r="BJ1543" s="10"/>
      <c r="BK1543" s="10"/>
      <c r="BM1543" s="10"/>
    </row>
    <row r="1544" spans="1:65" ht="12.75">
      <c r="A1544" s="9"/>
      <c r="B1544" s="10"/>
      <c r="C1544" s="11"/>
      <c r="D1544" s="12"/>
      <c r="E1544" s="10"/>
      <c r="F1544" s="10"/>
      <c r="G1544" s="10"/>
      <c r="H1544" s="14"/>
      <c r="I1544" s="14"/>
      <c r="J1544" s="14"/>
      <c r="K1544" s="14"/>
      <c r="L1544" s="14"/>
      <c r="M1544" s="15"/>
      <c r="N1544" s="10"/>
      <c r="O1544" s="14"/>
      <c r="P1544" s="14"/>
      <c r="Q1544" s="14"/>
      <c r="R1544" s="14"/>
      <c r="S1544" s="14"/>
      <c r="T1544" s="14"/>
      <c r="U1544" s="14"/>
      <c r="V1544" s="14"/>
      <c r="W1544" s="14"/>
      <c r="X1544" s="14"/>
      <c r="Y1544" s="14"/>
      <c r="Z1544" s="14"/>
      <c r="AA1544" s="16" t="str">
        <f t="shared" ca="1" si="1626"/>
        <v>Johnson &amp; Johnson</v>
      </c>
      <c r="AB1544" s="16">
        <f t="shared" si="1626"/>
        <v>0</v>
      </c>
      <c r="AC1544" s="16">
        <f t="shared" si="1626"/>
        <v>0</v>
      </c>
      <c r="AD1544" s="16">
        <f t="shared" si="1626"/>
        <v>0</v>
      </c>
      <c r="AE1544" s="16">
        <f t="shared" si="1626"/>
        <v>0</v>
      </c>
      <c r="AF1544" s="16">
        <f t="shared" si="1626"/>
        <v>0</v>
      </c>
      <c r="AG1544" s="16">
        <f t="shared" si="1626"/>
        <v>0</v>
      </c>
      <c r="AH1544" s="16">
        <f t="shared" si="1626"/>
        <v>0</v>
      </c>
      <c r="AI1544" s="16">
        <f t="shared" si="1626"/>
        <v>0</v>
      </c>
      <c r="AJ1544" s="16">
        <f t="shared" si="1626"/>
        <v>0</v>
      </c>
      <c r="AK1544" s="16">
        <f t="shared" si="1626"/>
        <v>0</v>
      </c>
      <c r="AL1544" s="16">
        <f t="shared" si="1626"/>
        <v>0</v>
      </c>
      <c r="AM1544" s="16">
        <f t="shared" si="1626"/>
        <v>0</v>
      </c>
      <c r="AN1544" s="16">
        <f t="shared" si="1626"/>
        <v>0</v>
      </c>
      <c r="AO1544" s="16">
        <f t="shared" si="1626"/>
        <v>0</v>
      </c>
      <c r="AP1544" s="10"/>
      <c r="AQ1544" s="10"/>
      <c r="AR1544" s="10"/>
      <c r="AS1544" s="10" t="str">
        <f t="shared" ca="1" si="1624"/>
        <v>Johnson &amp; Johnson</v>
      </c>
      <c r="AT1544" s="10"/>
      <c r="AU1544" s="10"/>
      <c r="AV1544" s="10"/>
      <c r="AW1544" s="10"/>
      <c r="AX1544" s="10"/>
      <c r="AY1544" s="10"/>
      <c r="AZ1544" s="10"/>
      <c r="BA1544" s="10"/>
      <c r="BB1544" s="10"/>
      <c r="BC1544" s="10"/>
      <c r="BD1544" s="10"/>
      <c r="BE1544" s="10"/>
      <c r="BF1544" s="10"/>
      <c r="BG1544" s="10"/>
      <c r="BH1544" s="10"/>
      <c r="BI1544" s="10"/>
      <c r="BJ1544" s="10"/>
      <c r="BK1544" s="10"/>
      <c r="BM1544" s="10"/>
    </row>
    <row r="1545" spans="1:65" ht="12.75">
      <c r="A1545" s="9"/>
      <c r="B1545" s="10"/>
      <c r="C1545" s="11"/>
      <c r="D1545" s="12"/>
      <c r="E1545" s="10"/>
      <c r="F1545" s="10"/>
      <c r="G1545" s="10"/>
      <c r="H1545" s="14"/>
      <c r="I1545" s="14"/>
      <c r="J1545" s="14"/>
      <c r="K1545" s="14"/>
      <c r="L1545" s="14"/>
      <c r="M1545" s="15"/>
      <c r="N1545" s="10"/>
      <c r="O1545" s="14"/>
      <c r="P1545" s="14"/>
      <c r="Q1545" s="14"/>
      <c r="R1545" s="14"/>
      <c r="S1545" s="14"/>
      <c r="T1545" s="14"/>
      <c r="U1545" s="14"/>
      <c r="V1545" s="14"/>
      <c r="W1545" s="14"/>
      <c r="X1545" s="14"/>
      <c r="Y1545" s="14"/>
      <c r="Z1545" s="14"/>
      <c r="AA1545" s="16" t="str">
        <f t="shared" ref="AA1545:AO1560" ca="1" si="1627">AS1545</f>
        <v>Johnson &amp; Johnson</v>
      </c>
      <c r="AB1545" s="16">
        <f t="shared" si="1627"/>
        <v>0</v>
      </c>
      <c r="AC1545" s="16">
        <f t="shared" si="1627"/>
        <v>0</v>
      </c>
      <c r="AD1545" s="16">
        <f t="shared" si="1627"/>
        <v>0</v>
      </c>
      <c r="AE1545" s="16">
        <f t="shared" si="1627"/>
        <v>0</v>
      </c>
      <c r="AF1545" s="16">
        <f t="shared" si="1627"/>
        <v>0</v>
      </c>
      <c r="AG1545" s="16">
        <f t="shared" si="1627"/>
        <v>0</v>
      </c>
      <c r="AH1545" s="16">
        <f t="shared" si="1627"/>
        <v>0</v>
      </c>
      <c r="AI1545" s="16">
        <f t="shared" si="1627"/>
        <v>0</v>
      </c>
      <c r="AJ1545" s="16">
        <f t="shared" si="1627"/>
        <v>0</v>
      </c>
      <c r="AK1545" s="16">
        <f t="shared" si="1627"/>
        <v>0</v>
      </c>
      <c r="AL1545" s="16">
        <f t="shared" si="1627"/>
        <v>0</v>
      </c>
      <c r="AM1545" s="16">
        <f t="shared" si="1627"/>
        <v>0</v>
      </c>
      <c r="AN1545" s="16">
        <f t="shared" si="1627"/>
        <v>0</v>
      </c>
      <c r="AO1545" s="16">
        <f t="shared" si="1627"/>
        <v>0</v>
      </c>
      <c r="AP1545" s="10"/>
      <c r="AQ1545" s="10"/>
      <c r="AR1545" s="10"/>
      <c r="AS1545" s="10" t="str">
        <f t="shared" ca="1" si="1624"/>
        <v>Johnson &amp; Johnson</v>
      </c>
      <c r="AT1545" s="10"/>
      <c r="AU1545" s="10"/>
      <c r="AV1545" s="10"/>
      <c r="AW1545" s="10"/>
      <c r="AX1545" s="10"/>
      <c r="AY1545" s="10"/>
      <c r="AZ1545" s="10"/>
      <c r="BA1545" s="10"/>
      <c r="BB1545" s="10"/>
      <c r="BC1545" s="10"/>
      <c r="BD1545" s="10"/>
      <c r="BE1545" s="10"/>
      <c r="BF1545" s="10"/>
      <c r="BG1545" s="10"/>
      <c r="BH1545" s="10"/>
      <c r="BI1545" s="10"/>
      <c r="BJ1545" s="10"/>
      <c r="BK1545" s="10"/>
      <c r="BM1545" s="10"/>
    </row>
    <row r="1546" spans="1:65" ht="12.75">
      <c r="A1546" s="9"/>
      <c r="B1546" s="10"/>
      <c r="C1546" s="11"/>
      <c r="D1546" s="12"/>
      <c r="E1546" s="10"/>
      <c r="F1546" s="10"/>
      <c r="G1546" s="10"/>
      <c r="H1546" s="14"/>
      <c r="I1546" s="14"/>
      <c r="J1546" s="14"/>
      <c r="K1546" s="14"/>
      <c r="L1546" s="14"/>
      <c r="M1546" s="15"/>
      <c r="N1546" s="10"/>
      <c r="O1546" s="14"/>
      <c r="P1546" s="14"/>
      <c r="Q1546" s="14"/>
      <c r="R1546" s="14"/>
      <c r="S1546" s="14"/>
      <c r="T1546" s="14"/>
      <c r="U1546" s="14"/>
      <c r="V1546" s="14"/>
      <c r="W1546" s="14"/>
      <c r="X1546" s="14"/>
      <c r="Y1546" s="14"/>
      <c r="Z1546" s="14"/>
      <c r="AA1546" s="16" t="str">
        <f t="shared" ca="1" si="1627"/>
        <v>Johnson &amp; Johnson</v>
      </c>
      <c r="AB1546" s="16">
        <f t="shared" si="1627"/>
        <v>0</v>
      </c>
      <c r="AC1546" s="16">
        <f t="shared" si="1627"/>
        <v>0</v>
      </c>
      <c r="AD1546" s="16">
        <f t="shared" si="1627"/>
        <v>0</v>
      </c>
      <c r="AE1546" s="16">
        <f t="shared" si="1627"/>
        <v>0</v>
      </c>
      <c r="AF1546" s="16">
        <f t="shared" si="1627"/>
        <v>0</v>
      </c>
      <c r="AG1546" s="16">
        <f t="shared" si="1627"/>
        <v>0</v>
      </c>
      <c r="AH1546" s="16">
        <f t="shared" si="1627"/>
        <v>0</v>
      </c>
      <c r="AI1546" s="16">
        <f t="shared" si="1627"/>
        <v>0</v>
      </c>
      <c r="AJ1546" s="16">
        <f t="shared" si="1627"/>
        <v>0</v>
      </c>
      <c r="AK1546" s="16">
        <f t="shared" si="1627"/>
        <v>0</v>
      </c>
      <c r="AL1546" s="16">
        <f t="shared" si="1627"/>
        <v>0</v>
      </c>
      <c r="AM1546" s="16">
        <f t="shared" si="1627"/>
        <v>0</v>
      </c>
      <c r="AN1546" s="16">
        <f t="shared" si="1627"/>
        <v>0</v>
      </c>
      <c r="AO1546" s="16">
        <f t="shared" si="1627"/>
        <v>0</v>
      </c>
      <c r="AP1546" s="10"/>
      <c r="AQ1546" s="10"/>
      <c r="AR1546" s="10"/>
      <c r="AS1546" s="10" t="str">
        <f t="shared" ca="1" si="1624"/>
        <v>Johnson &amp; Johnson</v>
      </c>
      <c r="AT1546" s="10"/>
      <c r="AU1546" s="10"/>
      <c r="AV1546" s="10"/>
      <c r="AW1546" s="10"/>
      <c r="AX1546" s="10"/>
      <c r="AY1546" s="10"/>
      <c r="AZ1546" s="10"/>
      <c r="BA1546" s="10"/>
      <c r="BB1546" s="10"/>
      <c r="BC1546" s="10"/>
      <c r="BD1546" s="10"/>
      <c r="BE1546" s="10"/>
      <c r="BF1546" s="10"/>
      <c r="BG1546" s="10"/>
      <c r="BH1546" s="10"/>
      <c r="BI1546" s="10"/>
      <c r="BJ1546" s="10"/>
      <c r="BK1546" s="10"/>
      <c r="BM1546" s="10"/>
    </row>
    <row r="1547" spans="1:65" ht="12.75">
      <c r="A1547" s="9"/>
      <c r="B1547" s="10"/>
      <c r="C1547" s="11"/>
      <c r="D1547" s="12"/>
      <c r="E1547" s="10"/>
      <c r="F1547" s="10"/>
      <c r="G1547" s="10"/>
      <c r="H1547" s="14"/>
      <c r="I1547" s="14"/>
      <c r="J1547" s="14"/>
      <c r="K1547" s="14"/>
      <c r="L1547" s="14"/>
      <c r="M1547" s="15"/>
      <c r="N1547" s="10"/>
      <c r="O1547" s="14"/>
      <c r="P1547" s="14"/>
      <c r="Q1547" s="14"/>
      <c r="R1547" s="14"/>
      <c r="S1547" s="14"/>
      <c r="T1547" s="14"/>
      <c r="U1547" s="14"/>
      <c r="V1547" s="14"/>
      <c r="W1547" s="14"/>
      <c r="X1547" s="14"/>
      <c r="Y1547" s="14"/>
      <c r="Z1547" s="14"/>
      <c r="AA1547" s="16" t="str">
        <f t="shared" ca="1" si="1627"/>
        <v>Johnson &amp; Johnson</v>
      </c>
      <c r="AB1547" s="16">
        <f t="shared" si="1627"/>
        <v>0</v>
      </c>
      <c r="AC1547" s="16">
        <f t="shared" si="1627"/>
        <v>0</v>
      </c>
      <c r="AD1547" s="16">
        <f t="shared" si="1627"/>
        <v>0</v>
      </c>
      <c r="AE1547" s="16">
        <f t="shared" si="1627"/>
        <v>0</v>
      </c>
      <c r="AF1547" s="16">
        <f t="shared" si="1627"/>
        <v>0</v>
      </c>
      <c r="AG1547" s="16">
        <f t="shared" si="1627"/>
        <v>0</v>
      </c>
      <c r="AH1547" s="16">
        <f t="shared" si="1627"/>
        <v>0</v>
      </c>
      <c r="AI1547" s="16">
        <f t="shared" si="1627"/>
        <v>0</v>
      </c>
      <c r="AJ1547" s="16">
        <f t="shared" si="1627"/>
        <v>0</v>
      </c>
      <c r="AK1547" s="16">
        <f t="shared" si="1627"/>
        <v>0</v>
      </c>
      <c r="AL1547" s="16">
        <f t="shared" si="1627"/>
        <v>0</v>
      </c>
      <c r="AM1547" s="16">
        <f t="shared" si="1627"/>
        <v>0</v>
      </c>
      <c r="AN1547" s="16">
        <f t="shared" si="1627"/>
        <v>0</v>
      </c>
      <c r="AO1547" s="16">
        <f t="shared" si="1627"/>
        <v>0</v>
      </c>
      <c r="AP1547" s="10"/>
      <c r="AQ1547" s="10"/>
      <c r="AR1547" s="10"/>
      <c r="AS1547" s="10" t="str">
        <f t="shared" ca="1" si="1624"/>
        <v>Johnson &amp; Johnson</v>
      </c>
      <c r="AT1547" s="10"/>
      <c r="AU1547" s="10"/>
      <c r="AV1547" s="10"/>
      <c r="AW1547" s="10"/>
      <c r="AX1547" s="10"/>
      <c r="AY1547" s="10"/>
      <c r="AZ1547" s="10"/>
      <c r="BA1547" s="10"/>
      <c r="BB1547" s="10"/>
      <c r="BC1547" s="10"/>
      <c r="BD1547" s="10"/>
      <c r="BE1547" s="10"/>
      <c r="BF1547" s="10"/>
      <c r="BG1547" s="10"/>
      <c r="BH1547" s="10"/>
      <c r="BI1547" s="10"/>
      <c r="BJ1547" s="10"/>
      <c r="BK1547" s="10"/>
      <c r="BM1547" s="10"/>
    </row>
    <row r="1548" spans="1:65" ht="12.75">
      <c r="A1548" s="9"/>
      <c r="B1548" s="10"/>
      <c r="C1548" s="11"/>
      <c r="D1548" s="12"/>
      <c r="E1548" s="10"/>
      <c r="F1548" s="10"/>
      <c r="G1548" s="10"/>
      <c r="H1548" s="14"/>
      <c r="I1548" s="14"/>
      <c r="J1548" s="14"/>
      <c r="K1548" s="14"/>
      <c r="L1548" s="14"/>
      <c r="M1548" s="15"/>
      <c r="N1548" s="10"/>
      <c r="O1548" s="14"/>
      <c r="P1548" s="14"/>
      <c r="Q1548" s="14"/>
      <c r="R1548" s="14"/>
      <c r="S1548" s="14"/>
      <c r="T1548" s="14"/>
      <c r="U1548" s="14"/>
      <c r="V1548" s="14"/>
      <c r="W1548" s="14"/>
      <c r="X1548" s="14"/>
      <c r="Y1548" s="14"/>
      <c r="Z1548" s="14"/>
      <c r="AA1548" s="16" t="str">
        <f t="shared" ca="1" si="1627"/>
        <v>Johnson &amp; Johnson</v>
      </c>
      <c r="AB1548" s="16">
        <f t="shared" si="1627"/>
        <v>0</v>
      </c>
      <c r="AC1548" s="16">
        <f t="shared" si="1627"/>
        <v>0</v>
      </c>
      <c r="AD1548" s="16">
        <f t="shared" si="1627"/>
        <v>0</v>
      </c>
      <c r="AE1548" s="16">
        <f t="shared" si="1627"/>
        <v>0</v>
      </c>
      <c r="AF1548" s="16">
        <f t="shared" si="1627"/>
        <v>0</v>
      </c>
      <c r="AG1548" s="16">
        <f t="shared" si="1627"/>
        <v>0</v>
      </c>
      <c r="AH1548" s="16">
        <f t="shared" si="1627"/>
        <v>0</v>
      </c>
      <c r="AI1548" s="16">
        <f t="shared" si="1627"/>
        <v>0</v>
      </c>
      <c r="AJ1548" s="16">
        <f t="shared" si="1627"/>
        <v>0</v>
      </c>
      <c r="AK1548" s="16">
        <f t="shared" si="1627"/>
        <v>0</v>
      </c>
      <c r="AL1548" s="16">
        <f t="shared" si="1627"/>
        <v>0</v>
      </c>
      <c r="AM1548" s="16">
        <f t="shared" si="1627"/>
        <v>0</v>
      </c>
      <c r="AN1548" s="16">
        <f t="shared" si="1627"/>
        <v>0</v>
      </c>
      <c r="AO1548" s="16">
        <f t="shared" si="1627"/>
        <v>0</v>
      </c>
      <c r="AP1548" s="10"/>
      <c r="AQ1548" s="10"/>
      <c r="AR1548" s="10"/>
      <c r="AS1548" s="10" t="str">
        <f t="shared" ca="1" si="1624"/>
        <v>Johnson &amp; Johnson</v>
      </c>
      <c r="AT1548" s="10"/>
      <c r="AU1548" s="10"/>
      <c r="AV1548" s="10"/>
      <c r="AW1548" s="10"/>
      <c r="AX1548" s="10"/>
      <c r="AY1548" s="10"/>
      <c r="AZ1548" s="10"/>
      <c r="BA1548" s="10"/>
      <c r="BB1548" s="10"/>
      <c r="BC1548" s="10"/>
      <c r="BD1548" s="10"/>
      <c r="BE1548" s="10"/>
      <c r="BF1548" s="10"/>
      <c r="BG1548" s="10"/>
      <c r="BH1548" s="10"/>
      <c r="BI1548" s="10"/>
      <c r="BJ1548" s="10"/>
      <c r="BK1548" s="10"/>
      <c r="BM1548" s="10"/>
    </row>
    <row r="1549" spans="1:65" ht="12.75">
      <c r="A1549" s="9"/>
      <c r="B1549" s="10"/>
      <c r="C1549" s="11"/>
      <c r="D1549" s="12"/>
      <c r="E1549" s="10"/>
      <c r="F1549" s="10"/>
      <c r="G1549" s="10"/>
      <c r="H1549" s="14"/>
      <c r="I1549" s="14"/>
      <c r="J1549" s="14"/>
      <c r="K1549" s="14"/>
      <c r="L1549" s="14"/>
      <c r="M1549" s="15"/>
      <c r="N1549" s="10"/>
      <c r="O1549" s="14"/>
      <c r="P1549" s="14"/>
      <c r="Q1549" s="14"/>
      <c r="R1549" s="14"/>
      <c r="S1549" s="14"/>
      <c r="T1549" s="14"/>
      <c r="U1549" s="14"/>
      <c r="V1549" s="14"/>
      <c r="W1549" s="14"/>
      <c r="X1549" s="14"/>
      <c r="Y1549" s="14"/>
      <c r="Z1549" s="14"/>
      <c r="AA1549" s="16" t="str">
        <f t="shared" ca="1" si="1627"/>
        <v>Johnson &amp; Johnson</v>
      </c>
      <c r="AB1549" s="16">
        <f t="shared" si="1627"/>
        <v>0</v>
      </c>
      <c r="AC1549" s="16">
        <f t="shared" si="1627"/>
        <v>0</v>
      </c>
      <c r="AD1549" s="16">
        <f t="shared" si="1627"/>
        <v>0</v>
      </c>
      <c r="AE1549" s="16">
        <f t="shared" si="1627"/>
        <v>0</v>
      </c>
      <c r="AF1549" s="16">
        <f t="shared" si="1627"/>
        <v>0</v>
      </c>
      <c r="AG1549" s="16">
        <f t="shared" si="1627"/>
        <v>0</v>
      </c>
      <c r="AH1549" s="16">
        <f t="shared" si="1627"/>
        <v>0</v>
      </c>
      <c r="AI1549" s="16">
        <f t="shared" si="1627"/>
        <v>0</v>
      </c>
      <c r="AJ1549" s="16">
        <f t="shared" si="1627"/>
        <v>0</v>
      </c>
      <c r="AK1549" s="16">
        <f t="shared" si="1627"/>
        <v>0</v>
      </c>
      <c r="AL1549" s="16">
        <f t="shared" si="1627"/>
        <v>0</v>
      </c>
      <c r="AM1549" s="16">
        <f t="shared" si="1627"/>
        <v>0</v>
      </c>
      <c r="AN1549" s="16">
        <f t="shared" si="1627"/>
        <v>0</v>
      </c>
      <c r="AO1549" s="16">
        <f t="shared" si="1627"/>
        <v>0</v>
      </c>
      <c r="AP1549" s="10"/>
      <c r="AQ1549" s="10"/>
      <c r="AR1549" s="10"/>
      <c r="AS1549" s="10" t="str">
        <f t="shared" ca="1" si="1624"/>
        <v>Johnson &amp; Johnson</v>
      </c>
      <c r="AT1549" s="10"/>
      <c r="AU1549" s="10"/>
      <c r="AV1549" s="10"/>
      <c r="AW1549" s="10"/>
      <c r="AX1549" s="10"/>
      <c r="AY1549" s="10"/>
      <c r="AZ1549" s="10"/>
      <c r="BA1549" s="10"/>
      <c r="BB1549" s="10"/>
      <c r="BC1549" s="10"/>
      <c r="BD1549" s="10"/>
      <c r="BE1549" s="10"/>
      <c r="BF1549" s="10"/>
      <c r="BG1549" s="10"/>
      <c r="BH1549" s="10"/>
      <c r="BI1549" s="10"/>
      <c r="BJ1549" s="10"/>
      <c r="BK1549" s="10"/>
      <c r="BM1549" s="10"/>
    </row>
    <row r="1550" spans="1:65" ht="12.75">
      <c r="A1550" s="9"/>
      <c r="B1550" s="10"/>
      <c r="C1550" s="11"/>
      <c r="D1550" s="12"/>
      <c r="E1550" s="10"/>
      <c r="F1550" s="10"/>
      <c r="G1550" s="10"/>
      <c r="H1550" s="14"/>
      <c r="I1550" s="14"/>
      <c r="J1550" s="14"/>
      <c r="K1550" s="14"/>
      <c r="L1550" s="14"/>
      <c r="M1550" s="15"/>
      <c r="N1550" s="10"/>
      <c r="O1550" s="14"/>
      <c r="P1550" s="14"/>
      <c r="Q1550" s="14"/>
      <c r="R1550" s="14"/>
      <c r="S1550" s="14"/>
      <c r="T1550" s="14"/>
      <c r="U1550" s="14"/>
      <c r="V1550" s="14"/>
      <c r="W1550" s="14"/>
      <c r="X1550" s="14"/>
      <c r="Y1550" s="14"/>
      <c r="Z1550" s="14"/>
      <c r="AA1550" s="16" t="str">
        <f t="shared" ca="1" si="1627"/>
        <v>Johnson &amp; Johnson</v>
      </c>
      <c r="AB1550" s="16">
        <f t="shared" si="1627"/>
        <v>0</v>
      </c>
      <c r="AC1550" s="16">
        <f t="shared" si="1627"/>
        <v>0</v>
      </c>
      <c r="AD1550" s="16">
        <f t="shared" si="1627"/>
        <v>0</v>
      </c>
      <c r="AE1550" s="16">
        <f t="shared" si="1627"/>
        <v>0</v>
      </c>
      <c r="AF1550" s="16">
        <f t="shared" si="1627"/>
        <v>0</v>
      </c>
      <c r="AG1550" s="16">
        <f t="shared" si="1627"/>
        <v>0</v>
      </c>
      <c r="AH1550" s="16">
        <f t="shared" si="1627"/>
        <v>0</v>
      </c>
      <c r="AI1550" s="16">
        <f t="shared" si="1627"/>
        <v>0</v>
      </c>
      <c r="AJ1550" s="16">
        <f t="shared" si="1627"/>
        <v>0</v>
      </c>
      <c r="AK1550" s="16">
        <f t="shared" si="1627"/>
        <v>0</v>
      </c>
      <c r="AL1550" s="16">
        <f t="shared" si="1627"/>
        <v>0</v>
      </c>
      <c r="AM1550" s="16">
        <f t="shared" si="1627"/>
        <v>0</v>
      </c>
      <c r="AN1550" s="16">
        <f t="shared" si="1627"/>
        <v>0</v>
      </c>
      <c r="AO1550" s="16">
        <f t="shared" si="1627"/>
        <v>0</v>
      </c>
      <c r="AP1550" s="10"/>
      <c r="AQ1550" s="10"/>
      <c r="AR1550" s="10"/>
      <c r="AS1550" s="10" t="str">
        <f t="shared" ca="1" si="1624"/>
        <v>Johnson &amp; Johnson</v>
      </c>
      <c r="AT1550" s="10"/>
      <c r="AU1550" s="10"/>
      <c r="AV1550" s="10"/>
      <c r="AW1550" s="10"/>
      <c r="AX1550" s="10"/>
      <c r="AY1550" s="10"/>
      <c r="AZ1550" s="10"/>
      <c r="BA1550" s="10"/>
      <c r="BB1550" s="10"/>
      <c r="BC1550" s="10"/>
      <c r="BD1550" s="10"/>
      <c r="BE1550" s="10"/>
      <c r="BF1550" s="10"/>
      <c r="BG1550" s="10"/>
      <c r="BH1550" s="10"/>
      <c r="BI1550" s="10"/>
      <c r="BJ1550" s="10"/>
      <c r="BK1550" s="10"/>
      <c r="BM1550" s="10"/>
    </row>
    <row r="1551" spans="1:65" ht="12.75">
      <c r="A1551" s="9"/>
      <c r="B1551" s="10"/>
      <c r="C1551" s="11"/>
      <c r="D1551" s="12"/>
      <c r="E1551" s="10"/>
      <c r="F1551" s="10"/>
      <c r="G1551" s="10"/>
      <c r="H1551" s="14"/>
      <c r="I1551" s="14"/>
      <c r="J1551" s="14"/>
      <c r="K1551" s="14"/>
      <c r="L1551" s="14"/>
      <c r="M1551" s="15"/>
      <c r="N1551" s="10"/>
      <c r="O1551" s="14"/>
      <c r="P1551" s="14"/>
      <c r="Q1551" s="14"/>
      <c r="R1551" s="14"/>
      <c r="S1551" s="14"/>
      <c r="T1551" s="14"/>
      <c r="U1551" s="14"/>
      <c r="V1551" s="14"/>
      <c r="W1551" s="14"/>
      <c r="X1551" s="14"/>
      <c r="Y1551" s="14"/>
      <c r="Z1551" s="14"/>
      <c r="AA1551" s="16" t="str">
        <f t="shared" ca="1" si="1627"/>
        <v>Johnson &amp; Johnson</v>
      </c>
      <c r="AB1551" s="16">
        <f t="shared" si="1627"/>
        <v>0</v>
      </c>
      <c r="AC1551" s="16">
        <f t="shared" si="1627"/>
        <v>0</v>
      </c>
      <c r="AD1551" s="16">
        <f t="shared" si="1627"/>
        <v>0</v>
      </c>
      <c r="AE1551" s="16">
        <f t="shared" si="1627"/>
        <v>0</v>
      </c>
      <c r="AF1551" s="16">
        <f t="shared" si="1627"/>
        <v>0</v>
      </c>
      <c r="AG1551" s="16">
        <f t="shared" si="1627"/>
        <v>0</v>
      </c>
      <c r="AH1551" s="16">
        <f t="shared" si="1627"/>
        <v>0</v>
      </c>
      <c r="AI1551" s="16">
        <f t="shared" si="1627"/>
        <v>0</v>
      </c>
      <c r="AJ1551" s="16">
        <f t="shared" si="1627"/>
        <v>0</v>
      </c>
      <c r="AK1551" s="16">
        <f t="shared" si="1627"/>
        <v>0</v>
      </c>
      <c r="AL1551" s="16">
        <f t="shared" si="1627"/>
        <v>0</v>
      </c>
      <c r="AM1551" s="16">
        <f t="shared" si="1627"/>
        <v>0</v>
      </c>
      <c r="AN1551" s="16">
        <f t="shared" si="1627"/>
        <v>0</v>
      </c>
      <c r="AO1551" s="16">
        <f t="shared" si="1627"/>
        <v>0</v>
      </c>
      <c r="AP1551" s="10"/>
      <c r="AQ1551" s="10"/>
      <c r="AR1551" s="10"/>
      <c r="AS1551" s="10" t="str">
        <f t="shared" ca="1" si="1624"/>
        <v>Johnson &amp; Johnson</v>
      </c>
      <c r="AT1551" s="10"/>
      <c r="AU1551" s="10"/>
      <c r="AV1551" s="10"/>
      <c r="AW1551" s="10"/>
      <c r="AX1551" s="10"/>
      <c r="AY1551" s="10"/>
      <c r="AZ1551" s="10"/>
      <c r="BA1551" s="10"/>
      <c r="BB1551" s="10"/>
      <c r="BC1551" s="10"/>
      <c r="BD1551" s="10"/>
      <c r="BE1551" s="10"/>
      <c r="BF1551" s="10"/>
      <c r="BG1551" s="10"/>
      <c r="BH1551" s="10"/>
      <c r="BI1551" s="10"/>
      <c r="BJ1551" s="10"/>
      <c r="BK1551" s="10"/>
      <c r="BM1551" s="10"/>
    </row>
    <row r="1552" spans="1:65" ht="12.75">
      <c r="A1552" s="9"/>
      <c r="B1552" s="10"/>
      <c r="C1552" s="11"/>
      <c r="D1552" s="12"/>
      <c r="E1552" s="10"/>
      <c r="F1552" s="10"/>
      <c r="G1552" s="10"/>
      <c r="H1552" s="14"/>
      <c r="I1552" s="14"/>
      <c r="J1552" s="14"/>
      <c r="K1552" s="14"/>
      <c r="L1552" s="14"/>
      <c r="M1552" s="15"/>
      <c r="N1552" s="10"/>
      <c r="O1552" s="14"/>
      <c r="P1552" s="14"/>
      <c r="Q1552" s="14"/>
      <c r="R1552" s="14"/>
      <c r="S1552" s="14"/>
      <c r="T1552" s="14"/>
      <c r="U1552" s="14"/>
      <c r="V1552" s="14"/>
      <c r="W1552" s="14"/>
      <c r="X1552" s="14"/>
      <c r="Y1552" s="14"/>
      <c r="Z1552" s="14"/>
      <c r="AA1552" s="16" t="str">
        <f t="shared" ca="1" si="1627"/>
        <v>Johnson &amp; Johnson</v>
      </c>
      <c r="AB1552" s="16">
        <f t="shared" si="1627"/>
        <v>0</v>
      </c>
      <c r="AC1552" s="16">
        <f t="shared" si="1627"/>
        <v>0</v>
      </c>
      <c r="AD1552" s="16">
        <f t="shared" si="1627"/>
        <v>0</v>
      </c>
      <c r="AE1552" s="16">
        <f t="shared" si="1627"/>
        <v>0</v>
      </c>
      <c r="AF1552" s="16">
        <f t="shared" si="1627"/>
        <v>0</v>
      </c>
      <c r="AG1552" s="16">
        <f t="shared" si="1627"/>
        <v>0</v>
      </c>
      <c r="AH1552" s="16">
        <f t="shared" si="1627"/>
        <v>0</v>
      </c>
      <c r="AI1552" s="16">
        <f t="shared" si="1627"/>
        <v>0</v>
      </c>
      <c r="AJ1552" s="16">
        <f t="shared" si="1627"/>
        <v>0</v>
      </c>
      <c r="AK1552" s="16">
        <f t="shared" si="1627"/>
        <v>0</v>
      </c>
      <c r="AL1552" s="16">
        <f t="shared" si="1627"/>
        <v>0</v>
      </c>
      <c r="AM1552" s="16">
        <f t="shared" si="1627"/>
        <v>0</v>
      </c>
      <c r="AN1552" s="16">
        <f t="shared" si="1627"/>
        <v>0</v>
      </c>
      <c r="AO1552" s="16">
        <f t="shared" si="1627"/>
        <v>0</v>
      </c>
      <c r="AP1552" s="10"/>
      <c r="AQ1552" s="10"/>
      <c r="AR1552" s="10"/>
      <c r="AS1552" s="10" t="str">
        <f t="shared" ca="1" si="1624"/>
        <v>Johnson &amp; Johnson</v>
      </c>
      <c r="AT1552" s="10"/>
      <c r="AU1552" s="10"/>
      <c r="AV1552" s="10"/>
      <c r="AW1552" s="10"/>
      <c r="AX1552" s="10"/>
      <c r="AY1552" s="10"/>
      <c r="AZ1552" s="10"/>
      <c r="BA1552" s="10"/>
      <c r="BB1552" s="10"/>
      <c r="BC1552" s="10"/>
      <c r="BD1552" s="10"/>
      <c r="BE1552" s="10"/>
      <c r="BF1552" s="10"/>
      <c r="BG1552" s="10"/>
      <c r="BH1552" s="10"/>
      <c r="BI1552" s="10"/>
      <c r="BJ1552" s="10"/>
      <c r="BK1552" s="10"/>
      <c r="BM1552" s="10"/>
    </row>
    <row r="1553" spans="1:65" ht="12.75">
      <c r="A1553" s="9"/>
      <c r="B1553" s="10"/>
      <c r="C1553" s="11"/>
      <c r="D1553" s="12"/>
      <c r="E1553" s="10"/>
      <c r="F1553" s="10"/>
      <c r="G1553" s="10"/>
      <c r="H1553" s="14"/>
      <c r="I1553" s="14"/>
      <c r="J1553" s="14"/>
      <c r="K1553" s="14"/>
      <c r="L1553" s="14"/>
      <c r="M1553" s="15"/>
      <c r="N1553" s="10"/>
      <c r="O1553" s="14"/>
      <c r="P1553" s="14"/>
      <c r="Q1553" s="14"/>
      <c r="R1553" s="14"/>
      <c r="S1553" s="14"/>
      <c r="T1553" s="14"/>
      <c r="U1553" s="14"/>
      <c r="V1553" s="14"/>
      <c r="W1553" s="14"/>
      <c r="X1553" s="14"/>
      <c r="Y1553" s="14"/>
      <c r="Z1553" s="14"/>
      <c r="AA1553" s="16" t="str">
        <f t="shared" ca="1" si="1627"/>
        <v>Johnson &amp; Johnson</v>
      </c>
      <c r="AB1553" s="16">
        <f t="shared" si="1627"/>
        <v>0</v>
      </c>
      <c r="AC1553" s="16">
        <f t="shared" si="1627"/>
        <v>0</v>
      </c>
      <c r="AD1553" s="16">
        <f t="shared" si="1627"/>
        <v>0</v>
      </c>
      <c r="AE1553" s="16">
        <f t="shared" si="1627"/>
        <v>0</v>
      </c>
      <c r="AF1553" s="16">
        <f t="shared" si="1627"/>
        <v>0</v>
      </c>
      <c r="AG1553" s="16">
        <f t="shared" si="1627"/>
        <v>0</v>
      </c>
      <c r="AH1553" s="16">
        <f t="shared" si="1627"/>
        <v>0</v>
      </c>
      <c r="AI1553" s="16">
        <f t="shared" si="1627"/>
        <v>0</v>
      </c>
      <c r="AJ1553" s="16">
        <f t="shared" si="1627"/>
        <v>0</v>
      </c>
      <c r="AK1553" s="16">
        <f t="shared" si="1627"/>
        <v>0</v>
      </c>
      <c r="AL1553" s="16">
        <f t="shared" si="1627"/>
        <v>0</v>
      </c>
      <c r="AM1553" s="16">
        <f t="shared" si="1627"/>
        <v>0</v>
      </c>
      <c r="AN1553" s="16">
        <f t="shared" si="1627"/>
        <v>0</v>
      </c>
      <c r="AO1553" s="16">
        <f t="shared" si="1627"/>
        <v>0</v>
      </c>
      <c r="AP1553" s="10"/>
      <c r="AQ1553" s="10"/>
      <c r="AR1553" s="10"/>
      <c r="AS1553" s="10" t="str">
        <f t="shared" ca="1" si="1624"/>
        <v>Johnson &amp; Johnson</v>
      </c>
      <c r="AT1553" s="10"/>
      <c r="AU1553" s="10"/>
      <c r="AV1553" s="10"/>
      <c r="AW1553" s="10"/>
      <c r="AX1553" s="10"/>
      <c r="AY1553" s="10"/>
      <c r="AZ1553" s="10"/>
      <c r="BA1553" s="10"/>
      <c r="BB1553" s="10"/>
      <c r="BC1553" s="10"/>
      <c r="BD1553" s="10"/>
      <c r="BE1553" s="10"/>
      <c r="BF1553" s="10"/>
      <c r="BG1553" s="10"/>
      <c r="BH1553" s="10"/>
      <c r="BI1553" s="10"/>
      <c r="BJ1553" s="10"/>
      <c r="BK1553" s="10"/>
      <c r="BM1553" s="10"/>
    </row>
    <row r="1554" spans="1:65" ht="12.75">
      <c r="A1554" s="9"/>
      <c r="B1554" s="10"/>
      <c r="C1554" s="11"/>
      <c r="D1554" s="12"/>
      <c r="E1554" s="10"/>
      <c r="F1554" s="10"/>
      <c r="G1554" s="10"/>
      <c r="H1554" s="14"/>
      <c r="I1554" s="14"/>
      <c r="J1554" s="14"/>
      <c r="K1554" s="14"/>
      <c r="L1554" s="14"/>
      <c r="M1554" s="15"/>
      <c r="N1554" s="10"/>
      <c r="O1554" s="14"/>
      <c r="P1554" s="14"/>
      <c r="Q1554" s="14"/>
      <c r="R1554" s="14"/>
      <c r="S1554" s="14"/>
      <c r="T1554" s="14"/>
      <c r="U1554" s="14"/>
      <c r="V1554" s="14"/>
      <c r="W1554" s="14"/>
      <c r="X1554" s="14"/>
      <c r="Y1554" s="14"/>
      <c r="Z1554" s="14"/>
      <c r="AA1554" s="16" t="str">
        <f t="shared" ca="1" si="1627"/>
        <v>Johnson &amp; Johnson</v>
      </c>
      <c r="AB1554" s="16">
        <f t="shared" si="1627"/>
        <v>0</v>
      </c>
      <c r="AC1554" s="16">
        <f t="shared" si="1627"/>
        <v>0</v>
      </c>
      <c r="AD1554" s="16">
        <f t="shared" si="1627"/>
        <v>0</v>
      </c>
      <c r="AE1554" s="16">
        <f t="shared" si="1627"/>
        <v>0</v>
      </c>
      <c r="AF1554" s="16">
        <f t="shared" si="1627"/>
        <v>0</v>
      </c>
      <c r="AG1554" s="16">
        <f t="shared" si="1627"/>
        <v>0</v>
      </c>
      <c r="AH1554" s="16">
        <f t="shared" si="1627"/>
        <v>0</v>
      </c>
      <c r="AI1554" s="16">
        <f t="shared" si="1627"/>
        <v>0</v>
      </c>
      <c r="AJ1554" s="16">
        <f t="shared" si="1627"/>
        <v>0</v>
      </c>
      <c r="AK1554" s="16">
        <f t="shared" si="1627"/>
        <v>0</v>
      </c>
      <c r="AL1554" s="16">
        <f t="shared" si="1627"/>
        <v>0</v>
      </c>
      <c r="AM1554" s="16">
        <f t="shared" si="1627"/>
        <v>0</v>
      </c>
      <c r="AN1554" s="16">
        <f t="shared" si="1627"/>
        <v>0</v>
      </c>
      <c r="AO1554" s="16">
        <f t="shared" si="1627"/>
        <v>0</v>
      </c>
      <c r="AP1554" s="10"/>
      <c r="AQ1554" s="10"/>
      <c r="AR1554" s="10"/>
      <c r="AS1554" s="10" t="str">
        <f t="shared" ca="1" si="1624"/>
        <v>Johnson &amp; Johnson</v>
      </c>
      <c r="AT1554" s="10"/>
      <c r="AU1554" s="10"/>
      <c r="AV1554" s="10"/>
      <c r="AW1554" s="10"/>
      <c r="AX1554" s="10"/>
      <c r="AY1554" s="10"/>
      <c r="AZ1554" s="10"/>
      <c r="BA1554" s="10"/>
      <c r="BB1554" s="10"/>
      <c r="BC1554" s="10"/>
      <c r="BD1554" s="10"/>
      <c r="BE1554" s="10"/>
      <c r="BF1554" s="10"/>
      <c r="BG1554" s="10"/>
      <c r="BH1554" s="10"/>
      <c r="BI1554" s="10"/>
      <c r="BJ1554" s="10"/>
      <c r="BK1554" s="10"/>
      <c r="BM1554" s="10"/>
    </row>
    <row r="1555" spans="1:65" ht="12.75">
      <c r="A1555" s="9"/>
      <c r="B1555" s="10"/>
      <c r="C1555" s="11"/>
      <c r="D1555" s="12"/>
      <c r="E1555" s="10"/>
      <c r="F1555" s="10"/>
      <c r="G1555" s="10"/>
      <c r="H1555" s="14"/>
      <c r="I1555" s="14"/>
      <c r="J1555" s="14"/>
      <c r="K1555" s="14"/>
      <c r="L1555" s="14"/>
      <c r="M1555" s="15"/>
      <c r="N1555" s="10"/>
      <c r="O1555" s="14"/>
      <c r="P1555" s="14"/>
      <c r="Q1555" s="14"/>
      <c r="R1555" s="14"/>
      <c r="S1555" s="14"/>
      <c r="T1555" s="14"/>
      <c r="U1555" s="14"/>
      <c r="V1555" s="14"/>
      <c r="W1555" s="14"/>
      <c r="X1555" s="14"/>
      <c r="Y1555" s="14"/>
      <c r="Z1555" s="14"/>
      <c r="AA1555" s="16" t="str">
        <f t="shared" ca="1" si="1627"/>
        <v>Johnson &amp; Johnson</v>
      </c>
      <c r="AB1555" s="16">
        <f t="shared" si="1627"/>
        <v>0</v>
      </c>
      <c r="AC1555" s="16">
        <f t="shared" si="1627"/>
        <v>0</v>
      </c>
      <c r="AD1555" s="16">
        <f t="shared" si="1627"/>
        <v>0</v>
      </c>
      <c r="AE1555" s="16">
        <f t="shared" si="1627"/>
        <v>0</v>
      </c>
      <c r="AF1555" s="16">
        <f t="shared" si="1627"/>
        <v>0</v>
      </c>
      <c r="AG1555" s="16">
        <f t="shared" si="1627"/>
        <v>0</v>
      </c>
      <c r="AH1555" s="16">
        <f t="shared" si="1627"/>
        <v>0</v>
      </c>
      <c r="AI1555" s="16">
        <f t="shared" si="1627"/>
        <v>0</v>
      </c>
      <c r="AJ1555" s="16">
        <f t="shared" si="1627"/>
        <v>0</v>
      </c>
      <c r="AK1555" s="16">
        <f t="shared" si="1627"/>
        <v>0</v>
      </c>
      <c r="AL1555" s="16">
        <f t="shared" si="1627"/>
        <v>0</v>
      </c>
      <c r="AM1555" s="16">
        <f t="shared" si="1627"/>
        <v>0</v>
      </c>
      <c r="AN1555" s="16">
        <f t="shared" si="1627"/>
        <v>0</v>
      </c>
      <c r="AO1555" s="16">
        <f t="shared" si="1627"/>
        <v>0</v>
      </c>
      <c r="AP1555" s="10"/>
      <c r="AQ1555" s="10"/>
      <c r="AR1555" s="10"/>
      <c r="AS1555" s="10" t="str">
        <f t="shared" ca="1" si="1624"/>
        <v>Johnson &amp; Johnson</v>
      </c>
      <c r="AT1555" s="10"/>
      <c r="AU1555" s="10"/>
      <c r="AV1555" s="10"/>
      <c r="AW1555" s="10"/>
      <c r="AX1555" s="10"/>
      <c r="AY1555" s="10"/>
      <c r="AZ1555" s="10"/>
      <c r="BA1555" s="10"/>
      <c r="BB1555" s="10"/>
      <c r="BC1555" s="10"/>
      <c r="BD1555" s="10"/>
      <c r="BE1555" s="10"/>
      <c r="BF1555" s="10"/>
      <c r="BG1555" s="10"/>
      <c r="BH1555" s="10"/>
      <c r="BI1555" s="10"/>
      <c r="BJ1555" s="10"/>
      <c r="BK1555" s="10"/>
      <c r="BM1555" s="10"/>
    </row>
    <row r="1556" spans="1:65" ht="12.75">
      <c r="A1556" s="9"/>
      <c r="B1556" s="10"/>
      <c r="C1556" s="11"/>
      <c r="D1556" s="12"/>
      <c r="E1556" s="10"/>
      <c r="F1556" s="10"/>
      <c r="G1556" s="10"/>
      <c r="H1556" s="14"/>
      <c r="I1556" s="14"/>
      <c r="J1556" s="14"/>
      <c r="K1556" s="14"/>
      <c r="L1556" s="14"/>
      <c r="M1556" s="15"/>
      <c r="N1556" s="10"/>
      <c r="O1556" s="14"/>
      <c r="P1556" s="14"/>
      <c r="Q1556" s="14"/>
      <c r="R1556" s="14"/>
      <c r="S1556" s="14"/>
      <c r="T1556" s="14"/>
      <c r="U1556" s="14"/>
      <c r="V1556" s="14"/>
      <c r="W1556" s="14"/>
      <c r="X1556" s="14"/>
      <c r="Y1556" s="14"/>
      <c r="Z1556" s="14"/>
      <c r="AA1556" s="16" t="str">
        <f t="shared" ca="1" si="1627"/>
        <v>Johnson &amp; Johnson</v>
      </c>
      <c r="AB1556" s="16">
        <f t="shared" si="1627"/>
        <v>0</v>
      </c>
      <c r="AC1556" s="16">
        <f t="shared" si="1627"/>
        <v>0</v>
      </c>
      <c r="AD1556" s="16">
        <f t="shared" si="1627"/>
        <v>0</v>
      </c>
      <c r="AE1556" s="16">
        <f t="shared" si="1627"/>
        <v>0</v>
      </c>
      <c r="AF1556" s="16">
        <f t="shared" si="1627"/>
        <v>0</v>
      </c>
      <c r="AG1556" s="16">
        <f t="shared" si="1627"/>
        <v>0</v>
      </c>
      <c r="AH1556" s="16">
        <f t="shared" si="1627"/>
        <v>0</v>
      </c>
      <c r="AI1556" s="16">
        <f t="shared" si="1627"/>
        <v>0</v>
      </c>
      <c r="AJ1556" s="16">
        <f t="shared" si="1627"/>
        <v>0</v>
      </c>
      <c r="AK1556" s="16">
        <f t="shared" si="1627"/>
        <v>0</v>
      </c>
      <c r="AL1556" s="16">
        <f t="shared" si="1627"/>
        <v>0</v>
      </c>
      <c r="AM1556" s="16">
        <f t="shared" si="1627"/>
        <v>0</v>
      </c>
      <c r="AN1556" s="16">
        <f t="shared" si="1627"/>
        <v>0</v>
      </c>
      <c r="AO1556" s="16">
        <f t="shared" si="1627"/>
        <v>0</v>
      </c>
      <c r="AP1556" s="10"/>
      <c r="AQ1556" s="10"/>
      <c r="AR1556" s="10"/>
      <c r="AS1556" s="10" t="str">
        <f t="shared" ca="1" si="1624"/>
        <v>Johnson &amp; Johnson</v>
      </c>
      <c r="AT1556" s="10"/>
      <c r="AU1556" s="10"/>
      <c r="AV1556" s="10"/>
      <c r="AW1556" s="10"/>
      <c r="AX1556" s="10"/>
      <c r="AY1556" s="10"/>
      <c r="AZ1556" s="10"/>
      <c r="BA1556" s="10"/>
      <c r="BB1556" s="10"/>
      <c r="BC1556" s="10"/>
      <c r="BD1556" s="10"/>
      <c r="BE1556" s="10"/>
      <c r="BF1556" s="10"/>
      <c r="BG1556" s="10"/>
      <c r="BH1556" s="10"/>
      <c r="BI1556" s="10"/>
      <c r="BJ1556" s="10"/>
      <c r="BK1556" s="10"/>
      <c r="BM1556" s="10"/>
    </row>
    <row r="1557" spans="1:65" ht="12.75">
      <c r="A1557" s="9"/>
      <c r="B1557" s="10"/>
      <c r="C1557" s="11"/>
      <c r="D1557" s="12"/>
      <c r="E1557" s="10"/>
      <c r="F1557" s="10"/>
      <c r="G1557" s="10"/>
      <c r="H1557" s="14"/>
      <c r="I1557" s="14"/>
      <c r="J1557" s="14"/>
      <c r="K1557" s="14"/>
      <c r="L1557" s="14"/>
      <c r="M1557" s="15"/>
      <c r="N1557" s="10"/>
      <c r="O1557" s="14"/>
      <c r="P1557" s="14"/>
      <c r="Q1557" s="14"/>
      <c r="R1557" s="14"/>
      <c r="S1557" s="14"/>
      <c r="T1557" s="14"/>
      <c r="U1557" s="14"/>
      <c r="V1557" s="14"/>
      <c r="W1557" s="14"/>
      <c r="X1557" s="14"/>
      <c r="Y1557" s="14"/>
      <c r="Z1557" s="14"/>
      <c r="AA1557" s="16" t="str">
        <f t="shared" ca="1" si="1627"/>
        <v>Johnson &amp; Johnson</v>
      </c>
      <c r="AB1557" s="16">
        <f t="shared" si="1627"/>
        <v>0</v>
      </c>
      <c r="AC1557" s="16">
        <f t="shared" si="1627"/>
        <v>0</v>
      </c>
      <c r="AD1557" s="16">
        <f t="shared" si="1627"/>
        <v>0</v>
      </c>
      <c r="AE1557" s="16">
        <f t="shared" si="1627"/>
        <v>0</v>
      </c>
      <c r="AF1557" s="16">
        <f t="shared" si="1627"/>
        <v>0</v>
      </c>
      <c r="AG1557" s="16">
        <f t="shared" si="1627"/>
        <v>0</v>
      </c>
      <c r="AH1557" s="16">
        <f t="shared" si="1627"/>
        <v>0</v>
      </c>
      <c r="AI1557" s="16">
        <f t="shared" si="1627"/>
        <v>0</v>
      </c>
      <c r="AJ1557" s="16">
        <f t="shared" si="1627"/>
        <v>0</v>
      </c>
      <c r="AK1557" s="16">
        <f t="shared" si="1627"/>
        <v>0</v>
      </c>
      <c r="AL1557" s="16">
        <f t="shared" si="1627"/>
        <v>0</v>
      </c>
      <c r="AM1557" s="16">
        <f t="shared" si="1627"/>
        <v>0</v>
      </c>
      <c r="AN1557" s="16">
        <f t="shared" si="1627"/>
        <v>0</v>
      </c>
      <c r="AO1557" s="16">
        <f t="shared" si="1627"/>
        <v>0</v>
      </c>
      <c r="AP1557" s="10"/>
      <c r="AQ1557" s="10"/>
      <c r="AR1557" s="10"/>
      <c r="AS1557" s="10" t="str">
        <f t="shared" ca="1" si="1624"/>
        <v>Johnson &amp; Johnson</v>
      </c>
      <c r="AT1557" s="10"/>
      <c r="AU1557" s="10"/>
      <c r="AV1557" s="10"/>
      <c r="AW1557" s="10"/>
      <c r="AX1557" s="10"/>
      <c r="AY1557" s="10"/>
      <c r="AZ1557" s="10"/>
      <c r="BA1557" s="10"/>
      <c r="BB1557" s="10"/>
      <c r="BC1557" s="10"/>
      <c r="BD1557" s="10"/>
      <c r="BE1557" s="10"/>
      <c r="BF1557" s="10"/>
      <c r="BG1557" s="10"/>
      <c r="BH1557" s="10"/>
      <c r="BI1557" s="10"/>
      <c r="BJ1557" s="10"/>
      <c r="BK1557" s="10"/>
      <c r="BM1557" s="10"/>
    </row>
    <row r="1558" spans="1:65" ht="12.75">
      <c r="A1558" s="9"/>
      <c r="B1558" s="10"/>
      <c r="C1558" s="11"/>
      <c r="D1558" s="12"/>
      <c r="E1558" s="10"/>
      <c r="F1558" s="10"/>
      <c r="G1558" s="10"/>
      <c r="H1558" s="14"/>
      <c r="I1558" s="14"/>
      <c r="J1558" s="14"/>
      <c r="K1558" s="14"/>
      <c r="L1558" s="14"/>
      <c r="M1558" s="15"/>
      <c r="N1558" s="10"/>
      <c r="O1558" s="14"/>
      <c r="P1558" s="14"/>
      <c r="Q1558" s="14"/>
      <c r="R1558" s="14"/>
      <c r="S1558" s="14"/>
      <c r="T1558" s="14"/>
      <c r="U1558" s="14"/>
      <c r="V1558" s="14"/>
      <c r="W1558" s="14"/>
      <c r="X1558" s="14"/>
      <c r="Y1558" s="14"/>
      <c r="Z1558" s="14"/>
      <c r="AA1558" s="16" t="str">
        <f t="shared" ca="1" si="1627"/>
        <v>Johnson &amp; Johnson</v>
      </c>
      <c r="AB1558" s="16">
        <f t="shared" si="1627"/>
        <v>0</v>
      </c>
      <c r="AC1558" s="16">
        <f t="shared" si="1627"/>
        <v>0</v>
      </c>
      <c r="AD1558" s="16">
        <f t="shared" si="1627"/>
        <v>0</v>
      </c>
      <c r="AE1558" s="16">
        <f t="shared" si="1627"/>
        <v>0</v>
      </c>
      <c r="AF1558" s="16">
        <f t="shared" si="1627"/>
        <v>0</v>
      </c>
      <c r="AG1558" s="16">
        <f t="shared" si="1627"/>
        <v>0</v>
      </c>
      <c r="AH1558" s="16">
        <f t="shared" si="1627"/>
        <v>0</v>
      </c>
      <c r="AI1558" s="16">
        <f t="shared" si="1627"/>
        <v>0</v>
      </c>
      <c r="AJ1558" s="16">
        <f t="shared" si="1627"/>
        <v>0</v>
      </c>
      <c r="AK1558" s="16">
        <f t="shared" si="1627"/>
        <v>0</v>
      </c>
      <c r="AL1558" s="16">
        <f t="shared" si="1627"/>
        <v>0</v>
      </c>
      <c r="AM1558" s="16">
        <f t="shared" si="1627"/>
        <v>0</v>
      </c>
      <c r="AN1558" s="16">
        <f t="shared" si="1627"/>
        <v>0</v>
      </c>
      <c r="AO1558" s="16">
        <f t="shared" si="1627"/>
        <v>0</v>
      </c>
      <c r="AP1558" s="10"/>
      <c r="AQ1558" s="10"/>
      <c r="AR1558" s="10"/>
      <c r="AS1558" s="10" t="str">
        <f t="shared" ca="1" si="1624"/>
        <v>Johnson &amp; Johnson</v>
      </c>
      <c r="AT1558" s="10"/>
      <c r="AU1558" s="10"/>
      <c r="AV1558" s="10"/>
      <c r="AW1558" s="10"/>
      <c r="AX1558" s="10"/>
      <c r="AY1558" s="10"/>
      <c r="AZ1558" s="10"/>
      <c r="BA1558" s="10"/>
      <c r="BB1558" s="10"/>
      <c r="BC1558" s="10"/>
      <c r="BD1558" s="10"/>
      <c r="BE1558" s="10"/>
      <c r="BF1558" s="10"/>
      <c r="BG1558" s="10"/>
      <c r="BH1558" s="10"/>
      <c r="BI1558" s="10"/>
      <c r="BJ1558" s="10"/>
      <c r="BK1558" s="10"/>
      <c r="BM1558" s="10"/>
    </row>
    <row r="1559" spans="1:65" ht="12.75">
      <c r="A1559" s="9"/>
      <c r="B1559" s="10"/>
      <c r="C1559" s="11"/>
      <c r="D1559" s="12"/>
      <c r="E1559" s="10"/>
      <c r="F1559" s="10"/>
      <c r="G1559" s="10"/>
      <c r="H1559" s="14"/>
      <c r="I1559" s="14"/>
      <c r="J1559" s="14"/>
      <c r="K1559" s="14"/>
      <c r="L1559" s="14"/>
      <c r="M1559" s="15"/>
      <c r="N1559" s="10"/>
      <c r="O1559" s="14"/>
      <c r="P1559" s="14"/>
      <c r="Q1559" s="14"/>
      <c r="R1559" s="14"/>
      <c r="S1559" s="14"/>
      <c r="T1559" s="14"/>
      <c r="U1559" s="14"/>
      <c r="V1559" s="14"/>
      <c r="W1559" s="14"/>
      <c r="X1559" s="14"/>
      <c r="Y1559" s="14"/>
      <c r="Z1559" s="14"/>
      <c r="AA1559" s="16" t="str">
        <f t="shared" ca="1" si="1627"/>
        <v>Johnson &amp; Johnson</v>
      </c>
      <c r="AB1559" s="16">
        <f t="shared" si="1627"/>
        <v>0</v>
      </c>
      <c r="AC1559" s="16">
        <f t="shared" si="1627"/>
        <v>0</v>
      </c>
      <c r="AD1559" s="16">
        <f t="shared" si="1627"/>
        <v>0</v>
      </c>
      <c r="AE1559" s="16">
        <f t="shared" si="1627"/>
        <v>0</v>
      </c>
      <c r="AF1559" s="16">
        <f t="shared" si="1627"/>
        <v>0</v>
      </c>
      <c r="AG1559" s="16">
        <f t="shared" si="1627"/>
        <v>0</v>
      </c>
      <c r="AH1559" s="16">
        <f t="shared" si="1627"/>
        <v>0</v>
      </c>
      <c r="AI1559" s="16">
        <f t="shared" si="1627"/>
        <v>0</v>
      </c>
      <c r="AJ1559" s="16">
        <f t="shared" si="1627"/>
        <v>0</v>
      </c>
      <c r="AK1559" s="16">
        <f t="shared" si="1627"/>
        <v>0</v>
      </c>
      <c r="AL1559" s="16">
        <f t="shared" si="1627"/>
        <v>0</v>
      </c>
      <c r="AM1559" s="16">
        <f t="shared" si="1627"/>
        <v>0</v>
      </c>
      <c r="AN1559" s="16">
        <f t="shared" si="1627"/>
        <v>0</v>
      </c>
      <c r="AO1559" s="16">
        <f t="shared" si="1627"/>
        <v>0</v>
      </c>
      <c r="AP1559" s="10"/>
      <c r="AQ1559" s="10"/>
      <c r="AR1559" s="10"/>
      <c r="AS1559" s="10" t="str">
        <f t="shared" ca="1" si="1624"/>
        <v>Johnson &amp; Johnson</v>
      </c>
      <c r="AT1559" s="10"/>
      <c r="AU1559" s="10"/>
      <c r="AV1559" s="10"/>
      <c r="AW1559" s="10"/>
      <c r="AX1559" s="10"/>
      <c r="AY1559" s="10"/>
      <c r="AZ1559" s="10"/>
      <c r="BA1559" s="10"/>
      <c r="BB1559" s="10"/>
      <c r="BC1559" s="10"/>
      <c r="BD1559" s="10"/>
      <c r="BE1559" s="10"/>
      <c r="BF1559" s="10"/>
      <c r="BG1559" s="10"/>
      <c r="BH1559" s="10"/>
      <c r="BI1559" s="10"/>
      <c r="BJ1559" s="10"/>
      <c r="BK1559" s="10"/>
      <c r="BM1559" s="10"/>
    </row>
    <row r="1560" spans="1:65" ht="12.75">
      <c r="A1560" s="9"/>
      <c r="B1560" s="10"/>
      <c r="C1560" s="11"/>
      <c r="D1560" s="12"/>
      <c r="E1560" s="10"/>
      <c r="F1560" s="10"/>
      <c r="G1560" s="10"/>
      <c r="H1560" s="14"/>
      <c r="I1560" s="14"/>
      <c r="J1560" s="14"/>
      <c r="K1560" s="14"/>
      <c r="L1560" s="14"/>
      <c r="M1560" s="15"/>
      <c r="N1560" s="10"/>
      <c r="O1560" s="14"/>
      <c r="P1560" s="14"/>
      <c r="Q1560" s="14"/>
      <c r="R1560" s="14"/>
      <c r="S1560" s="14"/>
      <c r="T1560" s="14"/>
      <c r="U1560" s="14"/>
      <c r="V1560" s="14"/>
      <c r="W1560" s="14"/>
      <c r="X1560" s="14"/>
      <c r="Y1560" s="14"/>
      <c r="Z1560" s="14"/>
      <c r="AA1560" s="16" t="str">
        <f t="shared" ca="1" si="1627"/>
        <v>Johnson &amp; Johnson</v>
      </c>
      <c r="AB1560" s="16">
        <f t="shared" si="1627"/>
        <v>0</v>
      </c>
      <c r="AC1560" s="16">
        <f t="shared" si="1627"/>
        <v>0</v>
      </c>
      <c r="AD1560" s="16">
        <f t="shared" si="1627"/>
        <v>0</v>
      </c>
      <c r="AE1560" s="16">
        <f t="shared" si="1627"/>
        <v>0</v>
      </c>
      <c r="AF1560" s="16">
        <f t="shared" si="1627"/>
        <v>0</v>
      </c>
      <c r="AG1560" s="16">
        <f t="shared" si="1627"/>
        <v>0</v>
      </c>
      <c r="AH1560" s="16">
        <f t="shared" si="1627"/>
        <v>0</v>
      </c>
      <c r="AI1560" s="16">
        <f t="shared" si="1627"/>
        <v>0</v>
      </c>
      <c r="AJ1560" s="16">
        <f t="shared" si="1627"/>
        <v>0</v>
      </c>
      <c r="AK1560" s="16">
        <f t="shared" si="1627"/>
        <v>0</v>
      </c>
      <c r="AL1560" s="16">
        <f t="shared" si="1627"/>
        <v>0</v>
      </c>
      <c r="AM1560" s="16">
        <f t="shared" si="1627"/>
        <v>0</v>
      </c>
      <c r="AN1560" s="16">
        <f t="shared" si="1627"/>
        <v>0</v>
      </c>
      <c r="AO1560" s="16">
        <f t="shared" si="1627"/>
        <v>0</v>
      </c>
      <c r="AP1560" s="10"/>
      <c r="AQ1560" s="10"/>
      <c r="AR1560" s="10"/>
      <c r="AS1560" s="10" t="str">
        <f t="shared" ca="1" si="1624"/>
        <v>Johnson &amp; Johnson</v>
      </c>
      <c r="AT1560" s="10"/>
      <c r="AU1560" s="10"/>
      <c r="AV1560" s="10"/>
      <c r="AW1560" s="10"/>
      <c r="AX1560" s="10"/>
      <c r="AY1560" s="10"/>
      <c r="AZ1560" s="10"/>
      <c r="BA1560" s="10"/>
      <c r="BB1560" s="10"/>
      <c r="BC1560" s="10"/>
      <c r="BD1560" s="10"/>
      <c r="BE1560" s="10"/>
      <c r="BF1560" s="10"/>
      <c r="BG1560" s="10"/>
      <c r="BH1560" s="10"/>
      <c r="BI1560" s="10"/>
      <c r="BJ1560" s="10"/>
      <c r="BK1560" s="10"/>
      <c r="BM1560" s="10"/>
    </row>
    <row r="1561" spans="1:65" ht="12.75">
      <c r="A1561" s="9"/>
      <c r="B1561" s="10"/>
      <c r="C1561" s="11"/>
      <c r="D1561" s="12"/>
      <c r="E1561" s="10"/>
      <c r="F1561" s="10"/>
      <c r="G1561" s="10"/>
      <c r="H1561" s="14"/>
      <c r="I1561" s="14"/>
      <c r="J1561" s="14"/>
      <c r="K1561" s="14"/>
      <c r="L1561" s="14"/>
      <c r="M1561" s="15"/>
      <c r="N1561" s="10"/>
      <c r="O1561" s="14"/>
      <c r="P1561" s="14"/>
      <c r="Q1561" s="14"/>
      <c r="R1561" s="14"/>
      <c r="S1561" s="14"/>
      <c r="T1561" s="14"/>
      <c r="U1561" s="14"/>
      <c r="V1561" s="14"/>
      <c r="W1561" s="14"/>
      <c r="X1561" s="14"/>
      <c r="Y1561" s="14"/>
      <c r="Z1561" s="14"/>
      <c r="AA1561" s="16" t="str">
        <f t="shared" ref="AA1561:AO1576" ca="1" si="1628">AS1561</f>
        <v>Johnson &amp; Johnson</v>
      </c>
      <c r="AB1561" s="16">
        <f t="shared" si="1628"/>
        <v>0</v>
      </c>
      <c r="AC1561" s="16">
        <f t="shared" si="1628"/>
        <v>0</v>
      </c>
      <c r="AD1561" s="16">
        <f t="shared" si="1628"/>
        <v>0</v>
      </c>
      <c r="AE1561" s="16">
        <f t="shared" si="1628"/>
        <v>0</v>
      </c>
      <c r="AF1561" s="16">
        <f t="shared" si="1628"/>
        <v>0</v>
      </c>
      <c r="AG1561" s="16">
        <f t="shared" si="1628"/>
        <v>0</v>
      </c>
      <c r="AH1561" s="16">
        <f t="shared" si="1628"/>
        <v>0</v>
      </c>
      <c r="AI1561" s="16">
        <f t="shared" si="1628"/>
        <v>0</v>
      </c>
      <c r="AJ1561" s="16">
        <f t="shared" si="1628"/>
        <v>0</v>
      </c>
      <c r="AK1561" s="16">
        <f t="shared" si="1628"/>
        <v>0</v>
      </c>
      <c r="AL1561" s="16">
        <f t="shared" si="1628"/>
        <v>0</v>
      </c>
      <c r="AM1561" s="16">
        <f t="shared" si="1628"/>
        <v>0</v>
      </c>
      <c r="AN1561" s="16">
        <f t="shared" si="1628"/>
        <v>0</v>
      </c>
      <c r="AO1561" s="16">
        <f t="shared" si="1628"/>
        <v>0</v>
      </c>
      <c r="AP1561" s="10"/>
      <c r="AQ1561" s="10"/>
      <c r="AR1561" s="10"/>
      <c r="AS1561" s="10" t="str">
        <f t="shared" ca="1" si="1624"/>
        <v>Johnson &amp; Johnson</v>
      </c>
      <c r="AT1561" s="10"/>
      <c r="AU1561" s="10"/>
      <c r="AV1561" s="10"/>
      <c r="AW1561" s="10"/>
      <c r="AX1561" s="10"/>
      <c r="AY1561" s="10"/>
      <c r="AZ1561" s="10"/>
      <c r="BA1561" s="10"/>
      <c r="BB1561" s="10"/>
      <c r="BC1561" s="10"/>
      <c r="BD1561" s="10"/>
      <c r="BE1561" s="10"/>
      <c r="BF1561" s="10"/>
      <c r="BG1561" s="10"/>
      <c r="BH1561" s="10"/>
      <c r="BI1561" s="10"/>
      <c r="BJ1561" s="10"/>
      <c r="BK1561" s="10"/>
      <c r="BM1561" s="10"/>
    </row>
    <row r="1562" spans="1:65" ht="12.75">
      <c r="A1562" s="9"/>
      <c r="B1562" s="10"/>
      <c r="C1562" s="11"/>
      <c r="D1562" s="12"/>
      <c r="E1562" s="10"/>
      <c r="F1562" s="10"/>
      <c r="G1562" s="10"/>
      <c r="H1562" s="14"/>
      <c r="I1562" s="14"/>
      <c r="J1562" s="14"/>
      <c r="K1562" s="14"/>
      <c r="L1562" s="14"/>
      <c r="M1562" s="15"/>
      <c r="N1562" s="10"/>
      <c r="O1562" s="14"/>
      <c r="P1562" s="14"/>
      <c r="Q1562" s="14"/>
      <c r="R1562" s="14"/>
      <c r="S1562" s="14"/>
      <c r="T1562" s="14"/>
      <c r="U1562" s="14"/>
      <c r="V1562" s="14"/>
      <c r="W1562" s="14"/>
      <c r="X1562" s="14"/>
      <c r="Y1562" s="14"/>
      <c r="Z1562" s="14"/>
      <c r="AA1562" s="16" t="str">
        <f t="shared" ca="1" si="1628"/>
        <v>Johnson &amp; Johnson</v>
      </c>
      <c r="AB1562" s="16">
        <f t="shared" si="1628"/>
        <v>0</v>
      </c>
      <c r="AC1562" s="16">
        <f t="shared" si="1628"/>
        <v>0</v>
      </c>
      <c r="AD1562" s="16">
        <f t="shared" si="1628"/>
        <v>0</v>
      </c>
      <c r="AE1562" s="16">
        <f t="shared" si="1628"/>
        <v>0</v>
      </c>
      <c r="AF1562" s="16">
        <f t="shared" si="1628"/>
        <v>0</v>
      </c>
      <c r="AG1562" s="16">
        <f t="shared" si="1628"/>
        <v>0</v>
      </c>
      <c r="AH1562" s="16">
        <f t="shared" si="1628"/>
        <v>0</v>
      </c>
      <c r="AI1562" s="16">
        <f t="shared" si="1628"/>
        <v>0</v>
      </c>
      <c r="AJ1562" s="16">
        <f t="shared" si="1628"/>
        <v>0</v>
      </c>
      <c r="AK1562" s="16">
        <f t="shared" si="1628"/>
        <v>0</v>
      </c>
      <c r="AL1562" s="16">
        <f t="shared" si="1628"/>
        <v>0</v>
      </c>
      <c r="AM1562" s="16">
        <f t="shared" si="1628"/>
        <v>0</v>
      </c>
      <c r="AN1562" s="16">
        <f t="shared" si="1628"/>
        <v>0</v>
      </c>
      <c r="AO1562" s="16">
        <f t="shared" si="1628"/>
        <v>0</v>
      </c>
      <c r="AP1562" s="10"/>
      <c r="AQ1562" s="10"/>
      <c r="AR1562" s="10"/>
      <c r="AS1562" s="10" t="str">
        <f t="shared" ca="1" si="1624"/>
        <v>Johnson &amp; Johnson</v>
      </c>
      <c r="AT1562" s="10"/>
      <c r="AU1562" s="10"/>
      <c r="AV1562" s="10"/>
      <c r="AW1562" s="10"/>
      <c r="AX1562" s="10"/>
      <c r="AY1562" s="10"/>
      <c r="AZ1562" s="10"/>
      <c r="BA1562" s="10"/>
      <c r="BB1562" s="10"/>
      <c r="BC1562" s="10"/>
      <c r="BD1562" s="10"/>
      <c r="BE1562" s="10"/>
      <c r="BF1562" s="10"/>
      <c r="BG1562" s="10"/>
      <c r="BH1562" s="10"/>
      <c r="BI1562" s="10"/>
      <c r="BJ1562" s="10"/>
      <c r="BK1562" s="10"/>
      <c r="BM1562" s="10"/>
    </row>
    <row r="1563" spans="1:65" ht="12.75">
      <c r="A1563" s="9"/>
      <c r="B1563" s="10"/>
      <c r="C1563" s="11"/>
      <c r="D1563" s="12"/>
      <c r="E1563" s="10"/>
      <c r="F1563" s="10"/>
      <c r="G1563" s="10"/>
      <c r="H1563" s="14"/>
      <c r="I1563" s="14"/>
      <c r="J1563" s="14"/>
      <c r="K1563" s="14"/>
      <c r="L1563" s="14"/>
      <c r="M1563" s="15"/>
      <c r="N1563" s="10"/>
      <c r="O1563" s="14"/>
      <c r="P1563" s="14"/>
      <c r="Q1563" s="14"/>
      <c r="R1563" s="14"/>
      <c r="S1563" s="14"/>
      <c r="T1563" s="14"/>
      <c r="U1563" s="14"/>
      <c r="V1563" s="14"/>
      <c r="W1563" s="14"/>
      <c r="X1563" s="14"/>
      <c r="Y1563" s="14"/>
      <c r="Z1563" s="14"/>
      <c r="AA1563" s="16" t="str">
        <f t="shared" ca="1" si="1628"/>
        <v>Johnson &amp; Johnson</v>
      </c>
      <c r="AB1563" s="16">
        <f t="shared" si="1628"/>
        <v>0</v>
      </c>
      <c r="AC1563" s="16">
        <f t="shared" si="1628"/>
        <v>0</v>
      </c>
      <c r="AD1563" s="16">
        <f t="shared" si="1628"/>
        <v>0</v>
      </c>
      <c r="AE1563" s="16">
        <f t="shared" si="1628"/>
        <v>0</v>
      </c>
      <c r="AF1563" s="16">
        <f t="shared" si="1628"/>
        <v>0</v>
      </c>
      <c r="AG1563" s="16">
        <f t="shared" si="1628"/>
        <v>0</v>
      </c>
      <c r="AH1563" s="16">
        <f t="shared" si="1628"/>
        <v>0</v>
      </c>
      <c r="AI1563" s="16">
        <f t="shared" si="1628"/>
        <v>0</v>
      </c>
      <c r="AJ1563" s="16">
        <f t="shared" si="1628"/>
        <v>0</v>
      </c>
      <c r="AK1563" s="16">
        <f t="shared" si="1628"/>
        <v>0</v>
      </c>
      <c r="AL1563" s="16">
        <f t="shared" si="1628"/>
        <v>0</v>
      </c>
      <c r="AM1563" s="16">
        <f t="shared" si="1628"/>
        <v>0</v>
      </c>
      <c r="AN1563" s="16">
        <f t="shared" si="1628"/>
        <v>0</v>
      </c>
      <c r="AO1563" s="16">
        <f t="shared" si="1628"/>
        <v>0</v>
      </c>
      <c r="AP1563" s="10"/>
      <c r="AQ1563" s="10"/>
      <c r="AR1563" s="10"/>
      <c r="AS1563" s="10" t="str">
        <f t="shared" ca="1" si="1624"/>
        <v>Johnson &amp; Johnson</v>
      </c>
      <c r="AT1563" s="10"/>
      <c r="AU1563" s="10"/>
      <c r="AV1563" s="10"/>
      <c r="AW1563" s="10"/>
      <c r="AX1563" s="10"/>
      <c r="AY1563" s="10"/>
      <c r="AZ1563" s="10"/>
      <c r="BA1563" s="10"/>
      <c r="BB1563" s="10"/>
      <c r="BC1563" s="10"/>
      <c r="BD1563" s="10"/>
      <c r="BE1563" s="10"/>
      <c r="BF1563" s="10"/>
      <c r="BG1563" s="10"/>
      <c r="BH1563" s="10"/>
      <c r="BI1563" s="10"/>
      <c r="BJ1563" s="10"/>
      <c r="BK1563" s="10"/>
      <c r="BM1563" s="10"/>
    </row>
    <row r="1564" spans="1:65" ht="12.75">
      <c r="A1564" s="9"/>
      <c r="B1564" s="10"/>
      <c r="C1564" s="11"/>
      <c r="D1564" s="12"/>
      <c r="E1564" s="10"/>
      <c r="F1564" s="10"/>
      <c r="G1564" s="10"/>
      <c r="H1564" s="14"/>
      <c r="I1564" s="14"/>
      <c r="J1564" s="14"/>
      <c r="K1564" s="14"/>
      <c r="L1564" s="14"/>
      <c r="M1564" s="15"/>
      <c r="N1564" s="10"/>
      <c r="O1564" s="14"/>
      <c r="P1564" s="14"/>
      <c r="Q1564" s="14"/>
      <c r="R1564" s="14"/>
      <c r="S1564" s="14"/>
      <c r="T1564" s="14"/>
      <c r="U1564" s="14"/>
      <c r="V1564" s="14"/>
      <c r="W1564" s="14"/>
      <c r="X1564" s="14"/>
      <c r="Y1564" s="14"/>
      <c r="Z1564" s="14"/>
      <c r="AA1564" s="16" t="str">
        <f t="shared" ca="1" si="1628"/>
        <v>Johnson &amp; Johnson</v>
      </c>
      <c r="AB1564" s="16">
        <f t="shared" si="1628"/>
        <v>0</v>
      </c>
      <c r="AC1564" s="16">
        <f t="shared" si="1628"/>
        <v>0</v>
      </c>
      <c r="AD1564" s="16">
        <f t="shared" si="1628"/>
        <v>0</v>
      </c>
      <c r="AE1564" s="16">
        <f t="shared" si="1628"/>
        <v>0</v>
      </c>
      <c r="AF1564" s="16">
        <f t="shared" si="1628"/>
        <v>0</v>
      </c>
      <c r="AG1564" s="16">
        <f t="shared" si="1628"/>
        <v>0</v>
      </c>
      <c r="AH1564" s="16">
        <f t="shared" si="1628"/>
        <v>0</v>
      </c>
      <c r="AI1564" s="16">
        <f t="shared" si="1628"/>
        <v>0</v>
      </c>
      <c r="AJ1564" s="16">
        <f t="shared" si="1628"/>
        <v>0</v>
      </c>
      <c r="AK1564" s="16">
        <f t="shared" si="1628"/>
        <v>0</v>
      </c>
      <c r="AL1564" s="16">
        <f t="shared" si="1628"/>
        <v>0</v>
      </c>
      <c r="AM1564" s="16">
        <f t="shared" si="1628"/>
        <v>0</v>
      </c>
      <c r="AN1564" s="16">
        <f t="shared" si="1628"/>
        <v>0</v>
      </c>
      <c r="AO1564" s="16">
        <f t="shared" si="1628"/>
        <v>0</v>
      </c>
      <c r="AP1564" s="10"/>
      <c r="AQ1564" s="10"/>
      <c r="AR1564" s="10"/>
      <c r="AS1564" s="10" t="str">
        <f t="shared" ca="1" si="1624"/>
        <v>Johnson &amp; Johnson</v>
      </c>
      <c r="AT1564" s="10"/>
      <c r="AU1564" s="10"/>
      <c r="AV1564" s="10"/>
      <c r="AW1564" s="10"/>
      <c r="AX1564" s="10"/>
      <c r="AY1564" s="10"/>
      <c r="AZ1564" s="10"/>
      <c r="BA1564" s="10"/>
      <c r="BB1564" s="10"/>
      <c r="BC1564" s="10"/>
      <c r="BD1564" s="10"/>
      <c r="BE1564" s="10"/>
      <c r="BF1564" s="10"/>
      <c r="BG1564" s="10"/>
      <c r="BH1564" s="10"/>
      <c r="BI1564" s="10"/>
      <c r="BJ1564" s="10"/>
      <c r="BK1564" s="10"/>
      <c r="BM1564" s="10"/>
    </row>
    <row r="1565" spans="1:65" ht="12.75">
      <c r="A1565" s="9"/>
      <c r="B1565" s="10"/>
      <c r="C1565" s="11"/>
      <c r="D1565" s="12"/>
      <c r="E1565" s="10"/>
      <c r="F1565" s="10"/>
      <c r="G1565" s="10"/>
      <c r="H1565" s="14"/>
      <c r="I1565" s="14"/>
      <c r="J1565" s="14"/>
      <c r="K1565" s="14"/>
      <c r="L1565" s="14"/>
      <c r="M1565" s="15"/>
      <c r="N1565" s="10"/>
      <c r="O1565" s="14"/>
      <c r="P1565" s="14"/>
      <c r="Q1565" s="14"/>
      <c r="R1565" s="14"/>
      <c r="S1565" s="14"/>
      <c r="T1565" s="14"/>
      <c r="U1565" s="14"/>
      <c r="V1565" s="14"/>
      <c r="W1565" s="14"/>
      <c r="X1565" s="14"/>
      <c r="Y1565" s="14"/>
      <c r="Z1565" s="14"/>
      <c r="AA1565" s="16" t="str">
        <f t="shared" ca="1" si="1628"/>
        <v>Johnson &amp; Johnson</v>
      </c>
      <c r="AB1565" s="16">
        <f t="shared" si="1628"/>
        <v>0</v>
      </c>
      <c r="AC1565" s="16">
        <f t="shared" si="1628"/>
        <v>0</v>
      </c>
      <c r="AD1565" s="16">
        <f t="shared" si="1628"/>
        <v>0</v>
      </c>
      <c r="AE1565" s="16">
        <f t="shared" si="1628"/>
        <v>0</v>
      </c>
      <c r="AF1565" s="16">
        <f t="shared" si="1628"/>
        <v>0</v>
      </c>
      <c r="AG1565" s="16">
        <f t="shared" si="1628"/>
        <v>0</v>
      </c>
      <c r="AH1565" s="16">
        <f t="shared" si="1628"/>
        <v>0</v>
      </c>
      <c r="AI1565" s="16">
        <f t="shared" si="1628"/>
        <v>0</v>
      </c>
      <c r="AJ1565" s="16">
        <f t="shared" si="1628"/>
        <v>0</v>
      </c>
      <c r="AK1565" s="16">
        <f t="shared" si="1628"/>
        <v>0</v>
      </c>
      <c r="AL1565" s="16">
        <f t="shared" si="1628"/>
        <v>0</v>
      </c>
      <c r="AM1565" s="16">
        <f t="shared" si="1628"/>
        <v>0</v>
      </c>
      <c r="AN1565" s="16">
        <f t="shared" si="1628"/>
        <v>0</v>
      </c>
      <c r="AO1565" s="16">
        <f t="shared" si="1628"/>
        <v>0</v>
      </c>
      <c r="AP1565" s="10"/>
      <c r="AQ1565" s="10"/>
      <c r="AR1565" s="10"/>
      <c r="AS1565" s="10" t="str">
        <f t="shared" ca="1" si="1624"/>
        <v>Johnson &amp; Johnson</v>
      </c>
      <c r="AT1565" s="10"/>
      <c r="AU1565" s="10"/>
      <c r="AV1565" s="10"/>
      <c r="AW1565" s="10"/>
      <c r="AX1565" s="10"/>
      <c r="AY1565" s="10"/>
      <c r="AZ1565" s="10"/>
      <c r="BA1565" s="10"/>
      <c r="BB1565" s="10"/>
      <c r="BC1565" s="10"/>
      <c r="BD1565" s="10"/>
      <c r="BE1565" s="10"/>
      <c r="BF1565" s="10"/>
      <c r="BG1565" s="10"/>
      <c r="BH1565" s="10"/>
      <c r="BI1565" s="10"/>
      <c r="BJ1565" s="10"/>
      <c r="BK1565" s="10"/>
      <c r="BM1565" s="10"/>
    </row>
    <row r="1566" spans="1:65" ht="12.75">
      <c r="A1566" s="9"/>
      <c r="B1566" s="10"/>
      <c r="C1566" s="11"/>
      <c r="D1566" s="12"/>
      <c r="E1566" s="10"/>
      <c r="F1566" s="10"/>
      <c r="G1566" s="10"/>
      <c r="H1566" s="14"/>
      <c r="I1566" s="14"/>
      <c r="J1566" s="14"/>
      <c r="K1566" s="14"/>
      <c r="L1566" s="14"/>
      <c r="M1566" s="15"/>
      <c r="N1566" s="10"/>
      <c r="O1566" s="14"/>
      <c r="P1566" s="14"/>
      <c r="Q1566" s="14"/>
      <c r="R1566" s="14"/>
      <c r="S1566" s="14"/>
      <c r="T1566" s="14"/>
      <c r="U1566" s="14"/>
      <c r="V1566" s="14"/>
      <c r="W1566" s="14"/>
      <c r="X1566" s="14"/>
      <c r="Y1566" s="14"/>
      <c r="Z1566" s="14"/>
      <c r="AA1566" s="16" t="str">
        <f t="shared" ca="1" si="1628"/>
        <v>Johnson &amp; Johnson</v>
      </c>
      <c r="AB1566" s="16">
        <f t="shared" si="1628"/>
        <v>0</v>
      </c>
      <c r="AC1566" s="16">
        <f t="shared" si="1628"/>
        <v>0</v>
      </c>
      <c r="AD1566" s="16">
        <f t="shared" si="1628"/>
        <v>0</v>
      </c>
      <c r="AE1566" s="16">
        <f t="shared" si="1628"/>
        <v>0</v>
      </c>
      <c r="AF1566" s="16">
        <f t="shared" si="1628"/>
        <v>0</v>
      </c>
      <c r="AG1566" s="16">
        <f t="shared" si="1628"/>
        <v>0</v>
      </c>
      <c r="AH1566" s="16">
        <f t="shared" si="1628"/>
        <v>0</v>
      </c>
      <c r="AI1566" s="16">
        <f t="shared" si="1628"/>
        <v>0</v>
      </c>
      <c r="AJ1566" s="16">
        <f t="shared" si="1628"/>
        <v>0</v>
      </c>
      <c r="AK1566" s="16">
        <f t="shared" si="1628"/>
        <v>0</v>
      </c>
      <c r="AL1566" s="16">
        <f t="shared" si="1628"/>
        <v>0</v>
      </c>
      <c r="AM1566" s="16">
        <f t="shared" si="1628"/>
        <v>0</v>
      </c>
      <c r="AN1566" s="16">
        <f t="shared" si="1628"/>
        <v>0</v>
      </c>
      <c r="AO1566" s="16">
        <f t="shared" si="1628"/>
        <v>0</v>
      </c>
      <c r="AP1566" s="10"/>
      <c r="AQ1566" s="10"/>
      <c r="AR1566" s="10"/>
      <c r="AS1566" s="10" t="str">
        <f t="shared" ca="1" si="1624"/>
        <v>Johnson &amp; Johnson</v>
      </c>
      <c r="AT1566" s="10"/>
      <c r="AU1566" s="10"/>
      <c r="AV1566" s="10"/>
      <c r="AW1566" s="10"/>
      <c r="AX1566" s="10"/>
      <c r="AY1566" s="10"/>
      <c r="AZ1566" s="10"/>
      <c r="BA1566" s="10"/>
      <c r="BB1566" s="10"/>
      <c r="BC1566" s="10"/>
      <c r="BD1566" s="10"/>
      <c r="BE1566" s="10"/>
      <c r="BF1566" s="10"/>
      <c r="BG1566" s="10"/>
      <c r="BH1566" s="10"/>
      <c r="BI1566" s="10"/>
      <c r="BJ1566" s="10"/>
      <c r="BK1566" s="10"/>
      <c r="BM1566" s="10"/>
    </row>
    <row r="1567" spans="1:65" ht="12.75">
      <c r="A1567" s="9"/>
      <c r="B1567" s="10"/>
      <c r="C1567" s="11"/>
      <c r="D1567" s="12"/>
      <c r="E1567" s="10"/>
      <c r="F1567" s="10"/>
      <c r="G1567" s="10"/>
      <c r="H1567" s="14"/>
      <c r="I1567" s="14"/>
      <c r="J1567" s="14"/>
      <c r="K1567" s="14"/>
      <c r="L1567" s="14"/>
      <c r="M1567" s="15"/>
      <c r="N1567" s="10"/>
      <c r="O1567" s="14"/>
      <c r="P1567" s="14"/>
      <c r="Q1567" s="14"/>
      <c r="R1567" s="14"/>
      <c r="S1567" s="14"/>
      <c r="T1567" s="14"/>
      <c r="U1567" s="14"/>
      <c r="V1567" s="14"/>
      <c r="W1567" s="14"/>
      <c r="X1567" s="14"/>
      <c r="Y1567" s="14"/>
      <c r="Z1567" s="14"/>
      <c r="AA1567" s="16" t="str">
        <f t="shared" ca="1" si="1628"/>
        <v>Johnson &amp; Johnson</v>
      </c>
      <c r="AB1567" s="16">
        <f t="shared" si="1628"/>
        <v>0</v>
      </c>
      <c r="AC1567" s="16">
        <f t="shared" si="1628"/>
        <v>0</v>
      </c>
      <c r="AD1567" s="16">
        <f t="shared" si="1628"/>
        <v>0</v>
      </c>
      <c r="AE1567" s="16">
        <f t="shared" si="1628"/>
        <v>0</v>
      </c>
      <c r="AF1567" s="16">
        <f t="shared" si="1628"/>
        <v>0</v>
      </c>
      <c r="AG1567" s="16">
        <f t="shared" si="1628"/>
        <v>0</v>
      </c>
      <c r="AH1567" s="16">
        <f t="shared" si="1628"/>
        <v>0</v>
      </c>
      <c r="AI1567" s="16">
        <f t="shared" si="1628"/>
        <v>0</v>
      </c>
      <c r="AJ1567" s="16">
        <f t="shared" si="1628"/>
        <v>0</v>
      </c>
      <c r="AK1567" s="16">
        <f t="shared" si="1628"/>
        <v>0</v>
      </c>
      <c r="AL1567" s="16">
        <f t="shared" si="1628"/>
        <v>0</v>
      </c>
      <c r="AM1567" s="16">
        <f t="shared" si="1628"/>
        <v>0</v>
      </c>
      <c r="AN1567" s="16">
        <f t="shared" si="1628"/>
        <v>0</v>
      </c>
      <c r="AO1567" s="16">
        <f t="shared" si="1628"/>
        <v>0</v>
      </c>
      <c r="AP1567" s="10"/>
      <c r="AQ1567" s="10"/>
      <c r="AR1567" s="10"/>
      <c r="AS1567" s="10" t="str">
        <f t="shared" ca="1" si="1624"/>
        <v>Johnson &amp; Johnson</v>
      </c>
      <c r="AT1567" s="10"/>
      <c r="AU1567" s="10"/>
      <c r="AV1567" s="10"/>
      <c r="AW1567" s="10"/>
      <c r="AX1567" s="10"/>
      <c r="AY1567" s="10"/>
      <c r="AZ1567" s="10"/>
      <c r="BA1567" s="10"/>
      <c r="BB1567" s="10"/>
      <c r="BC1567" s="10"/>
      <c r="BD1567" s="10"/>
      <c r="BE1567" s="10"/>
      <c r="BF1567" s="10"/>
      <c r="BG1567" s="10"/>
      <c r="BH1567" s="10"/>
      <c r="BI1567" s="10"/>
      <c r="BJ1567" s="10"/>
      <c r="BK1567" s="10"/>
      <c r="BM1567" s="10"/>
    </row>
    <row r="1568" spans="1:65" ht="12.75">
      <c r="A1568" s="9"/>
      <c r="B1568" s="10"/>
      <c r="C1568" s="11"/>
      <c r="D1568" s="12"/>
      <c r="E1568" s="10"/>
      <c r="F1568" s="10"/>
      <c r="G1568" s="10"/>
      <c r="H1568" s="14"/>
      <c r="I1568" s="14"/>
      <c r="J1568" s="14"/>
      <c r="K1568" s="14"/>
      <c r="L1568" s="14"/>
      <c r="M1568" s="15"/>
      <c r="N1568" s="10"/>
      <c r="O1568" s="14"/>
      <c r="P1568" s="14"/>
      <c r="Q1568" s="14"/>
      <c r="R1568" s="14"/>
      <c r="S1568" s="14"/>
      <c r="T1568" s="14"/>
      <c r="U1568" s="14"/>
      <c r="V1568" s="14"/>
      <c r="W1568" s="14"/>
      <c r="X1568" s="14"/>
      <c r="Y1568" s="14"/>
      <c r="Z1568" s="14"/>
      <c r="AA1568" s="16" t="str">
        <f t="shared" ca="1" si="1628"/>
        <v>Johnson &amp; Johnson</v>
      </c>
      <c r="AB1568" s="16">
        <f t="shared" si="1628"/>
        <v>0</v>
      </c>
      <c r="AC1568" s="16">
        <f t="shared" si="1628"/>
        <v>0</v>
      </c>
      <c r="AD1568" s="16">
        <f t="shared" si="1628"/>
        <v>0</v>
      </c>
      <c r="AE1568" s="16">
        <f t="shared" si="1628"/>
        <v>0</v>
      </c>
      <c r="AF1568" s="16">
        <f t="shared" si="1628"/>
        <v>0</v>
      </c>
      <c r="AG1568" s="16">
        <f t="shared" si="1628"/>
        <v>0</v>
      </c>
      <c r="AH1568" s="16">
        <f t="shared" si="1628"/>
        <v>0</v>
      </c>
      <c r="AI1568" s="16">
        <f t="shared" si="1628"/>
        <v>0</v>
      </c>
      <c r="AJ1568" s="16">
        <f t="shared" si="1628"/>
        <v>0</v>
      </c>
      <c r="AK1568" s="16">
        <f t="shared" si="1628"/>
        <v>0</v>
      </c>
      <c r="AL1568" s="16">
        <f t="shared" si="1628"/>
        <v>0</v>
      </c>
      <c r="AM1568" s="16">
        <f t="shared" si="1628"/>
        <v>0</v>
      </c>
      <c r="AN1568" s="16">
        <f t="shared" si="1628"/>
        <v>0</v>
      </c>
      <c r="AO1568" s="16">
        <f t="shared" si="1628"/>
        <v>0</v>
      </c>
      <c r="AP1568" s="10"/>
      <c r="AQ1568" s="10"/>
      <c r="AR1568" s="10"/>
      <c r="AS1568" s="10" t="str">
        <f t="shared" ca="1" si="1624"/>
        <v>Johnson &amp; Johnson</v>
      </c>
      <c r="AT1568" s="10"/>
      <c r="AU1568" s="10"/>
      <c r="AV1568" s="10"/>
      <c r="AW1568" s="10"/>
      <c r="AX1568" s="10"/>
      <c r="AY1568" s="10"/>
      <c r="AZ1568" s="10"/>
      <c r="BA1568" s="10"/>
      <c r="BB1568" s="10"/>
      <c r="BC1568" s="10"/>
      <c r="BD1568" s="10"/>
      <c r="BE1568" s="10"/>
      <c r="BF1568" s="10"/>
      <c r="BG1568" s="10"/>
      <c r="BH1568" s="10"/>
      <c r="BI1568" s="10"/>
      <c r="BJ1568" s="10"/>
      <c r="BK1568" s="10"/>
      <c r="BM1568" s="10"/>
    </row>
    <row r="1569" spans="1:65" ht="12.75">
      <c r="A1569" s="9"/>
      <c r="B1569" s="10"/>
      <c r="C1569" s="11"/>
      <c r="D1569" s="12"/>
      <c r="E1569" s="10"/>
      <c r="F1569" s="10"/>
      <c r="G1569" s="10"/>
      <c r="H1569" s="14"/>
      <c r="I1569" s="14"/>
      <c r="J1569" s="14"/>
      <c r="K1569" s="14"/>
      <c r="L1569" s="14"/>
      <c r="M1569" s="15"/>
      <c r="N1569" s="10"/>
      <c r="O1569" s="14"/>
      <c r="P1569" s="14"/>
      <c r="Q1569" s="14"/>
      <c r="R1569" s="14"/>
      <c r="S1569" s="14"/>
      <c r="T1569" s="14"/>
      <c r="U1569" s="14"/>
      <c r="V1569" s="14"/>
      <c r="W1569" s="14"/>
      <c r="X1569" s="14"/>
      <c r="Y1569" s="14"/>
      <c r="Z1569" s="14"/>
      <c r="AA1569" s="16" t="str">
        <f t="shared" ca="1" si="1628"/>
        <v>Johnson &amp; Johnson</v>
      </c>
      <c r="AB1569" s="16">
        <f t="shared" si="1628"/>
        <v>0</v>
      </c>
      <c r="AC1569" s="16">
        <f t="shared" si="1628"/>
        <v>0</v>
      </c>
      <c r="AD1569" s="16">
        <f t="shared" si="1628"/>
        <v>0</v>
      </c>
      <c r="AE1569" s="16">
        <f t="shared" si="1628"/>
        <v>0</v>
      </c>
      <c r="AF1569" s="16">
        <f t="shared" si="1628"/>
        <v>0</v>
      </c>
      <c r="AG1569" s="16">
        <f t="shared" si="1628"/>
        <v>0</v>
      </c>
      <c r="AH1569" s="16">
        <f t="shared" si="1628"/>
        <v>0</v>
      </c>
      <c r="AI1569" s="16">
        <f t="shared" si="1628"/>
        <v>0</v>
      </c>
      <c r="AJ1569" s="16">
        <f t="shared" si="1628"/>
        <v>0</v>
      </c>
      <c r="AK1569" s="16">
        <f t="shared" si="1628"/>
        <v>0</v>
      </c>
      <c r="AL1569" s="16">
        <f t="shared" si="1628"/>
        <v>0</v>
      </c>
      <c r="AM1569" s="16">
        <f t="shared" si="1628"/>
        <v>0</v>
      </c>
      <c r="AN1569" s="16">
        <f t="shared" si="1628"/>
        <v>0</v>
      </c>
      <c r="AO1569" s="16">
        <f t="shared" si="1628"/>
        <v>0</v>
      </c>
      <c r="AP1569" s="10"/>
      <c r="AQ1569" s="10"/>
      <c r="AR1569" s="10"/>
      <c r="AS1569" s="10" t="str">
        <f t="shared" ca="1" si="1624"/>
        <v>Johnson &amp; Johnson</v>
      </c>
      <c r="AT1569" s="10"/>
      <c r="AU1569" s="10"/>
      <c r="AV1569" s="10"/>
      <c r="AW1569" s="10"/>
      <c r="AX1569" s="10"/>
      <c r="AY1569" s="10"/>
      <c r="AZ1569" s="10"/>
      <c r="BA1569" s="10"/>
      <c r="BB1569" s="10"/>
      <c r="BC1569" s="10"/>
      <c r="BD1569" s="10"/>
      <c r="BE1569" s="10"/>
      <c r="BF1569" s="10"/>
      <c r="BG1569" s="10"/>
      <c r="BH1569" s="10"/>
      <c r="BI1569" s="10"/>
      <c r="BJ1569" s="10"/>
      <c r="BK1569" s="10"/>
      <c r="BM1569" s="10"/>
    </row>
    <row r="1570" spans="1:65" ht="12.75">
      <c r="A1570" s="9"/>
      <c r="B1570" s="10"/>
      <c r="C1570" s="11"/>
      <c r="D1570" s="12"/>
      <c r="E1570" s="10"/>
      <c r="F1570" s="10"/>
      <c r="G1570" s="10"/>
      <c r="H1570" s="14"/>
      <c r="I1570" s="14"/>
      <c r="J1570" s="14"/>
      <c r="K1570" s="14"/>
      <c r="L1570" s="14"/>
      <c r="M1570" s="15"/>
      <c r="N1570" s="10"/>
      <c r="O1570" s="14"/>
      <c r="P1570" s="14"/>
      <c r="Q1570" s="14"/>
      <c r="R1570" s="14"/>
      <c r="S1570" s="14"/>
      <c r="T1570" s="14"/>
      <c r="U1570" s="14"/>
      <c r="V1570" s="14"/>
      <c r="W1570" s="14"/>
      <c r="X1570" s="14"/>
      <c r="Y1570" s="14"/>
      <c r="Z1570" s="14"/>
      <c r="AA1570" s="16" t="str">
        <f t="shared" ca="1" si="1628"/>
        <v>Johnson &amp; Johnson</v>
      </c>
      <c r="AB1570" s="16">
        <f t="shared" si="1628"/>
        <v>0</v>
      </c>
      <c r="AC1570" s="16">
        <f t="shared" si="1628"/>
        <v>0</v>
      </c>
      <c r="AD1570" s="16">
        <f t="shared" si="1628"/>
        <v>0</v>
      </c>
      <c r="AE1570" s="16">
        <f t="shared" si="1628"/>
        <v>0</v>
      </c>
      <c r="AF1570" s="16">
        <f t="shared" si="1628"/>
        <v>0</v>
      </c>
      <c r="AG1570" s="16">
        <f t="shared" si="1628"/>
        <v>0</v>
      </c>
      <c r="AH1570" s="16">
        <f t="shared" si="1628"/>
        <v>0</v>
      </c>
      <c r="AI1570" s="16">
        <f t="shared" si="1628"/>
        <v>0</v>
      </c>
      <c r="AJ1570" s="16">
        <f t="shared" si="1628"/>
        <v>0</v>
      </c>
      <c r="AK1570" s="16">
        <f t="shared" si="1628"/>
        <v>0</v>
      </c>
      <c r="AL1570" s="16">
        <f t="shared" si="1628"/>
        <v>0</v>
      </c>
      <c r="AM1570" s="16">
        <f t="shared" si="1628"/>
        <v>0</v>
      </c>
      <c r="AN1570" s="16">
        <f t="shared" si="1628"/>
        <v>0</v>
      </c>
      <c r="AO1570" s="16">
        <f t="shared" si="1628"/>
        <v>0</v>
      </c>
      <c r="AP1570" s="10"/>
      <c r="AQ1570" s="10"/>
      <c r="AR1570" s="10"/>
      <c r="AS1570" s="10" t="str">
        <f t="shared" ca="1" si="1624"/>
        <v>Johnson &amp; Johnson</v>
      </c>
      <c r="AT1570" s="10"/>
      <c r="AU1570" s="10"/>
      <c r="AV1570" s="10"/>
      <c r="AW1570" s="10"/>
      <c r="AX1570" s="10"/>
      <c r="AY1570" s="10"/>
      <c r="AZ1570" s="10"/>
      <c r="BA1570" s="10"/>
      <c r="BB1570" s="10"/>
      <c r="BC1570" s="10"/>
      <c r="BD1570" s="10"/>
      <c r="BE1570" s="10"/>
      <c r="BF1570" s="10"/>
      <c r="BG1570" s="10"/>
      <c r="BH1570" s="10"/>
      <c r="BI1570" s="10"/>
      <c r="BJ1570" s="10"/>
      <c r="BK1570" s="10"/>
      <c r="BM1570" s="10"/>
    </row>
    <row r="1571" spans="1:65" ht="12.75">
      <c r="A1571" s="9"/>
      <c r="B1571" s="10"/>
      <c r="C1571" s="11"/>
      <c r="D1571" s="12"/>
      <c r="E1571" s="10"/>
      <c r="F1571" s="10"/>
      <c r="G1571" s="10"/>
      <c r="H1571" s="14"/>
      <c r="I1571" s="14"/>
      <c r="J1571" s="14"/>
      <c r="K1571" s="14"/>
      <c r="L1571" s="14"/>
      <c r="M1571" s="15"/>
      <c r="N1571" s="10"/>
      <c r="O1571" s="14"/>
      <c r="P1571" s="14"/>
      <c r="Q1571" s="14"/>
      <c r="R1571" s="14"/>
      <c r="S1571" s="14"/>
      <c r="T1571" s="14"/>
      <c r="U1571" s="14"/>
      <c r="V1571" s="14"/>
      <c r="W1571" s="14"/>
      <c r="X1571" s="14"/>
      <c r="Y1571" s="14"/>
      <c r="Z1571" s="14"/>
      <c r="AA1571" s="16" t="str">
        <f t="shared" ca="1" si="1628"/>
        <v>Johnson &amp; Johnson</v>
      </c>
      <c r="AB1571" s="16">
        <f t="shared" si="1628"/>
        <v>0</v>
      </c>
      <c r="AC1571" s="16">
        <f t="shared" si="1628"/>
        <v>0</v>
      </c>
      <c r="AD1571" s="16">
        <f t="shared" si="1628"/>
        <v>0</v>
      </c>
      <c r="AE1571" s="16">
        <f t="shared" si="1628"/>
        <v>0</v>
      </c>
      <c r="AF1571" s="16">
        <f t="shared" si="1628"/>
        <v>0</v>
      </c>
      <c r="AG1571" s="16">
        <f t="shared" si="1628"/>
        <v>0</v>
      </c>
      <c r="AH1571" s="16">
        <f t="shared" si="1628"/>
        <v>0</v>
      </c>
      <c r="AI1571" s="16">
        <f t="shared" si="1628"/>
        <v>0</v>
      </c>
      <c r="AJ1571" s="16">
        <f t="shared" si="1628"/>
        <v>0</v>
      </c>
      <c r="AK1571" s="16">
        <f t="shared" si="1628"/>
        <v>0</v>
      </c>
      <c r="AL1571" s="16">
        <f t="shared" si="1628"/>
        <v>0</v>
      </c>
      <c r="AM1571" s="16">
        <f t="shared" si="1628"/>
        <v>0</v>
      </c>
      <c r="AN1571" s="16">
        <f t="shared" si="1628"/>
        <v>0</v>
      </c>
      <c r="AO1571" s="16">
        <f t="shared" si="1628"/>
        <v>0</v>
      </c>
      <c r="AP1571" s="10"/>
      <c r="AQ1571" s="10"/>
      <c r="AR1571" s="10"/>
      <c r="AS1571" s="10" t="str">
        <f t="shared" ca="1" si="1624"/>
        <v>Johnson &amp; Johnson</v>
      </c>
      <c r="AT1571" s="10"/>
      <c r="AU1571" s="10"/>
      <c r="AV1571" s="10"/>
      <c r="AW1571" s="10"/>
      <c r="AX1571" s="10"/>
      <c r="AY1571" s="10"/>
      <c r="AZ1571" s="10"/>
      <c r="BA1571" s="10"/>
      <c r="BB1571" s="10"/>
      <c r="BC1571" s="10"/>
      <c r="BD1571" s="10"/>
      <c r="BE1571" s="10"/>
      <c r="BF1571" s="10"/>
      <c r="BG1571" s="10"/>
      <c r="BH1571" s="10"/>
      <c r="BI1571" s="10"/>
      <c r="BJ1571" s="10"/>
      <c r="BK1571" s="10"/>
      <c r="BM1571" s="10"/>
    </row>
    <row r="1572" spans="1:65" ht="12.75">
      <c r="A1572" s="9"/>
      <c r="B1572" s="10"/>
      <c r="C1572" s="11"/>
      <c r="D1572" s="12"/>
      <c r="E1572" s="10"/>
      <c r="F1572" s="10"/>
      <c r="G1572" s="10"/>
      <c r="H1572" s="14"/>
      <c r="I1572" s="14"/>
      <c r="J1572" s="14"/>
      <c r="K1572" s="14"/>
      <c r="L1572" s="14"/>
      <c r="M1572" s="15"/>
      <c r="N1572" s="10"/>
      <c r="O1572" s="14"/>
      <c r="P1572" s="14"/>
      <c r="Q1572" s="14"/>
      <c r="R1572" s="14"/>
      <c r="S1572" s="14"/>
      <c r="T1572" s="14"/>
      <c r="U1572" s="14"/>
      <c r="V1572" s="14"/>
      <c r="W1572" s="14"/>
      <c r="X1572" s="14"/>
      <c r="Y1572" s="14"/>
      <c r="Z1572" s="14"/>
      <c r="AA1572" s="16" t="str">
        <f t="shared" ca="1" si="1628"/>
        <v>Johnson &amp; Johnson</v>
      </c>
      <c r="AB1572" s="16">
        <f t="shared" si="1628"/>
        <v>0</v>
      </c>
      <c r="AC1572" s="16">
        <f t="shared" si="1628"/>
        <v>0</v>
      </c>
      <c r="AD1572" s="16">
        <f t="shared" si="1628"/>
        <v>0</v>
      </c>
      <c r="AE1572" s="16">
        <f t="shared" si="1628"/>
        <v>0</v>
      </c>
      <c r="AF1572" s="16">
        <f t="shared" si="1628"/>
        <v>0</v>
      </c>
      <c r="AG1572" s="16">
        <f t="shared" si="1628"/>
        <v>0</v>
      </c>
      <c r="AH1572" s="16">
        <f t="shared" si="1628"/>
        <v>0</v>
      </c>
      <c r="AI1572" s="16">
        <f t="shared" si="1628"/>
        <v>0</v>
      </c>
      <c r="AJ1572" s="16">
        <f t="shared" si="1628"/>
        <v>0</v>
      </c>
      <c r="AK1572" s="16">
        <f t="shared" si="1628"/>
        <v>0</v>
      </c>
      <c r="AL1572" s="16">
        <f t="shared" si="1628"/>
        <v>0</v>
      </c>
      <c r="AM1572" s="16">
        <f t="shared" si="1628"/>
        <v>0</v>
      </c>
      <c r="AN1572" s="16">
        <f t="shared" si="1628"/>
        <v>0</v>
      </c>
      <c r="AO1572" s="16">
        <f t="shared" si="1628"/>
        <v>0</v>
      </c>
      <c r="AP1572" s="10"/>
      <c r="AQ1572" s="10"/>
      <c r="AR1572" s="10"/>
      <c r="AS1572" s="10" t="str">
        <f t="shared" ca="1" si="1624"/>
        <v>Johnson &amp; Johnson</v>
      </c>
      <c r="AT1572" s="10"/>
      <c r="AU1572" s="10"/>
      <c r="AV1572" s="10"/>
      <c r="AW1572" s="10"/>
      <c r="AX1572" s="10"/>
      <c r="AY1572" s="10"/>
      <c r="AZ1572" s="10"/>
      <c r="BA1572" s="10"/>
      <c r="BB1572" s="10"/>
      <c r="BC1572" s="10"/>
      <c r="BD1572" s="10"/>
      <c r="BE1572" s="10"/>
      <c r="BF1572" s="10"/>
      <c r="BG1572" s="10"/>
      <c r="BH1572" s="10"/>
      <c r="BI1572" s="10"/>
      <c r="BJ1572" s="10"/>
      <c r="BK1572" s="10"/>
      <c r="BM1572" s="10"/>
    </row>
    <row r="1573" spans="1:65" ht="12.75">
      <c r="A1573" s="9"/>
      <c r="B1573" s="10"/>
      <c r="C1573" s="11"/>
      <c r="D1573" s="12"/>
      <c r="E1573" s="10"/>
      <c r="F1573" s="10"/>
      <c r="G1573" s="10"/>
      <c r="H1573" s="14"/>
      <c r="I1573" s="14"/>
      <c r="J1573" s="14"/>
      <c r="K1573" s="14"/>
      <c r="L1573" s="14"/>
      <c r="M1573" s="15"/>
      <c r="N1573" s="10"/>
      <c r="O1573" s="14"/>
      <c r="P1573" s="14"/>
      <c r="Q1573" s="14"/>
      <c r="R1573" s="14"/>
      <c r="S1573" s="14"/>
      <c r="T1573" s="14"/>
      <c r="U1573" s="14"/>
      <c r="V1573" s="14"/>
      <c r="W1573" s="14"/>
      <c r="X1573" s="14"/>
      <c r="Y1573" s="14"/>
      <c r="Z1573" s="14"/>
      <c r="AA1573" s="16" t="str">
        <f t="shared" ca="1" si="1628"/>
        <v>Johnson &amp; Johnson</v>
      </c>
      <c r="AB1573" s="16">
        <f t="shared" si="1628"/>
        <v>0</v>
      </c>
      <c r="AC1573" s="16">
        <f t="shared" si="1628"/>
        <v>0</v>
      </c>
      <c r="AD1573" s="16">
        <f t="shared" si="1628"/>
        <v>0</v>
      </c>
      <c r="AE1573" s="16">
        <f t="shared" si="1628"/>
        <v>0</v>
      </c>
      <c r="AF1573" s="16">
        <f t="shared" si="1628"/>
        <v>0</v>
      </c>
      <c r="AG1573" s="16">
        <f t="shared" si="1628"/>
        <v>0</v>
      </c>
      <c r="AH1573" s="16">
        <f t="shared" si="1628"/>
        <v>0</v>
      </c>
      <c r="AI1573" s="16">
        <f t="shared" si="1628"/>
        <v>0</v>
      </c>
      <c r="AJ1573" s="16">
        <f t="shared" si="1628"/>
        <v>0</v>
      </c>
      <c r="AK1573" s="16">
        <f t="shared" si="1628"/>
        <v>0</v>
      </c>
      <c r="AL1573" s="16">
        <f t="shared" si="1628"/>
        <v>0</v>
      </c>
      <c r="AM1573" s="16">
        <f t="shared" si="1628"/>
        <v>0</v>
      </c>
      <c r="AN1573" s="16">
        <f t="shared" si="1628"/>
        <v>0</v>
      </c>
      <c r="AO1573" s="16">
        <f t="shared" si="1628"/>
        <v>0</v>
      </c>
      <c r="AP1573" s="10"/>
      <c r="AQ1573" s="10"/>
      <c r="AR1573" s="10"/>
      <c r="AS1573" s="10" t="str">
        <f t="shared" ca="1" si="1624"/>
        <v>Johnson &amp; Johnson</v>
      </c>
      <c r="AT1573" s="10"/>
      <c r="AU1573" s="10"/>
      <c r="AV1573" s="10"/>
      <c r="AW1573" s="10"/>
      <c r="AX1573" s="10"/>
      <c r="AY1573" s="10"/>
      <c r="AZ1573" s="10"/>
      <c r="BA1573" s="10"/>
      <c r="BB1573" s="10"/>
      <c r="BC1573" s="10"/>
      <c r="BD1573" s="10"/>
      <c r="BE1573" s="10"/>
      <c r="BF1573" s="10"/>
      <c r="BG1573" s="10"/>
      <c r="BH1573" s="10"/>
      <c r="BI1573" s="10"/>
      <c r="BJ1573" s="10"/>
      <c r="BK1573" s="10"/>
      <c r="BM1573" s="10"/>
    </row>
    <row r="1574" spans="1:65" ht="12.75">
      <c r="A1574" s="9"/>
      <c r="B1574" s="10"/>
      <c r="C1574" s="11"/>
      <c r="D1574" s="12"/>
      <c r="E1574" s="10"/>
      <c r="F1574" s="10"/>
      <c r="G1574" s="10"/>
      <c r="H1574" s="14"/>
      <c r="I1574" s="14"/>
      <c r="J1574" s="14"/>
      <c r="K1574" s="14"/>
      <c r="L1574" s="14"/>
      <c r="M1574" s="15"/>
      <c r="N1574" s="10"/>
      <c r="O1574" s="14"/>
      <c r="P1574" s="14"/>
      <c r="Q1574" s="14"/>
      <c r="R1574" s="14"/>
      <c r="S1574" s="14"/>
      <c r="T1574" s="14"/>
      <c r="U1574" s="14"/>
      <c r="V1574" s="14"/>
      <c r="W1574" s="14"/>
      <c r="X1574" s="14"/>
      <c r="Y1574" s="14"/>
      <c r="Z1574" s="14"/>
      <c r="AA1574" s="16" t="str">
        <f t="shared" ca="1" si="1628"/>
        <v>Johnson &amp; Johnson</v>
      </c>
      <c r="AB1574" s="16">
        <f t="shared" si="1628"/>
        <v>0</v>
      </c>
      <c r="AC1574" s="16">
        <f t="shared" si="1628"/>
        <v>0</v>
      </c>
      <c r="AD1574" s="16">
        <f t="shared" si="1628"/>
        <v>0</v>
      </c>
      <c r="AE1574" s="16">
        <f t="shared" si="1628"/>
        <v>0</v>
      </c>
      <c r="AF1574" s="16">
        <f t="shared" si="1628"/>
        <v>0</v>
      </c>
      <c r="AG1574" s="16">
        <f t="shared" si="1628"/>
        <v>0</v>
      </c>
      <c r="AH1574" s="16">
        <f t="shared" si="1628"/>
        <v>0</v>
      </c>
      <c r="AI1574" s="16">
        <f t="shared" si="1628"/>
        <v>0</v>
      </c>
      <c r="AJ1574" s="16">
        <f t="shared" si="1628"/>
        <v>0</v>
      </c>
      <c r="AK1574" s="16">
        <f t="shared" si="1628"/>
        <v>0</v>
      </c>
      <c r="AL1574" s="16">
        <f t="shared" si="1628"/>
        <v>0</v>
      </c>
      <c r="AM1574" s="16">
        <f t="shared" si="1628"/>
        <v>0</v>
      </c>
      <c r="AN1574" s="16">
        <f t="shared" si="1628"/>
        <v>0</v>
      </c>
      <c r="AO1574" s="16">
        <f t="shared" si="1628"/>
        <v>0</v>
      </c>
      <c r="AP1574" s="10"/>
      <c r="AQ1574" s="10"/>
      <c r="AR1574" s="10"/>
      <c r="AS1574" s="10" t="str">
        <f t="shared" ca="1" si="1624"/>
        <v>Johnson &amp; Johnson</v>
      </c>
      <c r="AT1574" s="10"/>
      <c r="AU1574" s="10"/>
      <c r="AV1574" s="10"/>
      <c r="AW1574" s="10"/>
      <c r="AX1574" s="10"/>
      <c r="AY1574" s="10"/>
      <c r="AZ1574" s="10"/>
      <c r="BA1574" s="10"/>
      <c r="BB1574" s="10"/>
      <c r="BC1574" s="10"/>
      <c r="BD1574" s="10"/>
      <c r="BE1574" s="10"/>
      <c r="BF1574" s="10"/>
      <c r="BG1574" s="10"/>
      <c r="BH1574" s="10"/>
      <c r="BI1574" s="10"/>
      <c r="BJ1574" s="10"/>
      <c r="BK1574" s="10"/>
      <c r="BM1574" s="10"/>
    </row>
    <row r="1575" spans="1:65" ht="12.75">
      <c r="A1575" s="9"/>
      <c r="B1575" s="10"/>
      <c r="C1575" s="11"/>
      <c r="D1575" s="12"/>
      <c r="E1575" s="10"/>
      <c r="F1575" s="10"/>
      <c r="G1575" s="10"/>
      <c r="H1575" s="14"/>
      <c r="I1575" s="14"/>
      <c r="J1575" s="14"/>
      <c r="K1575" s="14"/>
      <c r="L1575" s="14"/>
      <c r="M1575" s="15"/>
      <c r="N1575" s="10"/>
      <c r="O1575" s="14"/>
      <c r="P1575" s="14"/>
      <c r="Q1575" s="14"/>
      <c r="R1575" s="14"/>
      <c r="S1575" s="14"/>
      <c r="T1575" s="14"/>
      <c r="U1575" s="14"/>
      <c r="V1575" s="14"/>
      <c r="W1575" s="14"/>
      <c r="X1575" s="14"/>
      <c r="Y1575" s="14"/>
      <c r="Z1575" s="14"/>
      <c r="AA1575" s="16" t="str">
        <f t="shared" ca="1" si="1628"/>
        <v>Johnson &amp; Johnson</v>
      </c>
      <c r="AB1575" s="16">
        <f t="shared" si="1628"/>
        <v>0</v>
      </c>
      <c r="AC1575" s="16">
        <f t="shared" si="1628"/>
        <v>0</v>
      </c>
      <c r="AD1575" s="16">
        <f t="shared" si="1628"/>
        <v>0</v>
      </c>
      <c r="AE1575" s="16">
        <f t="shared" si="1628"/>
        <v>0</v>
      </c>
      <c r="AF1575" s="16">
        <f t="shared" si="1628"/>
        <v>0</v>
      </c>
      <c r="AG1575" s="16">
        <f t="shared" si="1628"/>
        <v>0</v>
      </c>
      <c r="AH1575" s="16">
        <f t="shared" si="1628"/>
        <v>0</v>
      </c>
      <c r="AI1575" s="16">
        <f t="shared" si="1628"/>
        <v>0</v>
      </c>
      <c r="AJ1575" s="16">
        <f t="shared" si="1628"/>
        <v>0</v>
      </c>
      <c r="AK1575" s="16">
        <f t="shared" si="1628"/>
        <v>0</v>
      </c>
      <c r="AL1575" s="16">
        <f t="shared" si="1628"/>
        <v>0</v>
      </c>
      <c r="AM1575" s="16">
        <f t="shared" si="1628"/>
        <v>0</v>
      </c>
      <c r="AN1575" s="16">
        <f t="shared" si="1628"/>
        <v>0</v>
      </c>
      <c r="AO1575" s="16">
        <f t="shared" si="1628"/>
        <v>0</v>
      </c>
      <c r="AP1575" s="10"/>
      <c r="AQ1575" s="10"/>
      <c r="AR1575" s="10"/>
      <c r="AS1575" s="10" t="str">
        <f t="shared" ca="1" si="1624"/>
        <v>Johnson &amp; Johnson</v>
      </c>
      <c r="AT1575" s="10"/>
      <c r="AU1575" s="10"/>
      <c r="AV1575" s="10"/>
      <c r="AW1575" s="10"/>
      <c r="AX1575" s="10"/>
      <c r="AY1575" s="10"/>
      <c r="AZ1575" s="10"/>
      <c r="BA1575" s="10"/>
      <c r="BB1575" s="10"/>
      <c r="BC1575" s="10"/>
      <c r="BD1575" s="10"/>
      <c r="BE1575" s="10"/>
      <c r="BF1575" s="10"/>
      <c r="BG1575" s="10"/>
      <c r="BH1575" s="10"/>
      <c r="BI1575" s="10"/>
      <c r="BJ1575" s="10"/>
      <c r="BK1575" s="10"/>
      <c r="BM1575" s="10"/>
    </row>
    <row r="1576" spans="1:65" ht="12.75">
      <c r="A1576" s="9"/>
      <c r="B1576" s="10"/>
      <c r="C1576" s="11"/>
      <c r="D1576" s="12"/>
      <c r="E1576" s="10"/>
      <c r="F1576" s="10"/>
      <c r="G1576" s="10"/>
      <c r="H1576" s="14"/>
      <c r="I1576" s="14"/>
      <c r="J1576" s="14"/>
      <c r="K1576" s="14"/>
      <c r="L1576" s="14"/>
      <c r="M1576" s="15"/>
      <c r="N1576" s="10"/>
      <c r="O1576" s="14"/>
      <c r="P1576" s="14"/>
      <c r="Q1576" s="14"/>
      <c r="R1576" s="14"/>
      <c r="S1576" s="14"/>
      <c r="T1576" s="14"/>
      <c r="U1576" s="14"/>
      <c r="V1576" s="14"/>
      <c r="W1576" s="14"/>
      <c r="X1576" s="14"/>
      <c r="Y1576" s="14"/>
      <c r="Z1576" s="14"/>
      <c r="AA1576" s="16" t="str">
        <f t="shared" ca="1" si="1628"/>
        <v>Johnson &amp; Johnson</v>
      </c>
      <c r="AB1576" s="16">
        <f t="shared" si="1628"/>
        <v>0</v>
      </c>
      <c r="AC1576" s="16">
        <f t="shared" si="1628"/>
        <v>0</v>
      </c>
      <c r="AD1576" s="16">
        <f t="shared" si="1628"/>
        <v>0</v>
      </c>
      <c r="AE1576" s="16">
        <f t="shared" si="1628"/>
        <v>0</v>
      </c>
      <c r="AF1576" s="16">
        <f t="shared" si="1628"/>
        <v>0</v>
      </c>
      <c r="AG1576" s="16">
        <f t="shared" si="1628"/>
        <v>0</v>
      </c>
      <c r="AH1576" s="16">
        <f t="shared" si="1628"/>
        <v>0</v>
      </c>
      <c r="AI1576" s="16">
        <f t="shared" si="1628"/>
        <v>0</v>
      </c>
      <c r="AJ1576" s="16">
        <f t="shared" si="1628"/>
        <v>0</v>
      </c>
      <c r="AK1576" s="16">
        <f t="shared" si="1628"/>
        <v>0</v>
      </c>
      <c r="AL1576" s="16">
        <f t="shared" si="1628"/>
        <v>0</v>
      </c>
      <c r="AM1576" s="16">
        <f t="shared" si="1628"/>
        <v>0</v>
      </c>
      <c r="AN1576" s="16">
        <f t="shared" si="1628"/>
        <v>0</v>
      </c>
      <c r="AO1576" s="16">
        <f t="shared" si="1628"/>
        <v>0</v>
      </c>
      <c r="AP1576" s="10"/>
      <c r="AQ1576" s="10"/>
      <c r="AR1576" s="10"/>
      <c r="AS1576" s="10" t="str">
        <f t="shared" ca="1" si="1624"/>
        <v>Johnson &amp; Johnson</v>
      </c>
      <c r="AT1576" s="10"/>
      <c r="AU1576" s="10"/>
      <c r="AV1576" s="10"/>
      <c r="AW1576" s="10"/>
      <c r="AX1576" s="10"/>
      <c r="AY1576" s="10"/>
      <c r="AZ1576" s="10"/>
      <c r="BA1576" s="10"/>
      <c r="BB1576" s="10"/>
      <c r="BC1576" s="10"/>
      <c r="BD1576" s="10"/>
      <c r="BE1576" s="10"/>
      <c r="BF1576" s="10"/>
      <c r="BG1576" s="10"/>
      <c r="BH1576" s="10"/>
      <c r="BI1576" s="10"/>
      <c r="BJ1576" s="10"/>
      <c r="BK1576" s="10"/>
      <c r="BM1576" s="10"/>
    </row>
    <row r="1577" spans="1:65" ht="12.75">
      <c r="A1577" s="9"/>
      <c r="B1577" s="10"/>
      <c r="C1577" s="11"/>
      <c r="D1577" s="12"/>
      <c r="E1577" s="10"/>
      <c r="F1577" s="10"/>
      <c r="G1577" s="10"/>
      <c r="H1577" s="14"/>
      <c r="I1577" s="14"/>
      <c r="J1577" s="14"/>
      <c r="K1577" s="14"/>
      <c r="L1577" s="14"/>
      <c r="M1577" s="15"/>
      <c r="N1577" s="10"/>
      <c r="O1577" s="14"/>
      <c r="P1577" s="14"/>
      <c r="Q1577" s="14"/>
      <c r="R1577" s="14"/>
      <c r="S1577" s="14"/>
      <c r="T1577" s="14"/>
      <c r="U1577" s="14"/>
      <c r="V1577" s="14"/>
      <c r="W1577" s="14"/>
      <c r="X1577" s="14"/>
      <c r="Y1577" s="14"/>
      <c r="Z1577" s="14"/>
      <c r="AA1577" s="16" t="str">
        <f t="shared" ref="AA1577:AO1592" ca="1" si="1629">AS1577</f>
        <v>Johnson &amp; Johnson</v>
      </c>
      <c r="AB1577" s="16">
        <f t="shared" si="1629"/>
        <v>0</v>
      </c>
      <c r="AC1577" s="16">
        <f t="shared" si="1629"/>
        <v>0</v>
      </c>
      <c r="AD1577" s="16">
        <f t="shared" si="1629"/>
        <v>0</v>
      </c>
      <c r="AE1577" s="16">
        <f t="shared" si="1629"/>
        <v>0</v>
      </c>
      <c r="AF1577" s="16">
        <f t="shared" si="1629"/>
        <v>0</v>
      </c>
      <c r="AG1577" s="16">
        <f t="shared" si="1629"/>
        <v>0</v>
      </c>
      <c r="AH1577" s="16">
        <f t="shared" si="1629"/>
        <v>0</v>
      </c>
      <c r="AI1577" s="16">
        <f t="shared" si="1629"/>
        <v>0</v>
      </c>
      <c r="AJ1577" s="16">
        <f t="shared" si="1629"/>
        <v>0</v>
      </c>
      <c r="AK1577" s="16">
        <f t="shared" si="1629"/>
        <v>0</v>
      </c>
      <c r="AL1577" s="16">
        <f t="shared" si="1629"/>
        <v>0</v>
      </c>
      <c r="AM1577" s="16">
        <f t="shared" si="1629"/>
        <v>0</v>
      </c>
      <c r="AN1577" s="16">
        <f t="shared" si="1629"/>
        <v>0</v>
      </c>
      <c r="AO1577" s="16">
        <f t="shared" si="1629"/>
        <v>0</v>
      </c>
      <c r="AP1577" s="10"/>
      <c r="AQ1577" s="10"/>
      <c r="AR1577" s="10"/>
      <c r="AS1577" s="10" t="str">
        <f t="shared" ca="1" si="1624"/>
        <v>Johnson &amp; Johnson</v>
      </c>
      <c r="AT1577" s="10"/>
      <c r="AU1577" s="10"/>
      <c r="AV1577" s="10"/>
      <c r="AW1577" s="10"/>
      <c r="AX1577" s="10"/>
      <c r="AY1577" s="10"/>
      <c r="AZ1577" s="10"/>
      <c r="BA1577" s="10"/>
      <c r="BB1577" s="10"/>
      <c r="BC1577" s="10"/>
      <c r="BD1577" s="10"/>
      <c r="BE1577" s="10"/>
      <c r="BF1577" s="10"/>
      <c r="BG1577" s="10"/>
      <c r="BH1577" s="10"/>
      <c r="BI1577" s="10"/>
      <c r="BJ1577" s="10"/>
      <c r="BK1577" s="10"/>
      <c r="BM1577" s="10"/>
    </row>
    <row r="1578" spans="1:65" ht="12.75">
      <c r="A1578" s="9"/>
      <c r="B1578" s="10"/>
      <c r="C1578" s="11"/>
      <c r="D1578" s="12"/>
      <c r="E1578" s="10"/>
      <c r="F1578" s="10"/>
      <c r="G1578" s="10"/>
      <c r="H1578" s="14"/>
      <c r="I1578" s="14"/>
      <c r="J1578" s="14"/>
      <c r="K1578" s="14"/>
      <c r="L1578" s="14"/>
      <c r="M1578" s="15"/>
      <c r="N1578" s="10"/>
      <c r="O1578" s="14"/>
      <c r="P1578" s="14"/>
      <c r="Q1578" s="14"/>
      <c r="R1578" s="14"/>
      <c r="S1578" s="14"/>
      <c r="T1578" s="14"/>
      <c r="U1578" s="14"/>
      <c r="V1578" s="14"/>
      <c r="W1578" s="14"/>
      <c r="X1578" s="14"/>
      <c r="Y1578" s="14"/>
      <c r="Z1578" s="14"/>
      <c r="AA1578" s="16" t="str">
        <f t="shared" ca="1" si="1629"/>
        <v>Johnson &amp; Johnson</v>
      </c>
      <c r="AB1578" s="16">
        <f t="shared" si="1629"/>
        <v>0</v>
      </c>
      <c r="AC1578" s="16">
        <f t="shared" si="1629"/>
        <v>0</v>
      </c>
      <c r="AD1578" s="16">
        <f t="shared" si="1629"/>
        <v>0</v>
      </c>
      <c r="AE1578" s="16">
        <f t="shared" si="1629"/>
        <v>0</v>
      </c>
      <c r="AF1578" s="16">
        <f t="shared" si="1629"/>
        <v>0</v>
      </c>
      <c r="AG1578" s="16">
        <f t="shared" si="1629"/>
        <v>0</v>
      </c>
      <c r="AH1578" s="16">
        <f t="shared" si="1629"/>
        <v>0</v>
      </c>
      <c r="AI1578" s="16">
        <f t="shared" si="1629"/>
        <v>0</v>
      </c>
      <c r="AJ1578" s="16">
        <f t="shared" si="1629"/>
        <v>0</v>
      </c>
      <c r="AK1578" s="16">
        <f t="shared" si="1629"/>
        <v>0</v>
      </c>
      <c r="AL1578" s="16">
        <f t="shared" si="1629"/>
        <v>0</v>
      </c>
      <c r="AM1578" s="16">
        <f t="shared" si="1629"/>
        <v>0</v>
      </c>
      <c r="AN1578" s="16">
        <f t="shared" si="1629"/>
        <v>0</v>
      </c>
      <c r="AO1578" s="16">
        <f t="shared" si="1629"/>
        <v>0</v>
      </c>
      <c r="AP1578" s="10"/>
      <c r="AQ1578" s="10"/>
      <c r="AR1578" s="10"/>
      <c r="AS1578" s="10" t="str">
        <f t="shared" ca="1" si="1624"/>
        <v>Johnson &amp; Johnson</v>
      </c>
      <c r="AT1578" s="10"/>
      <c r="AU1578" s="10"/>
      <c r="AV1578" s="10"/>
      <c r="AW1578" s="10"/>
      <c r="AX1578" s="10"/>
      <c r="AY1578" s="10"/>
      <c r="AZ1578" s="10"/>
      <c r="BA1578" s="10"/>
      <c r="BB1578" s="10"/>
      <c r="BC1578" s="10"/>
      <c r="BD1578" s="10"/>
      <c r="BE1578" s="10"/>
      <c r="BF1578" s="10"/>
      <c r="BG1578" s="10"/>
      <c r="BH1578" s="10"/>
      <c r="BI1578" s="10"/>
      <c r="BJ1578" s="10"/>
      <c r="BK1578" s="10"/>
      <c r="BM1578" s="10"/>
    </row>
    <row r="1579" spans="1:65" ht="12.75">
      <c r="A1579" s="9"/>
      <c r="B1579" s="10"/>
      <c r="C1579" s="11"/>
      <c r="D1579" s="12"/>
      <c r="E1579" s="10"/>
      <c r="F1579" s="10"/>
      <c r="G1579" s="10"/>
      <c r="H1579" s="14"/>
      <c r="I1579" s="14"/>
      <c r="J1579" s="14"/>
      <c r="K1579" s="14"/>
      <c r="L1579" s="14"/>
      <c r="M1579" s="15"/>
      <c r="N1579" s="10"/>
      <c r="O1579" s="14"/>
      <c r="P1579" s="14"/>
      <c r="Q1579" s="14"/>
      <c r="R1579" s="14"/>
      <c r="S1579" s="14"/>
      <c r="T1579" s="14"/>
      <c r="U1579" s="14"/>
      <c r="V1579" s="14"/>
      <c r="W1579" s="14"/>
      <c r="X1579" s="14"/>
      <c r="Y1579" s="14"/>
      <c r="Z1579" s="14"/>
      <c r="AA1579" s="16" t="str">
        <f t="shared" ca="1" si="1629"/>
        <v>Johnson &amp; Johnson</v>
      </c>
      <c r="AB1579" s="16">
        <f t="shared" si="1629"/>
        <v>0</v>
      </c>
      <c r="AC1579" s="16">
        <f t="shared" si="1629"/>
        <v>0</v>
      </c>
      <c r="AD1579" s="16">
        <f t="shared" si="1629"/>
        <v>0</v>
      </c>
      <c r="AE1579" s="16">
        <f t="shared" si="1629"/>
        <v>0</v>
      </c>
      <c r="AF1579" s="16">
        <f t="shared" si="1629"/>
        <v>0</v>
      </c>
      <c r="AG1579" s="16">
        <f t="shared" si="1629"/>
        <v>0</v>
      </c>
      <c r="AH1579" s="16">
        <f t="shared" si="1629"/>
        <v>0</v>
      </c>
      <c r="AI1579" s="16">
        <f t="shared" si="1629"/>
        <v>0</v>
      </c>
      <c r="AJ1579" s="16">
        <f t="shared" si="1629"/>
        <v>0</v>
      </c>
      <c r="AK1579" s="16">
        <f t="shared" si="1629"/>
        <v>0</v>
      </c>
      <c r="AL1579" s="16">
        <f t="shared" si="1629"/>
        <v>0</v>
      </c>
      <c r="AM1579" s="16">
        <f t="shared" si="1629"/>
        <v>0</v>
      </c>
      <c r="AN1579" s="16">
        <f t="shared" si="1629"/>
        <v>0</v>
      </c>
      <c r="AO1579" s="16">
        <f t="shared" si="1629"/>
        <v>0</v>
      </c>
      <c r="AP1579" s="10"/>
      <c r="AQ1579" s="10"/>
      <c r="AR1579" s="10"/>
      <c r="AS1579" s="10" t="str">
        <f t="shared" ca="1" si="1624"/>
        <v>Johnson &amp; Johnson</v>
      </c>
      <c r="AT1579" s="10"/>
      <c r="AU1579" s="10"/>
      <c r="AV1579" s="10"/>
      <c r="AW1579" s="10"/>
      <c r="AX1579" s="10"/>
      <c r="AY1579" s="10"/>
      <c r="AZ1579" s="10"/>
      <c r="BA1579" s="10"/>
      <c r="BB1579" s="10"/>
      <c r="BC1579" s="10"/>
      <c r="BD1579" s="10"/>
      <c r="BE1579" s="10"/>
      <c r="BF1579" s="10"/>
      <c r="BG1579" s="10"/>
      <c r="BH1579" s="10"/>
      <c r="BI1579" s="10"/>
      <c r="BJ1579" s="10"/>
      <c r="BK1579" s="10"/>
      <c r="BM1579" s="10"/>
    </row>
    <row r="1580" spans="1:65" ht="12.75">
      <c r="A1580" s="9"/>
      <c r="B1580" s="10"/>
      <c r="C1580" s="11"/>
      <c r="D1580" s="12"/>
      <c r="E1580" s="10"/>
      <c r="F1580" s="10"/>
      <c r="G1580" s="10"/>
      <c r="H1580" s="14"/>
      <c r="I1580" s="14"/>
      <c r="J1580" s="14"/>
      <c r="K1580" s="14"/>
      <c r="L1580" s="14"/>
      <c r="M1580" s="15"/>
      <c r="N1580" s="10"/>
      <c r="O1580" s="14"/>
      <c r="P1580" s="14"/>
      <c r="Q1580" s="14"/>
      <c r="R1580" s="14"/>
      <c r="S1580" s="14"/>
      <c r="T1580" s="14"/>
      <c r="U1580" s="14"/>
      <c r="V1580" s="14"/>
      <c r="W1580" s="14"/>
      <c r="X1580" s="14"/>
      <c r="Y1580" s="14"/>
      <c r="Z1580" s="14"/>
      <c r="AA1580" s="16" t="str">
        <f t="shared" ca="1" si="1629"/>
        <v>Johnson &amp; Johnson</v>
      </c>
      <c r="AB1580" s="16">
        <f t="shared" si="1629"/>
        <v>0</v>
      </c>
      <c r="AC1580" s="16">
        <f t="shared" si="1629"/>
        <v>0</v>
      </c>
      <c r="AD1580" s="16">
        <f t="shared" si="1629"/>
        <v>0</v>
      </c>
      <c r="AE1580" s="16">
        <f t="shared" si="1629"/>
        <v>0</v>
      </c>
      <c r="AF1580" s="16">
        <f t="shared" si="1629"/>
        <v>0</v>
      </c>
      <c r="AG1580" s="16">
        <f t="shared" si="1629"/>
        <v>0</v>
      </c>
      <c r="AH1580" s="16">
        <f t="shared" si="1629"/>
        <v>0</v>
      </c>
      <c r="AI1580" s="16">
        <f t="shared" si="1629"/>
        <v>0</v>
      </c>
      <c r="AJ1580" s="16">
        <f t="shared" si="1629"/>
        <v>0</v>
      </c>
      <c r="AK1580" s="16">
        <f t="shared" si="1629"/>
        <v>0</v>
      </c>
      <c r="AL1580" s="16">
        <f t="shared" si="1629"/>
        <v>0</v>
      </c>
      <c r="AM1580" s="16">
        <f t="shared" si="1629"/>
        <v>0</v>
      </c>
      <c r="AN1580" s="16">
        <f t="shared" si="1629"/>
        <v>0</v>
      </c>
      <c r="AO1580" s="16">
        <f t="shared" si="1629"/>
        <v>0</v>
      </c>
      <c r="AP1580" s="10"/>
      <c r="AQ1580" s="10"/>
      <c r="AR1580" s="10"/>
      <c r="AS1580" s="10" t="str">
        <f t="shared" ca="1" si="1624"/>
        <v>Johnson &amp; Johnson</v>
      </c>
      <c r="AT1580" s="10"/>
      <c r="AU1580" s="10"/>
      <c r="AV1580" s="10"/>
      <c r="AW1580" s="10"/>
      <c r="AX1580" s="10"/>
      <c r="AY1580" s="10"/>
      <c r="AZ1580" s="10"/>
      <c r="BA1580" s="10"/>
      <c r="BB1580" s="10"/>
      <c r="BC1580" s="10"/>
      <c r="BD1580" s="10"/>
      <c r="BE1580" s="10"/>
      <c r="BF1580" s="10"/>
      <c r="BG1580" s="10"/>
      <c r="BH1580" s="10"/>
      <c r="BI1580" s="10"/>
      <c r="BJ1580" s="10"/>
      <c r="BK1580" s="10"/>
      <c r="BM1580" s="10"/>
    </row>
    <row r="1581" spans="1:65" ht="12.75">
      <c r="A1581" s="9"/>
      <c r="B1581" s="10"/>
      <c r="C1581" s="11"/>
      <c r="D1581" s="12"/>
      <c r="E1581" s="10"/>
      <c r="F1581" s="10"/>
      <c r="G1581" s="10"/>
      <c r="H1581" s="14"/>
      <c r="I1581" s="14"/>
      <c r="J1581" s="14"/>
      <c r="K1581" s="14"/>
      <c r="L1581" s="14"/>
      <c r="M1581" s="15"/>
      <c r="N1581" s="10"/>
      <c r="O1581" s="14"/>
      <c r="P1581" s="14"/>
      <c r="Q1581" s="14"/>
      <c r="R1581" s="14"/>
      <c r="S1581" s="14"/>
      <c r="T1581" s="14"/>
      <c r="U1581" s="14"/>
      <c r="V1581" s="14"/>
      <c r="W1581" s="14"/>
      <c r="X1581" s="14"/>
      <c r="Y1581" s="14"/>
      <c r="Z1581" s="14"/>
      <c r="AA1581" s="16" t="str">
        <f t="shared" ca="1" si="1629"/>
        <v>Johnson &amp; Johnson</v>
      </c>
      <c r="AB1581" s="16">
        <f t="shared" si="1629"/>
        <v>0</v>
      </c>
      <c r="AC1581" s="16">
        <f t="shared" si="1629"/>
        <v>0</v>
      </c>
      <c r="AD1581" s="16">
        <f t="shared" si="1629"/>
        <v>0</v>
      </c>
      <c r="AE1581" s="16">
        <f t="shared" si="1629"/>
        <v>0</v>
      </c>
      <c r="AF1581" s="16">
        <f t="shared" si="1629"/>
        <v>0</v>
      </c>
      <c r="AG1581" s="16">
        <f t="shared" si="1629"/>
        <v>0</v>
      </c>
      <c r="AH1581" s="16">
        <f t="shared" si="1629"/>
        <v>0</v>
      </c>
      <c r="AI1581" s="16">
        <f t="shared" si="1629"/>
        <v>0</v>
      </c>
      <c r="AJ1581" s="16">
        <f t="shared" si="1629"/>
        <v>0</v>
      </c>
      <c r="AK1581" s="16">
        <f t="shared" si="1629"/>
        <v>0</v>
      </c>
      <c r="AL1581" s="16">
        <f t="shared" si="1629"/>
        <v>0</v>
      </c>
      <c r="AM1581" s="16">
        <f t="shared" si="1629"/>
        <v>0</v>
      </c>
      <c r="AN1581" s="16">
        <f t="shared" si="1629"/>
        <v>0</v>
      </c>
      <c r="AO1581" s="16">
        <f t="shared" si="1629"/>
        <v>0</v>
      </c>
      <c r="AP1581" s="10"/>
      <c r="AQ1581" s="10"/>
      <c r="AR1581" s="10"/>
      <c r="AS1581" s="10" t="str">
        <f t="shared" ca="1" si="1624"/>
        <v>Johnson &amp; Johnson</v>
      </c>
      <c r="AT1581" s="10"/>
      <c r="AU1581" s="10"/>
      <c r="AV1581" s="10"/>
      <c r="AW1581" s="10"/>
      <c r="AX1581" s="10"/>
      <c r="AY1581" s="10"/>
      <c r="AZ1581" s="10"/>
      <c r="BA1581" s="10"/>
      <c r="BB1581" s="10"/>
      <c r="BC1581" s="10"/>
      <c r="BD1581" s="10"/>
      <c r="BE1581" s="10"/>
      <c r="BF1581" s="10"/>
      <c r="BG1581" s="10"/>
      <c r="BH1581" s="10"/>
      <c r="BI1581" s="10"/>
      <c r="BJ1581" s="10"/>
      <c r="BK1581" s="10"/>
      <c r="BM1581" s="10"/>
    </row>
    <row r="1582" spans="1:65" ht="12.75">
      <c r="A1582" s="9"/>
      <c r="B1582" s="10"/>
      <c r="C1582" s="11"/>
      <c r="D1582" s="12"/>
      <c r="E1582" s="10"/>
      <c r="F1582" s="10"/>
      <c r="G1582" s="10"/>
      <c r="H1582" s="14"/>
      <c r="I1582" s="14"/>
      <c r="J1582" s="14"/>
      <c r="K1582" s="14"/>
      <c r="L1582" s="14"/>
      <c r="M1582" s="15"/>
      <c r="N1582" s="10"/>
      <c r="O1582" s="14"/>
      <c r="P1582" s="14"/>
      <c r="Q1582" s="14"/>
      <c r="R1582" s="14"/>
      <c r="S1582" s="14"/>
      <c r="T1582" s="14"/>
      <c r="U1582" s="14"/>
      <c r="V1582" s="14"/>
      <c r="W1582" s="14"/>
      <c r="X1582" s="14"/>
      <c r="Y1582" s="14"/>
      <c r="Z1582" s="14"/>
      <c r="AA1582" s="16" t="str">
        <f t="shared" ca="1" si="1629"/>
        <v>Johnson &amp; Johnson</v>
      </c>
      <c r="AB1582" s="16">
        <f t="shared" si="1629"/>
        <v>0</v>
      </c>
      <c r="AC1582" s="16">
        <f t="shared" si="1629"/>
        <v>0</v>
      </c>
      <c r="AD1582" s="16">
        <f t="shared" si="1629"/>
        <v>0</v>
      </c>
      <c r="AE1582" s="16">
        <f t="shared" si="1629"/>
        <v>0</v>
      </c>
      <c r="AF1582" s="16">
        <f t="shared" si="1629"/>
        <v>0</v>
      </c>
      <c r="AG1582" s="16">
        <f t="shared" si="1629"/>
        <v>0</v>
      </c>
      <c r="AH1582" s="16">
        <f t="shared" si="1629"/>
        <v>0</v>
      </c>
      <c r="AI1582" s="16">
        <f t="shared" si="1629"/>
        <v>0</v>
      </c>
      <c r="AJ1582" s="16">
        <f t="shared" si="1629"/>
        <v>0</v>
      </c>
      <c r="AK1582" s="16">
        <f t="shared" si="1629"/>
        <v>0</v>
      </c>
      <c r="AL1582" s="16">
        <f t="shared" si="1629"/>
        <v>0</v>
      </c>
      <c r="AM1582" s="16">
        <f t="shared" si="1629"/>
        <v>0</v>
      </c>
      <c r="AN1582" s="16">
        <f t="shared" si="1629"/>
        <v>0</v>
      </c>
      <c r="AO1582" s="16">
        <f t="shared" si="1629"/>
        <v>0</v>
      </c>
      <c r="AP1582" s="10"/>
      <c r="AQ1582" s="10"/>
      <c r="AR1582" s="10"/>
      <c r="AS1582" s="10" t="str">
        <f t="shared" ca="1" si="1624"/>
        <v>Johnson &amp; Johnson</v>
      </c>
      <c r="AT1582" s="10"/>
      <c r="AU1582" s="10"/>
      <c r="AV1582" s="10"/>
      <c r="AW1582" s="10"/>
      <c r="AX1582" s="10"/>
      <c r="AY1582" s="10"/>
      <c r="AZ1582" s="10"/>
      <c r="BA1582" s="10"/>
      <c r="BB1582" s="10"/>
      <c r="BC1582" s="10"/>
      <c r="BD1582" s="10"/>
      <c r="BE1582" s="10"/>
      <c r="BF1582" s="10"/>
      <c r="BG1582" s="10"/>
      <c r="BH1582" s="10"/>
      <c r="BI1582" s="10"/>
      <c r="BJ1582" s="10"/>
      <c r="BK1582" s="10"/>
      <c r="BM1582" s="10"/>
    </row>
    <row r="1583" spans="1:65" ht="12.75">
      <c r="A1583" s="9"/>
      <c r="B1583" s="10"/>
      <c r="C1583" s="11"/>
      <c r="D1583" s="12"/>
      <c r="E1583" s="10"/>
      <c r="F1583" s="10"/>
      <c r="G1583" s="10"/>
      <c r="H1583" s="14"/>
      <c r="I1583" s="14"/>
      <c r="J1583" s="14"/>
      <c r="K1583" s="14"/>
      <c r="L1583" s="14"/>
      <c r="M1583" s="15"/>
      <c r="N1583" s="10"/>
      <c r="O1583" s="14"/>
      <c r="P1583" s="14"/>
      <c r="Q1583" s="14"/>
      <c r="R1583" s="14"/>
      <c r="S1583" s="14"/>
      <c r="T1583" s="14"/>
      <c r="U1583" s="14"/>
      <c r="V1583" s="14"/>
      <c r="W1583" s="14"/>
      <c r="X1583" s="14"/>
      <c r="Y1583" s="14"/>
      <c r="Z1583" s="14"/>
      <c r="AA1583" s="16" t="str">
        <f t="shared" ca="1" si="1629"/>
        <v>Johnson &amp; Johnson</v>
      </c>
      <c r="AB1583" s="16">
        <f t="shared" si="1629"/>
        <v>0</v>
      </c>
      <c r="AC1583" s="16">
        <f t="shared" si="1629"/>
        <v>0</v>
      </c>
      <c r="AD1583" s="16">
        <f t="shared" si="1629"/>
        <v>0</v>
      </c>
      <c r="AE1583" s="16">
        <f t="shared" si="1629"/>
        <v>0</v>
      </c>
      <c r="AF1583" s="16">
        <f t="shared" si="1629"/>
        <v>0</v>
      </c>
      <c r="AG1583" s="16">
        <f t="shared" si="1629"/>
        <v>0</v>
      </c>
      <c r="AH1583" s="16">
        <f t="shared" si="1629"/>
        <v>0</v>
      </c>
      <c r="AI1583" s="16">
        <f t="shared" si="1629"/>
        <v>0</v>
      </c>
      <c r="AJ1583" s="16">
        <f t="shared" si="1629"/>
        <v>0</v>
      </c>
      <c r="AK1583" s="16">
        <f t="shared" si="1629"/>
        <v>0</v>
      </c>
      <c r="AL1583" s="16">
        <f t="shared" si="1629"/>
        <v>0</v>
      </c>
      <c r="AM1583" s="16">
        <f t="shared" si="1629"/>
        <v>0</v>
      </c>
      <c r="AN1583" s="16">
        <f t="shared" si="1629"/>
        <v>0</v>
      </c>
      <c r="AO1583" s="16">
        <f t="shared" si="1629"/>
        <v>0</v>
      </c>
      <c r="AP1583" s="10"/>
      <c r="AQ1583" s="10"/>
      <c r="AR1583" s="10"/>
      <c r="AS1583" s="10" t="str">
        <f t="shared" ca="1" si="1624"/>
        <v>Johnson &amp; Johnson</v>
      </c>
      <c r="AT1583" s="10"/>
      <c r="AU1583" s="10"/>
      <c r="AV1583" s="10"/>
      <c r="AW1583" s="10"/>
      <c r="AX1583" s="10"/>
      <c r="AY1583" s="10"/>
      <c r="AZ1583" s="10"/>
      <c r="BA1583" s="10"/>
      <c r="BB1583" s="10"/>
      <c r="BC1583" s="10"/>
      <c r="BD1583" s="10"/>
      <c r="BE1583" s="10"/>
      <c r="BF1583" s="10"/>
      <c r="BG1583" s="10"/>
      <c r="BH1583" s="10"/>
      <c r="BI1583" s="10"/>
      <c r="BJ1583" s="10"/>
      <c r="BK1583" s="10"/>
      <c r="BM1583" s="10"/>
    </row>
    <row r="1584" spans="1:65" ht="12.75">
      <c r="A1584" s="9"/>
      <c r="B1584" s="10"/>
      <c r="C1584" s="11"/>
      <c r="D1584" s="12"/>
      <c r="E1584" s="10"/>
      <c r="F1584" s="10"/>
      <c r="G1584" s="10"/>
      <c r="H1584" s="14"/>
      <c r="I1584" s="14"/>
      <c r="J1584" s="14"/>
      <c r="K1584" s="14"/>
      <c r="L1584" s="14"/>
      <c r="M1584" s="15"/>
      <c r="N1584" s="10"/>
      <c r="O1584" s="14"/>
      <c r="P1584" s="14"/>
      <c r="Q1584" s="14"/>
      <c r="R1584" s="14"/>
      <c r="S1584" s="14"/>
      <c r="T1584" s="14"/>
      <c r="U1584" s="14"/>
      <c r="V1584" s="14"/>
      <c r="W1584" s="14"/>
      <c r="X1584" s="14"/>
      <c r="Y1584" s="14"/>
      <c r="Z1584" s="14"/>
      <c r="AA1584" s="16" t="str">
        <f t="shared" ca="1" si="1629"/>
        <v>Johnson &amp; Johnson</v>
      </c>
      <c r="AB1584" s="16">
        <f t="shared" si="1629"/>
        <v>0</v>
      </c>
      <c r="AC1584" s="16">
        <f t="shared" si="1629"/>
        <v>0</v>
      </c>
      <c r="AD1584" s="16">
        <f t="shared" si="1629"/>
        <v>0</v>
      </c>
      <c r="AE1584" s="16">
        <f t="shared" si="1629"/>
        <v>0</v>
      </c>
      <c r="AF1584" s="16">
        <f t="shared" si="1629"/>
        <v>0</v>
      </c>
      <c r="AG1584" s="16">
        <f t="shared" si="1629"/>
        <v>0</v>
      </c>
      <c r="AH1584" s="16">
        <f t="shared" si="1629"/>
        <v>0</v>
      </c>
      <c r="AI1584" s="16">
        <f t="shared" si="1629"/>
        <v>0</v>
      </c>
      <c r="AJ1584" s="16">
        <f t="shared" si="1629"/>
        <v>0</v>
      </c>
      <c r="AK1584" s="16">
        <f t="shared" si="1629"/>
        <v>0</v>
      </c>
      <c r="AL1584" s="16">
        <f t="shared" si="1629"/>
        <v>0</v>
      </c>
      <c r="AM1584" s="16">
        <f t="shared" si="1629"/>
        <v>0</v>
      </c>
      <c r="AN1584" s="16">
        <f t="shared" si="1629"/>
        <v>0</v>
      </c>
      <c r="AO1584" s="16">
        <f t="shared" si="1629"/>
        <v>0</v>
      </c>
      <c r="AP1584" s="10"/>
      <c r="AQ1584" s="10"/>
      <c r="AR1584" s="10"/>
      <c r="AS1584" s="10" t="str">
        <f t="shared" ca="1" si="1624"/>
        <v>Johnson &amp; Johnson</v>
      </c>
      <c r="AT1584" s="10"/>
      <c r="AU1584" s="10"/>
      <c r="AV1584" s="10"/>
      <c r="AW1584" s="10"/>
      <c r="AX1584" s="10"/>
      <c r="AY1584" s="10"/>
      <c r="AZ1584" s="10"/>
      <c r="BA1584" s="10"/>
      <c r="BB1584" s="10"/>
      <c r="BC1584" s="10"/>
      <c r="BD1584" s="10"/>
      <c r="BE1584" s="10"/>
      <c r="BF1584" s="10"/>
      <c r="BG1584" s="10"/>
      <c r="BH1584" s="10"/>
      <c r="BI1584" s="10"/>
      <c r="BJ1584" s="10"/>
      <c r="BK1584" s="10"/>
      <c r="BM1584" s="10"/>
    </row>
    <row r="1585" spans="1:65" ht="12.75">
      <c r="A1585" s="9"/>
      <c r="B1585" s="10"/>
      <c r="C1585" s="11"/>
      <c r="D1585" s="12"/>
      <c r="E1585" s="10"/>
      <c r="F1585" s="10"/>
      <c r="G1585" s="10"/>
      <c r="H1585" s="14"/>
      <c r="I1585" s="14"/>
      <c r="J1585" s="14"/>
      <c r="K1585" s="14"/>
      <c r="L1585" s="14"/>
      <c r="M1585" s="15"/>
      <c r="N1585" s="10"/>
      <c r="O1585" s="14"/>
      <c r="P1585" s="14"/>
      <c r="Q1585" s="14"/>
      <c r="R1585" s="14"/>
      <c r="S1585" s="14"/>
      <c r="T1585" s="14"/>
      <c r="U1585" s="14"/>
      <c r="V1585" s="14"/>
      <c r="W1585" s="14"/>
      <c r="X1585" s="14"/>
      <c r="Y1585" s="14"/>
      <c r="Z1585" s="14"/>
      <c r="AA1585" s="16" t="str">
        <f t="shared" ca="1" si="1629"/>
        <v>Johnson &amp; Johnson</v>
      </c>
      <c r="AB1585" s="16">
        <f t="shared" si="1629"/>
        <v>0</v>
      </c>
      <c r="AC1585" s="16">
        <f t="shared" si="1629"/>
        <v>0</v>
      </c>
      <c r="AD1585" s="16">
        <f t="shared" si="1629"/>
        <v>0</v>
      </c>
      <c r="AE1585" s="16">
        <f t="shared" si="1629"/>
        <v>0</v>
      </c>
      <c r="AF1585" s="16">
        <f t="shared" si="1629"/>
        <v>0</v>
      </c>
      <c r="AG1585" s="16">
        <f t="shared" si="1629"/>
        <v>0</v>
      </c>
      <c r="AH1585" s="16">
        <f t="shared" si="1629"/>
        <v>0</v>
      </c>
      <c r="AI1585" s="16">
        <f t="shared" si="1629"/>
        <v>0</v>
      </c>
      <c r="AJ1585" s="16">
        <f t="shared" si="1629"/>
        <v>0</v>
      </c>
      <c r="AK1585" s="16">
        <f t="shared" si="1629"/>
        <v>0</v>
      </c>
      <c r="AL1585" s="16">
        <f t="shared" si="1629"/>
        <v>0</v>
      </c>
      <c r="AM1585" s="16">
        <f t="shared" si="1629"/>
        <v>0</v>
      </c>
      <c r="AN1585" s="16">
        <f t="shared" si="1629"/>
        <v>0</v>
      </c>
      <c r="AO1585" s="16">
        <f t="shared" si="1629"/>
        <v>0</v>
      </c>
      <c r="AP1585" s="10"/>
      <c r="AQ1585" s="10"/>
      <c r="AR1585" s="10"/>
      <c r="AS1585" s="10" t="str">
        <f t="shared" ca="1" si="1624"/>
        <v>Johnson &amp; Johnson</v>
      </c>
      <c r="AT1585" s="10"/>
      <c r="AU1585" s="10"/>
      <c r="AV1585" s="10"/>
      <c r="AW1585" s="10"/>
      <c r="AX1585" s="10"/>
      <c r="AY1585" s="10"/>
      <c r="AZ1585" s="10"/>
      <c r="BA1585" s="10"/>
      <c r="BB1585" s="10"/>
      <c r="BC1585" s="10"/>
      <c r="BD1585" s="10"/>
      <c r="BE1585" s="10"/>
      <c r="BF1585" s="10"/>
      <c r="BG1585" s="10"/>
      <c r="BH1585" s="10"/>
      <c r="BI1585" s="10"/>
      <c r="BJ1585" s="10"/>
      <c r="BK1585" s="10"/>
      <c r="BM1585" s="10"/>
    </row>
    <row r="1586" spans="1:65" ht="12.75">
      <c r="A1586" s="9"/>
      <c r="B1586" s="10"/>
      <c r="C1586" s="11"/>
      <c r="D1586" s="12"/>
      <c r="E1586" s="10"/>
      <c r="F1586" s="10"/>
      <c r="G1586" s="10"/>
      <c r="H1586" s="14"/>
      <c r="I1586" s="14"/>
      <c r="J1586" s="14"/>
      <c r="K1586" s="14"/>
      <c r="L1586" s="14"/>
      <c r="M1586" s="15"/>
      <c r="N1586" s="10"/>
      <c r="O1586" s="14"/>
      <c r="P1586" s="14"/>
      <c r="Q1586" s="14"/>
      <c r="R1586" s="14"/>
      <c r="S1586" s="14"/>
      <c r="T1586" s="14"/>
      <c r="U1586" s="14"/>
      <c r="V1586" s="14"/>
      <c r="W1586" s="14"/>
      <c r="X1586" s="14"/>
      <c r="Y1586" s="14"/>
      <c r="Z1586" s="14"/>
      <c r="AA1586" s="16" t="str">
        <f t="shared" ca="1" si="1629"/>
        <v>Johnson &amp; Johnson</v>
      </c>
      <c r="AB1586" s="16">
        <f t="shared" si="1629"/>
        <v>0</v>
      </c>
      <c r="AC1586" s="16">
        <f t="shared" si="1629"/>
        <v>0</v>
      </c>
      <c r="AD1586" s="16">
        <f t="shared" si="1629"/>
        <v>0</v>
      </c>
      <c r="AE1586" s="16">
        <f t="shared" si="1629"/>
        <v>0</v>
      </c>
      <c r="AF1586" s="16">
        <f t="shared" si="1629"/>
        <v>0</v>
      </c>
      <c r="AG1586" s="16">
        <f t="shared" si="1629"/>
        <v>0</v>
      </c>
      <c r="AH1586" s="16">
        <f t="shared" si="1629"/>
        <v>0</v>
      </c>
      <c r="AI1586" s="16">
        <f t="shared" si="1629"/>
        <v>0</v>
      </c>
      <c r="AJ1586" s="16">
        <f t="shared" si="1629"/>
        <v>0</v>
      </c>
      <c r="AK1586" s="16">
        <f t="shared" si="1629"/>
        <v>0</v>
      </c>
      <c r="AL1586" s="16">
        <f t="shared" si="1629"/>
        <v>0</v>
      </c>
      <c r="AM1586" s="16">
        <f t="shared" si="1629"/>
        <v>0</v>
      </c>
      <c r="AN1586" s="16">
        <f t="shared" si="1629"/>
        <v>0</v>
      </c>
      <c r="AO1586" s="16">
        <f t="shared" si="1629"/>
        <v>0</v>
      </c>
      <c r="AP1586" s="10"/>
      <c r="AQ1586" s="10"/>
      <c r="AR1586" s="10"/>
      <c r="AS1586" s="10" t="str">
        <f t="shared" ca="1" si="1624"/>
        <v>Johnson &amp; Johnson</v>
      </c>
      <c r="AT1586" s="10"/>
      <c r="AU1586" s="10"/>
      <c r="AV1586" s="10"/>
      <c r="AW1586" s="10"/>
      <c r="AX1586" s="10"/>
      <c r="AY1586" s="10"/>
      <c r="AZ1586" s="10"/>
      <c r="BA1586" s="10"/>
      <c r="BB1586" s="10"/>
      <c r="BC1586" s="10"/>
      <c r="BD1586" s="10"/>
      <c r="BE1586" s="10"/>
      <c r="BF1586" s="10"/>
      <c r="BG1586" s="10"/>
      <c r="BH1586" s="10"/>
      <c r="BI1586" s="10"/>
      <c r="BJ1586" s="10"/>
      <c r="BK1586" s="10"/>
      <c r="BM1586" s="10"/>
    </row>
    <row r="1587" spans="1:65" ht="12.75">
      <c r="A1587" s="9"/>
      <c r="B1587" s="10"/>
      <c r="C1587" s="11"/>
      <c r="D1587" s="12"/>
      <c r="E1587" s="10"/>
      <c r="F1587" s="10"/>
      <c r="G1587" s="10"/>
      <c r="H1587" s="14"/>
      <c r="I1587" s="14"/>
      <c r="J1587" s="14"/>
      <c r="K1587" s="14"/>
      <c r="L1587" s="14"/>
      <c r="M1587" s="15"/>
      <c r="N1587" s="10"/>
      <c r="O1587" s="14"/>
      <c r="P1587" s="14"/>
      <c r="Q1587" s="14"/>
      <c r="R1587" s="14"/>
      <c r="S1587" s="14"/>
      <c r="T1587" s="14"/>
      <c r="U1587" s="14"/>
      <c r="V1587" s="14"/>
      <c r="W1587" s="14"/>
      <c r="X1587" s="14"/>
      <c r="Y1587" s="14"/>
      <c r="Z1587" s="14"/>
      <c r="AA1587" s="16" t="str">
        <f t="shared" ca="1" si="1629"/>
        <v>Johnson &amp; Johnson</v>
      </c>
      <c r="AB1587" s="16">
        <f t="shared" si="1629"/>
        <v>0</v>
      </c>
      <c r="AC1587" s="16">
        <f t="shared" si="1629"/>
        <v>0</v>
      </c>
      <c r="AD1587" s="16">
        <f t="shared" si="1629"/>
        <v>0</v>
      </c>
      <c r="AE1587" s="16">
        <f t="shared" si="1629"/>
        <v>0</v>
      </c>
      <c r="AF1587" s="16">
        <f t="shared" si="1629"/>
        <v>0</v>
      </c>
      <c r="AG1587" s="16">
        <f t="shared" si="1629"/>
        <v>0</v>
      </c>
      <c r="AH1587" s="16">
        <f t="shared" si="1629"/>
        <v>0</v>
      </c>
      <c r="AI1587" s="16">
        <f t="shared" si="1629"/>
        <v>0</v>
      </c>
      <c r="AJ1587" s="16">
        <f t="shared" si="1629"/>
        <v>0</v>
      </c>
      <c r="AK1587" s="16">
        <f t="shared" si="1629"/>
        <v>0</v>
      </c>
      <c r="AL1587" s="16">
        <f t="shared" si="1629"/>
        <v>0</v>
      </c>
      <c r="AM1587" s="16">
        <f t="shared" si="1629"/>
        <v>0</v>
      </c>
      <c r="AN1587" s="16">
        <f t="shared" si="1629"/>
        <v>0</v>
      </c>
      <c r="AO1587" s="16">
        <f t="shared" si="1629"/>
        <v>0</v>
      </c>
      <c r="AP1587" s="10"/>
      <c r="AQ1587" s="10"/>
      <c r="AR1587" s="10"/>
      <c r="AS1587" s="10" t="str">
        <f t="shared" ca="1" si="1624"/>
        <v>Johnson &amp; Johnson</v>
      </c>
      <c r="AT1587" s="10"/>
      <c r="AU1587" s="10"/>
      <c r="AV1587" s="10"/>
      <c r="AW1587" s="10"/>
      <c r="AX1587" s="10"/>
      <c r="AY1587" s="10"/>
      <c r="AZ1587" s="10"/>
      <c r="BA1587" s="10"/>
      <c r="BB1587" s="10"/>
      <c r="BC1587" s="10"/>
      <c r="BD1587" s="10"/>
      <c r="BE1587" s="10"/>
      <c r="BF1587" s="10"/>
      <c r="BG1587" s="10"/>
      <c r="BH1587" s="10"/>
      <c r="BI1587" s="10"/>
      <c r="BJ1587" s="10"/>
      <c r="BK1587" s="10"/>
      <c r="BM1587" s="10"/>
    </row>
    <row r="1588" spans="1:65" ht="12.75">
      <c r="A1588" s="9"/>
      <c r="B1588" s="10"/>
      <c r="C1588" s="11"/>
      <c r="D1588" s="12"/>
      <c r="E1588" s="10"/>
      <c r="F1588" s="10"/>
      <c r="G1588" s="10"/>
      <c r="H1588" s="14"/>
      <c r="I1588" s="14"/>
      <c r="J1588" s="14"/>
      <c r="K1588" s="14"/>
      <c r="L1588" s="14"/>
      <c r="M1588" s="15"/>
      <c r="N1588" s="10"/>
      <c r="O1588" s="14"/>
      <c r="P1588" s="14"/>
      <c r="Q1588" s="14"/>
      <c r="R1588" s="14"/>
      <c r="S1588" s="14"/>
      <c r="T1588" s="14"/>
      <c r="U1588" s="14"/>
      <c r="V1588" s="14"/>
      <c r="W1588" s="14"/>
      <c r="X1588" s="14"/>
      <c r="Y1588" s="14"/>
      <c r="Z1588" s="14"/>
      <c r="AA1588" s="16" t="str">
        <f t="shared" ca="1" si="1629"/>
        <v>Johnson &amp; Johnson</v>
      </c>
      <c r="AB1588" s="16">
        <f t="shared" si="1629"/>
        <v>0</v>
      </c>
      <c r="AC1588" s="16">
        <f t="shared" si="1629"/>
        <v>0</v>
      </c>
      <c r="AD1588" s="16">
        <f t="shared" si="1629"/>
        <v>0</v>
      </c>
      <c r="AE1588" s="16">
        <f t="shared" si="1629"/>
        <v>0</v>
      </c>
      <c r="AF1588" s="16">
        <f t="shared" si="1629"/>
        <v>0</v>
      </c>
      <c r="AG1588" s="16">
        <f t="shared" si="1629"/>
        <v>0</v>
      </c>
      <c r="AH1588" s="16">
        <f t="shared" si="1629"/>
        <v>0</v>
      </c>
      <c r="AI1588" s="16">
        <f t="shared" si="1629"/>
        <v>0</v>
      </c>
      <c r="AJ1588" s="16">
        <f t="shared" si="1629"/>
        <v>0</v>
      </c>
      <c r="AK1588" s="16">
        <f t="shared" si="1629"/>
        <v>0</v>
      </c>
      <c r="AL1588" s="16">
        <f t="shared" si="1629"/>
        <v>0</v>
      </c>
      <c r="AM1588" s="16">
        <f t="shared" si="1629"/>
        <v>0</v>
      </c>
      <c r="AN1588" s="16">
        <f t="shared" si="1629"/>
        <v>0</v>
      </c>
      <c r="AO1588" s="16">
        <f t="shared" si="1629"/>
        <v>0</v>
      </c>
      <c r="AP1588" s="10"/>
      <c r="AQ1588" s="10"/>
      <c r="AR1588" s="10"/>
      <c r="AS1588" s="10" t="str">
        <f t="shared" ca="1" si="1624"/>
        <v>Johnson &amp; Johnson</v>
      </c>
      <c r="AT1588" s="10"/>
      <c r="AU1588" s="10"/>
      <c r="AV1588" s="10"/>
      <c r="AW1588" s="10"/>
      <c r="AX1588" s="10"/>
      <c r="AY1588" s="10"/>
      <c r="AZ1588" s="10"/>
      <c r="BA1588" s="10"/>
      <c r="BB1588" s="10"/>
      <c r="BC1588" s="10"/>
      <c r="BD1588" s="10"/>
      <c r="BE1588" s="10"/>
      <c r="BF1588" s="10"/>
      <c r="BG1588" s="10"/>
      <c r="BH1588" s="10"/>
      <c r="BI1588" s="10"/>
      <c r="BJ1588" s="10"/>
      <c r="BK1588" s="10"/>
      <c r="BM1588" s="10"/>
    </row>
    <row r="1589" spans="1:65" ht="12.75">
      <c r="A1589" s="9"/>
      <c r="B1589" s="10"/>
      <c r="C1589" s="11"/>
      <c r="D1589" s="12"/>
      <c r="E1589" s="10"/>
      <c r="F1589" s="10"/>
      <c r="G1589" s="10"/>
      <c r="H1589" s="14"/>
      <c r="I1589" s="14"/>
      <c r="J1589" s="14"/>
      <c r="K1589" s="14"/>
      <c r="L1589" s="14"/>
      <c r="M1589" s="15"/>
      <c r="N1589" s="10"/>
      <c r="O1589" s="14"/>
      <c r="P1589" s="14"/>
      <c r="Q1589" s="14"/>
      <c r="R1589" s="14"/>
      <c r="S1589" s="14"/>
      <c r="T1589" s="14"/>
      <c r="U1589" s="14"/>
      <c r="V1589" s="14"/>
      <c r="W1589" s="14"/>
      <c r="X1589" s="14"/>
      <c r="Y1589" s="14"/>
      <c r="Z1589" s="14"/>
      <c r="AA1589" s="16" t="str">
        <f t="shared" ca="1" si="1629"/>
        <v>Johnson &amp; Johnson</v>
      </c>
      <c r="AB1589" s="16">
        <f t="shared" si="1629"/>
        <v>0</v>
      </c>
      <c r="AC1589" s="16">
        <f t="shared" si="1629"/>
        <v>0</v>
      </c>
      <c r="AD1589" s="16">
        <f t="shared" si="1629"/>
        <v>0</v>
      </c>
      <c r="AE1589" s="16">
        <f t="shared" si="1629"/>
        <v>0</v>
      </c>
      <c r="AF1589" s="16">
        <f t="shared" si="1629"/>
        <v>0</v>
      </c>
      <c r="AG1589" s="16">
        <f t="shared" si="1629"/>
        <v>0</v>
      </c>
      <c r="AH1589" s="16">
        <f t="shared" si="1629"/>
        <v>0</v>
      </c>
      <c r="AI1589" s="16">
        <f t="shared" si="1629"/>
        <v>0</v>
      </c>
      <c r="AJ1589" s="16">
        <f t="shared" si="1629"/>
        <v>0</v>
      </c>
      <c r="AK1589" s="16">
        <f t="shared" si="1629"/>
        <v>0</v>
      </c>
      <c r="AL1589" s="16">
        <f t="shared" si="1629"/>
        <v>0</v>
      </c>
      <c r="AM1589" s="16">
        <f t="shared" si="1629"/>
        <v>0</v>
      </c>
      <c r="AN1589" s="16">
        <f t="shared" si="1629"/>
        <v>0</v>
      </c>
      <c r="AO1589" s="16">
        <f t="shared" si="1629"/>
        <v>0</v>
      </c>
      <c r="AP1589" s="10"/>
      <c r="AQ1589" s="10"/>
      <c r="AR1589" s="10"/>
      <c r="AS1589" s="10" t="str">
        <f t="shared" ca="1" si="1624"/>
        <v>Johnson &amp; Johnson</v>
      </c>
      <c r="AT1589" s="10"/>
      <c r="AU1589" s="10"/>
      <c r="AV1589" s="10"/>
      <c r="AW1589" s="10"/>
      <c r="AX1589" s="10"/>
      <c r="AY1589" s="10"/>
      <c r="AZ1589" s="10"/>
      <c r="BA1589" s="10"/>
      <c r="BB1589" s="10"/>
      <c r="BC1589" s="10"/>
      <c r="BD1589" s="10"/>
      <c r="BE1589" s="10"/>
      <c r="BF1589" s="10"/>
      <c r="BG1589" s="10"/>
      <c r="BH1589" s="10"/>
      <c r="BI1589" s="10"/>
      <c r="BJ1589" s="10"/>
      <c r="BK1589" s="10"/>
      <c r="BM1589" s="10"/>
    </row>
    <row r="1590" spans="1:65" ht="12.75">
      <c r="A1590" s="9"/>
      <c r="B1590" s="10"/>
      <c r="C1590" s="11"/>
      <c r="D1590" s="12"/>
      <c r="E1590" s="10"/>
      <c r="F1590" s="10"/>
      <c r="G1590" s="10"/>
      <c r="H1590" s="14"/>
      <c r="I1590" s="14"/>
      <c r="J1590" s="14"/>
      <c r="K1590" s="14"/>
      <c r="L1590" s="14"/>
      <c r="M1590" s="15"/>
      <c r="N1590" s="10"/>
      <c r="O1590" s="14"/>
      <c r="P1590" s="14"/>
      <c r="Q1590" s="14"/>
      <c r="R1590" s="14"/>
      <c r="S1590" s="14"/>
      <c r="T1590" s="14"/>
      <c r="U1590" s="14"/>
      <c r="V1590" s="14"/>
      <c r="W1590" s="14"/>
      <c r="X1590" s="14"/>
      <c r="Y1590" s="14"/>
      <c r="Z1590" s="14"/>
      <c r="AA1590" s="16" t="str">
        <f t="shared" ca="1" si="1629"/>
        <v>Johnson &amp; Johnson</v>
      </c>
      <c r="AB1590" s="16">
        <f t="shared" si="1629"/>
        <v>0</v>
      </c>
      <c r="AC1590" s="16">
        <f t="shared" si="1629"/>
        <v>0</v>
      </c>
      <c r="AD1590" s="16">
        <f t="shared" si="1629"/>
        <v>0</v>
      </c>
      <c r="AE1590" s="16">
        <f t="shared" si="1629"/>
        <v>0</v>
      </c>
      <c r="AF1590" s="16">
        <f t="shared" si="1629"/>
        <v>0</v>
      </c>
      <c r="AG1590" s="16">
        <f t="shared" si="1629"/>
        <v>0</v>
      </c>
      <c r="AH1590" s="16">
        <f t="shared" si="1629"/>
        <v>0</v>
      </c>
      <c r="AI1590" s="16">
        <f t="shared" si="1629"/>
        <v>0</v>
      </c>
      <c r="AJ1590" s="16">
        <f t="shared" si="1629"/>
        <v>0</v>
      </c>
      <c r="AK1590" s="16">
        <f t="shared" si="1629"/>
        <v>0</v>
      </c>
      <c r="AL1590" s="16">
        <f t="shared" si="1629"/>
        <v>0</v>
      </c>
      <c r="AM1590" s="16">
        <f t="shared" si="1629"/>
        <v>0</v>
      </c>
      <c r="AN1590" s="16">
        <f t="shared" si="1629"/>
        <v>0</v>
      </c>
      <c r="AO1590" s="16">
        <f t="shared" si="1629"/>
        <v>0</v>
      </c>
      <c r="AP1590" s="10"/>
      <c r="AQ1590" s="10"/>
      <c r="AR1590" s="10"/>
      <c r="AS1590" s="10" t="str">
        <f t="shared" ca="1" si="1624"/>
        <v>Johnson &amp; Johnson</v>
      </c>
      <c r="AT1590" s="10"/>
      <c r="AU1590" s="10"/>
      <c r="AV1590" s="10"/>
      <c r="AW1590" s="10"/>
      <c r="AX1590" s="10"/>
      <c r="AY1590" s="10"/>
      <c r="AZ1590" s="10"/>
      <c r="BA1590" s="10"/>
      <c r="BB1590" s="10"/>
      <c r="BC1590" s="10"/>
      <c r="BD1590" s="10"/>
      <c r="BE1590" s="10"/>
      <c r="BF1590" s="10"/>
      <c r="BG1590" s="10"/>
      <c r="BH1590" s="10"/>
      <c r="BI1590" s="10"/>
      <c r="BJ1590" s="10"/>
      <c r="BK1590" s="10"/>
      <c r="BM1590" s="10"/>
    </row>
    <row r="1591" spans="1:65" ht="12.75">
      <c r="A1591" s="9"/>
      <c r="B1591" s="10"/>
      <c r="C1591" s="11"/>
      <c r="D1591" s="12"/>
      <c r="E1591" s="10"/>
      <c r="F1591" s="10"/>
      <c r="G1591" s="10"/>
      <c r="H1591" s="14"/>
      <c r="I1591" s="14"/>
      <c r="J1591" s="14"/>
      <c r="K1591" s="14"/>
      <c r="L1591" s="14"/>
      <c r="M1591" s="15"/>
      <c r="N1591" s="10"/>
      <c r="O1591" s="14"/>
      <c r="P1591" s="14"/>
      <c r="Q1591" s="14"/>
      <c r="R1591" s="14"/>
      <c r="S1591" s="14"/>
      <c r="T1591" s="14"/>
      <c r="U1591" s="14"/>
      <c r="V1591" s="14"/>
      <c r="W1591" s="14"/>
      <c r="X1591" s="14"/>
      <c r="Y1591" s="14"/>
      <c r="Z1591" s="14"/>
      <c r="AA1591" s="16" t="str">
        <f t="shared" ca="1" si="1629"/>
        <v>Johnson &amp; Johnson</v>
      </c>
      <c r="AB1591" s="16">
        <f t="shared" si="1629"/>
        <v>0</v>
      </c>
      <c r="AC1591" s="16">
        <f t="shared" si="1629"/>
        <v>0</v>
      </c>
      <c r="AD1591" s="16">
        <f t="shared" si="1629"/>
        <v>0</v>
      </c>
      <c r="AE1591" s="16">
        <f t="shared" si="1629"/>
        <v>0</v>
      </c>
      <c r="AF1591" s="16">
        <f t="shared" si="1629"/>
        <v>0</v>
      </c>
      <c r="AG1591" s="16">
        <f t="shared" si="1629"/>
        <v>0</v>
      </c>
      <c r="AH1591" s="16">
        <f t="shared" si="1629"/>
        <v>0</v>
      </c>
      <c r="AI1591" s="16">
        <f t="shared" si="1629"/>
        <v>0</v>
      </c>
      <c r="AJ1591" s="16">
        <f t="shared" si="1629"/>
        <v>0</v>
      </c>
      <c r="AK1591" s="16">
        <f t="shared" si="1629"/>
        <v>0</v>
      </c>
      <c r="AL1591" s="16">
        <f t="shared" si="1629"/>
        <v>0</v>
      </c>
      <c r="AM1591" s="16">
        <f t="shared" si="1629"/>
        <v>0</v>
      </c>
      <c r="AN1591" s="16">
        <f t="shared" si="1629"/>
        <v>0</v>
      </c>
      <c r="AO1591" s="16">
        <f t="shared" si="1629"/>
        <v>0</v>
      </c>
      <c r="AP1591" s="10"/>
      <c r="AQ1591" s="10"/>
      <c r="AR1591" s="10"/>
      <c r="AS1591" s="10" t="str">
        <f t="shared" ca="1" si="1624"/>
        <v>Johnson &amp; Johnson</v>
      </c>
      <c r="AT1591" s="10"/>
      <c r="AU1591" s="10"/>
      <c r="AV1591" s="10"/>
      <c r="AW1591" s="10"/>
      <c r="AX1591" s="10"/>
      <c r="AY1591" s="10"/>
      <c r="AZ1591" s="10"/>
      <c r="BA1591" s="10"/>
      <c r="BB1591" s="10"/>
      <c r="BC1591" s="10"/>
      <c r="BD1591" s="10"/>
      <c r="BE1591" s="10"/>
      <c r="BF1591" s="10"/>
      <c r="BG1591" s="10"/>
      <c r="BH1591" s="10"/>
      <c r="BI1591" s="10"/>
      <c r="BJ1591" s="10"/>
      <c r="BK1591" s="10"/>
      <c r="BM1591" s="10"/>
    </row>
    <row r="1592" spans="1:65" ht="12.75">
      <c r="A1592" s="9"/>
      <c r="B1592" s="10"/>
      <c r="C1592" s="11"/>
      <c r="D1592" s="12"/>
      <c r="E1592" s="10"/>
      <c r="F1592" s="10"/>
      <c r="G1592" s="10"/>
      <c r="H1592" s="14"/>
      <c r="I1592" s="14"/>
      <c r="J1592" s="14"/>
      <c r="K1592" s="14"/>
      <c r="L1592" s="14"/>
      <c r="M1592" s="15"/>
      <c r="N1592" s="10"/>
      <c r="O1592" s="14"/>
      <c r="P1592" s="14"/>
      <c r="Q1592" s="14"/>
      <c r="R1592" s="14"/>
      <c r="S1592" s="14"/>
      <c r="T1592" s="14"/>
      <c r="U1592" s="14"/>
      <c r="V1592" s="14"/>
      <c r="W1592" s="14"/>
      <c r="X1592" s="14"/>
      <c r="Y1592" s="14"/>
      <c r="Z1592" s="14"/>
      <c r="AA1592" s="16" t="str">
        <f t="shared" ca="1" si="1629"/>
        <v>Johnson &amp; Johnson</v>
      </c>
      <c r="AB1592" s="16">
        <f t="shared" si="1629"/>
        <v>0</v>
      </c>
      <c r="AC1592" s="16">
        <f t="shared" si="1629"/>
        <v>0</v>
      </c>
      <c r="AD1592" s="16">
        <f t="shared" si="1629"/>
        <v>0</v>
      </c>
      <c r="AE1592" s="16">
        <f t="shared" si="1629"/>
        <v>0</v>
      </c>
      <c r="AF1592" s="16">
        <f t="shared" si="1629"/>
        <v>0</v>
      </c>
      <c r="AG1592" s="16">
        <f t="shared" si="1629"/>
        <v>0</v>
      </c>
      <c r="AH1592" s="16">
        <f t="shared" si="1629"/>
        <v>0</v>
      </c>
      <c r="AI1592" s="16">
        <f t="shared" si="1629"/>
        <v>0</v>
      </c>
      <c r="AJ1592" s="16">
        <f t="shared" si="1629"/>
        <v>0</v>
      </c>
      <c r="AK1592" s="16">
        <f t="shared" si="1629"/>
        <v>0</v>
      </c>
      <c r="AL1592" s="16">
        <f t="shared" si="1629"/>
        <v>0</v>
      </c>
      <c r="AM1592" s="16">
        <f t="shared" si="1629"/>
        <v>0</v>
      </c>
      <c r="AN1592" s="16">
        <f t="shared" si="1629"/>
        <v>0</v>
      </c>
      <c r="AO1592" s="16">
        <f t="shared" si="1629"/>
        <v>0</v>
      </c>
      <c r="AP1592" s="10"/>
      <c r="AQ1592" s="10"/>
      <c r="AR1592" s="10"/>
      <c r="AS1592" s="10" t="str">
        <f t="shared" ca="1" si="1624"/>
        <v>Johnson &amp; Johnson</v>
      </c>
      <c r="AT1592" s="10"/>
      <c r="AU1592" s="10"/>
      <c r="AV1592" s="10"/>
      <c r="AW1592" s="10"/>
      <c r="AX1592" s="10"/>
      <c r="AY1592" s="10"/>
      <c r="AZ1592" s="10"/>
      <c r="BA1592" s="10"/>
      <c r="BB1592" s="10"/>
      <c r="BC1592" s="10"/>
      <c r="BD1592" s="10"/>
      <c r="BE1592" s="10"/>
      <c r="BF1592" s="10"/>
      <c r="BG1592" s="10"/>
      <c r="BH1592" s="10"/>
      <c r="BI1592" s="10"/>
      <c r="BJ1592" s="10"/>
      <c r="BK1592" s="10"/>
      <c r="BM1592" s="10"/>
    </row>
    <row r="1593" spans="1:65" ht="12.75">
      <c r="A1593" s="9"/>
      <c r="B1593" s="10"/>
      <c r="C1593" s="11"/>
      <c r="D1593" s="12"/>
      <c r="E1593" s="10"/>
      <c r="F1593" s="10"/>
      <c r="G1593" s="10"/>
      <c r="H1593" s="14"/>
      <c r="I1593" s="14"/>
      <c r="J1593" s="14"/>
      <c r="K1593" s="14"/>
      <c r="L1593" s="14"/>
      <c r="M1593" s="15"/>
      <c r="N1593" s="10"/>
      <c r="O1593" s="14"/>
      <c r="P1593" s="14"/>
      <c r="Q1593" s="14"/>
      <c r="R1593" s="14"/>
      <c r="S1593" s="14"/>
      <c r="T1593" s="14"/>
      <c r="U1593" s="14"/>
      <c r="V1593" s="14"/>
      <c r="W1593" s="14"/>
      <c r="X1593" s="14"/>
      <c r="Y1593" s="14"/>
      <c r="Z1593" s="14"/>
      <c r="AA1593" s="16" t="str">
        <f t="shared" ref="AA1593:AO1608" ca="1" si="1630">AS1593</f>
        <v>Johnson &amp; Johnson</v>
      </c>
      <c r="AB1593" s="16">
        <f t="shared" si="1630"/>
        <v>0</v>
      </c>
      <c r="AC1593" s="16">
        <f t="shared" si="1630"/>
        <v>0</v>
      </c>
      <c r="AD1593" s="16">
        <f t="shared" si="1630"/>
        <v>0</v>
      </c>
      <c r="AE1593" s="16">
        <f t="shared" si="1630"/>
        <v>0</v>
      </c>
      <c r="AF1593" s="16">
        <f t="shared" si="1630"/>
        <v>0</v>
      </c>
      <c r="AG1593" s="16">
        <f t="shared" si="1630"/>
        <v>0</v>
      </c>
      <c r="AH1593" s="16">
        <f t="shared" si="1630"/>
        <v>0</v>
      </c>
      <c r="AI1593" s="16">
        <f t="shared" si="1630"/>
        <v>0</v>
      </c>
      <c r="AJ1593" s="16">
        <f t="shared" si="1630"/>
        <v>0</v>
      </c>
      <c r="AK1593" s="16">
        <f t="shared" si="1630"/>
        <v>0</v>
      </c>
      <c r="AL1593" s="16">
        <f t="shared" si="1630"/>
        <v>0</v>
      </c>
      <c r="AM1593" s="16">
        <f t="shared" si="1630"/>
        <v>0</v>
      </c>
      <c r="AN1593" s="16">
        <f t="shared" si="1630"/>
        <v>0</v>
      </c>
      <c r="AO1593" s="16">
        <f t="shared" si="1630"/>
        <v>0</v>
      </c>
      <c r="AP1593" s="10"/>
      <c r="AQ1593" s="10"/>
      <c r="AR1593" s="10"/>
      <c r="AS1593" s="10" t="str">
        <f t="shared" ca="1" si="1624"/>
        <v>Johnson &amp; Johnson</v>
      </c>
      <c r="AT1593" s="10"/>
      <c r="AU1593" s="10"/>
      <c r="AV1593" s="10"/>
      <c r="AW1593" s="10"/>
      <c r="AX1593" s="10"/>
      <c r="AY1593" s="10"/>
      <c r="AZ1593" s="10"/>
      <c r="BA1593" s="10"/>
      <c r="BB1593" s="10"/>
      <c r="BC1593" s="10"/>
      <c r="BD1593" s="10"/>
      <c r="BE1593" s="10"/>
      <c r="BF1593" s="10"/>
      <c r="BG1593" s="10"/>
      <c r="BH1593" s="10"/>
      <c r="BI1593" s="10"/>
      <c r="BJ1593" s="10"/>
      <c r="BK1593" s="10"/>
      <c r="BM1593" s="10"/>
    </row>
    <row r="1594" spans="1:65" ht="12.75">
      <c r="A1594" s="9"/>
      <c r="B1594" s="10"/>
      <c r="C1594" s="11"/>
      <c r="D1594" s="12"/>
      <c r="E1594" s="10"/>
      <c r="F1594" s="10"/>
      <c r="G1594" s="10"/>
      <c r="H1594" s="14"/>
      <c r="I1594" s="14"/>
      <c r="J1594" s="14"/>
      <c r="K1594" s="14"/>
      <c r="L1594" s="14"/>
      <c r="M1594" s="15"/>
      <c r="N1594" s="10"/>
      <c r="O1594" s="14"/>
      <c r="P1594" s="14"/>
      <c r="Q1594" s="14"/>
      <c r="R1594" s="14"/>
      <c r="S1594" s="14"/>
      <c r="T1594" s="14"/>
      <c r="U1594" s="14"/>
      <c r="V1594" s="14"/>
      <c r="W1594" s="14"/>
      <c r="X1594" s="14"/>
      <c r="Y1594" s="14"/>
      <c r="Z1594" s="14"/>
      <c r="AA1594" s="16" t="str">
        <f t="shared" ca="1" si="1630"/>
        <v>Johnson &amp; Johnson</v>
      </c>
      <c r="AB1594" s="16">
        <f t="shared" si="1630"/>
        <v>0</v>
      </c>
      <c r="AC1594" s="16">
        <f t="shared" si="1630"/>
        <v>0</v>
      </c>
      <c r="AD1594" s="16">
        <f t="shared" si="1630"/>
        <v>0</v>
      </c>
      <c r="AE1594" s="16">
        <f t="shared" si="1630"/>
        <v>0</v>
      </c>
      <c r="AF1594" s="16">
        <f t="shared" si="1630"/>
        <v>0</v>
      </c>
      <c r="AG1594" s="16">
        <f t="shared" si="1630"/>
        <v>0</v>
      </c>
      <c r="AH1594" s="16">
        <f t="shared" si="1630"/>
        <v>0</v>
      </c>
      <c r="AI1594" s="16">
        <f t="shared" si="1630"/>
        <v>0</v>
      </c>
      <c r="AJ1594" s="16">
        <f t="shared" si="1630"/>
        <v>0</v>
      </c>
      <c r="AK1594" s="16">
        <f t="shared" si="1630"/>
        <v>0</v>
      </c>
      <c r="AL1594" s="16">
        <f t="shared" si="1630"/>
        <v>0</v>
      </c>
      <c r="AM1594" s="16">
        <f t="shared" si="1630"/>
        <v>0</v>
      </c>
      <c r="AN1594" s="16">
        <f t="shared" si="1630"/>
        <v>0</v>
      </c>
      <c r="AO1594" s="16">
        <f t="shared" si="1630"/>
        <v>0</v>
      </c>
      <c r="AP1594" s="10"/>
      <c r="AQ1594" s="10"/>
      <c r="AR1594" s="10"/>
      <c r="AS1594" s="10" t="str">
        <f t="shared" ca="1" si="1624"/>
        <v>Johnson &amp; Johnson</v>
      </c>
      <c r="AT1594" s="10"/>
      <c r="AU1594" s="10"/>
      <c r="AV1594" s="10"/>
      <c r="AW1594" s="10"/>
      <c r="AX1594" s="10"/>
      <c r="AY1594" s="10"/>
      <c r="AZ1594" s="10"/>
      <c r="BA1594" s="10"/>
      <c r="BB1594" s="10"/>
      <c r="BC1594" s="10"/>
      <c r="BD1594" s="10"/>
      <c r="BE1594" s="10"/>
      <c r="BF1594" s="10"/>
      <c r="BG1594" s="10"/>
      <c r="BH1594" s="10"/>
      <c r="BI1594" s="10"/>
      <c r="BJ1594" s="10"/>
      <c r="BK1594" s="10"/>
      <c r="BM1594" s="10"/>
    </row>
    <row r="1595" spans="1:65" ht="12.75">
      <c r="A1595" s="9"/>
      <c r="B1595" s="10"/>
      <c r="C1595" s="11"/>
      <c r="D1595" s="12"/>
      <c r="E1595" s="10"/>
      <c r="F1595" s="10"/>
      <c r="G1595" s="10"/>
      <c r="H1595" s="14"/>
      <c r="I1595" s="14"/>
      <c r="J1595" s="14"/>
      <c r="K1595" s="14"/>
      <c r="L1595" s="14"/>
      <c r="M1595" s="15"/>
      <c r="N1595" s="10"/>
      <c r="O1595" s="14"/>
      <c r="P1595" s="14"/>
      <c r="Q1595" s="14"/>
      <c r="R1595" s="14"/>
      <c r="S1595" s="14"/>
      <c r="T1595" s="14"/>
      <c r="U1595" s="14"/>
      <c r="V1595" s="14"/>
      <c r="W1595" s="14"/>
      <c r="X1595" s="14"/>
      <c r="Y1595" s="14"/>
      <c r="Z1595" s="14"/>
      <c r="AA1595" s="16" t="str">
        <f t="shared" ca="1" si="1630"/>
        <v>Johnson &amp; Johnson</v>
      </c>
      <c r="AB1595" s="16">
        <f t="shared" si="1630"/>
        <v>0</v>
      </c>
      <c r="AC1595" s="16">
        <f t="shared" si="1630"/>
        <v>0</v>
      </c>
      <c r="AD1595" s="16">
        <f t="shared" si="1630"/>
        <v>0</v>
      </c>
      <c r="AE1595" s="16">
        <f t="shared" si="1630"/>
        <v>0</v>
      </c>
      <c r="AF1595" s="16">
        <f t="shared" si="1630"/>
        <v>0</v>
      </c>
      <c r="AG1595" s="16">
        <f t="shared" si="1630"/>
        <v>0</v>
      </c>
      <c r="AH1595" s="16">
        <f t="shared" si="1630"/>
        <v>0</v>
      </c>
      <c r="AI1595" s="16">
        <f t="shared" si="1630"/>
        <v>0</v>
      </c>
      <c r="AJ1595" s="16">
        <f t="shared" si="1630"/>
        <v>0</v>
      </c>
      <c r="AK1595" s="16">
        <f t="shared" si="1630"/>
        <v>0</v>
      </c>
      <c r="AL1595" s="16">
        <f t="shared" si="1630"/>
        <v>0</v>
      </c>
      <c r="AM1595" s="16">
        <f t="shared" si="1630"/>
        <v>0</v>
      </c>
      <c r="AN1595" s="16">
        <f t="shared" si="1630"/>
        <v>0</v>
      </c>
      <c r="AO1595" s="16">
        <f t="shared" si="1630"/>
        <v>0</v>
      </c>
      <c r="AP1595" s="10"/>
      <c r="AQ1595" s="10"/>
      <c r="AR1595" s="10"/>
      <c r="AS1595" s="10" t="str">
        <f t="shared" ca="1" si="1624"/>
        <v>Johnson &amp; Johnson</v>
      </c>
      <c r="AT1595" s="10"/>
      <c r="AU1595" s="10"/>
      <c r="AV1595" s="10"/>
      <c r="AW1595" s="10"/>
      <c r="AX1595" s="10"/>
      <c r="AY1595" s="10"/>
      <c r="AZ1595" s="10"/>
      <c r="BA1595" s="10"/>
      <c r="BB1595" s="10"/>
      <c r="BC1595" s="10"/>
      <c r="BD1595" s="10"/>
      <c r="BE1595" s="10"/>
      <c r="BF1595" s="10"/>
      <c r="BG1595" s="10"/>
      <c r="BH1595" s="10"/>
      <c r="BI1595" s="10"/>
      <c r="BJ1595" s="10"/>
      <c r="BK1595" s="10"/>
      <c r="BM1595" s="10"/>
    </row>
    <row r="1596" spans="1:65" ht="12.75">
      <c r="A1596" s="9"/>
      <c r="B1596" s="10"/>
      <c r="C1596" s="11"/>
      <c r="D1596" s="12"/>
      <c r="E1596" s="10"/>
      <c r="F1596" s="10"/>
      <c r="G1596" s="10"/>
      <c r="H1596" s="14"/>
      <c r="I1596" s="14"/>
      <c r="J1596" s="14"/>
      <c r="K1596" s="14"/>
      <c r="L1596" s="14"/>
      <c r="M1596" s="15"/>
      <c r="N1596" s="10"/>
      <c r="O1596" s="14"/>
      <c r="P1596" s="14"/>
      <c r="Q1596" s="14"/>
      <c r="R1596" s="14"/>
      <c r="S1596" s="14"/>
      <c r="T1596" s="14"/>
      <c r="U1596" s="14"/>
      <c r="V1596" s="14"/>
      <c r="W1596" s="14"/>
      <c r="X1596" s="14"/>
      <c r="Y1596" s="14"/>
      <c r="Z1596" s="14"/>
      <c r="AA1596" s="16" t="str">
        <f t="shared" ca="1" si="1630"/>
        <v>Johnson &amp; Johnson</v>
      </c>
      <c r="AB1596" s="16">
        <f t="shared" si="1630"/>
        <v>0</v>
      </c>
      <c r="AC1596" s="16">
        <f t="shared" si="1630"/>
        <v>0</v>
      </c>
      <c r="AD1596" s="16">
        <f t="shared" si="1630"/>
        <v>0</v>
      </c>
      <c r="AE1596" s="16">
        <f t="shared" si="1630"/>
        <v>0</v>
      </c>
      <c r="AF1596" s="16">
        <f t="shared" si="1630"/>
        <v>0</v>
      </c>
      <c r="AG1596" s="16">
        <f t="shared" si="1630"/>
        <v>0</v>
      </c>
      <c r="AH1596" s="16">
        <f t="shared" si="1630"/>
        <v>0</v>
      </c>
      <c r="AI1596" s="16">
        <f t="shared" si="1630"/>
        <v>0</v>
      </c>
      <c r="AJ1596" s="16">
        <f t="shared" si="1630"/>
        <v>0</v>
      </c>
      <c r="AK1596" s="16">
        <f t="shared" si="1630"/>
        <v>0</v>
      </c>
      <c r="AL1596" s="16">
        <f t="shared" si="1630"/>
        <v>0</v>
      </c>
      <c r="AM1596" s="16">
        <f t="shared" si="1630"/>
        <v>0</v>
      </c>
      <c r="AN1596" s="16">
        <f t="shared" si="1630"/>
        <v>0</v>
      </c>
      <c r="AO1596" s="16">
        <f t="shared" si="1630"/>
        <v>0</v>
      </c>
      <c r="AP1596" s="10"/>
      <c r="AQ1596" s="10"/>
      <c r="AR1596" s="10"/>
      <c r="AS1596" s="10" t="str">
        <f t="shared" ca="1" si="1624"/>
        <v>Johnson &amp; Johnson</v>
      </c>
      <c r="AT1596" s="10"/>
      <c r="AU1596" s="10"/>
      <c r="AV1596" s="10"/>
      <c r="AW1596" s="10"/>
      <c r="AX1596" s="10"/>
      <c r="AY1596" s="10"/>
      <c r="AZ1596" s="10"/>
      <c r="BA1596" s="10"/>
      <c r="BB1596" s="10"/>
      <c r="BC1596" s="10"/>
      <c r="BD1596" s="10"/>
      <c r="BE1596" s="10"/>
      <c r="BF1596" s="10"/>
      <c r="BG1596" s="10"/>
      <c r="BH1596" s="10"/>
      <c r="BI1596" s="10"/>
      <c r="BJ1596" s="10"/>
      <c r="BK1596" s="10"/>
      <c r="BM1596" s="10"/>
    </row>
    <row r="1597" spans="1:65" ht="12.75">
      <c r="A1597" s="9"/>
      <c r="B1597" s="10"/>
      <c r="C1597" s="11"/>
      <c r="D1597" s="12"/>
      <c r="E1597" s="10"/>
      <c r="F1597" s="10"/>
      <c r="G1597" s="10"/>
      <c r="H1597" s="14"/>
      <c r="I1597" s="14"/>
      <c r="J1597" s="14"/>
      <c r="K1597" s="14"/>
      <c r="L1597" s="14"/>
      <c r="M1597" s="15"/>
      <c r="N1597" s="10"/>
      <c r="O1597" s="14"/>
      <c r="P1597" s="14"/>
      <c r="Q1597" s="14"/>
      <c r="R1597" s="14"/>
      <c r="S1597" s="14"/>
      <c r="T1597" s="14"/>
      <c r="U1597" s="14"/>
      <c r="V1597" s="14"/>
      <c r="W1597" s="14"/>
      <c r="X1597" s="14"/>
      <c r="Y1597" s="14"/>
      <c r="Z1597" s="14"/>
      <c r="AA1597" s="16" t="str">
        <f t="shared" ca="1" si="1630"/>
        <v>Johnson &amp; Johnson</v>
      </c>
      <c r="AB1597" s="16">
        <f t="shared" si="1630"/>
        <v>0</v>
      </c>
      <c r="AC1597" s="16">
        <f t="shared" si="1630"/>
        <v>0</v>
      </c>
      <c r="AD1597" s="16">
        <f t="shared" si="1630"/>
        <v>0</v>
      </c>
      <c r="AE1597" s="16">
        <f t="shared" si="1630"/>
        <v>0</v>
      </c>
      <c r="AF1597" s="16">
        <f t="shared" si="1630"/>
        <v>0</v>
      </c>
      <c r="AG1597" s="16">
        <f t="shared" si="1630"/>
        <v>0</v>
      </c>
      <c r="AH1597" s="16">
        <f t="shared" si="1630"/>
        <v>0</v>
      </c>
      <c r="AI1597" s="16">
        <f t="shared" si="1630"/>
        <v>0</v>
      </c>
      <c r="AJ1597" s="16">
        <f t="shared" si="1630"/>
        <v>0</v>
      </c>
      <c r="AK1597" s="16">
        <f t="shared" si="1630"/>
        <v>0</v>
      </c>
      <c r="AL1597" s="16">
        <f t="shared" si="1630"/>
        <v>0</v>
      </c>
      <c r="AM1597" s="16">
        <f t="shared" si="1630"/>
        <v>0</v>
      </c>
      <c r="AN1597" s="16">
        <f t="shared" si="1630"/>
        <v>0</v>
      </c>
      <c r="AO1597" s="16">
        <f t="shared" si="1630"/>
        <v>0</v>
      </c>
      <c r="AP1597" s="10"/>
      <c r="AQ1597" s="10"/>
      <c r="AR1597" s="10"/>
      <c r="AS1597" s="10" t="str">
        <f t="shared" ca="1" si="1624"/>
        <v>Johnson &amp; Johnson</v>
      </c>
      <c r="AT1597" s="10"/>
      <c r="AU1597" s="10"/>
      <c r="AV1597" s="10"/>
      <c r="AW1597" s="10"/>
      <c r="AX1597" s="10"/>
      <c r="AY1597" s="10"/>
      <c r="AZ1597" s="10"/>
      <c r="BA1597" s="10"/>
      <c r="BB1597" s="10"/>
      <c r="BC1597" s="10"/>
      <c r="BD1597" s="10"/>
      <c r="BE1597" s="10"/>
      <c r="BF1597" s="10"/>
      <c r="BG1597" s="10"/>
      <c r="BH1597" s="10"/>
      <c r="BI1597" s="10"/>
      <c r="BJ1597" s="10"/>
      <c r="BK1597" s="10"/>
      <c r="BM1597" s="10"/>
    </row>
    <row r="1598" spans="1:65" ht="12.75">
      <c r="A1598" s="9"/>
      <c r="B1598" s="10"/>
      <c r="C1598" s="11"/>
      <c r="D1598" s="12"/>
      <c r="E1598" s="10"/>
      <c r="F1598" s="10"/>
      <c r="G1598" s="10"/>
      <c r="H1598" s="14"/>
      <c r="I1598" s="14"/>
      <c r="J1598" s="14"/>
      <c r="K1598" s="14"/>
      <c r="L1598" s="14"/>
      <c r="M1598" s="15"/>
      <c r="N1598" s="10"/>
      <c r="O1598" s="14"/>
      <c r="P1598" s="14"/>
      <c r="Q1598" s="14"/>
      <c r="R1598" s="14"/>
      <c r="S1598" s="14"/>
      <c r="T1598" s="14"/>
      <c r="U1598" s="14"/>
      <c r="V1598" s="14"/>
      <c r="W1598" s="14"/>
      <c r="X1598" s="14"/>
      <c r="Y1598" s="14"/>
      <c r="Z1598" s="14"/>
      <c r="AA1598" s="16" t="str">
        <f t="shared" ca="1" si="1630"/>
        <v>Johnson &amp; Johnson</v>
      </c>
      <c r="AB1598" s="16">
        <f t="shared" si="1630"/>
        <v>0</v>
      </c>
      <c r="AC1598" s="16">
        <f t="shared" si="1630"/>
        <v>0</v>
      </c>
      <c r="AD1598" s="16">
        <f t="shared" si="1630"/>
        <v>0</v>
      </c>
      <c r="AE1598" s="16">
        <f t="shared" si="1630"/>
        <v>0</v>
      </c>
      <c r="AF1598" s="16">
        <f t="shared" si="1630"/>
        <v>0</v>
      </c>
      <c r="AG1598" s="16">
        <f t="shared" si="1630"/>
        <v>0</v>
      </c>
      <c r="AH1598" s="16">
        <f t="shared" si="1630"/>
        <v>0</v>
      </c>
      <c r="AI1598" s="16">
        <f t="shared" si="1630"/>
        <v>0</v>
      </c>
      <c r="AJ1598" s="16">
        <f t="shared" si="1630"/>
        <v>0</v>
      </c>
      <c r="AK1598" s="16">
        <f t="shared" si="1630"/>
        <v>0</v>
      </c>
      <c r="AL1598" s="16">
        <f t="shared" si="1630"/>
        <v>0</v>
      </c>
      <c r="AM1598" s="16">
        <f t="shared" si="1630"/>
        <v>0</v>
      </c>
      <c r="AN1598" s="16">
        <f t="shared" si="1630"/>
        <v>0</v>
      </c>
      <c r="AO1598" s="16">
        <f t="shared" si="1630"/>
        <v>0</v>
      </c>
      <c r="AP1598" s="10"/>
      <c r="AQ1598" s="10"/>
      <c r="AR1598" s="10"/>
      <c r="AS1598" s="10" t="str">
        <f t="shared" ca="1" si="1624"/>
        <v>Johnson &amp; Johnson</v>
      </c>
      <c r="AT1598" s="10"/>
      <c r="AU1598" s="10"/>
      <c r="AV1598" s="10"/>
      <c r="AW1598" s="10"/>
      <c r="AX1598" s="10"/>
      <c r="AY1598" s="10"/>
      <c r="AZ1598" s="10"/>
      <c r="BA1598" s="10"/>
      <c r="BB1598" s="10"/>
      <c r="BC1598" s="10"/>
      <c r="BD1598" s="10"/>
      <c r="BE1598" s="10"/>
      <c r="BF1598" s="10"/>
      <c r="BG1598" s="10"/>
      <c r="BH1598" s="10"/>
      <c r="BI1598" s="10"/>
      <c r="BJ1598" s="10"/>
      <c r="BK1598" s="10"/>
      <c r="BM1598" s="10"/>
    </row>
    <row r="1599" spans="1:65" ht="12.75">
      <c r="A1599" s="9"/>
      <c r="B1599" s="10"/>
      <c r="C1599" s="11"/>
      <c r="D1599" s="12"/>
      <c r="E1599" s="10"/>
      <c r="F1599" s="10"/>
      <c r="G1599" s="10"/>
      <c r="H1599" s="14"/>
      <c r="I1599" s="14"/>
      <c r="J1599" s="14"/>
      <c r="K1599" s="14"/>
      <c r="L1599" s="14"/>
      <c r="M1599" s="15"/>
      <c r="N1599" s="10"/>
      <c r="O1599" s="14"/>
      <c r="P1599" s="14"/>
      <c r="Q1599" s="14"/>
      <c r="R1599" s="14"/>
      <c r="S1599" s="14"/>
      <c r="T1599" s="14"/>
      <c r="U1599" s="14"/>
      <c r="V1599" s="14"/>
      <c r="W1599" s="14"/>
      <c r="X1599" s="14"/>
      <c r="Y1599" s="14"/>
      <c r="Z1599" s="14"/>
      <c r="AA1599" s="16" t="str">
        <f t="shared" ca="1" si="1630"/>
        <v>Johnson &amp; Johnson</v>
      </c>
      <c r="AB1599" s="16">
        <f t="shared" si="1630"/>
        <v>0</v>
      </c>
      <c r="AC1599" s="16">
        <f t="shared" si="1630"/>
        <v>0</v>
      </c>
      <c r="AD1599" s="16">
        <f t="shared" si="1630"/>
        <v>0</v>
      </c>
      <c r="AE1599" s="16">
        <f t="shared" si="1630"/>
        <v>0</v>
      </c>
      <c r="AF1599" s="16">
        <f t="shared" si="1630"/>
        <v>0</v>
      </c>
      <c r="AG1599" s="16">
        <f t="shared" si="1630"/>
        <v>0</v>
      </c>
      <c r="AH1599" s="16">
        <f t="shared" si="1630"/>
        <v>0</v>
      </c>
      <c r="AI1599" s="16">
        <f t="shared" si="1630"/>
        <v>0</v>
      </c>
      <c r="AJ1599" s="16">
        <f t="shared" si="1630"/>
        <v>0</v>
      </c>
      <c r="AK1599" s="16">
        <f t="shared" si="1630"/>
        <v>0</v>
      </c>
      <c r="AL1599" s="16">
        <f t="shared" si="1630"/>
        <v>0</v>
      </c>
      <c r="AM1599" s="16">
        <f t="shared" si="1630"/>
        <v>0</v>
      </c>
      <c r="AN1599" s="16">
        <f t="shared" si="1630"/>
        <v>0</v>
      </c>
      <c r="AO1599" s="16">
        <f t="shared" si="1630"/>
        <v>0</v>
      </c>
      <c r="AP1599" s="10"/>
      <c r="AQ1599" s="10"/>
      <c r="AR1599" s="10"/>
      <c r="AS1599" s="10" t="str">
        <f t="shared" ca="1" si="1624"/>
        <v>Johnson &amp; Johnson</v>
      </c>
      <c r="AT1599" s="10"/>
      <c r="AU1599" s="10"/>
      <c r="AV1599" s="10"/>
      <c r="AW1599" s="10"/>
      <c r="AX1599" s="10"/>
      <c r="AY1599" s="10"/>
      <c r="AZ1599" s="10"/>
      <c r="BA1599" s="10"/>
      <c r="BB1599" s="10"/>
      <c r="BC1599" s="10"/>
      <c r="BD1599" s="10"/>
      <c r="BE1599" s="10"/>
      <c r="BF1599" s="10"/>
      <c r="BG1599" s="10"/>
      <c r="BH1599" s="10"/>
      <c r="BI1599" s="10"/>
      <c r="BJ1599" s="10"/>
      <c r="BK1599" s="10"/>
      <c r="BM1599" s="10"/>
    </row>
    <row r="1600" spans="1:65" ht="12.75">
      <c r="A1600" s="9"/>
      <c r="B1600" s="10"/>
      <c r="C1600" s="11"/>
      <c r="D1600" s="12"/>
      <c r="E1600" s="10"/>
      <c r="F1600" s="10"/>
      <c r="G1600" s="10"/>
      <c r="H1600" s="14"/>
      <c r="I1600" s="14"/>
      <c r="J1600" s="14"/>
      <c r="K1600" s="14"/>
      <c r="L1600" s="14"/>
      <c r="M1600" s="15"/>
      <c r="N1600" s="10"/>
      <c r="O1600" s="14"/>
      <c r="P1600" s="14"/>
      <c r="Q1600" s="14"/>
      <c r="R1600" s="14"/>
      <c r="S1600" s="14"/>
      <c r="T1600" s="14"/>
      <c r="U1600" s="14"/>
      <c r="V1600" s="14"/>
      <c r="W1600" s="14"/>
      <c r="X1600" s="14"/>
      <c r="Y1600" s="14"/>
      <c r="Z1600" s="14"/>
      <c r="AA1600" s="16" t="str">
        <f t="shared" ca="1" si="1630"/>
        <v>Johnson &amp; Johnson</v>
      </c>
      <c r="AB1600" s="16">
        <f t="shared" si="1630"/>
        <v>0</v>
      </c>
      <c r="AC1600" s="16">
        <f t="shared" si="1630"/>
        <v>0</v>
      </c>
      <c r="AD1600" s="16">
        <f t="shared" si="1630"/>
        <v>0</v>
      </c>
      <c r="AE1600" s="16">
        <f t="shared" si="1630"/>
        <v>0</v>
      </c>
      <c r="AF1600" s="16">
        <f t="shared" si="1630"/>
        <v>0</v>
      </c>
      <c r="AG1600" s="16">
        <f t="shared" si="1630"/>
        <v>0</v>
      </c>
      <c r="AH1600" s="16">
        <f t="shared" si="1630"/>
        <v>0</v>
      </c>
      <c r="AI1600" s="16">
        <f t="shared" si="1630"/>
        <v>0</v>
      </c>
      <c r="AJ1600" s="16">
        <f t="shared" si="1630"/>
        <v>0</v>
      </c>
      <c r="AK1600" s="16">
        <f t="shared" si="1630"/>
        <v>0</v>
      </c>
      <c r="AL1600" s="16">
        <f t="shared" si="1630"/>
        <v>0</v>
      </c>
      <c r="AM1600" s="16">
        <f t="shared" si="1630"/>
        <v>0</v>
      </c>
      <c r="AN1600" s="16">
        <f t="shared" si="1630"/>
        <v>0</v>
      </c>
      <c r="AO1600" s="16">
        <f t="shared" si="1630"/>
        <v>0</v>
      </c>
      <c r="AP1600" s="10"/>
      <c r="AQ1600" s="10"/>
      <c r="AR1600" s="10"/>
      <c r="AS1600" s="10" t="str">
        <f t="shared" ca="1" si="1624"/>
        <v>Johnson &amp; Johnson</v>
      </c>
      <c r="AT1600" s="10"/>
      <c r="AU1600" s="10"/>
      <c r="AV1600" s="10"/>
      <c r="AW1600" s="10"/>
      <c r="AX1600" s="10"/>
      <c r="AY1600" s="10"/>
      <c r="AZ1600" s="10"/>
      <c r="BA1600" s="10"/>
      <c r="BB1600" s="10"/>
      <c r="BC1600" s="10"/>
      <c r="BD1600" s="10"/>
      <c r="BE1600" s="10"/>
      <c r="BF1600" s="10"/>
      <c r="BG1600" s="10"/>
      <c r="BH1600" s="10"/>
      <c r="BI1600" s="10"/>
      <c r="BJ1600" s="10"/>
      <c r="BK1600" s="10"/>
      <c r="BM1600" s="10"/>
    </row>
    <row r="1601" spans="1:65" ht="12.75">
      <c r="A1601" s="9"/>
      <c r="B1601" s="10"/>
      <c r="C1601" s="11"/>
      <c r="D1601" s="12"/>
      <c r="E1601" s="10"/>
      <c r="F1601" s="10"/>
      <c r="G1601" s="10"/>
      <c r="H1601" s="14"/>
      <c r="I1601" s="14"/>
      <c r="J1601" s="14"/>
      <c r="K1601" s="14"/>
      <c r="L1601" s="14"/>
      <c r="M1601" s="15"/>
      <c r="N1601" s="10"/>
      <c r="O1601" s="14"/>
      <c r="P1601" s="14"/>
      <c r="Q1601" s="14"/>
      <c r="R1601" s="14"/>
      <c r="S1601" s="14"/>
      <c r="T1601" s="14"/>
      <c r="U1601" s="14"/>
      <c r="V1601" s="14"/>
      <c r="W1601" s="14"/>
      <c r="X1601" s="14"/>
      <c r="Y1601" s="14"/>
      <c r="Z1601" s="14"/>
      <c r="AA1601" s="16" t="str">
        <f t="shared" ca="1" si="1630"/>
        <v>Johnson &amp; Johnson</v>
      </c>
      <c r="AB1601" s="16">
        <f t="shared" si="1630"/>
        <v>0</v>
      </c>
      <c r="AC1601" s="16">
        <f t="shared" si="1630"/>
        <v>0</v>
      </c>
      <c r="AD1601" s="16">
        <f t="shared" si="1630"/>
        <v>0</v>
      </c>
      <c r="AE1601" s="16">
        <f t="shared" si="1630"/>
        <v>0</v>
      </c>
      <c r="AF1601" s="16">
        <f t="shared" si="1630"/>
        <v>0</v>
      </c>
      <c r="AG1601" s="16">
        <f t="shared" si="1630"/>
        <v>0</v>
      </c>
      <c r="AH1601" s="16">
        <f t="shared" si="1630"/>
        <v>0</v>
      </c>
      <c r="AI1601" s="16">
        <f t="shared" si="1630"/>
        <v>0</v>
      </c>
      <c r="AJ1601" s="16">
        <f t="shared" si="1630"/>
        <v>0</v>
      </c>
      <c r="AK1601" s="16">
        <f t="shared" si="1630"/>
        <v>0</v>
      </c>
      <c r="AL1601" s="16">
        <f t="shared" si="1630"/>
        <v>0</v>
      </c>
      <c r="AM1601" s="16">
        <f t="shared" si="1630"/>
        <v>0</v>
      </c>
      <c r="AN1601" s="16">
        <f t="shared" si="1630"/>
        <v>0</v>
      </c>
      <c r="AO1601" s="16">
        <f t="shared" si="1630"/>
        <v>0</v>
      </c>
      <c r="AP1601" s="10"/>
      <c r="AQ1601" s="10"/>
      <c r="AR1601" s="10"/>
      <c r="AS1601" s="10" t="str">
        <f t="shared" ca="1" si="1624"/>
        <v>Johnson &amp; Johnson</v>
      </c>
      <c r="AT1601" s="10"/>
      <c r="AU1601" s="10"/>
      <c r="AV1601" s="10"/>
      <c r="AW1601" s="10"/>
      <c r="AX1601" s="10"/>
      <c r="AY1601" s="10"/>
      <c r="AZ1601" s="10"/>
      <c r="BA1601" s="10"/>
      <c r="BB1601" s="10"/>
      <c r="BC1601" s="10"/>
      <c r="BD1601" s="10"/>
      <c r="BE1601" s="10"/>
      <c r="BF1601" s="10"/>
      <c r="BG1601" s="10"/>
      <c r="BH1601" s="10"/>
      <c r="BI1601" s="10"/>
      <c r="BJ1601" s="10"/>
      <c r="BK1601" s="10"/>
      <c r="BM1601" s="10"/>
    </row>
    <row r="1602" spans="1:65" ht="12.75">
      <c r="A1602" s="9"/>
      <c r="B1602" s="10"/>
      <c r="C1602" s="11"/>
      <c r="D1602" s="12"/>
      <c r="E1602" s="10"/>
      <c r="F1602" s="10"/>
      <c r="G1602" s="10"/>
      <c r="H1602" s="14"/>
      <c r="I1602" s="14"/>
      <c r="J1602" s="14"/>
      <c r="K1602" s="14"/>
      <c r="L1602" s="14"/>
      <c r="M1602" s="15"/>
      <c r="N1602" s="10"/>
      <c r="O1602" s="14"/>
      <c r="P1602" s="14"/>
      <c r="Q1602" s="14"/>
      <c r="R1602" s="14"/>
      <c r="S1602" s="14"/>
      <c r="T1602" s="14"/>
      <c r="U1602" s="14"/>
      <c r="V1602" s="14"/>
      <c r="W1602" s="14"/>
      <c r="X1602" s="14"/>
      <c r="Y1602" s="14"/>
      <c r="Z1602" s="14"/>
      <c r="AA1602" s="16" t="str">
        <f t="shared" ca="1" si="1630"/>
        <v>Johnson &amp; Johnson</v>
      </c>
      <c r="AB1602" s="16">
        <f t="shared" si="1630"/>
        <v>0</v>
      </c>
      <c r="AC1602" s="16">
        <f t="shared" si="1630"/>
        <v>0</v>
      </c>
      <c r="AD1602" s="16">
        <f t="shared" si="1630"/>
        <v>0</v>
      </c>
      <c r="AE1602" s="16">
        <f t="shared" si="1630"/>
        <v>0</v>
      </c>
      <c r="AF1602" s="16">
        <f t="shared" si="1630"/>
        <v>0</v>
      </c>
      <c r="AG1602" s="16">
        <f t="shared" si="1630"/>
        <v>0</v>
      </c>
      <c r="AH1602" s="16">
        <f t="shared" si="1630"/>
        <v>0</v>
      </c>
      <c r="AI1602" s="16">
        <f t="shared" si="1630"/>
        <v>0</v>
      </c>
      <c r="AJ1602" s="16">
        <f t="shared" si="1630"/>
        <v>0</v>
      </c>
      <c r="AK1602" s="16">
        <f t="shared" si="1630"/>
        <v>0</v>
      </c>
      <c r="AL1602" s="16">
        <f t="shared" si="1630"/>
        <v>0</v>
      </c>
      <c r="AM1602" s="16">
        <f t="shared" si="1630"/>
        <v>0</v>
      </c>
      <c r="AN1602" s="16">
        <f t="shared" si="1630"/>
        <v>0</v>
      </c>
      <c r="AO1602" s="16">
        <f t="shared" si="1630"/>
        <v>0</v>
      </c>
      <c r="AP1602" s="10"/>
      <c r="AQ1602" s="10"/>
      <c r="AR1602" s="10"/>
      <c r="AS1602" s="10" t="str">
        <f t="shared" ca="1" si="1624"/>
        <v>Johnson &amp; Johnson</v>
      </c>
      <c r="AT1602" s="10"/>
      <c r="AU1602" s="10"/>
      <c r="AV1602" s="10"/>
      <c r="AW1602" s="10"/>
      <c r="AX1602" s="10"/>
      <c r="AY1602" s="10"/>
      <c r="AZ1602" s="10"/>
      <c r="BA1602" s="10"/>
      <c r="BB1602" s="10"/>
      <c r="BC1602" s="10"/>
      <c r="BD1602" s="10"/>
      <c r="BE1602" s="10"/>
      <c r="BF1602" s="10"/>
      <c r="BG1602" s="10"/>
      <c r="BH1602" s="10"/>
      <c r="BI1602" s="10"/>
      <c r="BJ1602" s="10"/>
      <c r="BK1602" s="10"/>
      <c r="BM1602" s="10"/>
    </row>
    <row r="1603" spans="1:65" ht="12.75">
      <c r="A1603" s="9"/>
      <c r="B1603" s="10"/>
      <c r="C1603" s="11"/>
      <c r="D1603" s="12"/>
      <c r="E1603" s="10"/>
      <c r="F1603" s="10"/>
      <c r="G1603" s="10"/>
      <c r="H1603" s="14"/>
      <c r="I1603" s="14"/>
      <c r="J1603" s="14"/>
      <c r="K1603" s="14"/>
      <c r="L1603" s="14"/>
      <c r="M1603" s="15"/>
      <c r="N1603" s="10"/>
      <c r="O1603" s="14"/>
      <c r="P1603" s="14"/>
      <c r="Q1603" s="14"/>
      <c r="R1603" s="14"/>
      <c r="S1603" s="14"/>
      <c r="T1603" s="14"/>
      <c r="U1603" s="14"/>
      <c r="V1603" s="14"/>
      <c r="W1603" s="14"/>
      <c r="X1603" s="14"/>
      <c r="Y1603" s="14"/>
      <c r="Z1603" s="14"/>
      <c r="AA1603" s="16" t="str">
        <f t="shared" ca="1" si="1630"/>
        <v>Johnson &amp; Johnson</v>
      </c>
      <c r="AB1603" s="16">
        <f t="shared" si="1630"/>
        <v>0</v>
      </c>
      <c r="AC1603" s="16">
        <f t="shared" si="1630"/>
        <v>0</v>
      </c>
      <c r="AD1603" s="16">
        <f t="shared" si="1630"/>
        <v>0</v>
      </c>
      <c r="AE1603" s="16">
        <f t="shared" si="1630"/>
        <v>0</v>
      </c>
      <c r="AF1603" s="16">
        <f t="shared" si="1630"/>
        <v>0</v>
      </c>
      <c r="AG1603" s="16">
        <f t="shared" si="1630"/>
        <v>0</v>
      </c>
      <c r="AH1603" s="16">
        <f t="shared" si="1630"/>
        <v>0</v>
      </c>
      <c r="AI1603" s="16">
        <f t="shared" si="1630"/>
        <v>0</v>
      </c>
      <c r="AJ1603" s="16">
        <f t="shared" si="1630"/>
        <v>0</v>
      </c>
      <c r="AK1603" s="16">
        <f t="shared" si="1630"/>
        <v>0</v>
      </c>
      <c r="AL1603" s="16">
        <f t="shared" si="1630"/>
        <v>0</v>
      </c>
      <c r="AM1603" s="16">
        <f t="shared" si="1630"/>
        <v>0</v>
      </c>
      <c r="AN1603" s="16">
        <f t="shared" si="1630"/>
        <v>0</v>
      </c>
      <c r="AO1603" s="16">
        <f t="shared" si="1630"/>
        <v>0</v>
      </c>
      <c r="AP1603" s="10"/>
      <c r="AQ1603" s="10"/>
      <c r="AR1603" s="10"/>
      <c r="AS1603" s="10" t="str">
        <f t="shared" ca="1" si="1624"/>
        <v>Johnson &amp; Johnson</v>
      </c>
      <c r="AT1603" s="10"/>
      <c r="AU1603" s="10"/>
      <c r="AV1603" s="10"/>
      <c r="AW1603" s="10"/>
      <c r="AX1603" s="10"/>
      <c r="AY1603" s="10"/>
      <c r="AZ1603" s="10"/>
      <c r="BA1603" s="10"/>
      <c r="BB1603" s="10"/>
      <c r="BC1603" s="10"/>
      <c r="BD1603" s="10"/>
      <c r="BE1603" s="10"/>
      <c r="BF1603" s="10"/>
      <c r="BG1603" s="10"/>
      <c r="BH1603" s="10"/>
      <c r="BI1603" s="10"/>
      <c r="BJ1603" s="10"/>
      <c r="BK1603" s="10"/>
      <c r="BM1603" s="10"/>
    </row>
    <row r="1604" spans="1:65" ht="12.75">
      <c r="A1604" s="9"/>
      <c r="B1604" s="10"/>
      <c r="C1604" s="11"/>
      <c r="D1604" s="12"/>
      <c r="E1604" s="10"/>
      <c r="F1604" s="10"/>
      <c r="G1604" s="10"/>
      <c r="H1604" s="14"/>
      <c r="I1604" s="14"/>
      <c r="J1604" s="14"/>
      <c r="K1604" s="14"/>
      <c r="L1604" s="14"/>
      <c r="M1604" s="15"/>
      <c r="N1604" s="10"/>
      <c r="O1604" s="14"/>
      <c r="P1604" s="14"/>
      <c r="Q1604" s="14"/>
      <c r="R1604" s="14"/>
      <c r="S1604" s="14"/>
      <c r="T1604" s="14"/>
      <c r="U1604" s="14"/>
      <c r="V1604" s="14"/>
      <c r="W1604" s="14"/>
      <c r="X1604" s="14"/>
      <c r="Y1604" s="14"/>
      <c r="Z1604" s="14"/>
      <c r="AA1604" s="16" t="str">
        <f t="shared" ca="1" si="1630"/>
        <v>Johnson &amp; Johnson</v>
      </c>
      <c r="AB1604" s="16">
        <f t="shared" si="1630"/>
        <v>0</v>
      </c>
      <c r="AC1604" s="16">
        <f t="shared" si="1630"/>
        <v>0</v>
      </c>
      <c r="AD1604" s="16">
        <f t="shared" si="1630"/>
        <v>0</v>
      </c>
      <c r="AE1604" s="16">
        <f t="shared" si="1630"/>
        <v>0</v>
      </c>
      <c r="AF1604" s="16">
        <f t="shared" si="1630"/>
        <v>0</v>
      </c>
      <c r="AG1604" s="16">
        <f t="shared" si="1630"/>
        <v>0</v>
      </c>
      <c r="AH1604" s="16">
        <f t="shared" si="1630"/>
        <v>0</v>
      </c>
      <c r="AI1604" s="16">
        <f t="shared" si="1630"/>
        <v>0</v>
      </c>
      <c r="AJ1604" s="16">
        <f t="shared" si="1630"/>
        <v>0</v>
      </c>
      <c r="AK1604" s="16">
        <f t="shared" si="1630"/>
        <v>0</v>
      </c>
      <c r="AL1604" s="16">
        <f t="shared" si="1630"/>
        <v>0</v>
      </c>
      <c r="AM1604" s="16">
        <f t="shared" si="1630"/>
        <v>0</v>
      </c>
      <c r="AN1604" s="16">
        <f t="shared" si="1630"/>
        <v>0</v>
      </c>
      <c r="AO1604" s="16">
        <f t="shared" si="1630"/>
        <v>0</v>
      </c>
      <c r="AP1604" s="10"/>
      <c r="AQ1604" s="10"/>
      <c r="AR1604" s="10"/>
      <c r="AS1604" s="10" t="str">
        <f t="shared" ca="1" si="1624"/>
        <v>Johnson &amp; Johnson</v>
      </c>
      <c r="AT1604" s="10"/>
      <c r="AU1604" s="10"/>
      <c r="AV1604" s="10"/>
      <c r="AW1604" s="10"/>
      <c r="AX1604" s="10"/>
      <c r="AY1604" s="10"/>
      <c r="AZ1604" s="10"/>
      <c r="BA1604" s="10"/>
      <c r="BB1604" s="10"/>
      <c r="BC1604" s="10"/>
      <c r="BD1604" s="10"/>
      <c r="BE1604" s="10"/>
      <c r="BF1604" s="10"/>
      <c r="BG1604" s="10"/>
      <c r="BH1604" s="10"/>
      <c r="BI1604" s="10"/>
      <c r="BJ1604" s="10"/>
      <c r="BK1604" s="10"/>
      <c r="BM1604" s="10"/>
    </row>
    <row r="1605" spans="1:65" ht="12.75">
      <c r="A1605" s="9"/>
      <c r="B1605" s="10"/>
      <c r="C1605" s="11"/>
      <c r="D1605" s="12"/>
      <c r="E1605" s="10"/>
      <c r="F1605" s="10"/>
      <c r="G1605" s="10"/>
      <c r="H1605" s="14"/>
      <c r="I1605" s="14"/>
      <c r="J1605" s="14"/>
      <c r="K1605" s="14"/>
      <c r="L1605" s="14"/>
      <c r="M1605" s="15"/>
      <c r="N1605" s="10"/>
      <c r="O1605" s="14"/>
      <c r="P1605" s="14"/>
      <c r="Q1605" s="14"/>
      <c r="R1605" s="14"/>
      <c r="S1605" s="14"/>
      <c r="T1605" s="14"/>
      <c r="U1605" s="14"/>
      <c r="V1605" s="14"/>
      <c r="W1605" s="14"/>
      <c r="X1605" s="14"/>
      <c r="Y1605" s="14"/>
      <c r="Z1605" s="14"/>
      <c r="AA1605" s="16" t="str">
        <f t="shared" ca="1" si="1630"/>
        <v>Johnson &amp; Johnson</v>
      </c>
      <c r="AB1605" s="16">
        <f t="shared" si="1630"/>
        <v>0</v>
      </c>
      <c r="AC1605" s="16">
        <f t="shared" si="1630"/>
        <v>0</v>
      </c>
      <c r="AD1605" s="16">
        <f t="shared" si="1630"/>
        <v>0</v>
      </c>
      <c r="AE1605" s="16">
        <f t="shared" si="1630"/>
        <v>0</v>
      </c>
      <c r="AF1605" s="16">
        <f t="shared" si="1630"/>
        <v>0</v>
      </c>
      <c r="AG1605" s="16">
        <f t="shared" si="1630"/>
        <v>0</v>
      </c>
      <c r="AH1605" s="16">
        <f t="shared" si="1630"/>
        <v>0</v>
      </c>
      <c r="AI1605" s="16">
        <f t="shared" si="1630"/>
        <v>0</v>
      </c>
      <c r="AJ1605" s="16">
        <f t="shared" si="1630"/>
        <v>0</v>
      </c>
      <c r="AK1605" s="16">
        <f t="shared" si="1630"/>
        <v>0</v>
      </c>
      <c r="AL1605" s="16">
        <f t="shared" si="1630"/>
        <v>0</v>
      </c>
      <c r="AM1605" s="16">
        <f t="shared" si="1630"/>
        <v>0</v>
      </c>
      <c r="AN1605" s="16">
        <f t="shared" si="1630"/>
        <v>0</v>
      </c>
      <c r="AO1605" s="16">
        <f t="shared" si="1630"/>
        <v>0</v>
      </c>
      <c r="AP1605" s="10"/>
      <c r="AQ1605" s="10"/>
      <c r="AR1605" s="10"/>
      <c r="AS1605" s="10" t="str">
        <f t="shared" ca="1" si="1624"/>
        <v>Johnson &amp; Johnson</v>
      </c>
      <c r="AT1605" s="10"/>
      <c r="AU1605" s="10"/>
      <c r="AV1605" s="10"/>
      <c r="AW1605" s="10"/>
      <c r="AX1605" s="10"/>
      <c r="AY1605" s="10"/>
      <c r="AZ1605" s="10"/>
      <c r="BA1605" s="10"/>
      <c r="BB1605" s="10"/>
      <c r="BC1605" s="10"/>
      <c r="BD1605" s="10"/>
      <c r="BE1605" s="10"/>
      <c r="BF1605" s="10"/>
      <c r="BG1605" s="10"/>
      <c r="BH1605" s="10"/>
      <c r="BI1605" s="10"/>
      <c r="BJ1605" s="10"/>
      <c r="BK1605" s="10"/>
      <c r="BM1605" s="10"/>
    </row>
    <row r="1606" spans="1:65" ht="12.75">
      <c r="A1606" s="9"/>
      <c r="B1606" s="10"/>
      <c r="C1606" s="11"/>
      <c r="D1606" s="12"/>
      <c r="E1606" s="10"/>
      <c r="F1606" s="10"/>
      <c r="G1606" s="10"/>
      <c r="H1606" s="14"/>
      <c r="I1606" s="14"/>
      <c r="J1606" s="14"/>
      <c r="K1606" s="14"/>
      <c r="L1606" s="14"/>
      <c r="M1606" s="15"/>
      <c r="N1606" s="10"/>
      <c r="O1606" s="14"/>
      <c r="P1606" s="14"/>
      <c r="Q1606" s="14"/>
      <c r="R1606" s="14"/>
      <c r="S1606" s="14"/>
      <c r="T1606" s="14"/>
      <c r="U1606" s="14"/>
      <c r="V1606" s="14"/>
      <c r="W1606" s="14"/>
      <c r="X1606" s="14"/>
      <c r="Y1606" s="14"/>
      <c r="Z1606" s="14"/>
      <c r="AA1606" s="16" t="str">
        <f t="shared" ca="1" si="1630"/>
        <v>Johnson &amp; Johnson</v>
      </c>
      <c r="AB1606" s="16">
        <f t="shared" si="1630"/>
        <v>0</v>
      </c>
      <c r="AC1606" s="16">
        <f t="shared" si="1630"/>
        <v>0</v>
      </c>
      <c r="AD1606" s="16">
        <f t="shared" si="1630"/>
        <v>0</v>
      </c>
      <c r="AE1606" s="16">
        <f t="shared" si="1630"/>
        <v>0</v>
      </c>
      <c r="AF1606" s="16">
        <f t="shared" si="1630"/>
        <v>0</v>
      </c>
      <c r="AG1606" s="16">
        <f t="shared" si="1630"/>
        <v>0</v>
      </c>
      <c r="AH1606" s="16">
        <f t="shared" si="1630"/>
        <v>0</v>
      </c>
      <c r="AI1606" s="16">
        <f t="shared" si="1630"/>
        <v>0</v>
      </c>
      <c r="AJ1606" s="16">
        <f t="shared" si="1630"/>
        <v>0</v>
      </c>
      <c r="AK1606" s="16">
        <f t="shared" si="1630"/>
        <v>0</v>
      </c>
      <c r="AL1606" s="16">
        <f t="shared" si="1630"/>
        <v>0</v>
      </c>
      <c r="AM1606" s="16">
        <f t="shared" si="1630"/>
        <v>0</v>
      </c>
      <c r="AN1606" s="16">
        <f t="shared" si="1630"/>
        <v>0</v>
      </c>
      <c r="AO1606" s="16">
        <f t="shared" si="1630"/>
        <v>0</v>
      </c>
      <c r="AP1606" s="10"/>
      <c r="AQ1606" s="10"/>
      <c r="AR1606" s="10"/>
      <c r="AS1606" s="10" t="str">
        <f t="shared" ca="1" si="1624"/>
        <v>Johnson &amp; Johnson</v>
      </c>
      <c r="AT1606" s="10"/>
      <c r="AU1606" s="10"/>
      <c r="AV1606" s="10"/>
      <c r="AW1606" s="10"/>
      <c r="AX1606" s="10"/>
      <c r="AY1606" s="10"/>
      <c r="AZ1606" s="10"/>
      <c r="BA1606" s="10"/>
      <c r="BB1606" s="10"/>
      <c r="BC1606" s="10"/>
      <c r="BD1606" s="10"/>
      <c r="BE1606" s="10"/>
      <c r="BF1606" s="10"/>
      <c r="BG1606" s="10"/>
      <c r="BH1606" s="10"/>
      <c r="BI1606" s="10"/>
      <c r="BJ1606" s="10"/>
      <c r="BK1606" s="10"/>
      <c r="BM1606" s="10"/>
    </row>
    <row r="1607" spans="1:65" ht="12.75">
      <c r="A1607" s="9"/>
      <c r="B1607" s="10"/>
      <c r="C1607" s="11"/>
      <c r="D1607" s="12"/>
      <c r="E1607" s="10"/>
      <c r="F1607" s="10"/>
      <c r="G1607" s="10"/>
      <c r="H1607" s="14"/>
      <c r="I1607" s="14"/>
      <c r="J1607" s="14"/>
      <c r="K1607" s="14"/>
      <c r="L1607" s="14"/>
      <c r="M1607" s="15"/>
      <c r="N1607" s="10"/>
      <c r="O1607" s="14"/>
      <c r="P1607" s="14"/>
      <c r="Q1607" s="14"/>
      <c r="R1607" s="14"/>
      <c r="S1607" s="14"/>
      <c r="T1607" s="14"/>
      <c r="U1607" s="14"/>
      <c r="V1607" s="14"/>
      <c r="W1607" s="14"/>
      <c r="X1607" s="14"/>
      <c r="Y1607" s="14"/>
      <c r="Z1607" s="14"/>
      <c r="AA1607" s="16" t="str">
        <f t="shared" ca="1" si="1630"/>
        <v>Johnson &amp; Johnson</v>
      </c>
      <c r="AB1607" s="16">
        <f t="shared" si="1630"/>
        <v>0</v>
      </c>
      <c r="AC1607" s="16">
        <f t="shared" si="1630"/>
        <v>0</v>
      </c>
      <c r="AD1607" s="16">
        <f t="shared" si="1630"/>
        <v>0</v>
      </c>
      <c r="AE1607" s="16">
        <f t="shared" si="1630"/>
        <v>0</v>
      </c>
      <c r="AF1607" s="16">
        <f t="shared" si="1630"/>
        <v>0</v>
      </c>
      <c r="AG1607" s="16">
        <f t="shared" si="1630"/>
        <v>0</v>
      </c>
      <c r="AH1607" s="16">
        <f t="shared" si="1630"/>
        <v>0</v>
      </c>
      <c r="AI1607" s="16">
        <f t="shared" si="1630"/>
        <v>0</v>
      </c>
      <c r="AJ1607" s="16">
        <f t="shared" si="1630"/>
        <v>0</v>
      </c>
      <c r="AK1607" s="16">
        <f t="shared" si="1630"/>
        <v>0</v>
      </c>
      <c r="AL1607" s="16">
        <f t="shared" si="1630"/>
        <v>0</v>
      </c>
      <c r="AM1607" s="16">
        <f t="shared" si="1630"/>
        <v>0</v>
      </c>
      <c r="AN1607" s="16">
        <f t="shared" si="1630"/>
        <v>0</v>
      </c>
      <c r="AO1607" s="16">
        <f t="shared" si="1630"/>
        <v>0</v>
      </c>
      <c r="AP1607" s="10"/>
      <c r="AQ1607" s="10"/>
      <c r="AR1607" s="10"/>
      <c r="AS1607" s="10" t="str">
        <f t="shared" ca="1" si="1624"/>
        <v>Johnson &amp; Johnson</v>
      </c>
      <c r="AT1607" s="10"/>
      <c r="AU1607" s="10"/>
      <c r="AV1607" s="10"/>
      <c r="AW1607" s="10"/>
      <c r="AX1607" s="10"/>
      <c r="AY1607" s="10"/>
      <c r="AZ1607" s="10"/>
      <c r="BA1607" s="10"/>
      <c r="BB1607" s="10"/>
      <c r="BC1607" s="10"/>
      <c r="BD1607" s="10"/>
      <c r="BE1607" s="10"/>
      <c r="BF1607" s="10"/>
      <c r="BG1607" s="10"/>
      <c r="BH1607" s="10"/>
      <c r="BI1607" s="10"/>
      <c r="BJ1607" s="10"/>
      <c r="BK1607" s="10"/>
      <c r="BM1607" s="10"/>
    </row>
    <row r="1608" spans="1:65" ht="12.75">
      <c r="A1608" s="9"/>
      <c r="B1608" s="10"/>
      <c r="C1608" s="11"/>
      <c r="D1608" s="12"/>
      <c r="E1608" s="10"/>
      <c r="F1608" s="10"/>
      <c r="G1608" s="10"/>
      <c r="H1608" s="14"/>
      <c r="I1608" s="14"/>
      <c r="J1608" s="14"/>
      <c r="K1608" s="14"/>
      <c r="L1608" s="14"/>
      <c r="M1608" s="15"/>
      <c r="N1608" s="10"/>
      <c r="O1608" s="14"/>
      <c r="P1608" s="14"/>
      <c r="Q1608" s="14"/>
      <c r="R1608" s="14"/>
      <c r="S1608" s="14"/>
      <c r="T1608" s="14"/>
      <c r="U1608" s="14"/>
      <c r="V1608" s="14"/>
      <c r="W1608" s="14"/>
      <c r="X1608" s="14"/>
      <c r="Y1608" s="14"/>
      <c r="Z1608" s="14"/>
      <c r="AA1608" s="16" t="str">
        <f t="shared" ca="1" si="1630"/>
        <v>Johnson &amp; Johnson</v>
      </c>
      <c r="AB1608" s="16">
        <f t="shared" si="1630"/>
        <v>0</v>
      </c>
      <c r="AC1608" s="16">
        <f t="shared" si="1630"/>
        <v>0</v>
      </c>
      <c r="AD1608" s="16">
        <f t="shared" si="1630"/>
        <v>0</v>
      </c>
      <c r="AE1608" s="16">
        <f t="shared" si="1630"/>
        <v>0</v>
      </c>
      <c r="AF1608" s="16">
        <f t="shared" si="1630"/>
        <v>0</v>
      </c>
      <c r="AG1608" s="16">
        <f t="shared" si="1630"/>
        <v>0</v>
      </c>
      <c r="AH1608" s="16">
        <f t="shared" si="1630"/>
        <v>0</v>
      </c>
      <c r="AI1608" s="16">
        <f t="shared" si="1630"/>
        <v>0</v>
      </c>
      <c r="AJ1608" s="16">
        <f t="shared" si="1630"/>
        <v>0</v>
      </c>
      <c r="AK1608" s="16">
        <f t="shared" si="1630"/>
        <v>0</v>
      </c>
      <c r="AL1608" s="16">
        <f t="shared" si="1630"/>
        <v>0</v>
      </c>
      <c r="AM1608" s="16">
        <f t="shared" si="1630"/>
        <v>0</v>
      </c>
      <c r="AN1608" s="16">
        <f t="shared" si="1630"/>
        <v>0</v>
      </c>
      <c r="AO1608" s="16">
        <f t="shared" si="1630"/>
        <v>0</v>
      </c>
      <c r="AP1608" s="10"/>
      <c r="AQ1608" s="10"/>
      <c r="AR1608" s="10"/>
      <c r="AS1608" s="10" t="str">
        <f t="shared" ca="1" si="1624"/>
        <v>Johnson &amp; Johnson</v>
      </c>
      <c r="AT1608" s="10"/>
      <c r="AU1608" s="10"/>
      <c r="AV1608" s="10"/>
      <c r="AW1608" s="10"/>
      <c r="AX1608" s="10"/>
      <c r="AY1608" s="10"/>
      <c r="AZ1608" s="10"/>
      <c r="BA1608" s="10"/>
      <c r="BB1608" s="10"/>
      <c r="BC1608" s="10"/>
      <c r="BD1608" s="10"/>
      <c r="BE1608" s="10"/>
      <c r="BF1608" s="10"/>
      <c r="BG1608" s="10"/>
      <c r="BH1608" s="10"/>
      <c r="BI1608" s="10"/>
      <c r="BJ1608" s="10"/>
      <c r="BK1608" s="10"/>
      <c r="BM1608" s="10"/>
    </row>
    <row r="1609" spans="1:65" ht="12.75">
      <c r="A1609" s="9"/>
      <c r="B1609" s="10"/>
      <c r="C1609" s="11"/>
      <c r="D1609" s="12"/>
      <c r="E1609" s="10"/>
      <c r="F1609" s="10"/>
      <c r="G1609" s="10"/>
      <c r="H1609" s="14"/>
      <c r="I1609" s="14"/>
      <c r="J1609" s="14"/>
      <c r="K1609" s="14"/>
      <c r="L1609" s="14"/>
      <c r="M1609" s="15"/>
      <c r="N1609" s="10"/>
      <c r="O1609" s="14"/>
      <c r="P1609" s="14"/>
      <c r="Q1609" s="14"/>
      <c r="R1609" s="14"/>
      <c r="S1609" s="14"/>
      <c r="T1609" s="14"/>
      <c r="U1609" s="14"/>
      <c r="V1609" s="14"/>
      <c r="W1609" s="14"/>
      <c r="X1609" s="14"/>
      <c r="Y1609" s="14"/>
      <c r="Z1609" s="14"/>
      <c r="AA1609" s="16" t="str">
        <f t="shared" ref="AA1609:AO1624" ca="1" si="1631">AS1609</f>
        <v>Johnson &amp; Johnson</v>
      </c>
      <c r="AB1609" s="16">
        <f t="shared" si="1631"/>
        <v>0</v>
      </c>
      <c r="AC1609" s="16">
        <f t="shared" si="1631"/>
        <v>0</v>
      </c>
      <c r="AD1609" s="16">
        <f t="shared" si="1631"/>
        <v>0</v>
      </c>
      <c r="AE1609" s="16">
        <f t="shared" si="1631"/>
        <v>0</v>
      </c>
      <c r="AF1609" s="16">
        <f t="shared" si="1631"/>
        <v>0</v>
      </c>
      <c r="AG1609" s="16">
        <f t="shared" si="1631"/>
        <v>0</v>
      </c>
      <c r="AH1609" s="16">
        <f t="shared" si="1631"/>
        <v>0</v>
      </c>
      <c r="AI1609" s="16">
        <f t="shared" si="1631"/>
        <v>0</v>
      </c>
      <c r="AJ1609" s="16">
        <f t="shared" si="1631"/>
        <v>0</v>
      </c>
      <c r="AK1609" s="16">
        <f t="shared" si="1631"/>
        <v>0</v>
      </c>
      <c r="AL1609" s="16">
        <f t="shared" si="1631"/>
        <v>0</v>
      </c>
      <c r="AM1609" s="16">
        <f t="shared" si="1631"/>
        <v>0</v>
      </c>
      <c r="AN1609" s="16">
        <f t="shared" si="1631"/>
        <v>0</v>
      </c>
      <c r="AO1609" s="16">
        <f t="shared" si="1631"/>
        <v>0</v>
      </c>
      <c r="AP1609" s="10"/>
      <c r="AQ1609" s="10"/>
      <c r="AR1609" s="10"/>
      <c r="AS1609" s="10" t="str">
        <f t="shared" ca="1" si="1624"/>
        <v>Johnson &amp; Johnson</v>
      </c>
      <c r="AT1609" s="10"/>
      <c r="AU1609" s="10"/>
      <c r="AV1609" s="10"/>
      <c r="AW1609" s="10"/>
      <c r="AX1609" s="10"/>
      <c r="AY1609" s="10"/>
      <c r="AZ1609" s="10"/>
      <c r="BA1609" s="10"/>
      <c r="BB1609" s="10"/>
      <c r="BC1609" s="10"/>
      <c r="BD1609" s="10"/>
      <c r="BE1609" s="10"/>
      <c r="BF1609" s="10"/>
      <c r="BG1609" s="10"/>
      <c r="BH1609" s="10"/>
      <c r="BI1609" s="10"/>
      <c r="BJ1609" s="10"/>
      <c r="BK1609" s="10"/>
      <c r="BM1609" s="10"/>
    </row>
    <row r="1610" spans="1:65" ht="12.75">
      <c r="A1610" s="9"/>
      <c r="B1610" s="10"/>
      <c r="C1610" s="11"/>
      <c r="D1610" s="12"/>
      <c r="E1610" s="10"/>
      <c r="F1610" s="10"/>
      <c r="G1610" s="10"/>
      <c r="H1610" s="14"/>
      <c r="I1610" s="14"/>
      <c r="J1610" s="14"/>
      <c r="K1610" s="14"/>
      <c r="L1610" s="14"/>
      <c r="M1610" s="15"/>
      <c r="N1610" s="10"/>
      <c r="O1610" s="14"/>
      <c r="P1610" s="14"/>
      <c r="Q1610" s="14"/>
      <c r="R1610" s="14"/>
      <c r="S1610" s="14"/>
      <c r="T1610" s="14"/>
      <c r="U1610" s="14"/>
      <c r="V1610" s="14"/>
      <c r="W1610" s="14"/>
      <c r="X1610" s="14"/>
      <c r="Y1610" s="14"/>
      <c r="Z1610" s="14"/>
      <c r="AA1610" s="16" t="str">
        <f t="shared" ca="1" si="1631"/>
        <v>Johnson &amp; Johnson</v>
      </c>
      <c r="AB1610" s="16">
        <f t="shared" si="1631"/>
        <v>0</v>
      </c>
      <c r="AC1610" s="16">
        <f t="shared" si="1631"/>
        <v>0</v>
      </c>
      <c r="AD1610" s="16">
        <f t="shared" si="1631"/>
        <v>0</v>
      </c>
      <c r="AE1610" s="16">
        <f t="shared" si="1631"/>
        <v>0</v>
      </c>
      <c r="AF1610" s="16">
        <f t="shared" si="1631"/>
        <v>0</v>
      </c>
      <c r="AG1610" s="16">
        <f t="shared" si="1631"/>
        <v>0</v>
      </c>
      <c r="AH1610" s="16">
        <f t="shared" si="1631"/>
        <v>0</v>
      </c>
      <c r="AI1610" s="16">
        <f t="shared" si="1631"/>
        <v>0</v>
      </c>
      <c r="AJ1610" s="16">
        <f t="shared" si="1631"/>
        <v>0</v>
      </c>
      <c r="AK1610" s="16">
        <f t="shared" si="1631"/>
        <v>0</v>
      </c>
      <c r="AL1610" s="16">
        <f t="shared" si="1631"/>
        <v>0</v>
      </c>
      <c r="AM1610" s="16">
        <f t="shared" si="1631"/>
        <v>0</v>
      </c>
      <c r="AN1610" s="16">
        <f t="shared" si="1631"/>
        <v>0</v>
      </c>
      <c r="AO1610" s="16">
        <f t="shared" si="1631"/>
        <v>0</v>
      </c>
      <c r="AP1610" s="10"/>
      <c r="AQ1610" s="10"/>
      <c r="AR1610" s="10"/>
      <c r="AS1610" s="10" t="str">
        <f t="shared" ca="1" si="1624"/>
        <v>Johnson &amp; Johnson</v>
      </c>
      <c r="AT1610" s="10"/>
      <c r="AU1610" s="10"/>
      <c r="AV1610" s="10"/>
      <c r="AW1610" s="10"/>
      <c r="AX1610" s="10"/>
      <c r="AY1610" s="10"/>
      <c r="AZ1610" s="10"/>
      <c r="BA1610" s="10"/>
      <c r="BB1610" s="10"/>
      <c r="BC1610" s="10"/>
      <c r="BD1610" s="10"/>
      <c r="BE1610" s="10"/>
      <c r="BF1610" s="10"/>
      <c r="BG1610" s="10"/>
      <c r="BH1610" s="10"/>
      <c r="BI1610" s="10"/>
      <c r="BJ1610" s="10"/>
      <c r="BK1610" s="10"/>
      <c r="BM1610" s="10"/>
    </row>
    <row r="1611" spans="1:65" ht="12.75">
      <c r="A1611" s="9"/>
      <c r="B1611" s="10"/>
      <c r="C1611" s="11"/>
      <c r="D1611" s="12"/>
      <c r="E1611" s="10"/>
      <c r="F1611" s="10"/>
      <c r="G1611" s="10"/>
      <c r="H1611" s="14"/>
      <c r="I1611" s="14"/>
      <c r="J1611" s="14"/>
      <c r="K1611" s="14"/>
      <c r="L1611" s="14"/>
      <c r="M1611" s="15"/>
      <c r="N1611" s="10"/>
      <c r="O1611" s="14"/>
      <c r="P1611" s="14"/>
      <c r="Q1611" s="14"/>
      <c r="R1611" s="14"/>
      <c r="S1611" s="14"/>
      <c r="T1611" s="14"/>
      <c r="U1611" s="14"/>
      <c r="V1611" s="14"/>
      <c r="W1611" s="14"/>
      <c r="X1611" s="14"/>
      <c r="Y1611" s="14"/>
      <c r="Z1611" s="14"/>
      <c r="AA1611" s="16" t="str">
        <f t="shared" ca="1" si="1631"/>
        <v>Johnson &amp; Johnson</v>
      </c>
      <c r="AB1611" s="16">
        <f t="shared" si="1631"/>
        <v>0</v>
      </c>
      <c r="AC1611" s="16">
        <f t="shared" si="1631"/>
        <v>0</v>
      </c>
      <c r="AD1611" s="16">
        <f t="shared" si="1631"/>
        <v>0</v>
      </c>
      <c r="AE1611" s="16">
        <f t="shared" si="1631"/>
        <v>0</v>
      </c>
      <c r="AF1611" s="16">
        <f t="shared" si="1631"/>
        <v>0</v>
      </c>
      <c r="AG1611" s="16">
        <f t="shared" si="1631"/>
        <v>0</v>
      </c>
      <c r="AH1611" s="16">
        <f t="shared" si="1631"/>
        <v>0</v>
      </c>
      <c r="AI1611" s="16">
        <f t="shared" si="1631"/>
        <v>0</v>
      </c>
      <c r="AJ1611" s="16">
        <f t="shared" si="1631"/>
        <v>0</v>
      </c>
      <c r="AK1611" s="16">
        <f t="shared" si="1631"/>
        <v>0</v>
      </c>
      <c r="AL1611" s="16">
        <f t="shared" si="1631"/>
        <v>0</v>
      </c>
      <c r="AM1611" s="16">
        <f t="shared" si="1631"/>
        <v>0</v>
      </c>
      <c r="AN1611" s="16">
        <f t="shared" si="1631"/>
        <v>0</v>
      </c>
      <c r="AO1611" s="16">
        <f t="shared" si="1631"/>
        <v>0</v>
      </c>
      <c r="AP1611" s="10"/>
      <c r="AQ1611" s="10"/>
      <c r="AR1611" s="10"/>
      <c r="AS1611" s="10" t="str">
        <f t="shared" ca="1" si="1624"/>
        <v>Johnson &amp; Johnson</v>
      </c>
      <c r="AT1611" s="10"/>
      <c r="AU1611" s="10"/>
      <c r="AV1611" s="10"/>
      <c r="AW1611" s="10"/>
      <c r="AX1611" s="10"/>
      <c r="AY1611" s="10"/>
      <c r="AZ1611" s="10"/>
      <c r="BA1611" s="10"/>
      <c r="BB1611" s="10"/>
      <c r="BC1611" s="10"/>
      <c r="BD1611" s="10"/>
      <c r="BE1611" s="10"/>
      <c r="BF1611" s="10"/>
      <c r="BG1611" s="10"/>
      <c r="BH1611" s="10"/>
      <c r="BI1611" s="10"/>
      <c r="BJ1611" s="10"/>
      <c r="BK1611" s="10"/>
      <c r="BM1611" s="10"/>
    </row>
    <row r="1612" spans="1:65" ht="12.75">
      <c r="A1612" s="9"/>
      <c r="B1612" s="10"/>
      <c r="C1612" s="11"/>
      <c r="D1612" s="12"/>
      <c r="E1612" s="10"/>
      <c r="F1612" s="10"/>
      <c r="G1612" s="10"/>
      <c r="H1612" s="14"/>
      <c r="I1612" s="14"/>
      <c r="J1612" s="14"/>
      <c r="K1612" s="14"/>
      <c r="L1612" s="14"/>
      <c r="M1612" s="15"/>
      <c r="N1612" s="10"/>
      <c r="O1612" s="14"/>
      <c r="P1612" s="14"/>
      <c r="Q1612" s="14"/>
      <c r="R1612" s="14"/>
      <c r="S1612" s="14"/>
      <c r="T1612" s="14"/>
      <c r="U1612" s="14"/>
      <c r="V1612" s="14"/>
      <c r="W1612" s="14"/>
      <c r="X1612" s="14"/>
      <c r="Y1612" s="14"/>
      <c r="Z1612" s="14"/>
      <c r="AA1612" s="16" t="str">
        <f t="shared" ca="1" si="1631"/>
        <v>Johnson &amp; Johnson</v>
      </c>
      <c r="AB1612" s="16">
        <f t="shared" si="1631"/>
        <v>0</v>
      </c>
      <c r="AC1612" s="16">
        <f t="shared" si="1631"/>
        <v>0</v>
      </c>
      <c r="AD1612" s="16">
        <f t="shared" si="1631"/>
        <v>0</v>
      </c>
      <c r="AE1612" s="16">
        <f t="shared" si="1631"/>
        <v>0</v>
      </c>
      <c r="AF1612" s="16">
        <f t="shared" si="1631"/>
        <v>0</v>
      </c>
      <c r="AG1612" s="16">
        <f t="shared" si="1631"/>
        <v>0</v>
      </c>
      <c r="AH1612" s="16">
        <f t="shared" si="1631"/>
        <v>0</v>
      </c>
      <c r="AI1612" s="16">
        <f t="shared" si="1631"/>
        <v>0</v>
      </c>
      <c r="AJ1612" s="16">
        <f t="shared" si="1631"/>
        <v>0</v>
      </c>
      <c r="AK1612" s="16">
        <f t="shared" si="1631"/>
        <v>0</v>
      </c>
      <c r="AL1612" s="16">
        <f t="shared" si="1631"/>
        <v>0</v>
      </c>
      <c r="AM1612" s="16">
        <f t="shared" si="1631"/>
        <v>0</v>
      </c>
      <c r="AN1612" s="16">
        <f t="shared" si="1631"/>
        <v>0</v>
      </c>
      <c r="AO1612" s="16">
        <f t="shared" si="1631"/>
        <v>0</v>
      </c>
      <c r="AP1612" s="10"/>
      <c r="AQ1612" s="10"/>
      <c r="AR1612" s="10"/>
      <c r="AS1612" s="10" t="str">
        <f t="shared" ca="1" si="1624"/>
        <v>Johnson &amp; Johnson</v>
      </c>
      <c r="AT1612" s="10"/>
      <c r="AU1612" s="10"/>
      <c r="AV1612" s="10"/>
      <c r="AW1612" s="10"/>
      <c r="AX1612" s="10"/>
      <c r="AY1612" s="10"/>
      <c r="AZ1612" s="10"/>
      <c r="BA1612" s="10"/>
      <c r="BB1612" s="10"/>
      <c r="BC1612" s="10"/>
      <c r="BD1612" s="10"/>
      <c r="BE1612" s="10"/>
      <c r="BF1612" s="10"/>
      <c r="BG1612" s="10"/>
      <c r="BH1612" s="10"/>
      <c r="BI1612" s="10"/>
      <c r="BJ1612" s="10"/>
      <c r="BK1612" s="10"/>
      <c r="BM1612" s="10"/>
    </row>
    <row r="1613" spans="1:65" ht="12.75">
      <c r="A1613" s="9"/>
      <c r="B1613" s="10"/>
      <c r="C1613" s="11"/>
      <c r="D1613" s="12"/>
      <c r="E1613" s="10"/>
      <c r="F1613" s="10"/>
      <c r="G1613" s="10"/>
      <c r="H1613" s="14"/>
      <c r="I1613" s="14"/>
      <c r="J1613" s="14"/>
      <c r="K1613" s="14"/>
      <c r="L1613" s="14"/>
      <c r="M1613" s="15"/>
      <c r="N1613" s="10"/>
      <c r="O1613" s="14"/>
      <c r="P1613" s="14"/>
      <c r="Q1613" s="14"/>
      <c r="R1613" s="14"/>
      <c r="S1613" s="14"/>
      <c r="T1613" s="14"/>
      <c r="U1613" s="14"/>
      <c r="V1613" s="14"/>
      <c r="W1613" s="14"/>
      <c r="X1613" s="14"/>
      <c r="Y1613" s="14"/>
      <c r="Z1613" s="14"/>
      <c r="AA1613" s="16" t="str">
        <f t="shared" ca="1" si="1631"/>
        <v>Johnson &amp; Johnson</v>
      </c>
      <c r="AB1613" s="16">
        <f t="shared" si="1631"/>
        <v>0</v>
      </c>
      <c r="AC1613" s="16">
        <f t="shared" si="1631"/>
        <v>0</v>
      </c>
      <c r="AD1613" s="16">
        <f t="shared" si="1631"/>
        <v>0</v>
      </c>
      <c r="AE1613" s="16">
        <f t="shared" si="1631"/>
        <v>0</v>
      </c>
      <c r="AF1613" s="16">
        <f t="shared" si="1631"/>
        <v>0</v>
      </c>
      <c r="AG1613" s="16">
        <f t="shared" si="1631"/>
        <v>0</v>
      </c>
      <c r="AH1613" s="16">
        <f t="shared" si="1631"/>
        <v>0</v>
      </c>
      <c r="AI1613" s="16">
        <f t="shared" si="1631"/>
        <v>0</v>
      </c>
      <c r="AJ1613" s="16">
        <f t="shared" si="1631"/>
        <v>0</v>
      </c>
      <c r="AK1613" s="16">
        <f t="shared" si="1631"/>
        <v>0</v>
      </c>
      <c r="AL1613" s="16">
        <f t="shared" si="1631"/>
        <v>0</v>
      </c>
      <c r="AM1613" s="16">
        <f t="shared" si="1631"/>
        <v>0</v>
      </c>
      <c r="AN1613" s="16">
        <f t="shared" si="1631"/>
        <v>0</v>
      </c>
      <c r="AO1613" s="16">
        <f t="shared" si="1631"/>
        <v>0</v>
      </c>
      <c r="AP1613" s="10"/>
      <c r="AQ1613" s="10"/>
      <c r="AR1613" s="10"/>
      <c r="AS1613" s="10" t="str">
        <f t="shared" ca="1" si="1624"/>
        <v>Johnson &amp; Johnson</v>
      </c>
      <c r="AT1613" s="10"/>
      <c r="AU1613" s="10"/>
      <c r="AV1613" s="10"/>
      <c r="AW1613" s="10"/>
      <c r="AX1613" s="10"/>
      <c r="AY1613" s="10"/>
      <c r="AZ1613" s="10"/>
      <c r="BA1613" s="10"/>
      <c r="BB1613" s="10"/>
      <c r="BC1613" s="10"/>
      <c r="BD1613" s="10"/>
      <c r="BE1613" s="10"/>
      <c r="BF1613" s="10"/>
      <c r="BG1613" s="10"/>
      <c r="BH1613" s="10"/>
      <c r="BI1613" s="10"/>
      <c r="BJ1613" s="10"/>
      <c r="BK1613" s="10"/>
      <c r="BM1613" s="10"/>
    </row>
    <row r="1614" spans="1:65" ht="12.75">
      <c r="A1614" s="9"/>
      <c r="B1614" s="10"/>
      <c r="C1614" s="11"/>
      <c r="D1614" s="12"/>
      <c r="E1614" s="10"/>
      <c r="F1614" s="10"/>
      <c r="G1614" s="10"/>
      <c r="H1614" s="14"/>
      <c r="I1614" s="14"/>
      <c r="J1614" s="14"/>
      <c r="K1614" s="14"/>
      <c r="L1614" s="14"/>
      <c r="M1614" s="15"/>
      <c r="N1614" s="10"/>
      <c r="O1614" s="14"/>
      <c r="P1614" s="14"/>
      <c r="Q1614" s="14"/>
      <c r="R1614" s="14"/>
      <c r="S1614" s="14"/>
      <c r="T1614" s="14"/>
      <c r="U1614" s="14"/>
      <c r="V1614" s="14"/>
      <c r="W1614" s="14"/>
      <c r="X1614" s="14"/>
      <c r="Y1614" s="14"/>
      <c r="Z1614" s="14"/>
      <c r="AA1614" s="16" t="str">
        <f t="shared" ca="1" si="1631"/>
        <v>Johnson &amp; Johnson</v>
      </c>
      <c r="AB1614" s="16">
        <f t="shared" si="1631"/>
        <v>0</v>
      </c>
      <c r="AC1614" s="16">
        <f t="shared" si="1631"/>
        <v>0</v>
      </c>
      <c r="AD1614" s="16">
        <f t="shared" si="1631"/>
        <v>0</v>
      </c>
      <c r="AE1614" s="16">
        <f t="shared" si="1631"/>
        <v>0</v>
      </c>
      <c r="AF1614" s="16">
        <f t="shared" si="1631"/>
        <v>0</v>
      </c>
      <c r="AG1614" s="16">
        <f t="shared" si="1631"/>
        <v>0</v>
      </c>
      <c r="AH1614" s="16">
        <f t="shared" si="1631"/>
        <v>0</v>
      </c>
      <c r="AI1614" s="16">
        <f t="shared" si="1631"/>
        <v>0</v>
      </c>
      <c r="AJ1614" s="16">
        <f t="shared" si="1631"/>
        <v>0</v>
      </c>
      <c r="AK1614" s="16">
        <f t="shared" si="1631"/>
        <v>0</v>
      </c>
      <c r="AL1614" s="16">
        <f t="shared" si="1631"/>
        <v>0</v>
      </c>
      <c r="AM1614" s="16">
        <f t="shared" si="1631"/>
        <v>0</v>
      </c>
      <c r="AN1614" s="16">
        <f t="shared" si="1631"/>
        <v>0</v>
      </c>
      <c r="AO1614" s="16">
        <f t="shared" si="1631"/>
        <v>0</v>
      </c>
      <c r="AP1614" s="10"/>
      <c r="AQ1614" s="10"/>
      <c r="AR1614" s="10"/>
      <c r="AS1614" s="10" t="str">
        <f t="shared" ca="1" si="1624"/>
        <v>Johnson &amp; Johnson</v>
      </c>
      <c r="AT1614" s="10"/>
      <c r="AU1614" s="10"/>
      <c r="AV1614" s="10"/>
      <c r="AW1614" s="10"/>
      <c r="AX1614" s="10"/>
      <c r="AY1614" s="10"/>
      <c r="AZ1614" s="10"/>
      <c r="BA1614" s="10"/>
      <c r="BB1614" s="10"/>
      <c r="BC1614" s="10"/>
      <c r="BD1614" s="10"/>
      <c r="BE1614" s="10"/>
      <c r="BF1614" s="10"/>
      <c r="BG1614" s="10"/>
      <c r="BH1614" s="10"/>
      <c r="BI1614" s="10"/>
      <c r="BJ1614" s="10"/>
      <c r="BK1614" s="10"/>
      <c r="BM1614" s="10"/>
    </row>
    <row r="1615" spans="1:65" ht="12.75">
      <c r="A1615" s="9"/>
      <c r="B1615" s="10"/>
      <c r="C1615" s="11"/>
      <c r="D1615" s="12"/>
      <c r="E1615" s="10"/>
      <c r="F1615" s="10"/>
      <c r="G1615" s="10"/>
      <c r="H1615" s="14"/>
      <c r="I1615" s="14"/>
      <c r="J1615" s="14"/>
      <c r="K1615" s="14"/>
      <c r="L1615" s="14"/>
      <c r="M1615" s="15"/>
      <c r="N1615" s="10"/>
      <c r="O1615" s="14"/>
      <c r="P1615" s="14"/>
      <c r="Q1615" s="14"/>
      <c r="R1615" s="14"/>
      <c r="S1615" s="14"/>
      <c r="T1615" s="14"/>
      <c r="U1615" s="14"/>
      <c r="V1615" s="14"/>
      <c r="W1615" s="14"/>
      <c r="X1615" s="14"/>
      <c r="Y1615" s="14"/>
      <c r="Z1615" s="14"/>
      <c r="AA1615" s="16" t="str">
        <f t="shared" ca="1" si="1631"/>
        <v>Johnson &amp; Johnson</v>
      </c>
      <c r="AB1615" s="16">
        <f t="shared" si="1631"/>
        <v>0</v>
      </c>
      <c r="AC1615" s="16">
        <f t="shared" si="1631"/>
        <v>0</v>
      </c>
      <c r="AD1615" s="16">
        <f t="shared" si="1631"/>
        <v>0</v>
      </c>
      <c r="AE1615" s="16">
        <f t="shared" si="1631"/>
        <v>0</v>
      </c>
      <c r="AF1615" s="16">
        <f t="shared" si="1631"/>
        <v>0</v>
      </c>
      <c r="AG1615" s="16">
        <f t="shared" si="1631"/>
        <v>0</v>
      </c>
      <c r="AH1615" s="16">
        <f t="shared" si="1631"/>
        <v>0</v>
      </c>
      <c r="AI1615" s="16">
        <f t="shared" si="1631"/>
        <v>0</v>
      </c>
      <c r="AJ1615" s="16">
        <f t="shared" si="1631"/>
        <v>0</v>
      </c>
      <c r="AK1615" s="16">
        <f t="shared" si="1631"/>
        <v>0</v>
      </c>
      <c r="AL1615" s="16">
        <f t="shared" si="1631"/>
        <v>0</v>
      </c>
      <c r="AM1615" s="16">
        <f t="shared" si="1631"/>
        <v>0</v>
      </c>
      <c r="AN1615" s="16">
        <f t="shared" si="1631"/>
        <v>0</v>
      </c>
      <c r="AO1615" s="16">
        <f t="shared" si="1631"/>
        <v>0</v>
      </c>
      <c r="AP1615" s="10"/>
      <c r="AQ1615" s="10"/>
      <c r="AR1615" s="10"/>
      <c r="AS1615" s="10" t="str">
        <f t="shared" ca="1" si="1624"/>
        <v>Johnson &amp; Johnson</v>
      </c>
      <c r="AT1615" s="10"/>
      <c r="AU1615" s="10"/>
      <c r="AV1615" s="10"/>
      <c r="AW1615" s="10"/>
      <c r="AX1615" s="10"/>
      <c r="AY1615" s="10"/>
      <c r="AZ1615" s="10"/>
      <c r="BA1615" s="10"/>
      <c r="BB1615" s="10"/>
      <c r="BC1615" s="10"/>
      <c r="BD1615" s="10"/>
      <c r="BE1615" s="10"/>
      <c r="BF1615" s="10"/>
      <c r="BG1615" s="10"/>
      <c r="BH1615" s="10"/>
      <c r="BI1615" s="10"/>
      <c r="BJ1615" s="10"/>
      <c r="BK1615" s="10"/>
      <c r="BM1615" s="10"/>
    </row>
    <row r="1616" spans="1:65" ht="12.75">
      <c r="A1616" s="9"/>
      <c r="B1616" s="10"/>
      <c r="C1616" s="11"/>
      <c r="D1616" s="12"/>
      <c r="E1616" s="10"/>
      <c r="F1616" s="10"/>
      <c r="G1616" s="10"/>
      <c r="H1616" s="14"/>
      <c r="I1616" s="14"/>
      <c r="J1616" s="14"/>
      <c r="K1616" s="14"/>
      <c r="L1616" s="14"/>
      <c r="M1616" s="15"/>
      <c r="N1616" s="10"/>
      <c r="O1616" s="14"/>
      <c r="P1616" s="14"/>
      <c r="Q1616" s="14"/>
      <c r="R1616" s="14"/>
      <c r="S1616" s="14"/>
      <c r="T1616" s="14"/>
      <c r="U1616" s="14"/>
      <c r="V1616" s="14"/>
      <c r="W1616" s="14"/>
      <c r="X1616" s="14"/>
      <c r="Y1616" s="14"/>
      <c r="Z1616" s="14"/>
      <c r="AA1616" s="16" t="str">
        <f t="shared" ca="1" si="1631"/>
        <v>Johnson &amp; Johnson</v>
      </c>
      <c r="AB1616" s="16">
        <f t="shared" si="1631"/>
        <v>0</v>
      </c>
      <c r="AC1616" s="16">
        <f t="shared" si="1631"/>
        <v>0</v>
      </c>
      <c r="AD1616" s="16">
        <f t="shared" si="1631"/>
        <v>0</v>
      </c>
      <c r="AE1616" s="16">
        <f t="shared" si="1631"/>
        <v>0</v>
      </c>
      <c r="AF1616" s="16">
        <f t="shared" si="1631"/>
        <v>0</v>
      </c>
      <c r="AG1616" s="16">
        <f t="shared" si="1631"/>
        <v>0</v>
      </c>
      <c r="AH1616" s="16">
        <f t="shared" si="1631"/>
        <v>0</v>
      </c>
      <c r="AI1616" s="16">
        <f t="shared" si="1631"/>
        <v>0</v>
      </c>
      <c r="AJ1616" s="16">
        <f t="shared" si="1631"/>
        <v>0</v>
      </c>
      <c r="AK1616" s="16">
        <f t="shared" si="1631"/>
        <v>0</v>
      </c>
      <c r="AL1616" s="16">
        <f t="shared" si="1631"/>
        <v>0</v>
      </c>
      <c r="AM1616" s="16">
        <f t="shared" si="1631"/>
        <v>0</v>
      </c>
      <c r="AN1616" s="16">
        <f t="shared" si="1631"/>
        <v>0</v>
      </c>
      <c r="AO1616" s="16">
        <f t="shared" si="1631"/>
        <v>0</v>
      </c>
      <c r="AP1616" s="10"/>
      <c r="AQ1616" s="10"/>
      <c r="AR1616" s="10"/>
      <c r="AS1616" s="10" t="str">
        <f t="shared" ca="1" si="1624"/>
        <v>Johnson &amp; Johnson</v>
      </c>
      <c r="AT1616" s="10"/>
      <c r="AU1616" s="10"/>
      <c r="AV1616" s="10"/>
      <c r="AW1616" s="10"/>
      <c r="AX1616" s="10"/>
      <c r="AY1616" s="10"/>
      <c r="AZ1616" s="10"/>
      <c r="BA1616" s="10"/>
      <c r="BB1616" s="10"/>
      <c r="BC1616" s="10"/>
      <c r="BD1616" s="10"/>
      <c r="BE1616" s="10"/>
      <c r="BF1616" s="10"/>
      <c r="BG1616" s="10"/>
      <c r="BH1616" s="10"/>
      <c r="BI1616" s="10"/>
      <c r="BJ1616" s="10"/>
      <c r="BK1616" s="10"/>
      <c r="BM1616" s="10"/>
    </row>
    <row r="1617" spans="1:65" ht="12.75">
      <c r="A1617" s="9"/>
      <c r="B1617" s="10"/>
      <c r="C1617" s="11"/>
      <c r="D1617" s="12"/>
      <c r="E1617" s="10"/>
      <c r="F1617" s="10"/>
      <c r="G1617" s="10"/>
      <c r="H1617" s="14"/>
      <c r="I1617" s="14"/>
      <c r="J1617" s="14"/>
      <c r="K1617" s="14"/>
      <c r="L1617" s="14"/>
      <c r="M1617" s="15"/>
      <c r="N1617" s="10"/>
      <c r="O1617" s="14"/>
      <c r="P1617" s="14"/>
      <c r="Q1617" s="14"/>
      <c r="R1617" s="14"/>
      <c r="S1617" s="14"/>
      <c r="T1617" s="14"/>
      <c r="U1617" s="14"/>
      <c r="V1617" s="14"/>
      <c r="W1617" s="14"/>
      <c r="X1617" s="14"/>
      <c r="Y1617" s="14"/>
      <c r="Z1617" s="14"/>
      <c r="AA1617" s="16" t="str">
        <f t="shared" ca="1" si="1631"/>
        <v>Johnson &amp; Johnson</v>
      </c>
      <c r="AB1617" s="16">
        <f t="shared" si="1631"/>
        <v>0</v>
      </c>
      <c r="AC1617" s="16">
        <f t="shared" si="1631"/>
        <v>0</v>
      </c>
      <c r="AD1617" s="16">
        <f t="shared" si="1631"/>
        <v>0</v>
      </c>
      <c r="AE1617" s="16">
        <f t="shared" si="1631"/>
        <v>0</v>
      </c>
      <c r="AF1617" s="16">
        <f t="shared" si="1631"/>
        <v>0</v>
      </c>
      <c r="AG1617" s="16">
        <f t="shared" si="1631"/>
        <v>0</v>
      </c>
      <c r="AH1617" s="16">
        <f t="shared" si="1631"/>
        <v>0</v>
      </c>
      <c r="AI1617" s="16">
        <f t="shared" si="1631"/>
        <v>0</v>
      </c>
      <c r="AJ1617" s="16">
        <f t="shared" si="1631"/>
        <v>0</v>
      </c>
      <c r="AK1617" s="16">
        <f t="shared" si="1631"/>
        <v>0</v>
      </c>
      <c r="AL1617" s="16">
        <f t="shared" si="1631"/>
        <v>0</v>
      </c>
      <c r="AM1617" s="16">
        <f t="shared" si="1631"/>
        <v>0</v>
      </c>
      <c r="AN1617" s="16">
        <f t="shared" si="1631"/>
        <v>0</v>
      </c>
      <c r="AO1617" s="16">
        <f t="shared" si="1631"/>
        <v>0</v>
      </c>
      <c r="AP1617" s="10"/>
      <c r="AQ1617" s="10"/>
      <c r="AR1617" s="10"/>
      <c r="AS1617" s="10" t="str">
        <f t="shared" ca="1" si="1624"/>
        <v>Johnson &amp; Johnson</v>
      </c>
      <c r="AT1617" s="10"/>
      <c r="AU1617" s="10"/>
      <c r="AV1617" s="10"/>
      <c r="AW1617" s="10"/>
      <c r="AX1617" s="10"/>
      <c r="AY1617" s="10"/>
      <c r="AZ1617" s="10"/>
      <c r="BA1617" s="10"/>
      <c r="BB1617" s="10"/>
      <c r="BC1617" s="10"/>
      <c r="BD1617" s="10"/>
      <c r="BE1617" s="10"/>
      <c r="BF1617" s="10"/>
      <c r="BG1617" s="10"/>
      <c r="BH1617" s="10"/>
      <c r="BI1617" s="10"/>
      <c r="BJ1617" s="10"/>
      <c r="BK1617" s="10"/>
      <c r="BM1617" s="10"/>
    </row>
    <row r="1618" spans="1:65" ht="12.75">
      <c r="A1618" s="9"/>
      <c r="B1618" s="10"/>
      <c r="C1618" s="11"/>
      <c r="D1618" s="12"/>
      <c r="E1618" s="10"/>
      <c r="F1618" s="10"/>
      <c r="G1618" s="10"/>
      <c r="H1618" s="14"/>
      <c r="I1618" s="14"/>
      <c r="J1618" s="14"/>
      <c r="K1618" s="14"/>
      <c r="L1618" s="14"/>
      <c r="M1618" s="15"/>
      <c r="N1618" s="10"/>
      <c r="O1618" s="14"/>
      <c r="P1618" s="14"/>
      <c r="Q1618" s="14"/>
      <c r="R1618" s="14"/>
      <c r="S1618" s="14"/>
      <c r="T1618" s="14"/>
      <c r="U1618" s="14"/>
      <c r="V1618" s="14"/>
      <c r="W1618" s="14"/>
      <c r="X1618" s="14"/>
      <c r="Y1618" s="14"/>
      <c r="Z1618" s="14"/>
      <c r="AA1618" s="16" t="str">
        <f t="shared" ca="1" si="1631"/>
        <v>Johnson &amp; Johnson</v>
      </c>
      <c r="AB1618" s="16">
        <f t="shared" si="1631"/>
        <v>0</v>
      </c>
      <c r="AC1618" s="16">
        <f t="shared" si="1631"/>
        <v>0</v>
      </c>
      <c r="AD1618" s="16">
        <f t="shared" si="1631"/>
        <v>0</v>
      </c>
      <c r="AE1618" s="16">
        <f t="shared" si="1631"/>
        <v>0</v>
      </c>
      <c r="AF1618" s="16">
        <f t="shared" si="1631"/>
        <v>0</v>
      </c>
      <c r="AG1618" s="16">
        <f t="shared" si="1631"/>
        <v>0</v>
      </c>
      <c r="AH1618" s="16">
        <f t="shared" si="1631"/>
        <v>0</v>
      </c>
      <c r="AI1618" s="16">
        <f t="shared" si="1631"/>
        <v>0</v>
      </c>
      <c r="AJ1618" s="16">
        <f t="shared" si="1631"/>
        <v>0</v>
      </c>
      <c r="AK1618" s="16">
        <f t="shared" si="1631"/>
        <v>0</v>
      </c>
      <c r="AL1618" s="16">
        <f t="shared" si="1631"/>
        <v>0</v>
      </c>
      <c r="AM1618" s="16">
        <f t="shared" si="1631"/>
        <v>0</v>
      </c>
      <c r="AN1618" s="16">
        <f t="shared" si="1631"/>
        <v>0</v>
      </c>
      <c r="AO1618" s="16">
        <f t="shared" si="1631"/>
        <v>0</v>
      </c>
      <c r="AP1618" s="10"/>
      <c r="AQ1618" s="10"/>
      <c r="AR1618" s="10"/>
      <c r="AS1618" s="10" t="str">
        <f t="shared" ca="1" si="1624"/>
        <v>Johnson &amp; Johnson</v>
      </c>
      <c r="AT1618" s="10"/>
      <c r="AU1618" s="10"/>
      <c r="AV1618" s="10"/>
      <c r="AW1618" s="10"/>
      <c r="AX1618" s="10"/>
      <c r="AY1618" s="10"/>
      <c r="AZ1618" s="10"/>
      <c r="BA1618" s="10"/>
      <c r="BB1618" s="10"/>
      <c r="BC1618" s="10"/>
      <c r="BD1618" s="10"/>
      <c r="BE1618" s="10"/>
      <c r="BF1618" s="10"/>
      <c r="BG1618" s="10"/>
      <c r="BH1618" s="10"/>
      <c r="BI1618" s="10"/>
      <c r="BJ1618" s="10"/>
      <c r="BK1618" s="10"/>
      <c r="BM1618" s="10"/>
    </row>
    <row r="1619" spans="1:65" ht="12.75">
      <c r="A1619" s="9"/>
      <c r="B1619" s="10"/>
      <c r="C1619" s="11"/>
      <c r="D1619" s="12"/>
      <c r="E1619" s="10"/>
      <c r="F1619" s="10"/>
      <c r="G1619" s="10"/>
      <c r="H1619" s="14"/>
      <c r="I1619" s="14"/>
      <c r="J1619" s="14"/>
      <c r="K1619" s="14"/>
      <c r="L1619" s="14"/>
      <c r="M1619" s="15"/>
      <c r="N1619" s="10"/>
      <c r="O1619" s="14"/>
      <c r="P1619" s="14"/>
      <c r="Q1619" s="14"/>
      <c r="R1619" s="14"/>
      <c r="S1619" s="14"/>
      <c r="T1619" s="14"/>
      <c r="U1619" s="14"/>
      <c r="V1619" s="14"/>
      <c r="W1619" s="14"/>
      <c r="X1619" s="14"/>
      <c r="Y1619" s="14"/>
      <c r="Z1619" s="14"/>
      <c r="AA1619" s="16" t="str">
        <f t="shared" ca="1" si="1631"/>
        <v>Johnson &amp; Johnson</v>
      </c>
      <c r="AB1619" s="16">
        <f t="shared" si="1631"/>
        <v>0</v>
      </c>
      <c r="AC1619" s="16">
        <f t="shared" si="1631"/>
        <v>0</v>
      </c>
      <c r="AD1619" s="16">
        <f t="shared" si="1631"/>
        <v>0</v>
      </c>
      <c r="AE1619" s="16">
        <f t="shared" si="1631"/>
        <v>0</v>
      </c>
      <c r="AF1619" s="16">
        <f t="shared" si="1631"/>
        <v>0</v>
      </c>
      <c r="AG1619" s="16">
        <f t="shared" si="1631"/>
        <v>0</v>
      </c>
      <c r="AH1619" s="16">
        <f t="shared" si="1631"/>
        <v>0</v>
      </c>
      <c r="AI1619" s="16">
        <f t="shared" si="1631"/>
        <v>0</v>
      </c>
      <c r="AJ1619" s="16">
        <f t="shared" si="1631"/>
        <v>0</v>
      </c>
      <c r="AK1619" s="16">
        <f t="shared" si="1631"/>
        <v>0</v>
      </c>
      <c r="AL1619" s="16">
        <f t="shared" si="1631"/>
        <v>0</v>
      </c>
      <c r="AM1619" s="16">
        <f t="shared" si="1631"/>
        <v>0</v>
      </c>
      <c r="AN1619" s="16">
        <f t="shared" si="1631"/>
        <v>0</v>
      </c>
      <c r="AO1619" s="16">
        <f t="shared" si="1631"/>
        <v>0</v>
      </c>
      <c r="AP1619" s="10"/>
      <c r="AQ1619" s="10"/>
      <c r="AR1619" s="10"/>
      <c r="AS1619" s="10" t="str">
        <f t="shared" ca="1" si="1624"/>
        <v>Johnson &amp; Johnson</v>
      </c>
      <c r="AT1619" s="10"/>
      <c r="AU1619" s="10"/>
      <c r="AV1619" s="10"/>
      <c r="AW1619" s="10"/>
      <c r="AX1619" s="10"/>
      <c r="AY1619" s="10"/>
      <c r="AZ1619" s="10"/>
      <c r="BA1619" s="10"/>
      <c r="BB1619" s="10"/>
      <c r="BC1619" s="10"/>
      <c r="BD1619" s="10"/>
      <c r="BE1619" s="10"/>
      <c r="BF1619" s="10"/>
      <c r="BG1619" s="10"/>
      <c r="BH1619" s="10"/>
      <c r="BI1619" s="10"/>
      <c r="BJ1619" s="10"/>
      <c r="BK1619" s="10"/>
      <c r="BM1619" s="10"/>
    </row>
    <row r="1620" spans="1:65" ht="12.75">
      <c r="A1620" s="9"/>
      <c r="B1620" s="10"/>
      <c r="C1620" s="11"/>
      <c r="D1620" s="12"/>
      <c r="E1620" s="10"/>
      <c r="F1620" s="10"/>
      <c r="G1620" s="10"/>
      <c r="H1620" s="14"/>
      <c r="I1620" s="14"/>
      <c r="J1620" s="14"/>
      <c r="K1620" s="14"/>
      <c r="L1620" s="14"/>
      <c r="M1620" s="15"/>
      <c r="N1620" s="10"/>
      <c r="O1620" s="14"/>
      <c r="P1620" s="14"/>
      <c r="Q1620" s="14"/>
      <c r="R1620" s="14"/>
      <c r="S1620" s="14"/>
      <c r="T1620" s="14"/>
      <c r="U1620" s="14"/>
      <c r="V1620" s="14"/>
      <c r="W1620" s="14"/>
      <c r="X1620" s="14"/>
      <c r="Y1620" s="14"/>
      <c r="Z1620" s="14"/>
      <c r="AA1620" s="16" t="str">
        <f t="shared" ca="1" si="1631"/>
        <v>Johnson &amp; Johnson</v>
      </c>
      <c r="AB1620" s="16">
        <f t="shared" si="1631"/>
        <v>0</v>
      </c>
      <c r="AC1620" s="16">
        <f t="shared" si="1631"/>
        <v>0</v>
      </c>
      <c r="AD1620" s="16">
        <f t="shared" si="1631"/>
        <v>0</v>
      </c>
      <c r="AE1620" s="16">
        <f t="shared" si="1631"/>
        <v>0</v>
      </c>
      <c r="AF1620" s="16">
        <f t="shared" si="1631"/>
        <v>0</v>
      </c>
      <c r="AG1620" s="16">
        <f t="shared" si="1631"/>
        <v>0</v>
      </c>
      <c r="AH1620" s="16">
        <f t="shared" si="1631"/>
        <v>0</v>
      </c>
      <c r="AI1620" s="16">
        <f t="shared" si="1631"/>
        <v>0</v>
      </c>
      <c r="AJ1620" s="16">
        <f t="shared" si="1631"/>
        <v>0</v>
      </c>
      <c r="AK1620" s="16">
        <f t="shared" si="1631"/>
        <v>0</v>
      </c>
      <c r="AL1620" s="16">
        <f t="shared" si="1631"/>
        <v>0</v>
      </c>
      <c r="AM1620" s="16">
        <f t="shared" si="1631"/>
        <v>0</v>
      </c>
      <c r="AN1620" s="16">
        <f t="shared" si="1631"/>
        <v>0</v>
      </c>
      <c r="AO1620" s="16">
        <f t="shared" si="1631"/>
        <v>0</v>
      </c>
      <c r="AP1620" s="10"/>
      <c r="AQ1620" s="10"/>
      <c r="AR1620" s="10"/>
      <c r="AS1620" s="10" t="str">
        <f t="shared" ca="1" si="1624"/>
        <v>Johnson &amp; Johnson</v>
      </c>
      <c r="AT1620" s="10"/>
      <c r="AU1620" s="10"/>
      <c r="AV1620" s="10"/>
      <c r="AW1620" s="10"/>
      <c r="AX1620" s="10"/>
      <c r="AY1620" s="10"/>
      <c r="AZ1620" s="10"/>
      <c r="BA1620" s="10"/>
      <c r="BB1620" s="10"/>
      <c r="BC1620" s="10"/>
      <c r="BD1620" s="10"/>
      <c r="BE1620" s="10"/>
      <c r="BF1620" s="10"/>
      <c r="BG1620" s="10"/>
      <c r="BH1620" s="10"/>
      <c r="BI1620" s="10"/>
      <c r="BJ1620" s="10"/>
      <c r="BK1620" s="10"/>
      <c r="BM1620" s="10"/>
    </row>
    <row r="1621" spans="1:65" ht="12.75">
      <c r="A1621" s="9"/>
      <c r="B1621" s="10"/>
      <c r="C1621" s="11"/>
      <c r="D1621" s="12"/>
      <c r="E1621" s="10"/>
      <c r="F1621" s="10"/>
      <c r="G1621" s="10"/>
      <c r="H1621" s="14"/>
      <c r="I1621" s="14"/>
      <c r="J1621" s="14"/>
      <c r="K1621" s="14"/>
      <c r="L1621" s="14"/>
      <c r="M1621" s="15"/>
      <c r="N1621" s="10"/>
      <c r="O1621" s="14"/>
      <c r="P1621" s="14"/>
      <c r="Q1621" s="14"/>
      <c r="R1621" s="14"/>
      <c r="S1621" s="14"/>
      <c r="T1621" s="14"/>
      <c r="U1621" s="14"/>
      <c r="V1621" s="14"/>
      <c r="W1621" s="14"/>
      <c r="X1621" s="14"/>
      <c r="Y1621" s="14"/>
      <c r="Z1621" s="14"/>
      <c r="AA1621" s="16" t="str">
        <f t="shared" ca="1" si="1631"/>
        <v>Johnson &amp; Johnson</v>
      </c>
      <c r="AB1621" s="16">
        <f t="shared" si="1631"/>
        <v>0</v>
      </c>
      <c r="AC1621" s="16">
        <f t="shared" si="1631"/>
        <v>0</v>
      </c>
      <c r="AD1621" s="16">
        <f t="shared" si="1631"/>
        <v>0</v>
      </c>
      <c r="AE1621" s="16">
        <f t="shared" si="1631"/>
        <v>0</v>
      </c>
      <c r="AF1621" s="16">
        <f t="shared" si="1631"/>
        <v>0</v>
      </c>
      <c r="AG1621" s="16">
        <f t="shared" si="1631"/>
        <v>0</v>
      </c>
      <c r="AH1621" s="16">
        <f t="shared" si="1631"/>
        <v>0</v>
      </c>
      <c r="AI1621" s="16">
        <f t="shared" si="1631"/>
        <v>0</v>
      </c>
      <c r="AJ1621" s="16">
        <f t="shared" si="1631"/>
        <v>0</v>
      </c>
      <c r="AK1621" s="16">
        <f t="shared" si="1631"/>
        <v>0</v>
      </c>
      <c r="AL1621" s="16">
        <f t="shared" si="1631"/>
        <v>0</v>
      </c>
      <c r="AM1621" s="16">
        <f t="shared" si="1631"/>
        <v>0</v>
      </c>
      <c r="AN1621" s="16">
        <f t="shared" si="1631"/>
        <v>0</v>
      </c>
      <c r="AO1621" s="16">
        <f t="shared" si="1631"/>
        <v>0</v>
      </c>
      <c r="AP1621" s="10"/>
      <c r="AQ1621" s="10"/>
      <c r="AR1621" s="10"/>
      <c r="AS1621" s="10" t="str">
        <f t="shared" ca="1" si="1624"/>
        <v>Johnson &amp; Johnson</v>
      </c>
      <c r="AT1621" s="10"/>
      <c r="AU1621" s="10"/>
      <c r="AV1621" s="10"/>
      <c r="AW1621" s="10"/>
      <c r="AX1621" s="10"/>
      <c r="AY1621" s="10"/>
      <c r="AZ1621" s="10"/>
      <c r="BA1621" s="10"/>
      <c r="BB1621" s="10"/>
      <c r="BC1621" s="10"/>
      <c r="BD1621" s="10"/>
      <c r="BE1621" s="10"/>
      <c r="BF1621" s="10"/>
      <c r="BG1621" s="10"/>
      <c r="BH1621" s="10"/>
      <c r="BI1621" s="10"/>
      <c r="BJ1621" s="10"/>
      <c r="BK1621" s="10"/>
      <c r="BM1621" s="10"/>
    </row>
    <row r="1622" spans="1:65" ht="12.75">
      <c r="A1622" s="9"/>
      <c r="B1622" s="10"/>
      <c r="C1622" s="11"/>
      <c r="D1622" s="12"/>
      <c r="E1622" s="10"/>
      <c r="F1622" s="10"/>
      <c r="G1622" s="10"/>
      <c r="H1622" s="14"/>
      <c r="I1622" s="14"/>
      <c r="J1622" s="14"/>
      <c r="K1622" s="14"/>
      <c r="L1622" s="14"/>
      <c r="M1622" s="15"/>
      <c r="N1622" s="10"/>
      <c r="O1622" s="14"/>
      <c r="P1622" s="14"/>
      <c r="Q1622" s="14"/>
      <c r="R1622" s="14"/>
      <c r="S1622" s="14"/>
      <c r="T1622" s="14"/>
      <c r="U1622" s="14"/>
      <c r="V1622" s="14"/>
      <c r="W1622" s="14"/>
      <c r="X1622" s="14"/>
      <c r="Y1622" s="14"/>
      <c r="Z1622" s="14"/>
      <c r="AA1622" s="16" t="str">
        <f t="shared" ca="1" si="1631"/>
        <v>Johnson &amp; Johnson</v>
      </c>
      <c r="AB1622" s="16">
        <f t="shared" si="1631"/>
        <v>0</v>
      </c>
      <c r="AC1622" s="16">
        <f t="shared" si="1631"/>
        <v>0</v>
      </c>
      <c r="AD1622" s="16">
        <f t="shared" si="1631"/>
        <v>0</v>
      </c>
      <c r="AE1622" s="16">
        <f t="shared" si="1631"/>
        <v>0</v>
      </c>
      <c r="AF1622" s="16">
        <f t="shared" si="1631"/>
        <v>0</v>
      </c>
      <c r="AG1622" s="16">
        <f t="shared" si="1631"/>
        <v>0</v>
      </c>
      <c r="AH1622" s="16">
        <f t="shared" si="1631"/>
        <v>0</v>
      </c>
      <c r="AI1622" s="16">
        <f t="shared" si="1631"/>
        <v>0</v>
      </c>
      <c r="AJ1622" s="16">
        <f t="shared" si="1631"/>
        <v>0</v>
      </c>
      <c r="AK1622" s="16">
        <f t="shared" si="1631"/>
        <v>0</v>
      </c>
      <c r="AL1622" s="16">
        <f t="shared" si="1631"/>
        <v>0</v>
      </c>
      <c r="AM1622" s="16">
        <f t="shared" si="1631"/>
        <v>0</v>
      </c>
      <c r="AN1622" s="16">
        <f t="shared" si="1631"/>
        <v>0</v>
      </c>
      <c r="AO1622" s="16">
        <f t="shared" si="1631"/>
        <v>0</v>
      </c>
      <c r="AP1622" s="10"/>
      <c r="AQ1622" s="10"/>
      <c r="AR1622" s="10"/>
      <c r="AS1622" s="10" t="str">
        <f t="shared" ca="1" si="1624"/>
        <v>Johnson &amp; Johnson</v>
      </c>
      <c r="AT1622" s="10"/>
      <c r="AU1622" s="10"/>
      <c r="AV1622" s="10"/>
      <c r="AW1622" s="10"/>
      <c r="AX1622" s="10"/>
      <c r="AY1622" s="10"/>
      <c r="AZ1622" s="10"/>
      <c r="BA1622" s="10"/>
      <c r="BB1622" s="10"/>
      <c r="BC1622" s="10"/>
      <c r="BD1622" s="10"/>
      <c r="BE1622" s="10"/>
      <c r="BF1622" s="10"/>
      <c r="BG1622" s="10"/>
      <c r="BH1622" s="10"/>
      <c r="BI1622" s="10"/>
      <c r="BJ1622" s="10"/>
      <c r="BK1622" s="10"/>
      <c r="BM1622" s="10"/>
    </row>
    <row r="1623" spans="1:65" ht="12.75">
      <c r="A1623" s="9"/>
      <c r="B1623" s="10"/>
      <c r="C1623" s="11"/>
      <c r="D1623" s="12"/>
      <c r="E1623" s="10"/>
      <c r="F1623" s="10"/>
      <c r="G1623" s="10"/>
      <c r="H1623" s="14"/>
      <c r="I1623" s="14"/>
      <c r="J1623" s="14"/>
      <c r="K1623" s="14"/>
      <c r="L1623" s="14"/>
      <c r="M1623" s="15"/>
      <c r="N1623" s="10"/>
      <c r="O1623" s="14"/>
      <c r="P1623" s="14"/>
      <c r="Q1623" s="14"/>
      <c r="R1623" s="14"/>
      <c r="S1623" s="14"/>
      <c r="T1623" s="14"/>
      <c r="U1623" s="14"/>
      <c r="V1623" s="14"/>
      <c r="W1623" s="14"/>
      <c r="X1623" s="14"/>
      <c r="Y1623" s="14"/>
      <c r="Z1623" s="14"/>
      <c r="AA1623" s="16" t="str">
        <f t="shared" ca="1" si="1631"/>
        <v>Johnson &amp; Johnson</v>
      </c>
      <c r="AB1623" s="16">
        <f t="shared" si="1631"/>
        <v>0</v>
      </c>
      <c r="AC1623" s="16">
        <f t="shared" si="1631"/>
        <v>0</v>
      </c>
      <c r="AD1623" s="16">
        <f t="shared" si="1631"/>
        <v>0</v>
      </c>
      <c r="AE1623" s="16">
        <f t="shared" si="1631"/>
        <v>0</v>
      </c>
      <c r="AF1623" s="16">
        <f t="shared" si="1631"/>
        <v>0</v>
      </c>
      <c r="AG1623" s="16">
        <f t="shared" si="1631"/>
        <v>0</v>
      </c>
      <c r="AH1623" s="16">
        <f t="shared" si="1631"/>
        <v>0</v>
      </c>
      <c r="AI1623" s="16">
        <f t="shared" si="1631"/>
        <v>0</v>
      </c>
      <c r="AJ1623" s="16">
        <f t="shared" si="1631"/>
        <v>0</v>
      </c>
      <c r="AK1623" s="16">
        <f t="shared" si="1631"/>
        <v>0</v>
      </c>
      <c r="AL1623" s="16">
        <f t="shared" si="1631"/>
        <v>0</v>
      </c>
      <c r="AM1623" s="16">
        <f t="shared" si="1631"/>
        <v>0</v>
      </c>
      <c r="AN1623" s="16">
        <f t="shared" si="1631"/>
        <v>0</v>
      </c>
      <c r="AO1623" s="16">
        <f t="shared" si="1631"/>
        <v>0</v>
      </c>
      <c r="AP1623" s="10"/>
      <c r="AQ1623" s="10"/>
      <c r="AR1623" s="10"/>
      <c r="AS1623" s="10" t="str">
        <f t="shared" ca="1" si="1624"/>
        <v>Johnson &amp; Johnson</v>
      </c>
      <c r="AT1623" s="10"/>
      <c r="AU1623" s="10"/>
      <c r="AV1623" s="10"/>
      <c r="AW1623" s="10"/>
      <c r="AX1623" s="10"/>
      <c r="AY1623" s="10"/>
      <c r="AZ1623" s="10"/>
      <c r="BA1623" s="10"/>
      <c r="BB1623" s="10"/>
      <c r="BC1623" s="10"/>
      <c r="BD1623" s="10"/>
      <c r="BE1623" s="10"/>
      <c r="BF1623" s="10"/>
      <c r="BG1623" s="10"/>
      <c r="BH1623" s="10"/>
      <c r="BI1623" s="10"/>
      <c r="BJ1623" s="10"/>
      <c r="BK1623" s="10"/>
      <c r="BM1623" s="10"/>
    </row>
    <row r="1624" spans="1:65" ht="12.75">
      <c r="A1624" s="9"/>
      <c r="B1624" s="10"/>
      <c r="C1624" s="11"/>
      <c r="D1624" s="12"/>
      <c r="E1624" s="10"/>
      <c r="F1624" s="10"/>
      <c r="G1624" s="10"/>
      <c r="H1624" s="14"/>
      <c r="I1624" s="14"/>
      <c r="J1624" s="14"/>
      <c r="K1624" s="14"/>
      <c r="L1624" s="14"/>
      <c r="M1624" s="15"/>
      <c r="N1624" s="10"/>
      <c r="O1624" s="14"/>
      <c r="P1624" s="14"/>
      <c r="Q1624" s="14"/>
      <c r="R1624" s="14"/>
      <c r="S1624" s="14"/>
      <c r="T1624" s="14"/>
      <c r="U1624" s="14"/>
      <c r="V1624" s="14"/>
      <c r="W1624" s="14"/>
      <c r="X1624" s="14"/>
      <c r="Y1624" s="14"/>
      <c r="Z1624" s="14"/>
      <c r="AA1624" s="16" t="str">
        <f t="shared" ca="1" si="1631"/>
        <v>Johnson &amp; Johnson</v>
      </c>
      <c r="AB1624" s="16">
        <f t="shared" si="1631"/>
        <v>0</v>
      </c>
      <c r="AC1624" s="16">
        <f t="shared" si="1631"/>
        <v>0</v>
      </c>
      <c r="AD1624" s="16">
        <f t="shared" si="1631"/>
        <v>0</v>
      </c>
      <c r="AE1624" s="16">
        <f t="shared" si="1631"/>
        <v>0</v>
      </c>
      <c r="AF1624" s="16">
        <f t="shared" si="1631"/>
        <v>0</v>
      </c>
      <c r="AG1624" s="16">
        <f t="shared" si="1631"/>
        <v>0</v>
      </c>
      <c r="AH1624" s="16">
        <f t="shared" si="1631"/>
        <v>0</v>
      </c>
      <c r="AI1624" s="16">
        <f t="shared" si="1631"/>
        <v>0</v>
      </c>
      <c r="AJ1624" s="16">
        <f t="shared" si="1631"/>
        <v>0</v>
      </c>
      <c r="AK1624" s="16">
        <f t="shared" si="1631"/>
        <v>0</v>
      </c>
      <c r="AL1624" s="16">
        <f t="shared" si="1631"/>
        <v>0</v>
      </c>
      <c r="AM1624" s="16">
        <f t="shared" si="1631"/>
        <v>0</v>
      </c>
      <c r="AN1624" s="16">
        <f t="shared" si="1631"/>
        <v>0</v>
      </c>
      <c r="AO1624" s="16">
        <f t="shared" si="1631"/>
        <v>0</v>
      </c>
      <c r="AP1624" s="10"/>
      <c r="AQ1624" s="10"/>
      <c r="AR1624" s="10"/>
      <c r="AS1624" s="10" t="str">
        <f t="shared" ca="1" si="1624"/>
        <v>Johnson &amp; Johnson</v>
      </c>
      <c r="AT1624" s="10"/>
      <c r="AU1624" s="10"/>
      <c r="AV1624" s="10"/>
      <c r="AW1624" s="10"/>
      <c r="AX1624" s="10"/>
      <c r="AY1624" s="10"/>
      <c r="AZ1624" s="10"/>
      <c r="BA1624" s="10"/>
      <c r="BB1624" s="10"/>
      <c r="BC1624" s="10"/>
      <c r="BD1624" s="10"/>
      <c r="BE1624" s="10"/>
      <c r="BF1624" s="10"/>
      <c r="BG1624" s="10"/>
      <c r="BH1624" s="10"/>
      <c r="BI1624" s="10"/>
      <c r="BJ1624" s="10"/>
      <c r="BK1624" s="10"/>
      <c r="BM1624" s="10"/>
    </row>
    <row r="1625" spans="1:65" ht="12.75">
      <c r="A1625" s="9"/>
      <c r="B1625" s="10"/>
      <c r="C1625" s="11"/>
      <c r="D1625" s="12"/>
      <c r="E1625" s="10"/>
      <c r="F1625" s="10"/>
      <c r="G1625" s="10"/>
      <c r="H1625" s="14"/>
      <c r="I1625" s="14"/>
      <c r="J1625" s="14"/>
      <c r="K1625" s="14"/>
      <c r="L1625" s="14"/>
      <c r="M1625" s="15"/>
      <c r="N1625" s="10"/>
      <c r="O1625" s="14"/>
      <c r="P1625" s="14"/>
      <c r="Q1625" s="14"/>
      <c r="R1625" s="14"/>
      <c r="S1625" s="14"/>
      <c r="T1625" s="14"/>
      <c r="U1625" s="14"/>
      <c r="V1625" s="14"/>
      <c r="W1625" s="14"/>
      <c r="X1625" s="14"/>
      <c r="Y1625" s="14"/>
      <c r="Z1625" s="14"/>
      <c r="AA1625" s="16" t="str">
        <f t="shared" ref="AA1625:AO1640" ca="1" si="1632">AS1625</f>
        <v>Johnson &amp; Johnson</v>
      </c>
      <c r="AB1625" s="16">
        <f t="shared" si="1632"/>
        <v>0</v>
      </c>
      <c r="AC1625" s="16">
        <f t="shared" si="1632"/>
        <v>0</v>
      </c>
      <c r="AD1625" s="16">
        <f t="shared" si="1632"/>
        <v>0</v>
      </c>
      <c r="AE1625" s="16">
        <f t="shared" si="1632"/>
        <v>0</v>
      </c>
      <c r="AF1625" s="16">
        <f t="shared" si="1632"/>
        <v>0</v>
      </c>
      <c r="AG1625" s="16">
        <f t="shared" si="1632"/>
        <v>0</v>
      </c>
      <c r="AH1625" s="16">
        <f t="shared" si="1632"/>
        <v>0</v>
      </c>
      <c r="AI1625" s="16">
        <f t="shared" si="1632"/>
        <v>0</v>
      </c>
      <c r="AJ1625" s="16">
        <f t="shared" si="1632"/>
        <v>0</v>
      </c>
      <c r="AK1625" s="16">
        <f t="shared" si="1632"/>
        <v>0</v>
      </c>
      <c r="AL1625" s="16">
        <f t="shared" si="1632"/>
        <v>0</v>
      </c>
      <c r="AM1625" s="16">
        <f t="shared" si="1632"/>
        <v>0</v>
      </c>
      <c r="AN1625" s="16">
        <f t="shared" si="1632"/>
        <v>0</v>
      </c>
      <c r="AO1625" s="16">
        <f t="shared" si="1632"/>
        <v>0</v>
      </c>
      <c r="AP1625" s="10"/>
      <c r="AQ1625" s="10"/>
      <c r="AR1625" s="10"/>
      <c r="AS1625" s="10" t="str">
        <f t="shared" ca="1" si="1624"/>
        <v>Johnson &amp; Johnson</v>
      </c>
      <c r="AT1625" s="10"/>
      <c r="AU1625" s="10"/>
      <c r="AV1625" s="10"/>
      <c r="AW1625" s="10"/>
      <c r="AX1625" s="10"/>
      <c r="AY1625" s="10"/>
      <c r="AZ1625" s="10"/>
      <c r="BA1625" s="10"/>
      <c r="BB1625" s="10"/>
      <c r="BC1625" s="10"/>
      <c r="BD1625" s="10"/>
      <c r="BE1625" s="10"/>
      <c r="BF1625" s="10"/>
      <c r="BG1625" s="10"/>
      <c r="BH1625" s="10"/>
      <c r="BI1625" s="10"/>
      <c r="BJ1625" s="10"/>
      <c r="BK1625" s="10"/>
      <c r="BM1625" s="10"/>
    </row>
    <row r="1626" spans="1:65" ht="12.75">
      <c r="A1626" s="9"/>
      <c r="B1626" s="10"/>
      <c r="C1626" s="11"/>
      <c r="D1626" s="12"/>
      <c r="E1626" s="10"/>
      <c r="F1626" s="10"/>
      <c r="G1626" s="10"/>
      <c r="H1626" s="14"/>
      <c r="I1626" s="14"/>
      <c r="J1626" s="14"/>
      <c r="K1626" s="14"/>
      <c r="L1626" s="14"/>
      <c r="M1626" s="15"/>
      <c r="N1626" s="10"/>
      <c r="O1626" s="14"/>
      <c r="P1626" s="14"/>
      <c r="Q1626" s="14"/>
      <c r="R1626" s="14"/>
      <c r="S1626" s="14"/>
      <c r="T1626" s="14"/>
      <c r="U1626" s="14"/>
      <c r="V1626" s="14"/>
      <c r="W1626" s="14"/>
      <c r="X1626" s="14"/>
      <c r="Y1626" s="14"/>
      <c r="Z1626" s="14"/>
      <c r="AA1626" s="16" t="str">
        <f t="shared" ca="1" si="1632"/>
        <v>Johnson &amp; Johnson</v>
      </c>
      <c r="AB1626" s="16">
        <f t="shared" si="1632"/>
        <v>0</v>
      </c>
      <c r="AC1626" s="16">
        <f t="shared" si="1632"/>
        <v>0</v>
      </c>
      <c r="AD1626" s="16">
        <f t="shared" si="1632"/>
        <v>0</v>
      </c>
      <c r="AE1626" s="16">
        <f t="shared" si="1632"/>
        <v>0</v>
      </c>
      <c r="AF1626" s="16">
        <f t="shared" si="1632"/>
        <v>0</v>
      </c>
      <c r="AG1626" s="16">
        <f t="shared" si="1632"/>
        <v>0</v>
      </c>
      <c r="AH1626" s="16">
        <f t="shared" si="1632"/>
        <v>0</v>
      </c>
      <c r="AI1626" s="16">
        <f t="shared" si="1632"/>
        <v>0</v>
      </c>
      <c r="AJ1626" s="16">
        <f t="shared" si="1632"/>
        <v>0</v>
      </c>
      <c r="AK1626" s="16">
        <f t="shared" si="1632"/>
        <v>0</v>
      </c>
      <c r="AL1626" s="16">
        <f t="shared" si="1632"/>
        <v>0</v>
      </c>
      <c r="AM1626" s="16">
        <f t="shared" si="1632"/>
        <v>0</v>
      </c>
      <c r="AN1626" s="16">
        <f t="shared" si="1632"/>
        <v>0</v>
      </c>
      <c r="AO1626" s="16">
        <f t="shared" si="1632"/>
        <v>0</v>
      </c>
      <c r="AP1626" s="10"/>
      <c r="AQ1626" s="10"/>
      <c r="AR1626" s="10"/>
      <c r="AS1626" s="10" t="str">
        <f t="shared" ca="1" si="1624"/>
        <v>Johnson &amp; Johnson</v>
      </c>
      <c r="AT1626" s="10"/>
      <c r="AU1626" s="10"/>
      <c r="AV1626" s="10"/>
      <c r="AW1626" s="10"/>
      <c r="AX1626" s="10"/>
      <c r="AY1626" s="10"/>
      <c r="AZ1626" s="10"/>
      <c r="BA1626" s="10"/>
      <c r="BB1626" s="10"/>
      <c r="BC1626" s="10"/>
      <c r="BD1626" s="10"/>
      <c r="BE1626" s="10"/>
      <c r="BF1626" s="10"/>
      <c r="BG1626" s="10"/>
      <c r="BH1626" s="10"/>
      <c r="BI1626" s="10"/>
      <c r="BJ1626" s="10"/>
      <c r="BK1626" s="10"/>
      <c r="BM1626" s="10"/>
    </row>
    <row r="1627" spans="1:65" ht="12.75">
      <c r="A1627" s="9"/>
      <c r="B1627" s="10"/>
      <c r="C1627" s="11"/>
      <c r="D1627" s="12"/>
      <c r="E1627" s="10"/>
      <c r="F1627" s="10"/>
      <c r="G1627" s="10"/>
      <c r="H1627" s="14"/>
      <c r="I1627" s="14"/>
      <c r="J1627" s="14"/>
      <c r="K1627" s="14"/>
      <c r="L1627" s="14"/>
      <c r="M1627" s="15"/>
      <c r="N1627" s="10"/>
      <c r="O1627" s="14"/>
      <c r="P1627" s="14"/>
      <c r="Q1627" s="14"/>
      <c r="R1627" s="14"/>
      <c r="S1627" s="14"/>
      <c r="T1627" s="14"/>
      <c r="U1627" s="14"/>
      <c r="V1627" s="14"/>
      <c r="W1627" s="14"/>
      <c r="X1627" s="14"/>
      <c r="Y1627" s="14"/>
      <c r="Z1627" s="14"/>
      <c r="AA1627" s="16" t="str">
        <f t="shared" ca="1" si="1632"/>
        <v>Johnson &amp; Johnson</v>
      </c>
      <c r="AB1627" s="16">
        <f t="shared" si="1632"/>
        <v>0</v>
      </c>
      <c r="AC1627" s="16">
        <f t="shared" si="1632"/>
        <v>0</v>
      </c>
      <c r="AD1627" s="16">
        <f t="shared" si="1632"/>
        <v>0</v>
      </c>
      <c r="AE1627" s="16">
        <f t="shared" si="1632"/>
        <v>0</v>
      </c>
      <c r="AF1627" s="16">
        <f t="shared" si="1632"/>
        <v>0</v>
      </c>
      <c r="AG1627" s="16">
        <f t="shared" si="1632"/>
        <v>0</v>
      </c>
      <c r="AH1627" s="16">
        <f t="shared" si="1632"/>
        <v>0</v>
      </c>
      <c r="AI1627" s="16">
        <f t="shared" si="1632"/>
        <v>0</v>
      </c>
      <c r="AJ1627" s="16">
        <f t="shared" si="1632"/>
        <v>0</v>
      </c>
      <c r="AK1627" s="16">
        <f t="shared" si="1632"/>
        <v>0</v>
      </c>
      <c r="AL1627" s="16">
        <f t="shared" si="1632"/>
        <v>0</v>
      </c>
      <c r="AM1627" s="16">
        <f t="shared" si="1632"/>
        <v>0</v>
      </c>
      <c r="AN1627" s="16">
        <f t="shared" si="1632"/>
        <v>0</v>
      </c>
      <c r="AO1627" s="16">
        <f t="shared" si="1632"/>
        <v>0</v>
      </c>
      <c r="AP1627" s="10"/>
      <c r="AQ1627" s="10"/>
      <c r="AR1627" s="10"/>
      <c r="AS1627" s="10" t="str">
        <f t="shared" ca="1" si="1624"/>
        <v>Johnson &amp; Johnson</v>
      </c>
      <c r="AT1627" s="10"/>
      <c r="AU1627" s="10"/>
      <c r="AV1627" s="10"/>
      <c r="AW1627" s="10"/>
      <c r="AX1627" s="10"/>
      <c r="AY1627" s="10"/>
      <c r="AZ1627" s="10"/>
      <c r="BA1627" s="10"/>
      <c r="BB1627" s="10"/>
      <c r="BC1627" s="10"/>
      <c r="BD1627" s="10"/>
      <c r="BE1627" s="10"/>
      <c r="BF1627" s="10"/>
      <c r="BG1627" s="10"/>
      <c r="BH1627" s="10"/>
      <c r="BI1627" s="10"/>
      <c r="BJ1627" s="10"/>
      <c r="BK1627" s="10"/>
      <c r="BM1627" s="10"/>
    </row>
    <row r="1628" spans="1:65" ht="12.75">
      <c r="A1628" s="9"/>
      <c r="B1628" s="10"/>
      <c r="C1628" s="11"/>
      <c r="D1628" s="12"/>
      <c r="E1628" s="10"/>
      <c r="F1628" s="10"/>
      <c r="G1628" s="10"/>
      <c r="H1628" s="14"/>
      <c r="I1628" s="14"/>
      <c r="J1628" s="14"/>
      <c r="K1628" s="14"/>
      <c r="L1628" s="14"/>
      <c r="M1628" s="15"/>
      <c r="N1628" s="10"/>
      <c r="O1628" s="14"/>
      <c r="P1628" s="14"/>
      <c r="Q1628" s="14"/>
      <c r="R1628" s="14"/>
      <c r="S1628" s="14"/>
      <c r="T1628" s="14"/>
      <c r="U1628" s="14"/>
      <c r="V1628" s="14"/>
      <c r="W1628" s="14"/>
      <c r="X1628" s="14"/>
      <c r="Y1628" s="14"/>
      <c r="Z1628" s="14"/>
      <c r="AA1628" s="16" t="str">
        <f t="shared" ca="1" si="1632"/>
        <v>Johnson &amp; Johnson</v>
      </c>
      <c r="AB1628" s="16">
        <f t="shared" si="1632"/>
        <v>0</v>
      </c>
      <c r="AC1628" s="16">
        <f t="shared" si="1632"/>
        <v>0</v>
      </c>
      <c r="AD1628" s="16">
        <f t="shared" si="1632"/>
        <v>0</v>
      </c>
      <c r="AE1628" s="16">
        <f t="shared" si="1632"/>
        <v>0</v>
      </c>
      <c r="AF1628" s="16">
        <f t="shared" si="1632"/>
        <v>0</v>
      </c>
      <c r="AG1628" s="16">
        <f t="shared" si="1632"/>
        <v>0</v>
      </c>
      <c r="AH1628" s="16">
        <f t="shared" si="1632"/>
        <v>0</v>
      </c>
      <c r="AI1628" s="16">
        <f t="shared" si="1632"/>
        <v>0</v>
      </c>
      <c r="AJ1628" s="16">
        <f t="shared" si="1632"/>
        <v>0</v>
      </c>
      <c r="AK1628" s="16">
        <f t="shared" si="1632"/>
        <v>0</v>
      </c>
      <c r="AL1628" s="16">
        <f t="shared" si="1632"/>
        <v>0</v>
      </c>
      <c r="AM1628" s="16">
        <f t="shared" si="1632"/>
        <v>0</v>
      </c>
      <c r="AN1628" s="16">
        <f t="shared" si="1632"/>
        <v>0</v>
      </c>
      <c r="AO1628" s="16">
        <f t="shared" si="1632"/>
        <v>0</v>
      </c>
      <c r="AP1628" s="10"/>
      <c r="AQ1628" s="10"/>
      <c r="AR1628" s="10"/>
      <c r="AS1628" s="10" t="str">
        <f t="shared" ca="1" si="1624"/>
        <v>Johnson &amp; Johnson</v>
      </c>
      <c r="AT1628" s="10"/>
      <c r="AU1628" s="10"/>
      <c r="AV1628" s="10"/>
      <c r="AW1628" s="10"/>
      <c r="AX1628" s="10"/>
      <c r="AY1628" s="10"/>
      <c r="AZ1628" s="10"/>
      <c r="BA1628" s="10"/>
      <c r="BB1628" s="10"/>
      <c r="BC1628" s="10"/>
      <c r="BD1628" s="10"/>
      <c r="BE1628" s="10"/>
      <c r="BF1628" s="10"/>
      <c r="BG1628" s="10"/>
      <c r="BH1628" s="10"/>
      <c r="BI1628" s="10"/>
      <c r="BJ1628" s="10"/>
      <c r="BK1628" s="10"/>
      <c r="BM1628" s="10"/>
    </row>
    <row r="1629" spans="1:65" ht="12.75">
      <c r="A1629" s="9"/>
      <c r="B1629" s="10"/>
      <c r="C1629" s="11"/>
      <c r="D1629" s="12"/>
      <c r="E1629" s="10"/>
      <c r="F1629" s="10"/>
      <c r="G1629" s="10"/>
      <c r="H1629" s="14"/>
      <c r="I1629" s="14"/>
      <c r="J1629" s="14"/>
      <c r="K1629" s="14"/>
      <c r="L1629" s="14"/>
      <c r="M1629" s="15"/>
      <c r="N1629" s="10"/>
      <c r="O1629" s="14"/>
      <c r="P1629" s="14"/>
      <c r="Q1629" s="14"/>
      <c r="R1629" s="14"/>
      <c r="S1629" s="14"/>
      <c r="T1629" s="14"/>
      <c r="U1629" s="14"/>
      <c r="V1629" s="14"/>
      <c r="W1629" s="14"/>
      <c r="X1629" s="14"/>
      <c r="Y1629" s="14"/>
      <c r="Z1629" s="14"/>
      <c r="AA1629" s="16" t="str">
        <f t="shared" ca="1" si="1632"/>
        <v>Johnson &amp; Johnson</v>
      </c>
      <c r="AB1629" s="16">
        <f t="shared" si="1632"/>
        <v>0</v>
      </c>
      <c r="AC1629" s="16">
        <f t="shared" si="1632"/>
        <v>0</v>
      </c>
      <c r="AD1629" s="16">
        <f t="shared" si="1632"/>
        <v>0</v>
      </c>
      <c r="AE1629" s="16">
        <f t="shared" si="1632"/>
        <v>0</v>
      </c>
      <c r="AF1629" s="16">
        <f t="shared" si="1632"/>
        <v>0</v>
      </c>
      <c r="AG1629" s="16">
        <f t="shared" si="1632"/>
        <v>0</v>
      </c>
      <c r="AH1629" s="16">
        <f t="shared" si="1632"/>
        <v>0</v>
      </c>
      <c r="AI1629" s="16">
        <f t="shared" si="1632"/>
        <v>0</v>
      </c>
      <c r="AJ1629" s="16">
        <f t="shared" si="1632"/>
        <v>0</v>
      </c>
      <c r="AK1629" s="16">
        <f t="shared" si="1632"/>
        <v>0</v>
      </c>
      <c r="AL1629" s="16">
        <f t="shared" si="1632"/>
        <v>0</v>
      </c>
      <c r="AM1629" s="16">
        <f t="shared" si="1632"/>
        <v>0</v>
      </c>
      <c r="AN1629" s="16">
        <f t="shared" si="1632"/>
        <v>0</v>
      </c>
      <c r="AO1629" s="16">
        <f t="shared" si="1632"/>
        <v>0</v>
      </c>
      <c r="AP1629" s="10"/>
      <c r="AQ1629" s="10"/>
      <c r="AR1629" s="10"/>
      <c r="AS1629" s="10" t="str">
        <f t="shared" ca="1" si="1624"/>
        <v>Johnson &amp; Johnson</v>
      </c>
      <c r="AT1629" s="10"/>
      <c r="AU1629" s="10"/>
      <c r="AV1629" s="10"/>
      <c r="AW1629" s="10"/>
      <c r="AX1629" s="10"/>
      <c r="AY1629" s="10"/>
      <c r="AZ1629" s="10"/>
      <c r="BA1629" s="10"/>
      <c r="BB1629" s="10"/>
      <c r="BC1629" s="10"/>
      <c r="BD1629" s="10"/>
      <c r="BE1629" s="10"/>
      <c r="BF1629" s="10"/>
      <c r="BG1629" s="10"/>
      <c r="BH1629" s="10"/>
      <c r="BI1629" s="10"/>
      <c r="BJ1629" s="10"/>
      <c r="BK1629" s="10"/>
      <c r="BM1629" s="10"/>
    </row>
    <row r="1630" spans="1:65" ht="12.75">
      <c r="A1630" s="9"/>
      <c r="B1630" s="10"/>
      <c r="C1630" s="11"/>
      <c r="D1630" s="12"/>
      <c r="E1630" s="10"/>
      <c r="F1630" s="10"/>
      <c r="G1630" s="10"/>
      <c r="H1630" s="14"/>
      <c r="I1630" s="14"/>
      <c r="J1630" s="14"/>
      <c r="K1630" s="14"/>
      <c r="L1630" s="14"/>
      <c r="M1630" s="15"/>
      <c r="N1630" s="10"/>
      <c r="O1630" s="14"/>
      <c r="P1630" s="14"/>
      <c r="Q1630" s="14"/>
      <c r="R1630" s="14"/>
      <c r="S1630" s="14"/>
      <c r="T1630" s="14"/>
      <c r="U1630" s="14"/>
      <c r="V1630" s="14"/>
      <c r="W1630" s="14"/>
      <c r="X1630" s="14"/>
      <c r="Y1630" s="14"/>
      <c r="Z1630" s="14"/>
      <c r="AA1630" s="16" t="str">
        <f t="shared" ca="1" si="1632"/>
        <v>Johnson &amp; Johnson</v>
      </c>
      <c r="AB1630" s="16">
        <f t="shared" si="1632"/>
        <v>0</v>
      </c>
      <c r="AC1630" s="16">
        <f t="shared" si="1632"/>
        <v>0</v>
      </c>
      <c r="AD1630" s="16">
        <f t="shared" si="1632"/>
        <v>0</v>
      </c>
      <c r="AE1630" s="16">
        <f t="shared" si="1632"/>
        <v>0</v>
      </c>
      <c r="AF1630" s="16">
        <f t="shared" si="1632"/>
        <v>0</v>
      </c>
      <c r="AG1630" s="16">
        <f t="shared" si="1632"/>
        <v>0</v>
      </c>
      <c r="AH1630" s="16">
        <f t="shared" si="1632"/>
        <v>0</v>
      </c>
      <c r="AI1630" s="16">
        <f t="shared" si="1632"/>
        <v>0</v>
      </c>
      <c r="AJ1630" s="16">
        <f t="shared" si="1632"/>
        <v>0</v>
      </c>
      <c r="AK1630" s="16">
        <f t="shared" si="1632"/>
        <v>0</v>
      </c>
      <c r="AL1630" s="16">
        <f t="shared" si="1632"/>
        <v>0</v>
      </c>
      <c r="AM1630" s="16">
        <f t="shared" si="1632"/>
        <v>0</v>
      </c>
      <c r="AN1630" s="16">
        <f t="shared" si="1632"/>
        <v>0</v>
      </c>
      <c r="AO1630" s="16">
        <f t="shared" si="1632"/>
        <v>0</v>
      </c>
      <c r="AP1630" s="10"/>
      <c r="AQ1630" s="10"/>
      <c r="AR1630" s="10"/>
      <c r="AS1630" s="10" t="str">
        <f t="shared" ca="1" si="1624"/>
        <v>Johnson &amp; Johnson</v>
      </c>
      <c r="AT1630" s="10"/>
      <c r="AU1630" s="10"/>
      <c r="AV1630" s="10"/>
      <c r="AW1630" s="10"/>
      <c r="AX1630" s="10"/>
      <c r="AY1630" s="10"/>
      <c r="AZ1630" s="10"/>
      <c r="BA1630" s="10"/>
      <c r="BB1630" s="10"/>
      <c r="BC1630" s="10"/>
      <c r="BD1630" s="10"/>
      <c r="BE1630" s="10"/>
      <c r="BF1630" s="10"/>
      <c r="BG1630" s="10"/>
      <c r="BH1630" s="10"/>
      <c r="BI1630" s="10"/>
      <c r="BJ1630" s="10"/>
      <c r="BK1630" s="10"/>
      <c r="BM1630" s="10"/>
    </row>
    <row r="1631" spans="1:65" ht="12.75">
      <c r="A1631" s="9"/>
      <c r="B1631" s="10"/>
      <c r="C1631" s="11"/>
      <c r="D1631" s="12"/>
      <c r="E1631" s="10"/>
      <c r="F1631" s="10"/>
      <c r="G1631" s="10"/>
      <c r="H1631" s="14"/>
      <c r="I1631" s="14"/>
      <c r="J1631" s="14"/>
      <c r="K1631" s="14"/>
      <c r="L1631" s="14"/>
      <c r="M1631" s="15"/>
      <c r="N1631" s="10"/>
      <c r="O1631" s="14"/>
      <c r="P1631" s="14"/>
      <c r="Q1631" s="14"/>
      <c r="R1631" s="14"/>
      <c r="S1631" s="14"/>
      <c r="T1631" s="14"/>
      <c r="U1631" s="14"/>
      <c r="V1631" s="14"/>
      <c r="W1631" s="14"/>
      <c r="X1631" s="14"/>
      <c r="Y1631" s="14"/>
      <c r="Z1631" s="14"/>
      <c r="AA1631" s="16" t="str">
        <f t="shared" ca="1" si="1632"/>
        <v>Johnson &amp; Johnson</v>
      </c>
      <c r="AB1631" s="16">
        <f t="shared" si="1632"/>
        <v>0</v>
      </c>
      <c r="AC1631" s="16">
        <f t="shared" si="1632"/>
        <v>0</v>
      </c>
      <c r="AD1631" s="16">
        <f t="shared" si="1632"/>
        <v>0</v>
      </c>
      <c r="AE1631" s="16">
        <f t="shared" si="1632"/>
        <v>0</v>
      </c>
      <c r="AF1631" s="16">
        <f t="shared" si="1632"/>
        <v>0</v>
      </c>
      <c r="AG1631" s="16">
        <f t="shared" si="1632"/>
        <v>0</v>
      </c>
      <c r="AH1631" s="16">
        <f t="shared" si="1632"/>
        <v>0</v>
      </c>
      <c r="AI1631" s="16">
        <f t="shared" si="1632"/>
        <v>0</v>
      </c>
      <c r="AJ1631" s="16">
        <f t="shared" si="1632"/>
        <v>0</v>
      </c>
      <c r="AK1631" s="16">
        <f t="shared" si="1632"/>
        <v>0</v>
      </c>
      <c r="AL1631" s="16">
        <f t="shared" si="1632"/>
        <v>0</v>
      </c>
      <c r="AM1631" s="16">
        <f t="shared" si="1632"/>
        <v>0</v>
      </c>
      <c r="AN1631" s="16">
        <f t="shared" si="1632"/>
        <v>0</v>
      </c>
      <c r="AO1631" s="16">
        <f t="shared" si="1632"/>
        <v>0</v>
      </c>
      <c r="AP1631" s="10"/>
      <c r="AQ1631" s="10"/>
      <c r="AR1631" s="10"/>
      <c r="AS1631" s="10" t="str">
        <f t="shared" ca="1" si="1624"/>
        <v>Johnson &amp; Johnson</v>
      </c>
      <c r="AT1631" s="10"/>
      <c r="AU1631" s="10"/>
      <c r="AV1631" s="10"/>
      <c r="AW1631" s="10"/>
      <c r="AX1631" s="10"/>
      <c r="AY1631" s="10"/>
      <c r="AZ1631" s="10"/>
      <c r="BA1631" s="10"/>
      <c r="BB1631" s="10"/>
      <c r="BC1631" s="10"/>
      <c r="BD1631" s="10"/>
      <c r="BE1631" s="10"/>
      <c r="BF1631" s="10"/>
      <c r="BG1631" s="10"/>
      <c r="BH1631" s="10"/>
      <c r="BI1631" s="10"/>
      <c r="BJ1631" s="10"/>
      <c r="BK1631" s="10"/>
      <c r="BM1631" s="10"/>
    </row>
    <row r="1632" spans="1:65" ht="12.75">
      <c r="A1632" s="9"/>
      <c r="B1632" s="10"/>
      <c r="C1632" s="11"/>
      <c r="D1632" s="12"/>
      <c r="E1632" s="10"/>
      <c r="F1632" s="10"/>
      <c r="G1632" s="10"/>
      <c r="H1632" s="14"/>
      <c r="I1632" s="14"/>
      <c r="J1632" s="14"/>
      <c r="K1632" s="14"/>
      <c r="L1632" s="14"/>
      <c r="M1632" s="15"/>
      <c r="N1632" s="10"/>
      <c r="O1632" s="14"/>
      <c r="P1632" s="14"/>
      <c r="Q1632" s="14"/>
      <c r="R1632" s="14"/>
      <c r="S1632" s="14"/>
      <c r="T1632" s="14"/>
      <c r="U1632" s="14"/>
      <c r="V1632" s="14"/>
      <c r="W1632" s="14"/>
      <c r="X1632" s="14"/>
      <c r="Y1632" s="14"/>
      <c r="Z1632" s="14"/>
      <c r="AA1632" s="16" t="str">
        <f t="shared" ca="1" si="1632"/>
        <v>Johnson &amp; Johnson</v>
      </c>
      <c r="AB1632" s="16">
        <f t="shared" si="1632"/>
        <v>0</v>
      </c>
      <c r="AC1632" s="16">
        <f t="shared" si="1632"/>
        <v>0</v>
      </c>
      <c r="AD1632" s="16">
        <f t="shared" si="1632"/>
        <v>0</v>
      </c>
      <c r="AE1632" s="16">
        <f t="shared" si="1632"/>
        <v>0</v>
      </c>
      <c r="AF1632" s="16">
        <f t="shared" si="1632"/>
        <v>0</v>
      </c>
      <c r="AG1632" s="16">
        <f t="shared" si="1632"/>
        <v>0</v>
      </c>
      <c r="AH1632" s="16">
        <f t="shared" si="1632"/>
        <v>0</v>
      </c>
      <c r="AI1632" s="16">
        <f t="shared" si="1632"/>
        <v>0</v>
      </c>
      <c r="AJ1632" s="16">
        <f t="shared" si="1632"/>
        <v>0</v>
      </c>
      <c r="AK1632" s="16">
        <f t="shared" si="1632"/>
        <v>0</v>
      </c>
      <c r="AL1632" s="16">
        <f t="shared" si="1632"/>
        <v>0</v>
      </c>
      <c r="AM1632" s="16">
        <f t="shared" si="1632"/>
        <v>0</v>
      </c>
      <c r="AN1632" s="16">
        <f t="shared" si="1632"/>
        <v>0</v>
      </c>
      <c r="AO1632" s="16">
        <f t="shared" si="1632"/>
        <v>0</v>
      </c>
      <c r="AP1632" s="10"/>
      <c r="AQ1632" s="10"/>
      <c r="AR1632" s="10"/>
      <c r="AS1632" s="10" t="str">
        <f t="shared" ca="1" si="1624"/>
        <v>Johnson &amp; Johnson</v>
      </c>
      <c r="AT1632" s="10"/>
      <c r="AU1632" s="10"/>
      <c r="AV1632" s="10"/>
      <c r="AW1632" s="10"/>
      <c r="AX1632" s="10"/>
      <c r="AY1632" s="10"/>
      <c r="AZ1632" s="10"/>
      <c r="BA1632" s="10"/>
      <c r="BB1632" s="10"/>
      <c r="BC1632" s="10"/>
      <c r="BD1632" s="10"/>
      <c r="BE1632" s="10"/>
      <c r="BF1632" s="10"/>
      <c r="BG1632" s="10"/>
      <c r="BH1632" s="10"/>
      <c r="BI1632" s="10"/>
      <c r="BJ1632" s="10"/>
      <c r="BK1632" s="10"/>
      <c r="BM1632" s="10"/>
    </row>
    <row r="1633" spans="1:65" ht="12.75">
      <c r="A1633" s="9"/>
      <c r="B1633" s="10"/>
      <c r="C1633" s="11"/>
      <c r="D1633" s="12"/>
      <c r="E1633" s="10"/>
      <c r="F1633" s="10"/>
      <c r="G1633" s="10"/>
      <c r="H1633" s="14"/>
      <c r="I1633" s="14"/>
      <c r="J1633" s="14"/>
      <c r="K1633" s="14"/>
      <c r="L1633" s="14"/>
      <c r="M1633" s="15"/>
      <c r="N1633" s="10"/>
      <c r="O1633" s="14"/>
      <c r="P1633" s="14"/>
      <c r="Q1633" s="14"/>
      <c r="R1633" s="14"/>
      <c r="S1633" s="14"/>
      <c r="T1633" s="14"/>
      <c r="U1633" s="14"/>
      <c r="V1633" s="14"/>
      <c r="W1633" s="14"/>
      <c r="X1633" s="14"/>
      <c r="Y1633" s="14"/>
      <c r="Z1633" s="14"/>
      <c r="AA1633" s="16" t="str">
        <f t="shared" ca="1" si="1632"/>
        <v>Johnson &amp; Johnson</v>
      </c>
      <c r="AB1633" s="16">
        <f t="shared" si="1632"/>
        <v>0</v>
      </c>
      <c r="AC1633" s="16">
        <f t="shared" si="1632"/>
        <v>0</v>
      </c>
      <c r="AD1633" s="16">
        <f t="shared" si="1632"/>
        <v>0</v>
      </c>
      <c r="AE1633" s="16">
        <f t="shared" si="1632"/>
        <v>0</v>
      </c>
      <c r="AF1633" s="16">
        <f t="shared" si="1632"/>
        <v>0</v>
      </c>
      <c r="AG1633" s="16">
        <f t="shared" si="1632"/>
        <v>0</v>
      </c>
      <c r="AH1633" s="16">
        <f t="shared" si="1632"/>
        <v>0</v>
      </c>
      <c r="AI1633" s="16">
        <f t="shared" si="1632"/>
        <v>0</v>
      </c>
      <c r="AJ1633" s="16">
        <f t="shared" si="1632"/>
        <v>0</v>
      </c>
      <c r="AK1633" s="16">
        <f t="shared" si="1632"/>
        <v>0</v>
      </c>
      <c r="AL1633" s="16">
        <f t="shared" si="1632"/>
        <v>0</v>
      </c>
      <c r="AM1633" s="16">
        <f t="shared" si="1632"/>
        <v>0</v>
      </c>
      <c r="AN1633" s="16">
        <f t="shared" si="1632"/>
        <v>0</v>
      </c>
      <c r="AO1633" s="16">
        <f t="shared" si="1632"/>
        <v>0</v>
      </c>
      <c r="AP1633" s="10"/>
      <c r="AQ1633" s="10"/>
      <c r="AR1633" s="10"/>
      <c r="AS1633" s="10" t="str">
        <f t="shared" ca="1" si="1624"/>
        <v>Johnson &amp; Johnson</v>
      </c>
      <c r="AT1633" s="10"/>
      <c r="AU1633" s="10"/>
      <c r="AV1633" s="10"/>
      <c r="AW1633" s="10"/>
      <c r="AX1633" s="10"/>
      <c r="AY1633" s="10"/>
      <c r="AZ1633" s="10"/>
      <c r="BA1633" s="10"/>
      <c r="BB1633" s="10"/>
      <c r="BC1633" s="10"/>
      <c r="BD1633" s="10"/>
      <c r="BE1633" s="10"/>
      <c r="BF1633" s="10"/>
      <c r="BG1633" s="10"/>
      <c r="BH1633" s="10"/>
      <c r="BI1633" s="10"/>
      <c r="BJ1633" s="10"/>
      <c r="BK1633" s="10"/>
      <c r="BM1633" s="10"/>
    </row>
    <row r="1634" spans="1:65" ht="12.75">
      <c r="A1634" s="9"/>
      <c r="B1634" s="10"/>
      <c r="C1634" s="11"/>
      <c r="D1634" s="12"/>
      <c r="E1634" s="10"/>
      <c r="F1634" s="10"/>
      <c r="G1634" s="10"/>
      <c r="H1634" s="14"/>
      <c r="I1634" s="14"/>
      <c r="J1634" s="14"/>
      <c r="K1634" s="14"/>
      <c r="L1634" s="14"/>
      <c r="M1634" s="15"/>
      <c r="N1634" s="10"/>
      <c r="O1634" s="14"/>
      <c r="P1634" s="14"/>
      <c r="Q1634" s="14"/>
      <c r="R1634" s="14"/>
      <c r="S1634" s="14"/>
      <c r="T1634" s="14"/>
      <c r="U1634" s="14"/>
      <c r="V1634" s="14"/>
      <c r="W1634" s="14"/>
      <c r="X1634" s="14"/>
      <c r="Y1634" s="14"/>
      <c r="Z1634" s="14"/>
      <c r="AA1634" s="16" t="str">
        <f t="shared" ca="1" si="1632"/>
        <v>Johnson &amp; Johnson</v>
      </c>
      <c r="AB1634" s="16">
        <f t="shared" si="1632"/>
        <v>0</v>
      </c>
      <c r="AC1634" s="16">
        <f t="shared" si="1632"/>
        <v>0</v>
      </c>
      <c r="AD1634" s="16">
        <f t="shared" si="1632"/>
        <v>0</v>
      </c>
      <c r="AE1634" s="16">
        <f t="shared" si="1632"/>
        <v>0</v>
      </c>
      <c r="AF1634" s="16">
        <f t="shared" si="1632"/>
        <v>0</v>
      </c>
      <c r="AG1634" s="16">
        <f t="shared" si="1632"/>
        <v>0</v>
      </c>
      <c r="AH1634" s="16">
        <f t="shared" si="1632"/>
        <v>0</v>
      </c>
      <c r="AI1634" s="16">
        <f t="shared" si="1632"/>
        <v>0</v>
      </c>
      <c r="AJ1634" s="16">
        <f t="shared" si="1632"/>
        <v>0</v>
      </c>
      <c r="AK1634" s="16">
        <f t="shared" si="1632"/>
        <v>0</v>
      </c>
      <c r="AL1634" s="16">
        <f t="shared" si="1632"/>
        <v>0</v>
      </c>
      <c r="AM1634" s="16">
        <f t="shared" si="1632"/>
        <v>0</v>
      </c>
      <c r="AN1634" s="16">
        <f t="shared" si="1632"/>
        <v>0</v>
      </c>
      <c r="AO1634" s="16">
        <f t="shared" si="1632"/>
        <v>0</v>
      </c>
      <c r="AP1634" s="10"/>
      <c r="AQ1634" s="10"/>
      <c r="AR1634" s="10"/>
      <c r="AS1634" s="10" t="str">
        <f t="shared" ca="1" si="1624"/>
        <v>Johnson &amp; Johnson</v>
      </c>
      <c r="AT1634" s="10"/>
      <c r="AU1634" s="10"/>
      <c r="AV1634" s="10"/>
      <c r="AW1634" s="10"/>
      <c r="AX1634" s="10"/>
      <c r="AY1634" s="10"/>
      <c r="AZ1634" s="10"/>
      <c r="BA1634" s="10"/>
      <c r="BB1634" s="10"/>
      <c r="BC1634" s="10"/>
      <c r="BD1634" s="10"/>
      <c r="BE1634" s="10"/>
      <c r="BF1634" s="10"/>
      <c r="BG1634" s="10"/>
      <c r="BH1634" s="10"/>
      <c r="BI1634" s="10"/>
      <c r="BJ1634" s="10"/>
      <c r="BK1634" s="10"/>
      <c r="BM1634" s="10"/>
    </row>
    <row r="1635" spans="1:65" ht="12.75">
      <c r="A1635" s="9"/>
      <c r="B1635" s="10"/>
      <c r="C1635" s="11"/>
      <c r="D1635" s="12"/>
      <c r="E1635" s="10"/>
      <c r="F1635" s="10"/>
      <c r="G1635" s="10"/>
      <c r="H1635" s="14"/>
      <c r="I1635" s="14"/>
      <c r="J1635" s="14"/>
      <c r="K1635" s="14"/>
      <c r="L1635" s="14"/>
      <c r="M1635" s="15"/>
      <c r="N1635" s="10"/>
      <c r="O1635" s="14"/>
      <c r="P1635" s="14"/>
      <c r="Q1635" s="14"/>
      <c r="R1635" s="14"/>
      <c r="S1635" s="14"/>
      <c r="T1635" s="14"/>
      <c r="U1635" s="14"/>
      <c r="V1635" s="14"/>
      <c r="W1635" s="14"/>
      <c r="X1635" s="14"/>
      <c r="Y1635" s="14"/>
      <c r="Z1635" s="14"/>
      <c r="AA1635" s="16" t="str">
        <f t="shared" ca="1" si="1632"/>
        <v>Johnson &amp; Johnson</v>
      </c>
      <c r="AB1635" s="16">
        <f t="shared" si="1632"/>
        <v>0</v>
      </c>
      <c r="AC1635" s="16">
        <f t="shared" si="1632"/>
        <v>0</v>
      </c>
      <c r="AD1635" s="16">
        <f t="shared" si="1632"/>
        <v>0</v>
      </c>
      <c r="AE1635" s="16">
        <f t="shared" si="1632"/>
        <v>0</v>
      </c>
      <c r="AF1635" s="16">
        <f t="shared" si="1632"/>
        <v>0</v>
      </c>
      <c r="AG1635" s="16">
        <f t="shared" si="1632"/>
        <v>0</v>
      </c>
      <c r="AH1635" s="16">
        <f t="shared" si="1632"/>
        <v>0</v>
      </c>
      <c r="AI1635" s="16">
        <f t="shared" si="1632"/>
        <v>0</v>
      </c>
      <c r="AJ1635" s="16">
        <f t="shared" si="1632"/>
        <v>0</v>
      </c>
      <c r="AK1635" s="16">
        <f t="shared" si="1632"/>
        <v>0</v>
      </c>
      <c r="AL1635" s="16">
        <f t="shared" si="1632"/>
        <v>0</v>
      </c>
      <c r="AM1635" s="16">
        <f t="shared" si="1632"/>
        <v>0</v>
      </c>
      <c r="AN1635" s="16">
        <f t="shared" si="1632"/>
        <v>0</v>
      </c>
      <c r="AO1635" s="16">
        <f t="shared" si="1632"/>
        <v>0</v>
      </c>
      <c r="AP1635" s="10"/>
      <c r="AQ1635" s="10"/>
      <c r="AR1635" s="10"/>
      <c r="AS1635" s="10" t="str">
        <f t="shared" ca="1" si="1624"/>
        <v>Johnson &amp; Johnson</v>
      </c>
      <c r="AT1635" s="10"/>
      <c r="AU1635" s="10"/>
      <c r="AV1635" s="10"/>
      <c r="AW1635" s="10"/>
      <c r="AX1635" s="10"/>
      <c r="AY1635" s="10"/>
      <c r="AZ1635" s="10"/>
      <c r="BA1635" s="10"/>
      <c r="BB1635" s="10"/>
      <c r="BC1635" s="10"/>
      <c r="BD1635" s="10"/>
      <c r="BE1635" s="10"/>
      <c r="BF1635" s="10"/>
      <c r="BG1635" s="10"/>
      <c r="BH1635" s="10"/>
      <c r="BI1635" s="10"/>
      <c r="BJ1635" s="10"/>
      <c r="BK1635" s="10"/>
      <c r="BM1635" s="10"/>
    </row>
    <row r="1636" spans="1:65" ht="12.75">
      <c r="A1636" s="9"/>
      <c r="B1636" s="10"/>
      <c r="C1636" s="11"/>
      <c r="D1636" s="12"/>
      <c r="E1636" s="10"/>
      <c r="F1636" s="10"/>
      <c r="G1636" s="10"/>
      <c r="H1636" s="14"/>
      <c r="I1636" s="14"/>
      <c r="J1636" s="14"/>
      <c r="K1636" s="14"/>
      <c r="L1636" s="14"/>
      <c r="M1636" s="15"/>
      <c r="N1636" s="10"/>
      <c r="O1636" s="14"/>
      <c r="P1636" s="14"/>
      <c r="Q1636" s="14"/>
      <c r="R1636" s="14"/>
      <c r="S1636" s="14"/>
      <c r="T1636" s="14"/>
      <c r="U1636" s="14"/>
      <c r="V1636" s="14"/>
      <c r="W1636" s="14"/>
      <c r="X1636" s="14"/>
      <c r="Y1636" s="14"/>
      <c r="Z1636" s="14"/>
      <c r="AA1636" s="16" t="str">
        <f t="shared" ca="1" si="1632"/>
        <v>Johnson &amp; Johnson</v>
      </c>
      <c r="AB1636" s="16">
        <f t="shared" si="1632"/>
        <v>0</v>
      </c>
      <c r="AC1636" s="16">
        <f t="shared" si="1632"/>
        <v>0</v>
      </c>
      <c r="AD1636" s="16">
        <f t="shared" si="1632"/>
        <v>0</v>
      </c>
      <c r="AE1636" s="16">
        <f t="shared" si="1632"/>
        <v>0</v>
      </c>
      <c r="AF1636" s="16">
        <f t="shared" si="1632"/>
        <v>0</v>
      </c>
      <c r="AG1636" s="16">
        <f t="shared" si="1632"/>
        <v>0</v>
      </c>
      <c r="AH1636" s="16">
        <f t="shared" si="1632"/>
        <v>0</v>
      </c>
      <c r="AI1636" s="16">
        <f t="shared" si="1632"/>
        <v>0</v>
      </c>
      <c r="AJ1636" s="16">
        <f t="shared" si="1632"/>
        <v>0</v>
      </c>
      <c r="AK1636" s="16">
        <f t="shared" si="1632"/>
        <v>0</v>
      </c>
      <c r="AL1636" s="16">
        <f t="shared" si="1632"/>
        <v>0</v>
      </c>
      <c r="AM1636" s="16">
        <f t="shared" si="1632"/>
        <v>0</v>
      </c>
      <c r="AN1636" s="16">
        <f t="shared" si="1632"/>
        <v>0</v>
      </c>
      <c r="AO1636" s="16">
        <f t="shared" si="1632"/>
        <v>0</v>
      </c>
      <c r="AP1636" s="10"/>
      <c r="AQ1636" s="10"/>
      <c r="AR1636" s="10"/>
      <c r="AS1636" s="10" t="str">
        <f t="shared" ca="1" si="1624"/>
        <v>Johnson &amp; Johnson</v>
      </c>
      <c r="AT1636" s="10"/>
      <c r="AU1636" s="10"/>
      <c r="AV1636" s="10"/>
      <c r="AW1636" s="10"/>
      <c r="AX1636" s="10"/>
      <c r="AY1636" s="10"/>
      <c r="AZ1636" s="10"/>
      <c r="BA1636" s="10"/>
      <c r="BB1636" s="10"/>
      <c r="BC1636" s="10"/>
      <c r="BD1636" s="10"/>
      <c r="BE1636" s="10"/>
      <c r="BF1636" s="10"/>
      <c r="BG1636" s="10"/>
      <c r="BH1636" s="10"/>
      <c r="BI1636" s="10"/>
      <c r="BJ1636" s="10"/>
      <c r="BK1636" s="10"/>
      <c r="BM1636" s="10"/>
    </row>
    <row r="1637" spans="1:65" ht="12.75">
      <c r="A1637" s="9"/>
      <c r="B1637" s="10"/>
      <c r="C1637" s="11"/>
      <c r="D1637" s="12"/>
      <c r="E1637" s="10"/>
      <c r="F1637" s="10"/>
      <c r="G1637" s="10"/>
      <c r="H1637" s="14"/>
      <c r="I1637" s="14"/>
      <c r="J1637" s="14"/>
      <c r="K1637" s="14"/>
      <c r="L1637" s="14"/>
      <c r="M1637" s="15"/>
      <c r="N1637" s="10"/>
      <c r="O1637" s="14"/>
      <c r="P1637" s="14"/>
      <c r="Q1637" s="14"/>
      <c r="R1637" s="14"/>
      <c r="S1637" s="14"/>
      <c r="T1637" s="14"/>
      <c r="U1637" s="14"/>
      <c r="V1637" s="14"/>
      <c r="W1637" s="14"/>
      <c r="X1637" s="14"/>
      <c r="Y1637" s="14"/>
      <c r="Z1637" s="14"/>
      <c r="AA1637" s="16" t="str">
        <f t="shared" ca="1" si="1632"/>
        <v>Johnson &amp; Johnson</v>
      </c>
      <c r="AB1637" s="16">
        <f t="shared" si="1632"/>
        <v>0</v>
      </c>
      <c r="AC1637" s="16">
        <f t="shared" si="1632"/>
        <v>0</v>
      </c>
      <c r="AD1637" s="16">
        <f t="shared" si="1632"/>
        <v>0</v>
      </c>
      <c r="AE1637" s="16">
        <f t="shared" si="1632"/>
        <v>0</v>
      </c>
      <c r="AF1637" s="16">
        <f t="shared" si="1632"/>
        <v>0</v>
      </c>
      <c r="AG1637" s="16">
        <f t="shared" si="1632"/>
        <v>0</v>
      </c>
      <c r="AH1637" s="16">
        <f t="shared" si="1632"/>
        <v>0</v>
      </c>
      <c r="AI1637" s="16">
        <f t="shared" si="1632"/>
        <v>0</v>
      </c>
      <c r="AJ1637" s="16">
        <f t="shared" si="1632"/>
        <v>0</v>
      </c>
      <c r="AK1637" s="16">
        <f t="shared" si="1632"/>
        <v>0</v>
      </c>
      <c r="AL1637" s="16">
        <f t="shared" si="1632"/>
        <v>0</v>
      </c>
      <c r="AM1637" s="16">
        <f t="shared" si="1632"/>
        <v>0</v>
      </c>
      <c r="AN1637" s="16">
        <f t="shared" si="1632"/>
        <v>0</v>
      </c>
      <c r="AO1637" s="16">
        <f t="shared" si="1632"/>
        <v>0</v>
      </c>
      <c r="AP1637" s="10"/>
      <c r="AQ1637" s="10"/>
      <c r="AR1637" s="10"/>
      <c r="AS1637" s="10" t="str">
        <f t="shared" ca="1" si="1624"/>
        <v>Johnson &amp; Johnson</v>
      </c>
      <c r="AT1637" s="10"/>
      <c r="AU1637" s="10"/>
      <c r="AV1637" s="10"/>
      <c r="AW1637" s="10"/>
      <c r="AX1637" s="10"/>
      <c r="AY1637" s="10"/>
      <c r="AZ1637" s="10"/>
      <c r="BA1637" s="10"/>
      <c r="BB1637" s="10"/>
      <c r="BC1637" s="10"/>
      <c r="BD1637" s="10"/>
      <c r="BE1637" s="10"/>
      <c r="BF1637" s="10"/>
      <c r="BG1637" s="10"/>
      <c r="BH1637" s="10"/>
      <c r="BI1637" s="10"/>
      <c r="BJ1637" s="10"/>
      <c r="BK1637" s="10"/>
      <c r="BM1637" s="10"/>
    </row>
    <row r="1638" spans="1:65" ht="12.75">
      <c r="A1638" s="9"/>
      <c r="B1638" s="10"/>
      <c r="C1638" s="11"/>
      <c r="D1638" s="12"/>
      <c r="E1638" s="10"/>
      <c r="F1638" s="10"/>
      <c r="G1638" s="10"/>
      <c r="H1638" s="14"/>
      <c r="I1638" s="14"/>
      <c r="J1638" s="14"/>
      <c r="K1638" s="14"/>
      <c r="L1638" s="14"/>
      <c r="M1638" s="15"/>
      <c r="N1638" s="10"/>
      <c r="O1638" s="14"/>
      <c r="P1638" s="14"/>
      <c r="Q1638" s="14"/>
      <c r="R1638" s="14"/>
      <c r="S1638" s="14"/>
      <c r="T1638" s="14"/>
      <c r="U1638" s="14"/>
      <c r="V1638" s="14"/>
      <c r="W1638" s="14"/>
      <c r="X1638" s="14"/>
      <c r="Y1638" s="14"/>
      <c r="Z1638" s="14"/>
      <c r="AA1638" s="16" t="str">
        <f t="shared" ca="1" si="1632"/>
        <v>Johnson &amp; Johnson</v>
      </c>
      <c r="AB1638" s="16">
        <f t="shared" si="1632"/>
        <v>0</v>
      </c>
      <c r="AC1638" s="16">
        <f t="shared" si="1632"/>
        <v>0</v>
      </c>
      <c r="AD1638" s="16">
        <f t="shared" si="1632"/>
        <v>0</v>
      </c>
      <c r="AE1638" s="16">
        <f t="shared" si="1632"/>
        <v>0</v>
      </c>
      <c r="AF1638" s="16">
        <f t="shared" si="1632"/>
        <v>0</v>
      </c>
      <c r="AG1638" s="16">
        <f t="shared" si="1632"/>
        <v>0</v>
      </c>
      <c r="AH1638" s="16">
        <f t="shared" si="1632"/>
        <v>0</v>
      </c>
      <c r="AI1638" s="16">
        <f t="shared" si="1632"/>
        <v>0</v>
      </c>
      <c r="AJ1638" s="16">
        <f t="shared" si="1632"/>
        <v>0</v>
      </c>
      <c r="AK1638" s="16">
        <f t="shared" si="1632"/>
        <v>0</v>
      </c>
      <c r="AL1638" s="16">
        <f t="shared" si="1632"/>
        <v>0</v>
      </c>
      <c r="AM1638" s="16">
        <f t="shared" si="1632"/>
        <v>0</v>
      </c>
      <c r="AN1638" s="16">
        <f t="shared" si="1632"/>
        <v>0</v>
      </c>
      <c r="AO1638" s="16">
        <f t="shared" si="1632"/>
        <v>0</v>
      </c>
      <c r="AP1638" s="10"/>
      <c r="AQ1638" s="10"/>
      <c r="AR1638" s="10"/>
      <c r="AS1638" s="10" t="str">
        <f t="shared" ca="1" si="1624"/>
        <v>Johnson &amp; Johnson</v>
      </c>
      <c r="AT1638" s="10"/>
      <c r="AU1638" s="10"/>
      <c r="AV1638" s="10"/>
      <c r="AW1638" s="10"/>
      <c r="AX1638" s="10"/>
      <c r="AY1638" s="10"/>
      <c r="AZ1638" s="10"/>
      <c r="BA1638" s="10"/>
      <c r="BB1638" s="10"/>
      <c r="BC1638" s="10"/>
      <c r="BD1638" s="10"/>
      <c r="BE1638" s="10"/>
      <c r="BF1638" s="10"/>
      <c r="BG1638" s="10"/>
      <c r="BH1638" s="10"/>
      <c r="BI1638" s="10"/>
      <c r="BJ1638" s="10"/>
      <c r="BK1638" s="10"/>
      <c r="BM1638" s="10"/>
    </row>
    <row r="1639" spans="1:65" ht="12.75">
      <c r="A1639" s="9"/>
      <c r="B1639" s="10"/>
      <c r="C1639" s="11"/>
      <c r="D1639" s="12"/>
      <c r="E1639" s="10"/>
      <c r="F1639" s="10"/>
      <c r="G1639" s="10"/>
      <c r="H1639" s="14"/>
      <c r="I1639" s="14"/>
      <c r="J1639" s="14"/>
      <c r="K1639" s="14"/>
      <c r="L1639" s="14"/>
      <c r="M1639" s="15"/>
      <c r="N1639" s="10"/>
      <c r="O1639" s="14"/>
      <c r="P1639" s="14"/>
      <c r="Q1639" s="14"/>
      <c r="R1639" s="14"/>
      <c r="S1639" s="14"/>
      <c r="T1639" s="14"/>
      <c r="U1639" s="14"/>
      <c r="V1639" s="14"/>
      <c r="W1639" s="14"/>
      <c r="X1639" s="14"/>
      <c r="Y1639" s="14"/>
      <c r="Z1639" s="14"/>
      <c r="AA1639" s="16" t="str">
        <f t="shared" ca="1" si="1632"/>
        <v>Johnson &amp; Johnson</v>
      </c>
      <c r="AB1639" s="16">
        <f t="shared" si="1632"/>
        <v>0</v>
      </c>
      <c r="AC1639" s="16">
        <f t="shared" si="1632"/>
        <v>0</v>
      </c>
      <c r="AD1639" s="16">
        <f t="shared" si="1632"/>
        <v>0</v>
      </c>
      <c r="AE1639" s="16">
        <f t="shared" si="1632"/>
        <v>0</v>
      </c>
      <c r="AF1639" s="16">
        <f t="shared" si="1632"/>
        <v>0</v>
      </c>
      <c r="AG1639" s="16">
        <f t="shared" si="1632"/>
        <v>0</v>
      </c>
      <c r="AH1639" s="16">
        <f t="shared" si="1632"/>
        <v>0</v>
      </c>
      <c r="AI1639" s="16">
        <f t="shared" si="1632"/>
        <v>0</v>
      </c>
      <c r="AJ1639" s="16">
        <f t="shared" si="1632"/>
        <v>0</v>
      </c>
      <c r="AK1639" s="16">
        <f t="shared" si="1632"/>
        <v>0</v>
      </c>
      <c r="AL1639" s="16">
        <f t="shared" si="1632"/>
        <v>0</v>
      </c>
      <c r="AM1639" s="16">
        <f t="shared" si="1632"/>
        <v>0</v>
      </c>
      <c r="AN1639" s="16">
        <f t="shared" si="1632"/>
        <v>0</v>
      </c>
      <c r="AO1639" s="16">
        <f t="shared" si="1632"/>
        <v>0</v>
      </c>
      <c r="AP1639" s="10"/>
      <c r="AQ1639" s="10"/>
      <c r="AR1639" s="10"/>
      <c r="AS1639" s="10" t="str">
        <f t="shared" ca="1" si="1624"/>
        <v>Johnson &amp; Johnson</v>
      </c>
      <c r="AT1639" s="10"/>
      <c r="AU1639" s="10"/>
      <c r="AV1639" s="10"/>
      <c r="AW1639" s="10"/>
      <c r="AX1639" s="10"/>
      <c r="AY1639" s="10"/>
      <c r="AZ1639" s="10"/>
      <c r="BA1639" s="10"/>
      <c r="BB1639" s="10"/>
      <c r="BC1639" s="10"/>
      <c r="BD1639" s="10"/>
      <c r="BE1639" s="10"/>
      <c r="BF1639" s="10"/>
      <c r="BG1639" s="10"/>
      <c r="BH1639" s="10"/>
      <c r="BI1639" s="10"/>
      <c r="BJ1639" s="10"/>
      <c r="BK1639" s="10"/>
      <c r="BM1639" s="10"/>
    </row>
    <row r="1640" spans="1:65" ht="12.75">
      <c r="A1640" s="9"/>
      <c r="B1640" s="10"/>
      <c r="C1640" s="11"/>
      <c r="D1640" s="12"/>
      <c r="E1640" s="10"/>
      <c r="F1640" s="10"/>
      <c r="G1640" s="10"/>
      <c r="H1640" s="14"/>
      <c r="I1640" s="14"/>
      <c r="J1640" s="14"/>
      <c r="K1640" s="14"/>
      <c r="L1640" s="14"/>
      <c r="M1640" s="15"/>
      <c r="N1640" s="10"/>
      <c r="O1640" s="14"/>
      <c r="P1640" s="14"/>
      <c r="Q1640" s="14"/>
      <c r="R1640" s="14"/>
      <c r="S1640" s="14"/>
      <c r="T1640" s="14"/>
      <c r="U1640" s="14"/>
      <c r="V1640" s="14"/>
      <c r="W1640" s="14"/>
      <c r="X1640" s="14"/>
      <c r="Y1640" s="14"/>
      <c r="Z1640" s="14"/>
      <c r="AA1640" s="16" t="str">
        <f t="shared" ca="1" si="1632"/>
        <v>Johnson &amp; Johnson</v>
      </c>
      <c r="AB1640" s="16">
        <f t="shared" si="1632"/>
        <v>0</v>
      </c>
      <c r="AC1640" s="16">
        <f t="shared" si="1632"/>
        <v>0</v>
      </c>
      <c r="AD1640" s="16">
        <f t="shared" si="1632"/>
        <v>0</v>
      </c>
      <c r="AE1640" s="16">
        <f t="shared" si="1632"/>
        <v>0</v>
      </c>
      <c r="AF1640" s="16">
        <f t="shared" si="1632"/>
        <v>0</v>
      </c>
      <c r="AG1640" s="16">
        <f t="shared" si="1632"/>
        <v>0</v>
      </c>
      <c r="AH1640" s="16">
        <f t="shared" si="1632"/>
        <v>0</v>
      </c>
      <c r="AI1640" s="16">
        <f t="shared" si="1632"/>
        <v>0</v>
      </c>
      <c r="AJ1640" s="16">
        <f t="shared" si="1632"/>
        <v>0</v>
      </c>
      <c r="AK1640" s="16">
        <f t="shared" si="1632"/>
        <v>0</v>
      </c>
      <c r="AL1640" s="16">
        <f t="shared" si="1632"/>
        <v>0</v>
      </c>
      <c r="AM1640" s="16">
        <f t="shared" si="1632"/>
        <v>0</v>
      </c>
      <c r="AN1640" s="16">
        <f t="shared" si="1632"/>
        <v>0</v>
      </c>
      <c r="AO1640" s="16">
        <f t="shared" si="1632"/>
        <v>0</v>
      </c>
      <c r="AP1640" s="10"/>
      <c r="AQ1640" s="10"/>
      <c r="AR1640" s="10"/>
      <c r="AS1640" s="10" t="str">
        <f t="shared" ca="1" si="1624"/>
        <v>Johnson &amp; Johnson</v>
      </c>
      <c r="AT1640" s="10"/>
      <c r="AU1640" s="10"/>
      <c r="AV1640" s="10"/>
      <c r="AW1640" s="10"/>
      <c r="AX1640" s="10"/>
      <c r="AY1640" s="10"/>
      <c r="AZ1640" s="10"/>
      <c r="BA1640" s="10"/>
      <c r="BB1640" s="10"/>
      <c r="BC1640" s="10"/>
      <c r="BD1640" s="10"/>
      <c r="BE1640" s="10"/>
      <c r="BF1640" s="10"/>
      <c r="BG1640" s="10"/>
      <c r="BH1640" s="10"/>
      <c r="BI1640" s="10"/>
      <c r="BJ1640" s="10"/>
      <c r="BK1640" s="10"/>
      <c r="BM1640" s="10"/>
    </row>
    <row r="1641" spans="1:65" ht="12.75">
      <c r="A1641" s="9"/>
      <c r="B1641" s="10"/>
      <c r="C1641" s="11"/>
      <c r="D1641" s="12"/>
      <c r="E1641" s="10"/>
      <c r="F1641" s="10"/>
      <c r="G1641" s="10"/>
      <c r="H1641" s="14"/>
      <c r="I1641" s="14"/>
      <c r="J1641" s="14"/>
      <c r="K1641" s="14"/>
      <c r="L1641" s="14"/>
      <c r="M1641" s="15"/>
      <c r="N1641" s="10"/>
      <c r="O1641" s="14"/>
      <c r="P1641" s="14"/>
      <c r="Q1641" s="14"/>
      <c r="R1641" s="14"/>
      <c r="S1641" s="14"/>
      <c r="T1641" s="14"/>
      <c r="U1641" s="14"/>
      <c r="V1641" s="14"/>
      <c r="W1641" s="14"/>
      <c r="X1641" s="14"/>
      <c r="Y1641" s="14"/>
      <c r="Z1641" s="14"/>
      <c r="AA1641" s="16" t="str">
        <f t="shared" ref="AA1641:AO1656" ca="1" si="1633">AS1641</f>
        <v>Johnson &amp; Johnson</v>
      </c>
      <c r="AB1641" s="16">
        <f t="shared" si="1633"/>
        <v>0</v>
      </c>
      <c r="AC1641" s="16">
        <f t="shared" si="1633"/>
        <v>0</v>
      </c>
      <c r="AD1641" s="16">
        <f t="shared" si="1633"/>
        <v>0</v>
      </c>
      <c r="AE1641" s="16">
        <f t="shared" si="1633"/>
        <v>0</v>
      </c>
      <c r="AF1641" s="16">
        <f t="shared" si="1633"/>
        <v>0</v>
      </c>
      <c r="AG1641" s="16">
        <f t="shared" si="1633"/>
        <v>0</v>
      </c>
      <c r="AH1641" s="16">
        <f t="shared" si="1633"/>
        <v>0</v>
      </c>
      <c r="AI1641" s="16">
        <f t="shared" si="1633"/>
        <v>0</v>
      </c>
      <c r="AJ1641" s="16">
        <f t="shared" si="1633"/>
        <v>0</v>
      </c>
      <c r="AK1641" s="16">
        <f t="shared" si="1633"/>
        <v>0</v>
      </c>
      <c r="AL1641" s="16">
        <f t="shared" si="1633"/>
        <v>0</v>
      </c>
      <c r="AM1641" s="16">
        <f t="shared" si="1633"/>
        <v>0</v>
      </c>
      <c r="AN1641" s="16">
        <f t="shared" si="1633"/>
        <v>0</v>
      </c>
      <c r="AO1641" s="16">
        <f t="shared" si="1633"/>
        <v>0</v>
      </c>
      <c r="AP1641" s="10"/>
      <c r="AQ1641" s="10"/>
      <c r="AR1641" s="10"/>
      <c r="AS1641" s="10" t="str">
        <f t="shared" ca="1" si="1624"/>
        <v>Johnson &amp; Johnson</v>
      </c>
      <c r="AT1641" s="10"/>
      <c r="AU1641" s="10"/>
      <c r="AV1641" s="10"/>
      <c r="AW1641" s="10"/>
      <c r="AX1641" s="10"/>
      <c r="AY1641" s="10"/>
      <c r="AZ1641" s="10"/>
      <c r="BA1641" s="10"/>
      <c r="BB1641" s="10"/>
      <c r="BC1641" s="10"/>
      <c r="BD1641" s="10"/>
      <c r="BE1641" s="10"/>
      <c r="BF1641" s="10"/>
      <c r="BG1641" s="10"/>
      <c r="BH1641" s="10"/>
      <c r="BI1641" s="10"/>
      <c r="BJ1641" s="10"/>
      <c r="BK1641" s="10"/>
      <c r="BM1641" s="10"/>
    </row>
    <row r="1642" spans="1:65" ht="12.75">
      <c r="A1642" s="9"/>
      <c r="B1642" s="10"/>
      <c r="C1642" s="11"/>
      <c r="D1642" s="12"/>
      <c r="E1642" s="10"/>
      <c r="F1642" s="10"/>
      <c r="G1642" s="10"/>
      <c r="H1642" s="14"/>
      <c r="I1642" s="14"/>
      <c r="J1642" s="14"/>
      <c r="K1642" s="14"/>
      <c r="L1642" s="14"/>
      <c r="M1642" s="15"/>
      <c r="N1642" s="10"/>
      <c r="O1642" s="14"/>
      <c r="P1642" s="14"/>
      <c r="Q1642" s="14"/>
      <c r="R1642" s="14"/>
      <c r="S1642" s="14"/>
      <c r="T1642" s="14"/>
      <c r="U1642" s="14"/>
      <c r="V1642" s="14"/>
      <c r="W1642" s="14"/>
      <c r="X1642" s="14"/>
      <c r="Y1642" s="14"/>
      <c r="Z1642" s="14"/>
      <c r="AA1642" s="16" t="str">
        <f t="shared" ca="1" si="1633"/>
        <v>Johnson &amp; Johnson</v>
      </c>
      <c r="AB1642" s="16">
        <f t="shared" si="1633"/>
        <v>0</v>
      </c>
      <c r="AC1642" s="16">
        <f t="shared" si="1633"/>
        <v>0</v>
      </c>
      <c r="AD1642" s="16">
        <f t="shared" si="1633"/>
        <v>0</v>
      </c>
      <c r="AE1642" s="16">
        <f t="shared" si="1633"/>
        <v>0</v>
      </c>
      <c r="AF1642" s="16">
        <f t="shared" si="1633"/>
        <v>0</v>
      </c>
      <c r="AG1642" s="16">
        <f t="shared" si="1633"/>
        <v>0</v>
      </c>
      <c r="AH1642" s="16">
        <f t="shared" si="1633"/>
        <v>0</v>
      </c>
      <c r="AI1642" s="16">
        <f t="shared" si="1633"/>
        <v>0</v>
      </c>
      <c r="AJ1642" s="16">
        <f t="shared" si="1633"/>
        <v>0</v>
      </c>
      <c r="AK1642" s="16">
        <f t="shared" si="1633"/>
        <v>0</v>
      </c>
      <c r="AL1642" s="16">
        <f t="shared" si="1633"/>
        <v>0</v>
      </c>
      <c r="AM1642" s="16">
        <f t="shared" si="1633"/>
        <v>0</v>
      </c>
      <c r="AN1642" s="16">
        <f t="shared" si="1633"/>
        <v>0</v>
      </c>
      <c r="AO1642" s="16">
        <f t="shared" si="1633"/>
        <v>0</v>
      </c>
      <c r="AP1642" s="10"/>
      <c r="AQ1642" s="10"/>
      <c r="AR1642" s="10"/>
      <c r="AS1642" s="10" t="str">
        <f t="shared" ca="1" si="1624"/>
        <v>Johnson &amp; Johnson</v>
      </c>
      <c r="AT1642" s="10"/>
      <c r="AU1642" s="10"/>
      <c r="AV1642" s="10"/>
      <c r="AW1642" s="10"/>
      <c r="AX1642" s="10"/>
      <c r="AY1642" s="10"/>
      <c r="AZ1642" s="10"/>
      <c r="BA1642" s="10"/>
      <c r="BB1642" s="10"/>
      <c r="BC1642" s="10"/>
      <c r="BD1642" s="10"/>
      <c r="BE1642" s="10"/>
      <c r="BF1642" s="10"/>
      <c r="BG1642" s="10"/>
      <c r="BH1642" s="10"/>
      <c r="BI1642" s="10"/>
      <c r="BJ1642" s="10"/>
      <c r="BK1642" s="10"/>
      <c r="BM1642" s="10"/>
    </row>
    <row r="1643" spans="1:65" ht="12.75">
      <c r="A1643" s="9"/>
      <c r="B1643" s="10"/>
      <c r="C1643" s="11"/>
      <c r="D1643" s="12"/>
      <c r="E1643" s="10"/>
      <c r="F1643" s="10"/>
      <c r="G1643" s="10"/>
      <c r="H1643" s="14"/>
      <c r="I1643" s="14"/>
      <c r="J1643" s="14"/>
      <c r="K1643" s="14"/>
      <c r="L1643" s="14"/>
      <c r="M1643" s="15"/>
      <c r="N1643" s="10"/>
      <c r="O1643" s="14"/>
      <c r="P1643" s="14"/>
      <c r="Q1643" s="14"/>
      <c r="R1643" s="14"/>
      <c r="S1643" s="14"/>
      <c r="T1643" s="14"/>
      <c r="U1643" s="14"/>
      <c r="V1643" s="14"/>
      <c r="W1643" s="14"/>
      <c r="X1643" s="14"/>
      <c r="Y1643" s="14"/>
      <c r="Z1643" s="14"/>
      <c r="AA1643" s="16" t="str">
        <f t="shared" ca="1" si="1633"/>
        <v>Johnson &amp; Johnson</v>
      </c>
      <c r="AB1643" s="16">
        <f t="shared" si="1633"/>
        <v>0</v>
      </c>
      <c r="AC1643" s="16">
        <f t="shared" si="1633"/>
        <v>0</v>
      </c>
      <c r="AD1643" s="16">
        <f t="shared" si="1633"/>
        <v>0</v>
      </c>
      <c r="AE1643" s="16">
        <f t="shared" si="1633"/>
        <v>0</v>
      </c>
      <c r="AF1643" s="16">
        <f t="shared" si="1633"/>
        <v>0</v>
      </c>
      <c r="AG1643" s="16">
        <f t="shared" si="1633"/>
        <v>0</v>
      </c>
      <c r="AH1643" s="16">
        <f t="shared" si="1633"/>
        <v>0</v>
      </c>
      <c r="AI1643" s="16">
        <f t="shared" si="1633"/>
        <v>0</v>
      </c>
      <c r="AJ1643" s="16">
        <f t="shared" si="1633"/>
        <v>0</v>
      </c>
      <c r="AK1643" s="16">
        <f t="shared" si="1633"/>
        <v>0</v>
      </c>
      <c r="AL1643" s="16">
        <f t="shared" si="1633"/>
        <v>0</v>
      </c>
      <c r="AM1643" s="16">
        <f t="shared" si="1633"/>
        <v>0</v>
      </c>
      <c r="AN1643" s="16">
        <f t="shared" si="1633"/>
        <v>0</v>
      </c>
      <c r="AO1643" s="16">
        <f t="shared" si="1633"/>
        <v>0</v>
      </c>
      <c r="AP1643" s="10"/>
      <c r="AQ1643" s="10"/>
      <c r="AR1643" s="10"/>
      <c r="AS1643" s="10" t="str">
        <f t="shared" ca="1" si="1624"/>
        <v>Johnson &amp; Johnson</v>
      </c>
      <c r="AT1643" s="10"/>
      <c r="AU1643" s="10"/>
      <c r="AV1643" s="10"/>
      <c r="AW1643" s="10"/>
      <c r="AX1643" s="10"/>
      <c r="AY1643" s="10"/>
      <c r="AZ1643" s="10"/>
      <c r="BA1643" s="10"/>
      <c r="BB1643" s="10"/>
      <c r="BC1643" s="10"/>
      <c r="BD1643" s="10"/>
      <c r="BE1643" s="10"/>
      <c r="BF1643" s="10"/>
      <c r="BG1643" s="10"/>
      <c r="BH1643" s="10"/>
      <c r="BI1643" s="10"/>
      <c r="BJ1643" s="10"/>
      <c r="BK1643" s="10"/>
      <c r="BM1643" s="10"/>
    </row>
    <row r="1644" spans="1:65" ht="12.75">
      <c r="A1644" s="9"/>
      <c r="B1644" s="10"/>
      <c r="C1644" s="11"/>
      <c r="D1644" s="12"/>
      <c r="E1644" s="10"/>
      <c r="F1644" s="10"/>
      <c r="G1644" s="10"/>
      <c r="H1644" s="14"/>
      <c r="I1644" s="14"/>
      <c r="J1644" s="14"/>
      <c r="K1644" s="14"/>
      <c r="L1644" s="14"/>
      <c r="M1644" s="15"/>
      <c r="N1644" s="10"/>
      <c r="O1644" s="14"/>
      <c r="P1644" s="14"/>
      <c r="Q1644" s="14"/>
      <c r="R1644" s="14"/>
      <c r="S1644" s="14"/>
      <c r="T1644" s="14"/>
      <c r="U1644" s="14"/>
      <c r="V1644" s="14"/>
      <c r="W1644" s="14"/>
      <c r="X1644" s="14"/>
      <c r="Y1644" s="14"/>
      <c r="Z1644" s="14"/>
      <c r="AA1644" s="16" t="str">
        <f t="shared" ca="1" si="1633"/>
        <v>Johnson &amp; Johnson</v>
      </c>
      <c r="AB1644" s="16">
        <f t="shared" si="1633"/>
        <v>0</v>
      </c>
      <c r="AC1644" s="16">
        <f t="shared" si="1633"/>
        <v>0</v>
      </c>
      <c r="AD1644" s="16">
        <f t="shared" si="1633"/>
        <v>0</v>
      </c>
      <c r="AE1644" s="16">
        <f t="shared" si="1633"/>
        <v>0</v>
      </c>
      <c r="AF1644" s="16">
        <f t="shared" si="1633"/>
        <v>0</v>
      </c>
      <c r="AG1644" s="16">
        <f t="shared" si="1633"/>
        <v>0</v>
      </c>
      <c r="AH1644" s="16">
        <f t="shared" si="1633"/>
        <v>0</v>
      </c>
      <c r="AI1644" s="16">
        <f t="shared" si="1633"/>
        <v>0</v>
      </c>
      <c r="AJ1644" s="16">
        <f t="shared" si="1633"/>
        <v>0</v>
      </c>
      <c r="AK1644" s="16">
        <f t="shared" si="1633"/>
        <v>0</v>
      </c>
      <c r="AL1644" s="16">
        <f t="shared" si="1633"/>
        <v>0</v>
      </c>
      <c r="AM1644" s="16">
        <f t="shared" si="1633"/>
        <v>0</v>
      </c>
      <c r="AN1644" s="16">
        <f t="shared" si="1633"/>
        <v>0</v>
      </c>
      <c r="AO1644" s="16">
        <f t="shared" si="1633"/>
        <v>0</v>
      </c>
      <c r="AP1644" s="10"/>
      <c r="AQ1644" s="10"/>
      <c r="AR1644" s="10"/>
      <c r="AS1644" s="10" t="str">
        <f t="shared" ca="1" si="1624"/>
        <v>Johnson &amp; Johnson</v>
      </c>
      <c r="AT1644" s="10"/>
      <c r="AU1644" s="10"/>
      <c r="AV1644" s="10"/>
      <c r="AW1644" s="10"/>
      <c r="AX1644" s="10"/>
      <c r="AY1644" s="10"/>
      <c r="AZ1644" s="10"/>
      <c r="BA1644" s="10"/>
      <c r="BB1644" s="10"/>
      <c r="BC1644" s="10"/>
      <c r="BD1644" s="10"/>
      <c r="BE1644" s="10"/>
      <c r="BF1644" s="10"/>
      <c r="BG1644" s="10"/>
      <c r="BH1644" s="10"/>
      <c r="BI1644" s="10"/>
      <c r="BJ1644" s="10"/>
      <c r="BK1644" s="10"/>
      <c r="BM1644" s="10"/>
    </row>
    <row r="1645" spans="1:65" ht="12.75">
      <c r="A1645" s="9"/>
      <c r="B1645" s="10"/>
      <c r="C1645" s="11"/>
      <c r="D1645" s="12"/>
      <c r="E1645" s="10"/>
      <c r="F1645" s="10"/>
      <c r="G1645" s="10"/>
      <c r="H1645" s="14"/>
      <c r="I1645" s="14"/>
      <c r="J1645" s="14"/>
      <c r="K1645" s="14"/>
      <c r="L1645" s="14"/>
      <c r="M1645" s="15"/>
      <c r="N1645" s="10"/>
      <c r="O1645" s="14"/>
      <c r="P1645" s="14"/>
      <c r="Q1645" s="14"/>
      <c r="R1645" s="14"/>
      <c r="S1645" s="14"/>
      <c r="T1645" s="14"/>
      <c r="U1645" s="14"/>
      <c r="V1645" s="14"/>
      <c r="W1645" s="14"/>
      <c r="X1645" s="14"/>
      <c r="Y1645" s="14"/>
      <c r="Z1645" s="14"/>
      <c r="AA1645" s="16" t="str">
        <f t="shared" ca="1" si="1633"/>
        <v>Johnson &amp; Johnson</v>
      </c>
      <c r="AB1645" s="16">
        <f t="shared" si="1633"/>
        <v>0</v>
      </c>
      <c r="AC1645" s="16">
        <f t="shared" si="1633"/>
        <v>0</v>
      </c>
      <c r="AD1645" s="16">
        <f t="shared" si="1633"/>
        <v>0</v>
      </c>
      <c r="AE1645" s="16">
        <f t="shared" si="1633"/>
        <v>0</v>
      </c>
      <c r="AF1645" s="16">
        <f t="shared" si="1633"/>
        <v>0</v>
      </c>
      <c r="AG1645" s="16">
        <f t="shared" si="1633"/>
        <v>0</v>
      </c>
      <c r="AH1645" s="16">
        <f t="shared" si="1633"/>
        <v>0</v>
      </c>
      <c r="AI1645" s="16">
        <f t="shared" si="1633"/>
        <v>0</v>
      </c>
      <c r="AJ1645" s="16">
        <f t="shared" si="1633"/>
        <v>0</v>
      </c>
      <c r="AK1645" s="16">
        <f t="shared" si="1633"/>
        <v>0</v>
      </c>
      <c r="AL1645" s="16">
        <f t="shared" si="1633"/>
        <v>0</v>
      </c>
      <c r="AM1645" s="16">
        <f t="shared" si="1633"/>
        <v>0</v>
      </c>
      <c r="AN1645" s="16">
        <f t="shared" si="1633"/>
        <v>0</v>
      </c>
      <c r="AO1645" s="16">
        <f t="shared" si="1633"/>
        <v>0</v>
      </c>
      <c r="AP1645" s="10"/>
      <c r="AQ1645" s="10"/>
      <c r="AR1645" s="10"/>
      <c r="AS1645" s="10" t="str">
        <f t="shared" ca="1" si="1624"/>
        <v>Johnson &amp; Johnson</v>
      </c>
      <c r="AT1645" s="10"/>
      <c r="AU1645" s="10"/>
      <c r="AV1645" s="10"/>
      <c r="AW1645" s="10"/>
      <c r="AX1645" s="10"/>
      <c r="AY1645" s="10"/>
      <c r="AZ1645" s="10"/>
      <c r="BA1645" s="10"/>
      <c r="BB1645" s="10"/>
      <c r="BC1645" s="10"/>
      <c r="BD1645" s="10"/>
      <c r="BE1645" s="10"/>
      <c r="BF1645" s="10"/>
      <c r="BG1645" s="10"/>
      <c r="BH1645" s="10"/>
      <c r="BI1645" s="10"/>
      <c r="BJ1645" s="10"/>
      <c r="BK1645" s="10"/>
      <c r="BM1645" s="10"/>
    </row>
    <row r="1646" spans="1:65" ht="12.75">
      <c r="A1646" s="9"/>
      <c r="B1646" s="10"/>
      <c r="C1646" s="11"/>
      <c r="D1646" s="12"/>
      <c r="E1646" s="10"/>
      <c r="F1646" s="10"/>
      <c r="G1646" s="10"/>
      <c r="H1646" s="14"/>
      <c r="I1646" s="14"/>
      <c r="J1646" s="14"/>
      <c r="K1646" s="14"/>
      <c r="L1646" s="14"/>
      <c r="M1646" s="15"/>
      <c r="N1646" s="10"/>
      <c r="O1646" s="14"/>
      <c r="P1646" s="14"/>
      <c r="Q1646" s="14"/>
      <c r="R1646" s="14"/>
      <c r="S1646" s="14"/>
      <c r="T1646" s="14"/>
      <c r="U1646" s="14"/>
      <c r="V1646" s="14"/>
      <c r="W1646" s="14"/>
      <c r="X1646" s="14"/>
      <c r="Y1646" s="14"/>
      <c r="Z1646" s="14"/>
      <c r="AA1646" s="16" t="str">
        <f t="shared" ca="1" si="1633"/>
        <v>Johnson &amp; Johnson</v>
      </c>
      <c r="AB1646" s="16">
        <f t="shared" si="1633"/>
        <v>0</v>
      </c>
      <c r="AC1646" s="16">
        <f t="shared" si="1633"/>
        <v>0</v>
      </c>
      <c r="AD1646" s="16">
        <f t="shared" si="1633"/>
        <v>0</v>
      </c>
      <c r="AE1646" s="16">
        <f t="shared" si="1633"/>
        <v>0</v>
      </c>
      <c r="AF1646" s="16">
        <f t="shared" si="1633"/>
        <v>0</v>
      </c>
      <c r="AG1646" s="16">
        <f t="shared" si="1633"/>
        <v>0</v>
      </c>
      <c r="AH1646" s="16">
        <f t="shared" si="1633"/>
        <v>0</v>
      </c>
      <c r="AI1646" s="16">
        <f t="shared" si="1633"/>
        <v>0</v>
      </c>
      <c r="AJ1646" s="16">
        <f t="shared" si="1633"/>
        <v>0</v>
      </c>
      <c r="AK1646" s="16">
        <f t="shared" si="1633"/>
        <v>0</v>
      </c>
      <c r="AL1646" s="16">
        <f t="shared" si="1633"/>
        <v>0</v>
      </c>
      <c r="AM1646" s="16">
        <f t="shared" si="1633"/>
        <v>0</v>
      </c>
      <c r="AN1646" s="16">
        <f t="shared" si="1633"/>
        <v>0</v>
      </c>
      <c r="AO1646" s="16">
        <f t="shared" si="1633"/>
        <v>0</v>
      </c>
      <c r="AP1646" s="10"/>
      <c r="AQ1646" s="10"/>
      <c r="AR1646" s="10"/>
      <c r="AS1646" s="10" t="str">
        <f t="shared" ca="1" si="1624"/>
        <v>Johnson &amp; Johnson</v>
      </c>
      <c r="AT1646" s="10"/>
      <c r="AU1646" s="10"/>
      <c r="AV1646" s="10"/>
      <c r="AW1646" s="10"/>
      <c r="AX1646" s="10"/>
      <c r="AY1646" s="10"/>
      <c r="AZ1646" s="10"/>
      <c r="BA1646" s="10"/>
      <c r="BB1646" s="10"/>
      <c r="BC1646" s="10"/>
      <c r="BD1646" s="10"/>
      <c r="BE1646" s="10"/>
      <c r="BF1646" s="10"/>
      <c r="BG1646" s="10"/>
      <c r="BH1646" s="10"/>
      <c r="BI1646" s="10"/>
      <c r="BJ1646" s="10"/>
      <c r="BK1646" s="10"/>
      <c r="BM1646" s="10"/>
    </row>
    <row r="1647" spans="1:65" ht="12.75">
      <c r="A1647" s="9"/>
      <c r="B1647" s="10"/>
      <c r="C1647" s="11"/>
      <c r="D1647" s="12"/>
      <c r="E1647" s="10"/>
      <c r="F1647" s="10"/>
      <c r="G1647" s="10"/>
      <c r="H1647" s="14"/>
      <c r="I1647" s="14"/>
      <c r="J1647" s="14"/>
      <c r="K1647" s="14"/>
      <c r="L1647" s="14"/>
      <c r="M1647" s="15"/>
      <c r="N1647" s="10"/>
      <c r="O1647" s="14"/>
      <c r="P1647" s="14"/>
      <c r="Q1647" s="14"/>
      <c r="R1647" s="14"/>
      <c r="S1647" s="14"/>
      <c r="T1647" s="14"/>
      <c r="U1647" s="14"/>
      <c r="V1647" s="14"/>
      <c r="W1647" s="14"/>
      <c r="X1647" s="14"/>
      <c r="Y1647" s="14"/>
      <c r="Z1647" s="14"/>
      <c r="AA1647" s="16" t="str">
        <f t="shared" ca="1" si="1633"/>
        <v>Johnson &amp; Johnson</v>
      </c>
      <c r="AB1647" s="16">
        <f t="shared" si="1633"/>
        <v>0</v>
      </c>
      <c r="AC1647" s="16">
        <f t="shared" si="1633"/>
        <v>0</v>
      </c>
      <c r="AD1647" s="16">
        <f t="shared" si="1633"/>
        <v>0</v>
      </c>
      <c r="AE1647" s="16">
        <f t="shared" si="1633"/>
        <v>0</v>
      </c>
      <c r="AF1647" s="16">
        <f t="shared" si="1633"/>
        <v>0</v>
      </c>
      <c r="AG1647" s="16">
        <f t="shared" si="1633"/>
        <v>0</v>
      </c>
      <c r="AH1647" s="16">
        <f t="shared" si="1633"/>
        <v>0</v>
      </c>
      <c r="AI1647" s="16">
        <f t="shared" si="1633"/>
        <v>0</v>
      </c>
      <c r="AJ1647" s="16">
        <f t="shared" si="1633"/>
        <v>0</v>
      </c>
      <c r="AK1647" s="16">
        <f t="shared" si="1633"/>
        <v>0</v>
      </c>
      <c r="AL1647" s="16">
        <f t="shared" si="1633"/>
        <v>0</v>
      </c>
      <c r="AM1647" s="16">
        <f t="shared" si="1633"/>
        <v>0</v>
      </c>
      <c r="AN1647" s="16">
        <f t="shared" si="1633"/>
        <v>0</v>
      </c>
      <c r="AO1647" s="16">
        <f t="shared" si="1633"/>
        <v>0</v>
      </c>
      <c r="AP1647" s="10"/>
      <c r="AQ1647" s="10"/>
      <c r="AR1647" s="10"/>
      <c r="AS1647" s="10" t="str">
        <f t="shared" ca="1" si="1624"/>
        <v>Johnson &amp; Johnson</v>
      </c>
      <c r="AT1647" s="10"/>
      <c r="AU1647" s="10"/>
      <c r="AV1647" s="10"/>
      <c r="AW1647" s="10"/>
      <c r="AX1647" s="10"/>
      <c r="AY1647" s="10"/>
      <c r="AZ1647" s="10"/>
      <c r="BA1647" s="10"/>
      <c r="BB1647" s="10"/>
      <c r="BC1647" s="10"/>
      <c r="BD1647" s="10"/>
      <c r="BE1647" s="10"/>
      <c r="BF1647" s="10"/>
      <c r="BG1647" s="10"/>
      <c r="BH1647" s="10"/>
      <c r="BI1647" s="10"/>
      <c r="BJ1647" s="10"/>
      <c r="BK1647" s="10"/>
      <c r="BM1647" s="10"/>
    </row>
    <row r="1648" spans="1:65" ht="12.75">
      <c r="A1648" s="9"/>
      <c r="B1648" s="10"/>
      <c r="C1648" s="11"/>
      <c r="D1648" s="12"/>
      <c r="E1648" s="10"/>
      <c r="F1648" s="10"/>
      <c r="G1648" s="10"/>
      <c r="H1648" s="14"/>
      <c r="I1648" s="14"/>
      <c r="J1648" s="14"/>
      <c r="K1648" s="14"/>
      <c r="L1648" s="14"/>
      <c r="M1648" s="15"/>
      <c r="N1648" s="10"/>
      <c r="O1648" s="14"/>
      <c r="P1648" s="14"/>
      <c r="Q1648" s="14"/>
      <c r="R1648" s="14"/>
      <c r="S1648" s="14"/>
      <c r="T1648" s="14"/>
      <c r="U1648" s="14"/>
      <c r="V1648" s="14"/>
      <c r="W1648" s="14"/>
      <c r="X1648" s="14"/>
      <c r="Y1648" s="14"/>
      <c r="Z1648" s="14"/>
      <c r="AA1648" s="16" t="str">
        <f t="shared" ca="1" si="1633"/>
        <v>Johnson &amp; Johnson</v>
      </c>
      <c r="AB1648" s="16">
        <f t="shared" si="1633"/>
        <v>0</v>
      </c>
      <c r="AC1648" s="16">
        <f t="shared" si="1633"/>
        <v>0</v>
      </c>
      <c r="AD1648" s="16">
        <f t="shared" si="1633"/>
        <v>0</v>
      </c>
      <c r="AE1648" s="16">
        <f t="shared" si="1633"/>
        <v>0</v>
      </c>
      <c r="AF1648" s="16">
        <f t="shared" si="1633"/>
        <v>0</v>
      </c>
      <c r="AG1648" s="16">
        <f t="shared" si="1633"/>
        <v>0</v>
      </c>
      <c r="AH1648" s="16">
        <f t="shared" si="1633"/>
        <v>0</v>
      </c>
      <c r="AI1648" s="16">
        <f t="shared" si="1633"/>
        <v>0</v>
      </c>
      <c r="AJ1648" s="16">
        <f t="shared" si="1633"/>
        <v>0</v>
      </c>
      <c r="AK1648" s="16">
        <f t="shared" si="1633"/>
        <v>0</v>
      </c>
      <c r="AL1648" s="16">
        <f t="shared" si="1633"/>
        <v>0</v>
      </c>
      <c r="AM1648" s="16">
        <f t="shared" si="1633"/>
        <v>0</v>
      </c>
      <c r="AN1648" s="16">
        <f t="shared" si="1633"/>
        <v>0</v>
      </c>
      <c r="AO1648" s="16">
        <f t="shared" si="1633"/>
        <v>0</v>
      </c>
      <c r="AP1648" s="10"/>
      <c r="AQ1648" s="10"/>
      <c r="AR1648" s="10"/>
      <c r="AS1648" s="10" t="str">
        <f t="shared" ca="1" si="1624"/>
        <v>Johnson &amp; Johnson</v>
      </c>
      <c r="AT1648" s="10"/>
      <c r="AU1648" s="10"/>
      <c r="AV1648" s="10"/>
      <c r="AW1648" s="10"/>
      <c r="AX1648" s="10"/>
      <c r="AY1648" s="10"/>
      <c r="AZ1648" s="10"/>
      <c r="BA1648" s="10"/>
      <c r="BB1648" s="10"/>
      <c r="BC1648" s="10"/>
      <c r="BD1648" s="10"/>
      <c r="BE1648" s="10"/>
      <c r="BF1648" s="10"/>
      <c r="BG1648" s="10"/>
      <c r="BH1648" s="10"/>
      <c r="BI1648" s="10"/>
      <c r="BJ1648" s="10"/>
      <c r="BK1648" s="10"/>
      <c r="BM1648" s="10"/>
    </row>
    <row r="1649" spans="1:65" ht="12.75">
      <c r="A1649" s="9"/>
      <c r="B1649" s="10"/>
      <c r="C1649" s="11"/>
      <c r="D1649" s="12"/>
      <c r="E1649" s="10"/>
      <c r="F1649" s="10"/>
      <c r="G1649" s="10"/>
      <c r="H1649" s="14"/>
      <c r="I1649" s="14"/>
      <c r="J1649" s="14"/>
      <c r="K1649" s="14"/>
      <c r="L1649" s="14"/>
      <c r="M1649" s="15"/>
      <c r="N1649" s="10"/>
      <c r="O1649" s="14"/>
      <c r="P1649" s="14"/>
      <c r="Q1649" s="14"/>
      <c r="R1649" s="14"/>
      <c r="S1649" s="14"/>
      <c r="T1649" s="14"/>
      <c r="U1649" s="14"/>
      <c r="V1649" s="14"/>
      <c r="W1649" s="14"/>
      <c r="X1649" s="14"/>
      <c r="Y1649" s="14"/>
      <c r="Z1649" s="14"/>
      <c r="AA1649" s="16" t="str">
        <f t="shared" ca="1" si="1633"/>
        <v>Johnson &amp; Johnson</v>
      </c>
      <c r="AB1649" s="16">
        <f t="shared" si="1633"/>
        <v>0</v>
      </c>
      <c r="AC1649" s="16">
        <f t="shared" si="1633"/>
        <v>0</v>
      </c>
      <c r="AD1649" s="16">
        <f t="shared" si="1633"/>
        <v>0</v>
      </c>
      <c r="AE1649" s="16">
        <f t="shared" si="1633"/>
        <v>0</v>
      </c>
      <c r="AF1649" s="16">
        <f t="shared" si="1633"/>
        <v>0</v>
      </c>
      <c r="AG1649" s="16">
        <f t="shared" si="1633"/>
        <v>0</v>
      </c>
      <c r="AH1649" s="16">
        <f t="shared" si="1633"/>
        <v>0</v>
      </c>
      <c r="AI1649" s="16">
        <f t="shared" si="1633"/>
        <v>0</v>
      </c>
      <c r="AJ1649" s="16">
        <f t="shared" si="1633"/>
        <v>0</v>
      </c>
      <c r="AK1649" s="16">
        <f t="shared" si="1633"/>
        <v>0</v>
      </c>
      <c r="AL1649" s="16">
        <f t="shared" si="1633"/>
        <v>0</v>
      </c>
      <c r="AM1649" s="16">
        <f t="shared" si="1633"/>
        <v>0</v>
      </c>
      <c r="AN1649" s="16">
        <f t="shared" si="1633"/>
        <v>0</v>
      </c>
      <c r="AO1649" s="16">
        <f t="shared" si="1633"/>
        <v>0</v>
      </c>
      <c r="AP1649" s="10"/>
      <c r="AQ1649" s="10"/>
      <c r="AR1649" s="10"/>
      <c r="AS1649" s="10" t="str">
        <f t="shared" ca="1" si="1624"/>
        <v>Johnson &amp; Johnson</v>
      </c>
      <c r="AT1649" s="10"/>
      <c r="AU1649" s="10"/>
      <c r="AV1649" s="10"/>
      <c r="AW1649" s="10"/>
      <c r="AX1649" s="10"/>
      <c r="AY1649" s="10"/>
      <c r="AZ1649" s="10"/>
      <c r="BA1649" s="10"/>
      <c r="BB1649" s="10"/>
      <c r="BC1649" s="10"/>
      <c r="BD1649" s="10"/>
      <c r="BE1649" s="10"/>
      <c r="BF1649" s="10"/>
      <c r="BG1649" s="10"/>
      <c r="BH1649" s="10"/>
      <c r="BI1649" s="10"/>
      <c r="BJ1649" s="10"/>
      <c r="BK1649" s="10"/>
      <c r="BM1649" s="10"/>
    </row>
    <row r="1650" spans="1:65" ht="12.75">
      <c r="A1650" s="9"/>
      <c r="B1650" s="10"/>
      <c r="C1650" s="11"/>
      <c r="D1650" s="12"/>
      <c r="E1650" s="10"/>
      <c r="F1650" s="10"/>
      <c r="G1650" s="10"/>
      <c r="H1650" s="14"/>
      <c r="I1650" s="14"/>
      <c r="J1650" s="14"/>
      <c r="K1650" s="14"/>
      <c r="L1650" s="14"/>
      <c r="M1650" s="15"/>
      <c r="N1650" s="10"/>
      <c r="O1650" s="14"/>
      <c r="P1650" s="14"/>
      <c r="Q1650" s="14"/>
      <c r="R1650" s="14"/>
      <c r="S1650" s="14"/>
      <c r="T1650" s="14"/>
      <c r="U1650" s="14"/>
      <c r="V1650" s="14"/>
      <c r="W1650" s="14"/>
      <c r="X1650" s="14"/>
      <c r="Y1650" s="14"/>
      <c r="Z1650" s="14"/>
      <c r="AA1650" s="16" t="str">
        <f t="shared" ca="1" si="1633"/>
        <v>Johnson &amp; Johnson</v>
      </c>
      <c r="AB1650" s="16">
        <f t="shared" si="1633"/>
        <v>0</v>
      </c>
      <c r="AC1650" s="16">
        <f t="shared" si="1633"/>
        <v>0</v>
      </c>
      <c r="AD1650" s="16">
        <f t="shared" si="1633"/>
        <v>0</v>
      </c>
      <c r="AE1650" s="16">
        <f t="shared" si="1633"/>
        <v>0</v>
      </c>
      <c r="AF1650" s="16">
        <f t="shared" si="1633"/>
        <v>0</v>
      </c>
      <c r="AG1650" s="16">
        <f t="shared" si="1633"/>
        <v>0</v>
      </c>
      <c r="AH1650" s="16">
        <f t="shared" si="1633"/>
        <v>0</v>
      </c>
      <c r="AI1650" s="16">
        <f t="shared" si="1633"/>
        <v>0</v>
      </c>
      <c r="AJ1650" s="16">
        <f t="shared" si="1633"/>
        <v>0</v>
      </c>
      <c r="AK1650" s="16">
        <f t="shared" si="1633"/>
        <v>0</v>
      </c>
      <c r="AL1650" s="16">
        <f t="shared" si="1633"/>
        <v>0</v>
      </c>
      <c r="AM1650" s="16">
        <f t="shared" si="1633"/>
        <v>0</v>
      </c>
      <c r="AN1650" s="16">
        <f t="shared" si="1633"/>
        <v>0</v>
      </c>
      <c r="AO1650" s="16">
        <f t="shared" si="1633"/>
        <v>0</v>
      </c>
      <c r="AP1650" s="10"/>
      <c r="AQ1650" s="10"/>
      <c r="AR1650" s="10"/>
      <c r="AS1650" s="10" t="str">
        <f t="shared" ca="1" si="1624"/>
        <v>Johnson &amp; Johnson</v>
      </c>
      <c r="AT1650" s="10"/>
      <c r="AU1650" s="10"/>
      <c r="AV1650" s="10"/>
      <c r="AW1650" s="10"/>
      <c r="AX1650" s="10"/>
      <c r="AY1650" s="10"/>
      <c r="AZ1650" s="10"/>
      <c r="BA1650" s="10"/>
      <c r="BB1650" s="10"/>
      <c r="BC1650" s="10"/>
      <c r="BD1650" s="10"/>
      <c r="BE1650" s="10"/>
      <c r="BF1650" s="10"/>
      <c r="BG1650" s="10"/>
      <c r="BH1650" s="10"/>
      <c r="BI1650" s="10"/>
      <c r="BJ1650" s="10"/>
      <c r="BK1650" s="10"/>
      <c r="BM1650" s="10"/>
    </row>
    <row r="1651" spans="1:65" ht="12.75">
      <c r="A1651" s="9"/>
      <c r="B1651" s="10"/>
      <c r="C1651" s="11"/>
      <c r="D1651" s="12"/>
      <c r="E1651" s="10"/>
      <c r="F1651" s="10"/>
      <c r="G1651" s="10"/>
      <c r="H1651" s="14"/>
      <c r="I1651" s="14"/>
      <c r="J1651" s="14"/>
      <c r="K1651" s="14"/>
      <c r="L1651" s="14"/>
      <c r="M1651" s="15"/>
      <c r="N1651" s="10"/>
      <c r="O1651" s="14"/>
      <c r="P1651" s="14"/>
      <c r="Q1651" s="14"/>
      <c r="R1651" s="14"/>
      <c r="S1651" s="14"/>
      <c r="T1651" s="14"/>
      <c r="U1651" s="14"/>
      <c r="V1651" s="14"/>
      <c r="W1651" s="14"/>
      <c r="X1651" s="14"/>
      <c r="Y1651" s="14"/>
      <c r="Z1651" s="14"/>
      <c r="AA1651" s="16" t="str">
        <f t="shared" ca="1" si="1633"/>
        <v>Johnson &amp; Johnson</v>
      </c>
      <c r="AB1651" s="16">
        <f t="shared" si="1633"/>
        <v>0</v>
      </c>
      <c r="AC1651" s="16">
        <f t="shared" si="1633"/>
        <v>0</v>
      </c>
      <c r="AD1651" s="16">
        <f t="shared" si="1633"/>
        <v>0</v>
      </c>
      <c r="AE1651" s="16">
        <f t="shared" si="1633"/>
        <v>0</v>
      </c>
      <c r="AF1651" s="16">
        <f t="shared" si="1633"/>
        <v>0</v>
      </c>
      <c r="AG1651" s="16">
        <f t="shared" si="1633"/>
        <v>0</v>
      </c>
      <c r="AH1651" s="16">
        <f t="shared" si="1633"/>
        <v>0</v>
      </c>
      <c r="AI1651" s="16">
        <f t="shared" si="1633"/>
        <v>0</v>
      </c>
      <c r="AJ1651" s="16">
        <f t="shared" si="1633"/>
        <v>0</v>
      </c>
      <c r="AK1651" s="16">
        <f t="shared" si="1633"/>
        <v>0</v>
      </c>
      <c r="AL1651" s="16">
        <f t="shared" si="1633"/>
        <v>0</v>
      </c>
      <c r="AM1651" s="16">
        <f t="shared" si="1633"/>
        <v>0</v>
      </c>
      <c r="AN1651" s="16">
        <f t="shared" si="1633"/>
        <v>0</v>
      </c>
      <c r="AO1651" s="16">
        <f t="shared" si="1633"/>
        <v>0</v>
      </c>
      <c r="AP1651" s="10"/>
      <c r="AQ1651" s="10"/>
      <c r="AR1651" s="10"/>
      <c r="AS1651" s="10" t="str">
        <f t="shared" ca="1" si="1624"/>
        <v>Johnson &amp; Johnson</v>
      </c>
      <c r="AT1651" s="10"/>
      <c r="AU1651" s="10"/>
      <c r="AV1651" s="10"/>
      <c r="AW1651" s="10"/>
      <c r="AX1651" s="10"/>
      <c r="AY1651" s="10"/>
      <c r="AZ1651" s="10"/>
      <c r="BA1651" s="10"/>
      <c r="BB1651" s="10"/>
      <c r="BC1651" s="10"/>
      <c r="BD1651" s="10"/>
      <c r="BE1651" s="10"/>
      <c r="BF1651" s="10"/>
      <c r="BG1651" s="10"/>
      <c r="BH1651" s="10"/>
      <c r="BI1651" s="10"/>
      <c r="BJ1651" s="10"/>
      <c r="BK1651" s="10"/>
      <c r="BM1651" s="10"/>
    </row>
    <row r="1652" spans="1:65" ht="12.75">
      <c r="A1652" s="9"/>
      <c r="B1652" s="10"/>
      <c r="C1652" s="11"/>
      <c r="D1652" s="12"/>
      <c r="E1652" s="10"/>
      <c r="F1652" s="10"/>
      <c r="G1652" s="10"/>
      <c r="H1652" s="14"/>
      <c r="I1652" s="14"/>
      <c r="J1652" s="14"/>
      <c r="K1652" s="14"/>
      <c r="L1652" s="14"/>
      <c r="M1652" s="15"/>
      <c r="N1652" s="10"/>
      <c r="O1652" s="14"/>
      <c r="P1652" s="14"/>
      <c r="Q1652" s="14"/>
      <c r="R1652" s="14"/>
      <c r="S1652" s="14"/>
      <c r="T1652" s="14"/>
      <c r="U1652" s="14"/>
      <c r="V1652" s="14"/>
      <c r="W1652" s="14"/>
      <c r="X1652" s="14"/>
      <c r="Y1652" s="14"/>
      <c r="Z1652" s="14"/>
      <c r="AA1652" s="16" t="str">
        <f t="shared" ca="1" si="1633"/>
        <v>Johnson &amp; Johnson</v>
      </c>
      <c r="AB1652" s="16">
        <f t="shared" si="1633"/>
        <v>0</v>
      </c>
      <c r="AC1652" s="16">
        <f t="shared" si="1633"/>
        <v>0</v>
      </c>
      <c r="AD1652" s="16">
        <f t="shared" si="1633"/>
        <v>0</v>
      </c>
      <c r="AE1652" s="16">
        <f t="shared" si="1633"/>
        <v>0</v>
      </c>
      <c r="AF1652" s="16">
        <f t="shared" si="1633"/>
        <v>0</v>
      </c>
      <c r="AG1652" s="16">
        <f t="shared" si="1633"/>
        <v>0</v>
      </c>
      <c r="AH1652" s="16">
        <f t="shared" si="1633"/>
        <v>0</v>
      </c>
      <c r="AI1652" s="16">
        <f t="shared" si="1633"/>
        <v>0</v>
      </c>
      <c r="AJ1652" s="16">
        <f t="shared" si="1633"/>
        <v>0</v>
      </c>
      <c r="AK1652" s="16">
        <f t="shared" si="1633"/>
        <v>0</v>
      </c>
      <c r="AL1652" s="16">
        <f t="shared" si="1633"/>
        <v>0</v>
      </c>
      <c r="AM1652" s="16">
        <f t="shared" si="1633"/>
        <v>0</v>
      </c>
      <c r="AN1652" s="16">
        <f t="shared" si="1633"/>
        <v>0</v>
      </c>
      <c r="AO1652" s="16">
        <f t="shared" si="1633"/>
        <v>0</v>
      </c>
      <c r="AP1652" s="10"/>
      <c r="AQ1652" s="10"/>
      <c r="AR1652" s="10"/>
      <c r="AS1652" s="10" t="str">
        <f t="shared" ca="1" si="1624"/>
        <v>Johnson &amp; Johnson</v>
      </c>
      <c r="AT1652" s="10"/>
      <c r="AU1652" s="10"/>
      <c r="AV1652" s="10"/>
      <c r="AW1652" s="10"/>
      <c r="AX1652" s="10"/>
      <c r="AY1652" s="10"/>
      <c r="AZ1652" s="10"/>
      <c r="BA1652" s="10"/>
      <c r="BB1652" s="10"/>
      <c r="BC1652" s="10"/>
      <c r="BD1652" s="10"/>
      <c r="BE1652" s="10"/>
      <c r="BF1652" s="10"/>
      <c r="BG1652" s="10"/>
      <c r="BH1652" s="10"/>
      <c r="BI1652" s="10"/>
      <c r="BJ1652" s="10"/>
      <c r="BK1652" s="10"/>
      <c r="BM1652" s="10"/>
    </row>
    <row r="1653" spans="1:65" ht="12.75">
      <c r="A1653" s="9"/>
      <c r="B1653" s="10"/>
      <c r="C1653" s="11"/>
      <c r="D1653" s="12"/>
      <c r="E1653" s="10"/>
      <c r="F1653" s="10"/>
      <c r="G1653" s="10"/>
      <c r="H1653" s="14"/>
      <c r="I1653" s="14"/>
      <c r="J1653" s="14"/>
      <c r="K1653" s="14"/>
      <c r="L1653" s="14"/>
      <c r="M1653" s="15"/>
      <c r="N1653" s="10"/>
      <c r="O1653" s="14"/>
      <c r="P1653" s="14"/>
      <c r="Q1653" s="14"/>
      <c r="R1653" s="14"/>
      <c r="S1653" s="14"/>
      <c r="T1653" s="14"/>
      <c r="U1653" s="14"/>
      <c r="V1653" s="14"/>
      <c r="W1653" s="14"/>
      <c r="X1653" s="14"/>
      <c r="Y1653" s="14"/>
      <c r="Z1653" s="14"/>
      <c r="AA1653" s="16" t="str">
        <f t="shared" ca="1" si="1633"/>
        <v>Johnson &amp; Johnson</v>
      </c>
      <c r="AB1653" s="16">
        <f t="shared" si="1633"/>
        <v>0</v>
      </c>
      <c r="AC1653" s="16">
        <f t="shared" si="1633"/>
        <v>0</v>
      </c>
      <c r="AD1653" s="16">
        <f t="shared" si="1633"/>
        <v>0</v>
      </c>
      <c r="AE1653" s="16">
        <f t="shared" si="1633"/>
        <v>0</v>
      </c>
      <c r="AF1653" s="16">
        <f t="shared" si="1633"/>
        <v>0</v>
      </c>
      <c r="AG1653" s="16">
        <f t="shared" si="1633"/>
        <v>0</v>
      </c>
      <c r="AH1653" s="16">
        <f t="shared" si="1633"/>
        <v>0</v>
      </c>
      <c r="AI1653" s="16">
        <f t="shared" si="1633"/>
        <v>0</v>
      </c>
      <c r="AJ1653" s="16">
        <f t="shared" si="1633"/>
        <v>0</v>
      </c>
      <c r="AK1653" s="16">
        <f t="shared" si="1633"/>
        <v>0</v>
      </c>
      <c r="AL1653" s="16">
        <f t="shared" si="1633"/>
        <v>0</v>
      </c>
      <c r="AM1653" s="16">
        <f t="shared" si="1633"/>
        <v>0</v>
      </c>
      <c r="AN1653" s="16">
        <f t="shared" si="1633"/>
        <v>0</v>
      </c>
      <c r="AO1653" s="16">
        <f t="shared" si="1633"/>
        <v>0</v>
      </c>
      <c r="AP1653" s="10"/>
      <c r="AQ1653" s="10"/>
      <c r="AR1653" s="10"/>
      <c r="AS1653" s="10" t="str">
        <f t="shared" ca="1" si="1624"/>
        <v>Johnson &amp; Johnson</v>
      </c>
      <c r="AT1653" s="10"/>
      <c r="AU1653" s="10"/>
      <c r="AV1653" s="10"/>
      <c r="AW1653" s="10"/>
      <c r="AX1653" s="10"/>
      <c r="AY1653" s="10"/>
      <c r="AZ1653" s="10"/>
      <c r="BA1653" s="10"/>
      <c r="BB1653" s="10"/>
      <c r="BC1653" s="10"/>
      <c r="BD1653" s="10"/>
      <c r="BE1653" s="10"/>
      <c r="BF1653" s="10"/>
      <c r="BG1653" s="10"/>
      <c r="BH1653" s="10"/>
      <c r="BI1653" s="10"/>
      <c r="BJ1653" s="10"/>
      <c r="BK1653" s="10"/>
      <c r="BM1653" s="10"/>
    </row>
    <row r="1654" spans="1:65" ht="12.75">
      <c r="A1654" s="9"/>
      <c r="B1654" s="10"/>
      <c r="C1654" s="11"/>
      <c r="D1654" s="12"/>
      <c r="E1654" s="10"/>
      <c r="F1654" s="10"/>
      <c r="G1654" s="10"/>
      <c r="H1654" s="14"/>
      <c r="I1654" s="14"/>
      <c r="J1654" s="14"/>
      <c r="K1654" s="14"/>
      <c r="L1654" s="14"/>
      <c r="M1654" s="15"/>
      <c r="N1654" s="10"/>
      <c r="O1654" s="14"/>
      <c r="P1654" s="14"/>
      <c r="Q1654" s="14"/>
      <c r="R1654" s="14"/>
      <c r="S1654" s="14"/>
      <c r="T1654" s="14"/>
      <c r="U1654" s="14"/>
      <c r="V1654" s="14"/>
      <c r="W1654" s="14"/>
      <c r="X1654" s="14"/>
      <c r="Y1654" s="14"/>
      <c r="Z1654" s="14"/>
      <c r="AA1654" s="16" t="str">
        <f t="shared" ca="1" si="1633"/>
        <v>Johnson &amp; Johnson</v>
      </c>
      <c r="AB1654" s="16">
        <f t="shared" si="1633"/>
        <v>0</v>
      </c>
      <c r="AC1654" s="16">
        <f t="shared" si="1633"/>
        <v>0</v>
      </c>
      <c r="AD1654" s="16">
        <f t="shared" si="1633"/>
        <v>0</v>
      </c>
      <c r="AE1654" s="16">
        <f t="shared" si="1633"/>
        <v>0</v>
      </c>
      <c r="AF1654" s="16">
        <f t="shared" si="1633"/>
        <v>0</v>
      </c>
      <c r="AG1654" s="16">
        <f t="shared" si="1633"/>
        <v>0</v>
      </c>
      <c r="AH1654" s="16">
        <f t="shared" si="1633"/>
        <v>0</v>
      </c>
      <c r="AI1654" s="16">
        <f t="shared" si="1633"/>
        <v>0</v>
      </c>
      <c r="AJ1654" s="16">
        <f t="shared" si="1633"/>
        <v>0</v>
      </c>
      <c r="AK1654" s="16">
        <f t="shared" si="1633"/>
        <v>0</v>
      </c>
      <c r="AL1654" s="16">
        <f t="shared" si="1633"/>
        <v>0</v>
      </c>
      <c r="AM1654" s="16">
        <f t="shared" si="1633"/>
        <v>0</v>
      </c>
      <c r="AN1654" s="16">
        <f t="shared" si="1633"/>
        <v>0</v>
      </c>
      <c r="AO1654" s="16">
        <f t="shared" si="1633"/>
        <v>0</v>
      </c>
      <c r="AP1654" s="10"/>
      <c r="AQ1654" s="10"/>
      <c r="AR1654" s="10"/>
      <c r="AS1654" s="10" t="str">
        <f t="shared" ca="1" si="1624"/>
        <v>Johnson &amp; Johnson</v>
      </c>
      <c r="AT1654" s="10"/>
      <c r="AU1654" s="10"/>
      <c r="AV1654" s="10"/>
      <c r="AW1654" s="10"/>
      <c r="AX1654" s="10"/>
      <c r="AY1654" s="10"/>
      <c r="AZ1654" s="10"/>
      <c r="BA1654" s="10"/>
      <c r="BB1654" s="10"/>
      <c r="BC1654" s="10"/>
      <c r="BD1654" s="10"/>
      <c r="BE1654" s="10"/>
      <c r="BF1654" s="10"/>
      <c r="BG1654" s="10"/>
      <c r="BH1654" s="10"/>
      <c r="BI1654" s="10"/>
      <c r="BJ1654" s="10"/>
      <c r="BK1654" s="10"/>
      <c r="BM1654" s="10"/>
    </row>
    <row r="1655" spans="1:65" ht="12.75">
      <c r="A1655" s="9"/>
      <c r="B1655" s="10"/>
      <c r="C1655" s="11"/>
      <c r="D1655" s="12"/>
      <c r="E1655" s="10"/>
      <c r="F1655" s="10"/>
      <c r="G1655" s="10"/>
      <c r="H1655" s="14"/>
      <c r="I1655" s="14"/>
      <c r="J1655" s="14"/>
      <c r="K1655" s="14"/>
      <c r="L1655" s="14"/>
      <c r="M1655" s="15"/>
      <c r="N1655" s="10"/>
      <c r="O1655" s="14"/>
      <c r="P1655" s="14"/>
      <c r="Q1655" s="14"/>
      <c r="R1655" s="14"/>
      <c r="S1655" s="14"/>
      <c r="T1655" s="14"/>
      <c r="U1655" s="14"/>
      <c r="V1655" s="14"/>
      <c r="W1655" s="14"/>
      <c r="X1655" s="14"/>
      <c r="Y1655" s="14"/>
      <c r="Z1655" s="14"/>
      <c r="AA1655" s="16" t="str">
        <f t="shared" ca="1" si="1633"/>
        <v>Johnson &amp; Johnson</v>
      </c>
      <c r="AB1655" s="16">
        <f t="shared" si="1633"/>
        <v>0</v>
      </c>
      <c r="AC1655" s="16">
        <f t="shared" si="1633"/>
        <v>0</v>
      </c>
      <c r="AD1655" s="16">
        <f t="shared" si="1633"/>
        <v>0</v>
      </c>
      <c r="AE1655" s="16">
        <f t="shared" si="1633"/>
        <v>0</v>
      </c>
      <c r="AF1655" s="16">
        <f t="shared" si="1633"/>
        <v>0</v>
      </c>
      <c r="AG1655" s="16">
        <f t="shared" si="1633"/>
        <v>0</v>
      </c>
      <c r="AH1655" s="16">
        <f t="shared" si="1633"/>
        <v>0</v>
      </c>
      <c r="AI1655" s="16">
        <f t="shared" si="1633"/>
        <v>0</v>
      </c>
      <c r="AJ1655" s="16">
        <f t="shared" si="1633"/>
        <v>0</v>
      </c>
      <c r="AK1655" s="16">
        <f t="shared" si="1633"/>
        <v>0</v>
      </c>
      <c r="AL1655" s="16">
        <f t="shared" si="1633"/>
        <v>0</v>
      </c>
      <c r="AM1655" s="16">
        <f t="shared" si="1633"/>
        <v>0</v>
      </c>
      <c r="AN1655" s="16">
        <f t="shared" si="1633"/>
        <v>0</v>
      </c>
      <c r="AO1655" s="16">
        <f t="shared" si="1633"/>
        <v>0</v>
      </c>
      <c r="AP1655" s="10"/>
      <c r="AQ1655" s="10"/>
      <c r="AR1655" s="10"/>
      <c r="AS1655" s="10" t="str">
        <f t="shared" ca="1" si="1624"/>
        <v>Johnson &amp; Johnson</v>
      </c>
      <c r="AT1655" s="10"/>
      <c r="AU1655" s="10"/>
      <c r="AV1655" s="10"/>
      <c r="AW1655" s="10"/>
      <c r="AX1655" s="10"/>
      <c r="AY1655" s="10"/>
      <c r="AZ1655" s="10"/>
      <c r="BA1655" s="10"/>
      <c r="BB1655" s="10"/>
      <c r="BC1655" s="10"/>
      <c r="BD1655" s="10"/>
      <c r="BE1655" s="10"/>
      <c r="BF1655" s="10"/>
      <c r="BG1655" s="10"/>
      <c r="BH1655" s="10"/>
      <c r="BI1655" s="10"/>
      <c r="BJ1655" s="10"/>
      <c r="BK1655" s="10"/>
      <c r="BM1655" s="10"/>
    </row>
    <row r="1656" spans="1:65" ht="12.75">
      <c r="A1656" s="9"/>
      <c r="B1656" s="10"/>
      <c r="C1656" s="11"/>
      <c r="D1656" s="12"/>
      <c r="E1656" s="10"/>
      <c r="F1656" s="10"/>
      <c r="G1656" s="10"/>
      <c r="H1656" s="14"/>
      <c r="I1656" s="14"/>
      <c r="J1656" s="14"/>
      <c r="K1656" s="14"/>
      <c r="L1656" s="14"/>
      <c r="M1656" s="15"/>
      <c r="N1656" s="10"/>
      <c r="O1656" s="14"/>
      <c r="P1656" s="14"/>
      <c r="Q1656" s="14"/>
      <c r="R1656" s="14"/>
      <c r="S1656" s="14"/>
      <c r="T1656" s="14"/>
      <c r="U1656" s="14"/>
      <c r="V1656" s="14"/>
      <c r="W1656" s="14"/>
      <c r="X1656" s="14"/>
      <c r="Y1656" s="14"/>
      <c r="Z1656" s="14"/>
      <c r="AA1656" s="16" t="str">
        <f t="shared" ca="1" si="1633"/>
        <v>Johnson &amp; Johnson</v>
      </c>
      <c r="AB1656" s="16">
        <f t="shared" si="1633"/>
        <v>0</v>
      </c>
      <c r="AC1656" s="16">
        <f t="shared" si="1633"/>
        <v>0</v>
      </c>
      <c r="AD1656" s="16">
        <f t="shared" si="1633"/>
        <v>0</v>
      </c>
      <c r="AE1656" s="16">
        <f t="shared" si="1633"/>
        <v>0</v>
      </c>
      <c r="AF1656" s="16">
        <f t="shared" si="1633"/>
        <v>0</v>
      </c>
      <c r="AG1656" s="16">
        <f t="shared" si="1633"/>
        <v>0</v>
      </c>
      <c r="AH1656" s="16">
        <f t="shared" si="1633"/>
        <v>0</v>
      </c>
      <c r="AI1656" s="16">
        <f t="shared" si="1633"/>
        <v>0</v>
      </c>
      <c r="AJ1656" s="16">
        <f t="shared" si="1633"/>
        <v>0</v>
      </c>
      <c r="AK1656" s="16">
        <f t="shared" si="1633"/>
        <v>0</v>
      </c>
      <c r="AL1656" s="16">
        <f t="shared" si="1633"/>
        <v>0</v>
      </c>
      <c r="AM1656" s="16">
        <f t="shared" si="1633"/>
        <v>0</v>
      </c>
      <c r="AN1656" s="16">
        <f t="shared" si="1633"/>
        <v>0</v>
      </c>
      <c r="AO1656" s="16">
        <f t="shared" si="1633"/>
        <v>0</v>
      </c>
      <c r="AP1656" s="10"/>
      <c r="AQ1656" s="10"/>
      <c r="AR1656" s="10"/>
      <c r="AS1656" s="10" t="str">
        <f t="shared" ca="1" si="1624"/>
        <v>Johnson &amp; Johnson</v>
      </c>
      <c r="AT1656" s="10"/>
      <c r="AU1656" s="10"/>
      <c r="AV1656" s="10"/>
      <c r="AW1656" s="10"/>
      <c r="AX1656" s="10"/>
      <c r="AY1656" s="10"/>
      <c r="AZ1656" s="10"/>
      <c r="BA1656" s="10"/>
      <c r="BB1656" s="10"/>
      <c r="BC1656" s="10"/>
      <c r="BD1656" s="10"/>
      <c r="BE1656" s="10"/>
      <c r="BF1656" s="10"/>
      <c r="BG1656" s="10"/>
      <c r="BH1656" s="10"/>
      <c r="BI1656" s="10"/>
      <c r="BJ1656" s="10"/>
      <c r="BK1656" s="10"/>
      <c r="BM1656" s="10"/>
    </row>
    <row r="1657" spans="1:65" ht="12.75">
      <c r="A1657" s="9"/>
      <c r="B1657" s="10"/>
      <c r="C1657" s="11"/>
      <c r="D1657" s="12"/>
      <c r="E1657" s="10"/>
      <c r="F1657" s="10"/>
      <c r="G1657" s="10"/>
      <c r="H1657" s="14"/>
      <c r="I1657" s="14"/>
      <c r="J1657" s="14"/>
      <c r="K1657" s="14"/>
      <c r="L1657" s="14"/>
      <c r="M1657" s="15"/>
      <c r="N1657" s="10"/>
      <c r="O1657" s="14"/>
      <c r="P1657" s="14"/>
      <c r="Q1657" s="14"/>
      <c r="R1657" s="14"/>
      <c r="S1657" s="14"/>
      <c r="T1657" s="14"/>
      <c r="U1657" s="14"/>
      <c r="V1657" s="14"/>
      <c r="W1657" s="14"/>
      <c r="X1657" s="14"/>
      <c r="Y1657" s="14"/>
      <c r="Z1657" s="14"/>
      <c r="AA1657" s="16" t="str">
        <f t="shared" ref="AA1657:AO1672" ca="1" si="1634">AS1657</f>
        <v>Johnson &amp; Johnson</v>
      </c>
      <c r="AB1657" s="16">
        <f t="shared" si="1634"/>
        <v>0</v>
      </c>
      <c r="AC1657" s="16">
        <f t="shared" si="1634"/>
        <v>0</v>
      </c>
      <c r="AD1657" s="16">
        <f t="shared" si="1634"/>
        <v>0</v>
      </c>
      <c r="AE1657" s="16">
        <f t="shared" si="1634"/>
        <v>0</v>
      </c>
      <c r="AF1657" s="16">
        <f t="shared" si="1634"/>
        <v>0</v>
      </c>
      <c r="AG1657" s="16">
        <f t="shared" si="1634"/>
        <v>0</v>
      </c>
      <c r="AH1657" s="16">
        <f t="shared" si="1634"/>
        <v>0</v>
      </c>
      <c r="AI1657" s="16">
        <f t="shared" si="1634"/>
        <v>0</v>
      </c>
      <c r="AJ1657" s="16">
        <f t="shared" si="1634"/>
        <v>0</v>
      </c>
      <c r="AK1657" s="16">
        <f t="shared" si="1634"/>
        <v>0</v>
      </c>
      <c r="AL1657" s="16">
        <f t="shared" si="1634"/>
        <v>0</v>
      </c>
      <c r="AM1657" s="16">
        <f t="shared" si="1634"/>
        <v>0</v>
      </c>
      <c r="AN1657" s="16">
        <f t="shared" si="1634"/>
        <v>0</v>
      </c>
      <c r="AO1657" s="16">
        <f t="shared" si="1634"/>
        <v>0</v>
      </c>
      <c r="AP1657" s="10"/>
      <c r="AQ1657" s="10"/>
      <c r="AR1657" s="10"/>
      <c r="AS1657" s="10" t="str">
        <f t="shared" ca="1" si="1624"/>
        <v>Johnson &amp; Johnson</v>
      </c>
      <c r="AT1657" s="10"/>
      <c r="AU1657" s="10"/>
      <c r="AV1657" s="10"/>
      <c r="AW1657" s="10"/>
      <c r="AX1657" s="10"/>
      <c r="AY1657" s="10"/>
      <c r="AZ1657" s="10"/>
      <c r="BA1657" s="10"/>
      <c r="BB1657" s="10"/>
      <c r="BC1657" s="10"/>
      <c r="BD1657" s="10"/>
      <c r="BE1657" s="10"/>
      <c r="BF1657" s="10"/>
      <c r="BG1657" s="10"/>
      <c r="BH1657" s="10"/>
      <c r="BI1657" s="10"/>
      <c r="BJ1657" s="10"/>
      <c r="BK1657" s="10"/>
      <c r="BM1657" s="10"/>
    </row>
    <row r="1658" spans="1:65" ht="12.75">
      <c r="A1658" s="9"/>
      <c r="B1658" s="10"/>
      <c r="C1658" s="11"/>
      <c r="D1658" s="12"/>
      <c r="E1658" s="10"/>
      <c r="F1658" s="10"/>
      <c r="G1658" s="10"/>
      <c r="H1658" s="14"/>
      <c r="I1658" s="14"/>
      <c r="J1658" s="14"/>
      <c r="K1658" s="14"/>
      <c r="L1658" s="14"/>
      <c r="M1658" s="15"/>
      <c r="N1658" s="10"/>
      <c r="O1658" s="14"/>
      <c r="P1658" s="14"/>
      <c r="Q1658" s="14"/>
      <c r="R1658" s="14"/>
      <c r="S1658" s="14"/>
      <c r="T1658" s="14"/>
      <c r="U1658" s="14"/>
      <c r="V1658" s="14"/>
      <c r="W1658" s="14"/>
      <c r="X1658" s="14"/>
      <c r="Y1658" s="14"/>
      <c r="Z1658" s="14"/>
      <c r="AA1658" s="16" t="str">
        <f t="shared" ca="1" si="1634"/>
        <v>Johnson &amp; Johnson</v>
      </c>
      <c r="AB1658" s="16">
        <f t="shared" si="1634"/>
        <v>0</v>
      </c>
      <c r="AC1658" s="16">
        <f t="shared" si="1634"/>
        <v>0</v>
      </c>
      <c r="AD1658" s="16">
        <f t="shared" si="1634"/>
        <v>0</v>
      </c>
      <c r="AE1658" s="16">
        <f t="shared" si="1634"/>
        <v>0</v>
      </c>
      <c r="AF1658" s="16">
        <f t="shared" si="1634"/>
        <v>0</v>
      </c>
      <c r="AG1658" s="16">
        <f t="shared" si="1634"/>
        <v>0</v>
      </c>
      <c r="AH1658" s="16">
        <f t="shared" si="1634"/>
        <v>0</v>
      </c>
      <c r="AI1658" s="16">
        <f t="shared" si="1634"/>
        <v>0</v>
      </c>
      <c r="AJ1658" s="16">
        <f t="shared" si="1634"/>
        <v>0</v>
      </c>
      <c r="AK1658" s="16">
        <f t="shared" si="1634"/>
        <v>0</v>
      </c>
      <c r="AL1658" s="16">
        <f t="shared" si="1634"/>
        <v>0</v>
      </c>
      <c r="AM1658" s="16">
        <f t="shared" si="1634"/>
        <v>0</v>
      </c>
      <c r="AN1658" s="16">
        <f t="shared" si="1634"/>
        <v>0</v>
      </c>
      <c r="AO1658" s="16">
        <f t="shared" si="1634"/>
        <v>0</v>
      </c>
      <c r="AP1658" s="10"/>
      <c r="AQ1658" s="10"/>
      <c r="AR1658" s="10"/>
      <c r="AS1658" s="10" t="str">
        <f t="shared" ca="1" si="1624"/>
        <v>Johnson &amp; Johnson</v>
      </c>
      <c r="AT1658" s="10"/>
      <c r="AU1658" s="10"/>
      <c r="AV1658" s="10"/>
      <c r="AW1658" s="10"/>
      <c r="AX1658" s="10"/>
      <c r="AY1658" s="10"/>
      <c r="AZ1658" s="10"/>
      <c r="BA1658" s="10"/>
      <c r="BB1658" s="10"/>
      <c r="BC1658" s="10"/>
      <c r="BD1658" s="10"/>
      <c r="BE1658" s="10"/>
      <c r="BF1658" s="10"/>
      <c r="BG1658" s="10"/>
      <c r="BH1658" s="10"/>
      <c r="BI1658" s="10"/>
      <c r="BJ1658" s="10"/>
      <c r="BK1658" s="10"/>
      <c r="BM1658" s="10"/>
    </row>
    <row r="1659" spans="1:65" ht="12.75">
      <c r="A1659" s="9"/>
      <c r="B1659" s="10"/>
      <c r="C1659" s="11"/>
      <c r="D1659" s="12"/>
      <c r="E1659" s="10"/>
      <c r="F1659" s="10"/>
      <c r="G1659" s="10"/>
      <c r="H1659" s="14"/>
      <c r="I1659" s="14"/>
      <c r="J1659" s="14"/>
      <c r="K1659" s="14"/>
      <c r="L1659" s="14"/>
      <c r="M1659" s="15"/>
      <c r="N1659" s="10"/>
      <c r="O1659" s="14"/>
      <c r="P1659" s="14"/>
      <c r="Q1659" s="14"/>
      <c r="R1659" s="14"/>
      <c r="S1659" s="14"/>
      <c r="T1659" s="14"/>
      <c r="U1659" s="14"/>
      <c r="V1659" s="14"/>
      <c r="W1659" s="14"/>
      <c r="X1659" s="14"/>
      <c r="Y1659" s="14"/>
      <c r="Z1659" s="14"/>
      <c r="AA1659" s="16" t="str">
        <f t="shared" ca="1" si="1634"/>
        <v>Johnson &amp; Johnson</v>
      </c>
      <c r="AB1659" s="16">
        <f t="shared" si="1634"/>
        <v>0</v>
      </c>
      <c r="AC1659" s="16">
        <f t="shared" si="1634"/>
        <v>0</v>
      </c>
      <c r="AD1659" s="16">
        <f t="shared" si="1634"/>
        <v>0</v>
      </c>
      <c r="AE1659" s="16">
        <f t="shared" si="1634"/>
        <v>0</v>
      </c>
      <c r="AF1659" s="16">
        <f t="shared" si="1634"/>
        <v>0</v>
      </c>
      <c r="AG1659" s="16">
        <f t="shared" si="1634"/>
        <v>0</v>
      </c>
      <c r="AH1659" s="16">
        <f t="shared" si="1634"/>
        <v>0</v>
      </c>
      <c r="AI1659" s="16">
        <f t="shared" si="1634"/>
        <v>0</v>
      </c>
      <c r="AJ1659" s="16">
        <f t="shared" si="1634"/>
        <v>0</v>
      </c>
      <c r="AK1659" s="16">
        <f t="shared" si="1634"/>
        <v>0</v>
      </c>
      <c r="AL1659" s="16">
        <f t="shared" si="1634"/>
        <v>0</v>
      </c>
      <c r="AM1659" s="16">
        <f t="shared" si="1634"/>
        <v>0</v>
      </c>
      <c r="AN1659" s="16">
        <f t="shared" si="1634"/>
        <v>0</v>
      </c>
      <c r="AO1659" s="16">
        <f t="shared" si="1634"/>
        <v>0</v>
      </c>
      <c r="AP1659" s="10"/>
      <c r="AQ1659" s="10"/>
      <c r="AR1659" s="10"/>
      <c r="AS1659" s="10" t="str">
        <f t="shared" ca="1" si="1624"/>
        <v>Johnson &amp; Johnson</v>
      </c>
      <c r="AT1659" s="10"/>
      <c r="AU1659" s="10"/>
      <c r="AV1659" s="10"/>
      <c r="AW1659" s="10"/>
      <c r="AX1659" s="10"/>
      <c r="AY1659" s="10"/>
      <c r="AZ1659" s="10"/>
      <c r="BA1659" s="10"/>
      <c r="BB1659" s="10"/>
      <c r="BC1659" s="10"/>
      <c r="BD1659" s="10"/>
      <c r="BE1659" s="10"/>
      <c r="BF1659" s="10"/>
      <c r="BG1659" s="10"/>
      <c r="BH1659" s="10"/>
      <c r="BI1659" s="10"/>
      <c r="BJ1659" s="10"/>
      <c r="BK1659" s="10"/>
      <c r="BM1659" s="10"/>
    </row>
    <row r="1660" spans="1:65" ht="12.75">
      <c r="A1660" s="9"/>
      <c r="B1660" s="10"/>
      <c r="C1660" s="11"/>
      <c r="D1660" s="12"/>
      <c r="E1660" s="10"/>
      <c r="F1660" s="10"/>
      <c r="G1660" s="10"/>
      <c r="H1660" s="14"/>
      <c r="I1660" s="14"/>
      <c r="J1660" s="14"/>
      <c r="K1660" s="14"/>
      <c r="L1660" s="14"/>
      <c r="M1660" s="15"/>
      <c r="N1660" s="10"/>
      <c r="O1660" s="14"/>
      <c r="P1660" s="14"/>
      <c r="Q1660" s="14"/>
      <c r="R1660" s="14"/>
      <c r="S1660" s="14"/>
      <c r="T1660" s="14"/>
      <c r="U1660" s="14"/>
      <c r="V1660" s="14"/>
      <c r="W1660" s="14"/>
      <c r="X1660" s="14"/>
      <c r="Y1660" s="14"/>
      <c r="Z1660" s="14"/>
      <c r="AA1660" s="16" t="str">
        <f t="shared" ca="1" si="1634"/>
        <v>Johnson &amp; Johnson</v>
      </c>
      <c r="AB1660" s="16">
        <f t="shared" si="1634"/>
        <v>0</v>
      </c>
      <c r="AC1660" s="16">
        <f t="shared" si="1634"/>
        <v>0</v>
      </c>
      <c r="AD1660" s="16">
        <f t="shared" si="1634"/>
        <v>0</v>
      </c>
      <c r="AE1660" s="16">
        <f t="shared" si="1634"/>
        <v>0</v>
      </c>
      <c r="AF1660" s="16">
        <f t="shared" si="1634"/>
        <v>0</v>
      </c>
      <c r="AG1660" s="16">
        <f t="shared" si="1634"/>
        <v>0</v>
      </c>
      <c r="AH1660" s="16">
        <f t="shared" si="1634"/>
        <v>0</v>
      </c>
      <c r="AI1660" s="16">
        <f t="shared" si="1634"/>
        <v>0</v>
      </c>
      <c r="AJ1660" s="16">
        <f t="shared" si="1634"/>
        <v>0</v>
      </c>
      <c r="AK1660" s="16">
        <f t="shared" si="1634"/>
        <v>0</v>
      </c>
      <c r="AL1660" s="16">
        <f t="shared" si="1634"/>
        <v>0</v>
      </c>
      <c r="AM1660" s="16">
        <f t="shared" si="1634"/>
        <v>0</v>
      </c>
      <c r="AN1660" s="16">
        <f t="shared" si="1634"/>
        <v>0</v>
      </c>
      <c r="AO1660" s="16">
        <f t="shared" si="1634"/>
        <v>0</v>
      </c>
      <c r="AP1660" s="10"/>
      <c r="AQ1660" s="10"/>
      <c r="AR1660" s="10"/>
      <c r="AS1660" s="10" t="str">
        <f t="shared" ca="1" si="1624"/>
        <v>Johnson &amp; Johnson</v>
      </c>
      <c r="AT1660" s="10"/>
      <c r="AU1660" s="10"/>
      <c r="AV1660" s="10"/>
      <c r="AW1660" s="10"/>
      <c r="AX1660" s="10"/>
      <c r="AY1660" s="10"/>
      <c r="AZ1660" s="10"/>
      <c r="BA1660" s="10"/>
      <c r="BB1660" s="10"/>
      <c r="BC1660" s="10"/>
      <c r="BD1660" s="10"/>
      <c r="BE1660" s="10"/>
      <c r="BF1660" s="10"/>
      <c r="BG1660" s="10"/>
      <c r="BH1660" s="10"/>
      <c r="BI1660" s="10"/>
      <c r="BJ1660" s="10"/>
      <c r="BK1660" s="10"/>
      <c r="BM1660" s="10"/>
    </row>
    <row r="1661" spans="1:65" ht="12.75">
      <c r="A1661" s="9"/>
      <c r="B1661" s="10"/>
      <c r="C1661" s="11"/>
      <c r="D1661" s="12"/>
      <c r="E1661" s="10"/>
      <c r="F1661" s="10"/>
      <c r="G1661" s="10"/>
      <c r="H1661" s="14"/>
      <c r="I1661" s="14"/>
      <c r="J1661" s="14"/>
      <c r="K1661" s="14"/>
      <c r="L1661" s="14"/>
      <c r="M1661" s="15"/>
      <c r="N1661" s="10"/>
      <c r="O1661" s="14"/>
      <c r="P1661" s="14"/>
      <c r="Q1661" s="14"/>
      <c r="R1661" s="14"/>
      <c r="S1661" s="14"/>
      <c r="T1661" s="14"/>
      <c r="U1661" s="14"/>
      <c r="V1661" s="14"/>
      <c r="W1661" s="14"/>
      <c r="X1661" s="14"/>
      <c r="Y1661" s="14"/>
      <c r="Z1661" s="14"/>
      <c r="AA1661" s="16" t="str">
        <f t="shared" ca="1" si="1634"/>
        <v>Johnson &amp; Johnson</v>
      </c>
      <c r="AB1661" s="16">
        <f t="shared" si="1634"/>
        <v>0</v>
      </c>
      <c r="AC1661" s="16">
        <f t="shared" si="1634"/>
        <v>0</v>
      </c>
      <c r="AD1661" s="16">
        <f t="shared" si="1634"/>
        <v>0</v>
      </c>
      <c r="AE1661" s="16">
        <f t="shared" si="1634"/>
        <v>0</v>
      </c>
      <c r="AF1661" s="16">
        <f t="shared" si="1634"/>
        <v>0</v>
      </c>
      <c r="AG1661" s="16">
        <f t="shared" si="1634"/>
        <v>0</v>
      </c>
      <c r="AH1661" s="16">
        <f t="shared" si="1634"/>
        <v>0</v>
      </c>
      <c r="AI1661" s="16">
        <f t="shared" si="1634"/>
        <v>0</v>
      </c>
      <c r="AJ1661" s="16">
        <f t="shared" si="1634"/>
        <v>0</v>
      </c>
      <c r="AK1661" s="16">
        <f t="shared" si="1634"/>
        <v>0</v>
      </c>
      <c r="AL1661" s="16">
        <f t="shared" si="1634"/>
        <v>0</v>
      </c>
      <c r="AM1661" s="16">
        <f t="shared" si="1634"/>
        <v>0</v>
      </c>
      <c r="AN1661" s="16">
        <f t="shared" si="1634"/>
        <v>0</v>
      </c>
      <c r="AO1661" s="16">
        <f t="shared" si="1634"/>
        <v>0</v>
      </c>
      <c r="AP1661" s="10"/>
      <c r="AQ1661" s="10"/>
      <c r="AR1661" s="10"/>
      <c r="AS1661" s="10" t="str">
        <f t="shared" ca="1" si="1624"/>
        <v>Johnson &amp; Johnson</v>
      </c>
      <c r="AT1661" s="10"/>
      <c r="AU1661" s="10"/>
      <c r="AV1661" s="10"/>
      <c r="AW1661" s="10"/>
      <c r="AX1661" s="10"/>
      <c r="AY1661" s="10"/>
      <c r="AZ1661" s="10"/>
      <c r="BA1661" s="10"/>
      <c r="BB1661" s="10"/>
      <c r="BC1661" s="10"/>
      <c r="BD1661" s="10"/>
      <c r="BE1661" s="10"/>
      <c r="BF1661" s="10"/>
      <c r="BG1661" s="10"/>
      <c r="BH1661" s="10"/>
      <c r="BI1661" s="10"/>
      <c r="BJ1661" s="10"/>
      <c r="BK1661" s="10"/>
      <c r="BM1661" s="10"/>
    </row>
    <row r="1662" spans="1:65" ht="12.75">
      <c r="A1662" s="9"/>
      <c r="B1662" s="10"/>
      <c r="C1662" s="11"/>
      <c r="D1662" s="12"/>
      <c r="E1662" s="10"/>
      <c r="F1662" s="10"/>
      <c r="G1662" s="10"/>
      <c r="H1662" s="14"/>
      <c r="I1662" s="14"/>
      <c r="J1662" s="14"/>
      <c r="K1662" s="14"/>
      <c r="L1662" s="14"/>
      <c r="M1662" s="15"/>
      <c r="N1662" s="10"/>
      <c r="O1662" s="14"/>
      <c r="P1662" s="14"/>
      <c r="Q1662" s="14"/>
      <c r="R1662" s="14"/>
      <c r="S1662" s="14"/>
      <c r="T1662" s="14"/>
      <c r="U1662" s="14"/>
      <c r="V1662" s="14"/>
      <c r="W1662" s="14"/>
      <c r="X1662" s="14"/>
      <c r="Y1662" s="14"/>
      <c r="Z1662" s="14"/>
      <c r="AA1662" s="16" t="str">
        <f t="shared" ca="1" si="1634"/>
        <v>Johnson &amp; Johnson</v>
      </c>
      <c r="AB1662" s="16">
        <f t="shared" si="1634"/>
        <v>0</v>
      </c>
      <c r="AC1662" s="16">
        <f t="shared" si="1634"/>
        <v>0</v>
      </c>
      <c r="AD1662" s="16">
        <f t="shared" si="1634"/>
        <v>0</v>
      </c>
      <c r="AE1662" s="16">
        <f t="shared" si="1634"/>
        <v>0</v>
      </c>
      <c r="AF1662" s="16">
        <f t="shared" si="1634"/>
        <v>0</v>
      </c>
      <c r="AG1662" s="16">
        <f t="shared" si="1634"/>
        <v>0</v>
      </c>
      <c r="AH1662" s="16">
        <f t="shared" si="1634"/>
        <v>0</v>
      </c>
      <c r="AI1662" s="16">
        <f t="shared" si="1634"/>
        <v>0</v>
      </c>
      <c r="AJ1662" s="16">
        <f t="shared" si="1634"/>
        <v>0</v>
      </c>
      <c r="AK1662" s="16">
        <f t="shared" si="1634"/>
        <v>0</v>
      </c>
      <c r="AL1662" s="16">
        <f t="shared" si="1634"/>
        <v>0</v>
      </c>
      <c r="AM1662" s="16">
        <f t="shared" si="1634"/>
        <v>0</v>
      </c>
      <c r="AN1662" s="16">
        <f t="shared" si="1634"/>
        <v>0</v>
      </c>
      <c r="AO1662" s="16">
        <f t="shared" si="1634"/>
        <v>0</v>
      </c>
      <c r="AP1662" s="10"/>
      <c r="AQ1662" s="10"/>
      <c r="AR1662" s="10"/>
      <c r="AS1662" s="10" t="str">
        <f t="shared" ca="1" si="1624"/>
        <v>Johnson &amp; Johnson</v>
      </c>
      <c r="AT1662" s="10"/>
      <c r="AU1662" s="10"/>
      <c r="AV1662" s="10"/>
      <c r="AW1662" s="10"/>
      <c r="AX1662" s="10"/>
      <c r="AY1662" s="10"/>
      <c r="AZ1662" s="10"/>
      <c r="BA1662" s="10"/>
      <c r="BB1662" s="10"/>
      <c r="BC1662" s="10"/>
      <c r="BD1662" s="10"/>
      <c r="BE1662" s="10"/>
      <c r="BF1662" s="10"/>
      <c r="BG1662" s="10"/>
      <c r="BH1662" s="10"/>
      <c r="BI1662" s="10"/>
      <c r="BJ1662" s="10"/>
      <c r="BK1662" s="10"/>
      <c r="BM1662" s="10"/>
    </row>
    <row r="1663" spans="1:65" ht="12.75">
      <c r="A1663" s="9"/>
      <c r="B1663" s="10"/>
      <c r="C1663" s="11"/>
      <c r="D1663" s="12"/>
      <c r="E1663" s="10"/>
      <c r="F1663" s="10"/>
      <c r="G1663" s="10"/>
      <c r="H1663" s="14"/>
      <c r="I1663" s="14"/>
      <c r="J1663" s="14"/>
      <c r="K1663" s="14"/>
      <c r="L1663" s="14"/>
      <c r="M1663" s="15"/>
      <c r="N1663" s="10"/>
      <c r="O1663" s="14"/>
      <c r="P1663" s="14"/>
      <c r="Q1663" s="14"/>
      <c r="R1663" s="14"/>
      <c r="S1663" s="14"/>
      <c r="T1663" s="14"/>
      <c r="U1663" s="14"/>
      <c r="V1663" s="14"/>
      <c r="W1663" s="14"/>
      <c r="X1663" s="14"/>
      <c r="Y1663" s="14"/>
      <c r="Z1663" s="14"/>
      <c r="AA1663" s="16" t="str">
        <f t="shared" ca="1" si="1634"/>
        <v>Johnson &amp; Johnson</v>
      </c>
      <c r="AB1663" s="16">
        <f t="shared" si="1634"/>
        <v>0</v>
      </c>
      <c r="AC1663" s="16">
        <f t="shared" si="1634"/>
        <v>0</v>
      </c>
      <c r="AD1663" s="16">
        <f t="shared" si="1634"/>
        <v>0</v>
      </c>
      <c r="AE1663" s="16">
        <f t="shared" si="1634"/>
        <v>0</v>
      </c>
      <c r="AF1663" s="16">
        <f t="shared" si="1634"/>
        <v>0</v>
      </c>
      <c r="AG1663" s="16">
        <f t="shared" si="1634"/>
        <v>0</v>
      </c>
      <c r="AH1663" s="16">
        <f t="shared" si="1634"/>
        <v>0</v>
      </c>
      <c r="AI1663" s="16">
        <f t="shared" si="1634"/>
        <v>0</v>
      </c>
      <c r="AJ1663" s="16">
        <f t="shared" si="1634"/>
        <v>0</v>
      </c>
      <c r="AK1663" s="16">
        <f t="shared" si="1634"/>
        <v>0</v>
      </c>
      <c r="AL1663" s="16">
        <f t="shared" si="1634"/>
        <v>0</v>
      </c>
      <c r="AM1663" s="16">
        <f t="shared" si="1634"/>
        <v>0</v>
      </c>
      <c r="AN1663" s="16">
        <f t="shared" si="1634"/>
        <v>0</v>
      </c>
      <c r="AO1663" s="16">
        <f t="shared" si="1634"/>
        <v>0</v>
      </c>
      <c r="AP1663" s="10"/>
      <c r="AQ1663" s="10"/>
      <c r="AR1663" s="10"/>
      <c r="AS1663" s="10" t="str">
        <f t="shared" ca="1" si="1624"/>
        <v>Johnson &amp; Johnson</v>
      </c>
      <c r="AT1663" s="10"/>
      <c r="AU1663" s="10"/>
      <c r="AV1663" s="10"/>
      <c r="AW1663" s="10"/>
      <c r="AX1663" s="10"/>
      <c r="AY1663" s="10"/>
      <c r="AZ1663" s="10"/>
      <c r="BA1663" s="10"/>
      <c r="BB1663" s="10"/>
      <c r="BC1663" s="10"/>
      <c r="BD1663" s="10"/>
      <c r="BE1663" s="10"/>
      <c r="BF1663" s="10"/>
      <c r="BG1663" s="10"/>
      <c r="BH1663" s="10"/>
      <c r="BI1663" s="10"/>
      <c r="BJ1663" s="10"/>
      <c r="BK1663" s="10"/>
      <c r="BM1663" s="10"/>
    </row>
    <row r="1664" spans="1:65" ht="12.75">
      <c r="A1664" s="9"/>
      <c r="B1664" s="10"/>
      <c r="C1664" s="11"/>
      <c r="D1664" s="12"/>
      <c r="E1664" s="10"/>
      <c r="F1664" s="10"/>
      <c r="G1664" s="10"/>
      <c r="H1664" s="14"/>
      <c r="I1664" s="14"/>
      <c r="J1664" s="14"/>
      <c r="K1664" s="14"/>
      <c r="L1664" s="14"/>
      <c r="M1664" s="15"/>
      <c r="N1664" s="10"/>
      <c r="O1664" s="14"/>
      <c r="P1664" s="14"/>
      <c r="Q1664" s="14"/>
      <c r="R1664" s="14"/>
      <c r="S1664" s="14"/>
      <c r="T1664" s="14"/>
      <c r="U1664" s="14"/>
      <c r="V1664" s="14"/>
      <c r="W1664" s="14"/>
      <c r="X1664" s="14"/>
      <c r="Y1664" s="14"/>
      <c r="Z1664" s="14"/>
      <c r="AA1664" s="16" t="str">
        <f t="shared" ca="1" si="1634"/>
        <v>Johnson &amp; Johnson</v>
      </c>
      <c r="AB1664" s="16">
        <f t="shared" si="1634"/>
        <v>0</v>
      </c>
      <c r="AC1664" s="16">
        <f t="shared" si="1634"/>
        <v>0</v>
      </c>
      <c r="AD1664" s="16">
        <f t="shared" si="1634"/>
        <v>0</v>
      </c>
      <c r="AE1664" s="16">
        <f t="shared" si="1634"/>
        <v>0</v>
      </c>
      <c r="AF1664" s="16">
        <f t="shared" si="1634"/>
        <v>0</v>
      </c>
      <c r="AG1664" s="16">
        <f t="shared" si="1634"/>
        <v>0</v>
      </c>
      <c r="AH1664" s="16">
        <f t="shared" si="1634"/>
        <v>0</v>
      </c>
      <c r="AI1664" s="16">
        <f t="shared" si="1634"/>
        <v>0</v>
      </c>
      <c r="AJ1664" s="16">
        <f t="shared" si="1634"/>
        <v>0</v>
      </c>
      <c r="AK1664" s="16">
        <f t="shared" si="1634"/>
        <v>0</v>
      </c>
      <c r="AL1664" s="16">
        <f t="shared" si="1634"/>
        <v>0</v>
      </c>
      <c r="AM1664" s="16">
        <f t="shared" si="1634"/>
        <v>0</v>
      </c>
      <c r="AN1664" s="16">
        <f t="shared" si="1634"/>
        <v>0</v>
      </c>
      <c r="AO1664" s="16">
        <f t="shared" si="1634"/>
        <v>0</v>
      </c>
      <c r="AP1664" s="10"/>
      <c r="AQ1664" s="10"/>
      <c r="AR1664" s="10"/>
      <c r="AS1664" s="10" t="str">
        <f t="shared" ca="1" si="1624"/>
        <v>Johnson &amp; Johnson</v>
      </c>
      <c r="AT1664" s="10"/>
      <c r="AU1664" s="10"/>
      <c r="AV1664" s="10"/>
      <c r="AW1664" s="10"/>
      <c r="AX1664" s="10"/>
      <c r="AY1664" s="10"/>
      <c r="AZ1664" s="10"/>
      <c r="BA1664" s="10"/>
      <c r="BB1664" s="10"/>
      <c r="BC1664" s="10"/>
      <c r="BD1664" s="10"/>
      <c r="BE1664" s="10"/>
      <c r="BF1664" s="10"/>
      <c r="BG1664" s="10"/>
      <c r="BH1664" s="10"/>
      <c r="BI1664" s="10"/>
      <c r="BJ1664" s="10"/>
      <c r="BK1664" s="10"/>
      <c r="BM1664" s="10"/>
    </row>
    <row r="1665" spans="1:65" ht="12.75">
      <c r="A1665" s="9"/>
      <c r="B1665" s="10"/>
      <c r="C1665" s="11"/>
      <c r="D1665" s="12"/>
      <c r="E1665" s="10"/>
      <c r="F1665" s="10"/>
      <c r="G1665" s="10"/>
      <c r="H1665" s="14"/>
      <c r="I1665" s="14"/>
      <c r="J1665" s="14"/>
      <c r="K1665" s="14"/>
      <c r="L1665" s="14"/>
      <c r="M1665" s="15"/>
      <c r="N1665" s="10"/>
      <c r="O1665" s="14"/>
      <c r="P1665" s="14"/>
      <c r="Q1665" s="14"/>
      <c r="R1665" s="14"/>
      <c r="S1665" s="14"/>
      <c r="T1665" s="14"/>
      <c r="U1665" s="14"/>
      <c r="V1665" s="14"/>
      <c r="W1665" s="14"/>
      <c r="X1665" s="14"/>
      <c r="Y1665" s="14"/>
      <c r="Z1665" s="14"/>
      <c r="AA1665" s="16" t="str">
        <f t="shared" ca="1" si="1634"/>
        <v>Johnson &amp; Johnson</v>
      </c>
      <c r="AB1665" s="16">
        <f t="shared" si="1634"/>
        <v>0</v>
      </c>
      <c r="AC1665" s="16">
        <f t="shared" si="1634"/>
        <v>0</v>
      </c>
      <c r="AD1665" s="16">
        <f t="shared" si="1634"/>
        <v>0</v>
      </c>
      <c r="AE1665" s="16">
        <f t="shared" si="1634"/>
        <v>0</v>
      </c>
      <c r="AF1665" s="16">
        <f t="shared" si="1634"/>
        <v>0</v>
      </c>
      <c r="AG1665" s="16">
        <f t="shared" si="1634"/>
        <v>0</v>
      </c>
      <c r="AH1665" s="16">
        <f t="shared" si="1634"/>
        <v>0</v>
      </c>
      <c r="AI1665" s="16">
        <f t="shared" si="1634"/>
        <v>0</v>
      </c>
      <c r="AJ1665" s="16">
        <f t="shared" si="1634"/>
        <v>0</v>
      </c>
      <c r="AK1665" s="16">
        <f t="shared" si="1634"/>
        <v>0</v>
      </c>
      <c r="AL1665" s="16">
        <f t="shared" si="1634"/>
        <v>0</v>
      </c>
      <c r="AM1665" s="16">
        <f t="shared" si="1634"/>
        <v>0</v>
      </c>
      <c r="AN1665" s="16">
        <f t="shared" si="1634"/>
        <v>0</v>
      </c>
      <c r="AO1665" s="16">
        <f t="shared" si="1634"/>
        <v>0</v>
      </c>
      <c r="AP1665" s="10"/>
      <c r="AQ1665" s="10"/>
      <c r="AR1665" s="10"/>
      <c r="AS1665" s="10" t="str">
        <f t="shared" ca="1" si="1624"/>
        <v>Johnson &amp; Johnson</v>
      </c>
      <c r="AT1665" s="10"/>
      <c r="AU1665" s="10"/>
      <c r="AV1665" s="10"/>
      <c r="AW1665" s="10"/>
      <c r="AX1665" s="10"/>
      <c r="AY1665" s="10"/>
      <c r="AZ1665" s="10"/>
      <c r="BA1665" s="10"/>
      <c r="BB1665" s="10"/>
      <c r="BC1665" s="10"/>
      <c r="BD1665" s="10"/>
      <c r="BE1665" s="10"/>
      <c r="BF1665" s="10"/>
      <c r="BG1665" s="10"/>
      <c r="BH1665" s="10"/>
      <c r="BI1665" s="10"/>
      <c r="BJ1665" s="10"/>
      <c r="BK1665" s="10"/>
      <c r="BM1665" s="10"/>
    </row>
    <row r="1666" spans="1:65" ht="12.75">
      <c r="A1666" s="9"/>
      <c r="B1666" s="10"/>
      <c r="C1666" s="11"/>
      <c r="D1666" s="12"/>
      <c r="E1666" s="10"/>
      <c r="F1666" s="10"/>
      <c r="G1666" s="10"/>
      <c r="H1666" s="14"/>
      <c r="I1666" s="14"/>
      <c r="J1666" s="14"/>
      <c r="K1666" s="14"/>
      <c r="L1666" s="14"/>
      <c r="M1666" s="15"/>
      <c r="N1666" s="10"/>
      <c r="O1666" s="14"/>
      <c r="P1666" s="14"/>
      <c r="Q1666" s="14"/>
      <c r="R1666" s="14"/>
      <c r="S1666" s="14"/>
      <c r="T1666" s="14"/>
      <c r="U1666" s="14"/>
      <c r="V1666" s="14"/>
      <c r="W1666" s="14"/>
      <c r="X1666" s="14"/>
      <c r="Y1666" s="14"/>
      <c r="Z1666" s="14"/>
      <c r="AA1666" s="16" t="str">
        <f t="shared" ca="1" si="1634"/>
        <v>Johnson &amp; Johnson</v>
      </c>
      <c r="AB1666" s="16">
        <f t="shared" si="1634"/>
        <v>0</v>
      </c>
      <c r="AC1666" s="16">
        <f t="shared" si="1634"/>
        <v>0</v>
      </c>
      <c r="AD1666" s="16">
        <f t="shared" si="1634"/>
        <v>0</v>
      </c>
      <c r="AE1666" s="16">
        <f t="shared" si="1634"/>
        <v>0</v>
      </c>
      <c r="AF1666" s="16">
        <f t="shared" si="1634"/>
        <v>0</v>
      </c>
      <c r="AG1666" s="16">
        <f t="shared" si="1634"/>
        <v>0</v>
      </c>
      <c r="AH1666" s="16">
        <f t="shared" si="1634"/>
        <v>0</v>
      </c>
      <c r="AI1666" s="16">
        <f t="shared" si="1634"/>
        <v>0</v>
      </c>
      <c r="AJ1666" s="16">
        <f t="shared" si="1634"/>
        <v>0</v>
      </c>
      <c r="AK1666" s="16">
        <f t="shared" si="1634"/>
        <v>0</v>
      </c>
      <c r="AL1666" s="16">
        <f t="shared" si="1634"/>
        <v>0</v>
      </c>
      <c r="AM1666" s="16">
        <f t="shared" si="1634"/>
        <v>0</v>
      </c>
      <c r="AN1666" s="16">
        <f t="shared" si="1634"/>
        <v>0</v>
      </c>
      <c r="AO1666" s="16">
        <f t="shared" si="1634"/>
        <v>0</v>
      </c>
      <c r="AP1666" s="10"/>
      <c r="AQ1666" s="10"/>
      <c r="AR1666" s="10"/>
      <c r="AS1666" s="10" t="str">
        <f t="shared" ca="1" si="1624"/>
        <v>Johnson &amp; Johnson</v>
      </c>
      <c r="AT1666" s="10"/>
      <c r="AU1666" s="10"/>
      <c r="AV1666" s="10"/>
      <c r="AW1666" s="10"/>
      <c r="AX1666" s="10"/>
      <c r="AY1666" s="10"/>
      <c r="AZ1666" s="10"/>
      <c r="BA1666" s="10"/>
      <c r="BB1666" s="10"/>
      <c r="BC1666" s="10"/>
      <c r="BD1666" s="10"/>
      <c r="BE1666" s="10"/>
      <c r="BF1666" s="10"/>
      <c r="BG1666" s="10"/>
      <c r="BH1666" s="10"/>
      <c r="BI1666" s="10"/>
      <c r="BJ1666" s="10"/>
      <c r="BK1666" s="10"/>
      <c r="BM1666" s="10"/>
    </row>
    <row r="1667" spans="1:65" ht="12.75">
      <c r="A1667" s="9"/>
      <c r="B1667" s="10"/>
      <c r="C1667" s="11"/>
      <c r="D1667" s="12"/>
      <c r="E1667" s="10"/>
      <c r="F1667" s="10"/>
      <c r="G1667" s="10"/>
      <c r="H1667" s="14"/>
      <c r="I1667" s="14"/>
      <c r="J1667" s="14"/>
      <c r="K1667" s="14"/>
      <c r="L1667" s="14"/>
      <c r="M1667" s="15"/>
      <c r="N1667" s="10"/>
      <c r="O1667" s="14"/>
      <c r="P1667" s="14"/>
      <c r="Q1667" s="14"/>
      <c r="R1667" s="14"/>
      <c r="S1667" s="14"/>
      <c r="T1667" s="14"/>
      <c r="U1667" s="14"/>
      <c r="V1667" s="14"/>
      <c r="W1667" s="14"/>
      <c r="X1667" s="14"/>
      <c r="Y1667" s="14"/>
      <c r="Z1667" s="14"/>
      <c r="AA1667" s="16" t="str">
        <f t="shared" ca="1" si="1634"/>
        <v>Johnson &amp; Johnson</v>
      </c>
      <c r="AB1667" s="16">
        <f t="shared" si="1634"/>
        <v>0</v>
      </c>
      <c r="AC1667" s="16">
        <f t="shared" si="1634"/>
        <v>0</v>
      </c>
      <c r="AD1667" s="16">
        <f t="shared" si="1634"/>
        <v>0</v>
      </c>
      <c r="AE1667" s="16">
        <f t="shared" si="1634"/>
        <v>0</v>
      </c>
      <c r="AF1667" s="16">
        <f t="shared" si="1634"/>
        <v>0</v>
      </c>
      <c r="AG1667" s="16">
        <f t="shared" si="1634"/>
        <v>0</v>
      </c>
      <c r="AH1667" s="16">
        <f t="shared" si="1634"/>
        <v>0</v>
      </c>
      <c r="AI1667" s="16">
        <f t="shared" si="1634"/>
        <v>0</v>
      </c>
      <c r="AJ1667" s="16">
        <f t="shared" si="1634"/>
        <v>0</v>
      </c>
      <c r="AK1667" s="16">
        <f t="shared" si="1634"/>
        <v>0</v>
      </c>
      <c r="AL1667" s="16">
        <f t="shared" si="1634"/>
        <v>0</v>
      </c>
      <c r="AM1667" s="16">
        <f t="shared" si="1634"/>
        <v>0</v>
      </c>
      <c r="AN1667" s="16">
        <f t="shared" si="1634"/>
        <v>0</v>
      </c>
      <c r="AO1667" s="16">
        <f t="shared" si="1634"/>
        <v>0</v>
      </c>
      <c r="AP1667" s="10"/>
      <c r="AQ1667" s="10"/>
      <c r="AR1667" s="10"/>
      <c r="AS1667" s="10" t="str">
        <f t="shared" ca="1" si="1624"/>
        <v>Johnson &amp; Johnson</v>
      </c>
      <c r="AT1667" s="10"/>
      <c r="AU1667" s="10"/>
      <c r="AV1667" s="10"/>
      <c r="AW1667" s="10"/>
      <c r="AX1667" s="10"/>
      <c r="AY1667" s="10"/>
      <c r="AZ1667" s="10"/>
      <c r="BA1667" s="10"/>
      <c r="BB1667" s="10"/>
      <c r="BC1667" s="10"/>
      <c r="BD1667" s="10"/>
      <c r="BE1667" s="10"/>
      <c r="BF1667" s="10"/>
      <c r="BG1667" s="10"/>
      <c r="BH1667" s="10"/>
      <c r="BI1667" s="10"/>
      <c r="BJ1667" s="10"/>
      <c r="BK1667" s="10"/>
      <c r="BM1667" s="10"/>
    </row>
    <row r="1668" spans="1:65" ht="12.75">
      <c r="A1668" s="9"/>
      <c r="B1668" s="10"/>
      <c r="C1668" s="11"/>
      <c r="D1668" s="12"/>
      <c r="E1668" s="10"/>
      <c r="F1668" s="10"/>
      <c r="G1668" s="10"/>
      <c r="H1668" s="14"/>
      <c r="I1668" s="14"/>
      <c r="J1668" s="14"/>
      <c r="K1668" s="14"/>
      <c r="L1668" s="14"/>
      <c r="M1668" s="15"/>
      <c r="N1668" s="10"/>
      <c r="O1668" s="14"/>
      <c r="P1668" s="14"/>
      <c r="Q1668" s="14"/>
      <c r="R1668" s="14"/>
      <c r="S1668" s="14"/>
      <c r="T1668" s="14"/>
      <c r="U1668" s="14"/>
      <c r="V1668" s="14"/>
      <c r="W1668" s="14"/>
      <c r="X1668" s="14"/>
      <c r="Y1668" s="14"/>
      <c r="Z1668" s="14"/>
      <c r="AA1668" s="16" t="str">
        <f t="shared" ca="1" si="1634"/>
        <v>Johnson &amp; Johnson</v>
      </c>
      <c r="AB1668" s="16">
        <f t="shared" si="1634"/>
        <v>0</v>
      </c>
      <c r="AC1668" s="16">
        <f t="shared" si="1634"/>
        <v>0</v>
      </c>
      <c r="AD1668" s="16">
        <f t="shared" si="1634"/>
        <v>0</v>
      </c>
      <c r="AE1668" s="16">
        <f t="shared" si="1634"/>
        <v>0</v>
      </c>
      <c r="AF1668" s="16">
        <f t="shared" si="1634"/>
        <v>0</v>
      </c>
      <c r="AG1668" s="16">
        <f t="shared" si="1634"/>
        <v>0</v>
      </c>
      <c r="AH1668" s="16">
        <f t="shared" si="1634"/>
        <v>0</v>
      </c>
      <c r="AI1668" s="16">
        <f t="shared" si="1634"/>
        <v>0</v>
      </c>
      <c r="AJ1668" s="16">
        <f t="shared" si="1634"/>
        <v>0</v>
      </c>
      <c r="AK1668" s="16">
        <f t="shared" si="1634"/>
        <v>0</v>
      </c>
      <c r="AL1668" s="16">
        <f t="shared" si="1634"/>
        <v>0</v>
      </c>
      <c r="AM1668" s="16">
        <f t="shared" si="1634"/>
        <v>0</v>
      </c>
      <c r="AN1668" s="16">
        <f t="shared" si="1634"/>
        <v>0</v>
      </c>
      <c r="AO1668" s="16">
        <f t="shared" si="1634"/>
        <v>0</v>
      </c>
      <c r="AP1668" s="10"/>
      <c r="AQ1668" s="10"/>
      <c r="AR1668" s="10"/>
      <c r="AS1668" s="10" t="str">
        <f t="shared" ca="1" si="1624"/>
        <v>Johnson &amp; Johnson</v>
      </c>
      <c r="AT1668" s="10"/>
      <c r="AU1668" s="10"/>
      <c r="AV1668" s="10"/>
      <c r="AW1668" s="10"/>
      <c r="AX1668" s="10"/>
      <c r="AY1668" s="10"/>
      <c r="AZ1668" s="10"/>
      <c r="BA1668" s="10"/>
      <c r="BB1668" s="10"/>
      <c r="BC1668" s="10"/>
      <c r="BD1668" s="10"/>
      <c r="BE1668" s="10"/>
      <c r="BF1668" s="10"/>
      <c r="BG1668" s="10"/>
      <c r="BH1668" s="10"/>
      <c r="BI1668" s="10"/>
      <c r="BJ1668" s="10"/>
      <c r="BK1668" s="10"/>
      <c r="BM1668" s="10"/>
    </row>
    <row r="1669" spans="1:65" ht="12.75">
      <c r="A1669" s="9"/>
      <c r="B1669" s="10"/>
      <c r="C1669" s="11"/>
      <c r="D1669" s="12"/>
      <c r="E1669" s="10"/>
      <c r="F1669" s="10"/>
      <c r="G1669" s="10"/>
      <c r="H1669" s="14"/>
      <c r="I1669" s="14"/>
      <c r="J1669" s="14"/>
      <c r="K1669" s="14"/>
      <c r="L1669" s="14"/>
      <c r="M1669" s="15"/>
      <c r="N1669" s="10"/>
      <c r="O1669" s="14"/>
      <c r="P1669" s="14"/>
      <c r="Q1669" s="14"/>
      <c r="R1669" s="14"/>
      <c r="S1669" s="14"/>
      <c r="T1669" s="14"/>
      <c r="U1669" s="14"/>
      <c r="V1669" s="14"/>
      <c r="W1669" s="14"/>
      <c r="X1669" s="14"/>
      <c r="Y1669" s="14"/>
      <c r="Z1669" s="14"/>
      <c r="AA1669" s="16" t="str">
        <f t="shared" ca="1" si="1634"/>
        <v>Johnson &amp; Johnson</v>
      </c>
      <c r="AB1669" s="16">
        <f t="shared" si="1634"/>
        <v>0</v>
      </c>
      <c r="AC1669" s="16">
        <f t="shared" si="1634"/>
        <v>0</v>
      </c>
      <c r="AD1669" s="16">
        <f t="shared" si="1634"/>
        <v>0</v>
      </c>
      <c r="AE1669" s="16">
        <f t="shared" si="1634"/>
        <v>0</v>
      </c>
      <c r="AF1669" s="16">
        <f t="shared" si="1634"/>
        <v>0</v>
      </c>
      <c r="AG1669" s="16">
        <f t="shared" si="1634"/>
        <v>0</v>
      </c>
      <c r="AH1669" s="16">
        <f t="shared" si="1634"/>
        <v>0</v>
      </c>
      <c r="AI1669" s="16">
        <f t="shared" si="1634"/>
        <v>0</v>
      </c>
      <c r="AJ1669" s="16">
        <f t="shared" si="1634"/>
        <v>0</v>
      </c>
      <c r="AK1669" s="16">
        <f t="shared" si="1634"/>
        <v>0</v>
      </c>
      <c r="AL1669" s="16">
        <f t="shared" si="1634"/>
        <v>0</v>
      </c>
      <c r="AM1669" s="16">
        <f t="shared" si="1634"/>
        <v>0</v>
      </c>
      <c r="AN1669" s="16">
        <f t="shared" si="1634"/>
        <v>0</v>
      </c>
      <c r="AO1669" s="16">
        <f t="shared" si="1634"/>
        <v>0</v>
      </c>
      <c r="AP1669" s="10"/>
      <c r="AQ1669" s="10"/>
      <c r="AR1669" s="10"/>
      <c r="AS1669" s="10" t="str">
        <f t="shared" ca="1" si="1624"/>
        <v>Johnson &amp; Johnson</v>
      </c>
      <c r="AT1669" s="10"/>
      <c r="AU1669" s="10"/>
      <c r="AV1669" s="10"/>
      <c r="AW1669" s="10"/>
      <c r="AX1669" s="10"/>
      <c r="AY1669" s="10"/>
      <c r="AZ1669" s="10"/>
      <c r="BA1669" s="10"/>
      <c r="BB1669" s="10"/>
      <c r="BC1669" s="10"/>
      <c r="BD1669" s="10"/>
      <c r="BE1669" s="10"/>
      <c r="BF1669" s="10"/>
      <c r="BG1669" s="10"/>
      <c r="BH1669" s="10"/>
      <c r="BI1669" s="10"/>
      <c r="BJ1669" s="10"/>
      <c r="BK1669" s="10"/>
      <c r="BM1669" s="10"/>
    </row>
    <row r="1670" spans="1:65" ht="12.75">
      <c r="A1670" s="9"/>
      <c r="B1670" s="10"/>
      <c r="C1670" s="11"/>
      <c r="D1670" s="12"/>
      <c r="E1670" s="10"/>
      <c r="F1670" s="10"/>
      <c r="G1670" s="10"/>
      <c r="H1670" s="14"/>
      <c r="I1670" s="14"/>
      <c r="J1670" s="14"/>
      <c r="K1670" s="14"/>
      <c r="L1670" s="14"/>
      <c r="M1670" s="15"/>
      <c r="N1670" s="10"/>
      <c r="O1670" s="14"/>
      <c r="P1670" s="14"/>
      <c r="Q1670" s="14"/>
      <c r="R1670" s="14"/>
      <c r="S1670" s="14"/>
      <c r="T1670" s="14"/>
      <c r="U1670" s="14"/>
      <c r="V1670" s="14"/>
      <c r="W1670" s="14"/>
      <c r="X1670" s="14"/>
      <c r="Y1670" s="14"/>
      <c r="Z1670" s="14"/>
      <c r="AA1670" s="16" t="str">
        <f t="shared" ca="1" si="1634"/>
        <v>Johnson &amp; Johnson</v>
      </c>
      <c r="AB1670" s="16">
        <f t="shared" si="1634"/>
        <v>0</v>
      </c>
      <c r="AC1670" s="16">
        <f t="shared" si="1634"/>
        <v>0</v>
      </c>
      <c r="AD1670" s="16">
        <f t="shared" si="1634"/>
        <v>0</v>
      </c>
      <c r="AE1670" s="16">
        <f t="shared" si="1634"/>
        <v>0</v>
      </c>
      <c r="AF1670" s="16">
        <f t="shared" si="1634"/>
        <v>0</v>
      </c>
      <c r="AG1670" s="16">
        <f t="shared" si="1634"/>
        <v>0</v>
      </c>
      <c r="AH1670" s="16">
        <f t="shared" si="1634"/>
        <v>0</v>
      </c>
      <c r="AI1670" s="16">
        <f t="shared" si="1634"/>
        <v>0</v>
      </c>
      <c r="AJ1670" s="16">
        <f t="shared" si="1634"/>
        <v>0</v>
      </c>
      <c r="AK1670" s="16">
        <f t="shared" si="1634"/>
        <v>0</v>
      </c>
      <c r="AL1670" s="16">
        <f t="shared" si="1634"/>
        <v>0</v>
      </c>
      <c r="AM1670" s="16">
        <f t="shared" si="1634"/>
        <v>0</v>
      </c>
      <c r="AN1670" s="16">
        <f t="shared" si="1634"/>
        <v>0</v>
      </c>
      <c r="AO1670" s="16">
        <f t="shared" si="1634"/>
        <v>0</v>
      </c>
      <c r="AP1670" s="10"/>
      <c r="AQ1670" s="10"/>
      <c r="AR1670" s="10"/>
      <c r="AS1670" s="10" t="str">
        <f t="shared" ca="1" si="1624"/>
        <v>Johnson &amp; Johnson</v>
      </c>
      <c r="AT1670" s="10"/>
      <c r="AU1670" s="10"/>
      <c r="AV1670" s="10"/>
      <c r="AW1670" s="10"/>
      <c r="AX1670" s="10"/>
      <c r="AY1670" s="10"/>
      <c r="AZ1670" s="10"/>
      <c r="BA1670" s="10"/>
      <c r="BB1670" s="10"/>
      <c r="BC1670" s="10"/>
      <c r="BD1670" s="10"/>
      <c r="BE1670" s="10"/>
      <c r="BF1670" s="10"/>
      <c r="BG1670" s="10"/>
      <c r="BH1670" s="10"/>
      <c r="BI1670" s="10"/>
      <c r="BJ1670" s="10"/>
      <c r="BK1670" s="10"/>
      <c r="BM1670" s="10"/>
    </row>
    <row r="1671" spans="1:65" ht="12.75">
      <c r="A1671" s="9"/>
      <c r="B1671" s="10"/>
      <c r="C1671" s="11"/>
      <c r="D1671" s="12"/>
      <c r="E1671" s="10"/>
      <c r="F1671" s="10"/>
      <c r="G1671" s="10"/>
      <c r="H1671" s="14"/>
      <c r="I1671" s="14"/>
      <c r="J1671" s="14"/>
      <c r="K1671" s="14"/>
      <c r="L1671" s="14"/>
      <c r="M1671" s="15"/>
      <c r="N1671" s="10"/>
      <c r="O1671" s="14"/>
      <c r="P1671" s="14"/>
      <c r="Q1671" s="14"/>
      <c r="R1671" s="14"/>
      <c r="S1671" s="14"/>
      <c r="T1671" s="14"/>
      <c r="U1671" s="14"/>
      <c r="V1671" s="14"/>
      <c r="W1671" s="14"/>
      <c r="X1671" s="14"/>
      <c r="Y1671" s="14"/>
      <c r="Z1671" s="14"/>
      <c r="AA1671" s="16" t="str">
        <f t="shared" ca="1" si="1634"/>
        <v>Johnson &amp; Johnson</v>
      </c>
      <c r="AB1671" s="16">
        <f t="shared" si="1634"/>
        <v>0</v>
      </c>
      <c r="AC1671" s="16">
        <f t="shared" si="1634"/>
        <v>0</v>
      </c>
      <c r="AD1671" s="16">
        <f t="shared" si="1634"/>
        <v>0</v>
      </c>
      <c r="AE1671" s="16">
        <f t="shared" si="1634"/>
        <v>0</v>
      </c>
      <c r="AF1671" s="16">
        <f t="shared" si="1634"/>
        <v>0</v>
      </c>
      <c r="AG1671" s="16">
        <f t="shared" si="1634"/>
        <v>0</v>
      </c>
      <c r="AH1671" s="16">
        <f t="shared" si="1634"/>
        <v>0</v>
      </c>
      <c r="AI1671" s="16">
        <f t="shared" si="1634"/>
        <v>0</v>
      </c>
      <c r="AJ1671" s="16">
        <f t="shared" si="1634"/>
        <v>0</v>
      </c>
      <c r="AK1671" s="16">
        <f t="shared" si="1634"/>
        <v>0</v>
      </c>
      <c r="AL1671" s="16">
        <f t="shared" si="1634"/>
        <v>0</v>
      </c>
      <c r="AM1671" s="16">
        <f t="shared" si="1634"/>
        <v>0</v>
      </c>
      <c r="AN1671" s="16">
        <f t="shared" si="1634"/>
        <v>0</v>
      </c>
      <c r="AO1671" s="16">
        <f t="shared" si="1634"/>
        <v>0</v>
      </c>
      <c r="AP1671" s="10"/>
      <c r="AQ1671" s="10"/>
      <c r="AR1671" s="10"/>
      <c r="AS1671" s="10" t="str">
        <f t="shared" ca="1" si="1624"/>
        <v>Johnson &amp; Johnson</v>
      </c>
      <c r="AT1671" s="10"/>
      <c r="AU1671" s="10"/>
      <c r="AV1671" s="10"/>
      <c r="AW1671" s="10"/>
      <c r="AX1671" s="10"/>
      <c r="AY1671" s="10"/>
      <c r="AZ1671" s="10"/>
      <c r="BA1671" s="10"/>
      <c r="BB1671" s="10"/>
      <c r="BC1671" s="10"/>
      <c r="BD1671" s="10"/>
      <c r="BE1671" s="10"/>
      <c r="BF1671" s="10"/>
      <c r="BG1671" s="10"/>
      <c r="BH1671" s="10"/>
      <c r="BI1671" s="10"/>
      <c r="BJ1671" s="10"/>
      <c r="BK1671" s="10"/>
      <c r="BM1671" s="10"/>
    </row>
    <row r="1672" spans="1:65" ht="12.75">
      <c r="A1672" s="9"/>
      <c r="B1672" s="10"/>
      <c r="C1672" s="11"/>
      <c r="D1672" s="12"/>
      <c r="E1672" s="10"/>
      <c r="F1672" s="10"/>
      <c r="G1672" s="10"/>
      <c r="H1672" s="14"/>
      <c r="I1672" s="14"/>
      <c r="J1672" s="14"/>
      <c r="K1672" s="14"/>
      <c r="L1672" s="14"/>
      <c r="M1672" s="15"/>
      <c r="N1672" s="10"/>
      <c r="O1672" s="14"/>
      <c r="P1672" s="14"/>
      <c r="Q1672" s="14"/>
      <c r="R1672" s="14"/>
      <c r="S1672" s="14"/>
      <c r="T1672" s="14"/>
      <c r="U1672" s="14"/>
      <c r="V1672" s="14"/>
      <c r="W1672" s="14"/>
      <c r="X1672" s="14"/>
      <c r="Y1672" s="14"/>
      <c r="Z1672" s="14"/>
      <c r="AA1672" s="16" t="str">
        <f t="shared" ca="1" si="1634"/>
        <v>Johnson &amp; Johnson</v>
      </c>
      <c r="AB1672" s="16">
        <f t="shared" si="1634"/>
        <v>0</v>
      </c>
      <c r="AC1672" s="16">
        <f t="shared" si="1634"/>
        <v>0</v>
      </c>
      <c r="AD1672" s="16">
        <f t="shared" si="1634"/>
        <v>0</v>
      </c>
      <c r="AE1672" s="16">
        <f t="shared" si="1634"/>
        <v>0</v>
      </c>
      <c r="AF1672" s="16">
        <f t="shared" si="1634"/>
        <v>0</v>
      </c>
      <c r="AG1672" s="16">
        <f t="shared" si="1634"/>
        <v>0</v>
      </c>
      <c r="AH1672" s="16">
        <f t="shared" si="1634"/>
        <v>0</v>
      </c>
      <c r="AI1672" s="16">
        <f t="shared" si="1634"/>
        <v>0</v>
      </c>
      <c r="AJ1672" s="16">
        <f t="shared" si="1634"/>
        <v>0</v>
      </c>
      <c r="AK1672" s="16">
        <f t="shared" si="1634"/>
        <v>0</v>
      </c>
      <c r="AL1672" s="16">
        <f t="shared" si="1634"/>
        <v>0</v>
      </c>
      <c r="AM1672" s="16">
        <f t="shared" si="1634"/>
        <v>0</v>
      </c>
      <c r="AN1672" s="16">
        <f t="shared" si="1634"/>
        <v>0</v>
      </c>
      <c r="AO1672" s="16">
        <f t="shared" si="1634"/>
        <v>0</v>
      </c>
      <c r="AP1672" s="10"/>
      <c r="AQ1672" s="10"/>
      <c r="AR1672" s="10"/>
      <c r="AS1672" s="10" t="str">
        <f t="shared" ca="1" si="1624"/>
        <v>Johnson &amp; Johnson</v>
      </c>
      <c r="AT1672" s="10"/>
      <c r="AU1672" s="10"/>
      <c r="AV1672" s="10"/>
      <c r="AW1672" s="10"/>
      <c r="AX1672" s="10"/>
      <c r="AY1672" s="10"/>
      <c r="AZ1672" s="10"/>
      <c r="BA1672" s="10"/>
      <c r="BB1672" s="10"/>
      <c r="BC1672" s="10"/>
      <c r="BD1672" s="10"/>
      <c r="BE1672" s="10"/>
      <c r="BF1672" s="10"/>
      <c r="BG1672" s="10"/>
      <c r="BH1672" s="10"/>
      <c r="BI1672" s="10"/>
      <c r="BJ1672" s="10"/>
      <c r="BK1672" s="10"/>
      <c r="BM1672" s="10"/>
    </row>
    <row r="1673" spans="1:65" ht="12.75">
      <c r="A1673" s="9"/>
      <c r="B1673" s="10"/>
      <c r="C1673" s="11"/>
      <c r="D1673" s="12"/>
      <c r="E1673" s="10"/>
      <c r="F1673" s="10"/>
      <c r="G1673" s="10"/>
      <c r="H1673" s="14"/>
      <c r="I1673" s="14"/>
      <c r="J1673" s="14"/>
      <c r="K1673" s="14"/>
      <c r="L1673" s="14"/>
      <c r="M1673" s="15"/>
      <c r="N1673" s="10"/>
      <c r="O1673" s="14"/>
      <c r="P1673" s="14"/>
      <c r="Q1673" s="14"/>
      <c r="R1673" s="14"/>
      <c r="S1673" s="14"/>
      <c r="T1673" s="14"/>
      <c r="U1673" s="14"/>
      <c r="V1673" s="14"/>
      <c r="W1673" s="14"/>
      <c r="X1673" s="14"/>
      <c r="Y1673" s="14"/>
      <c r="Z1673" s="14"/>
      <c r="AA1673" s="16" t="str">
        <f t="shared" ref="AA1673:AO1688" ca="1" si="1635">AS1673</f>
        <v>Johnson &amp; Johnson</v>
      </c>
      <c r="AB1673" s="16">
        <f t="shared" si="1635"/>
        <v>0</v>
      </c>
      <c r="AC1673" s="16">
        <f t="shared" si="1635"/>
        <v>0</v>
      </c>
      <c r="AD1673" s="16">
        <f t="shared" si="1635"/>
        <v>0</v>
      </c>
      <c r="AE1673" s="16">
        <f t="shared" si="1635"/>
        <v>0</v>
      </c>
      <c r="AF1673" s="16">
        <f t="shared" si="1635"/>
        <v>0</v>
      </c>
      <c r="AG1673" s="16">
        <f t="shared" si="1635"/>
        <v>0</v>
      </c>
      <c r="AH1673" s="16">
        <f t="shared" si="1635"/>
        <v>0</v>
      </c>
      <c r="AI1673" s="16">
        <f t="shared" si="1635"/>
        <v>0</v>
      </c>
      <c r="AJ1673" s="16">
        <f t="shared" si="1635"/>
        <v>0</v>
      </c>
      <c r="AK1673" s="16">
        <f t="shared" si="1635"/>
        <v>0</v>
      </c>
      <c r="AL1673" s="16">
        <f t="shared" si="1635"/>
        <v>0</v>
      </c>
      <c r="AM1673" s="16">
        <f t="shared" si="1635"/>
        <v>0</v>
      </c>
      <c r="AN1673" s="16">
        <f t="shared" si="1635"/>
        <v>0</v>
      </c>
      <c r="AO1673" s="16">
        <f t="shared" si="1635"/>
        <v>0</v>
      </c>
      <c r="AP1673" s="10"/>
      <c r="AQ1673" s="10"/>
      <c r="AR1673" s="10"/>
      <c r="AS1673" s="10" t="str">
        <f t="shared" ca="1" si="1624"/>
        <v>Johnson &amp; Johnson</v>
      </c>
      <c r="AT1673" s="10"/>
      <c r="AU1673" s="10"/>
      <c r="AV1673" s="10"/>
      <c r="AW1673" s="10"/>
      <c r="AX1673" s="10"/>
      <c r="AY1673" s="10"/>
      <c r="AZ1673" s="10"/>
      <c r="BA1673" s="10"/>
      <c r="BB1673" s="10"/>
      <c r="BC1673" s="10"/>
      <c r="BD1673" s="10"/>
      <c r="BE1673" s="10"/>
      <c r="BF1673" s="10"/>
      <c r="BG1673" s="10"/>
      <c r="BH1673" s="10"/>
      <c r="BI1673" s="10"/>
      <c r="BJ1673" s="10"/>
      <c r="BK1673" s="10"/>
      <c r="BM1673" s="10"/>
    </row>
    <row r="1674" spans="1:65" ht="12.75">
      <c r="A1674" s="9"/>
      <c r="B1674" s="10"/>
      <c r="C1674" s="11"/>
      <c r="D1674" s="12"/>
      <c r="E1674" s="10"/>
      <c r="F1674" s="10"/>
      <c r="G1674" s="10"/>
      <c r="H1674" s="14"/>
      <c r="I1674" s="14"/>
      <c r="J1674" s="14"/>
      <c r="K1674" s="14"/>
      <c r="L1674" s="14"/>
      <c r="M1674" s="15"/>
      <c r="N1674" s="10"/>
      <c r="O1674" s="14"/>
      <c r="P1674" s="14"/>
      <c r="Q1674" s="14"/>
      <c r="R1674" s="14"/>
      <c r="S1674" s="14"/>
      <c r="T1674" s="14"/>
      <c r="U1674" s="14"/>
      <c r="V1674" s="14"/>
      <c r="W1674" s="14"/>
      <c r="X1674" s="14"/>
      <c r="Y1674" s="14"/>
      <c r="Z1674" s="14"/>
      <c r="AA1674" s="16" t="str">
        <f t="shared" ca="1" si="1635"/>
        <v>Johnson &amp; Johnson</v>
      </c>
      <c r="AB1674" s="16">
        <f t="shared" si="1635"/>
        <v>0</v>
      </c>
      <c r="AC1674" s="16">
        <f t="shared" si="1635"/>
        <v>0</v>
      </c>
      <c r="AD1674" s="16">
        <f t="shared" si="1635"/>
        <v>0</v>
      </c>
      <c r="AE1674" s="16">
        <f t="shared" si="1635"/>
        <v>0</v>
      </c>
      <c r="AF1674" s="16">
        <f t="shared" si="1635"/>
        <v>0</v>
      </c>
      <c r="AG1674" s="16">
        <f t="shared" si="1635"/>
        <v>0</v>
      </c>
      <c r="AH1674" s="16">
        <f t="shared" si="1635"/>
        <v>0</v>
      </c>
      <c r="AI1674" s="16">
        <f t="shared" si="1635"/>
        <v>0</v>
      </c>
      <c r="AJ1674" s="16">
        <f t="shared" si="1635"/>
        <v>0</v>
      </c>
      <c r="AK1674" s="16">
        <f t="shared" si="1635"/>
        <v>0</v>
      </c>
      <c r="AL1674" s="16">
        <f t="shared" si="1635"/>
        <v>0</v>
      </c>
      <c r="AM1674" s="16">
        <f t="shared" si="1635"/>
        <v>0</v>
      </c>
      <c r="AN1674" s="16">
        <f t="shared" si="1635"/>
        <v>0</v>
      </c>
      <c r="AO1674" s="16">
        <f t="shared" si="1635"/>
        <v>0</v>
      </c>
      <c r="AP1674" s="10"/>
      <c r="AQ1674" s="10"/>
      <c r="AR1674" s="10"/>
      <c r="AS1674" s="10" t="str">
        <f t="shared" ca="1" si="1624"/>
        <v>Johnson &amp; Johnson</v>
      </c>
      <c r="AT1674" s="10"/>
      <c r="AU1674" s="10"/>
      <c r="AV1674" s="10"/>
      <c r="AW1674" s="10"/>
      <c r="AX1674" s="10"/>
      <c r="AY1674" s="10"/>
      <c r="AZ1674" s="10"/>
      <c r="BA1674" s="10"/>
      <c r="BB1674" s="10"/>
      <c r="BC1674" s="10"/>
      <c r="BD1674" s="10"/>
      <c r="BE1674" s="10"/>
      <c r="BF1674" s="10"/>
      <c r="BG1674" s="10"/>
      <c r="BH1674" s="10"/>
      <c r="BI1674" s="10"/>
      <c r="BJ1674" s="10"/>
      <c r="BK1674" s="10"/>
      <c r="BM1674" s="10"/>
    </row>
    <row r="1675" spans="1:65" ht="12.75">
      <c r="A1675" s="9"/>
      <c r="B1675" s="10"/>
      <c r="C1675" s="11"/>
      <c r="D1675" s="12"/>
      <c r="E1675" s="10"/>
      <c r="F1675" s="10"/>
      <c r="G1675" s="10"/>
      <c r="H1675" s="14"/>
      <c r="I1675" s="14"/>
      <c r="J1675" s="14"/>
      <c r="K1675" s="14"/>
      <c r="L1675" s="14"/>
      <c r="M1675" s="15"/>
      <c r="N1675" s="10"/>
      <c r="O1675" s="14"/>
      <c r="P1675" s="14"/>
      <c r="Q1675" s="14"/>
      <c r="R1675" s="14"/>
      <c r="S1675" s="14"/>
      <c r="T1675" s="14"/>
      <c r="U1675" s="14"/>
      <c r="V1675" s="14"/>
      <c r="W1675" s="14"/>
      <c r="X1675" s="14"/>
      <c r="Y1675" s="14"/>
      <c r="Z1675" s="14"/>
      <c r="AA1675" s="16" t="str">
        <f t="shared" ca="1" si="1635"/>
        <v>Johnson &amp; Johnson</v>
      </c>
      <c r="AB1675" s="16">
        <f t="shared" si="1635"/>
        <v>0</v>
      </c>
      <c r="AC1675" s="16">
        <f t="shared" si="1635"/>
        <v>0</v>
      </c>
      <c r="AD1675" s="16">
        <f t="shared" si="1635"/>
        <v>0</v>
      </c>
      <c r="AE1675" s="16">
        <f t="shared" si="1635"/>
        <v>0</v>
      </c>
      <c r="AF1675" s="16">
        <f t="shared" si="1635"/>
        <v>0</v>
      </c>
      <c r="AG1675" s="16">
        <f t="shared" si="1635"/>
        <v>0</v>
      </c>
      <c r="AH1675" s="16">
        <f t="shared" si="1635"/>
        <v>0</v>
      </c>
      <c r="AI1675" s="16">
        <f t="shared" si="1635"/>
        <v>0</v>
      </c>
      <c r="AJ1675" s="16">
        <f t="shared" si="1635"/>
        <v>0</v>
      </c>
      <c r="AK1675" s="16">
        <f t="shared" si="1635"/>
        <v>0</v>
      </c>
      <c r="AL1675" s="16">
        <f t="shared" si="1635"/>
        <v>0</v>
      </c>
      <c r="AM1675" s="16">
        <f t="shared" si="1635"/>
        <v>0</v>
      </c>
      <c r="AN1675" s="16">
        <f t="shared" si="1635"/>
        <v>0</v>
      </c>
      <c r="AO1675" s="16">
        <f t="shared" si="1635"/>
        <v>0</v>
      </c>
      <c r="AP1675" s="10"/>
      <c r="AQ1675" s="10"/>
      <c r="AR1675" s="10"/>
      <c r="AS1675" s="10" t="str">
        <f t="shared" ca="1" si="1624"/>
        <v>Johnson &amp; Johnson</v>
      </c>
      <c r="AT1675" s="10"/>
      <c r="AU1675" s="10"/>
      <c r="AV1675" s="10"/>
      <c r="AW1675" s="10"/>
      <c r="AX1675" s="10"/>
      <c r="AY1675" s="10"/>
      <c r="AZ1675" s="10"/>
      <c r="BA1675" s="10"/>
      <c r="BB1675" s="10"/>
      <c r="BC1675" s="10"/>
      <c r="BD1675" s="10"/>
      <c r="BE1675" s="10"/>
      <c r="BF1675" s="10"/>
      <c r="BG1675" s="10"/>
      <c r="BH1675" s="10"/>
      <c r="BI1675" s="10"/>
      <c r="BJ1675" s="10"/>
      <c r="BK1675" s="10"/>
      <c r="BM1675" s="10"/>
    </row>
    <row r="1676" spans="1:65" ht="12.75">
      <c r="A1676" s="9"/>
      <c r="B1676" s="10"/>
      <c r="C1676" s="11"/>
      <c r="D1676" s="12"/>
      <c r="E1676" s="10"/>
      <c r="F1676" s="10"/>
      <c r="G1676" s="10"/>
      <c r="H1676" s="14"/>
      <c r="I1676" s="14"/>
      <c r="J1676" s="14"/>
      <c r="K1676" s="14"/>
      <c r="L1676" s="14"/>
      <c r="M1676" s="15"/>
      <c r="N1676" s="10"/>
      <c r="O1676" s="14"/>
      <c r="P1676" s="14"/>
      <c r="Q1676" s="14"/>
      <c r="R1676" s="14"/>
      <c r="S1676" s="14"/>
      <c r="T1676" s="14"/>
      <c r="U1676" s="14"/>
      <c r="V1676" s="14"/>
      <c r="W1676" s="14"/>
      <c r="X1676" s="14"/>
      <c r="Y1676" s="14"/>
      <c r="Z1676" s="14"/>
      <c r="AA1676" s="16" t="str">
        <f t="shared" ca="1" si="1635"/>
        <v>Johnson &amp; Johnson</v>
      </c>
      <c r="AB1676" s="16">
        <f t="shared" si="1635"/>
        <v>0</v>
      </c>
      <c r="AC1676" s="16">
        <f t="shared" si="1635"/>
        <v>0</v>
      </c>
      <c r="AD1676" s="16">
        <f t="shared" si="1635"/>
        <v>0</v>
      </c>
      <c r="AE1676" s="16">
        <f t="shared" si="1635"/>
        <v>0</v>
      </c>
      <c r="AF1676" s="16">
        <f t="shared" si="1635"/>
        <v>0</v>
      </c>
      <c r="AG1676" s="16">
        <f t="shared" si="1635"/>
        <v>0</v>
      </c>
      <c r="AH1676" s="16">
        <f t="shared" si="1635"/>
        <v>0</v>
      </c>
      <c r="AI1676" s="16">
        <f t="shared" si="1635"/>
        <v>0</v>
      </c>
      <c r="AJ1676" s="16">
        <f t="shared" si="1635"/>
        <v>0</v>
      </c>
      <c r="AK1676" s="16">
        <f t="shared" si="1635"/>
        <v>0</v>
      </c>
      <c r="AL1676" s="16">
        <f t="shared" si="1635"/>
        <v>0</v>
      </c>
      <c r="AM1676" s="16">
        <f t="shared" si="1635"/>
        <v>0</v>
      </c>
      <c r="AN1676" s="16">
        <f t="shared" si="1635"/>
        <v>0</v>
      </c>
      <c r="AO1676" s="16">
        <f t="shared" si="1635"/>
        <v>0</v>
      </c>
      <c r="AP1676" s="10"/>
      <c r="AQ1676" s="10"/>
      <c r="AR1676" s="10"/>
      <c r="AS1676" s="10" t="str">
        <f t="shared" ca="1" si="1624"/>
        <v>Johnson &amp; Johnson</v>
      </c>
      <c r="AT1676" s="10"/>
      <c r="AU1676" s="10"/>
      <c r="AV1676" s="10"/>
      <c r="AW1676" s="10"/>
      <c r="AX1676" s="10"/>
      <c r="AY1676" s="10"/>
      <c r="AZ1676" s="10"/>
      <c r="BA1676" s="10"/>
      <c r="BB1676" s="10"/>
      <c r="BC1676" s="10"/>
      <c r="BD1676" s="10"/>
      <c r="BE1676" s="10"/>
      <c r="BF1676" s="10"/>
      <c r="BG1676" s="10"/>
      <c r="BH1676" s="10"/>
      <c r="BI1676" s="10"/>
      <c r="BJ1676" s="10"/>
      <c r="BK1676" s="10"/>
      <c r="BM1676" s="10"/>
    </row>
    <row r="1677" spans="1:65" ht="12.75">
      <c r="A1677" s="9"/>
      <c r="B1677" s="10"/>
      <c r="C1677" s="11"/>
      <c r="D1677" s="12"/>
      <c r="E1677" s="10"/>
      <c r="F1677" s="10"/>
      <c r="G1677" s="10"/>
      <c r="H1677" s="14"/>
      <c r="I1677" s="14"/>
      <c r="J1677" s="14"/>
      <c r="K1677" s="14"/>
      <c r="L1677" s="14"/>
      <c r="M1677" s="15"/>
      <c r="N1677" s="10"/>
      <c r="O1677" s="14"/>
      <c r="P1677" s="14"/>
      <c r="Q1677" s="14"/>
      <c r="R1677" s="14"/>
      <c r="S1677" s="14"/>
      <c r="T1677" s="14"/>
      <c r="U1677" s="14"/>
      <c r="V1677" s="14"/>
      <c r="W1677" s="14"/>
      <c r="X1677" s="14"/>
      <c r="Y1677" s="14"/>
      <c r="Z1677" s="14"/>
      <c r="AA1677" s="16" t="str">
        <f t="shared" ca="1" si="1635"/>
        <v>Johnson &amp; Johnson</v>
      </c>
      <c r="AB1677" s="16">
        <f t="shared" si="1635"/>
        <v>0</v>
      </c>
      <c r="AC1677" s="16">
        <f t="shared" si="1635"/>
        <v>0</v>
      </c>
      <c r="AD1677" s="16">
        <f t="shared" si="1635"/>
        <v>0</v>
      </c>
      <c r="AE1677" s="16">
        <f t="shared" si="1635"/>
        <v>0</v>
      </c>
      <c r="AF1677" s="16">
        <f t="shared" si="1635"/>
        <v>0</v>
      </c>
      <c r="AG1677" s="16">
        <f t="shared" si="1635"/>
        <v>0</v>
      </c>
      <c r="AH1677" s="16">
        <f t="shared" si="1635"/>
        <v>0</v>
      </c>
      <c r="AI1677" s="16">
        <f t="shared" si="1635"/>
        <v>0</v>
      </c>
      <c r="AJ1677" s="16">
        <f t="shared" si="1635"/>
        <v>0</v>
      </c>
      <c r="AK1677" s="16">
        <f t="shared" si="1635"/>
        <v>0</v>
      </c>
      <c r="AL1677" s="16">
        <f t="shared" si="1635"/>
        <v>0</v>
      </c>
      <c r="AM1677" s="16">
        <f t="shared" si="1635"/>
        <v>0</v>
      </c>
      <c r="AN1677" s="16">
        <f t="shared" si="1635"/>
        <v>0</v>
      </c>
      <c r="AO1677" s="16">
        <f t="shared" si="1635"/>
        <v>0</v>
      </c>
      <c r="AP1677" s="10"/>
      <c r="AQ1677" s="10"/>
      <c r="AR1677" s="10"/>
      <c r="AS1677" s="10" t="str">
        <f t="shared" ca="1" si="1624"/>
        <v>Johnson &amp; Johnson</v>
      </c>
      <c r="AT1677" s="10"/>
      <c r="AU1677" s="10"/>
      <c r="AV1677" s="10"/>
      <c r="AW1677" s="10"/>
      <c r="AX1677" s="10"/>
      <c r="AY1677" s="10"/>
      <c r="AZ1677" s="10"/>
      <c r="BA1677" s="10"/>
      <c r="BB1677" s="10"/>
      <c r="BC1677" s="10"/>
      <c r="BD1677" s="10"/>
      <c r="BE1677" s="10"/>
      <c r="BF1677" s="10"/>
      <c r="BG1677" s="10"/>
      <c r="BH1677" s="10"/>
      <c r="BI1677" s="10"/>
      <c r="BJ1677" s="10"/>
      <c r="BK1677" s="10"/>
      <c r="BM1677" s="10"/>
    </row>
    <row r="1678" spans="1:65" ht="12.75">
      <c r="A1678" s="9"/>
      <c r="B1678" s="10"/>
      <c r="C1678" s="11"/>
      <c r="D1678" s="12"/>
      <c r="E1678" s="10"/>
      <c r="F1678" s="10"/>
      <c r="G1678" s="10"/>
      <c r="H1678" s="14"/>
      <c r="I1678" s="14"/>
      <c r="J1678" s="14"/>
      <c r="K1678" s="14"/>
      <c r="L1678" s="14"/>
      <c r="M1678" s="15"/>
      <c r="N1678" s="10"/>
      <c r="O1678" s="14"/>
      <c r="P1678" s="14"/>
      <c r="Q1678" s="14"/>
      <c r="R1678" s="14"/>
      <c r="S1678" s="14"/>
      <c r="T1678" s="14"/>
      <c r="U1678" s="14"/>
      <c r="V1678" s="14"/>
      <c r="W1678" s="14"/>
      <c r="X1678" s="14"/>
      <c r="Y1678" s="14"/>
      <c r="Z1678" s="14"/>
      <c r="AA1678" s="16" t="str">
        <f t="shared" ca="1" si="1635"/>
        <v>Johnson &amp; Johnson</v>
      </c>
      <c r="AB1678" s="16">
        <f t="shared" si="1635"/>
        <v>0</v>
      </c>
      <c r="AC1678" s="16">
        <f t="shared" si="1635"/>
        <v>0</v>
      </c>
      <c r="AD1678" s="16">
        <f t="shared" si="1635"/>
        <v>0</v>
      </c>
      <c r="AE1678" s="16">
        <f t="shared" si="1635"/>
        <v>0</v>
      </c>
      <c r="AF1678" s="16">
        <f t="shared" si="1635"/>
        <v>0</v>
      </c>
      <c r="AG1678" s="16">
        <f t="shared" si="1635"/>
        <v>0</v>
      </c>
      <c r="AH1678" s="16">
        <f t="shared" si="1635"/>
        <v>0</v>
      </c>
      <c r="AI1678" s="16">
        <f t="shared" si="1635"/>
        <v>0</v>
      </c>
      <c r="AJ1678" s="16">
        <f t="shared" si="1635"/>
        <v>0</v>
      </c>
      <c r="AK1678" s="16">
        <f t="shared" si="1635"/>
        <v>0</v>
      </c>
      <c r="AL1678" s="16">
        <f t="shared" si="1635"/>
        <v>0</v>
      </c>
      <c r="AM1678" s="16">
        <f t="shared" si="1635"/>
        <v>0</v>
      </c>
      <c r="AN1678" s="16">
        <f t="shared" si="1635"/>
        <v>0</v>
      </c>
      <c r="AO1678" s="16">
        <f t="shared" si="1635"/>
        <v>0</v>
      </c>
      <c r="AP1678" s="10"/>
      <c r="AQ1678" s="10"/>
      <c r="AR1678" s="10"/>
      <c r="AS1678" s="10" t="str">
        <f t="shared" ca="1" si="1624"/>
        <v>Johnson &amp; Johnson</v>
      </c>
      <c r="AT1678" s="10"/>
      <c r="AU1678" s="10"/>
      <c r="AV1678" s="10"/>
      <c r="AW1678" s="10"/>
      <c r="AX1678" s="10"/>
      <c r="AY1678" s="10"/>
      <c r="AZ1678" s="10"/>
      <c r="BA1678" s="10"/>
      <c r="BB1678" s="10"/>
      <c r="BC1678" s="10"/>
      <c r="BD1678" s="10"/>
      <c r="BE1678" s="10"/>
      <c r="BF1678" s="10"/>
      <c r="BG1678" s="10"/>
      <c r="BH1678" s="10"/>
      <c r="BI1678" s="10"/>
      <c r="BJ1678" s="10"/>
      <c r="BK1678" s="10"/>
      <c r="BM1678" s="10"/>
    </row>
    <row r="1679" spans="1:65" ht="12.75">
      <c r="A1679" s="9"/>
      <c r="B1679" s="10"/>
      <c r="C1679" s="11"/>
      <c r="D1679" s="12"/>
      <c r="E1679" s="10"/>
      <c r="F1679" s="10"/>
      <c r="G1679" s="10"/>
      <c r="H1679" s="14"/>
      <c r="I1679" s="14"/>
      <c r="J1679" s="14"/>
      <c r="K1679" s="14"/>
      <c r="L1679" s="14"/>
      <c r="M1679" s="15"/>
      <c r="N1679" s="10"/>
      <c r="O1679" s="14"/>
      <c r="P1679" s="14"/>
      <c r="Q1679" s="14"/>
      <c r="R1679" s="14"/>
      <c r="S1679" s="14"/>
      <c r="T1679" s="14"/>
      <c r="U1679" s="14"/>
      <c r="V1679" s="14"/>
      <c r="W1679" s="14"/>
      <c r="X1679" s="14"/>
      <c r="Y1679" s="14"/>
      <c r="Z1679" s="14"/>
      <c r="AA1679" s="16" t="str">
        <f t="shared" ca="1" si="1635"/>
        <v>Johnson &amp; Johnson</v>
      </c>
      <c r="AB1679" s="16">
        <f t="shared" si="1635"/>
        <v>0</v>
      </c>
      <c r="AC1679" s="16">
        <f t="shared" si="1635"/>
        <v>0</v>
      </c>
      <c r="AD1679" s="16">
        <f t="shared" si="1635"/>
        <v>0</v>
      </c>
      <c r="AE1679" s="16">
        <f t="shared" si="1635"/>
        <v>0</v>
      </c>
      <c r="AF1679" s="16">
        <f t="shared" si="1635"/>
        <v>0</v>
      </c>
      <c r="AG1679" s="16">
        <f t="shared" si="1635"/>
        <v>0</v>
      </c>
      <c r="AH1679" s="16">
        <f t="shared" si="1635"/>
        <v>0</v>
      </c>
      <c r="AI1679" s="16">
        <f t="shared" si="1635"/>
        <v>0</v>
      </c>
      <c r="AJ1679" s="16">
        <f t="shared" si="1635"/>
        <v>0</v>
      </c>
      <c r="AK1679" s="16">
        <f t="shared" si="1635"/>
        <v>0</v>
      </c>
      <c r="AL1679" s="16">
        <f t="shared" si="1635"/>
        <v>0</v>
      </c>
      <c r="AM1679" s="16">
        <f t="shared" si="1635"/>
        <v>0</v>
      </c>
      <c r="AN1679" s="16">
        <f t="shared" si="1635"/>
        <v>0</v>
      </c>
      <c r="AO1679" s="16">
        <f t="shared" si="1635"/>
        <v>0</v>
      </c>
      <c r="AP1679" s="10"/>
      <c r="AQ1679" s="10"/>
      <c r="AR1679" s="10"/>
      <c r="AS1679" s="10" t="str">
        <f t="shared" ca="1" si="1624"/>
        <v>Johnson &amp; Johnson</v>
      </c>
      <c r="AT1679" s="10"/>
      <c r="AU1679" s="10"/>
      <c r="AV1679" s="10"/>
      <c r="AW1679" s="10"/>
      <c r="AX1679" s="10"/>
      <c r="AY1679" s="10"/>
      <c r="AZ1679" s="10"/>
      <c r="BA1679" s="10"/>
      <c r="BB1679" s="10"/>
      <c r="BC1679" s="10"/>
      <c r="BD1679" s="10"/>
      <c r="BE1679" s="10"/>
      <c r="BF1679" s="10"/>
      <c r="BG1679" s="10"/>
      <c r="BH1679" s="10"/>
      <c r="BI1679" s="10"/>
      <c r="BJ1679" s="10"/>
      <c r="BK1679" s="10"/>
      <c r="BM1679" s="10"/>
    </row>
    <row r="1680" spans="1:65" ht="12.75">
      <c r="A1680" s="9"/>
      <c r="B1680" s="10"/>
      <c r="C1680" s="11"/>
      <c r="D1680" s="12"/>
      <c r="E1680" s="10"/>
      <c r="F1680" s="10"/>
      <c r="G1680" s="10"/>
      <c r="H1680" s="14"/>
      <c r="I1680" s="14"/>
      <c r="J1680" s="14"/>
      <c r="K1680" s="14"/>
      <c r="L1680" s="14"/>
      <c r="M1680" s="15"/>
      <c r="N1680" s="10"/>
      <c r="O1680" s="14"/>
      <c r="P1680" s="14"/>
      <c r="Q1680" s="14"/>
      <c r="R1680" s="14"/>
      <c r="S1680" s="14"/>
      <c r="T1680" s="14"/>
      <c r="U1680" s="14"/>
      <c r="V1680" s="14"/>
      <c r="W1680" s="14"/>
      <c r="X1680" s="14"/>
      <c r="Y1680" s="14"/>
      <c r="Z1680" s="14"/>
      <c r="AA1680" s="16" t="str">
        <f t="shared" ca="1" si="1635"/>
        <v>Johnson &amp; Johnson</v>
      </c>
      <c r="AB1680" s="16">
        <f t="shared" si="1635"/>
        <v>0</v>
      </c>
      <c r="AC1680" s="16">
        <f t="shared" si="1635"/>
        <v>0</v>
      </c>
      <c r="AD1680" s="16">
        <f t="shared" si="1635"/>
        <v>0</v>
      </c>
      <c r="AE1680" s="16">
        <f t="shared" si="1635"/>
        <v>0</v>
      </c>
      <c r="AF1680" s="16">
        <f t="shared" si="1635"/>
        <v>0</v>
      </c>
      <c r="AG1680" s="16">
        <f t="shared" si="1635"/>
        <v>0</v>
      </c>
      <c r="AH1680" s="16">
        <f t="shared" si="1635"/>
        <v>0</v>
      </c>
      <c r="AI1680" s="16">
        <f t="shared" si="1635"/>
        <v>0</v>
      </c>
      <c r="AJ1680" s="16">
        <f t="shared" si="1635"/>
        <v>0</v>
      </c>
      <c r="AK1680" s="16">
        <f t="shared" si="1635"/>
        <v>0</v>
      </c>
      <c r="AL1680" s="16">
        <f t="shared" si="1635"/>
        <v>0</v>
      </c>
      <c r="AM1680" s="16">
        <f t="shared" si="1635"/>
        <v>0</v>
      </c>
      <c r="AN1680" s="16">
        <f t="shared" si="1635"/>
        <v>0</v>
      </c>
      <c r="AO1680" s="16">
        <f t="shared" si="1635"/>
        <v>0</v>
      </c>
      <c r="AP1680" s="10"/>
      <c r="AQ1680" s="10"/>
      <c r="AR1680" s="10"/>
      <c r="AS1680" s="10" t="str">
        <f t="shared" ca="1" si="1624"/>
        <v>Johnson &amp; Johnson</v>
      </c>
      <c r="AT1680" s="10"/>
      <c r="AU1680" s="10"/>
      <c r="AV1680" s="10"/>
      <c r="AW1680" s="10"/>
      <c r="AX1680" s="10"/>
      <c r="AY1680" s="10"/>
      <c r="AZ1680" s="10"/>
      <c r="BA1680" s="10"/>
      <c r="BB1680" s="10"/>
      <c r="BC1680" s="10"/>
      <c r="BD1680" s="10"/>
      <c r="BE1680" s="10"/>
      <c r="BF1680" s="10"/>
      <c r="BG1680" s="10"/>
      <c r="BH1680" s="10"/>
      <c r="BI1680" s="10"/>
      <c r="BJ1680" s="10"/>
      <c r="BK1680" s="10"/>
      <c r="BM1680" s="10"/>
    </row>
    <row r="1681" spans="1:65" ht="12.75">
      <c r="A1681" s="9"/>
      <c r="B1681" s="10"/>
      <c r="C1681" s="11"/>
      <c r="D1681" s="12"/>
      <c r="E1681" s="10"/>
      <c r="F1681" s="10"/>
      <c r="G1681" s="10"/>
      <c r="H1681" s="14"/>
      <c r="I1681" s="14"/>
      <c r="J1681" s="14"/>
      <c r="K1681" s="14"/>
      <c r="L1681" s="14"/>
      <c r="M1681" s="15"/>
      <c r="N1681" s="10"/>
      <c r="O1681" s="14"/>
      <c r="P1681" s="14"/>
      <c r="Q1681" s="14"/>
      <c r="R1681" s="14"/>
      <c r="S1681" s="14"/>
      <c r="T1681" s="14"/>
      <c r="U1681" s="14"/>
      <c r="V1681" s="14"/>
      <c r="W1681" s="14"/>
      <c r="X1681" s="14"/>
      <c r="Y1681" s="14"/>
      <c r="Z1681" s="14"/>
      <c r="AA1681" s="16" t="str">
        <f t="shared" ca="1" si="1635"/>
        <v>Johnson &amp; Johnson</v>
      </c>
      <c r="AB1681" s="16">
        <f t="shared" si="1635"/>
        <v>0</v>
      </c>
      <c r="AC1681" s="16">
        <f t="shared" si="1635"/>
        <v>0</v>
      </c>
      <c r="AD1681" s="16">
        <f t="shared" si="1635"/>
        <v>0</v>
      </c>
      <c r="AE1681" s="16">
        <f t="shared" si="1635"/>
        <v>0</v>
      </c>
      <c r="AF1681" s="16">
        <f t="shared" si="1635"/>
        <v>0</v>
      </c>
      <c r="AG1681" s="16">
        <f t="shared" si="1635"/>
        <v>0</v>
      </c>
      <c r="AH1681" s="16">
        <f t="shared" si="1635"/>
        <v>0</v>
      </c>
      <c r="AI1681" s="16">
        <f t="shared" si="1635"/>
        <v>0</v>
      </c>
      <c r="AJ1681" s="16">
        <f t="shared" si="1635"/>
        <v>0</v>
      </c>
      <c r="AK1681" s="16">
        <f t="shared" si="1635"/>
        <v>0</v>
      </c>
      <c r="AL1681" s="16">
        <f t="shared" si="1635"/>
        <v>0</v>
      </c>
      <c r="AM1681" s="16">
        <f t="shared" si="1635"/>
        <v>0</v>
      </c>
      <c r="AN1681" s="16">
        <f t="shared" si="1635"/>
        <v>0</v>
      </c>
      <c r="AO1681" s="16">
        <f t="shared" si="1635"/>
        <v>0</v>
      </c>
      <c r="AP1681" s="10"/>
      <c r="AQ1681" s="10"/>
      <c r="AR1681" s="10"/>
      <c r="AS1681" s="10" t="str">
        <f t="shared" ca="1" si="1624"/>
        <v>Johnson &amp; Johnson</v>
      </c>
      <c r="AT1681" s="10"/>
      <c r="AU1681" s="10"/>
      <c r="AV1681" s="10"/>
      <c r="AW1681" s="10"/>
      <c r="AX1681" s="10"/>
      <c r="AY1681" s="10"/>
      <c r="AZ1681" s="10"/>
      <c r="BA1681" s="10"/>
      <c r="BB1681" s="10"/>
      <c r="BC1681" s="10"/>
      <c r="BD1681" s="10"/>
      <c r="BE1681" s="10"/>
      <c r="BF1681" s="10"/>
      <c r="BG1681" s="10"/>
      <c r="BH1681" s="10"/>
      <c r="BI1681" s="10"/>
      <c r="BJ1681" s="10"/>
      <c r="BK1681" s="10"/>
      <c r="BM1681" s="10"/>
    </row>
    <row r="1682" spans="1:65" ht="12.75">
      <c r="A1682" s="9"/>
      <c r="B1682" s="10"/>
      <c r="C1682" s="11"/>
      <c r="D1682" s="12"/>
      <c r="E1682" s="10"/>
      <c r="F1682" s="10"/>
      <c r="G1682" s="10"/>
      <c r="H1682" s="14"/>
      <c r="I1682" s="14"/>
      <c r="J1682" s="14"/>
      <c r="K1682" s="14"/>
      <c r="L1682" s="14"/>
      <c r="M1682" s="15"/>
      <c r="N1682" s="10"/>
      <c r="O1682" s="14"/>
      <c r="P1682" s="14"/>
      <c r="Q1682" s="14"/>
      <c r="R1682" s="14"/>
      <c r="S1682" s="14"/>
      <c r="T1682" s="14"/>
      <c r="U1682" s="14"/>
      <c r="V1682" s="14"/>
      <c r="W1682" s="14"/>
      <c r="X1682" s="14"/>
      <c r="Y1682" s="14"/>
      <c r="Z1682" s="14"/>
      <c r="AA1682" s="16" t="str">
        <f t="shared" ca="1" si="1635"/>
        <v>Johnson &amp; Johnson</v>
      </c>
      <c r="AB1682" s="16">
        <f t="shared" si="1635"/>
        <v>0</v>
      </c>
      <c r="AC1682" s="16">
        <f t="shared" si="1635"/>
        <v>0</v>
      </c>
      <c r="AD1682" s="16">
        <f t="shared" si="1635"/>
        <v>0</v>
      </c>
      <c r="AE1682" s="16">
        <f t="shared" si="1635"/>
        <v>0</v>
      </c>
      <c r="AF1682" s="16">
        <f t="shared" si="1635"/>
        <v>0</v>
      </c>
      <c r="AG1682" s="16">
        <f t="shared" si="1635"/>
        <v>0</v>
      </c>
      <c r="AH1682" s="16">
        <f t="shared" si="1635"/>
        <v>0</v>
      </c>
      <c r="AI1682" s="16">
        <f t="shared" si="1635"/>
        <v>0</v>
      </c>
      <c r="AJ1682" s="16">
        <f t="shared" si="1635"/>
        <v>0</v>
      </c>
      <c r="AK1682" s="16">
        <f t="shared" si="1635"/>
        <v>0</v>
      </c>
      <c r="AL1682" s="16">
        <f t="shared" si="1635"/>
        <v>0</v>
      </c>
      <c r="AM1682" s="16">
        <f t="shared" si="1635"/>
        <v>0</v>
      </c>
      <c r="AN1682" s="16">
        <f t="shared" si="1635"/>
        <v>0</v>
      </c>
      <c r="AO1682" s="16">
        <f t="shared" si="1635"/>
        <v>0</v>
      </c>
      <c r="AP1682" s="10"/>
      <c r="AQ1682" s="10"/>
      <c r="AR1682" s="10"/>
      <c r="AS1682" s="10" t="str">
        <f t="shared" ca="1" si="1624"/>
        <v>Johnson &amp; Johnson</v>
      </c>
      <c r="AT1682" s="10"/>
      <c r="AU1682" s="10"/>
      <c r="AV1682" s="10"/>
      <c r="AW1682" s="10"/>
      <c r="AX1682" s="10"/>
      <c r="AY1682" s="10"/>
      <c r="AZ1682" s="10"/>
      <c r="BA1682" s="10"/>
      <c r="BB1682" s="10"/>
      <c r="BC1682" s="10"/>
      <c r="BD1682" s="10"/>
      <c r="BE1682" s="10"/>
      <c r="BF1682" s="10"/>
      <c r="BG1682" s="10"/>
      <c r="BH1682" s="10"/>
      <c r="BI1682" s="10"/>
      <c r="BJ1682" s="10"/>
      <c r="BK1682" s="10"/>
      <c r="BM1682" s="10"/>
    </row>
    <row r="1683" spans="1:65" ht="12.75">
      <c r="A1683" s="9"/>
      <c r="B1683" s="10"/>
      <c r="C1683" s="11"/>
      <c r="D1683" s="12"/>
      <c r="E1683" s="10"/>
      <c r="F1683" s="10"/>
      <c r="G1683" s="10"/>
      <c r="H1683" s="14"/>
      <c r="I1683" s="14"/>
      <c r="J1683" s="14"/>
      <c r="K1683" s="14"/>
      <c r="L1683" s="14"/>
      <c r="M1683" s="15"/>
      <c r="N1683" s="10"/>
      <c r="O1683" s="14"/>
      <c r="P1683" s="14"/>
      <c r="Q1683" s="14"/>
      <c r="R1683" s="14"/>
      <c r="S1683" s="14"/>
      <c r="T1683" s="14"/>
      <c r="U1683" s="14"/>
      <c r="V1683" s="14"/>
      <c r="W1683" s="14"/>
      <c r="X1683" s="14"/>
      <c r="Y1683" s="14"/>
      <c r="Z1683" s="14"/>
      <c r="AA1683" s="16" t="str">
        <f t="shared" ca="1" si="1635"/>
        <v>Johnson &amp; Johnson</v>
      </c>
      <c r="AB1683" s="16">
        <f t="shared" si="1635"/>
        <v>0</v>
      </c>
      <c r="AC1683" s="16">
        <f t="shared" si="1635"/>
        <v>0</v>
      </c>
      <c r="AD1683" s="16">
        <f t="shared" si="1635"/>
        <v>0</v>
      </c>
      <c r="AE1683" s="16">
        <f t="shared" si="1635"/>
        <v>0</v>
      </c>
      <c r="AF1683" s="16">
        <f t="shared" si="1635"/>
        <v>0</v>
      </c>
      <c r="AG1683" s="16">
        <f t="shared" si="1635"/>
        <v>0</v>
      </c>
      <c r="AH1683" s="16">
        <f t="shared" si="1635"/>
        <v>0</v>
      </c>
      <c r="AI1683" s="16">
        <f t="shared" si="1635"/>
        <v>0</v>
      </c>
      <c r="AJ1683" s="16">
        <f t="shared" si="1635"/>
        <v>0</v>
      </c>
      <c r="AK1683" s="16">
        <f t="shared" si="1635"/>
        <v>0</v>
      </c>
      <c r="AL1683" s="16">
        <f t="shared" si="1635"/>
        <v>0</v>
      </c>
      <c r="AM1683" s="16">
        <f t="shared" si="1635"/>
        <v>0</v>
      </c>
      <c r="AN1683" s="16">
        <f t="shared" si="1635"/>
        <v>0</v>
      </c>
      <c r="AO1683" s="16">
        <f t="shared" si="1635"/>
        <v>0</v>
      </c>
      <c r="AP1683" s="10"/>
      <c r="AQ1683" s="10"/>
      <c r="AR1683" s="10"/>
      <c r="AS1683" s="10" t="str">
        <f t="shared" ca="1" si="1624"/>
        <v>Johnson &amp; Johnson</v>
      </c>
      <c r="AT1683" s="10"/>
      <c r="AU1683" s="10"/>
      <c r="AV1683" s="10"/>
      <c r="AW1683" s="10"/>
      <c r="AX1683" s="10"/>
      <c r="AY1683" s="10"/>
      <c r="AZ1683" s="10"/>
      <c r="BA1683" s="10"/>
      <c r="BB1683" s="10"/>
      <c r="BC1683" s="10"/>
      <c r="BD1683" s="10"/>
      <c r="BE1683" s="10"/>
      <c r="BF1683" s="10"/>
      <c r="BG1683" s="10"/>
      <c r="BH1683" s="10"/>
      <c r="BI1683" s="10"/>
      <c r="BJ1683" s="10"/>
      <c r="BK1683" s="10"/>
      <c r="BM1683" s="10"/>
    </row>
    <row r="1684" spans="1:65" ht="12.75">
      <c r="A1684" s="9"/>
      <c r="B1684" s="10"/>
      <c r="C1684" s="11"/>
      <c r="D1684" s="12"/>
      <c r="E1684" s="10"/>
      <c r="F1684" s="10"/>
      <c r="G1684" s="10"/>
      <c r="H1684" s="14"/>
      <c r="I1684" s="14"/>
      <c r="J1684" s="14"/>
      <c r="K1684" s="14"/>
      <c r="L1684" s="14"/>
      <c r="M1684" s="15"/>
      <c r="N1684" s="10"/>
      <c r="O1684" s="14"/>
      <c r="P1684" s="14"/>
      <c r="Q1684" s="14"/>
      <c r="R1684" s="14"/>
      <c r="S1684" s="14"/>
      <c r="T1684" s="14"/>
      <c r="U1684" s="14"/>
      <c r="V1684" s="14"/>
      <c r="W1684" s="14"/>
      <c r="X1684" s="14"/>
      <c r="Y1684" s="14"/>
      <c r="Z1684" s="14"/>
      <c r="AA1684" s="16" t="str">
        <f t="shared" ca="1" si="1635"/>
        <v>Johnson &amp; Johnson</v>
      </c>
      <c r="AB1684" s="16">
        <f t="shared" si="1635"/>
        <v>0</v>
      </c>
      <c r="AC1684" s="16">
        <f t="shared" si="1635"/>
        <v>0</v>
      </c>
      <c r="AD1684" s="16">
        <f t="shared" si="1635"/>
        <v>0</v>
      </c>
      <c r="AE1684" s="16">
        <f t="shared" si="1635"/>
        <v>0</v>
      </c>
      <c r="AF1684" s="16">
        <f t="shared" si="1635"/>
        <v>0</v>
      </c>
      <c r="AG1684" s="16">
        <f t="shared" si="1635"/>
        <v>0</v>
      </c>
      <c r="AH1684" s="16">
        <f t="shared" si="1635"/>
        <v>0</v>
      </c>
      <c r="AI1684" s="16">
        <f t="shared" si="1635"/>
        <v>0</v>
      </c>
      <c r="AJ1684" s="16">
        <f t="shared" si="1635"/>
        <v>0</v>
      </c>
      <c r="AK1684" s="16">
        <f t="shared" si="1635"/>
        <v>0</v>
      </c>
      <c r="AL1684" s="16">
        <f t="shared" si="1635"/>
        <v>0</v>
      </c>
      <c r="AM1684" s="16">
        <f t="shared" si="1635"/>
        <v>0</v>
      </c>
      <c r="AN1684" s="16">
        <f t="shared" si="1635"/>
        <v>0</v>
      </c>
      <c r="AO1684" s="16">
        <f t="shared" si="1635"/>
        <v>0</v>
      </c>
      <c r="AP1684" s="10"/>
      <c r="AQ1684" s="10"/>
      <c r="AR1684" s="10"/>
      <c r="AS1684" s="10" t="str">
        <f t="shared" ca="1" si="1624"/>
        <v>Johnson &amp; Johnson</v>
      </c>
      <c r="AT1684" s="10"/>
      <c r="AU1684" s="10"/>
      <c r="AV1684" s="10"/>
      <c r="AW1684" s="10"/>
      <c r="AX1684" s="10"/>
      <c r="AY1684" s="10"/>
      <c r="AZ1684" s="10"/>
      <c r="BA1684" s="10"/>
      <c r="BB1684" s="10"/>
      <c r="BC1684" s="10"/>
      <c r="BD1684" s="10"/>
      <c r="BE1684" s="10"/>
      <c r="BF1684" s="10"/>
      <c r="BG1684" s="10"/>
      <c r="BH1684" s="10"/>
      <c r="BI1684" s="10"/>
      <c r="BJ1684" s="10"/>
      <c r="BK1684" s="10"/>
      <c r="BM1684" s="10"/>
    </row>
    <row r="1685" spans="1:65" ht="12.75">
      <c r="A1685" s="9"/>
      <c r="B1685" s="10"/>
      <c r="C1685" s="11"/>
      <c r="D1685" s="12"/>
      <c r="E1685" s="10"/>
      <c r="F1685" s="10"/>
      <c r="G1685" s="10"/>
      <c r="H1685" s="14"/>
      <c r="I1685" s="14"/>
      <c r="J1685" s="14"/>
      <c r="K1685" s="14"/>
      <c r="L1685" s="14"/>
      <c r="M1685" s="15"/>
      <c r="N1685" s="10"/>
      <c r="O1685" s="14"/>
      <c r="P1685" s="14"/>
      <c r="Q1685" s="14"/>
      <c r="R1685" s="14"/>
      <c r="S1685" s="14"/>
      <c r="T1685" s="14"/>
      <c r="U1685" s="14"/>
      <c r="V1685" s="14"/>
      <c r="W1685" s="14"/>
      <c r="X1685" s="14"/>
      <c r="Y1685" s="14"/>
      <c r="Z1685" s="14"/>
      <c r="AA1685" s="16" t="str">
        <f t="shared" ca="1" si="1635"/>
        <v>Johnson &amp; Johnson</v>
      </c>
      <c r="AB1685" s="16">
        <f t="shared" si="1635"/>
        <v>0</v>
      </c>
      <c r="AC1685" s="16">
        <f t="shared" si="1635"/>
        <v>0</v>
      </c>
      <c r="AD1685" s="16">
        <f t="shared" si="1635"/>
        <v>0</v>
      </c>
      <c r="AE1685" s="16">
        <f t="shared" si="1635"/>
        <v>0</v>
      </c>
      <c r="AF1685" s="16">
        <f t="shared" si="1635"/>
        <v>0</v>
      </c>
      <c r="AG1685" s="16">
        <f t="shared" si="1635"/>
        <v>0</v>
      </c>
      <c r="AH1685" s="16">
        <f t="shared" si="1635"/>
        <v>0</v>
      </c>
      <c r="AI1685" s="16">
        <f t="shared" si="1635"/>
        <v>0</v>
      </c>
      <c r="AJ1685" s="16">
        <f t="shared" si="1635"/>
        <v>0</v>
      </c>
      <c r="AK1685" s="16">
        <f t="shared" si="1635"/>
        <v>0</v>
      </c>
      <c r="AL1685" s="16">
        <f t="shared" si="1635"/>
        <v>0</v>
      </c>
      <c r="AM1685" s="16">
        <f t="shared" si="1635"/>
        <v>0</v>
      </c>
      <c r="AN1685" s="16">
        <f t="shared" si="1635"/>
        <v>0</v>
      </c>
      <c r="AO1685" s="16">
        <f t="shared" si="1635"/>
        <v>0</v>
      </c>
      <c r="AP1685" s="10"/>
      <c r="AQ1685" s="10"/>
      <c r="AR1685" s="10"/>
      <c r="AS1685" s="10" t="str">
        <f t="shared" ca="1" si="1624"/>
        <v>Johnson &amp; Johnson</v>
      </c>
      <c r="AT1685" s="10"/>
      <c r="AU1685" s="10"/>
      <c r="AV1685" s="10"/>
      <c r="AW1685" s="10"/>
      <c r="AX1685" s="10"/>
      <c r="AY1685" s="10"/>
      <c r="AZ1685" s="10"/>
      <c r="BA1685" s="10"/>
      <c r="BB1685" s="10"/>
      <c r="BC1685" s="10"/>
      <c r="BD1685" s="10"/>
      <c r="BE1685" s="10"/>
      <c r="BF1685" s="10"/>
      <c r="BG1685" s="10"/>
      <c r="BH1685" s="10"/>
      <c r="BI1685" s="10"/>
      <c r="BJ1685" s="10"/>
      <c r="BK1685" s="10"/>
      <c r="BM1685" s="10"/>
    </row>
    <row r="1686" spans="1:65" ht="12.75">
      <c r="A1686" s="9"/>
      <c r="B1686" s="10"/>
      <c r="C1686" s="11"/>
      <c r="D1686" s="12"/>
      <c r="E1686" s="10"/>
      <c r="F1686" s="10"/>
      <c r="G1686" s="10"/>
      <c r="H1686" s="14"/>
      <c r="I1686" s="14"/>
      <c r="J1686" s="14"/>
      <c r="K1686" s="14"/>
      <c r="L1686" s="14"/>
      <c r="M1686" s="15"/>
      <c r="N1686" s="10"/>
      <c r="O1686" s="14"/>
      <c r="P1686" s="14"/>
      <c r="Q1686" s="14"/>
      <c r="R1686" s="14"/>
      <c r="S1686" s="14"/>
      <c r="T1686" s="14"/>
      <c r="U1686" s="14"/>
      <c r="V1686" s="14"/>
      <c r="W1686" s="14"/>
      <c r="X1686" s="14"/>
      <c r="Y1686" s="14"/>
      <c r="Z1686" s="14"/>
      <c r="AA1686" s="16" t="str">
        <f t="shared" ca="1" si="1635"/>
        <v>Johnson &amp; Johnson</v>
      </c>
      <c r="AB1686" s="16">
        <f t="shared" si="1635"/>
        <v>0</v>
      </c>
      <c r="AC1686" s="16">
        <f t="shared" si="1635"/>
        <v>0</v>
      </c>
      <c r="AD1686" s="16">
        <f t="shared" si="1635"/>
        <v>0</v>
      </c>
      <c r="AE1686" s="16">
        <f t="shared" si="1635"/>
        <v>0</v>
      </c>
      <c r="AF1686" s="16">
        <f t="shared" si="1635"/>
        <v>0</v>
      </c>
      <c r="AG1686" s="16">
        <f t="shared" si="1635"/>
        <v>0</v>
      </c>
      <c r="AH1686" s="16">
        <f t="shared" si="1635"/>
        <v>0</v>
      </c>
      <c r="AI1686" s="16">
        <f t="shared" si="1635"/>
        <v>0</v>
      </c>
      <c r="AJ1686" s="16">
        <f t="shared" si="1635"/>
        <v>0</v>
      </c>
      <c r="AK1686" s="16">
        <f t="shared" si="1635"/>
        <v>0</v>
      </c>
      <c r="AL1686" s="16">
        <f t="shared" si="1635"/>
        <v>0</v>
      </c>
      <c r="AM1686" s="16">
        <f t="shared" si="1635"/>
        <v>0</v>
      </c>
      <c r="AN1686" s="16">
        <f t="shared" si="1635"/>
        <v>0</v>
      </c>
      <c r="AO1686" s="16">
        <f t="shared" si="1635"/>
        <v>0</v>
      </c>
      <c r="AP1686" s="10"/>
      <c r="AQ1686" s="10"/>
      <c r="AR1686" s="10"/>
      <c r="AS1686" s="10" t="str">
        <f t="shared" ca="1" si="1624"/>
        <v>Johnson &amp; Johnson</v>
      </c>
      <c r="AT1686" s="10"/>
      <c r="AU1686" s="10"/>
      <c r="AV1686" s="10"/>
      <c r="AW1686" s="10"/>
      <c r="AX1686" s="10"/>
      <c r="AY1686" s="10"/>
      <c r="AZ1686" s="10"/>
      <c r="BA1686" s="10"/>
      <c r="BB1686" s="10"/>
      <c r="BC1686" s="10"/>
      <c r="BD1686" s="10"/>
      <c r="BE1686" s="10"/>
      <c r="BF1686" s="10"/>
      <c r="BG1686" s="10"/>
      <c r="BH1686" s="10"/>
      <c r="BI1686" s="10"/>
      <c r="BJ1686" s="10"/>
      <c r="BK1686" s="10"/>
      <c r="BM1686" s="10"/>
    </row>
    <row r="1687" spans="1:65" ht="12.75">
      <c r="A1687" s="9"/>
      <c r="B1687" s="10"/>
      <c r="C1687" s="11"/>
      <c r="D1687" s="12"/>
      <c r="E1687" s="10"/>
      <c r="F1687" s="10"/>
      <c r="G1687" s="10"/>
      <c r="H1687" s="14"/>
      <c r="I1687" s="14"/>
      <c r="J1687" s="14"/>
      <c r="K1687" s="14"/>
      <c r="L1687" s="14"/>
      <c r="M1687" s="15"/>
      <c r="N1687" s="10"/>
      <c r="O1687" s="14"/>
      <c r="P1687" s="14"/>
      <c r="Q1687" s="14"/>
      <c r="R1687" s="14"/>
      <c r="S1687" s="14"/>
      <c r="T1687" s="14"/>
      <c r="U1687" s="14"/>
      <c r="V1687" s="14"/>
      <c r="W1687" s="14"/>
      <c r="X1687" s="14"/>
      <c r="Y1687" s="14"/>
      <c r="Z1687" s="14"/>
      <c r="AA1687" s="16" t="str">
        <f t="shared" ca="1" si="1635"/>
        <v>Johnson &amp; Johnson</v>
      </c>
      <c r="AB1687" s="16">
        <f t="shared" si="1635"/>
        <v>0</v>
      </c>
      <c r="AC1687" s="16">
        <f t="shared" si="1635"/>
        <v>0</v>
      </c>
      <c r="AD1687" s="16">
        <f t="shared" si="1635"/>
        <v>0</v>
      </c>
      <c r="AE1687" s="16">
        <f t="shared" si="1635"/>
        <v>0</v>
      </c>
      <c r="AF1687" s="16">
        <f t="shared" si="1635"/>
        <v>0</v>
      </c>
      <c r="AG1687" s="16">
        <f t="shared" si="1635"/>
        <v>0</v>
      </c>
      <c r="AH1687" s="16">
        <f t="shared" si="1635"/>
        <v>0</v>
      </c>
      <c r="AI1687" s="16">
        <f t="shared" si="1635"/>
        <v>0</v>
      </c>
      <c r="AJ1687" s="16">
        <f t="shared" si="1635"/>
        <v>0</v>
      </c>
      <c r="AK1687" s="16">
        <f t="shared" si="1635"/>
        <v>0</v>
      </c>
      <c r="AL1687" s="16">
        <f t="shared" si="1635"/>
        <v>0</v>
      </c>
      <c r="AM1687" s="16">
        <f t="shared" si="1635"/>
        <v>0</v>
      </c>
      <c r="AN1687" s="16">
        <f t="shared" si="1635"/>
        <v>0</v>
      </c>
      <c r="AO1687" s="16">
        <f t="shared" si="1635"/>
        <v>0</v>
      </c>
      <c r="AP1687" s="10"/>
      <c r="AQ1687" s="10"/>
      <c r="AR1687" s="10"/>
      <c r="AS1687" s="10" t="str">
        <f t="shared" ca="1" si="1624"/>
        <v>Johnson &amp; Johnson</v>
      </c>
      <c r="AT1687" s="10"/>
      <c r="AU1687" s="10"/>
      <c r="AV1687" s="10"/>
      <c r="AW1687" s="10"/>
      <c r="AX1687" s="10"/>
      <c r="AY1687" s="10"/>
      <c r="AZ1687" s="10"/>
      <c r="BA1687" s="10"/>
      <c r="BB1687" s="10"/>
      <c r="BC1687" s="10"/>
      <c r="BD1687" s="10"/>
      <c r="BE1687" s="10"/>
      <c r="BF1687" s="10"/>
      <c r="BG1687" s="10"/>
      <c r="BH1687" s="10"/>
      <c r="BI1687" s="10"/>
      <c r="BJ1687" s="10"/>
      <c r="BK1687" s="10"/>
      <c r="BM1687" s="10"/>
    </row>
    <row r="1688" spans="1:65" ht="12.75">
      <c r="A1688" s="9"/>
      <c r="B1688" s="10"/>
      <c r="C1688" s="11"/>
      <c r="D1688" s="12"/>
      <c r="E1688" s="10"/>
      <c r="F1688" s="10"/>
      <c r="G1688" s="10"/>
      <c r="H1688" s="14"/>
      <c r="I1688" s="14"/>
      <c r="J1688" s="14"/>
      <c r="K1688" s="14"/>
      <c r="L1688" s="14"/>
      <c r="M1688" s="15"/>
      <c r="N1688" s="10"/>
      <c r="O1688" s="14"/>
      <c r="P1688" s="14"/>
      <c r="Q1688" s="14"/>
      <c r="R1688" s="14"/>
      <c r="S1688" s="14"/>
      <c r="T1688" s="14"/>
      <c r="U1688" s="14"/>
      <c r="V1688" s="14"/>
      <c r="W1688" s="14"/>
      <c r="X1688" s="14"/>
      <c r="Y1688" s="14"/>
      <c r="Z1688" s="14"/>
      <c r="AA1688" s="16" t="str">
        <f t="shared" ca="1" si="1635"/>
        <v>Johnson &amp; Johnson</v>
      </c>
      <c r="AB1688" s="16">
        <f t="shared" si="1635"/>
        <v>0</v>
      </c>
      <c r="AC1688" s="16">
        <f t="shared" si="1635"/>
        <v>0</v>
      </c>
      <c r="AD1688" s="16">
        <f t="shared" si="1635"/>
        <v>0</v>
      </c>
      <c r="AE1688" s="16">
        <f t="shared" si="1635"/>
        <v>0</v>
      </c>
      <c r="AF1688" s="16">
        <f t="shared" si="1635"/>
        <v>0</v>
      </c>
      <c r="AG1688" s="16">
        <f t="shared" si="1635"/>
        <v>0</v>
      </c>
      <c r="AH1688" s="16">
        <f t="shared" si="1635"/>
        <v>0</v>
      </c>
      <c r="AI1688" s="16">
        <f t="shared" si="1635"/>
        <v>0</v>
      </c>
      <c r="AJ1688" s="16">
        <f t="shared" si="1635"/>
        <v>0</v>
      </c>
      <c r="AK1688" s="16">
        <f t="shared" si="1635"/>
        <v>0</v>
      </c>
      <c r="AL1688" s="16">
        <f t="shared" si="1635"/>
        <v>0</v>
      </c>
      <c r="AM1688" s="16">
        <f t="shared" si="1635"/>
        <v>0</v>
      </c>
      <c r="AN1688" s="16">
        <f t="shared" si="1635"/>
        <v>0</v>
      </c>
      <c r="AO1688" s="16">
        <f t="shared" si="1635"/>
        <v>0</v>
      </c>
      <c r="AP1688" s="10"/>
      <c r="AQ1688" s="10"/>
      <c r="AR1688" s="10"/>
      <c r="AS1688" s="10" t="str">
        <f t="shared" ca="1" si="1624"/>
        <v>Johnson &amp; Johnson</v>
      </c>
      <c r="AT1688" s="10"/>
      <c r="AU1688" s="10"/>
      <c r="AV1688" s="10"/>
      <c r="AW1688" s="10"/>
      <c r="AX1688" s="10"/>
      <c r="AY1688" s="10"/>
      <c r="AZ1688" s="10"/>
      <c r="BA1688" s="10"/>
      <c r="BB1688" s="10"/>
      <c r="BC1688" s="10"/>
      <c r="BD1688" s="10"/>
      <c r="BE1688" s="10"/>
      <c r="BF1688" s="10"/>
      <c r="BG1688" s="10"/>
      <c r="BH1688" s="10"/>
      <c r="BI1688" s="10"/>
      <c r="BJ1688" s="10"/>
      <c r="BK1688" s="10"/>
      <c r="BM1688" s="10"/>
    </row>
    <row r="1689" spans="1:65" ht="12.75">
      <c r="A1689" s="9"/>
      <c r="B1689" s="10"/>
      <c r="C1689" s="11"/>
      <c r="D1689" s="12"/>
      <c r="E1689" s="10"/>
      <c r="F1689" s="10"/>
      <c r="G1689" s="10"/>
      <c r="H1689" s="14"/>
      <c r="I1689" s="14"/>
      <c r="J1689" s="14"/>
      <c r="K1689" s="14"/>
      <c r="L1689" s="14"/>
      <c r="M1689" s="15"/>
      <c r="N1689" s="10"/>
      <c r="O1689" s="14"/>
      <c r="P1689" s="14"/>
      <c r="Q1689" s="14"/>
      <c r="R1689" s="14"/>
      <c r="S1689" s="14"/>
      <c r="T1689" s="14"/>
      <c r="U1689" s="14"/>
      <c r="V1689" s="14"/>
      <c r="W1689" s="14"/>
      <c r="X1689" s="14"/>
      <c r="Y1689" s="14"/>
      <c r="Z1689" s="14"/>
      <c r="AA1689" s="16" t="str">
        <f t="shared" ref="AA1689:AO1704" ca="1" si="1636">AS1689</f>
        <v>Johnson &amp; Johnson</v>
      </c>
      <c r="AB1689" s="16">
        <f t="shared" si="1636"/>
        <v>0</v>
      </c>
      <c r="AC1689" s="16">
        <f t="shared" si="1636"/>
        <v>0</v>
      </c>
      <c r="AD1689" s="16">
        <f t="shared" si="1636"/>
        <v>0</v>
      </c>
      <c r="AE1689" s="16">
        <f t="shared" si="1636"/>
        <v>0</v>
      </c>
      <c r="AF1689" s="16">
        <f t="shared" si="1636"/>
        <v>0</v>
      </c>
      <c r="AG1689" s="16">
        <f t="shared" si="1636"/>
        <v>0</v>
      </c>
      <c r="AH1689" s="16">
        <f t="shared" si="1636"/>
        <v>0</v>
      </c>
      <c r="AI1689" s="16">
        <f t="shared" si="1636"/>
        <v>0</v>
      </c>
      <c r="AJ1689" s="16">
        <f t="shared" si="1636"/>
        <v>0</v>
      </c>
      <c r="AK1689" s="16">
        <f t="shared" si="1636"/>
        <v>0</v>
      </c>
      <c r="AL1689" s="16">
        <f t="shared" si="1636"/>
        <v>0</v>
      </c>
      <c r="AM1689" s="16">
        <f t="shared" si="1636"/>
        <v>0</v>
      </c>
      <c r="AN1689" s="16">
        <f t="shared" si="1636"/>
        <v>0</v>
      </c>
      <c r="AO1689" s="16">
        <f t="shared" si="1636"/>
        <v>0</v>
      </c>
      <c r="AP1689" s="10"/>
      <c r="AQ1689" s="10"/>
      <c r="AR1689" s="10"/>
      <c r="AS1689" s="10" t="str">
        <f t="shared" ca="1" si="1624"/>
        <v>Johnson &amp; Johnson</v>
      </c>
      <c r="AT1689" s="10"/>
      <c r="AU1689" s="10"/>
      <c r="AV1689" s="10"/>
      <c r="AW1689" s="10"/>
      <c r="AX1689" s="10"/>
      <c r="AY1689" s="10"/>
      <c r="AZ1689" s="10"/>
      <c r="BA1689" s="10"/>
      <c r="BB1689" s="10"/>
      <c r="BC1689" s="10"/>
      <c r="BD1689" s="10"/>
      <c r="BE1689" s="10"/>
      <c r="BF1689" s="10"/>
      <c r="BG1689" s="10"/>
      <c r="BH1689" s="10"/>
      <c r="BI1689" s="10"/>
      <c r="BJ1689" s="10"/>
      <c r="BK1689" s="10"/>
      <c r="BM1689" s="10"/>
    </row>
    <row r="1690" spans="1:65" ht="12.75">
      <c r="A1690" s="9"/>
      <c r="B1690" s="10"/>
      <c r="C1690" s="11"/>
      <c r="D1690" s="12"/>
      <c r="E1690" s="10"/>
      <c r="F1690" s="10"/>
      <c r="G1690" s="10"/>
      <c r="H1690" s="14"/>
      <c r="I1690" s="14"/>
      <c r="J1690" s="14"/>
      <c r="K1690" s="14"/>
      <c r="L1690" s="14"/>
      <c r="M1690" s="15"/>
      <c r="N1690" s="10"/>
      <c r="O1690" s="14"/>
      <c r="P1690" s="14"/>
      <c r="Q1690" s="14"/>
      <c r="R1690" s="14"/>
      <c r="S1690" s="14"/>
      <c r="T1690" s="14"/>
      <c r="U1690" s="14"/>
      <c r="V1690" s="14"/>
      <c r="W1690" s="14"/>
      <c r="X1690" s="14"/>
      <c r="Y1690" s="14"/>
      <c r="Z1690" s="14"/>
      <c r="AA1690" s="16" t="str">
        <f t="shared" ca="1" si="1636"/>
        <v>Johnson &amp; Johnson</v>
      </c>
      <c r="AB1690" s="16">
        <f t="shared" si="1636"/>
        <v>0</v>
      </c>
      <c r="AC1690" s="16">
        <f t="shared" si="1636"/>
        <v>0</v>
      </c>
      <c r="AD1690" s="16">
        <f t="shared" si="1636"/>
        <v>0</v>
      </c>
      <c r="AE1690" s="16">
        <f t="shared" si="1636"/>
        <v>0</v>
      </c>
      <c r="AF1690" s="16">
        <f t="shared" si="1636"/>
        <v>0</v>
      </c>
      <c r="AG1690" s="16">
        <f t="shared" si="1636"/>
        <v>0</v>
      </c>
      <c r="AH1690" s="16">
        <f t="shared" si="1636"/>
        <v>0</v>
      </c>
      <c r="AI1690" s="16">
        <f t="shared" si="1636"/>
        <v>0</v>
      </c>
      <c r="AJ1690" s="16">
        <f t="shared" si="1636"/>
        <v>0</v>
      </c>
      <c r="AK1690" s="16">
        <f t="shared" si="1636"/>
        <v>0</v>
      </c>
      <c r="AL1690" s="16">
        <f t="shared" si="1636"/>
        <v>0</v>
      </c>
      <c r="AM1690" s="16">
        <f t="shared" si="1636"/>
        <v>0</v>
      </c>
      <c r="AN1690" s="16">
        <f t="shared" si="1636"/>
        <v>0</v>
      </c>
      <c r="AO1690" s="16">
        <f t="shared" si="1636"/>
        <v>0</v>
      </c>
      <c r="AP1690" s="10"/>
      <c r="AQ1690" s="10"/>
      <c r="AR1690" s="10"/>
      <c r="AS1690" s="10" t="str">
        <f t="shared" ca="1" si="1624"/>
        <v>Johnson &amp; Johnson</v>
      </c>
      <c r="AT1690" s="10"/>
      <c r="AU1690" s="10"/>
      <c r="AV1690" s="10"/>
      <c r="AW1690" s="10"/>
      <c r="AX1690" s="10"/>
      <c r="AY1690" s="10"/>
      <c r="AZ1690" s="10"/>
      <c r="BA1690" s="10"/>
      <c r="BB1690" s="10"/>
      <c r="BC1690" s="10"/>
      <c r="BD1690" s="10"/>
      <c r="BE1690" s="10"/>
      <c r="BF1690" s="10"/>
      <c r="BG1690" s="10"/>
      <c r="BH1690" s="10"/>
      <c r="BI1690" s="10"/>
      <c r="BJ1690" s="10"/>
      <c r="BK1690" s="10"/>
      <c r="BM1690" s="10"/>
    </row>
    <row r="1691" spans="1:65" ht="12.75">
      <c r="A1691" s="9"/>
      <c r="B1691" s="10"/>
      <c r="C1691" s="11"/>
      <c r="D1691" s="12"/>
      <c r="E1691" s="10"/>
      <c r="F1691" s="10"/>
      <c r="G1691" s="10"/>
      <c r="H1691" s="14"/>
      <c r="I1691" s="14"/>
      <c r="J1691" s="14"/>
      <c r="K1691" s="14"/>
      <c r="L1691" s="14"/>
      <c r="M1691" s="15"/>
      <c r="N1691" s="10"/>
      <c r="O1691" s="14"/>
      <c r="P1691" s="14"/>
      <c r="Q1691" s="14"/>
      <c r="R1691" s="14"/>
      <c r="S1691" s="14"/>
      <c r="T1691" s="14"/>
      <c r="U1691" s="14"/>
      <c r="V1691" s="14"/>
      <c r="W1691" s="14"/>
      <c r="X1691" s="14"/>
      <c r="Y1691" s="14"/>
      <c r="Z1691" s="14"/>
      <c r="AA1691" s="16" t="str">
        <f t="shared" ca="1" si="1636"/>
        <v>Johnson &amp; Johnson</v>
      </c>
      <c r="AB1691" s="16">
        <f t="shared" si="1636"/>
        <v>0</v>
      </c>
      <c r="AC1691" s="16">
        <f t="shared" si="1636"/>
        <v>0</v>
      </c>
      <c r="AD1691" s="16">
        <f t="shared" si="1636"/>
        <v>0</v>
      </c>
      <c r="AE1691" s="16">
        <f t="shared" si="1636"/>
        <v>0</v>
      </c>
      <c r="AF1691" s="16">
        <f t="shared" si="1636"/>
        <v>0</v>
      </c>
      <c r="AG1691" s="16">
        <f t="shared" si="1636"/>
        <v>0</v>
      </c>
      <c r="AH1691" s="16">
        <f t="shared" si="1636"/>
        <v>0</v>
      </c>
      <c r="AI1691" s="16">
        <f t="shared" si="1636"/>
        <v>0</v>
      </c>
      <c r="AJ1691" s="16">
        <f t="shared" si="1636"/>
        <v>0</v>
      </c>
      <c r="AK1691" s="16">
        <f t="shared" si="1636"/>
        <v>0</v>
      </c>
      <c r="AL1691" s="16">
        <f t="shared" si="1636"/>
        <v>0</v>
      </c>
      <c r="AM1691" s="16">
        <f t="shared" si="1636"/>
        <v>0</v>
      </c>
      <c r="AN1691" s="16">
        <f t="shared" si="1636"/>
        <v>0</v>
      </c>
      <c r="AO1691" s="16">
        <f t="shared" si="1636"/>
        <v>0</v>
      </c>
      <c r="AP1691" s="10"/>
      <c r="AQ1691" s="10"/>
      <c r="AR1691" s="10"/>
      <c r="AS1691" s="10" t="str">
        <f t="shared" ca="1" si="1624"/>
        <v>Johnson &amp; Johnson</v>
      </c>
      <c r="AT1691" s="10"/>
      <c r="AU1691" s="10"/>
      <c r="AV1691" s="10"/>
      <c r="AW1691" s="10"/>
      <c r="AX1691" s="10"/>
      <c r="AY1691" s="10"/>
      <c r="AZ1691" s="10"/>
      <c r="BA1691" s="10"/>
      <c r="BB1691" s="10"/>
      <c r="BC1691" s="10"/>
      <c r="BD1691" s="10"/>
      <c r="BE1691" s="10"/>
      <c r="BF1691" s="10"/>
      <c r="BG1691" s="10"/>
      <c r="BH1691" s="10"/>
      <c r="BI1691" s="10"/>
      <c r="BJ1691" s="10"/>
      <c r="BK1691" s="10"/>
      <c r="BM1691" s="10"/>
    </row>
    <row r="1692" spans="1:65" ht="12.75">
      <c r="A1692" s="9"/>
      <c r="B1692" s="10"/>
      <c r="C1692" s="11"/>
      <c r="D1692" s="12"/>
      <c r="E1692" s="10"/>
      <c r="F1692" s="10"/>
      <c r="G1692" s="10"/>
      <c r="H1692" s="14"/>
      <c r="I1692" s="14"/>
      <c r="J1692" s="14"/>
      <c r="K1692" s="14"/>
      <c r="L1692" s="14"/>
      <c r="M1692" s="15"/>
      <c r="N1692" s="10"/>
      <c r="O1692" s="14"/>
      <c r="P1692" s="14"/>
      <c r="Q1692" s="14"/>
      <c r="R1692" s="14"/>
      <c r="S1692" s="14"/>
      <c r="T1692" s="14"/>
      <c r="U1692" s="14"/>
      <c r="V1692" s="14"/>
      <c r="W1692" s="14"/>
      <c r="X1692" s="14"/>
      <c r="Y1692" s="14"/>
      <c r="Z1692" s="14"/>
      <c r="AA1692" s="16" t="str">
        <f t="shared" ca="1" si="1636"/>
        <v>Johnson &amp; Johnson</v>
      </c>
      <c r="AB1692" s="16">
        <f t="shared" si="1636"/>
        <v>0</v>
      </c>
      <c r="AC1692" s="16">
        <f t="shared" si="1636"/>
        <v>0</v>
      </c>
      <c r="AD1692" s="16">
        <f t="shared" si="1636"/>
        <v>0</v>
      </c>
      <c r="AE1692" s="16">
        <f t="shared" si="1636"/>
        <v>0</v>
      </c>
      <c r="AF1692" s="16">
        <f t="shared" si="1636"/>
        <v>0</v>
      </c>
      <c r="AG1692" s="16">
        <f t="shared" si="1636"/>
        <v>0</v>
      </c>
      <c r="AH1692" s="16">
        <f t="shared" si="1636"/>
        <v>0</v>
      </c>
      <c r="AI1692" s="16">
        <f t="shared" si="1636"/>
        <v>0</v>
      </c>
      <c r="AJ1692" s="16">
        <f t="shared" si="1636"/>
        <v>0</v>
      </c>
      <c r="AK1692" s="16">
        <f t="shared" si="1636"/>
        <v>0</v>
      </c>
      <c r="AL1692" s="16">
        <f t="shared" si="1636"/>
        <v>0</v>
      </c>
      <c r="AM1692" s="16">
        <f t="shared" si="1636"/>
        <v>0</v>
      </c>
      <c r="AN1692" s="16">
        <f t="shared" si="1636"/>
        <v>0</v>
      </c>
      <c r="AO1692" s="16">
        <f t="shared" si="1636"/>
        <v>0</v>
      </c>
      <c r="AP1692" s="10"/>
      <c r="AQ1692" s="10"/>
      <c r="AR1692" s="10"/>
      <c r="AS1692" s="10" t="str">
        <f t="shared" ca="1" si="1624"/>
        <v>Johnson &amp; Johnson</v>
      </c>
      <c r="AT1692" s="10"/>
      <c r="AU1692" s="10"/>
      <c r="AV1692" s="10"/>
      <c r="AW1692" s="10"/>
      <c r="AX1692" s="10"/>
      <c r="AY1692" s="10"/>
      <c r="AZ1692" s="10"/>
      <c r="BA1692" s="10"/>
      <c r="BB1692" s="10"/>
      <c r="BC1692" s="10"/>
      <c r="BD1692" s="10"/>
      <c r="BE1692" s="10"/>
      <c r="BF1692" s="10"/>
      <c r="BG1692" s="10"/>
      <c r="BH1692" s="10"/>
      <c r="BI1692" s="10"/>
      <c r="BJ1692" s="10"/>
      <c r="BK1692" s="10"/>
      <c r="BM1692" s="10"/>
    </row>
    <row r="1693" spans="1:65" ht="12.75">
      <c r="A1693" s="9"/>
      <c r="B1693" s="10"/>
      <c r="C1693" s="11"/>
      <c r="D1693" s="12"/>
      <c r="E1693" s="10"/>
      <c r="F1693" s="10"/>
      <c r="G1693" s="10"/>
      <c r="H1693" s="14"/>
      <c r="I1693" s="14"/>
      <c r="J1693" s="14"/>
      <c r="K1693" s="14"/>
      <c r="L1693" s="14"/>
      <c r="M1693" s="15"/>
      <c r="N1693" s="10"/>
      <c r="O1693" s="14"/>
      <c r="P1693" s="14"/>
      <c r="Q1693" s="14"/>
      <c r="R1693" s="14"/>
      <c r="S1693" s="14"/>
      <c r="T1693" s="14"/>
      <c r="U1693" s="14"/>
      <c r="V1693" s="14"/>
      <c r="W1693" s="14"/>
      <c r="X1693" s="14"/>
      <c r="Y1693" s="14"/>
      <c r="Z1693" s="14"/>
      <c r="AA1693" s="16" t="str">
        <f t="shared" ca="1" si="1636"/>
        <v>Johnson &amp; Johnson</v>
      </c>
      <c r="AB1693" s="16">
        <f t="shared" si="1636"/>
        <v>0</v>
      </c>
      <c r="AC1693" s="16">
        <f t="shared" si="1636"/>
        <v>0</v>
      </c>
      <c r="AD1693" s="16">
        <f t="shared" si="1636"/>
        <v>0</v>
      </c>
      <c r="AE1693" s="16">
        <f t="shared" si="1636"/>
        <v>0</v>
      </c>
      <c r="AF1693" s="16">
        <f t="shared" si="1636"/>
        <v>0</v>
      </c>
      <c r="AG1693" s="16">
        <f t="shared" si="1636"/>
        <v>0</v>
      </c>
      <c r="AH1693" s="16">
        <f t="shared" si="1636"/>
        <v>0</v>
      </c>
      <c r="AI1693" s="16">
        <f t="shared" si="1636"/>
        <v>0</v>
      </c>
      <c r="AJ1693" s="16">
        <f t="shared" si="1636"/>
        <v>0</v>
      </c>
      <c r="AK1693" s="16">
        <f t="shared" si="1636"/>
        <v>0</v>
      </c>
      <c r="AL1693" s="16">
        <f t="shared" si="1636"/>
        <v>0</v>
      </c>
      <c r="AM1693" s="16">
        <f t="shared" si="1636"/>
        <v>0</v>
      </c>
      <c r="AN1693" s="16">
        <f t="shared" si="1636"/>
        <v>0</v>
      </c>
      <c r="AO1693" s="16">
        <f t="shared" si="1636"/>
        <v>0</v>
      </c>
      <c r="AP1693" s="10"/>
      <c r="AQ1693" s="10"/>
      <c r="AR1693" s="10"/>
      <c r="AS1693" s="10" t="str">
        <f t="shared" ca="1" si="1624"/>
        <v>Johnson &amp; Johnson</v>
      </c>
      <c r="AT1693" s="10"/>
      <c r="AU1693" s="10"/>
      <c r="AV1693" s="10"/>
      <c r="AW1693" s="10"/>
      <c r="AX1693" s="10"/>
      <c r="AY1693" s="10"/>
      <c r="AZ1693" s="10"/>
      <c r="BA1693" s="10"/>
      <c r="BB1693" s="10"/>
      <c r="BC1693" s="10"/>
      <c r="BD1693" s="10"/>
      <c r="BE1693" s="10"/>
      <c r="BF1693" s="10"/>
      <c r="BG1693" s="10"/>
      <c r="BH1693" s="10"/>
      <c r="BI1693" s="10"/>
      <c r="BJ1693" s="10"/>
      <c r="BK1693" s="10"/>
      <c r="BM1693" s="10"/>
    </row>
    <row r="1694" spans="1:65" ht="12.75">
      <c r="A1694" s="9"/>
      <c r="B1694" s="10"/>
      <c r="C1694" s="11"/>
      <c r="D1694" s="12"/>
      <c r="E1694" s="10"/>
      <c r="F1694" s="10"/>
      <c r="G1694" s="10"/>
      <c r="H1694" s="14"/>
      <c r="I1694" s="14"/>
      <c r="J1694" s="14"/>
      <c r="K1694" s="14"/>
      <c r="L1694" s="14"/>
      <c r="M1694" s="15"/>
      <c r="N1694" s="10"/>
      <c r="O1694" s="14"/>
      <c r="P1694" s="14"/>
      <c r="Q1694" s="14"/>
      <c r="R1694" s="14"/>
      <c r="S1694" s="14"/>
      <c r="T1694" s="14"/>
      <c r="U1694" s="14"/>
      <c r="V1694" s="14"/>
      <c r="W1694" s="14"/>
      <c r="X1694" s="14"/>
      <c r="Y1694" s="14"/>
      <c r="Z1694" s="14"/>
      <c r="AA1694" s="16" t="str">
        <f t="shared" ca="1" si="1636"/>
        <v>Johnson &amp; Johnson</v>
      </c>
      <c r="AB1694" s="16">
        <f t="shared" si="1636"/>
        <v>0</v>
      </c>
      <c r="AC1694" s="16">
        <f t="shared" si="1636"/>
        <v>0</v>
      </c>
      <c r="AD1694" s="16">
        <f t="shared" si="1636"/>
        <v>0</v>
      </c>
      <c r="AE1694" s="16">
        <f t="shared" si="1636"/>
        <v>0</v>
      </c>
      <c r="AF1694" s="16">
        <f t="shared" si="1636"/>
        <v>0</v>
      </c>
      <c r="AG1694" s="16">
        <f t="shared" si="1636"/>
        <v>0</v>
      </c>
      <c r="AH1694" s="16">
        <f t="shared" si="1636"/>
        <v>0</v>
      </c>
      <c r="AI1694" s="16">
        <f t="shared" si="1636"/>
        <v>0</v>
      </c>
      <c r="AJ1694" s="16">
        <f t="shared" si="1636"/>
        <v>0</v>
      </c>
      <c r="AK1694" s="16">
        <f t="shared" si="1636"/>
        <v>0</v>
      </c>
      <c r="AL1694" s="16">
        <f t="shared" si="1636"/>
        <v>0</v>
      </c>
      <c r="AM1694" s="16">
        <f t="shared" si="1636"/>
        <v>0</v>
      </c>
      <c r="AN1694" s="16">
        <f t="shared" si="1636"/>
        <v>0</v>
      </c>
      <c r="AO1694" s="16">
        <f t="shared" si="1636"/>
        <v>0</v>
      </c>
      <c r="AP1694" s="10"/>
      <c r="AQ1694" s="10"/>
      <c r="AR1694" s="10"/>
      <c r="AS1694" s="10" t="str">
        <f t="shared" ca="1" si="1624"/>
        <v>Johnson &amp; Johnson</v>
      </c>
      <c r="AT1694" s="10"/>
      <c r="AU1694" s="10"/>
      <c r="AV1694" s="10"/>
      <c r="AW1694" s="10"/>
      <c r="AX1694" s="10"/>
      <c r="AY1694" s="10"/>
      <c r="AZ1694" s="10"/>
      <c r="BA1694" s="10"/>
      <c r="BB1694" s="10"/>
      <c r="BC1694" s="10"/>
      <c r="BD1694" s="10"/>
      <c r="BE1694" s="10"/>
      <c r="BF1694" s="10"/>
      <c r="BG1694" s="10"/>
      <c r="BH1694" s="10"/>
      <c r="BI1694" s="10"/>
      <c r="BJ1694" s="10"/>
      <c r="BK1694" s="10"/>
      <c r="BM1694" s="10"/>
    </row>
    <row r="1695" spans="1:65" ht="12.75">
      <c r="A1695" s="9"/>
      <c r="B1695" s="10"/>
      <c r="C1695" s="11"/>
      <c r="D1695" s="12"/>
      <c r="E1695" s="10"/>
      <c r="F1695" s="10"/>
      <c r="G1695" s="10"/>
      <c r="H1695" s="14"/>
      <c r="I1695" s="14"/>
      <c r="J1695" s="14"/>
      <c r="K1695" s="14"/>
      <c r="L1695" s="14"/>
      <c r="M1695" s="15"/>
      <c r="N1695" s="10"/>
      <c r="O1695" s="14"/>
      <c r="P1695" s="14"/>
      <c r="Q1695" s="14"/>
      <c r="R1695" s="14"/>
      <c r="S1695" s="14"/>
      <c r="T1695" s="14"/>
      <c r="U1695" s="14"/>
      <c r="V1695" s="14"/>
      <c r="W1695" s="14"/>
      <c r="X1695" s="14"/>
      <c r="Y1695" s="14"/>
      <c r="Z1695" s="14"/>
      <c r="AA1695" s="16" t="str">
        <f t="shared" ca="1" si="1636"/>
        <v>Johnson &amp; Johnson</v>
      </c>
      <c r="AB1695" s="16">
        <f t="shared" si="1636"/>
        <v>0</v>
      </c>
      <c r="AC1695" s="16">
        <f t="shared" si="1636"/>
        <v>0</v>
      </c>
      <c r="AD1695" s="16">
        <f t="shared" si="1636"/>
        <v>0</v>
      </c>
      <c r="AE1695" s="16">
        <f t="shared" si="1636"/>
        <v>0</v>
      </c>
      <c r="AF1695" s="16">
        <f t="shared" si="1636"/>
        <v>0</v>
      </c>
      <c r="AG1695" s="16">
        <f t="shared" si="1636"/>
        <v>0</v>
      </c>
      <c r="AH1695" s="16">
        <f t="shared" si="1636"/>
        <v>0</v>
      </c>
      <c r="AI1695" s="16">
        <f t="shared" si="1636"/>
        <v>0</v>
      </c>
      <c r="AJ1695" s="16">
        <f t="shared" si="1636"/>
        <v>0</v>
      </c>
      <c r="AK1695" s="16">
        <f t="shared" si="1636"/>
        <v>0</v>
      </c>
      <c r="AL1695" s="16">
        <f t="shared" si="1636"/>
        <v>0</v>
      </c>
      <c r="AM1695" s="16">
        <f t="shared" si="1636"/>
        <v>0</v>
      </c>
      <c r="AN1695" s="16">
        <f t="shared" si="1636"/>
        <v>0</v>
      </c>
      <c r="AO1695" s="16">
        <f t="shared" si="1636"/>
        <v>0</v>
      </c>
      <c r="AP1695" s="10"/>
      <c r="AQ1695" s="10"/>
      <c r="AR1695" s="10"/>
      <c r="AS1695" s="10" t="str">
        <f t="shared" ca="1" si="1624"/>
        <v>Johnson &amp; Johnson</v>
      </c>
      <c r="AT1695" s="10"/>
      <c r="AU1695" s="10"/>
      <c r="AV1695" s="10"/>
      <c r="AW1695" s="10"/>
      <c r="AX1695" s="10"/>
      <c r="AY1695" s="10"/>
      <c r="AZ1695" s="10"/>
      <c r="BA1695" s="10"/>
      <c r="BB1695" s="10"/>
      <c r="BC1695" s="10"/>
      <c r="BD1695" s="10"/>
      <c r="BE1695" s="10"/>
      <c r="BF1695" s="10"/>
      <c r="BG1695" s="10"/>
      <c r="BH1695" s="10"/>
      <c r="BI1695" s="10"/>
      <c r="BJ1695" s="10"/>
      <c r="BK1695" s="10"/>
      <c r="BM1695" s="10"/>
    </row>
    <row r="1696" spans="1:65" ht="12.75">
      <c r="A1696" s="9"/>
      <c r="B1696" s="10"/>
      <c r="C1696" s="11"/>
      <c r="D1696" s="12"/>
      <c r="E1696" s="10"/>
      <c r="F1696" s="10"/>
      <c r="G1696" s="10"/>
      <c r="H1696" s="14"/>
      <c r="I1696" s="14"/>
      <c r="J1696" s="14"/>
      <c r="K1696" s="14"/>
      <c r="L1696" s="14"/>
      <c r="M1696" s="15"/>
      <c r="N1696" s="10"/>
      <c r="O1696" s="14"/>
      <c r="P1696" s="14"/>
      <c r="Q1696" s="14"/>
      <c r="R1696" s="14"/>
      <c r="S1696" s="14"/>
      <c r="T1696" s="14"/>
      <c r="U1696" s="14"/>
      <c r="V1696" s="14"/>
      <c r="W1696" s="14"/>
      <c r="X1696" s="14"/>
      <c r="Y1696" s="14"/>
      <c r="Z1696" s="14"/>
      <c r="AA1696" s="16" t="str">
        <f t="shared" ca="1" si="1636"/>
        <v>Johnson &amp; Johnson</v>
      </c>
      <c r="AB1696" s="16">
        <f t="shared" si="1636"/>
        <v>0</v>
      </c>
      <c r="AC1696" s="16">
        <f t="shared" si="1636"/>
        <v>0</v>
      </c>
      <c r="AD1696" s="16">
        <f t="shared" si="1636"/>
        <v>0</v>
      </c>
      <c r="AE1696" s="16">
        <f t="shared" si="1636"/>
        <v>0</v>
      </c>
      <c r="AF1696" s="16">
        <f t="shared" si="1636"/>
        <v>0</v>
      </c>
      <c r="AG1696" s="16">
        <f t="shared" si="1636"/>
        <v>0</v>
      </c>
      <c r="AH1696" s="16">
        <f t="shared" si="1636"/>
        <v>0</v>
      </c>
      <c r="AI1696" s="16">
        <f t="shared" si="1636"/>
        <v>0</v>
      </c>
      <c r="AJ1696" s="16">
        <f t="shared" si="1636"/>
        <v>0</v>
      </c>
      <c r="AK1696" s="16">
        <f t="shared" si="1636"/>
        <v>0</v>
      </c>
      <c r="AL1696" s="16">
        <f t="shared" si="1636"/>
        <v>0</v>
      </c>
      <c r="AM1696" s="16">
        <f t="shared" si="1636"/>
        <v>0</v>
      </c>
      <c r="AN1696" s="16">
        <f t="shared" si="1636"/>
        <v>0</v>
      </c>
      <c r="AO1696" s="16">
        <f t="shared" si="1636"/>
        <v>0</v>
      </c>
      <c r="AP1696" s="10"/>
      <c r="AQ1696" s="10"/>
      <c r="AR1696" s="10"/>
      <c r="AS1696" s="10" t="str">
        <f t="shared" ca="1" si="1624"/>
        <v>Johnson &amp; Johnson</v>
      </c>
      <c r="AT1696" s="10"/>
      <c r="AU1696" s="10"/>
      <c r="AV1696" s="10"/>
      <c r="AW1696" s="10"/>
      <c r="AX1696" s="10"/>
      <c r="AY1696" s="10"/>
      <c r="AZ1696" s="10"/>
      <c r="BA1696" s="10"/>
      <c r="BB1696" s="10"/>
      <c r="BC1696" s="10"/>
      <c r="BD1696" s="10"/>
      <c r="BE1696" s="10"/>
      <c r="BF1696" s="10"/>
      <c r="BG1696" s="10"/>
      <c r="BH1696" s="10"/>
      <c r="BI1696" s="10"/>
      <c r="BJ1696" s="10"/>
      <c r="BK1696" s="10"/>
      <c r="BM1696" s="10"/>
    </row>
    <row r="1697" spans="1:65" ht="12.75">
      <c r="A1697" s="9"/>
      <c r="B1697" s="10"/>
      <c r="C1697" s="11"/>
      <c r="D1697" s="12"/>
      <c r="E1697" s="10"/>
      <c r="F1697" s="10"/>
      <c r="G1697" s="10"/>
      <c r="H1697" s="14"/>
      <c r="I1697" s="14"/>
      <c r="J1697" s="14"/>
      <c r="K1697" s="14"/>
      <c r="L1697" s="14"/>
      <c r="M1697" s="15"/>
      <c r="N1697" s="10"/>
      <c r="O1697" s="14"/>
      <c r="P1697" s="14"/>
      <c r="Q1697" s="14"/>
      <c r="R1697" s="14"/>
      <c r="S1697" s="14"/>
      <c r="T1697" s="14"/>
      <c r="U1697" s="14"/>
      <c r="V1697" s="14"/>
      <c r="W1697" s="14"/>
      <c r="X1697" s="14"/>
      <c r="Y1697" s="14"/>
      <c r="Z1697" s="14"/>
      <c r="AA1697" s="16" t="str">
        <f t="shared" ca="1" si="1636"/>
        <v>Johnson &amp; Johnson</v>
      </c>
      <c r="AB1697" s="16">
        <f t="shared" si="1636"/>
        <v>0</v>
      </c>
      <c r="AC1697" s="16">
        <f t="shared" si="1636"/>
        <v>0</v>
      </c>
      <c r="AD1697" s="16">
        <f t="shared" si="1636"/>
        <v>0</v>
      </c>
      <c r="AE1697" s="16">
        <f t="shared" si="1636"/>
        <v>0</v>
      </c>
      <c r="AF1697" s="16">
        <f t="shared" si="1636"/>
        <v>0</v>
      </c>
      <c r="AG1697" s="16">
        <f t="shared" si="1636"/>
        <v>0</v>
      </c>
      <c r="AH1697" s="16">
        <f t="shared" si="1636"/>
        <v>0</v>
      </c>
      <c r="AI1697" s="16">
        <f t="shared" si="1636"/>
        <v>0</v>
      </c>
      <c r="AJ1697" s="16">
        <f t="shared" si="1636"/>
        <v>0</v>
      </c>
      <c r="AK1697" s="16">
        <f t="shared" si="1636"/>
        <v>0</v>
      </c>
      <c r="AL1697" s="16">
        <f t="shared" si="1636"/>
        <v>0</v>
      </c>
      <c r="AM1697" s="16">
        <f t="shared" si="1636"/>
        <v>0</v>
      </c>
      <c r="AN1697" s="16">
        <f t="shared" si="1636"/>
        <v>0</v>
      </c>
      <c r="AO1697" s="16">
        <f t="shared" si="1636"/>
        <v>0</v>
      </c>
      <c r="AP1697" s="10"/>
      <c r="AQ1697" s="10"/>
      <c r="AR1697" s="10"/>
      <c r="AS1697" s="10" t="str">
        <f t="shared" ca="1" si="1624"/>
        <v>Johnson &amp; Johnson</v>
      </c>
      <c r="AT1697" s="10"/>
      <c r="AU1697" s="10"/>
      <c r="AV1697" s="10"/>
      <c r="AW1697" s="10"/>
      <c r="AX1697" s="10"/>
      <c r="AY1697" s="10"/>
      <c r="AZ1697" s="10"/>
      <c r="BA1697" s="10"/>
      <c r="BB1697" s="10"/>
      <c r="BC1697" s="10"/>
      <c r="BD1697" s="10"/>
      <c r="BE1697" s="10"/>
      <c r="BF1697" s="10"/>
      <c r="BG1697" s="10"/>
      <c r="BH1697" s="10"/>
      <c r="BI1697" s="10"/>
      <c r="BJ1697" s="10"/>
      <c r="BK1697" s="10"/>
      <c r="BM1697" s="10"/>
    </row>
    <row r="1698" spans="1:65" ht="12.75">
      <c r="A1698" s="9"/>
      <c r="B1698" s="10"/>
      <c r="C1698" s="11"/>
      <c r="D1698" s="12"/>
      <c r="E1698" s="10"/>
      <c r="F1698" s="10"/>
      <c r="G1698" s="10"/>
      <c r="H1698" s="14"/>
      <c r="I1698" s="14"/>
      <c r="J1698" s="14"/>
      <c r="K1698" s="14"/>
      <c r="L1698" s="14"/>
      <c r="M1698" s="15"/>
      <c r="N1698" s="10"/>
      <c r="O1698" s="14"/>
      <c r="P1698" s="14"/>
      <c r="Q1698" s="14"/>
      <c r="R1698" s="14"/>
      <c r="S1698" s="14"/>
      <c r="T1698" s="14"/>
      <c r="U1698" s="14"/>
      <c r="V1698" s="14"/>
      <c r="W1698" s="14"/>
      <c r="X1698" s="14"/>
      <c r="Y1698" s="14"/>
      <c r="Z1698" s="14"/>
      <c r="AA1698" s="16" t="str">
        <f t="shared" ca="1" si="1636"/>
        <v>Johnson &amp; Johnson</v>
      </c>
      <c r="AB1698" s="16">
        <f t="shared" si="1636"/>
        <v>0</v>
      </c>
      <c r="AC1698" s="16">
        <f t="shared" si="1636"/>
        <v>0</v>
      </c>
      <c r="AD1698" s="16">
        <f t="shared" si="1636"/>
        <v>0</v>
      </c>
      <c r="AE1698" s="16">
        <f t="shared" si="1636"/>
        <v>0</v>
      </c>
      <c r="AF1698" s="16">
        <f t="shared" si="1636"/>
        <v>0</v>
      </c>
      <c r="AG1698" s="16">
        <f t="shared" si="1636"/>
        <v>0</v>
      </c>
      <c r="AH1698" s="16">
        <f t="shared" si="1636"/>
        <v>0</v>
      </c>
      <c r="AI1698" s="16">
        <f t="shared" si="1636"/>
        <v>0</v>
      </c>
      <c r="AJ1698" s="16">
        <f t="shared" si="1636"/>
        <v>0</v>
      </c>
      <c r="AK1698" s="16">
        <f t="shared" si="1636"/>
        <v>0</v>
      </c>
      <c r="AL1698" s="16">
        <f t="shared" si="1636"/>
        <v>0</v>
      </c>
      <c r="AM1698" s="16">
        <f t="shared" si="1636"/>
        <v>0</v>
      </c>
      <c r="AN1698" s="16">
        <f t="shared" si="1636"/>
        <v>0</v>
      </c>
      <c r="AO1698" s="16">
        <f t="shared" si="1636"/>
        <v>0</v>
      </c>
      <c r="AP1698" s="10"/>
      <c r="AQ1698" s="10"/>
      <c r="AR1698" s="10"/>
      <c r="AS1698" s="10" t="str">
        <f t="shared" ca="1" si="1624"/>
        <v>Johnson &amp; Johnson</v>
      </c>
      <c r="AT1698" s="10"/>
      <c r="AU1698" s="10"/>
      <c r="AV1698" s="10"/>
      <c r="AW1698" s="10"/>
      <c r="AX1698" s="10"/>
      <c r="AY1698" s="10"/>
      <c r="AZ1698" s="10"/>
      <c r="BA1698" s="10"/>
      <c r="BB1698" s="10"/>
      <c r="BC1698" s="10"/>
      <c r="BD1698" s="10"/>
      <c r="BE1698" s="10"/>
      <c r="BF1698" s="10"/>
      <c r="BG1698" s="10"/>
      <c r="BH1698" s="10"/>
      <c r="BI1698" s="10"/>
      <c r="BJ1698" s="10"/>
      <c r="BK1698" s="10"/>
      <c r="BM1698" s="10"/>
    </row>
    <row r="1699" spans="1:65" ht="12.75">
      <c r="A1699" s="9"/>
      <c r="B1699" s="10"/>
      <c r="C1699" s="11"/>
      <c r="D1699" s="12"/>
      <c r="E1699" s="10"/>
      <c r="F1699" s="10"/>
      <c r="G1699" s="10"/>
      <c r="H1699" s="14"/>
      <c r="I1699" s="14"/>
      <c r="J1699" s="14"/>
      <c r="K1699" s="14"/>
      <c r="L1699" s="14"/>
      <c r="M1699" s="15"/>
      <c r="N1699" s="10"/>
      <c r="O1699" s="14"/>
      <c r="P1699" s="14"/>
      <c r="Q1699" s="14"/>
      <c r="R1699" s="14"/>
      <c r="S1699" s="14"/>
      <c r="T1699" s="14"/>
      <c r="U1699" s="14"/>
      <c r="V1699" s="14"/>
      <c r="W1699" s="14"/>
      <c r="X1699" s="14"/>
      <c r="Y1699" s="14"/>
      <c r="Z1699" s="14"/>
      <c r="AA1699" s="16" t="str">
        <f t="shared" ca="1" si="1636"/>
        <v>Johnson &amp; Johnson</v>
      </c>
      <c r="AB1699" s="16">
        <f t="shared" si="1636"/>
        <v>0</v>
      </c>
      <c r="AC1699" s="16">
        <f t="shared" si="1636"/>
        <v>0</v>
      </c>
      <c r="AD1699" s="16">
        <f t="shared" si="1636"/>
        <v>0</v>
      </c>
      <c r="AE1699" s="16">
        <f t="shared" si="1636"/>
        <v>0</v>
      </c>
      <c r="AF1699" s="16">
        <f t="shared" si="1636"/>
        <v>0</v>
      </c>
      <c r="AG1699" s="16">
        <f t="shared" si="1636"/>
        <v>0</v>
      </c>
      <c r="AH1699" s="16">
        <f t="shared" si="1636"/>
        <v>0</v>
      </c>
      <c r="AI1699" s="16">
        <f t="shared" si="1636"/>
        <v>0</v>
      </c>
      <c r="AJ1699" s="16">
        <f t="shared" si="1636"/>
        <v>0</v>
      </c>
      <c r="AK1699" s="16">
        <f t="shared" si="1636"/>
        <v>0</v>
      </c>
      <c r="AL1699" s="16">
        <f t="shared" si="1636"/>
        <v>0</v>
      </c>
      <c r="AM1699" s="16">
        <f t="shared" si="1636"/>
        <v>0</v>
      </c>
      <c r="AN1699" s="16">
        <f t="shared" si="1636"/>
        <v>0</v>
      </c>
      <c r="AO1699" s="16">
        <f t="shared" si="1636"/>
        <v>0</v>
      </c>
      <c r="AP1699" s="10"/>
      <c r="AQ1699" s="10"/>
      <c r="AR1699" s="10"/>
      <c r="AS1699" s="10" t="str">
        <f t="shared" ca="1" si="1624"/>
        <v>Johnson &amp; Johnson</v>
      </c>
      <c r="AT1699" s="10"/>
      <c r="AU1699" s="10"/>
      <c r="AV1699" s="10"/>
      <c r="AW1699" s="10"/>
      <c r="AX1699" s="10"/>
      <c r="AY1699" s="10"/>
      <c r="AZ1699" s="10"/>
      <c r="BA1699" s="10"/>
      <c r="BB1699" s="10"/>
      <c r="BC1699" s="10"/>
      <c r="BD1699" s="10"/>
      <c r="BE1699" s="10"/>
      <c r="BF1699" s="10"/>
      <c r="BG1699" s="10"/>
      <c r="BH1699" s="10"/>
      <c r="BI1699" s="10"/>
      <c r="BJ1699" s="10"/>
      <c r="BK1699" s="10"/>
      <c r="BM1699" s="10"/>
    </row>
    <row r="1700" spans="1:65" ht="12.75">
      <c r="A1700" s="9"/>
      <c r="B1700" s="10"/>
      <c r="C1700" s="11"/>
      <c r="D1700" s="12"/>
      <c r="E1700" s="10"/>
      <c r="F1700" s="10"/>
      <c r="G1700" s="10"/>
      <c r="H1700" s="14"/>
      <c r="I1700" s="14"/>
      <c r="J1700" s="14"/>
      <c r="K1700" s="14"/>
      <c r="L1700" s="14"/>
      <c r="M1700" s="15"/>
      <c r="N1700" s="10"/>
      <c r="O1700" s="14"/>
      <c r="P1700" s="14"/>
      <c r="Q1700" s="14"/>
      <c r="R1700" s="14"/>
      <c r="S1700" s="14"/>
      <c r="T1700" s="14"/>
      <c r="U1700" s="14"/>
      <c r="V1700" s="14"/>
      <c r="W1700" s="14"/>
      <c r="X1700" s="14"/>
      <c r="Y1700" s="14"/>
      <c r="Z1700" s="14"/>
      <c r="AA1700" s="16" t="str">
        <f t="shared" ca="1" si="1636"/>
        <v>Johnson &amp; Johnson</v>
      </c>
      <c r="AB1700" s="16">
        <f t="shared" si="1636"/>
        <v>0</v>
      </c>
      <c r="AC1700" s="16">
        <f t="shared" si="1636"/>
        <v>0</v>
      </c>
      <c r="AD1700" s="16">
        <f t="shared" si="1636"/>
        <v>0</v>
      </c>
      <c r="AE1700" s="16">
        <f t="shared" si="1636"/>
        <v>0</v>
      </c>
      <c r="AF1700" s="16">
        <f t="shared" si="1636"/>
        <v>0</v>
      </c>
      <c r="AG1700" s="16">
        <f t="shared" si="1636"/>
        <v>0</v>
      </c>
      <c r="AH1700" s="16">
        <f t="shared" si="1636"/>
        <v>0</v>
      </c>
      <c r="AI1700" s="16">
        <f t="shared" si="1636"/>
        <v>0</v>
      </c>
      <c r="AJ1700" s="16">
        <f t="shared" si="1636"/>
        <v>0</v>
      </c>
      <c r="AK1700" s="16">
        <f t="shared" si="1636"/>
        <v>0</v>
      </c>
      <c r="AL1700" s="16">
        <f t="shared" si="1636"/>
        <v>0</v>
      </c>
      <c r="AM1700" s="16">
        <f t="shared" si="1636"/>
        <v>0</v>
      </c>
      <c r="AN1700" s="16">
        <f t="shared" si="1636"/>
        <v>0</v>
      </c>
      <c r="AO1700" s="16">
        <f t="shared" si="1636"/>
        <v>0</v>
      </c>
      <c r="AP1700" s="10"/>
      <c r="AQ1700" s="10"/>
      <c r="AR1700" s="10"/>
      <c r="AS1700" s="10" t="str">
        <f t="shared" ca="1" si="1624"/>
        <v>Johnson &amp; Johnson</v>
      </c>
      <c r="AT1700" s="10"/>
      <c r="AU1700" s="10"/>
      <c r="AV1700" s="10"/>
      <c r="AW1700" s="10"/>
      <c r="AX1700" s="10"/>
      <c r="AY1700" s="10"/>
      <c r="AZ1700" s="10"/>
      <c r="BA1700" s="10"/>
      <c r="BB1700" s="10"/>
      <c r="BC1700" s="10"/>
      <c r="BD1700" s="10"/>
      <c r="BE1700" s="10"/>
      <c r="BF1700" s="10"/>
      <c r="BG1700" s="10"/>
      <c r="BH1700" s="10"/>
      <c r="BI1700" s="10"/>
      <c r="BJ1700" s="10"/>
      <c r="BK1700" s="10"/>
      <c r="BM1700" s="10"/>
    </row>
    <row r="1701" spans="1:65" ht="12.75">
      <c r="A1701" s="9"/>
      <c r="B1701" s="10"/>
      <c r="C1701" s="11"/>
      <c r="D1701" s="12"/>
      <c r="E1701" s="10"/>
      <c r="F1701" s="10"/>
      <c r="G1701" s="10"/>
      <c r="H1701" s="14"/>
      <c r="I1701" s="14"/>
      <c r="J1701" s="14"/>
      <c r="K1701" s="14"/>
      <c r="L1701" s="14"/>
      <c r="M1701" s="15"/>
      <c r="N1701" s="10"/>
      <c r="O1701" s="14"/>
      <c r="P1701" s="14"/>
      <c r="Q1701" s="14"/>
      <c r="R1701" s="14"/>
      <c r="S1701" s="14"/>
      <c r="T1701" s="14"/>
      <c r="U1701" s="14"/>
      <c r="V1701" s="14"/>
      <c r="W1701" s="14"/>
      <c r="X1701" s="14"/>
      <c r="Y1701" s="14"/>
      <c r="Z1701" s="14"/>
      <c r="AA1701" s="16" t="str">
        <f t="shared" ca="1" si="1636"/>
        <v>Johnson &amp; Johnson</v>
      </c>
      <c r="AB1701" s="16">
        <f t="shared" si="1636"/>
        <v>0</v>
      </c>
      <c r="AC1701" s="16">
        <f t="shared" si="1636"/>
        <v>0</v>
      </c>
      <c r="AD1701" s="16">
        <f t="shared" si="1636"/>
        <v>0</v>
      </c>
      <c r="AE1701" s="16">
        <f t="shared" si="1636"/>
        <v>0</v>
      </c>
      <c r="AF1701" s="16">
        <f t="shared" si="1636"/>
        <v>0</v>
      </c>
      <c r="AG1701" s="16">
        <f t="shared" si="1636"/>
        <v>0</v>
      </c>
      <c r="AH1701" s="16">
        <f t="shared" si="1636"/>
        <v>0</v>
      </c>
      <c r="AI1701" s="16">
        <f t="shared" si="1636"/>
        <v>0</v>
      </c>
      <c r="AJ1701" s="16">
        <f t="shared" si="1636"/>
        <v>0</v>
      </c>
      <c r="AK1701" s="16">
        <f t="shared" si="1636"/>
        <v>0</v>
      </c>
      <c r="AL1701" s="16">
        <f t="shared" si="1636"/>
        <v>0</v>
      </c>
      <c r="AM1701" s="16">
        <f t="shared" si="1636"/>
        <v>0</v>
      </c>
      <c r="AN1701" s="16">
        <f t="shared" si="1636"/>
        <v>0</v>
      </c>
      <c r="AO1701" s="16">
        <f t="shared" si="1636"/>
        <v>0</v>
      </c>
      <c r="AP1701" s="10"/>
      <c r="AQ1701" s="10"/>
      <c r="AR1701" s="10"/>
      <c r="AS1701" s="10" t="str">
        <f t="shared" ca="1" si="1624"/>
        <v>Johnson &amp; Johnson</v>
      </c>
      <c r="AT1701" s="10"/>
      <c r="AU1701" s="10"/>
      <c r="AV1701" s="10"/>
      <c r="AW1701" s="10"/>
      <c r="AX1701" s="10"/>
      <c r="AY1701" s="10"/>
      <c r="AZ1701" s="10"/>
      <c r="BA1701" s="10"/>
      <c r="BB1701" s="10"/>
      <c r="BC1701" s="10"/>
      <c r="BD1701" s="10"/>
      <c r="BE1701" s="10"/>
      <c r="BF1701" s="10"/>
      <c r="BG1701" s="10"/>
      <c r="BH1701" s="10"/>
      <c r="BI1701" s="10"/>
      <c r="BJ1701" s="10"/>
      <c r="BK1701" s="10"/>
      <c r="BM1701" s="10"/>
    </row>
    <row r="1702" spans="1:65" ht="12.75">
      <c r="A1702" s="9"/>
      <c r="B1702" s="10"/>
      <c r="C1702" s="11"/>
      <c r="D1702" s="12"/>
      <c r="E1702" s="10"/>
      <c r="F1702" s="10"/>
      <c r="G1702" s="10"/>
      <c r="H1702" s="14"/>
      <c r="I1702" s="14"/>
      <c r="J1702" s="14"/>
      <c r="K1702" s="14"/>
      <c r="L1702" s="14"/>
      <c r="M1702" s="15"/>
      <c r="N1702" s="10"/>
      <c r="O1702" s="14"/>
      <c r="P1702" s="14"/>
      <c r="Q1702" s="14"/>
      <c r="R1702" s="14"/>
      <c r="S1702" s="14"/>
      <c r="T1702" s="14"/>
      <c r="U1702" s="14"/>
      <c r="V1702" s="14"/>
      <c r="W1702" s="14"/>
      <c r="X1702" s="14"/>
      <c r="Y1702" s="14"/>
      <c r="Z1702" s="14"/>
      <c r="AA1702" s="16" t="str">
        <f t="shared" ca="1" si="1636"/>
        <v>Johnson &amp; Johnson</v>
      </c>
      <c r="AB1702" s="16">
        <f t="shared" si="1636"/>
        <v>0</v>
      </c>
      <c r="AC1702" s="16">
        <f t="shared" si="1636"/>
        <v>0</v>
      </c>
      <c r="AD1702" s="16">
        <f t="shared" si="1636"/>
        <v>0</v>
      </c>
      <c r="AE1702" s="16">
        <f t="shared" si="1636"/>
        <v>0</v>
      </c>
      <c r="AF1702" s="16">
        <f t="shared" si="1636"/>
        <v>0</v>
      </c>
      <c r="AG1702" s="16">
        <f t="shared" si="1636"/>
        <v>0</v>
      </c>
      <c r="AH1702" s="16">
        <f t="shared" si="1636"/>
        <v>0</v>
      </c>
      <c r="AI1702" s="16">
        <f t="shared" si="1636"/>
        <v>0</v>
      </c>
      <c r="AJ1702" s="16">
        <f t="shared" si="1636"/>
        <v>0</v>
      </c>
      <c r="AK1702" s="16">
        <f t="shared" si="1636"/>
        <v>0</v>
      </c>
      <c r="AL1702" s="16">
        <f t="shared" si="1636"/>
        <v>0</v>
      </c>
      <c r="AM1702" s="16">
        <f t="shared" si="1636"/>
        <v>0</v>
      </c>
      <c r="AN1702" s="16">
        <f t="shared" si="1636"/>
        <v>0</v>
      </c>
      <c r="AO1702" s="16">
        <f t="shared" si="1636"/>
        <v>0</v>
      </c>
      <c r="AP1702" s="10"/>
      <c r="AQ1702" s="10"/>
      <c r="AR1702" s="10"/>
      <c r="AS1702" s="10" t="str">
        <f t="shared" ca="1" si="1624"/>
        <v>Johnson &amp; Johnson</v>
      </c>
      <c r="AT1702" s="10"/>
      <c r="AU1702" s="10"/>
      <c r="AV1702" s="10"/>
      <c r="AW1702" s="10"/>
      <c r="AX1702" s="10"/>
      <c r="AY1702" s="10"/>
      <c r="AZ1702" s="10"/>
      <c r="BA1702" s="10"/>
      <c r="BB1702" s="10"/>
      <c r="BC1702" s="10"/>
      <c r="BD1702" s="10"/>
      <c r="BE1702" s="10"/>
      <c r="BF1702" s="10"/>
      <c r="BG1702" s="10"/>
      <c r="BH1702" s="10"/>
      <c r="BI1702" s="10"/>
      <c r="BJ1702" s="10"/>
      <c r="BK1702" s="10"/>
      <c r="BM1702" s="10"/>
    </row>
    <row r="1703" spans="1:65" ht="12.75">
      <c r="A1703" s="9"/>
      <c r="B1703" s="10"/>
      <c r="C1703" s="11"/>
      <c r="D1703" s="12"/>
      <c r="E1703" s="10"/>
      <c r="F1703" s="10"/>
      <c r="G1703" s="10"/>
      <c r="H1703" s="14"/>
      <c r="I1703" s="14"/>
      <c r="J1703" s="14"/>
      <c r="K1703" s="14"/>
      <c r="L1703" s="14"/>
      <c r="M1703" s="15"/>
      <c r="N1703" s="10"/>
      <c r="O1703" s="14"/>
      <c r="P1703" s="14"/>
      <c r="Q1703" s="14"/>
      <c r="R1703" s="14"/>
      <c r="S1703" s="14"/>
      <c r="T1703" s="14"/>
      <c r="U1703" s="14"/>
      <c r="V1703" s="14"/>
      <c r="W1703" s="14"/>
      <c r="X1703" s="14"/>
      <c r="Y1703" s="14"/>
      <c r="Z1703" s="14"/>
      <c r="AA1703" s="16" t="str">
        <f t="shared" ca="1" si="1636"/>
        <v>Johnson &amp; Johnson</v>
      </c>
      <c r="AB1703" s="16">
        <f t="shared" si="1636"/>
        <v>0</v>
      </c>
      <c r="AC1703" s="16">
        <f t="shared" si="1636"/>
        <v>0</v>
      </c>
      <c r="AD1703" s="16">
        <f t="shared" si="1636"/>
        <v>0</v>
      </c>
      <c r="AE1703" s="16">
        <f t="shared" si="1636"/>
        <v>0</v>
      </c>
      <c r="AF1703" s="16">
        <f t="shared" si="1636"/>
        <v>0</v>
      </c>
      <c r="AG1703" s="16">
        <f t="shared" si="1636"/>
        <v>0</v>
      </c>
      <c r="AH1703" s="16">
        <f t="shared" si="1636"/>
        <v>0</v>
      </c>
      <c r="AI1703" s="16">
        <f t="shared" si="1636"/>
        <v>0</v>
      </c>
      <c r="AJ1703" s="16">
        <f t="shared" si="1636"/>
        <v>0</v>
      </c>
      <c r="AK1703" s="16">
        <f t="shared" si="1636"/>
        <v>0</v>
      </c>
      <c r="AL1703" s="16">
        <f t="shared" si="1636"/>
        <v>0</v>
      </c>
      <c r="AM1703" s="16">
        <f t="shared" si="1636"/>
        <v>0</v>
      </c>
      <c r="AN1703" s="16">
        <f t="shared" si="1636"/>
        <v>0</v>
      </c>
      <c r="AO1703" s="16">
        <f t="shared" si="1636"/>
        <v>0</v>
      </c>
      <c r="AP1703" s="10"/>
      <c r="AQ1703" s="10"/>
      <c r="AR1703" s="10"/>
      <c r="AS1703" s="10" t="str">
        <f t="shared" ca="1" si="1624"/>
        <v>Johnson &amp; Johnson</v>
      </c>
      <c r="AT1703" s="10"/>
      <c r="AU1703" s="10"/>
      <c r="AV1703" s="10"/>
      <c r="AW1703" s="10"/>
      <c r="AX1703" s="10"/>
      <c r="AY1703" s="10"/>
      <c r="AZ1703" s="10"/>
      <c r="BA1703" s="10"/>
      <c r="BB1703" s="10"/>
      <c r="BC1703" s="10"/>
      <c r="BD1703" s="10"/>
      <c r="BE1703" s="10"/>
      <c r="BF1703" s="10"/>
      <c r="BG1703" s="10"/>
      <c r="BH1703" s="10"/>
      <c r="BI1703" s="10"/>
      <c r="BJ1703" s="10"/>
      <c r="BK1703" s="10"/>
      <c r="BM1703" s="10"/>
    </row>
    <row r="1704" spans="1:65" ht="12.75">
      <c r="A1704" s="9"/>
      <c r="B1704" s="10"/>
      <c r="C1704" s="11"/>
      <c r="D1704" s="12"/>
      <c r="E1704" s="10"/>
      <c r="F1704" s="10"/>
      <c r="G1704" s="10"/>
      <c r="H1704" s="14"/>
      <c r="I1704" s="14"/>
      <c r="J1704" s="14"/>
      <c r="K1704" s="14"/>
      <c r="L1704" s="14"/>
      <c r="M1704" s="15"/>
      <c r="N1704" s="10"/>
      <c r="O1704" s="14"/>
      <c r="P1704" s="14"/>
      <c r="Q1704" s="14"/>
      <c r="R1704" s="14"/>
      <c r="S1704" s="14"/>
      <c r="T1704" s="14"/>
      <c r="U1704" s="14"/>
      <c r="V1704" s="14"/>
      <c r="W1704" s="14"/>
      <c r="X1704" s="14"/>
      <c r="Y1704" s="14"/>
      <c r="Z1704" s="14"/>
      <c r="AA1704" s="16" t="str">
        <f t="shared" ca="1" si="1636"/>
        <v>Johnson &amp; Johnson</v>
      </c>
      <c r="AB1704" s="16">
        <f t="shared" si="1636"/>
        <v>0</v>
      </c>
      <c r="AC1704" s="16">
        <f t="shared" si="1636"/>
        <v>0</v>
      </c>
      <c r="AD1704" s="16">
        <f t="shared" si="1636"/>
        <v>0</v>
      </c>
      <c r="AE1704" s="16">
        <f t="shared" si="1636"/>
        <v>0</v>
      </c>
      <c r="AF1704" s="16">
        <f t="shared" si="1636"/>
        <v>0</v>
      </c>
      <c r="AG1704" s="16">
        <f t="shared" si="1636"/>
        <v>0</v>
      </c>
      <c r="AH1704" s="16">
        <f t="shared" si="1636"/>
        <v>0</v>
      </c>
      <c r="AI1704" s="16">
        <f t="shared" si="1636"/>
        <v>0</v>
      </c>
      <c r="AJ1704" s="16">
        <f t="shared" si="1636"/>
        <v>0</v>
      </c>
      <c r="AK1704" s="16">
        <f t="shared" si="1636"/>
        <v>0</v>
      </c>
      <c r="AL1704" s="16">
        <f t="shared" si="1636"/>
        <v>0</v>
      </c>
      <c r="AM1704" s="16">
        <f t="shared" si="1636"/>
        <v>0</v>
      </c>
      <c r="AN1704" s="16">
        <f t="shared" si="1636"/>
        <v>0</v>
      </c>
      <c r="AO1704" s="16">
        <f t="shared" si="1636"/>
        <v>0</v>
      </c>
      <c r="AP1704" s="10"/>
      <c r="AQ1704" s="10"/>
      <c r="AR1704" s="10"/>
      <c r="AS1704" s="10" t="str">
        <f t="shared" ca="1" si="1624"/>
        <v>Johnson &amp; Johnson</v>
      </c>
      <c r="AT1704" s="10"/>
      <c r="AU1704" s="10"/>
      <c r="AV1704" s="10"/>
      <c r="AW1704" s="10"/>
      <c r="AX1704" s="10"/>
      <c r="AY1704" s="10"/>
      <c r="AZ1704" s="10"/>
      <c r="BA1704" s="10"/>
      <c r="BB1704" s="10"/>
      <c r="BC1704" s="10"/>
      <c r="BD1704" s="10"/>
      <c r="BE1704" s="10"/>
      <c r="BF1704" s="10"/>
      <c r="BG1704" s="10"/>
      <c r="BH1704" s="10"/>
      <c r="BI1704" s="10"/>
      <c r="BJ1704" s="10"/>
      <c r="BK1704" s="10"/>
      <c r="BM1704" s="10"/>
    </row>
    <row r="1705" spans="1:65" ht="12.75">
      <c r="A1705" s="9"/>
      <c r="B1705" s="10"/>
      <c r="C1705" s="11"/>
      <c r="D1705" s="12"/>
      <c r="E1705" s="10"/>
      <c r="F1705" s="10"/>
      <c r="G1705" s="10"/>
      <c r="H1705" s="14"/>
      <c r="I1705" s="14"/>
      <c r="J1705" s="14"/>
      <c r="K1705" s="14"/>
      <c r="L1705" s="14"/>
      <c r="M1705" s="15"/>
      <c r="N1705" s="10"/>
      <c r="O1705" s="14"/>
      <c r="P1705" s="14"/>
      <c r="Q1705" s="14"/>
      <c r="R1705" s="14"/>
      <c r="S1705" s="14"/>
      <c r="T1705" s="14"/>
      <c r="U1705" s="14"/>
      <c r="V1705" s="14"/>
      <c r="W1705" s="14"/>
      <c r="X1705" s="14"/>
      <c r="Y1705" s="14"/>
      <c r="Z1705" s="14"/>
      <c r="AA1705" s="16" t="str">
        <f t="shared" ref="AA1705:AO1720" ca="1" si="1637">AS1705</f>
        <v>Johnson &amp; Johnson</v>
      </c>
      <c r="AB1705" s="16">
        <f t="shared" si="1637"/>
        <v>0</v>
      </c>
      <c r="AC1705" s="16">
        <f t="shared" si="1637"/>
        <v>0</v>
      </c>
      <c r="AD1705" s="16">
        <f t="shared" si="1637"/>
        <v>0</v>
      </c>
      <c r="AE1705" s="16">
        <f t="shared" si="1637"/>
        <v>0</v>
      </c>
      <c r="AF1705" s="16">
        <f t="shared" si="1637"/>
        <v>0</v>
      </c>
      <c r="AG1705" s="16">
        <f t="shared" si="1637"/>
        <v>0</v>
      </c>
      <c r="AH1705" s="16">
        <f t="shared" si="1637"/>
        <v>0</v>
      </c>
      <c r="AI1705" s="16">
        <f t="shared" si="1637"/>
        <v>0</v>
      </c>
      <c r="AJ1705" s="16">
        <f t="shared" si="1637"/>
        <v>0</v>
      </c>
      <c r="AK1705" s="16">
        <f t="shared" si="1637"/>
        <v>0</v>
      </c>
      <c r="AL1705" s="16">
        <f t="shared" si="1637"/>
        <v>0</v>
      </c>
      <c r="AM1705" s="16">
        <f t="shared" si="1637"/>
        <v>0</v>
      </c>
      <c r="AN1705" s="16">
        <f t="shared" si="1637"/>
        <v>0</v>
      </c>
      <c r="AO1705" s="16">
        <f t="shared" si="1637"/>
        <v>0</v>
      </c>
      <c r="AP1705" s="10"/>
      <c r="AQ1705" s="10"/>
      <c r="AR1705" s="10"/>
      <c r="AS1705" s="10" t="str">
        <f t="shared" ca="1" si="1624"/>
        <v>Johnson &amp; Johnson</v>
      </c>
      <c r="AT1705" s="10"/>
      <c r="AU1705" s="10"/>
      <c r="AV1705" s="10"/>
      <c r="AW1705" s="10"/>
      <c r="AX1705" s="10"/>
      <c r="AY1705" s="10"/>
      <c r="AZ1705" s="10"/>
      <c r="BA1705" s="10"/>
      <c r="BB1705" s="10"/>
      <c r="BC1705" s="10"/>
      <c r="BD1705" s="10"/>
      <c r="BE1705" s="10"/>
      <c r="BF1705" s="10"/>
      <c r="BG1705" s="10"/>
      <c r="BH1705" s="10"/>
      <c r="BI1705" s="10"/>
      <c r="BJ1705" s="10"/>
      <c r="BK1705" s="10"/>
      <c r="BM1705" s="10"/>
    </row>
    <row r="1706" spans="1:65" ht="12.75">
      <c r="A1706" s="9"/>
      <c r="B1706" s="10"/>
      <c r="C1706" s="11"/>
      <c r="D1706" s="12"/>
      <c r="E1706" s="10"/>
      <c r="F1706" s="10"/>
      <c r="G1706" s="10"/>
      <c r="H1706" s="14"/>
      <c r="I1706" s="14"/>
      <c r="J1706" s="14"/>
      <c r="K1706" s="14"/>
      <c r="L1706" s="14"/>
      <c r="M1706" s="15"/>
      <c r="N1706" s="10"/>
      <c r="O1706" s="14"/>
      <c r="P1706" s="14"/>
      <c r="Q1706" s="14"/>
      <c r="R1706" s="14"/>
      <c r="S1706" s="14"/>
      <c r="T1706" s="14"/>
      <c r="U1706" s="14"/>
      <c r="V1706" s="14"/>
      <c r="W1706" s="14"/>
      <c r="X1706" s="14"/>
      <c r="Y1706" s="14"/>
      <c r="Z1706" s="14"/>
      <c r="AA1706" s="16" t="str">
        <f t="shared" ca="1" si="1637"/>
        <v>Johnson &amp; Johnson</v>
      </c>
      <c r="AB1706" s="16">
        <f t="shared" si="1637"/>
        <v>0</v>
      </c>
      <c r="AC1706" s="16">
        <f t="shared" si="1637"/>
        <v>0</v>
      </c>
      <c r="AD1706" s="16">
        <f t="shared" si="1637"/>
        <v>0</v>
      </c>
      <c r="AE1706" s="16">
        <f t="shared" si="1637"/>
        <v>0</v>
      </c>
      <c r="AF1706" s="16">
        <f t="shared" si="1637"/>
        <v>0</v>
      </c>
      <c r="AG1706" s="16">
        <f t="shared" si="1637"/>
        <v>0</v>
      </c>
      <c r="AH1706" s="16">
        <f t="shared" si="1637"/>
        <v>0</v>
      </c>
      <c r="AI1706" s="16">
        <f t="shared" si="1637"/>
        <v>0</v>
      </c>
      <c r="AJ1706" s="16">
        <f t="shared" si="1637"/>
        <v>0</v>
      </c>
      <c r="AK1706" s="16">
        <f t="shared" si="1637"/>
        <v>0</v>
      </c>
      <c r="AL1706" s="16">
        <f t="shared" si="1637"/>
        <v>0</v>
      </c>
      <c r="AM1706" s="16">
        <f t="shared" si="1637"/>
        <v>0</v>
      </c>
      <c r="AN1706" s="16">
        <f t="shared" si="1637"/>
        <v>0</v>
      </c>
      <c r="AO1706" s="16">
        <f t="shared" si="1637"/>
        <v>0</v>
      </c>
      <c r="AP1706" s="10"/>
      <c r="AQ1706" s="10"/>
      <c r="AR1706" s="10"/>
      <c r="AS1706" s="10" t="str">
        <f t="shared" ca="1" si="1624"/>
        <v>Johnson &amp; Johnson</v>
      </c>
      <c r="AT1706" s="10"/>
      <c r="AU1706" s="10"/>
      <c r="AV1706" s="10"/>
      <c r="AW1706" s="10"/>
      <c r="AX1706" s="10"/>
      <c r="AY1706" s="10"/>
      <c r="AZ1706" s="10"/>
      <c r="BA1706" s="10"/>
      <c r="BB1706" s="10"/>
      <c r="BC1706" s="10"/>
      <c r="BD1706" s="10"/>
      <c r="BE1706" s="10"/>
      <c r="BF1706" s="10"/>
      <c r="BG1706" s="10"/>
      <c r="BH1706" s="10"/>
      <c r="BI1706" s="10"/>
      <c r="BJ1706" s="10"/>
      <c r="BK1706" s="10"/>
      <c r="BM1706" s="10"/>
    </row>
    <row r="1707" spans="1:65" ht="12.75">
      <c r="A1707" s="9"/>
      <c r="B1707" s="10"/>
      <c r="C1707" s="11"/>
      <c r="D1707" s="12"/>
      <c r="E1707" s="10"/>
      <c r="F1707" s="10"/>
      <c r="G1707" s="10"/>
      <c r="H1707" s="14"/>
      <c r="I1707" s="14"/>
      <c r="J1707" s="14"/>
      <c r="K1707" s="14"/>
      <c r="L1707" s="14"/>
      <c r="M1707" s="15"/>
      <c r="N1707" s="10"/>
      <c r="O1707" s="14"/>
      <c r="P1707" s="14"/>
      <c r="Q1707" s="14"/>
      <c r="R1707" s="14"/>
      <c r="S1707" s="14"/>
      <c r="T1707" s="14"/>
      <c r="U1707" s="14"/>
      <c r="V1707" s="14"/>
      <c r="W1707" s="14"/>
      <c r="X1707" s="14"/>
      <c r="Y1707" s="14"/>
      <c r="Z1707" s="14"/>
      <c r="AA1707" s="16" t="str">
        <f t="shared" ca="1" si="1637"/>
        <v>Johnson &amp; Johnson</v>
      </c>
      <c r="AB1707" s="16">
        <f t="shared" si="1637"/>
        <v>0</v>
      </c>
      <c r="AC1707" s="16">
        <f t="shared" si="1637"/>
        <v>0</v>
      </c>
      <c r="AD1707" s="16">
        <f t="shared" si="1637"/>
        <v>0</v>
      </c>
      <c r="AE1707" s="16">
        <f t="shared" si="1637"/>
        <v>0</v>
      </c>
      <c r="AF1707" s="16">
        <f t="shared" si="1637"/>
        <v>0</v>
      </c>
      <c r="AG1707" s="16">
        <f t="shared" si="1637"/>
        <v>0</v>
      </c>
      <c r="AH1707" s="16">
        <f t="shared" si="1637"/>
        <v>0</v>
      </c>
      <c r="AI1707" s="16">
        <f t="shared" si="1637"/>
        <v>0</v>
      </c>
      <c r="AJ1707" s="16">
        <f t="shared" si="1637"/>
        <v>0</v>
      </c>
      <c r="AK1707" s="16">
        <f t="shared" si="1637"/>
        <v>0</v>
      </c>
      <c r="AL1707" s="16">
        <f t="shared" si="1637"/>
        <v>0</v>
      </c>
      <c r="AM1707" s="16">
        <f t="shared" si="1637"/>
        <v>0</v>
      </c>
      <c r="AN1707" s="16">
        <f t="shared" si="1637"/>
        <v>0</v>
      </c>
      <c r="AO1707" s="16">
        <f t="shared" si="1637"/>
        <v>0</v>
      </c>
      <c r="AP1707" s="10"/>
      <c r="AQ1707" s="10"/>
      <c r="AR1707" s="10"/>
      <c r="AS1707" s="10" t="str">
        <f t="shared" ca="1" si="1624"/>
        <v>Johnson &amp; Johnson</v>
      </c>
      <c r="AT1707" s="10"/>
      <c r="AU1707" s="10"/>
      <c r="AV1707" s="10"/>
      <c r="AW1707" s="10"/>
      <c r="AX1707" s="10"/>
      <c r="AY1707" s="10"/>
      <c r="AZ1707" s="10"/>
      <c r="BA1707" s="10"/>
      <c r="BB1707" s="10"/>
      <c r="BC1707" s="10"/>
      <c r="BD1707" s="10"/>
      <c r="BE1707" s="10"/>
      <c r="BF1707" s="10"/>
      <c r="BG1707" s="10"/>
      <c r="BH1707" s="10"/>
      <c r="BI1707" s="10"/>
      <c r="BJ1707" s="10"/>
      <c r="BK1707" s="10"/>
      <c r="BM1707" s="10"/>
    </row>
    <row r="1708" spans="1:65" ht="12.75">
      <c r="A1708" s="9"/>
      <c r="B1708" s="10"/>
      <c r="C1708" s="11"/>
      <c r="D1708" s="12"/>
      <c r="E1708" s="10"/>
      <c r="F1708" s="10"/>
      <c r="G1708" s="10"/>
      <c r="H1708" s="14"/>
      <c r="I1708" s="14"/>
      <c r="J1708" s="14"/>
      <c r="K1708" s="14"/>
      <c r="L1708" s="14"/>
      <c r="M1708" s="15"/>
      <c r="N1708" s="10"/>
      <c r="O1708" s="14"/>
      <c r="P1708" s="14"/>
      <c r="Q1708" s="14"/>
      <c r="R1708" s="14"/>
      <c r="S1708" s="14"/>
      <c r="T1708" s="14"/>
      <c r="U1708" s="14"/>
      <c r="V1708" s="14"/>
      <c r="W1708" s="14"/>
      <c r="X1708" s="14"/>
      <c r="Y1708" s="14"/>
      <c r="Z1708" s="14"/>
      <c r="AA1708" s="16" t="str">
        <f t="shared" ca="1" si="1637"/>
        <v>Johnson &amp; Johnson</v>
      </c>
      <c r="AB1708" s="16">
        <f t="shared" si="1637"/>
        <v>0</v>
      </c>
      <c r="AC1708" s="16">
        <f t="shared" si="1637"/>
        <v>0</v>
      </c>
      <c r="AD1708" s="16">
        <f t="shared" si="1637"/>
        <v>0</v>
      </c>
      <c r="AE1708" s="16">
        <f t="shared" si="1637"/>
        <v>0</v>
      </c>
      <c r="AF1708" s="16">
        <f t="shared" si="1637"/>
        <v>0</v>
      </c>
      <c r="AG1708" s="16">
        <f t="shared" si="1637"/>
        <v>0</v>
      </c>
      <c r="AH1708" s="16">
        <f t="shared" si="1637"/>
        <v>0</v>
      </c>
      <c r="AI1708" s="16">
        <f t="shared" si="1637"/>
        <v>0</v>
      </c>
      <c r="AJ1708" s="16">
        <f t="shared" si="1637"/>
        <v>0</v>
      </c>
      <c r="AK1708" s="16">
        <f t="shared" si="1637"/>
        <v>0</v>
      </c>
      <c r="AL1708" s="16">
        <f t="shared" si="1637"/>
        <v>0</v>
      </c>
      <c r="AM1708" s="16">
        <f t="shared" si="1637"/>
        <v>0</v>
      </c>
      <c r="AN1708" s="16">
        <f t="shared" si="1637"/>
        <v>0</v>
      </c>
      <c r="AO1708" s="16">
        <f t="shared" si="1637"/>
        <v>0</v>
      </c>
      <c r="AP1708" s="10"/>
      <c r="AQ1708" s="10"/>
      <c r="AR1708" s="10"/>
      <c r="AS1708" s="10" t="str">
        <f t="shared" ca="1" si="1624"/>
        <v>Johnson &amp; Johnson</v>
      </c>
      <c r="AT1708" s="10"/>
      <c r="AU1708" s="10"/>
      <c r="AV1708" s="10"/>
      <c r="AW1708" s="10"/>
      <c r="AX1708" s="10"/>
      <c r="AY1708" s="10"/>
      <c r="AZ1708" s="10"/>
      <c r="BA1708" s="10"/>
      <c r="BB1708" s="10"/>
      <c r="BC1708" s="10"/>
      <c r="BD1708" s="10"/>
      <c r="BE1708" s="10"/>
      <c r="BF1708" s="10"/>
      <c r="BG1708" s="10"/>
      <c r="BH1708" s="10"/>
      <c r="BI1708" s="10"/>
      <c r="BJ1708" s="10"/>
      <c r="BK1708" s="10"/>
      <c r="BM1708" s="10"/>
    </row>
    <row r="1709" spans="1:65" ht="12.75">
      <c r="A1709" s="9"/>
      <c r="B1709" s="10"/>
      <c r="C1709" s="11"/>
      <c r="D1709" s="12"/>
      <c r="E1709" s="10"/>
      <c r="F1709" s="10"/>
      <c r="G1709" s="10"/>
      <c r="H1709" s="14"/>
      <c r="I1709" s="14"/>
      <c r="J1709" s="14"/>
      <c r="K1709" s="14"/>
      <c r="L1709" s="14"/>
      <c r="M1709" s="15"/>
      <c r="N1709" s="10"/>
      <c r="O1709" s="14"/>
      <c r="P1709" s="14"/>
      <c r="Q1709" s="14"/>
      <c r="R1709" s="14"/>
      <c r="S1709" s="14"/>
      <c r="T1709" s="14"/>
      <c r="U1709" s="14"/>
      <c r="V1709" s="14"/>
      <c r="W1709" s="14"/>
      <c r="X1709" s="14"/>
      <c r="Y1709" s="14"/>
      <c r="Z1709" s="14"/>
      <c r="AA1709" s="16" t="str">
        <f t="shared" ca="1" si="1637"/>
        <v>Johnson &amp; Johnson</v>
      </c>
      <c r="AB1709" s="16">
        <f t="shared" si="1637"/>
        <v>0</v>
      </c>
      <c r="AC1709" s="16">
        <f t="shared" si="1637"/>
        <v>0</v>
      </c>
      <c r="AD1709" s="16">
        <f t="shared" si="1637"/>
        <v>0</v>
      </c>
      <c r="AE1709" s="16">
        <f t="shared" si="1637"/>
        <v>0</v>
      </c>
      <c r="AF1709" s="16">
        <f t="shared" si="1637"/>
        <v>0</v>
      </c>
      <c r="AG1709" s="16">
        <f t="shared" si="1637"/>
        <v>0</v>
      </c>
      <c r="AH1709" s="16">
        <f t="shared" si="1637"/>
        <v>0</v>
      </c>
      <c r="AI1709" s="16">
        <f t="shared" si="1637"/>
        <v>0</v>
      </c>
      <c r="AJ1709" s="16">
        <f t="shared" si="1637"/>
        <v>0</v>
      </c>
      <c r="AK1709" s="16">
        <f t="shared" si="1637"/>
        <v>0</v>
      </c>
      <c r="AL1709" s="16">
        <f t="shared" si="1637"/>
        <v>0</v>
      </c>
      <c r="AM1709" s="16">
        <f t="shared" si="1637"/>
        <v>0</v>
      </c>
      <c r="AN1709" s="16">
        <f t="shared" si="1637"/>
        <v>0</v>
      </c>
      <c r="AO1709" s="16">
        <f t="shared" si="1637"/>
        <v>0</v>
      </c>
      <c r="AP1709" s="10"/>
      <c r="AQ1709" s="10"/>
      <c r="AR1709" s="10"/>
      <c r="AS1709" s="10" t="str">
        <f t="shared" ca="1" si="1624"/>
        <v>Johnson &amp; Johnson</v>
      </c>
      <c r="AT1709" s="10"/>
      <c r="AU1709" s="10"/>
      <c r="AV1709" s="10"/>
      <c r="AW1709" s="10"/>
      <c r="AX1709" s="10"/>
      <c r="AY1709" s="10"/>
      <c r="AZ1709" s="10"/>
      <c r="BA1709" s="10"/>
      <c r="BB1709" s="10"/>
      <c r="BC1709" s="10"/>
      <c r="BD1709" s="10"/>
      <c r="BE1709" s="10"/>
      <c r="BF1709" s="10"/>
      <c r="BG1709" s="10"/>
      <c r="BH1709" s="10"/>
      <c r="BI1709" s="10"/>
      <c r="BJ1709" s="10"/>
      <c r="BK1709" s="10"/>
      <c r="BM1709" s="10"/>
    </row>
    <row r="1710" spans="1:65" ht="12.75">
      <c r="A1710" s="9"/>
      <c r="B1710" s="10"/>
      <c r="C1710" s="11"/>
      <c r="D1710" s="12"/>
      <c r="E1710" s="10"/>
      <c r="F1710" s="10"/>
      <c r="G1710" s="10"/>
      <c r="H1710" s="14"/>
      <c r="I1710" s="14"/>
      <c r="J1710" s="14"/>
      <c r="K1710" s="14"/>
      <c r="L1710" s="14"/>
      <c r="M1710" s="15"/>
      <c r="N1710" s="10"/>
      <c r="O1710" s="14"/>
      <c r="P1710" s="14"/>
      <c r="Q1710" s="14"/>
      <c r="R1710" s="14"/>
      <c r="S1710" s="14"/>
      <c r="T1710" s="14"/>
      <c r="U1710" s="14"/>
      <c r="V1710" s="14"/>
      <c r="W1710" s="14"/>
      <c r="X1710" s="14"/>
      <c r="Y1710" s="14"/>
      <c r="Z1710" s="14"/>
      <c r="AA1710" s="16" t="str">
        <f t="shared" ca="1" si="1637"/>
        <v>Johnson &amp; Johnson</v>
      </c>
      <c r="AB1710" s="16">
        <f t="shared" si="1637"/>
        <v>0</v>
      </c>
      <c r="AC1710" s="16">
        <f t="shared" si="1637"/>
        <v>0</v>
      </c>
      <c r="AD1710" s="16">
        <f t="shared" si="1637"/>
        <v>0</v>
      </c>
      <c r="AE1710" s="16">
        <f t="shared" si="1637"/>
        <v>0</v>
      </c>
      <c r="AF1710" s="16">
        <f t="shared" si="1637"/>
        <v>0</v>
      </c>
      <c r="AG1710" s="16">
        <f t="shared" si="1637"/>
        <v>0</v>
      </c>
      <c r="AH1710" s="16">
        <f t="shared" si="1637"/>
        <v>0</v>
      </c>
      <c r="AI1710" s="16">
        <f t="shared" si="1637"/>
        <v>0</v>
      </c>
      <c r="AJ1710" s="16">
        <f t="shared" si="1637"/>
        <v>0</v>
      </c>
      <c r="AK1710" s="16">
        <f t="shared" si="1637"/>
        <v>0</v>
      </c>
      <c r="AL1710" s="16">
        <f t="shared" si="1637"/>
        <v>0</v>
      </c>
      <c r="AM1710" s="16">
        <f t="shared" si="1637"/>
        <v>0</v>
      </c>
      <c r="AN1710" s="16">
        <f t="shared" si="1637"/>
        <v>0</v>
      </c>
      <c r="AO1710" s="16">
        <f t="shared" si="1637"/>
        <v>0</v>
      </c>
      <c r="AP1710" s="10"/>
      <c r="AQ1710" s="10"/>
      <c r="AR1710" s="10"/>
      <c r="AS1710" s="10" t="str">
        <f t="shared" ca="1" si="1624"/>
        <v>Johnson &amp; Johnson</v>
      </c>
      <c r="AT1710" s="10"/>
      <c r="AU1710" s="10"/>
      <c r="AV1710" s="10"/>
      <c r="AW1710" s="10"/>
      <c r="AX1710" s="10"/>
      <c r="AY1710" s="10"/>
      <c r="AZ1710" s="10"/>
      <c r="BA1710" s="10"/>
      <c r="BB1710" s="10"/>
      <c r="BC1710" s="10"/>
      <c r="BD1710" s="10"/>
      <c r="BE1710" s="10"/>
      <c r="BF1710" s="10"/>
      <c r="BG1710" s="10"/>
      <c r="BH1710" s="10"/>
      <c r="BI1710" s="10"/>
      <c r="BJ1710" s="10"/>
      <c r="BK1710" s="10"/>
      <c r="BM1710" s="10"/>
    </row>
    <row r="1711" spans="1:65" ht="12.75">
      <c r="A1711" s="9"/>
      <c r="B1711" s="10"/>
      <c r="C1711" s="11"/>
      <c r="D1711" s="12"/>
      <c r="E1711" s="10"/>
      <c r="F1711" s="10"/>
      <c r="G1711" s="10"/>
      <c r="H1711" s="14"/>
      <c r="I1711" s="14"/>
      <c r="J1711" s="14"/>
      <c r="K1711" s="14"/>
      <c r="L1711" s="14"/>
      <c r="M1711" s="15"/>
      <c r="N1711" s="10"/>
      <c r="O1711" s="14"/>
      <c r="P1711" s="14"/>
      <c r="Q1711" s="14"/>
      <c r="R1711" s="14"/>
      <c r="S1711" s="14"/>
      <c r="T1711" s="14"/>
      <c r="U1711" s="14"/>
      <c r="V1711" s="14"/>
      <c r="W1711" s="14"/>
      <c r="X1711" s="14"/>
      <c r="Y1711" s="14"/>
      <c r="Z1711" s="14"/>
      <c r="AA1711" s="16" t="str">
        <f t="shared" ca="1" si="1637"/>
        <v>Johnson &amp; Johnson</v>
      </c>
      <c r="AB1711" s="16">
        <f t="shared" si="1637"/>
        <v>0</v>
      </c>
      <c r="AC1711" s="16">
        <f t="shared" si="1637"/>
        <v>0</v>
      </c>
      <c r="AD1711" s="16">
        <f t="shared" si="1637"/>
        <v>0</v>
      </c>
      <c r="AE1711" s="16">
        <f t="shared" si="1637"/>
        <v>0</v>
      </c>
      <c r="AF1711" s="16">
        <f t="shared" si="1637"/>
        <v>0</v>
      </c>
      <c r="AG1711" s="16">
        <f t="shared" si="1637"/>
        <v>0</v>
      </c>
      <c r="AH1711" s="16">
        <f t="shared" si="1637"/>
        <v>0</v>
      </c>
      <c r="AI1711" s="16">
        <f t="shared" si="1637"/>
        <v>0</v>
      </c>
      <c r="AJ1711" s="16">
        <f t="shared" si="1637"/>
        <v>0</v>
      </c>
      <c r="AK1711" s="16">
        <f t="shared" si="1637"/>
        <v>0</v>
      </c>
      <c r="AL1711" s="16">
        <f t="shared" si="1637"/>
        <v>0</v>
      </c>
      <c r="AM1711" s="16">
        <f t="shared" si="1637"/>
        <v>0</v>
      </c>
      <c r="AN1711" s="16">
        <f t="shared" si="1637"/>
        <v>0</v>
      </c>
      <c r="AO1711" s="16">
        <f t="shared" si="1637"/>
        <v>0</v>
      </c>
      <c r="AP1711" s="10"/>
      <c r="AQ1711" s="10"/>
      <c r="AR1711" s="10"/>
      <c r="AS1711" s="10" t="str">
        <f t="shared" ca="1" si="1624"/>
        <v>Johnson &amp; Johnson</v>
      </c>
      <c r="AT1711" s="10"/>
      <c r="AU1711" s="10"/>
      <c r="AV1711" s="10"/>
      <c r="AW1711" s="10"/>
      <c r="AX1711" s="10"/>
      <c r="AY1711" s="10"/>
      <c r="AZ1711" s="10"/>
      <c r="BA1711" s="10"/>
      <c r="BB1711" s="10"/>
      <c r="BC1711" s="10"/>
      <c r="BD1711" s="10"/>
      <c r="BE1711" s="10"/>
      <c r="BF1711" s="10"/>
      <c r="BG1711" s="10"/>
      <c r="BH1711" s="10"/>
      <c r="BI1711" s="10"/>
      <c r="BJ1711" s="10"/>
      <c r="BK1711" s="10"/>
      <c r="BM1711" s="10"/>
    </row>
    <row r="1712" spans="1:65" ht="12.75">
      <c r="A1712" s="9"/>
      <c r="B1712" s="10"/>
      <c r="C1712" s="11"/>
      <c r="D1712" s="12"/>
      <c r="E1712" s="10"/>
      <c r="F1712" s="10"/>
      <c r="G1712" s="10"/>
      <c r="H1712" s="14"/>
      <c r="I1712" s="14"/>
      <c r="J1712" s="14"/>
      <c r="K1712" s="14"/>
      <c r="L1712" s="14"/>
      <c r="M1712" s="15"/>
      <c r="N1712" s="10"/>
      <c r="O1712" s="14"/>
      <c r="P1712" s="14"/>
      <c r="Q1712" s="14"/>
      <c r="R1712" s="14"/>
      <c r="S1712" s="14"/>
      <c r="T1712" s="14"/>
      <c r="U1712" s="14"/>
      <c r="V1712" s="14"/>
      <c r="W1712" s="14"/>
      <c r="X1712" s="14"/>
      <c r="Y1712" s="14"/>
      <c r="Z1712" s="14"/>
      <c r="AA1712" s="16" t="str">
        <f t="shared" ca="1" si="1637"/>
        <v>Johnson &amp; Johnson</v>
      </c>
      <c r="AB1712" s="16">
        <f t="shared" si="1637"/>
        <v>0</v>
      </c>
      <c r="AC1712" s="16">
        <f t="shared" si="1637"/>
        <v>0</v>
      </c>
      <c r="AD1712" s="16">
        <f t="shared" si="1637"/>
        <v>0</v>
      </c>
      <c r="AE1712" s="16">
        <f t="shared" si="1637"/>
        <v>0</v>
      </c>
      <c r="AF1712" s="16">
        <f t="shared" si="1637"/>
        <v>0</v>
      </c>
      <c r="AG1712" s="16">
        <f t="shared" si="1637"/>
        <v>0</v>
      </c>
      <c r="AH1712" s="16">
        <f t="shared" si="1637"/>
        <v>0</v>
      </c>
      <c r="AI1712" s="16">
        <f t="shared" si="1637"/>
        <v>0</v>
      </c>
      <c r="AJ1712" s="16">
        <f t="shared" si="1637"/>
        <v>0</v>
      </c>
      <c r="AK1712" s="16">
        <f t="shared" si="1637"/>
        <v>0</v>
      </c>
      <c r="AL1712" s="16">
        <f t="shared" si="1637"/>
        <v>0</v>
      </c>
      <c r="AM1712" s="16">
        <f t="shared" si="1637"/>
        <v>0</v>
      </c>
      <c r="AN1712" s="16">
        <f t="shared" si="1637"/>
        <v>0</v>
      </c>
      <c r="AO1712" s="16">
        <f t="shared" si="1637"/>
        <v>0</v>
      </c>
      <c r="AP1712" s="10"/>
      <c r="AQ1712" s="10"/>
      <c r="AR1712" s="10"/>
      <c r="AS1712" s="10" t="str">
        <f t="shared" ca="1" si="1624"/>
        <v>Johnson &amp; Johnson</v>
      </c>
      <c r="AT1712" s="10"/>
      <c r="AU1712" s="10"/>
      <c r="AV1712" s="10"/>
      <c r="AW1712" s="10"/>
      <c r="AX1712" s="10"/>
      <c r="AY1712" s="10"/>
      <c r="AZ1712" s="10"/>
      <c r="BA1712" s="10"/>
      <c r="BB1712" s="10"/>
      <c r="BC1712" s="10"/>
      <c r="BD1712" s="10"/>
      <c r="BE1712" s="10"/>
      <c r="BF1712" s="10"/>
      <c r="BG1712" s="10"/>
      <c r="BH1712" s="10"/>
      <c r="BI1712" s="10"/>
      <c r="BJ1712" s="10"/>
      <c r="BK1712" s="10"/>
      <c r="BM1712" s="10"/>
    </row>
    <row r="1713" spans="1:65" ht="12.75">
      <c r="A1713" s="9"/>
      <c r="B1713" s="10"/>
      <c r="C1713" s="11"/>
      <c r="D1713" s="12"/>
      <c r="E1713" s="10"/>
      <c r="F1713" s="10"/>
      <c r="G1713" s="10"/>
      <c r="H1713" s="14"/>
      <c r="I1713" s="14"/>
      <c r="J1713" s="14"/>
      <c r="K1713" s="14"/>
      <c r="L1713" s="14"/>
      <c r="M1713" s="15"/>
      <c r="N1713" s="10"/>
      <c r="O1713" s="14"/>
      <c r="P1713" s="14"/>
      <c r="Q1713" s="14"/>
      <c r="R1713" s="14"/>
      <c r="S1713" s="14"/>
      <c r="T1713" s="14"/>
      <c r="U1713" s="14"/>
      <c r="V1713" s="14"/>
      <c r="W1713" s="14"/>
      <c r="X1713" s="14"/>
      <c r="Y1713" s="14"/>
      <c r="Z1713" s="14"/>
      <c r="AA1713" s="16" t="str">
        <f t="shared" ca="1" si="1637"/>
        <v>Johnson &amp; Johnson</v>
      </c>
      <c r="AB1713" s="16">
        <f t="shared" si="1637"/>
        <v>0</v>
      </c>
      <c r="AC1713" s="16">
        <f t="shared" si="1637"/>
        <v>0</v>
      </c>
      <c r="AD1713" s="16">
        <f t="shared" si="1637"/>
        <v>0</v>
      </c>
      <c r="AE1713" s="16">
        <f t="shared" si="1637"/>
        <v>0</v>
      </c>
      <c r="AF1713" s="16">
        <f t="shared" si="1637"/>
        <v>0</v>
      </c>
      <c r="AG1713" s="16">
        <f t="shared" si="1637"/>
        <v>0</v>
      </c>
      <c r="AH1713" s="16">
        <f t="shared" si="1637"/>
        <v>0</v>
      </c>
      <c r="AI1713" s="16">
        <f t="shared" si="1637"/>
        <v>0</v>
      </c>
      <c r="AJ1713" s="16">
        <f t="shared" si="1637"/>
        <v>0</v>
      </c>
      <c r="AK1713" s="16">
        <f t="shared" si="1637"/>
        <v>0</v>
      </c>
      <c r="AL1713" s="16">
        <f t="shared" si="1637"/>
        <v>0</v>
      </c>
      <c r="AM1713" s="16">
        <f t="shared" si="1637"/>
        <v>0</v>
      </c>
      <c r="AN1713" s="16">
        <f t="shared" si="1637"/>
        <v>0</v>
      </c>
      <c r="AO1713" s="16">
        <f t="shared" si="1637"/>
        <v>0</v>
      </c>
      <c r="AP1713" s="10"/>
      <c r="AQ1713" s="10"/>
      <c r="AR1713" s="10"/>
      <c r="AS1713" s="10" t="str">
        <f t="shared" ca="1" si="1624"/>
        <v>Johnson &amp; Johnson</v>
      </c>
      <c r="AT1713" s="10"/>
      <c r="AU1713" s="10"/>
      <c r="AV1713" s="10"/>
      <c r="AW1713" s="10"/>
      <c r="AX1713" s="10"/>
      <c r="AY1713" s="10"/>
      <c r="AZ1713" s="10"/>
      <c r="BA1713" s="10"/>
      <c r="BB1713" s="10"/>
      <c r="BC1713" s="10"/>
      <c r="BD1713" s="10"/>
      <c r="BE1713" s="10"/>
      <c r="BF1713" s="10"/>
      <c r="BG1713" s="10"/>
      <c r="BH1713" s="10"/>
      <c r="BI1713" s="10"/>
      <c r="BJ1713" s="10"/>
      <c r="BK1713" s="10"/>
      <c r="BM1713" s="10"/>
    </row>
    <row r="1714" spans="1:65" ht="12.75">
      <c r="A1714" s="9"/>
      <c r="B1714" s="10"/>
      <c r="C1714" s="11"/>
      <c r="D1714" s="12"/>
      <c r="E1714" s="10"/>
      <c r="F1714" s="10"/>
      <c r="G1714" s="10"/>
      <c r="H1714" s="14"/>
      <c r="I1714" s="14"/>
      <c r="J1714" s="14"/>
      <c r="K1714" s="14"/>
      <c r="L1714" s="14"/>
      <c r="M1714" s="15"/>
      <c r="N1714" s="10"/>
      <c r="O1714" s="14"/>
      <c r="P1714" s="14"/>
      <c r="Q1714" s="14"/>
      <c r="R1714" s="14"/>
      <c r="S1714" s="14"/>
      <c r="T1714" s="14"/>
      <c r="U1714" s="14"/>
      <c r="V1714" s="14"/>
      <c r="W1714" s="14"/>
      <c r="X1714" s="14"/>
      <c r="Y1714" s="14"/>
      <c r="Z1714" s="14"/>
      <c r="AA1714" s="16" t="str">
        <f t="shared" ca="1" si="1637"/>
        <v>Johnson &amp; Johnson</v>
      </c>
      <c r="AB1714" s="16">
        <f t="shared" si="1637"/>
        <v>0</v>
      </c>
      <c r="AC1714" s="16">
        <f t="shared" si="1637"/>
        <v>0</v>
      </c>
      <c r="AD1714" s="16">
        <f t="shared" si="1637"/>
        <v>0</v>
      </c>
      <c r="AE1714" s="16">
        <f t="shared" si="1637"/>
        <v>0</v>
      </c>
      <c r="AF1714" s="16">
        <f t="shared" si="1637"/>
        <v>0</v>
      </c>
      <c r="AG1714" s="16">
        <f t="shared" si="1637"/>
        <v>0</v>
      </c>
      <c r="AH1714" s="16">
        <f t="shared" si="1637"/>
        <v>0</v>
      </c>
      <c r="AI1714" s="16">
        <f t="shared" si="1637"/>
        <v>0</v>
      </c>
      <c r="AJ1714" s="16">
        <f t="shared" si="1637"/>
        <v>0</v>
      </c>
      <c r="AK1714" s="16">
        <f t="shared" si="1637"/>
        <v>0</v>
      </c>
      <c r="AL1714" s="16">
        <f t="shared" si="1637"/>
        <v>0</v>
      </c>
      <c r="AM1714" s="16">
        <f t="shared" si="1637"/>
        <v>0</v>
      </c>
      <c r="AN1714" s="16">
        <f t="shared" si="1637"/>
        <v>0</v>
      </c>
      <c r="AO1714" s="16">
        <f t="shared" si="1637"/>
        <v>0</v>
      </c>
      <c r="AP1714" s="10"/>
      <c r="AQ1714" s="10"/>
      <c r="AR1714" s="10"/>
      <c r="AS1714" s="10" t="str">
        <f t="shared" ca="1" si="1624"/>
        <v>Johnson &amp; Johnson</v>
      </c>
      <c r="AT1714" s="10"/>
      <c r="AU1714" s="10"/>
      <c r="AV1714" s="10"/>
      <c r="AW1714" s="10"/>
      <c r="AX1714" s="10"/>
      <c r="AY1714" s="10"/>
      <c r="AZ1714" s="10"/>
      <c r="BA1714" s="10"/>
      <c r="BB1714" s="10"/>
      <c r="BC1714" s="10"/>
      <c r="BD1714" s="10"/>
      <c r="BE1714" s="10"/>
      <c r="BF1714" s="10"/>
      <c r="BG1714" s="10"/>
      <c r="BH1714" s="10"/>
      <c r="BI1714" s="10"/>
      <c r="BJ1714" s="10"/>
      <c r="BK1714" s="10"/>
      <c r="BM1714" s="10"/>
    </row>
    <row r="1715" spans="1:65" ht="12.75">
      <c r="A1715" s="9"/>
      <c r="B1715" s="10"/>
      <c r="C1715" s="11"/>
      <c r="D1715" s="12"/>
      <c r="E1715" s="10"/>
      <c r="F1715" s="10"/>
      <c r="G1715" s="10"/>
      <c r="H1715" s="14"/>
      <c r="I1715" s="14"/>
      <c r="J1715" s="14"/>
      <c r="K1715" s="14"/>
      <c r="L1715" s="14"/>
      <c r="M1715" s="15"/>
      <c r="N1715" s="10"/>
      <c r="O1715" s="14"/>
      <c r="P1715" s="14"/>
      <c r="Q1715" s="14"/>
      <c r="R1715" s="14"/>
      <c r="S1715" s="14"/>
      <c r="T1715" s="14"/>
      <c r="U1715" s="14"/>
      <c r="V1715" s="14"/>
      <c r="W1715" s="14"/>
      <c r="X1715" s="14"/>
      <c r="Y1715" s="14"/>
      <c r="Z1715" s="14"/>
      <c r="AA1715" s="16" t="str">
        <f t="shared" ca="1" si="1637"/>
        <v>Johnson &amp; Johnson</v>
      </c>
      <c r="AB1715" s="16">
        <f t="shared" si="1637"/>
        <v>0</v>
      </c>
      <c r="AC1715" s="16">
        <f t="shared" si="1637"/>
        <v>0</v>
      </c>
      <c r="AD1715" s="16">
        <f t="shared" si="1637"/>
        <v>0</v>
      </c>
      <c r="AE1715" s="16">
        <f t="shared" si="1637"/>
        <v>0</v>
      </c>
      <c r="AF1715" s="16">
        <f t="shared" si="1637"/>
        <v>0</v>
      </c>
      <c r="AG1715" s="16">
        <f t="shared" si="1637"/>
        <v>0</v>
      </c>
      <c r="AH1715" s="16">
        <f t="shared" si="1637"/>
        <v>0</v>
      </c>
      <c r="AI1715" s="16">
        <f t="shared" si="1637"/>
        <v>0</v>
      </c>
      <c r="AJ1715" s="16">
        <f t="shared" si="1637"/>
        <v>0</v>
      </c>
      <c r="AK1715" s="16">
        <f t="shared" si="1637"/>
        <v>0</v>
      </c>
      <c r="AL1715" s="16">
        <f t="shared" si="1637"/>
        <v>0</v>
      </c>
      <c r="AM1715" s="16">
        <f t="shared" si="1637"/>
        <v>0</v>
      </c>
      <c r="AN1715" s="16">
        <f t="shared" si="1637"/>
        <v>0</v>
      </c>
      <c r="AO1715" s="16">
        <f t="shared" si="1637"/>
        <v>0</v>
      </c>
      <c r="AP1715" s="10"/>
      <c r="AQ1715" s="10"/>
      <c r="AR1715" s="10"/>
      <c r="AS1715" s="10" t="str">
        <f t="shared" ca="1" si="1624"/>
        <v>Johnson &amp; Johnson</v>
      </c>
      <c r="AT1715" s="10"/>
      <c r="AU1715" s="10"/>
      <c r="AV1715" s="10"/>
      <c r="AW1715" s="10"/>
      <c r="AX1715" s="10"/>
      <c r="AY1715" s="10"/>
      <c r="AZ1715" s="10"/>
      <c r="BA1715" s="10"/>
      <c r="BB1715" s="10"/>
      <c r="BC1715" s="10"/>
      <c r="BD1715" s="10"/>
      <c r="BE1715" s="10"/>
      <c r="BF1715" s="10"/>
      <c r="BG1715" s="10"/>
      <c r="BH1715" s="10"/>
      <c r="BI1715" s="10"/>
      <c r="BJ1715" s="10"/>
      <c r="BK1715" s="10"/>
      <c r="BM1715" s="10"/>
    </row>
    <row r="1716" spans="1:65" ht="12.75">
      <c r="A1716" s="9"/>
      <c r="B1716" s="10"/>
      <c r="C1716" s="11"/>
      <c r="D1716" s="12"/>
      <c r="E1716" s="10"/>
      <c r="F1716" s="10"/>
      <c r="G1716" s="10"/>
      <c r="H1716" s="14"/>
      <c r="I1716" s="14"/>
      <c r="J1716" s="14"/>
      <c r="K1716" s="14"/>
      <c r="L1716" s="14"/>
      <c r="M1716" s="15"/>
      <c r="N1716" s="10"/>
      <c r="O1716" s="14"/>
      <c r="P1716" s="14"/>
      <c r="Q1716" s="14"/>
      <c r="R1716" s="14"/>
      <c r="S1716" s="14"/>
      <c r="T1716" s="14"/>
      <c r="U1716" s="14"/>
      <c r="V1716" s="14"/>
      <c r="W1716" s="14"/>
      <c r="X1716" s="14"/>
      <c r="Y1716" s="14"/>
      <c r="Z1716" s="14"/>
      <c r="AA1716" s="16" t="str">
        <f t="shared" ca="1" si="1637"/>
        <v>Johnson &amp; Johnson</v>
      </c>
      <c r="AB1716" s="16">
        <f t="shared" si="1637"/>
        <v>0</v>
      </c>
      <c r="AC1716" s="16">
        <f t="shared" si="1637"/>
        <v>0</v>
      </c>
      <c r="AD1716" s="16">
        <f t="shared" si="1637"/>
        <v>0</v>
      </c>
      <c r="AE1716" s="16">
        <f t="shared" si="1637"/>
        <v>0</v>
      </c>
      <c r="AF1716" s="16">
        <f t="shared" si="1637"/>
        <v>0</v>
      </c>
      <c r="AG1716" s="16">
        <f t="shared" si="1637"/>
        <v>0</v>
      </c>
      <c r="AH1716" s="16">
        <f t="shared" si="1637"/>
        <v>0</v>
      </c>
      <c r="AI1716" s="16">
        <f t="shared" si="1637"/>
        <v>0</v>
      </c>
      <c r="AJ1716" s="16">
        <f t="shared" si="1637"/>
        <v>0</v>
      </c>
      <c r="AK1716" s="16">
        <f t="shared" si="1637"/>
        <v>0</v>
      </c>
      <c r="AL1716" s="16">
        <f t="shared" si="1637"/>
        <v>0</v>
      </c>
      <c r="AM1716" s="16">
        <f t="shared" si="1637"/>
        <v>0</v>
      </c>
      <c r="AN1716" s="16">
        <f t="shared" si="1637"/>
        <v>0</v>
      </c>
      <c r="AO1716" s="16">
        <f t="shared" si="1637"/>
        <v>0</v>
      </c>
      <c r="AP1716" s="10"/>
      <c r="AQ1716" s="10"/>
      <c r="AR1716" s="10"/>
      <c r="AS1716" s="10" t="str">
        <f t="shared" ca="1" si="1624"/>
        <v>Johnson &amp; Johnson</v>
      </c>
      <c r="AT1716" s="10"/>
      <c r="AU1716" s="10"/>
      <c r="AV1716" s="10"/>
      <c r="AW1716" s="10"/>
      <c r="AX1716" s="10"/>
      <c r="AY1716" s="10"/>
      <c r="AZ1716" s="10"/>
      <c r="BA1716" s="10"/>
      <c r="BB1716" s="10"/>
      <c r="BC1716" s="10"/>
      <c r="BD1716" s="10"/>
      <c r="BE1716" s="10"/>
      <c r="BF1716" s="10"/>
      <c r="BG1716" s="10"/>
      <c r="BH1716" s="10"/>
      <c r="BI1716" s="10"/>
      <c r="BJ1716" s="10"/>
      <c r="BK1716" s="10"/>
      <c r="BM1716" s="10"/>
    </row>
    <row r="1717" spans="1:65" ht="12.75">
      <c r="A1717" s="9"/>
      <c r="B1717" s="10"/>
      <c r="C1717" s="11"/>
      <c r="D1717" s="12"/>
      <c r="E1717" s="10"/>
      <c r="F1717" s="10"/>
      <c r="G1717" s="10"/>
      <c r="H1717" s="14"/>
      <c r="I1717" s="14"/>
      <c r="J1717" s="14"/>
      <c r="K1717" s="14"/>
      <c r="L1717" s="14"/>
      <c r="M1717" s="15"/>
      <c r="N1717" s="10"/>
      <c r="O1717" s="14"/>
      <c r="P1717" s="14"/>
      <c r="Q1717" s="14"/>
      <c r="R1717" s="14"/>
      <c r="S1717" s="14"/>
      <c r="T1717" s="14"/>
      <c r="U1717" s="14"/>
      <c r="V1717" s="14"/>
      <c r="W1717" s="14"/>
      <c r="X1717" s="14"/>
      <c r="Y1717" s="14"/>
      <c r="Z1717" s="14"/>
      <c r="AA1717" s="16" t="str">
        <f t="shared" ca="1" si="1637"/>
        <v>Johnson &amp; Johnson</v>
      </c>
      <c r="AB1717" s="16">
        <f t="shared" si="1637"/>
        <v>0</v>
      </c>
      <c r="AC1717" s="16">
        <f t="shared" si="1637"/>
        <v>0</v>
      </c>
      <c r="AD1717" s="16">
        <f t="shared" si="1637"/>
        <v>0</v>
      </c>
      <c r="AE1717" s="16">
        <f t="shared" si="1637"/>
        <v>0</v>
      </c>
      <c r="AF1717" s="16">
        <f t="shared" si="1637"/>
        <v>0</v>
      </c>
      <c r="AG1717" s="16">
        <f t="shared" si="1637"/>
        <v>0</v>
      </c>
      <c r="AH1717" s="16">
        <f t="shared" si="1637"/>
        <v>0</v>
      </c>
      <c r="AI1717" s="16">
        <f t="shared" si="1637"/>
        <v>0</v>
      </c>
      <c r="AJ1717" s="16">
        <f t="shared" si="1637"/>
        <v>0</v>
      </c>
      <c r="AK1717" s="16">
        <f t="shared" si="1637"/>
        <v>0</v>
      </c>
      <c r="AL1717" s="16">
        <f t="shared" si="1637"/>
        <v>0</v>
      </c>
      <c r="AM1717" s="16">
        <f t="shared" si="1637"/>
        <v>0</v>
      </c>
      <c r="AN1717" s="16">
        <f t="shared" si="1637"/>
        <v>0</v>
      </c>
      <c r="AO1717" s="16">
        <f t="shared" si="1637"/>
        <v>0</v>
      </c>
      <c r="AP1717" s="10"/>
      <c r="AQ1717" s="10"/>
      <c r="AR1717" s="10"/>
      <c r="AS1717" s="10" t="str">
        <f t="shared" ca="1" si="1624"/>
        <v>Johnson &amp; Johnson</v>
      </c>
      <c r="AT1717" s="10"/>
      <c r="AU1717" s="10"/>
      <c r="AV1717" s="10"/>
      <c r="AW1717" s="10"/>
      <c r="AX1717" s="10"/>
      <c r="AY1717" s="10"/>
      <c r="AZ1717" s="10"/>
      <c r="BA1717" s="10"/>
      <c r="BB1717" s="10"/>
      <c r="BC1717" s="10"/>
      <c r="BD1717" s="10"/>
      <c r="BE1717" s="10"/>
      <c r="BF1717" s="10"/>
      <c r="BG1717" s="10"/>
      <c r="BH1717" s="10"/>
      <c r="BI1717" s="10"/>
      <c r="BJ1717" s="10"/>
      <c r="BK1717" s="10"/>
      <c r="BM1717" s="10"/>
    </row>
    <row r="1718" spans="1:65" ht="12.75">
      <c r="A1718" s="9"/>
      <c r="B1718" s="10"/>
      <c r="C1718" s="11"/>
      <c r="D1718" s="12"/>
      <c r="E1718" s="10"/>
      <c r="F1718" s="10"/>
      <c r="G1718" s="10"/>
      <c r="H1718" s="14"/>
      <c r="I1718" s="14"/>
      <c r="J1718" s="14"/>
      <c r="K1718" s="14"/>
      <c r="L1718" s="14"/>
      <c r="M1718" s="15"/>
      <c r="N1718" s="10"/>
      <c r="O1718" s="14"/>
      <c r="P1718" s="14"/>
      <c r="Q1718" s="14"/>
      <c r="R1718" s="14"/>
      <c r="S1718" s="14"/>
      <c r="T1718" s="14"/>
      <c r="U1718" s="14"/>
      <c r="V1718" s="14"/>
      <c r="W1718" s="14"/>
      <c r="X1718" s="14"/>
      <c r="Y1718" s="14"/>
      <c r="Z1718" s="14"/>
      <c r="AA1718" s="16" t="str">
        <f t="shared" ca="1" si="1637"/>
        <v>Johnson &amp; Johnson</v>
      </c>
      <c r="AB1718" s="16">
        <f t="shared" si="1637"/>
        <v>0</v>
      </c>
      <c r="AC1718" s="16">
        <f t="shared" si="1637"/>
        <v>0</v>
      </c>
      <c r="AD1718" s="16">
        <f t="shared" si="1637"/>
        <v>0</v>
      </c>
      <c r="AE1718" s="16">
        <f t="shared" si="1637"/>
        <v>0</v>
      </c>
      <c r="AF1718" s="16">
        <f t="shared" si="1637"/>
        <v>0</v>
      </c>
      <c r="AG1718" s="16">
        <f t="shared" si="1637"/>
        <v>0</v>
      </c>
      <c r="AH1718" s="16">
        <f t="shared" si="1637"/>
        <v>0</v>
      </c>
      <c r="AI1718" s="16">
        <f t="shared" si="1637"/>
        <v>0</v>
      </c>
      <c r="AJ1718" s="16">
        <f t="shared" si="1637"/>
        <v>0</v>
      </c>
      <c r="AK1718" s="16">
        <f t="shared" si="1637"/>
        <v>0</v>
      </c>
      <c r="AL1718" s="16">
        <f t="shared" si="1637"/>
        <v>0</v>
      </c>
      <c r="AM1718" s="16">
        <f t="shared" si="1637"/>
        <v>0</v>
      </c>
      <c r="AN1718" s="16">
        <f t="shared" si="1637"/>
        <v>0</v>
      </c>
      <c r="AO1718" s="16">
        <f t="shared" si="1637"/>
        <v>0</v>
      </c>
      <c r="AP1718" s="10"/>
      <c r="AQ1718" s="10"/>
      <c r="AR1718" s="10"/>
      <c r="AS1718" s="10" t="str">
        <f t="shared" ca="1" si="1624"/>
        <v>Johnson &amp; Johnson</v>
      </c>
      <c r="AT1718" s="10"/>
      <c r="AU1718" s="10"/>
      <c r="AV1718" s="10"/>
      <c r="AW1718" s="10"/>
      <c r="AX1718" s="10"/>
      <c r="AY1718" s="10"/>
      <c r="AZ1718" s="10"/>
      <c r="BA1718" s="10"/>
      <c r="BB1718" s="10"/>
      <c r="BC1718" s="10"/>
      <c r="BD1718" s="10"/>
      <c r="BE1718" s="10"/>
      <c r="BF1718" s="10"/>
      <c r="BG1718" s="10"/>
      <c r="BH1718" s="10"/>
      <c r="BI1718" s="10"/>
      <c r="BJ1718" s="10"/>
      <c r="BK1718" s="10"/>
      <c r="BM1718" s="10"/>
    </row>
    <row r="1719" spans="1:65" ht="12.75">
      <c r="A1719" s="9"/>
      <c r="B1719" s="10"/>
      <c r="C1719" s="11"/>
      <c r="D1719" s="12"/>
      <c r="E1719" s="10"/>
      <c r="F1719" s="10"/>
      <c r="G1719" s="10"/>
      <c r="H1719" s="14"/>
      <c r="I1719" s="14"/>
      <c r="J1719" s="14"/>
      <c r="K1719" s="14"/>
      <c r="L1719" s="14"/>
      <c r="M1719" s="15"/>
      <c r="N1719" s="10"/>
      <c r="O1719" s="14"/>
      <c r="P1719" s="14"/>
      <c r="Q1719" s="14"/>
      <c r="R1719" s="14"/>
      <c r="S1719" s="14"/>
      <c r="T1719" s="14"/>
      <c r="U1719" s="14"/>
      <c r="V1719" s="14"/>
      <c r="W1719" s="14"/>
      <c r="X1719" s="14"/>
      <c r="Y1719" s="14"/>
      <c r="Z1719" s="14"/>
      <c r="AA1719" s="16" t="str">
        <f t="shared" ca="1" si="1637"/>
        <v>Johnson &amp; Johnson</v>
      </c>
      <c r="AB1719" s="16">
        <f t="shared" si="1637"/>
        <v>0</v>
      </c>
      <c r="AC1719" s="16">
        <f t="shared" si="1637"/>
        <v>0</v>
      </c>
      <c r="AD1719" s="16">
        <f t="shared" si="1637"/>
        <v>0</v>
      </c>
      <c r="AE1719" s="16">
        <f t="shared" si="1637"/>
        <v>0</v>
      </c>
      <c r="AF1719" s="16">
        <f t="shared" si="1637"/>
        <v>0</v>
      </c>
      <c r="AG1719" s="16">
        <f t="shared" si="1637"/>
        <v>0</v>
      </c>
      <c r="AH1719" s="16">
        <f t="shared" si="1637"/>
        <v>0</v>
      </c>
      <c r="AI1719" s="16">
        <f t="shared" si="1637"/>
        <v>0</v>
      </c>
      <c r="AJ1719" s="16">
        <f t="shared" si="1637"/>
        <v>0</v>
      </c>
      <c r="AK1719" s="16">
        <f t="shared" si="1637"/>
        <v>0</v>
      </c>
      <c r="AL1719" s="16">
        <f t="shared" si="1637"/>
        <v>0</v>
      </c>
      <c r="AM1719" s="16">
        <f t="shared" si="1637"/>
        <v>0</v>
      </c>
      <c r="AN1719" s="16">
        <f t="shared" si="1637"/>
        <v>0</v>
      </c>
      <c r="AO1719" s="16">
        <f t="shared" si="1637"/>
        <v>0</v>
      </c>
      <c r="AP1719" s="10"/>
      <c r="AQ1719" s="10"/>
      <c r="AR1719" s="10"/>
      <c r="AS1719" s="10" t="str">
        <f t="shared" ca="1" si="1624"/>
        <v>Johnson &amp; Johnson</v>
      </c>
      <c r="AT1719" s="10"/>
      <c r="AU1719" s="10"/>
      <c r="AV1719" s="10"/>
      <c r="AW1719" s="10"/>
      <c r="AX1719" s="10"/>
      <c r="AY1719" s="10"/>
      <c r="AZ1719" s="10"/>
      <c r="BA1719" s="10"/>
      <c r="BB1719" s="10"/>
      <c r="BC1719" s="10"/>
      <c r="BD1719" s="10"/>
      <c r="BE1719" s="10"/>
      <c r="BF1719" s="10"/>
      <c r="BG1719" s="10"/>
      <c r="BH1719" s="10"/>
      <c r="BI1719" s="10"/>
      <c r="BJ1719" s="10"/>
      <c r="BK1719" s="10"/>
      <c r="BM1719" s="10"/>
    </row>
    <row r="1720" spans="1:65" ht="12.75">
      <c r="A1720" s="9"/>
      <c r="B1720" s="10"/>
      <c r="C1720" s="11"/>
      <c r="D1720" s="12"/>
      <c r="E1720" s="10"/>
      <c r="F1720" s="10"/>
      <c r="G1720" s="10"/>
      <c r="H1720" s="14"/>
      <c r="I1720" s="14"/>
      <c r="J1720" s="14"/>
      <c r="K1720" s="14"/>
      <c r="L1720" s="14"/>
      <c r="M1720" s="15"/>
      <c r="N1720" s="10"/>
      <c r="O1720" s="14"/>
      <c r="P1720" s="14"/>
      <c r="Q1720" s="14"/>
      <c r="R1720" s="14"/>
      <c r="S1720" s="14"/>
      <c r="T1720" s="14"/>
      <c r="U1720" s="14"/>
      <c r="V1720" s="14"/>
      <c r="W1720" s="14"/>
      <c r="X1720" s="14"/>
      <c r="Y1720" s="14"/>
      <c r="Z1720" s="14"/>
      <c r="AA1720" s="16" t="str">
        <f t="shared" ca="1" si="1637"/>
        <v>Johnson &amp; Johnson</v>
      </c>
      <c r="AB1720" s="16">
        <f t="shared" si="1637"/>
        <v>0</v>
      </c>
      <c r="AC1720" s="16">
        <f t="shared" si="1637"/>
        <v>0</v>
      </c>
      <c r="AD1720" s="16">
        <f t="shared" si="1637"/>
        <v>0</v>
      </c>
      <c r="AE1720" s="16">
        <f t="shared" si="1637"/>
        <v>0</v>
      </c>
      <c r="AF1720" s="16">
        <f t="shared" si="1637"/>
        <v>0</v>
      </c>
      <c r="AG1720" s="16">
        <f t="shared" si="1637"/>
        <v>0</v>
      </c>
      <c r="AH1720" s="16">
        <f t="shared" si="1637"/>
        <v>0</v>
      </c>
      <c r="AI1720" s="16">
        <f t="shared" si="1637"/>
        <v>0</v>
      </c>
      <c r="AJ1720" s="16">
        <f t="shared" si="1637"/>
        <v>0</v>
      </c>
      <c r="AK1720" s="16">
        <f t="shared" si="1637"/>
        <v>0</v>
      </c>
      <c r="AL1720" s="16">
        <f t="shared" si="1637"/>
        <v>0</v>
      </c>
      <c r="AM1720" s="16">
        <f t="shared" si="1637"/>
        <v>0</v>
      </c>
      <c r="AN1720" s="16">
        <f t="shared" si="1637"/>
        <v>0</v>
      </c>
      <c r="AO1720" s="16">
        <f t="shared" si="1637"/>
        <v>0</v>
      </c>
      <c r="AP1720" s="10"/>
      <c r="AQ1720" s="10"/>
      <c r="AR1720" s="10"/>
      <c r="AS1720" s="10" t="str">
        <f t="shared" ca="1" si="1624"/>
        <v>Johnson &amp; Johnson</v>
      </c>
      <c r="AT1720" s="10"/>
      <c r="AU1720" s="10"/>
      <c r="AV1720" s="10"/>
      <c r="AW1720" s="10"/>
      <c r="AX1720" s="10"/>
      <c r="AY1720" s="10"/>
      <c r="AZ1720" s="10"/>
      <c r="BA1720" s="10"/>
      <c r="BB1720" s="10"/>
      <c r="BC1720" s="10"/>
      <c r="BD1720" s="10"/>
      <c r="BE1720" s="10"/>
      <c r="BF1720" s="10"/>
      <c r="BG1720" s="10"/>
      <c r="BH1720" s="10"/>
      <c r="BI1720" s="10"/>
      <c r="BJ1720" s="10"/>
      <c r="BK1720" s="10"/>
      <c r="BM1720" s="10"/>
    </row>
    <row r="1721" spans="1:65" ht="12.75">
      <c r="A1721" s="9"/>
      <c r="B1721" s="10"/>
      <c r="C1721" s="11"/>
      <c r="D1721" s="12"/>
      <c r="E1721" s="10"/>
      <c r="F1721" s="10"/>
      <c r="G1721" s="10"/>
      <c r="H1721" s="14"/>
      <c r="I1721" s="14"/>
      <c r="J1721" s="14"/>
      <c r="K1721" s="14"/>
      <c r="L1721" s="14"/>
      <c r="M1721" s="15"/>
      <c r="N1721" s="10"/>
      <c r="O1721" s="14"/>
      <c r="P1721" s="14"/>
      <c r="Q1721" s="14"/>
      <c r="R1721" s="14"/>
      <c r="S1721" s="14"/>
      <c r="T1721" s="14"/>
      <c r="U1721" s="14"/>
      <c r="V1721" s="14"/>
      <c r="W1721" s="14"/>
      <c r="X1721" s="14"/>
      <c r="Y1721" s="14"/>
      <c r="Z1721" s="14"/>
      <c r="AA1721" s="16" t="str">
        <f t="shared" ref="AA1721:AO1736" ca="1" si="1638">AS1721</f>
        <v>Johnson &amp; Johnson</v>
      </c>
      <c r="AB1721" s="16">
        <f t="shared" si="1638"/>
        <v>0</v>
      </c>
      <c r="AC1721" s="16">
        <f t="shared" si="1638"/>
        <v>0</v>
      </c>
      <c r="AD1721" s="16">
        <f t="shared" si="1638"/>
        <v>0</v>
      </c>
      <c r="AE1721" s="16">
        <f t="shared" si="1638"/>
        <v>0</v>
      </c>
      <c r="AF1721" s="16">
        <f t="shared" si="1638"/>
        <v>0</v>
      </c>
      <c r="AG1721" s="16">
        <f t="shared" si="1638"/>
        <v>0</v>
      </c>
      <c r="AH1721" s="16">
        <f t="shared" si="1638"/>
        <v>0</v>
      </c>
      <c r="AI1721" s="16">
        <f t="shared" si="1638"/>
        <v>0</v>
      </c>
      <c r="AJ1721" s="16">
        <f t="shared" si="1638"/>
        <v>0</v>
      </c>
      <c r="AK1721" s="16">
        <f t="shared" si="1638"/>
        <v>0</v>
      </c>
      <c r="AL1721" s="16">
        <f t="shared" si="1638"/>
        <v>0</v>
      </c>
      <c r="AM1721" s="16">
        <f t="shared" si="1638"/>
        <v>0</v>
      </c>
      <c r="AN1721" s="16">
        <f t="shared" si="1638"/>
        <v>0</v>
      </c>
      <c r="AO1721" s="16">
        <f t="shared" si="1638"/>
        <v>0</v>
      </c>
      <c r="AP1721" s="10"/>
      <c r="AQ1721" s="10"/>
      <c r="AR1721" s="10"/>
      <c r="AS1721" s="10" t="str">
        <f t="shared" ca="1" si="1624"/>
        <v>Johnson &amp; Johnson</v>
      </c>
      <c r="AT1721" s="10"/>
      <c r="AU1721" s="10"/>
      <c r="AV1721" s="10"/>
      <c r="AW1721" s="10"/>
      <c r="AX1721" s="10"/>
      <c r="AY1721" s="10"/>
      <c r="AZ1721" s="10"/>
      <c r="BA1721" s="10"/>
      <c r="BB1721" s="10"/>
      <c r="BC1721" s="10"/>
      <c r="BD1721" s="10"/>
      <c r="BE1721" s="10"/>
      <c r="BF1721" s="10"/>
      <c r="BG1721" s="10"/>
      <c r="BH1721" s="10"/>
      <c r="BI1721" s="10"/>
      <c r="BJ1721" s="10"/>
      <c r="BK1721" s="10"/>
      <c r="BM1721" s="10"/>
    </row>
    <row r="1722" spans="1:65" ht="12.75">
      <c r="A1722" s="9"/>
      <c r="B1722" s="10"/>
      <c r="C1722" s="11"/>
      <c r="D1722" s="12"/>
      <c r="E1722" s="10"/>
      <c r="F1722" s="10"/>
      <c r="G1722" s="10"/>
      <c r="H1722" s="14"/>
      <c r="I1722" s="14"/>
      <c r="J1722" s="14"/>
      <c r="K1722" s="14"/>
      <c r="L1722" s="14"/>
      <c r="M1722" s="15"/>
      <c r="N1722" s="10"/>
      <c r="O1722" s="14"/>
      <c r="P1722" s="14"/>
      <c r="Q1722" s="14"/>
      <c r="R1722" s="14"/>
      <c r="S1722" s="14"/>
      <c r="T1722" s="14"/>
      <c r="U1722" s="14"/>
      <c r="V1722" s="14"/>
      <c r="W1722" s="14"/>
      <c r="X1722" s="14"/>
      <c r="Y1722" s="14"/>
      <c r="Z1722" s="14"/>
      <c r="AA1722" s="16" t="str">
        <f t="shared" ca="1" si="1638"/>
        <v>Johnson &amp; Johnson</v>
      </c>
      <c r="AB1722" s="16">
        <f t="shared" si="1638"/>
        <v>0</v>
      </c>
      <c r="AC1722" s="16">
        <f t="shared" si="1638"/>
        <v>0</v>
      </c>
      <c r="AD1722" s="16">
        <f t="shared" si="1638"/>
        <v>0</v>
      </c>
      <c r="AE1722" s="16">
        <f t="shared" si="1638"/>
        <v>0</v>
      </c>
      <c r="AF1722" s="16">
        <f t="shared" si="1638"/>
        <v>0</v>
      </c>
      <c r="AG1722" s="16">
        <f t="shared" si="1638"/>
        <v>0</v>
      </c>
      <c r="AH1722" s="16">
        <f t="shared" si="1638"/>
        <v>0</v>
      </c>
      <c r="AI1722" s="16">
        <f t="shared" si="1638"/>
        <v>0</v>
      </c>
      <c r="AJ1722" s="16">
        <f t="shared" si="1638"/>
        <v>0</v>
      </c>
      <c r="AK1722" s="16">
        <f t="shared" si="1638"/>
        <v>0</v>
      </c>
      <c r="AL1722" s="16">
        <f t="shared" si="1638"/>
        <v>0</v>
      </c>
      <c r="AM1722" s="16">
        <f t="shared" si="1638"/>
        <v>0</v>
      </c>
      <c r="AN1722" s="16">
        <f t="shared" si="1638"/>
        <v>0</v>
      </c>
      <c r="AO1722" s="16">
        <f t="shared" si="1638"/>
        <v>0</v>
      </c>
      <c r="AP1722" s="10"/>
      <c r="AQ1722" s="10"/>
      <c r="AR1722" s="10"/>
      <c r="AS1722" s="10" t="str">
        <f t="shared" ca="1" si="1624"/>
        <v>Johnson &amp; Johnson</v>
      </c>
      <c r="AT1722" s="10"/>
      <c r="AU1722" s="10"/>
      <c r="AV1722" s="10"/>
      <c r="AW1722" s="10"/>
      <c r="AX1722" s="10"/>
      <c r="AY1722" s="10"/>
      <c r="AZ1722" s="10"/>
      <c r="BA1722" s="10"/>
      <c r="BB1722" s="10"/>
      <c r="BC1722" s="10"/>
      <c r="BD1722" s="10"/>
      <c r="BE1722" s="10"/>
      <c r="BF1722" s="10"/>
      <c r="BG1722" s="10"/>
      <c r="BH1722" s="10"/>
      <c r="BI1722" s="10"/>
      <c r="BJ1722" s="10"/>
      <c r="BK1722" s="10"/>
      <c r="BM1722" s="10"/>
    </row>
    <row r="1723" spans="1:65" ht="12.75">
      <c r="A1723" s="9"/>
      <c r="B1723" s="10"/>
      <c r="C1723" s="11"/>
      <c r="D1723" s="12"/>
      <c r="E1723" s="10"/>
      <c r="F1723" s="10"/>
      <c r="G1723" s="10"/>
      <c r="H1723" s="14"/>
      <c r="I1723" s="14"/>
      <c r="J1723" s="14"/>
      <c r="K1723" s="14"/>
      <c r="L1723" s="14"/>
      <c r="M1723" s="15"/>
      <c r="N1723" s="10"/>
      <c r="O1723" s="14"/>
      <c r="P1723" s="14"/>
      <c r="Q1723" s="14"/>
      <c r="R1723" s="14"/>
      <c r="S1723" s="14"/>
      <c r="T1723" s="14"/>
      <c r="U1723" s="14"/>
      <c r="V1723" s="14"/>
      <c r="W1723" s="14"/>
      <c r="X1723" s="14"/>
      <c r="Y1723" s="14"/>
      <c r="Z1723" s="14"/>
      <c r="AA1723" s="16" t="str">
        <f t="shared" ca="1" si="1638"/>
        <v>Johnson &amp; Johnson</v>
      </c>
      <c r="AB1723" s="16">
        <f t="shared" si="1638"/>
        <v>0</v>
      </c>
      <c r="AC1723" s="16">
        <f t="shared" si="1638"/>
        <v>0</v>
      </c>
      <c r="AD1723" s="16">
        <f t="shared" si="1638"/>
        <v>0</v>
      </c>
      <c r="AE1723" s="16">
        <f t="shared" si="1638"/>
        <v>0</v>
      </c>
      <c r="AF1723" s="16">
        <f t="shared" si="1638"/>
        <v>0</v>
      </c>
      <c r="AG1723" s="16">
        <f t="shared" si="1638"/>
        <v>0</v>
      </c>
      <c r="AH1723" s="16">
        <f t="shared" si="1638"/>
        <v>0</v>
      </c>
      <c r="AI1723" s="16">
        <f t="shared" si="1638"/>
        <v>0</v>
      </c>
      <c r="AJ1723" s="16">
        <f t="shared" si="1638"/>
        <v>0</v>
      </c>
      <c r="AK1723" s="16">
        <f t="shared" si="1638"/>
        <v>0</v>
      </c>
      <c r="AL1723" s="16">
        <f t="shared" si="1638"/>
        <v>0</v>
      </c>
      <c r="AM1723" s="16">
        <f t="shared" si="1638"/>
        <v>0</v>
      </c>
      <c r="AN1723" s="16">
        <f t="shared" si="1638"/>
        <v>0</v>
      </c>
      <c r="AO1723" s="16">
        <f t="shared" si="1638"/>
        <v>0</v>
      </c>
      <c r="AP1723" s="10"/>
      <c r="AQ1723" s="10"/>
      <c r="AR1723" s="10"/>
      <c r="AS1723" s="10" t="str">
        <f t="shared" ca="1" si="1624"/>
        <v>Johnson &amp; Johnson</v>
      </c>
      <c r="AT1723" s="10"/>
      <c r="AU1723" s="10"/>
      <c r="AV1723" s="10"/>
      <c r="AW1723" s="10"/>
      <c r="AX1723" s="10"/>
      <c r="AY1723" s="10"/>
      <c r="AZ1723" s="10"/>
      <c r="BA1723" s="10"/>
      <c r="BB1723" s="10"/>
      <c r="BC1723" s="10"/>
      <c r="BD1723" s="10"/>
      <c r="BE1723" s="10"/>
      <c r="BF1723" s="10"/>
      <c r="BG1723" s="10"/>
      <c r="BH1723" s="10"/>
      <c r="BI1723" s="10"/>
      <c r="BJ1723" s="10"/>
      <c r="BK1723" s="10"/>
      <c r="BM1723" s="10"/>
    </row>
    <row r="1724" spans="1:65" ht="12.75">
      <c r="A1724" s="9"/>
      <c r="B1724" s="10"/>
      <c r="C1724" s="11"/>
      <c r="D1724" s="12"/>
      <c r="E1724" s="10"/>
      <c r="F1724" s="10"/>
      <c r="G1724" s="10"/>
      <c r="H1724" s="14"/>
      <c r="I1724" s="14"/>
      <c r="J1724" s="14"/>
      <c r="K1724" s="14"/>
      <c r="L1724" s="14"/>
      <c r="M1724" s="15"/>
      <c r="N1724" s="10"/>
      <c r="O1724" s="14"/>
      <c r="P1724" s="14"/>
      <c r="Q1724" s="14"/>
      <c r="R1724" s="14"/>
      <c r="S1724" s="14"/>
      <c r="T1724" s="14"/>
      <c r="U1724" s="14"/>
      <c r="V1724" s="14"/>
      <c r="W1724" s="14"/>
      <c r="X1724" s="14"/>
      <c r="Y1724" s="14"/>
      <c r="Z1724" s="14"/>
      <c r="AA1724" s="16" t="str">
        <f t="shared" ca="1" si="1638"/>
        <v>Johnson &amp; Johnson</v>
      </c>
      <c r="AB1724" s="16">
        <f t="shared" si="1638"/>
        <v>0</v>
      </c>
      <c r="AC1724" s="16">
        <f t="shared" si="1638"/>
        <v>0</v>
      </c>
      <c r="AD1724" s="16">
        <f t="shared" si="1638"/>
        <v>0</v>
      </c>
      <c r="AE1724" s="16">
        <f t="shared" si="1638"/>
        <v>0</v>
      </c>
      <c r="AF1724" s="16">
        <f t="shared" si="1638"/>
        <v>0</v>
      </c>
      <c r="AG1724" s="16">
        <f t="shared" si="1638"/>
        <v>0</v>
      </c>
      <c r="AH1724" s="16">
        <f t="shared" si="1638"/>
        <v>0</v>
      </c>
      <c r="AI1724" s="16">
        <f t="shared" si="1638"/>
        <v>0</v>
      </c>
      <c r="AJ1724" s="16">
        <f t="shared" si="1638"/>
        <v>0</v>
      </c>
      <c r="AK1724" s="16">
        <f t="shared" si="1638"/>
        <v>0</v>
      </c>
      <c r="AL1724" s="16">
        <f t="shared" si="1638"/>
        <v>0</v>
      </c>
      <c r="AM1724" s="16">
        <f t="shared" si="1638"/>
        <v>0</v>
      </c>
      <c r="AN1724" s="16">
        <f t="shared" si="1638"/>
        <v>0</v>
      </c>
      <c r="AO1724" s="16">
        <f t="shared" si="1638"/>
        <v>0</v>
      </c>
      <c r="AP1724" s="10"/>
      <c r="AQ1724" s="10"/>
      <c r="AR1724" s="10"/>
      <c r="AS1724" s="10" t="str">
        <f t="shared" ca="1" si="1624"/>
        <v>Johnson &amp; Johnson</v>
      </c>
      <c r="AT1724" s="10"/>
      <c r="AU1724" s="10"/>
      <c r="AV1724" s="10"/>
      <c r="AW1724" s="10"/>
      <c r="AX1724" s="10"/>
      <c r="AY1724" s="10"/>
      <c r="AZ1724" s="10"/>
      <c r="BA1724" s="10"/>
      <c r="BB1724" s="10"/>
      <c r="BC1724" s="10"/>
      <c r="BD1724" s="10"/>
      <c r="BE1724" s="10"/>
      <c r="BF1724" s="10"/>
      <c r="BG1724" s="10"/>
      <c r="BH1724" s="10"/>
      <c r="BI1724" s="10"/>
      <c r="BJ1724" s="10"/>
      <c r="BK1724" s="10"/>
      <c r="BM1724" s="10"/>
    </row>
    <row r="1725" spans="1:65" ht="12.75">
      <c r="A1725" s="9"/>
      <c r="B1725" s="10"/>
      <c r="C1725" s="11"/>
      <c r="D1725" s="12"/>
      <c r="E1725" s="10"/>
      <c r="F1725" s="10"/>
      <c r="G1725" s="10"/>
      <c r="H1725" s="14"/>
      <c r="I1725" s="14"/>
      <c r="J1725" s="14"/>
      <c r="K1725" s="14"/>
      <c r="L1725" s="14"/>
      <c r="M1725" s="15"/>
      <c r="N1725" s="10"/>
      <c r="O1725" s="14"/>
      <c r="P1725" s="14"/>
      <c r="Q1725" s="14"/>
      <c r="R1725" s="14"/>
      <c r="S1725" s="14"/>
      <c r="T1725" s="14"/>
      <c r="U1725" s="14"/>
      <c r="V1725" s="14"/>
      <c r="W1725" s="14"/>
      <c r="X1725" s="14"/>
      <c r="Y1725" s="14"/>
      <c r="Z1725" s="14"/>
      <c r="AA1725" s="16" t="str">
        <f t="shared" ca="1" si="1638"/>
        <v>Johnson &amp; Johnson</v>
      </c>
      <c r="AB1725" s="16">
        <f t="shared" si="1638"/>
        <v>0</v>
      </c>
      <c r="AC1725" s="16">
        <f t="shared" si="1638"/>
        <v>0</v>
      </c>
      <c r="AD1725" s="16">
        <f t="shared" si="1638"/>
        <v>0</v>
      </c>
      <c r="AE1725" s="16">
        <f t="shared" si="1638"/>
        <v>0</v>
      </c>
      <c r="AF1725" s="16">
        <f t="shared" si="1638"/>
        <v>0</v>
      </c>
      <c r="AG1725" s="16">
        <f t="shared" si="1638"/>
        <v>0</v>
      </c>
      <c r="AH1725" s="16">
        <f t="shared" si="1638"/>
        <v>0</v>
      </c>
      <c r="AI1725" s="16">
        <f t="shared" si="1638"/>
        <v>0</v>
      </c>
      <c r="AJ1725" s="16">
        <f t="shared" si="1638"/>
        <v>0</v>
      </c>
      <c r="AK1725" s="16">
        <f t="shared" si="1638"/>
        <v>0</v>
      </c>
      <c r="AL1725" s="16">
        <f t="shared" si="1638"/>
        <v>0</v>
      </c>
      <c r="AM1725" s="16">
        <f t="shared" si="1638"/>
        <v>0</v>
      </c>
      <c r="AN1725" s="16">
        <f t="shared" si="1638"/>
        <v>0</v>
      </c>
      <c r="AO1725" s="16">
        <f t="shared" si="1638"/>
        <v>0</v>
      </c>
      <c r="AP1725" s="10"/>
      <c r="AQ1725" s="10"/>
      <c r="AR1725" s="10"/>
      <c r="AS1725" s="10" t="str">
        <f t="shared" ca="1" si="1624"/>
        <v>Johnson &amp; Johnson</v>
      </c>
      <c r="AT1725" s="10"/>
      <c r="AU1725" s="10"/>
      <c r="AV1725" s="10"/>
      <c r="AW1725" s="10"/>
      <c r="AX1725" s="10"/>
      <c r="AY1725" s="10"/>
      <c r="AZ1725" s="10"/>
      <c r="BA1725" s="10"/>
      <c r="BB1725" s="10"/>
      <c r="BC1725" s="10"/>
      <c r="BD1725" s="10"/>
      <c r="BE1725" s="10"/>
      <c r="BF1725" s="10"/>
      <c r="BG1725" s="10"/>
      <c r="BH1725" s="10"/>
      <c r="BI1725" s="10"/>
      <c r="BJ1725" s="10"/>
      <c r="BK1725" s="10"/>
      <c r="BM1725" s="10"/>
    </row>
    <row r="1726" spans="1:65" ht="12.75">
      <c r="A1726" s="9"/>
      <c r="B1726" s="10"/>
      <c r="C1726" s="11"/>
      <c r="D1726" s="12"/>
      <c r="E1726" s="10"/>
      <c r="F1726" s="10"/>
      <c r="G1726" s="10"/>
      <c r="H1726" s="14"/>
      <c r="I1726" s="14"/>
      <c r="J1726" s="14"/>
      <c r="K1726" s="14"/>
      <c r="L1726" s="14"/>
      <c r="M1726" s="15"/>
      <c r="N1726" s="10"/>
      <c r="O1726" s="14"/>
      <c r="P1726" s="14"/>
      <c r="Q1726" s="14"/>
      <c r="R1726" s="14"/>
      <c r="S1726" s="14"/>
      <c r="T1726" s="14"/>
      <c r="U1726" s="14"/>
      <c r="V1726" s="14"/>
      <c r="W1726" s="14"/>
      <c r="X1726" s="14"/>
      <c r="Y1726" s="14"/>
      <c r="Z1726" s="14"/>
      <c r="AA1726" s="16" t="str">
        <f t="shared" ca="1" si="1638"/>
        <v>Johnson &amp; Johnson</v>
      </c>
      <c r="AB1726" s="16">
        <f t="shared" si="1638"/>
        <v>0</v>
      </c>
      <c r="AC1726" s="16">
        <f t="shared" si="1638"/>
        <v>0</v>
      </c>
      <c r="AD1726" s="16">
        <f t="shared" si="1638"/>
        <v>0</v>
      </c>
      <c r="AE1726" s="16">
        <f t="shared" si="1638"/>
        <v>0</v>
      </c>
      <c r="AF1726" s="16">
        <f t="shared" si="1638"/>
        <v>0</v>
      </c>
      <c r="AG1726" s="16">
        <f t="shared" si="1638"/>
        <v>0</v>
      </c>
      <c r="AH1726" s="16">
        <f t="shared" si="1638"/>
        <v>0</v>
      </c>
      <c r="AI1726" s="16">
        <f t="shared" si="1638"/>
        <v>0</v>
      </c>
      <c r="AJ1726" s="16">
        <f t="shared" si="1638"/>
        <v>0</v>
      </c>
      <c r="AK1726" s="16">
        <f t="shared" si="1638"/>
        <v>0</v>
      </c>
      <c r="AL1726" s="16">
        <f t="shared" si="1638"/>
        <v>0</v>
      </c>
      <c r="AM1726" s="16">
        <f t="shared" si="1638"/>
        <v>0</v>
      </c>
      <c r="AN1726" s="16">
        <f t="shared" si="1638"/>
        <v>0</v>
      </c>
      <c r="AO1726" s="16">
        <f t="shared" si="1638"/>
        <v>0</v>
      </c>
      <c r="AP1726" s="10"/>
      <c r="AQ1726" s="10"/>
      <c r="AR1726" s="10"/>
      <c r="AS1726" s="10" t="str">
        <f t="shared" ca="1" si="1624"/>
        <v>Johnson &amp; Johnson</v>
      </c>
      <c r="AT1726" s="10"/>
      <c r="AU1726" s="10"/>
      <c r="AV1726" s="10"/>
      <c r="AW1726" s="10"/>
      <c r="AX1726" s="10"/>
      <c r="AY1726" s="10"/>
      <c r="AZ1726" s="10"/>
      <c r="BA1726" s="10"/>
      <c r="BB1726" s="10"/>
      <c r="BC1726" s="10"/>
      <c r="BD1726" s="10"/>
      <c r="BE1726" s="10"/>
      <c r="BF1726" s="10"/>
      <c r="BG1726" s="10"/>
      <c r="BH1726" s="10"/>
      <c r="BI1726" s="10"/>
      <c r="BJ1726" s="10"/>
      <c r="BK1726" s="10"/>
      <c r="BM1726" s="10"/>
    </row>
    <row r="1727" spans="1:65" ht="12.75">
      <c r="A1727" s="9"/>
      <c r="B1727" s="10"/>
      <c r="C1727" s="11"/>
      <c r="D1727" s="12"/>
      <c r="E1727" s="10"/>
      <c r="F1727" s="10"/>
      <c r="G1727" s="10"/>
      <c r="H1727" s="14"/>
      <c r="I1727" s="14"/>
      <c r="J1727" s="14"/>
      <c r="K1727" s="14"/>
      <c r="L1727" s="14"/>
      <c r="M1727" s="15"/>
      <c r="N1727" s="10"/>
      <c r="O1727" s="14"/>
      <c r="P1727" s="14"/>
      <c r="Q1727" s="14"/>
      <c r="R1727" s="14"/>
      <c r="S1727" s="14"/>
      <c r="T1727" s="14"/>
      <c r="U1727" s="14"/>
      <c r="V1727" s="14"/>
      <c r="W1727" s="14"/>
      <c r="X1727" s="14"/>
      <c r="Y1727" s="14"/>
      <c r="Z1727" s="14"/>
      <c r="AA1727" s="16" t="str">
        <f t="shared" ca="1" si="1638"/>
        <v>Johnson &amp; Johnson</v>
      </c>
      <c r="AB1727" s="16">
        <f t="shared" si="1638"/>
        <v>0</v>
      </c>
      <c r="AC1727" s="16">
        <f t="shared" si="1638"/>
        <v>0</v>
      </c>
      <c r="AD1727" s="16">
        <f t="shared" si="1638"/>
        <v>0</v>
      </c>
      <c r="AE1727" s="16">
        <f t="shared" si="1638"/>
        <v>0</v>
      </c>
      <c r="AF1727" s="16">
        <f t="shared" si="1638"/>
        <v>0</v>
      </c>
      <c r="AG1727" s="16">
        <f t="shared" si="1638"/>
        <v>0</v>
      </c>
      <c r="AH1727" s="16">
        <f t="shared" si="1638"/>
        <v>0</v>
      </c>
      <c r="AI1727" s="16">
        <f t="shared" si="1638"/>
        <v>0</v>
      </c>
      <c r="AJ1727" s="16">
        <f t="shared" si="1638"/>
        <v>0</v>
      </c>
      <c r="AK1727" s="16">
        <f t="shared" si="1638"/>
        <v>0</v>
      </c>
      <c r="AL1727" s="16">
        <f t="shared" si="1638"/>
        <v>0</v>
      </c>
      <c r="AM1727" s="16">
        <f t="shared" si="1638"/>
        <v>0</v>
      </c>
      <c r="AN1727" s="16">
        <f t="shared" si="1638"/>
        <v>0</v>
      </c>
      <c r="AO1727" s="16">
        <f t="shared" si="1638"/>
        <v>0</v>
      </c>
      <c r="AP1727" s="10"/>
      <c r="AQ1727" s="10"/>
      <c r="AR1727" s="10"/>
      <c r="AS1727" s="10" t="str">
        <f t="shared" ca="1" si="1624"/>
        <v>Johnson &amp; Johnson</v>
      </c>
      <c r="AT1727" s="10"/>
      <c r="AU1727" s="10"/>
      <c r="AV1727" s="10"/>
      <c r="AW1727" s="10"/>
      <c r="AX1727" s="10"/>
      <c r="AY1727" s="10"/>
      <c r="AZ1727" s="10"/>
      <c r="BA1727" s="10"/>
      <c r="BB1727" s="10"/>
      <c r="BC1727" s="10"/>
      <c r="BD1727" s="10"/>
      <c r="BE1727" s="10"/>
      <c r="BF1727" s="10"/>
      <c r="BG1727" s="10"/>
      <c r="BH1727" s="10"/>
      <c r="BI1727" s="10"/>
      <c r="BJ1727" s="10"/>
      <c r="BK1727" s="10"/>
      <c r="BM1727" s="10"/>
    </row>
    <row r="1728" spans="1:65" ht="12.75">
      <c r="A1728" s="9"/>
      <c r="B1728" s="10"/>
      <c r="C1728" s="11"/>
      <c r="D1728" s="12"/>
      <c r="E1728" s="10"/>
      <c r="F1728" s="10"/>
      <c r="G1728" s="10"/>
      <c r="H1728" s="14"/>
      <c r="I1728" s="14"/>
      <c r="J1728" s="14"/>
      <c r="K1728" s="14"/>
      <c r="L1728" s="14"/>
      <c r="M1728" s="15"/>
      <c r="N1728" s="10"/>
      <c r="O1728" s="14"/>
      <c r="P1728" s="14"/>
      <c r="Q1728" s="14"/>
      <c r="R1728" s="14"/>
      <c r="S1728" s="14"/>
      <c r="T1728" s="14"/>
      <c r="U1728" s="14"/>
      <c r="V1728" s="14"/>
      <c r="W1728" s="14"/>
      <c r="X1728" s="14"/>
      <c r="Y1728" s="14"/>
      <c r="Z1728" s="14"/>
      <c r="AA1728" s="16" t="str">
        <f t="shared" ca="1" si="1638"/>
        <v>Johnson &amp; Johnson</v>
      </c>
      <c r="AB1728" s="16">
        <f t="shared" si="1638"/>
        <v>0</v>
      </c>
      <c r="AC1728" s="16">
        <f t="shared" si="1638"/>
        <v>0</v>
      </c>
      <c r="AD1728" s="16">
        <f t="shared" si="1638"/>
        <v>0</v>
      </c>
      <c r="AE1728" s="16">
        <f t="shared" si="1638"/>
        <v>0</v>
      </c>
      <c r="AF1728" s="16">
        <f t="shared" si="1638"/>
        <v>0</v>
      </c>
      <c r="AG1728" s="16">
        <f t="shared" si="1638"/>
        <v>0</v>
      </c>
      <c r="AH1728" s="16">
        <f t="shared" si="1638"/>
        <v>0</v>
      </c>
      <c r="AI1728" s="16">
        <f t="shared" si="1638"/>
        <v>0</v>
      </c>
      <c r="AJ1728" s="16">
        <f t="shared" si="1638"/>
        <v>0</v>
      </c>
      <c r="AK1728" s="16">
        <f t="shared" si="1638"/>
        <v>0</v>
      </c>
      <c r="AL1728" s="16">
        <f t="shared" si="1638"/>
        <v>0</v>
      </c>
      <c r="AM1728" s="16">
        <f t="shared" si="1638"/>
        <v>0</v>
      </c>
      <c r="AN1728" s="16">
        <f t="shared" si="1638"/>
        <v>0</v>
      </c>
      <c r="AO1728" s="16">
        <f t="shared" si="1638"/>
        <v>0</v>
      </c>
      <c r="AP1728" s="10"/>
      <c r="AQ1728" s="10"/>
      <c r="AR1728" s="10"/>
      <c r="AS1728" s="10" t="str">
        <f t="shared" ca="1" si="1624"/>
        <v>Johnson &amp; Johnson</v>
      </c>
      <c r="AT1728" s="10"/>
      <c r="AU1728" s="10"/>
      <c r="AV1728" s="10"/>
      <c r="AW1728" s="10"/>
      <c r="AX1728" s="10"/>
      <c r="AY1728" s="10"/>
      <c r="AZ1728" s="10"/>
      <c r="BA1728" s="10"/>
      <c r="BB1728" s="10"/>
      <c r="BC1728" s="10"/>
      <c r="BD1728" s="10"/>
      <c r="BE1728" s="10"/>
      <c r="BF1728" s="10"/>
      <c r="BG1728" s="10"/>
      <c r="BH1728" s="10"/>
      <c r="BI1728" s="10"/>
      <c r="BJ1728" s="10"/>
      <c r="BK1728" s="10"/>
      <c r="BM1728" s="10"/>
    </row>
    <row r="1729" spans="1:65" ht="12.75">
      <c r="A1729" s="9"/>
      <c r="B1729" s="10"/>
      <c r="C1729" s="11"/>
      <c r="D1729" s="12"/>
      <c r="E1729" s="10"/>
      <c r="F1729" s="10"/>
      <c r="G1729" s="10"/>
      <c r="H1729" s="14"/>
      <c r="I1729" s="14"/>
      <c r="J1729" s="14"/>
      <c r="K1729" s="14"/>
      <c r="L1729" s="14"/>
      <c r="M1729" s="15"/>
      <c r="N1729" s="10"/>
      <c r="O1729" s="14"/>
      <c r="P1729" s="14"/>
      <c r="Q1729" s="14"/>
      <c r="R1729" s="14"/>
      <c r="S1729" s="14"/>
      <c r="T1729" s="14"/>
      <c r="U1729" s="14"/>
      <c r="V1729" s="14"/>
      <c r="W1729" s="14"/>
      <c r="X1729" s="14"/>
      <c r="Y1729" s="14"/>
      <c r="Z1729" s="14"/>
      <c r="AA1729" s="16" t="str">
        <f t="shared" ca="1" si="1638"/>
        <v>Johnson &amp; Johnson</v>
      </c>
      <c r="AB1729" s="16">
        <f t="shared" si="1638"/>
        <v>0</v>
      </c>
      <c r="AC1729" s="16">
        <f t="shared" si="1638"/>
        <v>0</v>
      </c>
      <c r="AD1729" s="16">
        <f t="shared" si="1638"/>
        <v>0</v>
      </c>
      <c r="AE1729" s="16">
        <f t="shared" si="1638"/>
        <v>0</v>
      </c>
      <c r="AF1729" s="16">
        <f t="shared" si="1638"/>
        <v>0</v>
      </c>
      <c r="AG1729" s="16">
        <f t="shared" si="1638"/>
        <v>0</v>
      </c>
      <c r="AH1729" s="16">
        <f t="shared" si="1638"/>
        <v>0</v>
      </c>
      <c r="AI1729" s="16">
        <f t="shared" si="1638"/>
        <v>0</v>
      </c>
      <c r="AJ1729" s="16">
        <f t="shared" si="1638"/>
        <v>0</v>
      </c>
      <c r="AK1729" s="16">
        <f t="shared" si="1638"/>
        <v>0</v>
      </c>
      <c r="AL1729" s="16">
        <f t="shared" si="1638"/>
        <v>0</v>
      </c>
      <c r="AM1729" s="16">
        <f t="shared" si="1638"/>
        <v>0</v>
      </c>
      <c r="AN1729" s="16">
        <f t="shared" si="1638"/>
        <v>0</v>
      </c>
      <c r="AO1729" s="16">
        <f t="shared" si="1638"/>
        <v>0</v>
      </c>
      <c r="AP1729" s="10"/>
      <c r="AQ1729" s="10"/>
      <c r="AR1729" s="10"/>
      <c r="AS1729" s="10" t="str">
        <f t="shared" ca="1" si="1624"/>
        <v>Johnson &amp; Johnson</v>
      </c>
      <c r="AT1729" s="10"/>
      <c r="AU1729" s="10"/>
      <c r="AV1729" s="10"/>
      <c r="AW1729" s="10"/>
      <c r="AX1729" s="10"/>
      <c r="AY1729" s="10"/>
      <c r="AZ1729" s="10"/>
      <c r="BA1729" s="10"/>
      <c r="BB1729" s="10"/>
      <c r="BC1729" s="10"/>
      <c r="BD1729" s="10"/>
      <c r="BE1729" s="10"/>
      <c r="BF1729" s="10"/>
      <c r="BG1729" s="10"/>
      <c r="BH1729" s="10"/>
      <c r="BI1729" s="10"/>
      <c r="BJ1729" s="10"/>
      <c r="BK1729" s="10"/>
      <c r="BM1729" s="10"/>
    </row>
    <row r="1730" spans="1:65" ht="12.75">
      <c r="A1730" s="9"/>
      <c r="B1730" s="10"/>
      <c r="C1730" s="11"/>
      <c r="D1730" s="12"/>
      <c r="E1730" s="10"/>
      <c r="F1730" s="10"/>
      <c r="G1730" s="10"/>
      <c r="H1730" s="14"/>
      <c r="I1730" s="14"/>
      <c r="J1730" s="14"/>
      <c r="K1730" s="14"/>
      <c r="L1730" s="14"/>
      <c r="M1730" s="15"/>
      <c r="N1730" s="10"/>
      <c r="O1730" s="14"/>
      <c r="P1730" s="14"/>
      <c r="Q1730" s="14"/>
      <c r="R1730" s="14"/>
      <c r="S1730" s="14"/>
      <c r="T1730" s="14"/>
      <c r="U1730" s="14"/>
      <c r="V1730" s="14"/>
      <c r="W1730" s="14"/>
      <c r="X1730" s="14"/>
      <c r="Y1730" s="14"/>
      <c r="Z1730" s="14"/>
      <c r="AA1730" s="16" t="str">
        <f t="shared" ca="1" si="1638"/>
        <v>Johnson &amp; Johnson</v>
      </c>
      <c r="AB1730" s="16">
        <f t="shared" si="1638"/>
        <v>0</v>
      </c>
      <c r="AC1730" s="16">
        <f t="shared" si="1638"/>
        <v>0</v>
      </c>
      <c r="AD1730" s="16">
        <f t="shared" si="1638"/>
        <v>0</v>
      </c>
      <c r="AE1730" s="16">
        <f t="shared" si="1638"/>
        <v>0</v>
      </c>
      <c r="AF1730" s="16">
        <f t="shared" si="1638"/>
        <v>0</v>
      </c>
      <c r="AG1730" s="16">
        <f t="shared" si="1638"/>
        <v>0</v>
      </c>
      <c r="AH1730" s="16">
        <f t="shared" si="1638"/>
        <v>0</v>
      </c>
      <c r="AI1730" s="16">
        <f t="shared" si="1638"/>
        <v>0</v>
      </c>
      <c r="AJ1730" s="16">
        <f t="shared" si="1638"/>
        <v>0</v>
      </c>
      <c r="AK1730" s="16">
        <f t="shared" si="1638"/>
        <v>0</v>
      </c>
      <c r="AL1730" s="16">
        <f t="shared" si="1638"/>
        <v>0</v>
      </c>
      <c r="AM1730" s="16">
        <f t="shared" si="1638"/>
        <v>0</v>
      </c>
      <c r="AN1730" s="16">
        <f t="shared" si="1638"/>
        <v>0</v>
      </c>
      <c r="AO1730" s="16">
        <f t="shared" si="1638"/>
        <v>0</v>
      </c>
      <c r="AP1730" s="10"/>
      <c r="AQ1730" s="10"/>
      <c r="AR1730" s="10"/>
      <c r="AS1730" s="10" t="str">
        <f t="shared" ca="1" si="1624"/>
        <v>Johnson &amp; Johnson</v>
      </c>
      <c r="AT1730" s="10"/>
      <c r="AU1730" s="10"/>
      <c r="AV1730" s="10"/>
      <c r="AW1730" s="10"/>
      <c r="AX1730" s="10"/>
      <c r="AY1730" s="10"/>
      <c r="AZ1730" s="10"/>
      <c r="BA1730" s="10"/>
      <c r="BB1730" s="10"/>
      <c r="BC1730" s="10"/>
      <c r="BD1730" s="10"/>
      <c r="BE1730" s="10"/>
      <c r="BF1730" s="10"/>
      <c r="BG1730" s="10"/>
      <c r="BH1730" s="10"/>
      <c r="BI1730" s="10"/>
      <c r="BJ1730" s="10"/>
      <c r="BK1730" s="10"/>
      <c r="BM1730" s="10"/>
    </row>
    <row r="1731" spans="1:65" ht="12.75">
      <c r="A1731" s="9"/>
      <c r="B1731" s="10"/>
      <c r="C1731" s="11"/>
      <c r="D1731" s="12"/>
      <c r="E1731" s="10"/>
      <c r="F1731" s="10"/>
      <c r="G1731" s="10"/>
      <c r="H1731" s="14"/>
      <c r="I1731" s="14"/>
      <c r="J1731" s="14"/>
      <c r="K1731" s="14"/>
      <c r="L1731" s="14"/>
      <c r="M1731" s="15"/>
      <c r="N1731" s="10"/>
      <c r="O1731" s="14"/>
      <c r="P1731" s="14"/>
      <c r="Q1731" s="14"/>
      <c r="R1731" s="14"/>
      <c r="S1731" s="14"/>
      <c r="T1731" s="14"/>
      <c r="U1731" s="14"/>
      <c r="V1731" s="14"/>
      <c r="W1731" s="14"/>
      <c r="X1731" s="14"/>
      <c r="Y1731" s="14"/>
      <c r="Z1731" s="14"/>
      <c r="AA1731" s="16" t="str">
        <f t="shared" ca="1" si="1638"/>
        <v>Johnson &amp; Johnson</v>
      </c>
      <c r="AB1731" s="16">
        <f t="shared" si="1638"/>
        <v>0</v>
      </c>
      <c r="AC1731" s="16">
        <f t="shared" si="1638"/>
        <v>0</v>
      </c>
      <c r="AD1731" s="16">
        <f t="shared" si="1638"/>
        <v>0</v>
      </c>
      <c r="AE1731" s="16">
        <f t="shared" si="1638"/>
        <v>0</v>
      </c>
      <c r="AF1731" s="16">
        <f t="shared" si="1638"/>
        <v>0</v>
      </c>
      <c r="AG1731" s="16">
        <f t="shared" si="1638"/>
        <v>0</v>
      </c>
      <c r="AH1731" s="16">
        <f t="shared" si="1638"/>
        <v>0</v>
      </c>
      <c r="AI1731" s="16">
        <f t="shared" si="1638"/>
        <v>0</v>
      </c>
      <c r="AJ1731" s="16">
        <f t="shared" si="1638"/>
        <v>0</v>
      </c>
      <c r="AK1731" s="16">
        <f t="shared" si="1638"/>
        <v>0</v>
      </c>
      <c r="AL1731" s="16">
        <f t="shared" si="1638"/>
        <v>0</v>
      </c>
      <c r="AM1731" s="16">
        <f t="shared" si="1638"/>
        <v>0</v>
      </c>
      <c r="AN1731" s="16">
        <f t="shared" si="1638"/>
        <v>0</v>
      </c>
      <c r="AO1731" s="16">
        <f t="shared" si="1638"/>
        <v>0</v>
      </c>
      <c r="AP1731" s="10"/>
      <c r="AQ1731" s="10"/>
      <c r="AR1731" s="10"/>
      <c r="AS1731" s="10" t="str">
        <f t="shared" ca="1" si="1624"/>
        <v>Johnson &amp; Johnson</v>
      </c>
      <c r="AT1731" s="10"/>
      <c r="AU1731" s="10"/>
      <c r="AV1731" s="10"/>
      <c r="AW1731" s="10"/>
      <c r="AX1731" s="10"/>
      <c r="AY1731" s="10"/>
      <c r="AZ1731" s="10"/>
      <c r="BA1731" s="10"/>
      <c r="BB1731" s="10"/>
      <c r="BC1731" s="10"/>
      <c r="BD1731" s="10"/>
      <c r="BE1731" s="10"/>
      <c r="BF1731" s="10"/>
      <c r="BG1731" s="10"/>
      <c r="BH1731" s="10"/>
      <c r="BI1731" s="10"/>
      <c r="BJ1731" s="10"/>
      <c r="BK1731" s="10"/>
      <c r="BM1731" s="10"/>
    </row>
    <row r="1732" spans="1:65" ht="12.75">
      <c r="A1732" s="9"/>
      <c r="B1732" s="10"/>
      <c r="C1732" s="11"/>
      <c r="D1732" s="12"/>
      <c r="E1732" s="10"/>
      <c r="F1732" s="10"/>
      <c r="G1732" s="10"/>
      <c r="H1732" s="14"/>
      <c r="I1732" s="14"/>
      <c r="J1732" s="14"/>
      <c r="K1732" s="14"/>
      <c r="L1732" s="14"/>
      <c r="M1732" s="15"/>
      <c r="N1732" s="10"/>
      <c r="O1732" s="14"/>
      <c r="P1732" s="14"/>
      <c r="Q1732" s="14"/>
      <c r="R1732" s="14"/>
      <c r="S1732" s="14"/>
      <c r="T1732" s="14"/>
      <c r="U1732" s="14"/>
      <c r="V1732" s="14"/>
      <c r="W1732" s="14"/>
      <c r="X1732" s="14"/>
      <c r="Y1732" s="14"/>
      <c r="Z1732" s="14"/>
      <c r="AA1732" s="16" t="str">
        <f t="shared" ca="1" si="1638"/>
        <v>Johnson &amp; Johnson</v>
      </c>
      <c r="AB1732" s="16">
        <f t="shared" si="1638"/>
        <v>0</v>
      </c>
      <c r="AC1732" s="16">
        <f t="shared" si="1638"/>
        <v>0</v>
      </c>
      <c r="AD1732" s="16">
        <f t="shared" si="1638"/>
        <v>0</v>
      </c>
      <c r="AE1732" s="16">
        <f t="shared" si="1638"/>
        <v>0</v>
      </c>
      <c r="AF1732" s="16">
        <f t="shared" si="1638"/>
        <v>0</v>
      </c>
      <c r="AG1732" s="16">
        <f t="shared" si="1638"/>
        <v>0</v>
      </c>
      <c r="AH1732" s="16">
        <f t="shared" si="1638"/>
        <v>0</v>
      </c>
      <c r="AI1732" s="16">
        <f t="shared" si="1638"/>
        <v>0</v>
      </c>
      <c r="AJ1732" s="16">
        <f t="shared" si="1638"/>
        <v>0</v>
      </c>
      <c r="AK1732" s="16">
        <f t="shared" si="1638"/>
        <v>0</v>
      </c>
      <c r="AL1732" s="16">
        <f t="shared" si="1638"/>
        <v>0</v>
      </c>
      <c r="AM1732" s="16">
        <f t="shared" si="1638"/>
        <v>0</v>
      </c>
      <c r="AN1732" s="16">
        <f t="shared" si="1638"/>
        <v>0</v>
      </c>
      <c r="AO1732" s="16">
        <f t="shared" si="1638"/>
        <v>0</v>
      </c>
      <c r="AP1732" s="10"/>
      <c r="AQ1732" s="10"/>
      <c r="AR1732" s="10"/>
      <c r="AS1732" s="10" t="str">
        <f t="shared" ca="1" si="1624"/>
        <v>Johnson &amp; Johnson</v>
      </c>
      <c r="AT1732" s="10"/>
      <c r="AU1732" s="10"/>
      <c r="AV1732" s="10"/>
      <c r="AW1732" s="10"/>
      <c r="AX1732" s="10"/>
      <c r="AY1732" s="10"/>
      <c r="AZ1732" s="10"/>
      <c r="BA1732" s="10"/>
      <c r="BB1732" s="10"/>
      <c r="BC1732" s="10"/>
      <c r="BD1732" s="10"/>
      <c r="BE1732" s="10"/>
      <c r="BF1732" s="10"/>
      <c r="BG1732" s="10"/>
      <c r="BH1732" s="10"/>
      <c r="BI1732" s="10"/>
      <c r="BJ1732" s="10"/>
      <c r="BK1732" s="10"/>
      <c r="BM1732" s="10"/>
    </row>
    <row r="1733" spans="1:65" ht="12.75">
      <c r="A1733" s="9"/>
      <c r="B1733" s="10"/>
      <c r="C1733" s="11"/>
      <c r="D1733" s="12"/>
      <c r="E1733" s="10"/>
      <c r="F1733" s="10"/>
      <c r="G1733" s="10"/>
      <c r="H1733" s="14"/>
      <c r="I1733" s="14"/>
      <c r="J1733" s="14"/>
      <c r="K1733" s="14"/>
      <c r="L1733" s="14"/>
      <c r="M1733" s="15"/>
      <c r="N1733" s="10"/>
      <c r="O1733" s="14"/>
      <c r="P1733" s="14"/>
      <c r="Q1733" s="14"/>
      <c r="R1733" s="14"/>
      <c r="S1733" s="14"/>
      <c r="T1733" s="14"/>
      <c r="U1733" s="14"/>
      <c r="V1733" s="14"/>
      <c r="W1733" s="14"/>
      <c r="X1733" s="14"/>
      <c r="Y1733" s="14"/>
      <c r="Z1733" s="14"/>
      <c r="AA1733" s="16" t="str">
        <f t="shared" ca="1" si="1638"/>
        <v>Johnson &amp; Johnson</v>
      </c>
      <c r="AB1733" s="16">
        <f t="shared" si="1638"/>
        <v>0</v>
      </c>
      <c r="AC1733" s="16">
        <f t="shared" si="1638"/>
        <v>0</v>
      </c>
      <c r="AD1733" s="16">
        <f t="shared" si="1638"/>
        <v>0</v>
      </c>
      <c r="AE1733" s="16">
        <f t="shared" si="1638"/>
        <v>0</v>
      </c>
      <c r="AF1733" s="16">
        <f t="shared" si="1638"/>
        <v>0</v>
      </c>
      <c r="AG1733" s="16">
        <f t="shared" si="1638"/>
        <v>0</v>
      </c>
      <c r="AH1733" s="16">
        <f t="shared" si="1638"/>
        <v>0</v>
      </c>
      <c r="AI1733" s="16">
        <f t="shared" si="1638"/>
        <v>0</v>
      </c>
      <c r="AJ1733" s="16">
        <f t="shared" si="1638"/>
        <v>0</v>
      </c>
      <c r="AK1733" s="16">
        <f t="shared" si="1638"/>
        <v>0</v>
      </c>
      <c r="AL1733" s="16">
        <f t="shared" si="1638"/>
        <v>0</v>
      </c>
      <c r="AM1733" s="16">
        <f t="shared" si="1638"/>
        <v>0</v>
      </c>
      <c r="AN1733" s="16">
        <f t="shared" si="1638"/>
        <v>0</v>
      </c>
      <c r="AO1733" s="16">
        <f t="shared" si="1638"/>
        <v>0</v>
      </c>
      <c r="AP1733" s="10"/>
      <c r="AQ1733" s="10"/>
      <c r="AR1733" s="10"/>
      <c r="AS1733" s="10" t="str">
        <f t="shared" ca="1" si="1624"/>
        <v>Johnson &amp; Johnson</v>
      </c>
      <c r="AT1733" s="10"/>
      <c r="AU1733" s="10"/>
      <c r="AV1733" s="10"/>
      <c r="AW1733" s="10"/>
      <c r="AX1733" s="10"/>
      <c r="AY1733" s="10"/>
      <c r="AZ1733" s="10"/>
      <c r="BA1733" s="10"/>
      <c r="BB1733" s="10"/>
      <c r="BC1733" s="10"/>
      <c r="BD1733" s="10"/>
      <c r="BE1733" s="10"/>
      <c r="BF1733" s="10"/>
      <c r="BG1733" s="10"/>
      <c r="BH1733" s="10"/>
      <c r="BI1733" s="10"/>
      <c r="BJ1733" s="10"/>
      <c r="BK1733" s="10"/>
      <c r="BM1733" s="10"/>
    </row>
    <row r="1734" spans="1:65" ht="12.75">
      <c r="A1734" s="9"/>
      <c r="B1734" s="10"/>
      <c r="C1734" s="11"/>
      <c r="D1734" s="12"/>
      <c r="E1734" s="10"/>
      <c r="F1734" s="10"/>
      <c r="G1734" s="10"/>
      <c r="H1734" s="14"/>
      <c r="I1734" s="14"/>
      <c r="J1734" s="14"/>
      <c r="K1734" s="14"/>
      <c r="L1734" s="14"/>
      <c r="M1734" s="15"/>
      <c r="N1734" s="10"/>
      <c r="O1734" s="14"/>
      <c r="P1734" s="14"/>
      <c r="Q1734" s="14"/>
      <c r="R1734" s="14"/>
      <c r="S1734" s="14"/>
      <c r="T1734" s="14"/>
      <c r="U1734" s="14"/>
      <c r="V1734" s="14"/>
      <c r="W1734" s="14"/>
      <c r="X1734" s="14"/>
      <c r="Y1734" s="14"/>
      <c r="Z1734" s="14"/>
      <c r="AA1734" s="16" t="str">
        <f t="shared" ca="1" si="1638"/>
        <v>Johnson &amp; Johnson</v>
      </c>
      <c r="AB1734" s="16">
        <f t="shared" si="1638"/>
        <v>0</v>
      </c>
      <c r="AC1734" s="16">
        <f t="shared" si="1638"/>
        <v>0</v>
      </c>
      <c r="AD1734" s="16">
        <f t="shared" si="1638"/>
        <v>0</v>
      </c>
      <c r="AE1734" s="16">
        <f t="shared" si="1638"/>
        <v>0</v>
      </c>
      <c r="AF1734" s="16">
        <f t="shared" si="1638"/>
        <v>0</v>
      </c>
      <c r="AG1734" s="16">
        <f t="shared" si="1638"/>
        <v>0</v>
      </c>
      <c r="AH1734" s="16">
        <f t="shared" si="1638"/>
        <v>0</v>
      </c>
      <c r="AI1734" s="16">
        <f t="shared" si="1638"/>
        <v>0</v>
      </c>
      <c r="AJ1734" s="16">
        <f t="shared" si="1638"/>
        <v>0</v>
      </c>
      <c r="AK1734" s="16">
        <f t="shared" si="1638"/>
        <v>0</v>
      </c>
      <c r="AL1734" s="16">
        <f t="shared" si="1638"/>
        <v>0</v>
      </c>
      <c r="AM1734" s="16">
        <f t="shared" si="1638"/>
        <v>0</v>
      </c>
      <c r="AN1734" s="16">
        <f t="shared" si="1638"/>
        <v>0</v>
      </c>
      <c r="AO1734" s="16">
        <f t="shared" si="1638"/>
        <v>0</v>
      </c>
      <c r="AP1734" s="10"/>
      <c r="AQ1734" s="10"/>
      <c r="AR1734" s="10"/>
      <c r="AS1734" s="10" t="str">
        <f t="shared" ca="1" si="1624"/>
        <v>Johnson &amp; Johnson</v>
      </c>
      <c r="AT1734" s="10"/>
      <c r="AU1734" s="10"/>
      <c r="AV1734" s="10"/>
      <c r="AW1734" s="10"/>
      <c r="AX1734" s="10"/>
      <c r="AY1734" s="10"/>
      <c r="AZ1734" s="10"/>
      <c r="BA1734" s="10"/>
      <c r="BB1734" s="10"/>
      <c r="BC1734" s="10"/>
      <c r="BD1734" s="10"/>
      <c r="BE1734" s="10"/>
      <c r="BF1734" s="10"/>
      <c r="BG1734" s="10"/>
      <c r="BH1734" s="10"/>
      <c r="BI1734" s="10"/>
      <c r="BJ1734" s="10"/>
      <c r="BK1734" s="10"/>
      <c r="BM1734" s="10"/>
    </row>
    <row r="1735" spans="1:65" ht="12.75">
      <c r="A1735" s="9"/>
      <c r="B1735" s="10"/>
      <c r="C1735" s="11"/>
      <c r="D1735" s="12"/>
      <c r="E1735" s="10"/>
      <c r="F1735" s="10"/>
      <c r="G1735" s="10"/>
      <c r="H1735" s="14"/>
      <c r="I1735" s="14"/>
      <c r="J1735" s="14"/>
      <c r="K1735" s="14"/>
      <c r="L1735" s="14"/>
      <c r="M1735" s="15"/>
      <c r="N1735" s="10"/>
      <c r="O1735" s="14"/>
      <c r="P1735" s="14"/>
      <c r="Q1735" s="14"/>
      <c r="R1735" s="14"/>
      <c r="S1735" s="14"/>
      <c r="T1735" s="14"/>
      <c r="U1735" s="14"/>
      <c r="V1735" s="14"/>
      <c r="W1735" s="14"/>
      <c r="X1735" s="14"/>
      <c r="Y1735" s="14"/>
      <c r="Z1735" s="14"/>
      <c r="AA1735" s="16" t="str">
        <f t="shared" ca="1" si="1638"/>
        <v>Johnson &amp; Johnson</v>
      </c>
      <c r="AB1735" s="16">
        <f t="shared" si="1638"/>
        <v>0</v>
      </c>
      <c r="AC1735" s="16">
        <f t="shared" si="1638"/>
        <v>0</v>
      </c>
      <c r="AD1735" s="16">
        <f t="shared" si="1638"/>
        <v>0</v>
      </c>
      <c r="AE1735" s="16">
        <f t="shared" si="1638"/>
        <v>0</v>
      </c>
      <c r="AF1735" s="16">
        <f t="shared" si="1638"/>
        <v>0</v>
      </c>
      <c r="AG1735" s="16">
        <f t="shared" si="1638"/>
        <v>0</v>
      </c>
      <c r="AH1735" s="16">
        <f t="shared" si="1638"/>
        <v>0</v>
      </c>
      <c r="AI1735" s="16">
        <f t="shared" si="1638"/>
        <v>0</v>
      </c>
      <c r="AJ1735" s="16">
        <f t="shared" si="1638"/>
        <v>0</v>
      </c>
      <c r="AK1735" s="16">
        <f t="shared" si="1638"/>
        <v>0</v>
      </c>
      <c r="AL1735" s="16">
        <f t="shared" si="1638"/>
        <v>0</v>
      </c>
      <c r="AM1735" s="16">
        <f t="shared" si="1638"/>
        <v>0</v>
      </c>
      <c r="AN1735" s="16">
        <f t="shared" si="1638"/>
        <v>0</v>
      </c>
      <c r="AO1735" s="16">
        <f t="shared" si="1638"/>
        <v>0</v>
      </c>
      <c r="AP1735" s="10"/>
      <c r="AQ1735" s="10"/>
      <c r="AR1735" s="10"/>
      <c r="AS1735" s="10" t="str">
        <f t="shared" ca="1" si="1624"/>
        <v>Johnson &amp; Johnson</v>
      </c>
      <c r="AT1735" s="10"/>
      <c r="AU1735" s="10"/>
      <c r="AV1735" s="10"/>
      <c r="AW1735" s="10"/>
      <c r="AX1735" s="10"/>
      <c r="AY1735" s="10"/>
      <c r="AZ1735" s="10"/>
      <c r="BA1735" s="10"/>
      <c r="BB1735" s="10"/>
      <c r="BC1735" s="10"/>
      <c r="BD1735" s="10"/>
      <c r="BE1735" s="10"/>
      <c r="BF1735" s="10"/>
      <c r="BG1735" s="10"/>
      <c r="BH1735" s="10"/>
      <c r="BI1735" s="10"/>
      <c r="BJ1735" s="10"/>
      <c r="BK1735" s="10"/>
      <c r="BM1735" s="10"/>
    </row>
    <row r="1736" spans="1:65" ht="12.75">
      <c r="A1736" s="9"/>
      <c r="B1736" s="10"/>
      <c r="C1736" s="11"/>
      <c r="D1736" s="12"/>
      <c r="E1736" s="10"/>
      <c r="F1736" s="10"/>
      <c r="G1736" s="10"/>
      <c r="H1736" s="14"/>
      <c r="I1736" s="14"/>
      <c r="J1736" s="14"/>
      <c r="K1736" s="14"/>
      <c r="L1736" s="14"/>
      <c r="M1736" s="15"/>
      <c r="N1736" s="10"/>
      <c r="O1736" s="14"/>
      <c r="P1736" s="14"/>
      <c r="Q1736" s="14"/>
      <c r="R1736" s="14"/>
      <c r="S1736" s="14"/>
      <c r="T1736" s="14"/>
      <c r="U1736" s="14"/>
      <c r="V1736" s="14"/>
      <c r="W1736" s="14"/>
      <c r="X1736" s="14"/>
      <c r="Y1736" s="14"/>
      <c r="Z1736" s="14"/>
      <c r="AA1736" s="16" t="str">
        <f t="shared" ca="1" si="1638"/>
        <v>Johnson &amp; Johnson</v>
      </c>
      <c r="AB1736" s="16">
        <f t="shared" si="1638"/>
        <v>0</v>
      </c>
      <c r="AC1736" s="16">
        <f t="shared" si="1638"/>
        <v>0</v>
      </c>
      <c r="AD1736" s="16">
        <f t="shared" si="1638"/>
        <v>0</v>
      </c>
      <c r="AE1736" s="16">
        <f t="shared" si="1638"/>
        <v>0</v>
      </c>
      <c r="AF1736" s="16">
        <f t="shared" si="1638"/>
        <v>0</v>
      </c>
      <c r="AG1736" s="16">
        <f t="shared" si="1638"/>
        <v>0</v>
      </c>
      <c r="AH1736" s="16">
        <f t="shared" si="1638"/>
        <v>0</v>
      </c>
      <c r="AI1736" s="16">
        <f t="shared" si="1638"/>
        <v>0</v>
      </c>
      <c r="AJ1736" s="16">
        <f t="shared" si="1638"/>
        <v>0</v>
      </c>
      <c r="AK1736" s="16">
        <f t="shared" si="1638"/>
        <v>0</v>
      </c>
      <c r="AL1736" s="16">
        <f t="shared" si="1638"/>
        <v>0</v>
      </c>
      <c r="AM1736" s="16">
        <f t="shared" si="1638"/>
        <v>0</v>
      </c>
      <c r="AN1736" s="16">
        <f t="shared" si="1638"/>
        <v>0</v>
      </c>
      <c r="AO1736" s="16">
        <f t="shared" si="1638"/>
        <v>0</v>
      </c>
      <c r="AP1736" s="10"/>
      <c r="AQ1736" s="10"/>
      <c r="AR1736" s="10"/>
      <c r="AS1736" s="10" t="str">
        <f t="shared" ca="1" si="1624"/>
        <v>Johnson &amp; Johnson</v>
      </c>
      <c r="AT1736" s="10"/>
      <c r="AU1736" s="10"/>
      <c r="AV1736" s="10"/>
      <c r="AW1736" s="10"/>
      <c r="AX1736" s="10"/>
      <c r="AY1736" s="10"/>
      <c r="AZ1736" s="10"/>
      <c r="BA1736" s="10"/>
      <c r="BB1736" s="10"/>
      <c r="BC1736" s="10"/>
      <c r="BD1736" s="10"/>
      <c r="BE1736" s="10"/>
      <c r="BF1736" s="10"/>
      <c r="BG1736" s="10"/>
      <c r="BH1736" s="10"/>
      <c r="BI1736" s="10"/>
      <c r="BJ1736" s="10"/>
      <c r="BK1736" s="10"/>
      <c r="BM1736" s="10"/>
    </row>
    <row r="1737" spans="1:65" ht="12.75">
      <c r="A1737" s="9"/>
      <c r="B1737" s="10"/>
      <c r="C1737" s="11"/>
      <c r="D1737" s="12"/>
      <c r="E1737" s="10"/>
      <c r="F1737" s="10"/>
      <c r="G1737" s="10"/>
      <c r="H1737" s="14"/>
      <c r="I1737" s="14"/>
      <c r="J1737" s="14"/>
      <c r="K1737" s="14"/>
      <c r="L1737" s="14"/>
      <c r="M1737" s="15"/>
      <c r="N1737" s="10"/>
      <c r="O1737" s="14"/>
      <c r="P1737" s="14"/>
      <c r="Q1737" s="14"/>
      <c r="R1737" s="14"/>
      <c r="S1737" s="14"/>
      <c r="T1737" s="14"/>
      <c r="U1737" s="14"/>
      <c r="V1737" s="14"/>
      <c r="W1737" s="14"/>
      <c r="X1737" s="14"/>
      <c r="Y1737" s="14"/>
      <c r="Z1737" s="14"/>
      <c r="AA1737" s="16" t="str">
        <f t="shared" ref="AA1737:AO1752" ca="1" si="1639">AS1737</f>
        <v>Johnson &amp; Johnson</v>
      </c>
      <c r="AB1737" s="16">
        <f t="shared" si="1639"/>
        <v>0</v>
      </c>
      <c r="AC1737" s="16">
        <f t="shared" si="1639"/>
        <v>0</v>
      </c>
      <c r="AD1737" s="16">
        <f t="shared" si="1639"/>
        <v>0</v>
      </c>
      <c r="AE1737" s="16">
        <f t="shared" si="1639"/>
        <v>0</v>
      </c>
      <c r="AF1737" s="16">
        <f t="shared" si="1639"/>
        <v>0</v>
      </c>
      <c r="AG1737" s="16">
        <f t="shared" si="1639"/>
        <v>0</v>
      </c>
      <c r="AH1737" s="16">
        <f t="shared" si="1639"/>
        <v>0</v>
      </c>
      <c r="AI1737" s="16">
        <f t="shared" si="1639"/>
        <v>0</v>
      </c>
      <c r="AJ1737" s="16">
        <f t="shared" si="1639"/>
        <v>0</v>
      </c>
      <c r="AK1737" s="16">
        <f t="shared" si="1639"/>
        <v>0</v>
      </c>
      <c r="AL1737" s="16">
        <f t="shared" si="1639"/>
        <v>0</v>
      </c>
      <c r="AM1737" s="16">
        <f t="shared" si="1639"/>
        <v>0</v>
      </c>
      <c r="AN1737" s="16">
        <f t="shared" si="1639"/>
        <v>0</v>
      </c>
      <c r="AO1737" s="16">
        <f t="shared" si="1639"/>
        <v>0</v>
      </c>
      <c r="AP1737" s="10"/>
      <c r="AQ1737" s="10"/>
      <c r="AR1737" s="10"/>
      <c r="AS1737" s="10" t="str">
        <f t="shared" ca="1" si="1624"/>
        <v>Johnson &amp; Johnson</v>
      </c>
      <c r="AT1737" s="10"/>
      <c r="AU1737" s="10"/>
      <c r="AV1737" s="10"/>
      <c r="AW1737" s="10"/>
      <c r="AX1737" s="10"/>
      <c r="AY1737" s="10"/>
      <c r="AZ1737" s="10"/>
      <c r="BA1737" s="10"/>
      <c r="BB1737" s="10"/>
      <c r="BC1737" s="10"/>
      <c r="BD1737" s="10"/>
      <c r="BE1737" s="10"/>
      <c r="BF1737" s="10"/>
      <c r="BG1737" s="10"/>
      <c r="BH1737" s="10"/>
      <c r="BI1737" s="10"/>
      <c r="BJ1737" s="10"/>
      <c r="BK1737" s="10"/>
      <c r="BM1737" s="10"/>
    </row>
    <row r="1738" spans="1:65" ht="12.75">
      <c r="A1738" s="9"/>
      <c r="B1738" s="10"/>
      <c r="C1738" s="11"/>
      <c r="D1738" s="12"/>
      <c r="E1738" s="10"/>
      <c r="F1738" s="10"/>
      <c r="G1738" s="10"/>
      <c r="H1738" s="14"/>
      <c r="I1738" s="14"/>
      <c r="J1738" s="14"/>
      <c r="K1738" s="14"/>
      <c r="L1738" s="14"/>
      <c r="M1738" s="15"/>
      <c r="N1738" s="10"/>
      <c r="O1738" s="14"/>
      <c r="P1738" s="14"/>
      <c r="Q1738" s="14"/>
      <c r="R1738" s="14"/>
      <c r="S1738" s="14"/>
      <c r="T1738" s="14"/>
      <c r="U1738" s="14"/>
      <c r="V1738" s="14"/>
      <c r="W1738" s="14"/>
      <c r="X1738" s="14"/>
      <c r="Y1738" s="14"/>
      <c r="Z1738" s="14"/>
      <c r="AA1738" s="16" t="str">
        <f t="shared" ca="1" si="1639"/>
        <v>Johnson &amp; Johnson</v>
      </c>
      <c r="AB1738" s="16">
        <f t="shared" si="1639"/>
        <v>0</v>
      </c>
      <c r="AC1738" s="16">
        <f t="shared" si="1639"/>
        <v>0</v>
      </c>
      <c r="AD1738" s="16">
        <f t="shared" si="1639"/>
        <v>0</v>
      </c>
      <c r="AE1738" s="16">
        <f t="shared" si="1639"/>
        <v>0</v>
      </c>
      <c r="AF1738" s="16">
        <f t="shared" si="1639"/>
        <v>0</v>
      </c>
      <c r="AG1738" s="16">
        <f t="shared" si="1639"/>
        <v>0</v>
      </c>
      <c r="AH1738" s="16">
        <f t="shared" si="1639"/>
        <v>0</v>
      </c>
      <c r="AI1738" s="16">
        <f t="shared" si="1639"/>
        <v>0</v>
      </c>
      <c r="AJ1738" s="16">
        <f t="shared" si="1639"/>
        <v>0</v>
      </c>
      <c r="AK1738" s="16">
        <f t="shared" si="1639"/>
        <v>0</v>
      </c>
      <c r="AL1738" s="16">
        <f t="shared" si="1639"/>
        <v>0</v>
      </c>
      <c r="AM1738" s="16">
        <f t="shared" si="1639"/>
        <v>0</v>
      </c>
      <c r="AN1738" s="16">
        <f t="shared" si="1639"/>
        <v>0</v>
      </c>
      <c r="AO1738" s="16">
        <f t="shared" si="1639"/>
        <v>0</v>
      </c>
      <c r="AP1738" s="10"/>
      <c r="AQ1738" s="10"/>
      <c r="AR1738" s="10"/>
      <c r="AS1738" s="10" t="str">
        <f t="shared" ca="1" si="1624"/>
        <v>Johnson &amp; Johnson</v>
      </c>
      <c r="AT1738" s="10"/>
      <c r="AU1738" s="10"/>
      <c r="AV1738" s="10"/>
      <c r="AW1738" s="10"/>
      <c r="AX1738" s="10"/>
      <c r="AY1738" s="10"/>
      <c r="AZ1738" s="10"/>
      <c r="BA1738" s="10"/>
      <c r="BB1738" s="10"/>
      <c r="BC1738" s="10"/>
      <c r="BD1738" s="10"/>
      <c r="BE1738" s="10"/>
      <c r="BF1738" s="10"/>
      <c r="BG1738" s="10"/>
      <c r="BH1738" s="10"/>
      <c r="BI1738" s="10"/>
      <c r="BJ1738" s="10"/>
      <c r="BK1738" s="10"/>
      <c r="BM1738" s="10"/>
    </row>
    <row r="1739" spans="1:65" ht="12.75">
      <c r="A1739" s="9"/>
      <c r="B1739" s="10"/>
      <c r="C1739" s="11"/>
      <c r="D1739" s="12"/>
      <c r="E1739" s="10"/>
      <c r="F1739" s="10"/>
      <c r="G1739" s="10"/>
      <c r="H1739" s="14"/>
      <c r="I1739" s="14"/>
      <c r="J1739" s="14"/>
      <c r="K1739" s="14"/>
      <c r="L1739" s="14"/>
      <c r="M1739" s="15"/>
      <c r="N1739" s="10"/>
      <c r="O1739" s="14"/>
      <c r="P1739" s="14"/>
      <c r="Q1739" s="14"/>
      <c r="R1739" s="14"/>
      <c r="S1739" s="14"/>
      <c r="T1739" s="14"/>
      <c r="U1739" s="14"/>
      <c r="V1739" s="14"/>
      <c r="W1739" s="14"/>
      <c r="X1739" s="14"/>
      <c r="Y1739" s="14"/>
      <c r="Z1739" s="14"/>
      <c r="AA1739" s="16" t="str">
        <f t="shared" ca="1" si="1639"/>
        <v>Johnson &amp; Johnson</v>
      </c>
      <c r="AB1739" s="16">
        <f t="shared" si="1639"/>
        <v>0</v>
      </c>
      <c r="AC1739" s="16">
        <f t="shared" si="1639"/>
        <v>0</v>
      </c>
      <c r="AD1739" s="16">
        <f t="shared" si="1639"/>
        <v>0</v>
      </c>
      <c r="AE1739" s="16">
        <f t="shared" si="1639"/>
        <v>0</v>
      </c>
      <c r="AF1739" s="16">
        <f t="shared" si="1639"/>
        <v>0</v>
      </c>
      <c r="AG1739" s="16">
        <f t="shared" si="1639"/>
        <v>0</v>
      </c>
      <c r="AH1739" s="16">
        <f t="shared" si="1639"/>
        <v>0</v>
      </c>
      <c r="AI1739" s="16">
        <f t="shared" si="1639"/>
        <v>0</v>
      </c>
      <c r="AJ1739" s="16">
        <f t="shared" si="1639"/>
        <v>0</v>
      </c>
      <c r="AK1739" s="16">
        <f t="shared" si="1639"/>
        <v>0</v>
      </c>
      <c r="AL1739" s="16">
        <f t="shared" si="1639"/>
        <v>0</v>
      </c>
      <c r="AM1739" s="16">
        <f t="shared" si="1639"/>
        <v>0</v>
      </c>
      <c r="AN1739" s="16">
        <f t="shared" si="1639"/>
        <v>0</v>
      </c>
      <c r="AO1739" s="16">
        <f t="shared" si="1639"/>
        <v>0</v>
      </c>
      <c r="AP1739" s="10"/>
      <c r="AQ1739" s="10"/>
      <c r="AR1739" s="10"/>
      <c r="AS1739" s="10" t="str">
        <f t="shared" ca="1" si="1624"/>
        <v>Johnson &amp; Johnson</v>
      </c>
      <c r="AT1739" s="10"/>
      <c r="AU1739" s="10"/>
      <c r="AV1739" s="10"/>
      <c r="AW1739" s="10"/>
      <c r="AX1739" s="10"/>
      <c r="AY1739" s="10"/>
      <c r="AZ1739" s="10"/>
      <c r="BA1739" s="10"/>
      <c r="BB1739" s="10"/>
      <c r="BC1739" s="10"/>
      <c r="BD1739" s="10"/>
      <c r="BE1739" s="10"/>
      <c r="BF1739" s="10"/>
      <c r="BG1739" s="10"/>
      <c r="BH1739" s="10"/>
      <c r="BI1739" s="10"/>
      <c r="BJ1739" s="10"/>
      <c r="BK1739" s="10"/>
      <c r="BM1739" s="10"/>
    </row>
    <row r="1740" spans="1:65" ht="12.75">
      <c r="A1740" s="9"/>
      <c r="B1740" s="10"/>
      <c r="C1740" s="11"/>
      <c r="D1740" s="12"/>
      <c r="E1740" s="10"/>
      <c r="F1740" s="10"/>
      <c r="G1740" s="10"/>
      <c r="H1740" s="14"/>
      <c r="I1740" s="14"/>
      <c r="J1740" s="14"/>
      <c r="K1740" s="14"/>
      <c r="L1740" s="14"/>
      <c r="M1740" s="15"/>
      <c r="N1740" s="10"/>
      <c r="O1740" s="14"/>
      <c r="P1740" s="14"/>
      <c r="Q1740" s="14"/>
      <c r="R1740" s="14"/>
      <c r="S1740" s="14"/>
      <c r="T1740" s="14"/>
      <c r="U1740" s="14"/>
      <c r="V1740" s="14"/>
      <c r="W1740" s="14"/>
      <c r="X1740" s="14"/>
      <c r="Y1740" s="14"/>
      <c r="Z1740" s="14"/>
      <c r="AA1740" s="16" t="str">
        <f t="shared" ca="1" si="1639"/>
        <v>Johnson &amp; Johnson</v>
      </c>
      <c r="AB1740" s="16">
        <f t="shared" si="1639"/>
        <v>0</v>
      </c>
      <c r="AC1740" s="16">
        <f t="shared" si="1639"/>
        <v>0</v>
      </c>
      <c r="AD1740" s="16">
        <f t="shared" si="1639"/>
        <v>0</v>
      </c>
      <c r="AE1740" s="16">
        <f t="shared" si="1639"/>
        <v>0</v>
      </c>
      <c r="AF1740" s="16">
        <f t="shared" si="1639"/>
        <v>0</v>
      </c>
      <c r="AG1740" s="16">
        <f t="shared" si="1639"/>
        <v>0</v>
      </c>
      <c r="AH1740" s="16">
        <f t="shared" si="1639"/>
        <v>0</v>
      </c>
      <c r="AI1740" s="16">
        <f t="shared" si="1639"/>
        <v>0</v>
      </c>
      <c r="AJ1740" s="16">
        <f t="shared" si="1639"/>
        <v>0</v>
      </c>
      <c r="AK1740" s="16">
        <f t="shared" si="1639"/>
        <v>0</v>
      </c>
      <c r="AL1740" s="16">
        <f t="shared" si="1639"/>
        <v>0</v>
      </c>
      <c r="AM1740" s="16">
        <f t="shared" si="1639"/>
        <v>0</v>
      </c>
      <c r="AN1740" s="16">
        <f t="shared" si="1639"/>
        <v>0</v>
      </c>
      <c r="AO1740" s="16">
        <f t="shared" si="1639"/>
        <v>0</v>
      </c>
      <c r="AP1740" s="10"/>
      <c r="AQ1740" s="10"/>
      <c r="AR1740" s="10"/>
      <c r="AS1740" s="10" t="str">
        <f t="shared" ca="1" si="1624"/>
        <v>Johnson &amp; Johnson</v>
      </c>
      <c r="AT1740" s="10"/>
      <c r="AU1740" s="10"/>
      <c r="AV1740" s="10"/>
      <c r="AW1740" s="10"/>
      <c r="AX1740" s="10"/>
      <c r="AY1740" s="10"/>
      <c r="AZ1740" s="10"/>
      <c r="BA1740" s="10"/>
      <c r="BB1740" s="10"/>
      <c r="BC1740" s="10"/>
      <c r="BD1740" s="10"/>
      <c r="BE1740" s="10"/>
      <c r="BF1740" s="10"/>
      <c r="BG1740" s="10"/>
      <c r="BH1740" s="10"/>
      <c r="BI1740" s="10"/>
      <c r="BJ1740" s="10"/>
      <c r="BK1740" s="10"/>
      <c r="BM1740" s="10"/>
    </row>
    <row r="1741" spans="1:65" ht="12.75">
      <c r="A1741" s="9"/>
      <c r="B1741" s="10"/>
      <c r="C1741" s="11"/>
      <c r="D1741" s="12"/>
      <c r="E1741" s="10"/>
      <c r="F1741" s="10"/>
      <c r="G1741" s="10"/>
      <c r="H1741" s="14"/>
      <c r="I1741" s="14"/>
      <c r="J1741" s="14"/>
      <c r="K1741" s="14"/>
      <c r="L1741" s="14"/>
      <c r="M1741" s="15"/>
      <c r="N1741" s="10"/>
      <c r="O1741" s="14"/>
      <c r="P1741" s="14"/>
      <c r="Q1741" s="14"/>
      <c r="R1741" s="14"/>
      <c r="S1741" s="14"/>
      <c r="T1741" s="14"/>
      <c r="U1741" s="14"/>
      <c r="V1741" s="14"/>
      <c r="W1741" s="14"/>
      <c r="X1741" s="14"/>
      <c r="Y1741" s="14"/>
      <c r="Z1741" s="14"/>
      <c r="AA1741" s="16" t="str">
        <f t="shared" ca="1" si="1639"/>
        <v>Johnson &amp; Johnson</v>
      </c>
      <c r="AB1741" s="16">
        <f t="shared" si="1639"/>
        <v>0</v>
      </c>
      <c r="AC1741" s="16">
        <f t="shared" si="1639"/>
        <v>0</v>
      </c>
      <c r="AD1741" s="16">
        <f t="shared" si="1639"/>
        <v>0</v>
      </c>
      <c r="AE1741" s="16">
        <f t="shared" si="1639"/>
        <v>0</v>
      </c>
      <c r="AF1741" s="16">
        <f t="shared" si="1639"/>
        <v>0</v>
      </c>
      <c r="AG1741" s="16">
        <f t="shared" si="1639"/>
        <v>0</v>
      </c>
      <c r="AH1741" s="16">
        <f t="shared" si="1639"/>
        <v>0</v>
      </c>
      <c r="AI1741" s="16">
        <f t="shared" si="1639"/>
        <v>0</v>
      </c>
      <c r="AJ1741" s="16">
        <f t="shared" si="1639"/>
        <v>0</v>
      </c>
      <c r="AK1741" s="16">
        <f t="shared" si="1639"/>
        <v>0</v>
      </c>
      <c r="AL1741" s="16">
        <f t="shared" si="1639"/>
        <v>0</v>
      </c>
      <c r="AM1741" s="16">
        <f t="shared" si="1639"/>
        <v>0</v>
      </c>
      <c r="AN1741" s="16">
        <f t="shared" si="1639"/>
        <v>0</v>
      </c>
      <c r="AO1741" s="16">
        <f t="shared" si="1639"/>
        <v>0</v>
      </c>
      <c r="AP1741" s="10"/>
      <c r="AQ1741" s="10"/>
      <c r="AR1741" s="10"/>
      <c r="AS1741" s="10" t="str">
        <f t="shared" ca="1" si="1624"/>
        <v>Johnson &amp; Johnson</v>
      </c>
      <c r="AT1741" s="10"/>
      <c r="AU1741" s="10"/>
      <c r="AV1741" s="10"/>
      <c r="AW1741" s="10"/>
      <c r="AX1741" s="10"/>
      <c r="AY1741" s="10"/>
      <c r="AZ1741" s="10"/>
      <c r="BA1741" s="10"/>
      <c r="BB1741" s="10"/>
      <c r="BC1741" s="10"/>
      <c r="BD1741" s="10"/>
      <c r="BE1741" s="10"/>
      <c r="BF1741" s="10"/>
      <c r="BG1741" s="10"/>
      <c r="BH1741" s="10"/>
      <c r="BI1741" s="10"/>
      <c r="BJ1741" s="10"/>
      <c r="BK1741" s="10"/>
      <c r="BM1741" s="10"/>
    </row>
    <row r="1742" spans="1:65" ht="12.75">
      <c r="A1742" s="9"/>
      <c r="B1742" s="10"/>
      <c r="C1742" s="11"/>
      <c r="D1742" s="12"/>
      <c r="E1742" s="10"/>
      <c r="F1742" s="10"/>
      <c r="G1742" s="10"/>
      <c r="H1742" s="14"/>
      <c r="I1742" s="14"/>
      <c r="J1742" s="14"/>
      <c r="K1742" s="14"/>
      <c r="L1742" s="14"/>
      <c r="M1742" s="15"/>
      <c r="N1742" s="10"/>
      <c r="O1742" s="14"/>
      <c r="P1742" s="14"/>
      <c r="Q1742" s="14"/>
      <c r="R1742" s="14"/>
      <c r="S1742" s="14"/>
      <c r="T1742" s="14"/>
      <c r="U1742" s="14"/>
      <c r="V1742" s="14"/>
      <c r="W1742" s="14"/>
      <c r="X1742" s="14"/>
      <c r="Y1742" s="14"/>
      <c r="Z1742" s="14"/>
      <c r="AA1742" s="16" t="str">
        <f t="shared" ca="1" si="1639"/>
        <v>Johnson &amp; Johnson</v>
      </c>
      <c r="AB1742" s="16">
        <f t="shared" si="1639"/>
        <v>0</v>
      </c>
      <c r="AC1742" s="16">
        <f t="shared" si="1639"/>
        <v>0</v>
      </c>
      <c r="AD1742" s="16">
        <f t="shared" si="1639"/>
        <v>0</v>
      </c>
      <c r="AE1742" s="16">
        <f t="shared" si="1639"/>
        <v>0</v>
      </c>
      <c r="AF1742" s="16">
        <f t="shared" si="1639"/>
        <v>0</v>
      </c>
      <c r="AG1742" s="16">
        <f t="shared" si="1639"/>
        <v>0</v>
      </c>
      <c r="AH1742" s="16">
        <f t="shared" si="1639"/>
        <v>0</v>
      </c>
      <c r="AI1742" s="16">
        <f t="shared" si="1639"/>
        <v>0</v>
      </c>
      <c r="AJ1742" s="16">
        <f t="shared" si="1639"/>
        <v>0</v>
      </c>
      <c r="AK1742" s="16">
        <f t="shared" si="1639"/>
        <v>0</v>
      </c>
      <c r="AL1742" s="16">
        <f t="shared" si="1639"/>
        <v>0</v>
      </c>
      <c r="AM1742" s="16">
        <f t="shared" si="1639"/>
        <v>0</v>
      </c>
      <c r="AN1742" s="16">
        <f t="shared" si="1639"/>
        <v>0</v>
      </c>
      <c r="AO1742" s="16">
        <f t="shared" si="1639"/>
        <v>0</v>
      </c>
      <c r="AP1742" s="10"/>
      <c r="AQ1742" s="10"/>
      <c r="AR1742" s="10"/>
      <c r="AS1742" s="10" t="str">
        <f t="shared" ca="1" si="1624"/>
        <v>Johnson &amp; Johnson</v>
      </c>
      <c r="AT1742" s="10"/>
      <c r="AU1742" s="10"/>
      <c r="AV1742" s="10"/>
      <c r="AW1742" s="10"/>
      <c r="AX1742" s="10"/>
      <c r="AY1742" s="10"/>
      <c r="AZ1742" s="10"/>
      <c r="BA1742" s="10"/>
      <c r="BB1742" s="10"/>
      <c r="BC1742" s="10"/>
      <c r="BD1742" s="10"/>
      <c r="BE1742" s="10"/>
      <c r="BF1742" s="10"/>
      <c r="BG1742" s="10"/>
      <c r="BH1742" s="10"/>
      <c r="BI1742" s="10"/>
      <c r="BJ1742" s="10"/>
      <c r="BK1742" s="10"/>
      <c r="BM1742" s="10"/>
    </row>
    <row r="1743" spans="1:65" ht="12.75">
      <c r="A1743" s="9"/>
      <c r="B1743" s="10"/>
      <c r="C1743" s="11"/>
      <c r="D1743" s="12"/>
      <c r="E1743" s="10"/>
      <c r="F1743" s="10"/>
      <c r="G1743" s="10"/>
      <c r="H1743" s="14"/>
      <c r="I1743" s="14"/>
      <c r="J1743" s="14"/>
      <c r="K1743" s="14"/>
      <c r="L1743" s="14"/>
      <c r="M1743" s="15"/>
      <c r="N1743" s="10"/>
      <c r="O1743" s="14"/>
      <c r="P1743" s="14"/>
      <c r="Q1743" s="14"/>
      <c r="R1743" s="14"/>
      <c r="S1743" s="14"/>
      <c r="T1743" s="14"/>
      <c r="U1743" s="14"/>
      <c r="V1743" s="14"/>
      <c r="W1743" s="14"/>
      <c r="X1743" s="14"/>
      <c r="Y1743" s="14"/>
      <c r="Z1743" s="14"/>
      <c r="AA1743" s="16" t="str">
        <f t="shared" ca="1" si="1639"/>
        <v>Johnson &amp; Johnson</v>
      </c>
      <c r="AB1743" s="16">
        <f t="shared" si="1639"/>
        <v>0</v>
      </c>
      <c r="AC1743" s="16">
        <f t="shared" si="1639"/>
        <v>0</v>
      </c>
      <c r="AD1743" s="16">
        <f t="shared" si="1639"/>
        <v>0</v>
      </c>
      <c r="AE1743" s="16">
        <f t="shared" si="1639"/>
        <v>0</v>
      </c>
      <c r="AF1743" s="16">
        <f t="shared" si="1639"/>
        <v>0</v>
      </c>
      <c r="AG1743" s="16">
        <f t="shared" si="1639"/>
        <v>0</v>
      </c>
      <c r="AH1743" s="16">
        <f t="shared" si="1639"/>
        <v>0</v>
      </c>
      <c r="AI1743" s="16">
        <f t="shared" si="1639"/>
        <v>0</v>
      </c>
      <c r="AJ1743" s="16">
        <f t="shared" si="1639"/>
        <v>0</v>
      </c>
      <c r="AK1743" s="16">
        <f t="shared" si="1639"/>
        <v>0</v>
      </c>
      <c r="AL1743" s="16">
        <f t="shared" si="1639"/>
        <v>0</v>
      </c>
      <c r="AM1743" s="16">
        <f t="shared" si="1639"/>
        <v>0</v>
      </c>
      <c r="AN1743" s="16">
        <f t="shared" si="1639"/>
        <v>0</v>
      </c>
      <c r="AO1743" s="16">
        <f t="shared" si="1639"/>
        <v>0</v>
      </c>
      <c r="AP1743" s="10"/>
      <c r="AQ1743" s="10"/>
      <c r="AR1743" s="10"/>
      <c r="AS1743" s="10" t="str">
        <f t="shared" ca="1" si="1624"/>
        <v>Johnson &amp; Johnson</v>
      </c>
      <c r="AT1743" s="10"/>
      <c r="AU1743" s="10"/>
      <c r="AV1743" s="10"/>
      <c r="AW1743" s="10"/>
      <c r="AX1743" s="10"/>
      <c r="AY1743" s="10"/>
      <c r="AZ1743" s="10"/>
      <c r="BA1743" s="10"/>
      <c r="BB1743" s="10"/>
      <c r="BC1743" s="10"/>
      <c r="BD1743" s="10"/>
      <c r="BE1743" s="10"/>
      <c r="BF1743" s="10"/>
      <c r="BG1743" s="10"/>
      <c r="BH1743" s="10"/>
      <c r="BI1743" s="10"/>
      <c r="BJ1743" s="10"/>
      <c r="BK1743" s="10"/>
      <c r="BM1743" s="10"/>
    </row>
    <row r="1744" spans="1:65" ht="12.75">
      <c r="A1744" s="9"/>
      <c r="B1744" s="10"/>
      <c r="C1744" s="11"/>
      <c r="D1744" s="12"/>
      <c r="E1744" s="10"/>
      <c r="F1744" s="10"/>
      <c r="G1744" s="10"/>
      <c r="H1744" s="14"/>
      <c r="I1744" s="14"/>
      <c r="J1744" s="14"/>
      <c r="K1744" s="14"/>
      <c r="L1744" s="14"/>
      <c r="M1744" s="15"/>
      <c r="N1744" s="10"/>
      <c r="O1744" s="14"/>
      <c r="P1744" s="14"/>
      <c r="Q1744" s="14"/>
      <c r="R1744" s="14"/>
      <c r="S1744" s="14"/>
      <c r="T1744" s="14"/>
      <c r="U1744" s="14"/>
      <c r="V1744" s="14"/>
      <c r="W1744" s="14"/>
      <c r="X1744" s="14"/>
      <c r="Y1744" s="14"/>
      <c r="Z1744" s="14"/>
      <c r="AA1744" s="16" t="str">
        <f t="shared" ca="1" si="1639"/>
        <v>Johnson &amp; Johnson</v>
      </c>
      <c r="AB1744" s="16">
        <f t="shared" si="1639"/>
        <v>0</v>
      </c>
      <c r="AC1744" s="16">
        <f t="shared" si="1639"/>
        <v>0</v>
      </c>
      <c r="AD1744" s="16">
        <f t="shared" si="1639"/>
        <v>0</v>
      </c>
      <c r="AE1744" s="16">
        <f t="shared" si="1639"/>
        <v>0</v>
      </c>
      <c r="AF1744" s="16">
        <f t="shared" si="1639"/>
        <v>0</v>
      </c>
      <c r="AG1744" s="16">
        <f t="shared" si="1639"/>
        <v>0</v>
      </c>
      <c r="AH1744" s="16">
        <f t="shared" si="1639"/>
        <v>0</v>
      </c>
      <c r="AI1744" s="16">
        <f t="shared" si="1639"/>
        <v>0</v>
      </c>
      <c r="AJ1744" s="16">
        <f t="shared" si="1639"/>
        <v>0</v>
      </c>
      <c r="AK1744" s="16">
        <f t="shared" si="1639"/>
        <v>0</v>
      </c>
      <c r="AL1744" s="16">
        <f t="shared" si="1639"/>
        <v>0</v>
      </c>
      <c r="AM1744" s="16">
        <f t="shared" si="1639"/>
        <v>0</v>
      </c>
      <c r="AN1744" s="16">
        <f t="shared" si="1639"/>
        <v>0</v>
      </c>
      <c r="AO1744" s="16">
        <f t="shared" si="1639"/>
        <v>0</v>
      </c>
      <c r="AP1744" s="10"/>
      <c r="AQ1744" s="10"/>
      <c r="AR1744" s="10"/>
      <c r="AS1744" s="10" t="str">
        <f t="shared" ca="1" si="1624"/>
        <v>Johnson &amp; Johnson</v>
      </c>
      <c r="AT1744" s="10"/>
      <c r="AU1744" s="10"/>
      <c r="AV1744" s="10"/>
      <c r="AW1744" s="10"/>
      <c r="AX1744" s="10"/>
      <c r="AY1744" s="10"/>
      <c r="AZ1744" s="10"/>
      <c r="BA1744" s="10"/>
      <c r="BB1744" s="10"/>
      <c r="BC1744" s="10"/>
      <c r="BD1744" s="10"/>
      <c r="BE1744" s="10"/>
      <c r="BF1744" s="10"/>
      <c r="BG1744" s="10"/>
      <c r="BH1744" s="10"/>
      <c r="BI1744" s="10"/>
      <c r="BJ1744" s="10"/>
      <c r="BK1744" s="10"/>
      <c r="BM1744" s="10"/>
    </row>
    <row r="1745" spans="1:65" ht="12.75">
      <c r="A1745" s="9"/>
      <c r="B1745" s="10"/>
      <c r="C1745" s="11"/>
      <c r="D1745" s="12"/>
      <c r="E1745" s="10"/>
      <c r="F1745" s="10"/>
      <c r="G1745" s="10"/>
      <c r="H1745" s="14"/>
      <c r="I1745" s="14"/>
      <c r="J1745" s="14"/>
      <c r="K1745" s="14"/>
      <c r="L1745" s="14"/>
      <c r="M1745" s="15"/>
      <c r="N1745" s="10"/>
      <c r="O1745" s="14"/>
      <c r="P1745" s="14"/>
      <c r="Q1745" s="14"/>
      <c r="R1745" s="14"/>
      <c r="S1745" s="14"/>
      <c r="T1745" s="14"/>
      <c r="U1745" s="14"/>
      <c r="V1745" s="14"/>
      <c r="W1745" s="14"/>
      <c r="X1745" s="14"/>
      <c r="Y1745" s="14"/>
      <c r="Z1745" s="14"/>
      <c r="AA1745" s="16" t="str">
        <f t="shared" ca="1" si="1639"/>
        <v>Johnson &amp; Johnson</v>
      </c>
      <c r="AB1745" s="16">
        <f t="shared" si="1639"/>
        <v>0</v>
      </c>
      <c r="AC1745" s="16">
        <f t="shared" si="1639"/>
        <v>0</v>
      </c>
      <c r="AD1745" s="16">
        <f t="shared" si="1639"/>
        <v>0</v>
      </c>
      <c r="AE1745" s="16">
        <f t="shared" si="1639"/>
        <v>0</v>
      </c>
      <c r="AF1745" s="16">
        <f t="shared" si="1639"/>
        <v>0</v>
      </c>
      <c r="AG1745" s="16">
        <f t="shared" si="1639"/>
        <v>0</v>
      </c>
      <c r="AH1745" s="16">
        <f t="shared" si="1639"/>
        <v>0</v>
      </c>
      <c r="AI1745" s="16">
        <f t="shared" si="1639"/>
        <v>0</v>
      </c>
      <c r="AJ1745" s="16">
        <f t="shared" si="1639"/>
        <v>0</v>
      </c>
      <c r="AK1745" s="16">
        <f t="shared" si="1639"/>
        <v>0</v>
      </c>
      <c r="AL1745" s="16">
        <f t="shared" si="1639"/>
        <v>0</v>
      </c>
      <c r="AM1745" s="16">
        <f t="shared" si="1639"/>
        <v>0</v>
      </c>
      <c r="AN1745" s="16">
        <f t="shared" si="1639"/>
        <v>0</v>
      </c>
      <c r="AO1745" s="16">
        <f t="shared" si="1639"/>
        <v>0</v>
      </c>
      <c r="AP1745" s="10"/>
      <c r="AQ1745" s="10"/>
      <c r="AR1745" s="10"/>
      <c r="AS1745" s="10" t="str">
        <f t="shared" ca="1" si="1624"/>
        <v>Johnson &amp; Johnson</v>
      </c>
      <c r="AT1745" s="10"/>
      <c r="AU1745" s="10"/>
      <c r="AV1745" s="10"/>
      <c r="AW1745" s="10"/>
      <c r="AX1745" s="10"/>
      <c r="AY1745" s="10"/>
      <c r="AZ1745" s="10"/>
      <c r="BA1745" s="10"/>
      <c r="BB1745" s="10"/>
      <c r="BC1745" s="10"/>
      <c r="BD1745" s="10"/>
      <c r="BE1745" s="10"/>
      <c r="BF1745" s="10"/>
      <c r="BG1745" s="10"/>
      <c r="BH1745" s="10"/>
      <c r="BI1745" s="10"/>
      <c r="BJ1745" s="10"/>
      <c r="BK1745" s="10"/>
      <c r="BM1745" s="10"/>
    </row>
    <row r="1746" spans="1:65" ht="12.75">
      <c r="A1746" s="9"/>
      <c r="B1746" s="10"/>
      <c r="C1746" s="11"/>
      <c r="D1746" s="12"/>
      <c r="E1746" s="10"/>
      <c r="F1746" s="10"/>
      <c r="G1746" s="10"/>
      <c r="H1746" s="14"/>
      <c r="I1746" s="14"/>
      <c r="J1746" s="14"/>
      <c r="K1746" s="14"/>
      <c r="L1746" s="14"/>
      <c r="M1746" s="15"/>
      <c r="N1746" s="10"/>
      <c r="O1746" s="14"/>
      <c r="P1746" s="14"/>
      <c r="Q1746" s="14"/>
      <c r="R1746" s="14"/>
      <c r="S1746" s="14"/>
      <c r="T1746" s="14"/>
      <c r="U1746" s="14"/>
      <c r="V1746" s="14"/>
      <c r="W1746" s="14"/>
      <c r="X1746" s="14"/>
      <c r="Y1746" s="14"/>
      <c r="Z1746" s="14"/>
      <c r="AA1746" s="16" t="str">
        <f t="shared" ca="1" si="1639"/>
        <v>Johnson &amp; Johnson</v>
      </c>
      <c r="AB1746" s="16">
        <f t="shared" si="1639"/>
        <v>0</v>
      </c>
      <c r="AC1746" s="16">
        <f t="shared" si="1639"/>
        <v>0</v>
      </c>
      <c r="AD1746" s="16">
        <f t="shared" si="1639"/>
        <v>0</v>
      </c>
      <c r="AE1746" s="16">
        <f t="shared" si="1639"/>
        <v>0</v>
      </c>
      <c r="AF1746" s="16">
        <f t="shared" si="1639"/>
        <v>0</v>
      </c>
      <c r="AG1746" s="16">
        <f t="shared" si="1639"/>
        <v>0</v>
      </c>
      <c r="AH1746" s="16">
        <f t="shared" si="1639"/>
        <v>0</v>
      </c>
      <c r="AI1746" s="16">
        <f t="shared" si="1639"/>
        <v>0</v>
      </c>
      <c r="AJ1746" s="16">
        <f t="shared" si="1639"/>
        <v>0</v>
      </c>
      <c r="AK1746" s="16">
        <f t="shared" si="1639"/>
        <v>0</v>
      </c>
      <c r="AL1746" s="16">
        <f t="shared" si="1639"/>
        <v>0</v>
      </c>
      <c r="AM1746" s="16">
        <f t="shared" si="1639"/>
        <v>0</v>
      </c>
      <c r="AN1746" s="16">
        <f t="shared" si="1639"/>
        <v>0</v>
      </c>
      <c r="AO1746" s="16">
        <f t="shared" si="1639"/>
        <v>0</v>
      </c>
      <c r="AP1746" s="10"/>
      <c r="AQ1746" s="10"/>
      <c r="AR1746" s="10"/>
      <c r="AS1746" s="10" t="str">
        <f t="shared" ca="1" si="1624"/>
        <v>Johnson &amp; Johnson</v>
      </c>
      <c r="AT1746" s="10"/>
      <c r="AU1746" s="10"/>
      <c r="AV1746" s="10"/>
      <c r="AW1746" s="10"/>
      <c r="AX1746" s="10"/>
      <c r="AY1746" s="10"/>
      <c r="AZ1746" s="10"/>
      <c r="BA1746" s="10"/>
      <c r="BB1746" s="10"/>
      <c r="BC1746" s="10"/>
      <c r="BD1746" s="10"/>
      <c r="BE1746" s="10"/>
      <c r="BF1746" s="10"/>
      <c r="BG1746" s="10"/>
      <c r="BH1746" s="10"/>
      <c r="BI1746" s="10"/>
      <c r="BJ1746" s="10"/>
      <c r="BK1746" s="10"/>
      <c r="BM1746" s="10"/>
    </row>
    <row r="1747" spans="1:65" ht="12.75">
      <c r="A1747" s="9"/>
      <c r="B1747" s="10"/>
      <c r="C1747" s="11"/>
      <c r="D1747" s="12"/>
      <c r="E1747" s="10"/>
      <c r="F1747" s="10"/>
      <c r="G1747" s="10"/>
      <c r="H1747" s="14"/>
      <c r="I1747" s="14"/>
      <c r="J1747" s="14"/>
      <c r="K1747" s="14"/>
      <c r="L1747" s="14"/>
      <c r="M1747" s="15"/>
      <c r="N1747" s="10"/>
      <c r="O1747" s="14"/>
      <c r="P1747" s="14"/>
      <c r="Q1747" s="14"/>
      <c r="R1747" s="14"/>
      <c r="S1747" s="14"/>
      <c r="T1747" s="14"/>
      <c r="U1747" s="14"/>
      <c r="V1747" s="14"/>
      <c r="W1747" s="14"/>
      <c r="X1747" s="14"/>
      <c r="Y1747" s="14"/>
      <c r="Z1747" s="14"/>
      <c r="AA1747" s="16" t="str">
        <f t="shared" ca="1" si="1639"/>
        <v>Johnson &amp; Johnson</v>
      </c>
      <c r="AB1747" s="16">
        <f t="shared" si="1639"/>
        <v>0</v>
      </c>
      <c r="AC1747" s="16">
        <f t="shared" si="1639"/>
        <v>0</v>
      </c>
      <c r="AD1747" s="16">
        <f t="shared" si="1639"/>
        <v>0</v>
      </c>
      <c r="AE1747" s="16">
        <f t="shared" si="1639"/>
        <v>0</v>
      </c>
      <c r="AF1747" s="16">
        <f t="shared" si="1639"/>
        <v>0</v>
      </c>
      <c r="AG1747" s="16">
        <f t="shared" si="1639"/>
        <v>0</v>
      </c>
      <c r="AH1747" s="16">
        <f t="shared" si="1639"/>
        <v>0</v>
      </c>
      <c r="AI1747" s="16">
        <f t="shared" si="1639"/>
        <v>0</v>
      </c>
      <c r="AJ1747" s="16">
        <f t="shared" si="1639"/>
        <v>0</v>
      </c>
      <c r="AK1747" s="16">
        <f t="shared" si="1639"/>
        <v>0</v>
      </c>
      <c r="AL1747" s="16">
        <f t="shared" si="1639"/>
        <v>0</v>
      </c>
      <c r="AM1747" s="16">
        <f t="shared" si="1639"/>
        <v>0</v>
      </c>
      <c r="AN1747" s="16">
        <f t="shared" si="1639"/>
        <v>0</v>
      </c>
      <c r="AO1747" s="16">
        <f t="shared" si="1639"/>
        <v>0</v>
      </c>
      <c r="AP1747" s="10"/>
      <c r="AQ1747" s="10"/>
      <c r="AR1747" s="10"/>
      <c r="AS1747" s="10" t="str">
        <f t="shared" ca="1" si="1624"/>
        <v>Johnson &amp; Johnson</v>
      </c>
      <c r="AT1747" s="10"/>
      <c r="AU1747" s="10"/>
      <c r="AV1747" s="10"/>
      <c r="AW1747" s="10"/>
      <c r="AX1747" s="10"/>
      <c r="AY1747" s="10"/>
      <c r="AZ1747" s="10"/>
      <c r="BA1747" s="10"/>
      <c r="BB1747" s="10"/>
      <c r="BC1747" s="10"/>
      <c r="BD1747" s="10"/>
      <c r="BE1747" s="10"/>
      <c r="BF1747" s="10"/>
      <c r="BG1747" s="10"/>
      <c r="BH1747" s="10"/>
      <c r="BI1747" s="10"/>
      <c r="BJ1747" s="10"/>
      <c r="BK1747" s="10"/>
      <c r="BM1747" s="10"/>
    </row>
    <row r="1748" spans="1:65" ht="12.75">
      <c r="A1748" s="9"/>
      <c r="B1748" s="10"/>
      <c r="C1748" s="11"/>
      <c r="D1748" s="12"/>
      <c r="E1748" s="10"/>
      <c r="F1748" s="10"/>
      <c r="G1748" s="10"/>
      <c r="H1748" s="14"/>
      <c r="I1748" s="14"/>
      <c r="J1748" s="14"/>
      <c r="K1748" s="14"/>
      <c r="L1748" s="14"/>
      <c r="M1748" s="15"/>
      <c r="N1748" s="10"/>
      <c r="O1748" s="14"/>
      <c r="P1748" s="14"/>
      <c r="Q1748" s="14"/>
      <c r="R1748" s="14"/>
      <c r="S1748" s="14"/>
      <c r="T1748" s="14"/>
      <c r="U1748" s="14"/>
      <c r="V1748" s="14"/>
      <c r="W1748" s="14"/>
      <c r="X1748" s="14"/>
      <c r="Y1748" s="14"/>
      <c r="Z1748" s="14"/>
      <c r="AA1748" s="16" t="str">
        <f t="shared" ca="1" si="1639"/>
        <v>Johnson &amp; Johnson</v>
      </c>
      <c r="AB1748" s="16">
        <f t="shared" si="1639"/>
        <v>0</v>
      </c>
      <c r="AC1748" s="16">
        <f t="shared" si="1639"/>
        <v>0</v>
      </c>
      <c r="AD1748" s="16">
        <f t="shared" si="1639"/>
        <v>0</v>
      </c>
      <c r="AE1748" s="16">
        <f t="shared" si="1639"/>
        <v>0</v>
      </c>
      <c r="AF1748" s="16">
        <f t="shared" si="1639"/>
        <v>0</v>
      </c>
      <c r="AG1748" s="16">
        <f t="shared" si="1639"/>
        <v>0</v>
      </c>
      <c r="AH1748" s="16">
        <f t="shared" si="1639"/>
        <v>0</v>
      </c>
      <c r="AI1748" s="16">
        <f t="shared" si="1639"/>
        <v>0</v>
      </c>
      <c r="AJ1748" s="16">
        <f t="shared" si="1639"/>
        <v>0</v>
      </c>
      <c r="AK1748" s="16">
        <f t="shared" si="1639"/>
        <v>0</v>
      </c>
      <c r="AL1748" s="16">
        <f t="shared" si="1639"/>
        <v>0</v>
      </c>
      <c r="AM1748" s="16">
        <f t="shared" si="1639"/>
        <v>0</v>
      </c>
      <c r="AN1748" s="16">
        <f t="shared" si="1639"/>
        <v>0</v>
      </c>
      <c r="AO1748" s="16">
        <f t="shared" si="1639"/>
        <v>0</v>
      </c>
      <c r="AP1748" s="10"/>
      <c r="AQ1748" s="10"/>
      <c r="AR1748" s="10"/>
      <c r="AS1748" s="10" t="str">
        <f t="shared" ca="1" si="1624"/>
        <v>Johnson &amp; Johnson</v>
      </c>
      <c r="AT1748" s="10"/>
      <c r="AU1748" s="10"/>
      <c r="AV1748" s="10"/>
      <c r="AW1748" s="10"/>
      <c r="AX1748" s="10"/>
      <c r="AY1748" s="10"/>
      <c r="AZ1748" s="10"/>
      <c r="BA1748" s="10"/>
      <c r="BB1748" s="10"/>
      <c r="BC1748" s="10"/>
      <c r="BD1748" s="10"/>
      <c r="BE1748" s="10"/>
      <c r="BF1748" s="10"/>
      <c r="BG1748" s="10"/>
      <c r="BH1748" s="10"/>
      <c r="BI1748" s="10"/>
      <c r="BJ1748" s="10"/>
      <c r="BK1748" s="10"/>
      <c r="BM1748" s="10"/>
    </row>
    <row r="1749" spans="1:65" ht="12.75">
      <c r="A1749" s="9"/>
      <c r="B1749" s="10"/>
      <c r="C1749" s="11"/>
      <c r="D1749" s="12"/>
      <c r="E1749" s="10"/>
      <c r="F1749" s="10"/>
      <c r="G1749" s="10"/>
      <c r="H1749" s="14"/>
      <c r="I1749" s="14"/>
      <c r="J1749" s="14"/>
      <c r="K1749" s="14"/>
      <c r="L1749" s="14"/>
      <c r="M1749" s="15"/>
      <c r="N1749" s="10"/>
      <c r="O1749" s="14"/>
      <c r="P1749" s="14"/>
      <c r="Q1749" s="14"/>
      <c r="R1749" s="14"/>
      <c r="S1749" s="14"/>
      <c r="T1749" s="14"/>
      <c r="U1749" s="14"/>
      <c r="V1749" s="14"/>
      <c r="W1749" s="14"/>
      <c r="X1749" s="14"/>
      <c r="Y1749" s="14"/>
      <c r="Z1749" s="14"/>
      <c r="AA1749" s="16" t="str">
        <f t="shared" ca="1" si="1639"/>
        <v>Johnson &amp; Johnson</v>
      </c>
      <c r="AB1749" s="16">
        <f t="shared" si="1639"/>
        <v>0</v>
      </c>
      <c r="AC1749" s="16">
        <f t="shared" si="1639"/>
        <v>0</v>
      </c>
      <c r="AD1749" s="16">
        <f t="shared" si="1639"/>
        <v>0</v>
      </c>
      <c r="AE1749" s="16">
        <f t="shared" si="1639"/>
        <v>0</v>
      </c>
      <c r="AF1749" s="16">
        <f t="shared" si="1639"/>
        <v>0</v>
      </c>
      <c r="AG1749" s="16">
        <f t="shared" si="1639"/>
        <v>0</v>
      </c>
      <c r="AH1749" s="16">
        <f t="shared" si="1639"/>
        <v>0</v>
      </c>
      <c r="AI1749" s="16">
        <f t="shared" si="1639"/>
        <v>0</v>
      </c>
      <c r="AJ1749" s="16">
        <f t="shared" si="1639"/>
        <v>0</v>
      </c>
      <c r="AK1749" s="16">
        <f t="shared" si="1639"/>
        <v>0</v>
      </c>
      <c r="AL1749" s="16">
        <f t="shared" si="1639"/>
        <v>0</v>
      </c>
      <c r="AM1749" s="16">
        <f t="shared" si="1639"/>
        <v>0</v>
      </c>
      <c r="AN1749" s="16">
        <f t="shared" si="1639"/>
        <v>0</v>
      </c>
      <c r="AO1749" s="16">
        <f t="shared" si="1639"/>
        <v>0</v>
      </c>
      <c r="AP1749" s="10"/>
      <c r="AQ1749" s="10"/>
      <c r="AR1749" s="10"/>
      <c r="AS1749" s="10" t="str">
        <f t="shared" ca="1" si="1624"/>
        <v>Johnson &amp; Johnson</v>
      </c>
      <c r="AT1749" s="10"/>
      <c r="AU1749" s="10"/>
      <c r="AV1749" s="10"/>
      <c r="AW1749" s="10"/>
      <c r="AX1749" s="10"/>
      <c r="AY1749" s="10"/>
      <c r="AZ1749" s="10"/>
      <c r="BA1749" s="10"/>
      <c r="BB1749" s="10"/>
      <c r="BC1749" s="10"/>
      <c r="BD1749" s="10"/>
      <c r="BE1749" s="10"/>
      <c r="BF1749" s="10"/>
      <c r="BG1749" s="10"/>
      <c r="BH1749" s="10"/>
      <c r="BI1749" s="10"/>
      <c r="BJ1749" s="10"/>
      <c r="BK1749" s="10"/>
      <c r="BM1749" s="10"/>
    </row>
    <row r="1750" spans="1:65" ht="12.75">
      <c r="A1750" s="9"/>
      <c r="B1750" s="10"/>
      <c r="C1750" s="11"/>
      <c r="D1750" s="12"/>
      <c r="E1750" s="10"/>
      <c r="F1750" s="10"/>
      <c r="G1750" s="10"/>
      <c r="H1750" s="14"/>
      <c r="I1750" s="14"/>
      <c r="J1750" s="14"/>
      <c r="K1750" s="14"/>
      <c r="L1750" s="14"/>
      <c r="M1750" s="15"/>
      <c r="N1750" s="10"/>
      <c r="O1750" s="14"/>
      <c r="P1750" s="14"/>
      <c r="Q1750" s="14"/>
      <c r="R1750" s="14"/>
      <c r="S1750" s="14"/>
      <c r="T1750" s="14"/>
      <c r="U1750" s="14"/>
      <c r="V1750" s="14"/>
      <c r="W1750" s="14"/>
      <c r="X1750" s="14"/>
      <c r="Y1750" s="14"/>
      <c r="Z1750" s="14"/>
      <c r="AA1750" s="16" t="str">
        <f t="shared" ca="1" si="1639"/>
        <v>Johnson &amp; Johnson</v>
      </c>
      <c r="AB1750" s="16">
        <f t="shared" si="1639"/>
        <v>0</v>
      </c>
      <c r="AC1750" s="16">
        <f t="shared" si="1639"/>
        <v>0</v>
      </c>
      <c r="AD1750" s="16">
        <f t="shared" si="1639"/>
        <v>0</v>
      </c>
      <c r="AE1750" s="16">
        <f t="shared" si="1639"/>
        <v>0</v>
      </c>
      <c r="AF1750" s="16">
        <f t="shared" si="1639"/>
        <v>0</v>
      </c>
      <c r="AG1750" s="16">
        <f t="shared" si="1639"/>
        <v>0</v>
      </c>
      <c r="AH1750" s="16">
        <f t="shared" si="1639"/>
        <v>0</v>
      </c>
      <c r="AI1750" s="16">
        <f t="shared" si="1639"/>
        <v>0</v>
      </c>
      <c r="AJ1750" s="16">
        <f t="shared" si="1639"/>
        <v>0</v>
      </c>
      <c r="AK1750" s="16">
        <f t="shared" si="1639"/>
        <v>0</v>
      </c>
      <c r="AL1750" s="16">
        <f t="shared" si="1639"/>
        <v>0</v>
      </c>
      <c r="AM1750" s="16">
        <f t="shared" si="1639"/>
        <v>0</v>
      </c>
      <c r="AN1750" s="16">
        <f t="shared" si="1639"/>
        <v>0</v>
      </c>
      <c r="AO1750" s="16">
        <f t="shared" si="1639"/>
        <v>0</v>
      </c>
      <c r="AP1750" s="10"/>
      <c r="AQ1750" s="10"/>
      <c r="AR1750" s="10"/>
      <c r="AS1750" s="10" t="str">
        <f t="shared" ca="1" si="1624"/>
        <v>Johnson &amp; Johnson</v>
      </c>
      <c r="AT1750" s="10"/>
      <c r="AU1750" s="10"/>
      <c r="AV1750" s="10"/>
      <c r="AW1750" s="10"/>
      <c r="AX1750" s="10"/>
      <c r="AY1750" s="10"/>
      <c r="AZ1750" s="10"/>
      <c r="BA1750" s="10"/>
      <c r="BB1750" s="10"/>
      <c r="BC1750" s="10"/>
      <c r="BD1750" s="10"/>
      <c r="BE1750" s="10"/>
      <c r="BF1750" s="10"/>
      <c r="BG1750" s="10"/>
      <c r="BH1750" s="10"/>
      <c r="BI1750" s="10"/>
      <c r="BJ1750" s="10"/>
      <c r="BK1750" s="10"/>
      <c r="BM1750" s="10"/>
    </row>
    <row r="1751" spans="1:65" ht="12.75">
      <c r="A1751" s="9"/>
      <c r="B1751" s="10"/>
      <c r="C1751" s="11"/>
      <c r="D1751" s="12"/>
      <c r="E1751" s="10"/>
      <c r="F1751" s="10"/>
      <c r="G1751" s="10"/>
      <c r="H1751" s="14"/>
      <c r="I1751" s="14"/>
      <c r="J1751" s="14"/>
      <c r="K1751" s="14"/>
      <c r="L1751" s="14"/>
      <c r="M1751" s="15"/>
      <c r="N1751" s="10"/>
      <c r="O1751" s="14"/>
      <c r="P1751" s="14"/>
      <c r="Q1751" s="14"/>
      <c r="R1751" s="14"/>
      <c r="S1751" s="14"/>
      <c r="T1751" s="14"/>
      <c r="U1751" s="14"/>
      <c r="V1751" s="14"/>
      <c r="W1751" s="14"/>
      <c r="X1751" s="14"/>
      <c r="Y1751" s="14"/>
      <c r="Z1751" s="14"/>
      <c r="AA1751" s="16" t="str">
        <f t="shared" ca="1" si="1639"/>
        <v>Johnson &amp; Johnson</v>
      </c>
      <c r="AB1751" s="16">
        <f t="shared" si="1639"/>
        <v>0</v>
      </c>
      <c r="AC1751" s="16">
        <f t="shared" si="1639"/>
        <v>0</v>
      </c>
      <c r="AD1751" s="16">
        <f t="shared" si="1639"/>
        <v>0</v>
      </c>
      <c r="AE1751" s="16">
        <f t="shared" si="1639"/>
        <v>0</v>
      </c>
      <c r="AF1751" s="16">
        <f t="shared" si="1639"/>
        <v>0</v>
      </c>
      <c r="AG1751" s="16">
        <f t="shared" si="1639"/>
        <v>0</v>
      </c>
      <c r="AH1751" s="16">
        <f t="shared" si="1639"/>
        <v>0</v>
      </c>
      <c r="AI1751" s="16">
        <f t="shared" si="1639"/>
        <v>0</v>
      </c>
      <c r="AJ1751" s="16">
        <f t="shared" si="1639"/>
        <v>0</v>
      </c>
      <c r="AK1751" s="16">
        <f t="shared" si="1639"/>
        <v>0</v>
      </c>
      <c r="AL1751" s="16">
        <f t="shared" si="1639"/>
        <v>0</v>
      </c>
      <c r="AM1751" s="16">
        <f t="shared" si="1639"/>
        <v>0</v>
      </c>
      <c r="AN1751" s="16">
        <f t="shared" si="1639"/>
        <v>0</v>
      </c>
      <c r="AO1751" s="16">
        <f t="shared" si="1639"/>
        <v>0</v>
      </c>
      <c r="AP1751" s="10"/>
      <c r="AQ1751" s="10"/>
      <c r="AR1751" s="10"/>
      <c r="AS1751" s="10" t="str">
        <f t="shared" ca="1" si="1624"/>
        <v>Johnson &amp; Johnson</v>
      </c>
      <c r="AT1751" s="10"/>
      <c r="AU1751" s="10"/>
      <c r="AV1751" s="10"/>
      <c r="AW1751" s="10"/>
      <c r="AX1751" s="10"/>
      <c r="AY1751" s="10"/>
      <c r="AZ1751" s="10"/>
      <c r="BA1751" s="10"/>
      <c r="BB1751" s="10"/>
      <c r="BC1751" s="10"/>
      <c r="BD1751" s="10"/>
      <c r="BE1751" s="10"/>
      <c r="BF1751" s="10"/>
      <c r="BG1751" s="10"/>
      <c r="BH1751" s="10"/>
      <c r="BI1751" s="10"/>
      <c r="BJ1751" s="10"/>
      <c r="BK1751" s="10"/>
      <c r="BM1751" s="10"/>
    </row>
    <row r="1752" spans="1:65" ht="12.75">
      <c r="A1752" s="9"/>
      <c r="B1752" s="10"/>
      <c r="C1752" s="11"/>
      <c r="D1752" s="12"/>
      <c r="E1752" s="10"/>
      <c r="F1752" s="10"/>
      <c r="G1752" s="10"/>
      <c r="H1752" s="14"/>
      <c r="I1752" s="14"/>
      <c r="J1752" s="14"/>
      <c r="K1752" s="14"/>
      <c r="L1752" s="14"/>
      <c r="M1752" s="15"/>
      <c r="N1752" s="10"/>
      <c r="O1752" s="14"/>
      <c r="P1752" s="14"/>
      <c r="Q1752" s="14"/>
      <c r="R1752" s="14"/>
      <c r="S1752" s="14"/>
      <c r="T1752" s="14"/>
      <c r="U1752" s="14"/>
      <c r="V1752" s="14"/>
      <c r="W1752" s="14"/>
      <c r="X1752" s="14"/>
      <c r="Y1752" s="14"/>
      <c r="Z1752" s="14"/>
      <c r="AA1752" s="16" t="str">
        <f t="shared" ca="1" si="1639"/>
        <v>Johnson &amp; Johnson</v>
      </c>
      <c r="AB1752" s="16">
        <f t="shared" si="1639"/>
        <v>0</v>
      </c>
      <c r="AC1752" s="16">
        <f t="shared" si="1639"/>
        <v>0</v>
      </c>
      <c r="AD1752" s="16">
        <f t="shared" si="1639"/>
        <v>0</v>
      </c>
      <c r="AE1752" s="16">
        <f t="shared" si="1639"/>
        <v>0</v>
      </c>
      <c r="AF1752" s="16">
        <f t="shared" si="1639"/>
        <v>0</v>
      </c>
      <c r="AG1752" s="16">
        <f t="shared" si="1639"/>
        <v>0</v>
      </c>
      <c r="AH1752" s="16">
        <f t="shared" si="1639"/>
        <v>0</v>
      </c>
      <c r="AI1752" s="16">
        <f t="shared" si="1639"/>
        <v>0</v>
      </c>
      <c r="AJ1752" s="16">
        <f t="shared" si="1639"/>
        <v>0</v>
      </c>
      <c r="AK1752" s="16">
        <f t="shared" si="1639"/>
        <v>0</v>
      </c>
      <c r="AL1752" s="16">
        <f t="shared" si="1639"/>
        <v>0</v>
      </c>
      <c r="AM1752" s="16">
        <f t="shared" si="1639"/>
        <v>0</v>
      </c>
      <c r="AN1752" s="16">
        <f t="shared" si="1639"/>
        <v>0</v>
      </c>
      <c r="AO1752" s="16">
        <f t="shared" si="1639"/>
        <v>0</v>
      </c>
      <c r="AP1752" s="10"/>
      <c r="AQ1752" s="10"/>
      <c r="AR1752" s="10"/>
      <c r="AS1752" s="10" t="str">
        <f t="shared" ca="1" si="1624"/>
        <v>Johnson &amp; Johnson</v>
      </c>
      <c r="AT1752" s="10"/>
      <c r="AU1752" s="10"/>
      <c r="AV1752" s="10"/>
      <c r="AW1752" s="10"/>
      <c r="AX1752" s="10"/>
      <c r="AY1752" s="10"/>
      <c r="AZ1752" s="10"/>
      <c r="BA1752" s="10"/>
      <c r="BB1752" s="10"/>
      <c r="BC1752" s="10"/>
      <c r="BD1752" s="10"/>
      <c r="BE1752" s="10"/>
      <c r="BF1752" s="10"/>
      <c r="BG1752" s="10"/>
      <c r="BH1752" s="10"/>
      <c r="BI1752" s="10"/>
      <c r="BJ1752" s="10"/>
      <c r="BK1752" s="10"/>
      <c r="BM1752" s="10"/>
    </row>
    <row r="1753" spans="1:65" ht="12.75">
      <c r="A1753" s="9"/>
      <c r="B1753" s="10"/>
      <c r="C1753" s="11"/>
      <c r="D1753" s="12"/>
      <c r="E1753" s="10"/>
      <c r="F1753" s="10"/>
      <c r="G1753" s="10"/>
      <c r="H1753" s="14"/>
      <c r="I1753" s="14"/>
      <c r="J1753" s="14"/>
      <c r="K1753" s="14"/>
      <c r="L1753" s="14"/>
      <c r="M1753" s="15"/>
      <c r="N1753" s="10"/>
      <c r="O1753" s="14"/>
      <c r="P1753" s="14"/>
      <c r="Q1753" s="14"/>
      <c r="R1753" s="14"/>
      <c r="S1753" s="14"/>
      <c r="T1753" s="14"/>
      <c r="U1753" s="14"/>
      <c r="V1753" s="14"/>
      <c r="W1753" s="14"/>
      <c r="X1753" s="14"/>
      <c r="Y1753" s="14"/>
      <c r="Z1753" s="14"/>
      <c r="AA1753" s="16" t="str">
        <f t="shared" ref="AA1753:AO1768" ca="1" si="1640">AS1753</f>
        <v>Johnson &amp; Johnson</v>
      </c>
      <c r="AB1753" s="16">
        <f t="shared" si="1640"/>
        <v>0</v>
      </c>
      <c r="AC1753" s="16">
        <f t="shared" si="1640"/>
        <v>0</v>
      </c>
      <c r="AD1753" s="16">
        <f t="shared" si="1640"/>
        <v>0</v>
      </c>
      <c r="AE1753" s="16">
        <f t="shared" si="1640"/>
        <v>0</v>
      </c>
      <c r="AF1753" s="16">
        <f t="shared" si="1640"/>
        <v>0</v>
      </c>
      <c r="AG1753" s="16">
        <f t="shared" si="1640"/>
        <v>0</v>
      </c>
      <c r="AH1753" s="16">
        <f t="shared" si="1640"/>
        <v>0</v>
      </c>
      <c r="AI1753" s="16">
        <f t="shared" si="1640"/>
        <v>0</v>
      </c>
      <c r="AJ1753" s="16">
        <f t="shared" si="1640"/>
        <v>0</v>
      </c>
      <c r="AK1753" s="16">
        <f t="shared" si="1640"/>
        <v>0</v>
      </c>
      <c r="AL1753" s="16">
        <f t="shared" si="1640"/>
        <v>0</v>
      </c>
      <c r="AM1753" s="16">
        <f t="shared" si="1640"/>
        <v>0</v>
      </c>
      <c r="AN1753" s="16">
        <f t="shared" si="1640"/>
        <v>0</v>
      </c>
      <c r="AO1753" s="16">
        <f t="shared" si="1640"/>
        <v>0</v>
      </c>
      <c r="AP1753" s="10"/>
      <c r="AQ1753" s="10"/>
      <c r="AR1753" s="10"/>
      <c r="AS1753" s="10" t="str">
        <f t="shared" ca="1" si="1624"/>
        <v>Johnson &amp; Johnson</v>
      </c>
      <c r="AT1753" s="10"/>
      <c r="AU1753" s="10"/>
      <c r="AV1753" s="10"/>
      <c r="AW1753" s="10"/>
      <c r="AX1753" s="10"/>
      <c r="AY1753" s="10"/>
      <c r="AZ1753" s="10"/>
      <c r="BA1753" s="10"/>
      <c r="BB1753" s="10"/>
      <c r="BC1753" s="10"/>
      <c r="BD1753" s="10"/>
      <c r="BE1753" s="10"/>
      <c r="BF1753" s="10"/>
      <c r="BG1753" s="10"/>
      <c r="BH1753" s="10"/>
      <c r="BI1753" s="10"/>
      <c r="BJ1753" s="10"/>
      <c r="BK1753" s="10"/>
      <c r="BM1753" s="10"/>
    </row>
    <row r="1754" spans="1:65" ht="12.75">
      <c r="A1754" s="9"/>
      <c r="B1754" s="10"/>
      <c r="C1754" s="11"/>
      <c r="D1754" s="12"/>
      <c r="E1754" s="10"/>
      <c r="F1754" s="10"/>
      <c r="G1754" s="10"/>
      <c r="H1754" s="14"/>
      <c r="I1754" s="14"/>
      <c r="J1754" s="14"/>
      <c r="K1754" s="14"/>
      <c r="L1754" s="14"/>
      <c r="M1754" s="15"/>
      <c r="N1754" s="10"/>
      <c r="O1754" s="14"/>
      <c r="P1754" s="14"/>
      <c r="Q1754" s="14"/>
      <c r="R1754" s="14"/>
      <c r="S1754" s="14"/>
      <c r="T1754" s="14"/>
      <c r="U1754" s="14"/>
      <c r="V1754" s="14"/>
      <c r="W1754" s="14"/>
      <c r="X1754" s="14"/>
      <c r="Y1754" s="14"/>
      <c r="Z1754" s="14"/>
      <c r="AA1754" s="16" t="str">
        <f t="shared" ca="1" si="1640"/>
        <v>Johnson &amp; Johnson</v>
      </c>
      <c r="AB1754" s="16">
        <f t="shared" si="1640"/>
        <v>0</v>
      </c>
      <c r="AC1754" s="16">
        <f t="shared" si="1640"/>
        <v>0</v>
      </c>
      <c r="AD1754" s="16">
        <f t="shared" si="1640"/>
        <v>0</v>
      </c>
      <c r="AE1754" s="16">
        <f t="shared" si="1640"/>
        <v>0</v>
      </c>
      <c r="AF1754" s="16">
        <f t="shared" si="1640"/>
        <v>0</v>
      </c>
      <c r="AG1754" s="16">
        <f t="shared" si="1640"/>
        <v>0</v>
      </c>
      <c r="AH1754" s="16">
        <f t="shared" si="1640"/>
        <v>0</v>
      </c>
      <c r="AI1754" s="16">
        <f t="shared" si="1640"/>
        <v>0</v>
      </c>
      <c r="AJ1754" s="16">
        <f t="shared" si="1640"/>
        <v>0</v>
      </c>
      <c r="AK1754" s="16">
        <f t="shared" si="1640"/>
        <v>0</v>
      </c>
      <c r="AL1754" s="16">
        <f t="shared" si="1640"/>
        <v>0</v>
      </c>
      <c r="AM1754" s="16">
        <f t="shared" si="1640"/>
        <v>0</v>
      </c>
      <c r="AN1754" s="16">
        <f t="shared" si="1640"/>
        <v>0</v>
      </c>
      <c r="AO1754" s="16">
        <f t="shared" si="1640"/>
        <v>0</v>
      </c>
      <c r="AP1754" s="10"/>
      <c r="AQ1754" s="10"/>
      <c r="AR1754" s="10"/>
      <c r="AS1754" s="10" t="str">
        <f t="shared" ca="1" si="1624"/>
        <v>Johnson &amp; Johnson</v>
      </c>
      <c r="AT1754" s="10"/>
      <c r="AU1754" s="10"/>
      <c r="AV1754" s="10"/>
      <c r="AW1754" s="10"/>
      <c r="AX1754" s="10"/>
      <c r="AY1754" s="10"/>
      <c r="AZ1754" s="10"/>
      <c r="BA1754" s="10"/>
      <c r="BB1754" s="10"/>
      <c r="BC1754" s="10"/>
      <c r="BD1754" s="10"/>
      <c r="BE1754" s="10"/>
      <c r="BF1754" s="10"/>
      <c r="BG1754" s="10"/>
      <c r="BH1754" s="10"/>
      <c r="BI1754" s="10"/>
      <c r="BJ1754" s="10"/>
      <c r="BK1754" s="10"/>
      <c r="BM1754" s="10"/>
    </row>
    <row r="1755" spans="1:65" ht="12.75">
      <c r="A1755" s="9"/>
      <c r="B1755" s="10"/>
      <c r="C1755" s="11"/>
      <c r="D1755" s="12"/>
      <c r="E1755" s="10"/>
      <c r="F1755" s="10"/>
      <c r="G1755" s="10"/>
      <c r="H1755" s="14"/>
      <c r="I1755" s="14"/>
      <c r="J1755" s="14"/>
      <c r="K1755" s="14"/>
      <c r="L1755" s="14"/>
      <c r="M1755" s="15"/>
      <c r="N1755" s="10"/>
      <c r="O1755" s="14"/>
      <c r="P1755" s="14"/>
      <c r="Q1755" s="14"/>
      <c r="R1755" s="14"/>
      <c r="S1755" s="14"/>
      <c r="T1755" s="14"/>
      <c r="U1755" s="14"/>
      <c r="V1755" s="14"/>
      <c r="W1755" s="14"/>
      <c r="X1755" s="14"/>
      <c r="Y1755" s="14"/>
      <c r="Z1755" s="14"/>
      <c r="AA1755" s="16" t="str">
        <f t="shared" ca="1" si="1640"/>
        <v>Johnson &amp; Johnson</v>
      </c>
      <c r="AB1755" s="16">
        <f t="shared" si="1640"/>
        <v>0</v>
      </c>
      <c r="AC1755" s="16">
        <f t="shared" si="1640"/>
        <v>0</v>
      </c>
      <c r="AD1755" s="16">
        <f t="shared" si="1640"/>
        <v>0</v>
      </c>
      <c r="AE1755" s="16">
        <f t="shared" si="1640"/>
        <v>0</v>
      </c>
      <c r="AF1755" s="16">
        <f t="shared" si="1640"/>
        <v>0</v>
      </c>
      <c r="AG1755" s="16">
        <f t="shared" si="1640"/>
        <v>0</v>
      </c>
      <c r="AH1755" s="16">
        <f t="shared" si="1640"/>
        <v>0</v>
      </c>
      <c r="AI1755" s="16">
        <f t="shared" si="1640"/>
        <v>0</v>
      </c>
      <c r="AJ1755" s="16">
        <f t="shared" si="1640"/>
        <v>0</v>
      </c>
      <c r="AK1755" s="16">
        <f t="shared" si="1640"/>
        <v>0</v>
      </c>
      <c r="AL1755" s="16">
        <f t="shared" si="1640"/>
        <v>0</v>
      </c>
      <c r="AM1755" s="16">
        <f t="shared" si="1640"/>
        <v>0</v>
      </c>
      <c r="AN1755" s="16">
        <f t="shared" si="1640"/>
        <v>0</v>
      </c>
      <c r="AO1755" s="16">
        <f t="shared" si="1640"/>
        <v>0</v>
      </c>
      <c r="AP1755" s="10"/>
      <c r="AQ1755" s="10"/>
      <c r="AR1755" s="10"/>
      <c r="AS1755" s="10" t="str">
        <f t="shared" ca="1" si="1624"/>
        <v>Johnson &amp; Johnson</v>
      </c>
      <c r="AT1755" s="10"/>
      <c r="AU1755" s="10"/>
      <c r="AV1755" s="10"/>
      <c r="AW1755" s="10"/>
      <c r="AX1755" s="10"/>
      <c r="AY1755" s="10"/>
      <c r="AZ1755" s="10"/>
      <c r="BA1755" s="10"/>
      <c r="BB1755" s="10"/>
      <c r="BC1755" s="10"/>
      <c r="BD1755" s="10"/>
      <c r="BE1755" s="10"/>
      <c r="BF1755" s="10"/>
      <c r="BG1755" s="10"/>
      <c r="BH1755" s="10"/>
      <c r="BI1755" s="10"/>
      <c r="BJ1755" s="10"/>
      <c r="BK1755" s="10"/>
      <c r="BM1755" s="10"/>
    </row>
    <row r="1756" spans="1:65" ht="12.75">
      <c r="A1756" s="9"/>
      <c r="B1756" s="10"/>
      <c r="C1756" s="11"/>
      <c r="D1756" s="12"/>
      <c r="E1756" s="10"/>
      <c r="F1756" s="10"/>
      <c r="G1756" s="10"/>
      <c r="H1756" s="14"/>
      <c r="I1756" s="14"/>
      <c r="J1756" s="14"/>
      <c r="K1756" s="14"/>
      <c r="L1756" s="14"/>
      <c r="M1756" s="15"/>
      <c r="N1756" s="10"/>
      <c r="O1756" s="14"/>
      <c r="P1756" s="14"/>
      <c r="Q1756" s="14"/>
      <c r="R1756" s="14"/>
      <c r="S1756" s="14"/>
      <c r="T1756" s="14"/>
      <c r="U1756" s="14"/>
      <c r="V1756" s="14"/>
      <c r="W1756" s="14"/>
      <c r="X1756" s="14"/>
      <c r="Y1756" s="14"/>
      <c r="Z1756" s="14"/>
      <c r="AA1756" s="16" t="str">
        <f t="shared" ca="1" si="1640"/>
        <v>Johnson &amp; Johnson</v>
      </c>
      <c r="AB1756" s="16">
        <f t="shared" si="1640"/>
        <v>0</v>
      </c>
      <c r="AC1756" s="16">
        <f t="shared" si="1640"/>
        <v>0</v>
      </c>
      <c r="AD1756" s="16">
        <f t="shared" si="1640"/>
        <v>0</v>
      </c>
      <c r="AE1756" s="16">
        <f t="shared" si="1640"/>
        <v>0</v>
      </c>
      <c r="AF1756" s="16">
        <f t="shared" si="1640"/>
        <v>0</v>
      </c>
      <c r="AG1756" s="16">
        <f t="shared" si="1640"/>
        <v>0</v>
      </c>
      <c r="AH1756" s="16">
        <f t="shared" si="1640"/>
        <v>0</v>
      </c>
      <c r="AI1756" s="16">
        <f t="shared" si="1640"/>
        <v>0</v>
      </c>
      <c r="AJ1756" s="16">
        <f t="shared" si="1640"/>
        <v>0</v>
      </c>
      <c r="AK1756" s="16">
        <f t="shared" si="1640"/>
        <v>0</v>
      </c>
      <c r="AL1756" s="16">
        <f t="shared" si="1640"/>
        <v>0</v>
      </c>
      <c r="AM1756" s="16">
        <f t="shared" si="1640"/>
        <v>0</v>
      </c>
      <c r="AN1756" s="16">
        <f t="shared" si="1640"/>
        <v>0</v>
      </c>
      <c r="AO1756" s="16">
        <f t="shared" si="1640"/>
        <v>0</v>
      </c>
      <c r="AP1756" s="10"/>
      <c r="AQ1756" s="10"/>
      <c r="AR1756" s="10"/>
      <c r="AS1756" s="10" t="str">
        <f t="shared" ca="1" si="1624"/>
        <v>Johnson &amp; Johnson</v>
      </c>
      <c r="AT1756" s="10"/>
      <c r="AU1756" s="10"/>
      <c r="AV1756" s="10"/>
      <c r="AW1756" s="10"/>
      <c r="AX1756" s="10"/>
      <c r="AY1756" s="10"/>
      <c r="AZ1756" s="10"/>
      <c r="BA1756" s="10"/>
      <c r="BB1756" s="10"/>
      <c r="BC1756" s="10"/>
      <c r="BD1756" s="10"/>
      <c r="BE1756" s="10"/>
      <c r="BF1756" s="10"/>
      <c r="BG1756" s="10"/>
      <c r="BH1756" s="10"/>
      <c r="BI1756" s="10"/>
      <c r="BJ1756" s="10"/>
      <c r="BK1756" s="10"/>
      <c r="BM1756" s="10"/>
    </row>
    <row r="1757" spans="1:65" ht="12.75">
      <c r="A1757" s="9"/>
      <c r="B1757" s="10"/>
      <c r="C1757" s="11"/>
      <c r="D1757" s="12"/>
      <c r="E1757" s="10"/>
      <c r="F1757" s="10"/>
      <c r="G1757" s="10"/>
      <c r="H1757" s="14"/>
      <c r="I1757" s="14"/>
      <c r="J1757" s="14"/>
      <c r="K1757" s="14"/>
      <c r="L1757" s="14"/>
      <c r="M1757" s="15"/>
      <c r="N1757" s="10"/>
      <c r="O1757" s="14"/>
      <c r="P1757" s="14"/>
      <c r="Q1757" s="14"/>
      <c r="R1757" s="14"/>
      <c r="S1757" s="14"/>
      <c r="T1757" s="14"/>
      <c r="U1757" s="14"/>
      <c r="V1757" s="14"/>
      <c r="W1757" s="14"/>
      <c r="X1757" s="14"/>
      <c r="Y1757" s="14"/>
      <c r="Z1757" s="14"/>
      <c r="AA1757" s="16" t="str">
        <f t="shared" ca="1" si="1640"/>
        <v>Johnson &amp; Johnson</v>
      </c>
      <c r="AB1757" s="16">
        <f t="shared" si="1640"/>
        <v>0</v>
      </c>
      <c r="AC1757" s="16">
        <f t="shared" si="1640"/>
        <v>0</v>
      </c>
      <c r="AD1757" s="16">
        <f t="shared" si="1640"/>
        <v>0</v>
      </c>
      <c r="AE1757" s="16">
        <f t="shared" si="1640"/>
        <v>0</v>
      </c>
      <c r="AF1757" s="16">
        <f t="shared" si="1640"/>
        <v>0</v>
      </c>
      <c r="AG1757" s="16">
        <f t="shared" si="1640"/>
        <v>0</v>
      </c>
      <c r="AH1757" s="16">
        <f t="shared" si="1640"/>
        <v>0</v>
      </c>
      <c r="AI1757" s="16">
        <f t="shared" si="1640"/>
        <v>0</v>
      </c>
      <c r="AJ1757" s="16">
        <f t="shared" si="1640"/>
        <v>0</v>
      </c>
      <c r="AK1757" s="16">
        <f t="shared" si="1640"/>
        <v>0</v>
      </c>
      <c r="AL1757" s="16">
        <f t="shared" si="1640"/>
        <v>0</v>
      </c>
      <c r="AM1757" s="16">
        <f t="shared" si="1640"/>
        <v>0</v>
      </c>
      <c r="AN1757" s="16">
        <f t="shared" si="1640"/>
        <v>0</v>
      </c>
      <c r="AO1757" s="16">
        <f t="shared" si="1640"/>
        <v>0</v>
      </c>
      <c r="AP1757" s="10"/>
      <c r="AQ1757" s="10"/>
      <c r="AR1757" s="10"/>
      <c r="AS1757" s="10" t="str">
        <f t="shared" ca="1" si="1624"/>
        <v>Johnson &amp; Johnson</v>
      </c>
      <c r="AT1757" s="10"/>
      <c r="AU1757" s="10"/>
      <c r="AV1757" s="10"/>
      <c r="AW1757" s="10"/>
      <c r="AX1757" s="10"/>
      <c r="AY1757" s="10"/>
      <c r="AZ1757" s="10"/>
      <c r="BA1757" s="10"/>
      <c r="BB1757" s="10"/>
      <c r="BC1757" s="10"/>
      <c r="BD1757" s="10"/>
      <c r="BE1757" s="10"/>
      <c r="BF1757" s="10"/>
      <c r="BG1757" s="10"/>
      <c r="BH1757" s="10"/>
      <c r="BI1757" s="10"/>
      <c r="BJ1757" s="10"/>
      <c r="BK1757" s="10"/>
      <c r="BM1757" s="10"/>
    </row>
    <row r="1758" spans="1:65" ht="12.75">
      <c r="A1758" s="9"/>
      <c r="B1758" s="10"/>
      <c r="C1758" s="11"/>
      <c r="D1758" s="12"/>
      <c r="E1758" s="10"/>
      <c r="F1758" s="10"/>
      <c r="G1758" s="10"/>
      <c r="H1758" s="14"/>
      <c r="I1758" s="14"/>
      <c r="J1758" s="14"/>
      <c r="K1758" s="14"/>
      <c r="L1758" s="14"/>
      <c r="M1758" s="15"/>
      <c r="N1758" s="10"/>
      <c r="O1758" s="14"/>
      <c r="P1758" s="14"/>
      <c r="Q1758" s="14"/>
      <c r="R1758" s="14"/>
      <c r="S1758" s="14"/>
      <c r="T1758" s="14"/>
      <c r="U1758" s="14"/>
      <c r="V1758" s="14"/>
      <c r="W1758" s="14"/>
      <c r="X1758" s="14"/>
      <c r="Y1758" s="14"/>
      <c r="Z1758" s="14"/>
      <c r="AA1758" s="16" t="str">
        <f t="shared" ca="1" si="1640"/>
        <v>Johnson &amp; Johnson</v>
      </c>
      <c r="AB1758" s="16">
        <f t="shared" si="1640"/>
        <v>0</v>
      </c>
      <c r="AC1758" s="16">
        <f t="shared" si="1640"/>
        <v>0</v>
      </c>
      <c r="AD1758" s="16">
        <f t="shared" si="1640"/>
        <v>0</v>
      </c>
      <c r="AE1758" s="16">
        <f t="shared" si="1640"/>
        <v>0</v>
      </c>
      <c r="AF1758" s="16">
        <f t="shared" si="1640"/>
        <v>0</v>
      </c>
      <c r="AG1758" s="16">
        <f t="shared" si="1640"/>
        <v>0</v>
      </c>
      <c r="AH1758" s="16">
        <f t="shared" si="1640"/>
        <v>0</v>
      </c>
      <c r="AI1758" s="16">
        <f t="shared" si="1640"/>
        <v>0</v>
      </c>
      <c r="AJ1758" s="16">
        <f t="shared" si="1640"/>
        <v>0</v>
      </c>
      <c r="AK1758" s="16">
        <f t="shared" si="1640"/>
        <v>0</v>
      </c>
      <c r="AL1758" s="16">
        <f t="shared" si="1640"/>
        <v>0</v>
      </c>
      <c r="AM1758" s="16">
        <f t="shared" si="1640"/>
        <v>0</v>
      </c>
      <c r="AN1758" s="16">
        <f t="shared" si="1640"/>
        <v>0</v>
      </c>
      <c r="AO1758" s="16">
        <f t="shared" si="1640"/>
        <v>0</v>
      </c>
      <c r="AP1758" s="10"/>
      <c r="AQ1758" s="10"/>
      <c r="AR1758" s="10"/>
      <c r="AS1758" s="10" t="str">
        <f t="shared" ca="1" si="1624"/>
        <v>Johnson &amp; Johnson</v>
      </c>
      <c r="AT1758" s="10"/>
      <c r="AU1758" s="10"/>
      <c r="AV1758" s="10"/>
      <c r="AW1758" s="10"/>
      <c r="AX1758" s="10"/>
      <c r="AY1758" s="10"/>
      <c r="AZ1758" s="10"/>
      <c r="BA1758" s="10"/>
      <c r="BB1758" s="10"/>
      <c r="BC1758" s="10"/>
      <c r="BD1758" s="10"/>
      <c r="BE1758" s="10"/>
      <c r="BF1758" s="10"/>
      <c r="BG1758" s="10"/>
      <c r="BH1758" s="10"/>
      <c r="BI1758" s="10"/>
      <c r="BJ1758" s="10"/>
      <c r="BK1758" s="10"/>
      <c r="BM1758" s="10"/>
    </row>
    <row r="1759" spans="1:65" ht="12.75">
      <c r="A1759" s="9"/>
      <c r="B1759" s="10"/>
      <c r="C1759" s="11"/>
      <c r="D1759" s="12"/>
      <c r="E1759" s="10"/>
      <c r="F1759" s="10"/>
      <c r="G1759" s="10"/>
      <c r="H1759" s="14"/>
      <c r="I1759" s="14"/>
      <c r="J1759" s="14"/>
      <c r="K1759" s="14"/>
      <c r="L1759" s="14"/>
      <c r="M1759" s="15"/>
      <c r="N1759" s="10"/>
      <c r="O1759" s="14"/>
      <c r="P1759" s="14"/>
      <c r="Q1759" s="14"/>
      <c r="R1759" s="14"/>
      <c r="S1759" s="14"/>
      <c r="T1759" s="14"/>
      <c r="U1759" s="14"/>
      <c r="V1759" s="14"/>
      <c r="W1759" s="14"/>
      <c r="X1759" s="14"/>
      <c r="Y1759" s="14"/>
      <c r="Z1759" s="14"/>
      <c r="AA1759" s="16" t="str">
        <f t="shared" ca="1" si="1640"/>
        <v>Johnson &amp; Johnson</v>
      </c>
      <c r="AB1759" s="16">
        <f t="shared" si="1640"/>
        <v>0</v>
      </c>
      <c r="AC1759" s="16">
        <f t="shared" si="1640"/>
        <v>0</v>
      </c>
      <c r="AD1759" s="16">
        <f t="shared" si="1640"/>
        <v>0</v>
      </c>
      <c r="AE1759" s="16">
        <f t="shared" si="1640"/>
        <v>0</v>
      </c>
      <c r="AF1759" s="16">
        <f t="shared" si="1640"/>
        <v>0</v>
      </c>
      <c r="AG1759" s="16">
        <f t="shared" si="1640"/>
        <v>0</v>
      </c>
      <c r="AH1759" s="16">
        <f t="shared" si="1640"/>
        <v>0</v>
      </c>
      <c r="AI1759" s="16">
        <f t="shared" si="1640"/>
        <v>0</v>
      </c>
      <c r="AJ1759" s="16">
        <f t="shared" si="1640"/>
        <v>0</v>
      </c>
      <c r="AK1759" s="16">
        <f t="shared" si="1640"/>
        <v>0</v>
      </c>
      <c r="AL1759" s="16">
        <f t="shared" si="1640"/>
        <v>0</v>
      </c>
      <c r="AM1759" s="16">
        <f t="shared" si="1640"/>
        <v>0</v>
      </c>
      <c r="AN1759" s="16">
        <f t="shared" si="1640"/>
        <v>0</v>
      </c>
      <c r="AO1759" s="16">
        <f t="shared" si="1640"/>
        <v>0</v>
      </c>
      <c r="AP1759" s="10"/>
      <c r="AQ1759" s="10"/>
      <c r="AR1759" s="10"/>
      <c r="AS1759" s="10" t="str">
        <f t="shared" ca="1" si="1624"/>
        <v>Johnson &amp; Johnson</v>
      </c>
      <c r="AT1759" s="10"/>
      <c r="AU1759" s="10"/>
      <c r="AV1759" s="10"/>
      <c r="AW1759" s="10"/>
      <c r="AX1759" s="10"/>
      <c r="AY1759" s="10"/>
      <c r="AZ1759" s="10"/>
      <c r="BA1759" s="10"/>
      <c r="BB1759" s="10"/>
      <c r="BC1759" s="10"/>
      <c r="BD1759" s="10"/>
      <c r="BE1759" s="10"/>
      <c r="BF1759" s="10"/>
      <c r="BG1759" s="10"/>
      <c r="BH1759" s="10"/>
      <c r="BI1759" s="10"/>
      <c r="BJ1759" s="10"/>
      <c r="BK1759" s="10"/>
      <c r="BM1759" s="10"/>
    </row>
    <row r="1760" spans="1:65" ht="12.75">
      <c r="A1760" s="9"/>
      <c r="B1760" s="10"/>
      <c r="C1760" s="11"/>
      <c r="D1760" s="12"/>
      <c r="E1760" s="10"/>
      <c r="F1760" s="10"/>
      <c r="G1760" s="10"/>
      <c r="H1760" s="14"/>
      <c r="I1760" s="14"/>
      <c r="J1760" s="14"/>
      <c r="K1760" s="14"/>
      <c r="L1760" s="14"/>
      <c r="M1760" s="15"/>
      <c r="N1760" s="10"/>
      <c r="O1760" s="14"/>
      <c r="P1760" s="14"/>
      <c r="Q1760" s="14"/>
      <c r="R1760" s="14"/>
      <c r="S1760" s="14"/>
      <c r="T1760" s="14"/>
      <c r="U1760" s="14"/>
      <c r="V1760" s="14"/>
      <c r="W1760" s="14"/>
      <c r="X1760" s="14"/>
      <c r="Y1760" s="14"/>
      <c r="Z1760" s="14"/>
      <c r="AA1760" s="16" t="str">
        <f t="shared" ca="1" si="1640"/>
        <v>Johnson &amp; Johnson</v>
      </c>
      <c r="AB1760" s="16">
        <f t="shared" si="1640"/>
        <v>0</v>
      </c>
      <c r="AC1760" s="16">
        <f t="shared" si="1640"/>
        <v>0</v>
      </c>
      <c r="AD1760" s="16">
        <f t="shared" si="1640"/>
        <v>0</v>
      </c>
      <c r="AE1760" s="16">
        <f t="shared" si="1640"/>
        <v>0</v>
      </c>
      <c r="AF1760" s="16">
        <f t="shared" si="1640"/>
        <v>0</v>
      </c>
      <c r="AG1760" s="16">
        <f t="shared" si="1640"/>
        <v>0</v>
      </c>
      <c r="AH1760" s="16">
        <f t="shared" si="1640"/>
        <v>0</v>
      </c>
      <c r="AI1760" s="16">
        <f t="shared" si="1640"/>
        <v>0</v>
      </c>
      <c r="AJ1760" s="16">
        <f t="shared" si="1640"/>
        <v>0</v>
      </c>
      <c r="AK1760" s="16">
        <f t="shared" si="1640"/>
        <v>0</v>
      </c>
      <c r="AL1760" s="16">
        <f t="shared" si="1640"/>
        <v>0</v>
      </c>
      <c r="AM1760" s="16">
        <f t="shared" si="1640"/>
        <v>0</v>
      </c>
      <c r="AN1760" s="16">
        <f t="shared" si="1640"/>
        <v>0</v>
      </c>
      <c r="AO1760" s="16">
        <f t="shared" si="1640"/>
        <v>0</v>
      </c>
      <c r="AP1760" s="10"/>
      <c r="AQ1760" s="10"/>
      <c r="AR1760" s="10"/>
      <c r="AS1760" s="10" t="str">
        <f t="shared" ca="1" si="1624"/>
        <v>Johnson &amp; Johnson</v>
      </c>
      <c r="AT1760" s="10"/>
      <c r="AU1760" s="10"/>
      <c r="AV1760" s="10"/>
      <c r="AW1760" s="10"/>
      <c r="AX1760" s="10"/>
      <c r="AY1760" s="10"/>
      <c r="AZ1760" s="10"/>
      <c r="BA1760" s="10"/>
      <c r="BB1760" s="10"/>
      <c r="BC1760" s="10"/>
      <c r="BD1760" s="10"/>
      <c r="BE1760" s="10"/>
      <c r="BF1760" s="10"/>
      <c r="BG1760" s="10"/>
      <c r="BH1760" s="10"/>
      <c r="BI1760" s="10"/>
      <c r="BJ1760" s="10"/>
      <c r="BK1760" s="10"/>
      <c r="BM1760" s="10"/>
    </row>
    <row r="1761" spans="1:65" ht="12.75">
      <c r="A1761" s="9"/>
      <c r="B1761" s="10"/>
      <c r="C1761" s="11"/>
      <c r="D1761" s="12"/>
      <c r="E1761" s="10"/>
      <c r="F1761" s="10"/>
      <c r="G1761" s="10"/>
      <c r="H1761" s="14"/>
      <c r="I1761" s="14"/>
      <c r="J1761" s="14"/>
      <c r="K1761" s="14"/>
      <c r="L1761" s="14"/>
      <c r="M1761" s="15"/>
      <c r="N1761" s="10"/>
      <c r="O1761" s="14"/>
      <c r="P1761" s="14"/>
      <c r="Q1761" s="14"/>
      <c r="R1761" s="14"/>
      <c r="S1761" s="14"/>
      <c r="T1761" s="14"/>
      <c r="U1761" s="14"/>
      <c r="V1761" s="14"/>
      <c r="W1761" s="14"/>
      <c r="X1761" s="14"/>
      <c r="Y1761" s="14"/>
      <c r="Z1761" s="14"/>
      <c r="AA1761" s="16" t="str">
        <f t="shared" ca="1" si="1640"/>
        <v>Johnson &amp; Johnson</v>
      </c>
      <c r="AB1761" s="16">
        <f t="shared" si="1640"/>
        <v>0</v>
      </c>
      <c r="AC1761" s="16">
        <f t="shared" si="1640"/>
        <v>0</v>
      </c>
      <c r="AD1761" s="16">
        <f t="shared" si="1640"/>
        <v>0</v>
      </c>
      <c r="AE1761" s="16">
        <f t="shared" si="1640"/>
        <v>0</v>
      </c>
      <c r="AF1761" s="16">
        <f t="shared" si="1640"/>
        <v>0</v>
      </c>
      <c r="AG1761" s="16">
        <f t="shared" si="1640"/>
        <v>0</v>
      </c>
      <c r="AH1761" s="16">
        <f t="shared" si="1640"/>
        <v>0</v>
      </c>
      <c r="AI1761" s="16">
        <f t="shared" si="1640"/>
        <v>0</v>
      </c>
      <c r="AJ1761" s="16">
        <f t="shared" si="1640"/>
        <v>0</v>
      </c>
      <c r="AK1761" s="16">
        <f t="shared" si="1640"/>
        <v>0</v>
      </c>
      <c r="AL1761" s="16">
        <f t="shared" si="1640"/>
        <v>0</v>
      </c>
      <c r="AM1761" s="16">
        <f t="shared" si="1640"/>
        <v>0</v>
      </c>
      <c r="AN1761" s="16">
        <f t="shared" si="1640"/>
        <v>0</v>
      </c>
      <c r="AO1761" s="16">
        <f t="shared" si="1640"/>
        <v>0</v>
      </c>
      <c r="AP1761" s="10"/>
      <c r="AQ1761" s="10"/>
      <c r="AR1761" s="10"/>
      <c r="AS1761" s="10" t="str">
        <f t="shared" ca="1" si="1624"/>
        <v>Johnson &amp; Johnson</v>
      </c>
      <c r="AT1761" s="10"/>
      <c r="AU1761" s="10"/>
      <c r="AV1761" s="10"/>
      <c r="AW1761" s="10"/>
      <c r="AX1761" s="10"/>
      <c r="AY1761" s="10"/>
      <c r="AZ1761" s="10"/>
      <c r="BA1761" s="10"/>
      <c r="BB1761" s="10"/>
      <c r="BC1761" s="10"/>
      <c r="BD1761" s="10"/>
      <c r="BE1761" s="10"/>
      <c r="BF1761" s="10"/>
      <c r="BG1761" s="10"/>
      <c r="BH1761" s="10"/>
      <c r="BI1761" s="10"/>
      <c r="BJ1761" s="10"/>
      <c r="BK1761" s="10"/>
      <c r="BM1761" s="10"/>
    </row>
    <row r="1762" spans="1:65" ht="12.75">
      <c r="A1762" s="9"/>
      <c r="B1762" s="10"/>
      <c r="C1762" s="11"/>
      <c r="D1762" s="12"/>
      <c r="E1762" s="10"/>
      <c r="F1762" s="10"/>
      <c r="G1762" s="10"/>
      <c r="H1762" s="14"/>
      <c r="I1762" s="14"/>
      <c r="J1762" s="14"/>
      <c r="K1762" s="14"/>
      <c r="L1762" s="14"/>
      <c r="M1762" s="15"/>
      <c r="N1762" s="10"/>
      <c r="O1762" s="14"/>
      <c r="P1762" s="14"/>
      <c r="Q1762" s="14"/>
      <c r="R1762" s="14"/>
      <c r="S1762" s="14"/>
      <c r="T1762" s="14"/>
      <c r="U1762" s="14"/>
      <c r="V1762" s="14"/>
      <c r="W1762" s="14"/>
      <c r="X1762" s="14"/>
      <c r="Y1762" s="14"/>
      <c r="Z1762" s="14"/>
      <c r="AA1762" s="16" t="str">
        <f t="shared" ca="1" si="1640"/>
        <v>Johnson &amp; Johnson</v>
      </c>
      <c r="AB1762" s="16">
        <f t="shared" si="1640"/>
        <v>0</v>
      </c>
      <c r="AC1762" s="16">
        <f t="shared" si="1640"/>
        <v>0</v>
      </c>
      <c r="AD1762" s="16">
        <f t="shared" si="1640"/>
        <v>0</v>
      </c>
      <c r="AE1762" s="16">
        <f t="shared" si="1640"/>
        <v>0</v>
      </c>
      <c r="AF1762" s="16">
        <f t="shared" si="1640"/>
        <v>0</v>
      </c>
      <c r="AG1762" s="16">
        <f t="shared" si="1640"/>
        <v>0</v>
      </c>
      <c r="AH1762" s="16">
        <f t="shared" si="1640"/>
        <v>0</v>
      </c>
      <c r="AI1762" s="16">
        <f t="shared" si="1640"/>
        <v>0</v>
      </c>
      <c r="AJ1762" s="16">
        <f t="shared" si="1640"/>
        <v>0</v>
      </c>
      <c r="AK1762" s="16">
        <f t="shared" si="1640"/>
        <v>0</v>
      </c>
      <c r="AL1762" s="16">
        <f t="shared" si="1640"/>
        <v>0</v>
      </c>
      <c r="AM1762" s="16">
        <f t="shared" si="1640"/>
        <v>0</v>
      </c>
      <c r="AN1762" s="16">
        <f t="shared" si="1640"/>
        <v>0</v>
      </c>
      <c r="AO1762" s="16">
        <f t="shared" si="1640"/>
        <v>0</v>
      </c>
      <c r="AP1762" s="10"/>
      <c r="AQ1762" s="10"/>
      <c r="AR1762" s="10"/>
      <c r="AS1762" s="10" t="str">
        <f t="shared" ca="1" si="1624"/>
        <v>Johnson &amp; Johnson</v>
      </c>
      <c r="AT1762" s="10"/>
      <c r="AU1762" s="10"/>
      <c r="AV1762" s="10"/>
      <c r="AW1762" s="10"/>
      <c r="AX1762" s="10"/>
      <c r="AY1762" s="10"/>
      <c r="AZ1762" s="10"/>
      <c r="BA1762" s="10"/>
      <c r="BB1762" s="10"/>
      <c r="BC1762" s="10"/>
      <c r="BD1762" s="10"/>
      <c r="BE1762" s="10"/>
      <c r="BF1762" s="10"/>
      <c r="BG1762" s="10"/>
      <c r="BH1762" s="10"/>
      <c r="BI1762" s="10"/>
      <c r="BJ1762" s="10"/>
      <c r="BK1762" s="10"/>
      <c r="BM1762" s="10"/>
    </row>
    <row r="1763" spans="1:65" ht="12.75">
      <c r="A1763" s="9"/>
      <c r="B1763" s="10"/>
      <c r="C1763" s="11"/>
      <c r="D1763" s="12"/>
      <c r="E1763" s="10"/>
      <c r="F1763" s="10"/>
      <c r="G1763" s="10"/>
      <c r="H1763" s="14"/>
      <c r="I1763" s="14"/>
      <c r="J1763" s="14"/>
      <c r="K1763" s="14"/>
      <c r="L1763" s="14"/>
      <c r="M1763" s="15"/>
      <c r="N1763" s="10"/>
      <c r="O1763" s="14"/>
      <c r="P1763" s="14"/>
      <c r="Q1763" s="14"/>
      <c r="R1763" s="14"/>
      <c r="S1763" s="14"/>
      <c r="T1763" s="14"/>
      <c r="U1763" s="14"/>
      <c r="V1763" s="14"/>
      <c r="W1763" s="14"/>
      <c r="X1763" s="14"/>
      <c r="Y1763" s="14"/>
      <c r="Z1763" s="14"/>
      <c r="AA1763" s="16" t="str">
        <f t="shared" ca="1" si="1640"/>
        <v>Johnson &amp; Johnson</v>
      </c>
      <c r="AB1763" s="16">
        <f t="shared" si="1640"/>
        <v>0</v>
      </c>
      <c r="AC1763" s="16">
        <f t="shared" si="1640"/>
        <v>0</v>
      </c>
      <c r="AD1763" s="16">
        <f t="shared" si="1640"/>
        <v>0</v>
      </c>
      <c r="AE1763" s="16">
        <f t="shared" si="1640"/>
        <v>0</v>
      </c>
      <c r="AF1763" s="16">
        <f t="shared" si="1640"/>
        <v>0</v>
      </c>
      <c r="AG1763" s="16">
        <f t="shared" si="1640"/>
        <v>0</v>
      </c>
      <c r="AH1763" s="16">
        <f t="shared" si="1640"/>
        <v>0</v>
      </c>
      <c r="AI1763" s="16">
        <f t="shared" si="1640"/>
        <v>0</v>
      </c>
      <c r="AJ1763" s="16">
        <f t="shared" si="1640"/>
        <v>0</v>
      </c>
      <c r="AK1763" s="16">
        <f t="shared" si="1640"/>
        <v>0</v>
      </c>
      <c r="AL1763" s="16">
        <f t="shared" si="1640"/>
        <v>0</v>
      </c>
      <c r="AM1763" s="16">
        <f t="shared" si="1640"/>
        <v>0</v>
      </c>
      <c r="AN1763" s="16">
        <f t="shared" si="1640"/>
        <v>0</v>
      </c>
      <c r="AO1763" s="16">
        <f t="shared" si="1640"/>
        <v>0</v>
      </c>
      <c r="AP1763" s="10"/>
      <c r="AQ1763" s="10"/>
      <c r="AR1763" s="10"/>
      <c r="AS1763" s="10" t="str">
        <f t="shared" ca="1" si="1624"/>
        <v>Johnson &amp; Johnson</v>
      </c>
      <c r="AT1763" s="10"/>
      <c r="AU1763" s="10"/>
      <c r="AV1763" s="10"/>
      <c r="AW1763" s="10"/>
      <c r="AX1763" s="10"/>
      <c r="AY1763" s="10"/>
      <c r="AZ1763" s="10"/>
      <c r="BA1763" s="10"/>
      <c r="BB1763" s="10"/>
      <c r="BC1763" s="10"/>
      <c r="BD1763" s="10"/>
      <c r="BE1763" s="10"/>
      <c r="BF1763" s="10"/>
      <c r="BG1763" s="10"/>
      <c r="BH1763" s="10"/>
      <c r="BI1763" s="10"/>
      <c r="BJ1763" s="10"/>
      <c r="BK1763" s="10"/>
      <c r="BM1763" s="10"/>
    </row>
    <row r="1764" spans="1:65" ht="12.75">
      <c r="A1764" s="9"/>
      <c r="B1764" s="10"/>
      <c r="C1764" s="11"/>
      <c r="D1764" s="12"/>
      <c r="E1764" s="10"/>
      <c r="F1764" s="10"/>
      <c r="G1764" s="10"/>
      <c r="H1764" s="14"/>
      <c r="I1764" s="14"/>
      <c r="J1764" s="14"/>
      <c r="K1764" s="14"/>
      <c r="L1764" s="14"/>
      <c r="M1764" s="15"/>
      <c r="N1764" s="10"/>
      <c r="O1764" s="14"/>
      <c r="P1764" s="14"/>
      <c r="Q1764" s="14"/>
      <c r="R1764" s="14"/>
      <c r="S1764" s="14"/>
      <c r="T1764" s="14"/>
      <c r="U1764" s="14"/>
      <c r="V1764" s="14"/>
      <c r="W1764" s="14"/>
      <c r="X1764" s="14"/>
      <c r="Y1764" s="14"/>
      <c r="Z1764" s="14"/>
      <c r="AA1764" s="16" t="str">
        <f t="shared" ca="1" si="1640"/>
        <v>Johnson &amp; Johnson</v>
      </c>
      <c r="AB1764" s="16">
        <f t="shared" si="1640"/>
        <v>0</v>
      </c>
      <c r="AC1764" s="16">
        <f t="shared" si="1640"/>
        <v>0</v>
      </c>
      <c r="AD1764" s="16">
        <f t="shared" si="1640"/>
        <v>0</v>
      </c>
      <c r="AE1764" s="16">
        <f t="shared" si="1640"/>
        <v>0</v>
      </c>
      <c r="AF1764" s="16">
        <f t="shared" si="1640"/>
        <v>0</v>
      </c>
      <c r="AG1764" s="16">
        <f t="shared" si="1640"/>
        <v>0</v>
      </c>
      <c r="AH1764" s="16">
        <f t="shared" si="1640"/>
        <v>0</v>
      </c>
      <c r="AI1764" s="16">
        <f t="shared" si="1640"/>
        <v>0</v>
      </c>
      <c r="AJ1764" s="16">
        <f t="shared" si="1640"/>
        <v>0</v>
      </c>
      <c r="AK1764" s="16">
        <f t="shared" si="1640"/>
        <v>0</v>
      </c>
      <c r="AL1764" s="16">
        <f t="shared" si="1640"/>
        <v>0</v>
      </c>
      <c r="AM1764" s="16">
        <f t="shared" si="1640"/>
        <v>0</v>
      </c>
      <c r="AN1764" s="16">
        <f t="shared" si="1640"/>
        <v>0</v>
      </c>
      <c r="AO1764" s="16">
        <f t="shared" si="1640"/>
        <v>0</v>
      </c>
      <c r="AP1764" s="10"/>
      <c r="AQ1764" s="10"/>
      <c r="AR1764" s="10"/>
      <c r="AS1764" s="10" t="str">
        <f t="shared" ca="1" si="1624"/>
        <v>Johnson &amp; Johnson</v>
      </c>
      <c r="AT1764" s="10"/>
      <c r="AU1764" s="10"/>
      <c r="AV1764" s="10"/>
      <c r="AW1764" s="10"/>
      <c r="AX1764" s="10"/>
      <c r="AY1764" s="10"/>
      <c r="AZ1764" s="10"/>
      <c r="BA1764" s="10"/>
      <c r="BB1764" s="10"/>
      <c r="BC1764" s="10"/>
      <c r="BD1764" s="10"/>
      <c r="BE1764" s="10"/>
      <c r="BF1764" s="10"/>
      <c r="BG1764" s="10"/>
      <c r="BH1764" s="10"/>
      <c r="BI1764" s="10"/>
      <c r="BJ1764" s="10"/>
      <c r="BK1764" s="10"/>
      <c r="BM1764" s="10"/>
    </row>
    <row r="1765" spans="1:65" ht="12.75">
      <c r="A1765" s="9"/>
      <c r="B1765" s="10"/>
      <c r="C1765" s="11"/>
      <c r="D1765" s="12"/>
      <c r="E1765" s="10"/>
      <c r="F1765" s="10"/>
      <c r="G1765" s="10"/>
      <c r="H1765" s="14"/>
      <c r="I1765" s="14"/>
      <c r="J1765" s="14"/>
      <c r="K1765" s="14"/>
      <c r="L1765" s="14"/>
      <c r="M1765" s="15"/>
      <c r="N1765" s="10"/>
      <c r="O1765" s="14"/>
      <c r="P1765" s="14"/>
      <c r="Q1765" s="14"/>
      <c r="R1765" s="14"/>
      <c r="S1765" s="14"/>
      <c r="T1765" s="14"/>
      <c r="U1765" s="14"/>
      <c r="V1765" s="14"/>
      <c r="W1765" s="14"/>
      <c r="X1765" s="14"/>
      <c r="Y1765" s="14"/>
      <c r="Z1765" s="14"/>
      <c r="AA1765" s="16" t="str">
        <f t="shared" ca="1" si="1640"/>
        <v>Johnson &amp; Johnson</v>
      </c>
      <c r="AB1765" s="16">
        <f t="shared" si="1640"/>
        <v>0</v>
      </c>
      <c r="AC1765" s="16">
        <f t="shared" si="1640"/>
        <v>0</v>
      </c>
      <c r="AD1765" s="16">
        <f t="shared" si="1640"/>
        <v>0</v>
      </c>
      <c r="AE1765" s="16">
        <f t="shared" si="1640"/>
        <v>0</v>
      </c>
      <c r="AF1765" s="16">
        <f t="shared" si="1640"/>
        <v>0</v>
      </c>
      <c r="AG1765" s="16">
        <f t="shared" si="1640"/>
        <v>0</v>
      </c>
      <c r="AH1765" s="16">
        <f t="shared" si="1640"/>
        <v>0</v>
      </c>
      <c r="AI1765" s="16">
        <f t="shared" si="1640"/>
        <v>0</v>
      </c>
      <c r="AJ1765" s="16">
        <f t="shared" si="1640"/>
        <v>0</v>
      </c>
      <c r="AK1765" s="16">
        <f t="shared" si="1640"/>
        <v>0</v>
      </c>
      <c r="AL1765" s="16">
        <f t="shared" si="1640"/>
        <v>0</v>
      </c>
      <c r="AM1765" s="16">
        <f t="shared" si="1640"/>
        <v>0</v>
      </c>
      <c r="AN1765" s="16">
        <f t="shared" si="1640"/>
        <v>0</v>
      </c>
      <c r="AO1765" s="16">
        <f t="shared" si="1640"/>
        <v>0</v>
      </c>
      <c r="AP1765" s="10"/>
      <c r="AQ1765" s="10"/>
      <c r="AR1765" s="10"/>
      <c r="AS1765" s="10" t="str">
        <f t="shared" ca="1" si="1624"/>
        <v>Johnson &amp; Johnson</v>
      </c>
      <c r="AT1765" s="10"/>
      <c r="AU1765" s="10"/>
      <c r="AV1765" s="10"/>
      <c r="AW1765" s="10"/>
      <c r="AX1765" s="10"/>
      <c r="AY1765" s="10"/>
      <c r="AZ1765" s="10"/>
      <c r="BA1765" s="10"/>
      <c r="BB1765" s="10"/>
      <c r="BC1765" s="10"/>
      <c r="BD1765" s="10"/>
      <c r="BE1765" s="10"/>
      <c r="BF1765" s="10"/>
      <c r="BG1765" s="10"/>
      <c r="BH1765" s="10"/>
      <c r="BI1765" s="10"/>
      <c r="BJ1765" s="10"/>
      <c r="BK1765" s="10"/>
      <c r="BM1765" s="10"/>
    </row>
    <row r="1766" spans="1:65" ht="12.75">
      <c r="A1766" s="9"/>
      <c r="B1766" s="10"/>
      <c r="C1766" s="11"/>
      <c r="D1766" s="12"/>
      <c r="E1766" s="10"/>
      <c r="F1766" s="10"/>
      <c r="G1766" s="10"/>
      <c r="H1766" s="14"/>
      <c r="I1766" s="14"/>
      <c r="J1766" s="14"/>
      <c r="K1766" s="14"/>
      <c r="L1766" s="14"/>
      <c r="M1766" s="15"/>
      <c r="N1766" s="10"/>
      <c r="O1766" s="14"/>
      <c r="P1766" s="14"/>
      <c r="Q1766" s="14"/>
      <c r="R1766" s="14"/>
      <c r="S1766" s="14"/>
      <c r="T1766" s="14"/>
      <c r="U1766" s="14"/>
      <c r="V1766" s="14"/>
      <c r="W1766" s="14"/>
      <c r="X1766" s="14"/>
      <c r="Y1766" s="14"/>
      <c r="Z1766" s="14"/>
      <c r="AA1766" s="16" t="str">
        <f t="shared" ca="1" si="1640"/>
        <v>Johnson &amp; Johnson</v>
      </c>
      <c r="AB1766" s="16">
        <f t="shared" si="1640"/>
        <v>0</v>
      </c>
      <c r="AC1766" s="16">
        <f t="shared" si="1640"/>
        <v>0</v>
      </c>
      <c r="AD1766" s="16">
        <f t="shared" si="1640"/>
        <v>0</v>
      </c>
      <c r="AE1766" s="16">
        <f t="shared" si="1640"/>
        <v>0</v>
      </c>
      <c r="AF1766" s="16">
        <f t="shared" si="1640"/>
        <v>0</v>
      </c>
      <c r="AG1766" s="16">
        <f t="shared" si="1640"/>
        <v>0</v>
      </c>
      <c r="AH1766" s="16">
        <f t="shared" si="1640"/>
        <v>0</v>
      </c>
      <c r="AI1766" s="16">
        <f t="shared" si="1640"/>
        <v>0</v>
      </c>
      <c r="AJ1766" s="16">
        <f t="shared" si="1640"/>
        <v>0</v>
      </c>
      <c r="AK1766" s="16">
        <f t="shared" si="1640"/>
        <v>0</v>
      </c>
      <c r="AL1766" s="16">
        <f t="shared" si="1640"/>
        <v>0</v>
      </c>
      <c r="AM1766" s="16">
        <f t="shared" si="1640"/>
        <v>0</v>
      </c>
      <c r="AN1766" s="16">
        <f t="shared" si="1640"/>
        <v>0</v>
      </c>
      <c r="AO1766" s="16">
        <f t="shared" si="1640"/>
        <v>0</v>
      </c>
      <c r="AP1766" s="10"/>
      <c r="AQ1766" s="10"/>
      <c r="AR1766" s="10"/>
      <c r="AS1766" s="10" t="str">
        <f t="shared" ca="1" si="1624"/>
        <v>Johnson &amp; Johnson</v>
      </c>
      <c r="AT1766" s="10"/>
      <c r="AU1766" s="10"/>
      <c r="AV1766" s="10"/>
      <c r="AW1766" s="10"/>
      <c r="AX1766" s="10"/>
      <c r="AY1766" s="10"/>
      <c r="AZ1766" s="10"/>
      <c r="BA1766" s="10"/>
      <c r="BB1766" s="10"/>
      <c r="BC1766" s="10"/>
      <c r="BD1766" s="10"/>
      <c r="BE1766" s="10"/>
      <c r="BF1766" s="10"/>
      <c r="BG1766" s="10"/>
      <c r="BH1766" s="10"/>
      <c r="BI1766" s="10"/>
      <c r="BJ1766" s="10"/>
      <c r="BK1766" s="10"/>
      <c r="BM1766" s="10"/>
    </row>
    <row r="1767" spans="1:65" ht="12.75">
      <c r="A1767" s="9"/>
      <c r="B1767" s="10"/>
      <c r="C1767" s="11"/>
      <c r="D1767" s="12"/>
      <c r="E1767" s="10"/>
      <c r="F1767" s="10"/>
      <c r="G1767" s="10"/>
      <c r="H1767" s="14"/>
      <c r="I1767" s="14"/>
      <c r="J1767" s="14"/>
      <c r="K1767" s="14"/>
      <c r="L1767" s="14"/>
      <c r="M1767" s="15"/>
      <c r="N1767" s="10"/>
      <c r="O1767" s="14"/>
      <c r="P1767" s="14"/>
      <c r="Q1767" s="14"/>
      <c r="R1767" s="14"/>
      <c r="S1767" s="14"/>
      <c r="T1767" s="14"/>
      <c r="U1767" s="14"/>
      <c r="V1767" s="14"/>
      <c r="W1767" s="14"/>
      <c r="X1767" s="14"/>
      <c r="Y1767" s="14"/>
      <c r="Z1767" s="14"/>
      <c r="AA1767" s="16" t="str">
        <f t="shared" ca="1" si="1640"/>
        <v>Johnson &amp; Johnson</v>
      </c>
      <c r="AB1767" s="16">
        <f t="shared" si="1640"/>
        <v>0</v>
      </c>
      <c r="AC1767" s="16">
        <f t="shared" si="1640"/>
        <v>0</v>
      </c>
      <c r="AD1767" s="16">
        <f t="shared" si="1640"/>
        <v>0</v>
      </c>
      <c r="AE1767" s="16">
        <f t="shared" si="1640"/>
        <v>0</v>
      </c>
      <c r="AF1767" s="16">
        <f t="shared" si="1640"/>
        <v>0</v>
      </c>
      <c r="AG1767" s="16">
        <f t="shared" si="1640"/>
        <v>0</v>
      </c>
      <c r="AH1767" s="16">
        <f t="shared" si="1640"/>
        <v>0</v>
      </c>
      <c r="AI1767" s="16">
        <f t="shared" si="1640"/>
        <v>0</v>
      </c>
      <c r="AJ1767" s="16">
        <f t="shared" si="1640"/>
        <v>0</v>
      </c>
      <c r="AK1767" s="16">
        <f t="shared" si="1640"/>
        <v>0</v>
      </c>
      <c r="AL1767" s="16">
        <f t="shared" si="1640"/>
        <v>0</v>
      </c>
      <c r="AM1767" s="16">
        <f t="shared" si="1640"/>
        <v>0</v>
      </c>
      <c r="AN1767" s="16">
        <f t="shared" si="1640"/>
        <v>0</v>
      </c>
      <c r="AO1767" s="16">
        <f t="shared" si="1640"/>
        <v>0</v>
      </c>
      <c r="AP1767" s="10"/>
      <c r="AQ1767" s="10"/>
      <c r="AR1767" s="10"/>
      <c r="AS1767" s="10" t="str">
        <f t="shared" ref="AS1767:AS2021" ca="1" si="1641">IFERROR(__xludf.DUMMYFUNCTION("split(F1257,"","",true,true)"),"Johnson &amp; Johnson")</f>
        <v>Johnson &amp; Johnson</v>
      </c>
      <c r="AT1767" s="10"/>
      <c r="AU1767" s="10"/>
      <c r="AV1767" s="10"/>
      <c r="AW1767" s="10"/>
      <c r="AX1767" s="10"/>
      <c r="AY1767" s="10"/>
      <c r="AZ1767" s="10"/>
      <c r="BA1767" s="10"/>
      <c r="BB1767" s="10"/>
      <c r="BC1767" s="10"/>
      <c r="BD1767" s="10"/>
      <c r="BE1767" s="10"/>
      <c r="BF1767" s="10"/>
      <c r="BG1767" s="10"/>
      <c r="BH1767" s="10"/>
      <c r="BI1767" s="10"/>
      <c r="BJ1767" s="10"/>
      <c r="BK1767" s="10"/>
      <c r="BM1767" s="10"/>
    </row>
    <row r="1768" spans="1:65" ht="12.75">
      <c r="A1768" s="9"/>
      <c r="B1768" s="10"/>
      <c r="C1768" s="11"/>
      <c r="D1768" s="12"/>
      <c r="E1768" s="10"/>
      <c r="F1768" s="10"/>
      <c r="G1768" s="10"/>
      <c r="H1768" s="14"/>
      <c r="I1768" s="14"/>
      <c r="J1768" s="14"/>
      <c r="K1768" s="14"/>
      <c r="L1768" s="14"/>
      <c r="M1768" s="15"/>
      <c r="N1768" s="10"/>
      <c r="O1768" s="14"/>
      <c r="P1768" s="14"/>
      <c r="Q1768" s="14"/>
      <c r="R1768" s="14"/>
      <c r="S1768" s="14"/>
      <c r="T1768" s="14"/>
      <c r="U1768" s="14"/>
      <c r="V1768" s="14"/>
      <c r="W1768" s="14"/>
      <c r="X1768" s="14"/>
      <c r="Y1768" s="14"/>
      <c r="Z1768" s="14"/>
      <c r="AA1768" s="16" t="str">
        <f t="shared" ca="1" si="1640"/>
        <v>Johnson &amp; Johnson</v>
      </c>
      <c r="AB1768" s="16">
        <f t="shared" si="1640"/>
        <v>0</v>
      </c>
      <c r="AC1768" s="16">
        <f t="shared" si="1640"/>
        <v>0</v>
      </c>
      <c r="AD1768" s="16">
        <f t="shared" si="1640"/>
        <v>0</v>
      </c>
      <c r="AE1768" s="16">
        <f t="shared" si="1640"/>
        <v>0</v>
      </c>
      <c r="AF1768" s="16">
        <f t="shared" si="1640"/>
        <v>0</v>
      </c>
      <c r="AG1768" s="16">
        <f t="shared" si="1640"/>
        <v>0</v>
      </c>
      <c r="AH1768" s="16">
        <f t="shared" si="1640"/>
        <v>0</v>
      </c>
      <c r="AI1768" s="16">
        <f t="shared" si="1640"/>
        <v>0</v>
      </c>
      <c r="AJ1768" s="16">
        <f t="shared" si="1640"/>
        <v>0</v>
      </c>
      <c r="AK1768" s="16">
        <f t="shared" si="1640"/>
        <v>0</v>
      </c>
      <c r="AL1768" s="16">
        <f t="shared" si="1640"/>
        <v>0</v>
      </c>
      <c r="AM1768" s="16">
        <f t="shared" si="1640"/>
        <v>0</v>
      </c>
      <c r="AN1768" s="16">
        <f t="shared" si="1640"/>
        <v>0</v>
      </c>
      <c r="AO1768" s="16">
        <f t="shared" si="1640"/>
        <v>0</v>
      </c>
      <c r="AP1768" s="10"/>
      <c r="AQ1768" s="10"/>
      <c r="AR1768" s="10"/>
      <c r="AS1768" s="10" t="str">
        <f t="shared" ca="1" si="1641"/>
        <v>Johnson &amp; Johnson</v>
      </c>
      <c r="AT1768" s="10"/>
      <c r="AU1768" s="10"/>
      <c r="AV1768" s="10"/>
      <c r="AW1768" s="10"/>
      <c r="AX1768" s="10"/>
      <c r="AY1768" s="10"/>
      <c r="AZ1768" s="10"/>
      <c r="BA1768" s="10"/>
      <c r="BB1768" s="10"/>
      <c r="BC1768" s="10"/>
      <c r="BD1768" s="10"/>
      <c r="BE1768" s="10"/>
      <c r="BF1768" s="10"/>
      <c r="BG1768" s="10"/>
      <c r="BH1768" s="10"/>
      <c r="BI1768" s="10"/>
      <c r="BJ1768" s="10"/>
      <c r="BK1768" s="10"/>
      <c r="BM1768" s="10"/>
    </row>
    <row r="1769" spans="1:65" ht="12.75">
      <c r="A1769" s="9"/>
      <c r="B1769" s="10"/>
      <c r="C1769" s="11"/>
      <c r="D1769" s="12"/>
      <c r="E1769" s="10"/>
      <c r="F1769" s="10"/>
      <c r="G1769" s="10"/>
      <c r="H1769" s="14"/>
      <c r="I1769" s="14"/>
      <c r="J1769" s="14"/>
      <c r="K1769" s="14"/>
      <c r="L1769" s="14"/>
      <c r="M1769" s="15"/>
      <c r="N1769" s="10"/>
      <c r="O1769" s="14"/>
      <c r="P1769" s="14"/>
      <c r="Q1769" s="14"/>
      <c r="R1769" s="14"/>
      <c r="S1769" s="14"/>
      <c r="T1769" s="14"/>
      <c r="U1769" s="14"/>
      <c r="V1769" s="14"/>
      <c r="W1769" s="14"/>
      <c r="X1769" s="14"/>
      <c r="Y1769" s="14"/>
      <c r="Z1769" s="14"/>
      <c r="AA1769" s="16" t="str">
        <f t="shared" ref="AA1769:AO1784" ca="1" si="1642">AS1769</f>
        <v>Johnson &amp; Johnson</v>
      </c>
      <c r="AB1769" s="16">
        <f t="shared" si="1642"/>
        <v>0</v>
      </c>
      <c r="AC1769" s="16">
        <f t="shared" si="1642"/>
        <v>0</v>
      </c>
      <c r="AD1769" s="16">
        <f t="shared" si="1642"/>
        <v>0</v>
      </c>
      <c r="AE1769" s="16">
        <f t="shared" si="1642"/>
        <v>0</v>
      </c>
      <c r="AF1769" s="16">
        <f t="shared" si="1642"/>
        <v>0</v>
      </c>
      <c r="AG1769" s="16">
        <f t="shared" si="1642"/>
        <v>0</v>
      </c>
      <c r="AH1769" s="16">
        <f t="shared" si="1642"/>
        <v>0</v>
      </c>
      <c r="AI1769" s="16">
        <f t="shared" si="1642"/>
        <v>0</v>
      </c>
      <c r="AJ1769" s="16">
        <f t="shared" si="1642"/>
        <v>0</v>
      </c>
      <c r="AK1769" s="16">
        <f t="shared" si="1642"/>
        <v>0</v>
      </c>
      <c r="AL1769" s="16">
        <f t="shared" si="1642"/>
        <v>0</v>
      </c>
      <c r="AM1769" s="16">
        <f t="shared" si="1642"/>
        <v>0</v>
      </c>
      <c r="AN1769" s="16">
        <f t="shared" si="1642"/>
        <v>0</v>
      </c>
      <c r="AO1769" s="16">
        <f t="shared" si="1642"/>
        <v>0</v>
      </c>
      <c r="AP1769" s="10"/>
      <c r="AQ1769" s="10"/>
      <c r="AR1769" s="10"/>
      <c r="AS1769" s="10" t="str">
        <f t="shared" ca="1" si="1641"/>
        <v>Johnson &amp; Johnson</v>
      </c>
      <c r="AT1769" s="10"/>
      <c r="AU1769" s="10"/>
      <c r="AV1769" s="10"/>
      <c r="AW1769" s="10"/>
      <c r="AX1769" s="10"/>
      <c r="AY1769" s="10"/>
      <c r="AZ1769" s="10"/>
      <c r="BA1769" s="10"/>
      <c r="BB1769" s="10"/>
      <c r="BC1769" s="10"/>
      <c r="BD1769" s="10"/>
      <c r="BE1769" s="10"/>
      <c r="BF1769" s="10"/>
      <c r="BG1769" s="10"/>
      <c r="BH1769" s="10"/>
      <c r="BI1769" s="10"/>
      <c r="BJ1769" s="10"/>
      <c r="BK1769" s="10"/>
      <c r="BM1769" s="10"/>
    </row>
    <row r="1770" spans="1:65" ht="12.75">
      <c r="A1770" s="9"/>
      <c r="B1770" s="10"/>
      <c r="C1770" s="11"/>
      <c r="D1770" s="12"/>
      <c r="E1770" s="10"/>
      <c r="F1770" s="10"/>
      <c r="G1770" s="10"/>
      <c r="H1770" s="14"/>
      <c r="I1770" s="14"/>
      <c r="J1770" s="14"/>
      <c r="K1770" s="14"/>
      <c r="L1770" s="14"/>
      <c r="M1770" s="15"/>
      <c r="N1770" s="10"/>
      <c r="O1770" s="14"/>
      <c r="P1770" s="14"/>
      <c r="Q1770" s="14"/>
      <c r="R1770" s="14"/>
      <c r="S1770" s="14"/>
      <c r="T1770" s="14"/>
      <c r="U1770" s="14"/>
      <c r="V1770" s="14"/>
      <c r="W1770" s="14"/>
      <c r="X1770" s="14"/>
      <c r="Y1770" s="14"/>
      <c r="Z1770" s="14"/>
      <c r="AA1770" s="16" t="str">
        <f t="shared" ca="1" si="1642"/>
        <v>Johnson &amp; Johnson</v>
      </c>
      <c r="AB1770" s="16">
        <f t="shared" si="1642"/>
        <v>0</v>
      </c>
      <c r="AC1770" s="16">
        <f t="shared" si="1642"/>
        <v>0</v>
      </c>
      <c r="AD1770" s="16">
        <f t="shared" si="1642"/>
        <v>0</v>
      </c>
      <c r="AE1770" s="16">
        <f t="shared" si="1642"/>
        <v>0</v>
      </c>
      <c r="AF1770" s="16">
        <f t="shared" si="1642"/>
        <v>0</v>
      </c>
      <c r="AG1770" s="16">
        <f t="shared" si="1642"/>
        <v>0</v>
      </c>
      <c r="AH1770" s="16">
        <f t="shared" si="1642"/>
        <v>0</v>
      </c>
      <c r="AI1770" s="16">
        <f t="shared" si="1642"/>
        <v>0</v>
      </c>
      <c r="AJ1770" s="16">
        <f t="shared" si="1642"/>
        <v>0</v>
      </c>
      <c r="AK1770" s="16">
        <f t="shared" si="1642"/>
        <v>0</v>
      </c>
      <c r="AL1770" s="16">
        <f t="shared" si="1642"/>
        <v>0</v>
      </c>
      <c r="AM1770" s="16">
        <f t="shared" si="1642"/>
        <v>0</v>
      </c>
      <c r="AN1770" s="16">
        <f t="shared" si="1642"/>
        <v>0</v>
      </c>
      <c r="AO1770" s="16">
        <f t="shared" si="1642"/>
        <v>0</v>
      </c>
      <c r="AP1770" s="10"/>
      <c r="AQ1770" s="10"/>
      <c r="AR1770" s="10"/>
      <c r="AS1770" s="10" t="str">
        <f t="shared" ca="1" si="1641"/>
        <v>Johnson &amp; Johnson</v>
      </c>
      <c r="AT1770" s="10"/>
      <c r="AU1770" s="10"/>
      <c r="AV1770" s="10"/>
      <c r="AW1770" s="10"/>
      <c r="AX1770" s="10"/>
      <c r="AY1770" s="10"/>
      <c r="AZ1770" s="10"/>
      <c r="BA1770" s="10"/>
      <c r="BB1770" s="10"/>
      <c r="BC1770" s="10"/>
      <c r="BD1770" s="10"/>
      <c r="BE1770" s="10"/>
      <c r="BF1770" s="10"/>
      <c r="BG1770" s="10"/>
      <c r="BH1770" s="10"/>
      <c r="BI1770" s="10"/>
      <c r="BJ1770" s="10"/>
      <c r="BK1770" s="10"/>
      <c r="BM1770" s="10"/>
    </row>
    <row r="1771" spans="1:65" ht="12.75">
      <c r="A1771" s="9"/>
      <c r="B1771" s="10"/>
      <c r="C1771" s="11"/>
      <c r="D1771" s="12"/>
      <c r="E1771" s="10"/>
      <c r="F1771" s="10"/>
      <c r="G1771" s="10"/>
      <c r="H1771" s="14"/>
      <c r="I1771" s="14"/>
      <c r="J1771" s="14"/>
      <c r="K1771" s="14"/>
      <c r="L1771" s="14"/>
      <c r="M1771" s="15"/>
      <c r="N1771" s="10"/>
      <c r="O1771" s="14"/>
      <c r="P1771" s="14"/>
      <c r="Q1771" s="14"/>
      <c r="R1771" s="14"/>
      <c r="S1771" s="14"/>
      <c r="T1771" s="14"/>
      <c r="U1771" s="14"/>
      <c r="V1771" s="14"/>
      <c r="W1771" s="14"/>
      <c r="X1771" s="14"/>
      <c r="Y1771" s="14"/>
      <c r="Z1771" s="14"/>
      <c r="AA1771" s="16" t="str">
        <f t="shared" ca="1" si="1642"/>
        <v>Johnson &amp; Johnson</v>
      </c>
      <c r="AB1771" s="16">
        <f t="shared" si="1642"/>
        <v>0</v>
      </c>
      <c r="AC1771" s="16">
        <f t="shared" si="1642"/>
        <v>0</v>
      </c>
      <c r="AD1771" s="16">
        <f t="shared" si="1642"/>
        <v>0</v>
      </c>
      <c r="AE1771" s="16">
        <f t="shared" si="1642"/>
        <v>0</v>
      </c>
      <c r="AF1771" s="16">
        <f t="shared" si="1642"/>
        <v>0</v>
      </c>
      <c r="AG1771" s="16">
        <f t="shared" si="1642"/>
        <v>0</v>
      </c>
      <c r="AH1771" s="16">
        <f t="shared" si="1642"/>
        <v>0</v>
      </c>
      <c r="AI1771" s="16">
        <f t="shared" si="1642"/>
        <v>0</v>
      </c>
      <c r="AJ1771" s="16">
        <f t="shared" si="1642"/>
        <v>0</v>
      </c>
      <c r="AK1771" s="16">
        <f t="shared" si="1642"/>
        <v>0</v>
      </c>
      <c r="AL1771" s="16">
        <f t="shared" si="1642"/>
        <v>0</v>
      </c>
      <c r="AM1771" s="16">
        <f t="shared" si="1642"/>
        <v>0</v>
      </c>
      <c r="AN1771" s="16">
        <f t="shared" si="1642"/>
        <v>0</v>
      </c>
      <c r="AO1771" s="16">
        <f t="shared" si="1642"/>
        <v>0</v>
      </c>
      <c r="AP1771" s="10"/>
      <c r="AQ1771" s="10"/>
      <c r="AR1771" s="10"/>
      <c r="AS1771" s="10" t="str">
        <f t="shared" ca="1" si="1641"/>
        <v>Johnson &amp; Johnson</v>
      </c>
      <c r="AT1771" s="10"/>
      <c r="AU1771" s="10"/>
      <c r="AV1771" s="10"/>
      <c r="AW1771" s="10"/>
      <c r="AX1771" s="10"/>
      <c r="AY1771" s="10"/>
      <c r="AZ1771" s="10"/>
      <c r="BA1771" s="10"/>
      <c r="BB1771" s="10"/>
      <c r="BC1771" s="10"/>
      <c r="BD1771" s="10"/>
      <c r="BE1771" s="10"/>
      <c r="BF1771" s="10"/>
      <c r="BG1771" s="10"/>
      <c r="BH1771" s="10"/>
      <c r="BI1771" s="10"/>
      <c r="BJ1771" s="10"/>
      <c r="BK1771" s="10"/>
      <c r="BM1771" s="10"/>
    </row>
    <row r="1772" spans="1:65" ht="12.75">
      <c r="A1772" s="9"/>
      <c r="B1772" s="10"/>
      <c r="C1772" s="11"/>
      <c r="D1772" s="12"/>
      <c r="E1772" s="10"/>
      <c r="F1772" s="10"/>
      <c r="G1772" s="10"/>
      <c r="H1772" s="14"/>
      <c r="I1772" s="14"/>
      <c r="J1772" s="14"/>
      <c r="K1772" s="14"/>
      <c r="L1772" s="14"/>
      <c r="M1772" s="15"/>
      <c r="N1772" s="10"/>
      <c r="O1772" s="14"/>
      <c r="P1772" s="14"/>
      <c r="Q1772" s="14"/>
      <c r="R1772" s="14"/>
      <c r="S1772" s="14"/>
      <c r="T1772" s="14"/>
      <c r="U1772" s="14"/>
      <c r="V1772" s="14"/>
      <c r="W1772" s="14"/>
      <c r="X1772" s="14"/>
      <c r="Y1772" s="14"/>
      <c r="Z1772" s="14"/>
      <c r="AA1772" s="16" t="str">
        <f t="shared" ca="1" si="1642"/>
        <v>Johnson &amp; Johnson</v>
      </c>
      <c r="AB1772" s="16">
        <f t="shared" si="1642"/>
        <v>0</v>
      </c>
      <c r="AC1772" s="16">
        <f t="shared" si="1642"/>
        <v>0</v>
      </c>
      <c r="AD1772" s="16">
        <f t="shared" si="1642"/>
        <v>0</v>
      </c>
      <c r="AE1772" s="16">
        <f t="shared" si="1642"/>
        <v>0</v>
      </c>
      <c r="AF1772" s="16">
        <f t="shared" si="1642"/>
        <v>0</v>
      </c>
      <c r="AG1772" s="16">
        <f t="shared" si="1642"/>
        <v>0</v>
      </c>
      <c r="AH1772" s="16">
        <f t="shared" si="1642"/>
        <v>0</v>
      </c>
      <c r="AI1772" s="16">
        <f t="shared" si="1642"/>
        <v>0</v>
      </c>
      <c r="AJ1772" s="16">
        <f t="shared" si="1642"/>
        <v>0</v>
      </c>
      <c r="AK1772" s="16">
        <f t="shared" si="1642"/>
        <v>0</v>
      </c>
      <c r="AL1772" s="16">
        <f t="shared" si="1642"/>
        <v>0</v>
      </c>
      <c r="AM1772" s="16">
        <f t="shared" si="1642"/>
        <v>0</v>
      </c>
      <c r="AN1772" s="16">
        <f t="shared" si="1642"/>
        <v>0</v>
      </c>
      <c r="AO1772" s="16">
        <f t="shared" si="1642"/>
        <v>0</v>
      </c>
      <c r="AP1772" s="10"/>
      <c r="AQ1772" s="10"/>
      <c r="AR1772" s="10"/>
      <c r="AS1772" s="10" t="str">
        <f t="shared" ca="1" si="1641"/>
        <v>Johnson &amp; Johnson</v>
      </c>
      <c r="AT1772" s="10"/>
      <c r="AU1772" s="10"/>
      <c r="AV1772" s="10"/>
      <c r="AW1772" s="10"/>
      <c r="AX1772" s="10"/>
      <c r="AY1772" s="10"/>
      <c r="AZ1772" s="10"/>
      <c r="BA1772" s="10"/>
      <c r="BB1772" s="10"/>
      <c r="BC1772" s="10"/>
      <c r="BD1772" s="10"/>
      <c r="BE1772" s="10"/>
      <c r="BF1772" s="10"/>
      <c r="BG1772" s="10"/>
      <c r="BH1772" s="10"/>
      <c r="BI1772" s="10"/>
      <c r="BJ1772" s="10"/>
      <c r="BK1772" s="10"/>
      <c r="BM1772" s="10"/>
    </row>
    <row r="1773" spans="1:65" ht="12.75">
      <c r="A1773" s="9"/>
      <c r="B1773" s="10"/>
      <c r="C1773" s="11"/>
      <c r="D1773" s="12"/>
      <c r="E1773" s="10"/>
      <c r="F1773" s="10"/>
      <c r="G1773" s="10"/>
      <c r="H1773" s="14"/>
      <c r="I1773" s="14"/>
      <c r="J1773" s="14"/>
      <c r="K1773" s="14"/>
      <c r="L1773" s="14"/>
      <c r="M1773" s="15"/>
      <c r="N1773" s="10"/>
      <c r="O1773" s="14"/>
      <c r="P1773" s="14"/>
      <c r="Q1773" s="14"/>
      <c r="R1773" s="14"/>
      <c r="S1773" s="14"/>
      <c r="T1773" s="14"/>
      <c r="U1773" s="14"/>
      <c r="V1773" s="14"/>
      <c r="W1773" s="14"/>
      <c r="X1773" s="14"/>
      <c r="Y1773" s="14"/>
      <c r="Z1773" s="14"/>
      <c r="AA1773" s="16" t="str">
        <f t="shared" ca="1" si="1642"/>
        <v>Johnson &amp; Johnson</v>
      </c>
      <c r="AB1773" s="16">
        <f t="shared" si="1642"/>
        <v>0</v>
      </c>
      <c r="AC1773" s="16">
        <f t="shared" si="1642"/>
        <v>0</v>
      </c>
      <c r="AD1773" s="16">
        <f t="shared" si="1642"/>
        <v>0</v>
      </c>
      <c r="AE1773" s="16">
        <f t="shared" si="1642"/>
        <v>0</v>
      </c>
      <c r="AF1773" s="16">
        <f t="shared" si="1642"/>
        <v>0</v>
      </c>
      <c r="AG1773" s="16">
        <f t="shared" si="1642"/>
        <v>0</v>
      </c>
      <c r="AH1773" s="16">
        <f t="shared" si="1642"/>
        <v>0</v>
      </c>
      <c r="AI1773" s="16">
        <f t="shared" si="1642"/>
        <v>0</v>
      </c>
      <c r="AJ1773" s="16">
        <f t="shared" si="1642"/>
        <v>0</v>
      </c>
      <c r="AK1773" s="16">
        <f t="shared" si="1642"/>
        <v>0</v>
      </c>
      <c r="AL1773" s="16">
        <f t="shared" si="1642"/>
        <v>0</v>
      </c>
      <c r="AM1773" s="16">
        <f t="shared" si="1642"/>
        <v>0</v>
      </c>
      <c r="AN1773" s="16">
        <f t="shared" si="1642"/>
        <v>0</v>
      </c>
      <c r="AO1773" s="16">
        <f t="shared" si="1642"/>
        <v>0</v>
      </c>
      <c r="AP1773" s="10"/>
      <c r="AQ1773" s="10"/>
      <c r="AR1773" s="10"/>
      <c r="AS1773" s="10" t="str">
        <f t="shared" ca="1" si="1641"/>
        <v>Johnson &amp; Johnson</v>
      </c>
      <c r="AT1773" s="10"/>
      <c r="AU1773" s="10"/>
      <c r="AV1773" s="10"/>
      <c r="AW1773" s="10"/>
      <c r="AX1773" s="10"/>
      <c r="AY1773" s="10"/>
      <c r="AZ1773" s="10"/>
      <c r="BA1773" s="10"/>
      <c r="BB1773" s="10"/>
      <c r="BC1773" s="10"/>
      <c r="BD1773" s="10"/>
      <c r="BE1773" s="10"/>
      <c r="BF1773" s="10"/>
      <c r="BG1773" s="10"/>
      <c r="BH1773" s="10"/>
      <c r="BI1773" s="10"/>
      <c r="BJ1773" s="10"/>
      <c r="BK1773" s="10"/>
      <c r="BM1773" s="10"/>
    </row>
    <row r="1774" spans="1:65" ht="12.75">
      <c r="A1774" s="9"/>
      <c r="B1774" s="10"/>
      <c r="C1774" s="11"/>
      <c r="D1774" s="12"/>
      <c r="E1774" s="10"/>
      <c r="F1774" s="10"/>
      <c r="G1774" s="10"/>
      <c r="H1774" s="14"/>
      <c r="I1774" s="14"/>
      <c r="J1774" s="14"/>
      <c r="K1774" s="14"/>
      <c r="L1774" s="14"/>
      <c r="M1774" s="15"/>
      <c r="N1774" s="10"/>
      <c r="O1774" s="14"/>
      <c r="P1774" s="14"/>
      <c r="Q1774" s="14"/>
      <c r="R1774" s="14"/>
      <c r="S1774" s="14"/>
      <c r="T1774" s="14"/>
      <c r="U1774" s="14"/>
      <c r="V1774" s="14"/>
      <c r="W1774" s="14"/>
      <c r="X1774" s="14"/>
      <c r="Y1774" s="14"/>
      <c r="Z1774" s="14"/>
      <c r="AA1774" s="16" t="str">
        <f t="shared" ca="1" si="1642"/>
        <v>Johnson &amp; Johnson</v>
      </c>
      <c r="AB1774" s="16">
        <f t="shared" si="1642"/>
        <v>0</v>
      </c>
      <c r="AC1774" s="16">
        <f t="shared" si="1642"/>
        <v>0</v>
      </c>
      <c r="AD1774" s="16">
        <f t="shared" si="1642"/>
        <v>0</v>
      </c>
      <c r="AE1774" s="16">
        <f t="shared" si="1642"/>
        <v>0</v>
      </c>
      <c r="AF1774" s="16">
        <f t="shared" si="1642"/>
        <v>0</v>
      </c>
      <c r="AG1774" s="16">
        <f t="shared" si="1642"/>
        <v>0</v>
      </c>
      <c r="AH1774" s="16">
        <f t="shared" si="1642"/>
        <v>0</v>
      </c>
      <c r="AI1774" s="16">
        <f t="shared" si="1642"/>
        <v>0</v>
      </c>
      <c r="AJ1774" s="16">
        <f t="shared" si="1642"/>
        <v>0</v>
      </c>
      <c r="AK1774" s="16">
        <f t="shared" si="1642"/>
        <v>0</v>
      </c>
      <c r="AL1774" s="16">
        <f t="shared" si="1642"/>
        <v>0</v>
      </c>
      <c r="AM1774" s="16">
        <f t="shared" si="1642"/>
        <v>0</v>
      </c>
      <c r="AN1774" s="16">
        <f t="shared" si="1642"/>
        <v>0</v>
      </c>
      <c r="AO1774" s="16">
        <f t="shared" si="1642"/>
        <v>0</v>
      </c>
      <c r="AP1774" s="10"/>
      <c r="AQ1774" s="10"/>
      <c r="AR1774" s="10"/>
      <c r="AS1774" s="10" t="str">
        <f t="shared" ca="1" si="1641"/>
        <v>Johnson &amp; Johnson</v>
      </c>
      <c r="AT1774" s="10"/>
      <c r="AU1774" s="10"/>
      <c r="AV1774" s="10"/>
      <c r="AW1774" s="10"/>
      <c r="AX1774" s="10"/>
      <c r="AY1774" s="10"/>
      <c r="AZ1774" s="10"/>
      <c r="BA1774" s="10"/>
      <c r="BB1774" s="10"/>
      <c r="BC1774" s="10"/>
      <c r="BD1774" s="10"/>
      <c r="BE1774" s="10"/>
      <c r="BF1774" s="10"/>
      <c r="BG1774" s="10"/>
      <c r="BH1774" s="10"/>
      <c r="BI1774" s="10"/>
      <c r="BJ1774" s="10"/>
      <c r="BK1774" s="10"/>
      <c r="BM1774" s="10"/>
    </row>
    <row r="1775" spans="1:65" ht="12.75">
      <c r="A1775" s="9"/>
      <c r="B1775" s="10"/>
      <c r="C1775" s="11"/>
      <c r="D1775" s="12"/>
      <c r="E1775" s="10"/>
      <c r="F1775" s="10"/>
      <c r="G1775" s="10"/>
      <c r="H1775" s="14"/>
      <c r="I1775" s="14"/>
      <c r="J1775" s="14"/>
      <c r="K1775" s="14"/>
      <c r="L1775" s="14"/>
      <c r="M1775" s="15"/>
      <c r="N1775" s="10"/>
      <c r="O1775" s="14"/>
      <c r="P1775" s="14"/>
      <c r="Q1775" s="14"/>
      <c r="R1775" s="14"/>
      <c r="S1775" s="14"/>
      <c r="T1775" s="14"/>
      <c r="U1775" s="14"/>
      <c r="V1775" s="14"/>
      <c r="W1775" s="14"/>
      <c r="X1775" s="14"/>
      <c r="Y1775" s="14"/>
      <c r="Z1775" s="14"/>
      <c r="AA1775" s="16" t="str">
        <f t="shared" ca="1" si="1642"/>
        <v>Johnson &amp; Johnson</v>
      </c>
      <c r="AB1775" s="16">
        <f t="shared" si="1642"/>
        <v>0</v>
      </c>
      <c r="AC1775" s="16">
        <f t="shared" si="1642"/>
        <v>0</v>
      </c>
      <c r="AD1775" s="16">
        <f t="shared" si="1642"/>
        <v>0</v>
      </c>
      <c r="AE1775" s="16">
        <f t="shared" si="1642"/>
        <v>0</v>
      </c>
      <c r="AF1775" s="16">
        <f t="shared" si="1642"/>
        <v>0</v>
      </c>
      <c r="AG1775" s="16">
        <f t="shared" si="1642"/>
        <v>0</v>
      </c>
      <c r="AH1775" s="16">
        <f t="shared" si="1642"/>
        <v>0</v>
      </c>
      <c r="AI1775" s="16">
        <f t="shared" si="1642"/>
        <v>0</v>
      </c>
      <c r="AJ1775" s="16">
        <f t="shared" si="1642"/>
        <v>0</v>
      </c>
      <c r="AK1775" s="16">
        <f t="shared" si="1642"/>
        <v>0</v>
      </c>
      <c r="AL1775" s="16">
        <f t="shared" si="1642"/>
        <v>0</v>
      </c>
      <c r="AM1775" s="16">
        <f t="shared" si="1642"/>
        <v>0</v>
      </c>
      <c r="AN1775" s="16">
        <f t="shared" si="1642"/>
        <v>0</v>
      </c>
      <c r="AO1775" s="16">
        <f t="shared" si="1642"/>
        <v>0</v>
      </c>
      <c r="AP1775" s="10"/>
      <c r="AQ1775" s="10"/>
      <c r="AR1775" s="10"/>
      <c r="AS1775" s="10" t="str">
        <f t="shared" ca="1" si="1641"/>
        <v>Johnson &amp; Johnson</v>
      </c>
      <c r="AT1775" s="10"/>
      <c r="AU1775" s="10"/>
      <c r="AV1775" s="10"/>
      <c r="AW1775" s="10"/>
      <c r="AX1775" s="10"/>
      <c r="AY1775" s="10"/>
      <c r="AZ1775" s="10"/>
      <c r="BA1775" s="10"/>
      <c r="BB1775" s="10"/>
      <c r="BC1775" s="10"/>
      <c r="BD1775" s="10"/>
      <c r="BE1775" s="10"/>
      <c r="BF1775" s="10"/>
      <c r="BG1775" s="10"/>
      <c r="BH1775" s="10"/>
      <c r="BI1775" s="10"/>
      <c r="BJ1775" s="10"/>
      <c r="BK1775" s="10"/>
      <c r="BM1775" s="10"/>
    </row>
    <row r="1776" spans="1:65" ht="12.75">
      <c r="A1776" s="9"/>
      <c r="B1776" s="10"/>
      <c r="C1776" s="11"/>
      <c r="D1776" s="12"/>
      <c r="E1776" s="10"/>
      <c r="F1776" s="10"/>
      <c r="G1776" s="10"/>
      <c r="H1776" s="14"/>
      <c r="I1776" s="14"/>
      <c r="J1776" s="14"/>
      <c r="K1776" s="14"/>
      <c r="L1776" s="14"/>
      <c r="M1776" s="15"/>
      <c r="N1776" s="10"/>
      <c r="O1776" s="14"/>
      <c r="P1776" s="14"/>
      <c r="Q1776" s="14"/>
      <c r="R1776" s="14"/>
      <c r="S1776" s="14"/>
      <c r="T1776" s="14"/>
      <c r="U1776" s="14"/>
      <c r="V1776" s="14"/>
      <c r="W1776" s="14"/>
      <c r="X1776" s="14"/>
      <c r="Y1776" s="14"/>
      <c r="Z1776" s="14"/>
      <c r="AA1776" s="16" t="str">
        <f t="shared" ca="1" si="1642"/>
        <v>Johnson &amp; Johnson</v>
      </c>
      <c r="AB1776" s="16">
        <f t="shared" si="1642"/>
        <v>0</v>
      </c>
      <c r="AC1776" s="16">
        <f t="shared" si="1642"/>
        <v>0</v>
      </c>
      <c r="AD1776" s="16">
        <f t="shared" si="1642"/>
        <v>0</v>
      </c>
      <c r="AE1776" s="16">
        <f t="shared" si="1642"/>
        <v>0</v>
      </c>
      <c r="AF1776" s="16">
        <f t="shared" si="1642"/>
        <v>0</v>
      </c>
      <c r="AG1776" s="16">
        <f t="shared" si="1642"/>
        <v>0</v>
      </c>
      <c r="AH1776" s="16">
        <f t="shared" si="1642"/>
        <v>0</v>
      </c>
      <c r="AI1776" s="16">
        <f t="shared" si="1642"/>
        <v>0</v>
      </c>
      <c r="AJ1776" s="16">
        <f t="shared" si="1642"/>
        <v>0</v>
      </c>
      <c r="AK1776" s="16">
        <f t="shared" si="1642"/>
        <v>0</v>
      </c>
      <c r="AL1776" s="16">
        <f t="shared" si="1642"/>
        <v>0</v>
      </c>
      <c r="AM1776" s="16">
        <f t="shared" si="1642"/>
        <v>0</v>
      </c>
      <c r="AN1776" s="16">
        <f t="shared" si="1642"/>
        <v>0</v>
      </c>
      <c r="AO1776" s="16">
        <f t="shared" si="1642"/>
        <v>0</v>
      </c>
      <c r="AP1776" s="10"/>
      <c r="AQ1776" s="10"/>
      <c r="AR1776" s="10"/>
      <c r="AS1776" s="10" t="str">
        <f t="shared" ca="1" si="1641"/>
        <v>Johnson &amp; Johnson</v>
      </c>
      <c r="AT1776" s="10"/>
      <c r="AU1776" s="10"/>
      <c r="AV1776" s="10"/>
      <c r="AW1776" s="10"/>
      <c r="AX1776" s="10"/>
      <c r="AY1776" s="10"/>
      <c r="AZ1776" s="10"/>
      <c r="BA1776" s="10"/>
      <c r="BB1776" s="10"/>
      <c r="BC1776" s="10"/>
      <c r="BD1776" s="10"/>
      <c r="BE1776" s="10"/>
      <c r="BF1776" s="10"/>
      <c r="BG1776" s="10"/>
      <c r="BH1776" s="10"/>
      <c r="BI1776" s="10"/>
      <c r="BJ1776" s="10"/>
      <c r="BK1776" s="10"/>
      <c r="BM1776" s="10"/>
    </row>
    <row r="1777" spans="1:65" ht="12.75">
      <c r="A1777" s="9"/>
      <c r="B1777" s="10"/>
      <c r="C1777" s="11"/>
      <c r="D1777" s="12"/>
      <c r="E1777" s="10"/>
      <c r="F1777" s="10"/>
      <c r="G1777" s="10"/>
      <c r="H1777" s="14"/>
      <c r="I1777" s="14"/>
      <c r="J1777" s="14"/>
      <c r="K1777" s="14"/>
      <c r="L1777" s="14"/>
      <c r="M1777" s="15"/>
      <c r="N1777" s="10"/>
      <c r="O1777" s="14"/>
      <c r="P1777" s="14"/>
      <c r="Q1777" s="14"/>
      <c r="R1777" s="14"/>
      <c r="S1777" s="14"/>
      <c r="T1777" s="14"/>
      <c r="U1777" s="14"/>
      <c r="V1777" s="14"/>
      <c r="W1777" s="14"/>
      <c r="X1777" s="14"/>
      <c r="Y1777" s="14"/>
      <c r="Z1777" s="14"/>
      <c r="AA1777" s="16" t="str">
        <f t="shared" ca="1" si="1642"/>
        <v>Johnson &amp; Johnson</v>
      </c>
      <c r="AB1777" s="16">
        <f t="shared" si="1642"/>
        <v>0</v>
      </c>
      <c r="AC1777" s="16">
        <f t="shared" si="1642"/>
        <v>0</v>
      </c>
      <c r="AD1777" s="16">
        <f t="shared" si="1642"/>
        <v>0</v>
      </c>
      <c r="AE1777" s="16">
        <f t="shared" si="1642"/>
        <v>0</v>
      </c>
      <c r="AF1777" s="16">
        <f t="shared" si="1642"/>
        <v>0</v>
      </c>
      <c r="AG1777" s="16">
        <f t="shared" si="1642"/>
        <v>0</v>
      </c>
      <c r="AH1777" s="16">
        <f t="shared" si="1642"/>
        <v>0</v>
      </c>
      <c r="AI1777" s="16">
        <f t="shared" si="1642"/>
        <v>0</v>
      </c>
      <c r="AJ1777" s="16">
        <f t="shared" si="1642"/>
        <v>0</v>
      </c>
      <c r="AK1777" s="16">
        <f t="shared" si="1642"/>
        <v>0</v>
      </c>
      <c r="AL1777" s="16">
        <f t="shared" si="1642"/>
        <v>0</v>
      </c>
      <c r="AM1777" s="16">
        <f t="shared" si="1642"/>
        <v>0</v>
      </c>
      <c r="AN1777" s="16">
        <f t="shared" si="1642"/>
        <v>0</v>
      </c>
      <c r="AO1777" s="16">
        <f t="shared" si="1642"/>
        <v>0</v>
      </c>
      <c r="AP1777" s="10"/>
      <c r="AQ1777" s="10"/>
      <c r="AR1777" s="10"/>
      <c r="AS1777" s="10" t="str">
        <f t="shared" ca="1" si="1641"/>
        <v>Johnson &amp; Johnson</v>
      </c>
      <c r="AT1777" s="10"/>
      <c r="AU1777" s="10"/>
      <c r="AV1777" s="10"/>
      <c r="AW1777" s="10"/>
      <c r="AX1777" s="10"/>
      <c r="AY1777" s="10"/>
      <c r="AZ1777" s="10"/>
      <c r="BA1777" s="10"/>
      <c r="BB1777" s="10"/>
      <c r="BC1777" s="10"/>
      <c r="BD1777" s="10"/>
      <c r="BE1777" s="10"/>
      <c r="BF1777" s="10"/>
      <c r="BG1777" s="10"/>
      <c r="BH1777" s="10"/>
      <c r="BI1777" s="10"/>
      <c r="BJ1777" s="10"/>
      <c r="BK1777" s="10"/>
      <c r="BM1777" s="10"/>
    </row>
    <row r="1778" spans="1:65" ht="12.75">
      <c r="A1778" s="9"/>
      <c r="B1778" s="10"/>
      <c r="C1778" s="11"/>
      <c r="D1778" s="12"/>
      <c r="E1778" s="10"/>
      <c r="F1778" s="10"/>
      <c r="G1778" s="10"/>
      <c r="H1778" s="14"/>
      <c r="I1778" s="14"/>
      <c r="J1778" s="14"/>
      <c r="K1778" s="14"/>
      <c r="L1778" s="14"/>
      <c r="M1778" s="15"/>
      <c r="N1778" s="10"/>
      <c r="O1778" s="14"/>
      <c r="P1778" s="14"/>
      <c r="Q1778" s="14"/>
      <c r="R1778" s="14"/>
      <c r="S1778" s="14"/>
      <c r="T1778" s="14"/>
      <c r="U1778" s="14"/>
      <c r="V1778" s="14"/>
      <c r="W1778" s="14"/>
      <c r="X1778" s="14"/>
      <c r="Y1778" s="14"/>
      <c r="Z1778" s="14"/>
      <c r="AA1778" s="16" t="str">
        <f t="shared" ca="1" si="1642"/>
        <v>Johnson &amp; Johnson</v>
      </c>
      <c r="AB1778" s="16">
        <f t="shared" si="1642"/>
        <v>0</v>
      </c>
      <c r="AC1778" s="16">
        <f t="shared" si="1642"/>
        <v>0</v>
      </c>
      <c r="AD1778" s="16">
        <f t="shared" si="1642"/>
        <v>0</v>
      </c>
      <c r="AE1778" s="16">
        <f t="shared" si="1642"/>
        <v>0</v>
      </c>
      <c r="AF1778" s="16">
        <f t="shared" si="1642"/>
        <v>0</v>
      </c>
      <c r="AG1778" s="16">
        <f t="shared" si="1642"/>
        <v>0</v>
      </c>
      <c r="AH1778" s="16">
        <f t="shared" si="1642"/>
        <v>0</v>
      </c>
      <c r="AI1778" s="16">
        <f t="shared" si="1642"/>
        <v>0</v>
      </c>
      <c r="AJ1778" s="16">
        <f t="shared" si="1642"/>
        <v>0</v>
      </c>
      <c r="AK1778" s="16">
        <f t="shared" si="1642"/>
        <v>0</v>
      </c>
      <c r="AL1778" s="16">
        <f t="shared" si="1642"/>
        <v>0</v>
      </c>
      <c r="AM1778" s="16">
        <f t="shared" si="1642"/>
        <v>0</v>
      </c>
      <c r="AN1778" s="16">
        <f t="shared" si="1642"/>
        <v>0</v>
      </c>
      <c r="AO1778" s="16">
        <f t="shared" si="1642"/>
        <v>0</v>
      </c>
      <c r="AP1778" s="10"/>
      <c r="AQ1778" s="10"/>
      <c r="AR1778" s="10"/>
      <c r="AS1778" s="10" t="str">
        <f t="shared" ca="1" si="1641"/>
        <v>Johnson &amp; Johnson</v>
      </c>
      <c r="AT1778" s="10"/>
      <c r="AU1778" s="10"/>
      <c r="AV1778" s="10"/>
      <c r="AW1778" s="10"/>
      <c r="AX1778" s="10"/>
      <c r="AY1778" s="10"/>
      <c r="AZ1778" s="10"/>
      <c r="BA1778" s="10"/>
      <c r="BB1778" s="10"/>
      <c r="BC1778" s="10"/>
      <c r="BD1778" s="10"/>
      <c r="BE1778" s="10"/>
      <c r="BF1778" s="10"/>
      <c r="BG1778" s="10"/>
      <c r="BH1778" s="10"/>
      <c r="BI1778" s="10"/>
      <c r="BJ1778" s="10"/>
      <c r="BK1778" s="10"/>
      <c r="BM1778" s="10"/>
    </row>
    <row r="1779" spans="1:65" ht="12.75">
      <c r="A1779" s="9"/>
      <c r="B1779" s="10"/>
      <c r="C1779" s="11"/>
      <c r="D1779" s="12"/>
      <c r="E1779" s="10"/>
      <c r="F1779" s="10"/>
      <c r="G1779" s="10"/>
      <c r="H1779" s="14"/>
      <c r="I1779" s="14"/>
      <c r="J1779" s="14"/>
      <c r="K1779" s="14"/>
      <c r="L1779" s="14"/>
      <c r="M1779" s="15"/>
      <c r="N1779" s="10"/>
      <c r="O1779" s="14"/>
      <c r="P1779" s="14"/>
      <c r="Q1779" s="14"/>
      <c r="R1779" s="14"/>
      <c r="S1779" s="14"/>
      <c r="T1779" s="14"/>
      <c r="U1779" s="14"/>
      <c r="V1779" s="14"/>
      <c r="W1779" s="14"/>
      <c r="X1779" s="14"/>
      <c r="Y1779" s="14"/>
      <c r="Z1779" s="14"/>
      <c r="AA1779" s="16" t="str">
        <f t="shared" ca="1" si="1642"/>
        <v>Johnson &amp; Johnson</v>
      </c>
      <c r="AB1779" s="16">
        <f t="shared" si="1642"/>
        <v>0</v>
      </c>
      <c r="AC1779" s="16">
        <f t="shared" si="1642"/>
        <v>0</v>
      </c>
      <c r="AD1779" s="16">
        <f t="shared" si="1642"/>
        <v>0</v>
      </c>
      <c r="AE1779" s="16">
        <f t="shared" si="1642"/>
        <v>0</v>
      </c>
      <c r="AF1779" s="16">
        <f t="shared" si="1642"/>
        <v>0</v>
      </c>
      <c r="AG1779" s="16">
        <f t="shared" si="1642"/>
        <v>0</v>
      </c>
      <c r="AH1779" s="16">
        <f t="shared" si="1642"/>
        <v>0</v>
      </c>
      <c r="AI1779" s="16">
        <f t="shared" si="1642"/>
        <v>0</v>
      </c>
      <c r="AJ1779" s="16">
        <f t="shared" si="1642"/>
        <v>0</v>
      </c>
      <c r="AK1779" s="16">
        <f t="shared" si="1642"/>
        <v>0</v>
      </c>
      <c r="AL1779" s="16">
        <f t="shared" si="1642"/>
        <v>0</v>
      </c>
      <c r="AM1779" s="16">
        <f t="shared" si="1642"/>
        <v>0</v>
      </c>
      <c r="AN1779" s="16">
        <f t="shared" si="1642"/>
        <v>0</v>
      </c>
      <c r="AO1779" s="16">
        <f t="shared" si="1642"/>
        <v>0</v>
      </c>
      <c r="AP1779" s="10"/>
      <c r="AQ1779" s="10"/>
      <c r="AR1779" s="10"/>
      <c r="AS1779" s="10" t="str">
        <f t="shared" ca="1" si="1641"/>
        <v>Johnson &amp; Johnson</v>
      </c>
      <c r="AT1779" s="10"/>
      <c r="AU1779" s="10"/>
      <c r="AV1779" s="10"/>
      <c r="AW1779" s="10"/>
      <c r="AX1779" s="10"/>
      <c r="AY1779" s="10"/>
      <c r="AZ1779" s="10"/>
      <c r="BA1779" s="10"/>
      <c r="BB1779" s="10"/>
      <c r="BC1779" s="10"/>
      <c r="BD1779" s="10"/>
      <c r="BE1779" s="10"/>
      <c r="BF1779" s="10"/>
      <c r="BG1779" s="10"/>
      <c r="BH1779" s="10"/>
      <c r="BI1779" s="10"/>
      <c r="BJ1779" s="10"/>
      <c r="BK1779" s="10"/>
      <c r="BM1779" s="10"/>
    </row>
    <row r="1780" spans="1:65" ht="12.75">
      <c r="A1780" s="9"/>
      <c r="B1780" s="10"/>
      <c r="C1780" s="11"/>
      <c r="D1780" s="12"/>
      <c r="E1780" s="10"/>
      <c r="F1780" s="10"/>
      <c r="G1780" s="10"/>
      <c r="H1780" s="14"/>
      <c r="I1780" s="14"/>
      <c r="J1780" s="14"/>
      <c r="K1780" s="14"/>
      <c r="L1780" s="14"/>
      <c r="M1780" s="15"/>
      <c r="N1780" s="10"/>
      <c r="O1780" s="14"/>
      <c r="P1780" s="14"/>
      <c r="Q1780" s="14"/>
      <c r="R1780" s="14"/>
      <c r="S1780" s="14"/>
      <c r="T1780" s="14"/>
      <c r="U1780" s="14"/>
      <c r="V1780" s="14"/>
      <c r="W1780" s="14"/>
      <c r="X1780" s="14"/>
      <c r="Y1780" s="14"/>
      <c r="Z1780" s="14"/>
      <c r="AA1780" s="16" t="str">
        <f t="shared" ca="1" si="1642"/>
        <v>Johnson &amp; Johnson</v>
      </c>
      <c r="AB1780" s="16">
        <f t="shared" si="1642"/>
        <v>0</v>
      </c>
      <c r="AC1780" s="16">
        <f t="shared" si="1642"/>
        <v>0</v>
      </c>
      <c r="AD1780" s="16">
        <f t="shared" si="1642"/>
        <v>0</v>
      </c>
      <c r="AE1780" s="16">
        <f t="shared" si="1642"/>
        <v>0</v>
      </c>
      <c r="AF1780" s="16">
        <f t="shared" si="1642"/>
        <v>0</v>
      </c>
      <c r="AG1780" s="16">
        <f t="shared" si="1642"/>
        <v>0</v>
      </c>
      <c r="AH1780" s="16">
        <f t="shared" si="1642"/>
        <v>0</v>
      </c>
      <c r="AI1780" s="16">
        <f t="shared" si="1642"/>
        <v>0</v>
      </c>
      <c r="AJ1780" s="16">
        <f t="shared" si="1642"/>
        <v>0</v>
      </c>
      <c r="AK1780" s="16">
        <f t="shared" si="1642"/>
        <v>0</v>
      </c>
      <c r="AL1780" s="16">
        <f t="shared" si="1642"/>
        <v>0</v>
      </c>
      <c r="AM1780" s="16">
        <f t="shared" si="1642"/>
        <v>0</v>
      </c>
      <c r="AN1780" s="16">
        <f t="shared" si="1642"/>
        <v>0</v>
      </c>
      <c r="AO1780" s="16">
        <f t="shared" si="1642"/>
        <v>0</v>
      </c>
      <c r="AP1780" s="10"/>
      <c r="AQ1780" s="10"/>
      <c r="AR1780" s="10"/>
      <c r="AS1780" s="10" t="str">
        <f t="shared" ca="1" si="1641"/>
        <v>Johnson &amp; Johnson</v>
      </c>
      <c r="AT1780" s="10"/>
      <c r="AU1780" s="10"/>
      <c r="AV1780" s="10"/>
      <c r="AW1780" s="10"/>
      <c r="AX1780" s="10"/>
      <c r="AY1780" s="10"/>
      <c r="AZ1780" s="10"/>
      <c r="BA1780" s="10"/>
      <c r="BB1780" s="10"/>
      <c r="BC1780" s="10"/>
      <c r="BD1780" s="10"/>
      <c r="BE1780" s="10"/>
      <c r="BF1780" s="10"/>
      <c r="BG1780" s="10"/>
      <c r="BH1780" s="10"/>
      <c r="BI1780" s="10"/>
      <c r="BJ1780" s="10"/>
      <c r="BK1780" s="10"/>
      <c r="BM1780" s="10"/>
    </row>
    <row r="1781" spans="1:65" ht="12.75">
      <c r="A1781" s="9"/>
      <c r="B1781" s="10"/>
      <c r="C1781" s="11"/>
      <c r="D1781" s="12"/>
      <c r="E1781" s="10"/>
      <c r="F1781" s="10"/>
      <c r="G1781" s="10"/>
      <c r="H1781" s="14"/>
      <c r="I1781" s="14"/>
      <c r="J1781" s="14"/>
      <c r="K1781" s="14"/>
      <c r="L1781" s="14"/>
      <c r="M1781" s="15"/>
      <c r="N1781" s="10"/>
      <c r="O1781" s="14"/>
      <c r="P1781" s="14"/>
      <c r="Q1781" s="14"/>
      <c r="R1781" s="14"/>
      <c r="S1781" s="14"/>
      <c r="T1781" s="14"/>
      <c r="U1781" s="14"/>
      <c r="V1781" s="14"/>
      <c r="W1781" s="14"/>
      <c r="X1781" s="14"/>
      <c r="Y1781" s="14"/>
      <c r="Z1781" s="14"/>
      <c r="AA1781" s="16" t="str">
        <f t="shared" ca="1" si="1642"/>
        <v>Johnson &amp; Johnson</v>
      </c>
      <c r="AB1781" s="16">
        <f t="shared" si="1642"/>
        <v>0</v>
      </c>
      <c r="AC1781" s="16">
        <f t="shared" si="1642"/>
        <v>0</v>
      </c>
      <c r="AD1781" s="16">
        <f t="shared" si="1642"/>
        <v>0</v>
      </c>
      <c r="AE1781" s="16">
        <f t="shared" si="1642"/>
        <v>0</v>
      </c>
      <c r="AF1781" s="16">
        <f t="shared" si="1642"/>
        <v>0</v>
      </c>
      <c r="AG1781" s="16">
        <f t="shared" si="1642"/>
        <v>0</v>
      </c>
      <c r="AH1781" s="16">
        <f t="shared" si="1642"/>
        <v>0</v>
      </c>
      <c r="AI1781" s="16">
        <f t="shared" si="1642"/>
        <v>0</v>
      </c>
      <c r="AJ1781" s="16">
        <f t="shared" si="1642"/>
        <v>0</v>
      </c>
      <c r="AK1781" s="16">
        <f t="shared" si="1642"/>
        <v>0</v>
      </c>
      <c r="AL1781" s="16">
        <f t="shared" si="1642"/>
        <v>0</v>
      </c>
      <c r="AM1781" s="16">
        <f t="shared" si="1642"/>
        <v>0</v>
      </c>
      <c r="AN1781" s="16">
        <f t="shared" si="1642"/>
        <v>0</v>
      </c>
      <c r="AO1781" s="16">
        <f t="shared" si="1642"/>
        <v>0</v>
      </c>
      <c r="AP1781" s="10"/>
      <c r="AQ1781" s="10"/>
      <c r="AR1781" s="10"/>
      <c r="AS1781" s="10" t="str">
        <f t="shared" ca="1" si="1641"/>
        <v>Johnson &amp; Johnson</v>
      </c>
      <c r="AT1781" s="10"/>
      <c r="AU1781" s="10"/>
      <c r="AV1781" s="10"/>
      <c r="AW1781" s="10"/>
      <c r="AX1781" s="10"/>
      <c r="AY1781" s="10"/>
      <c r="AZ1781" s="10"/>
      <c r="BA1781" s="10"/>
      <c r="BB1781" s="10"/>
      <c r="BC1781" s="10"/>
      <c r="BD1781" s="10"/>
      <c r="BE1781" s="10"/>
      <c r="BF1781" s="10"/>
      <c r="BG1781" s="10"/>
      <c r="BH1781" s="10"/>
      <c r="BI1781" s="10"/>
      <c r="BJ1781" s="10"/>
      <c r="BK1781" s="10"/>
      <c r="BM1781" s="10"/>
    </row>
    <row r="1782" spans="1:65" ht="12.75">
      <c r="A1782" s="9"/>
      <c r="B1782" s="10"/>
      <c r="C1782" s="11"/>
      <c r="D1782" s="12"/>
      <c r="E1782" s="10"/>
      <c r="F1782" s="10"/>
      <c r="G1782" s="10"/>
      <c r="H1782" s="14"/>
      <c r="I1782" s="14"/>
      <c r="J1782" s="14"/>
      <c r="K1782" s="14"/>
      <c r="L1782" s="14"/>
      <c r="M1782" s="15"/>
      <c r="N1782" s="10"/>
      <c r="O1782" s="14"/>
      <c r="P1782" s="14"/>
      <c r="Q1782" s="14"/>
      <c r="R1782" s="14"/>
      <c r="S1782" s="14"/>
      <c r="T1782" s="14"/>
      <c r="U1782" s="14"/>
      <c r="V1782" s="14"/>
      <c r="W1782" s="14"/>
      <c r="X1782" s="14"/>
      <c r="Y1782" s="14"/>
      <c r="Z1782" s="14"/>
      <c r="AA1782" s="16" t="str">
        <f t="shared" ca="1" si="1642"/>
        <v>Johnson &amp; Johnson</v>
      </c>
      <c r="AB1782" s="16">
        <f t="shared" si="1642"/>
        <v>0</v>
      </c>
      <c r="AC1782" s="16">
        <f t="shared" si="1642"/>
        <v>0</v>
      </c>
      <c r="AD1782" s="16">
        <f t="shared" si="1642"/>
        <v>0</v>
      </c>
      <c r="AE1782" s="16">
        <f t="shared" si="1642"/>
        <v>0</v>
      </c>
      <c r="AF1782" s="16">
        <f t="shared" si="1642"/>
        <v>0</v>
      </c>
      <c r="AG1782" s="16">
        <f t="shared" si="1642"/>
        <v>0</v>
      </c>
      <c r="AH1782" s="16">
        <f t="shared" si="1642"/>
        <v>0</v>
      </c>
      <c r="AI1782" s="16">
        <f t="shared" si="1642"/>
        <v>0</v>
      </c>
      <c r="AJ1782" s="16">
        <f t="shared" si="1642"/>
        <v>0</v>
      </c>
      <c r="AK1782" s="16">
        <f t="shared" si="1642"/>
        <v>0</v>
      </c>
      <c r="AL1782" s="16">
        <f t="shared" si="1642"/>
        <v>0</v>
      </c>
      <c r="AM1782" s="16">
        <f t="shared" si="1642"/>
        <v>0</v>
      </c>
      <c r="AN1782" s="16">
        <f t="shared" si="1642"/>
        <v>0</v>
      </c>
      <c r="AO1782" s="16">
        <f t="shared" si="1642"/>
        <v>0</v>
      </c>
      <c r="AP1782" s="10"/>
      <c r="AQ1782" s="10"/>
      <c r="AR1782" s="10"/>
      <c r="AS1782" s="10" t="str">
        <f t="shared" ca="1" si="1641"/>
        <v>Johnson &amp; Johnson</v>
      </c>
      <c r="AT1782" s="10"/>
      <c r="AU1782" s="10"/>
      <c r="AV1782" s="10"/>
      <c r="AW1782" s="10"/>
      <c r="AX1782" s="10"/>
      <c r="AY1782" s="10"/>
      <c r="AZ1782" s="10"/>
      <c r="BA1782" s="10"/>
      <c r="BB1782" s="10"/>
      <c r="BC1782" s="10"/>
      <c r="BD1782" s="10"/>
      <c r="BE1782" s="10"/>
      <c r="BF1782" s="10"/>
      <c r="BG1782" s="10"/>
      <c r="BH1782" s="10"/>
      <c r="BI1782" s="10"/>
      <c r="BJ1782" s="10"/>
      <c r="BK1782" s="10"/>
      <c r="BM1782" s="10"/>
    </row>
    <row r="1783" spans="1:65" ht="12.75">
      <c r="A1783" s="9"/>
      <c r="B1783" s="10"/>
      <c r="C1783" s="11"/>
      <c r="D1783" s="12"/>
      <c r="E1783" s="10"/>
      <c r="F1783" s="10"/>
      <c r="G1783" s="10"/>
      <c r="H1783" s="14"/>
      <c r="I1783" s="14"/>
      <c r="J1783" s="14"/>
      <c r="K1783" s="14"/>
      <c r="L1783" s="14"/>
      <c r="M1783" s="15"/>
      <c r="N1783" s="10"/>
      <c r="O1783" s="14"/>
      <c r="P1783" s="14"/>
      <c r="Q1783" s="14"/>
      <c r="R1783" s="14"/>
      <c r="S1783" s="14"/>
      <c r="T1783" s="14"/>
      <c r="U1783" s="14"/>
      <c r="V1783" s="14"/>
      <c r="W1783" s="14"/>
      <c r="X1783" s="14"/>
      <c r="Y1783" s="14"/>
      <c r="Z1783" s="14"/>
      <c r="AA1783" s="16" t="str">
        <f t="shared" ca="1" si="1642"/>
        <v>Johnson &amp; Johnson</v>
      </c>
      <c r="AB1783" s="16">
        <f t="shared" si="1642"/>
        <v>0</v>
      </c>
      <c r="AC1783" s="16">
        <f t="shared" si="1642"/>
        <v>0</v>
      </c>
      <c r="AD1783" s="16">
        <f t="shared" si="1642"/>
        <v>0</v>
      </c>
      <c r="AE1783" s="16">
        <f t="shared" si="1642"/>
        <v>0</v>
      </c>
      <c r="AF1783" s="16">
        <f t="shared" si="1642"/>
        <v>0</v>
      </c>
      <c r="AG1783" s="16">
        <f t="shared" si="1642"/>
        <v>0</v>
      </c>
      <c r="AH1783" s="16">
        <f t="shared" si="1642"/>
        <v>0</v>
      </c>
      <c r="AI1783" s="16">
        <f t="shared" si="1642"/>
        <v>0</v>
      </c>
      <c r="AJ1783" s="16">
        <f t="shared" si="1642"/>
        <v>0</v>
      </c>
      <c r="AK1783" s="16">
        <f t="shared" si="1642"/>
        <v>0</v>
      </c>
      <c r="AL1783" s="16">
        <f t="shared" si="1642"/>
        <v>0</v>
      </c>
      <c r="AM1783" s="16">
        <f t="shared" si="1642"/>
        <v>0</v>
      </c>
      <c r="AN1783" s="16">
        <f t="shared" si="1642"/>
        <v>0</v>
      </c>
      <c r="AO1783" s="16">
        <f t="shared" si="1642"/>
        <v>0</v>
      </c>
      <c r="AP1783" s="10"/>
      <c r="AQ1783" s="10"/>
      <c r="AR1783" s="10"/>
      <c r="AS1783" s="10" t="str">
        <f t="shared" ca="1" si="1641"/>
        <v>Johnson &amp; Johnson</v>
      </c>
      <c r="AT1783" s="10"/>
      <c r="AU1783" s="10"/>
      <c r="AV1783" s="10"/>
      <c r="AW1783" s="10"/>
      <c r="AX1783" s="10"/>
      <c r="AY1783" s="10"/>
      <c r="AZ1783" s="10"/>
      <c r="BA1783" s="10"/>
      <c r="BB1783" s="10"/>
      <c r="BC1783" s="10"/>
      <c r="BD1783" s="10"/>
      <c r="BE1783" s="10"/>
      <c r="BF1783" s="10"/>
      <c r="BG1783" s="10"/>
      <c r="BH1783" s="10"/>
      <c r="BI1783" s="10"/>
      <c r="BJ1783" s="10"/>
      <c r="BK1783" s="10"/>
      <c r="BM1783" s="10"/>
    </row>
    <row r="1784" spans="1:65" ht="12.75">
      <c r="A1784" s="9"/>
      <c r="B1784" s="10"/>
      <c r="C1784" s="11"/>
      <c r="D1784" s="12"/>
      <c r="E1784" s="10"/>
      <c r="F1784" s="10"/>
      <c r="G1784" s="10"/>
      <c r="H1784" s="14"/>
      <c r="I1784" s="14"/>
      <c r="J1784" s="14"/>
      <c r="K1784" s="14"/>
      <c r="L1784" s="14"/>
      <c r="M1784" s="15"/>
      <c r="N1784" s="10"/>
      <c r="O1784" s="14"/>
      <c r="P1784" s="14"/>
      <c r="Q1784" s="14"/>
      <c r="R1784" s="14"/>
      <c r="S1784" s="14"/>
      <c r="T1784" s="14"/>
      <c r="U1784" s="14"/>
      <c r="V1784" s="14"/>
      <c r="W1784" s="14"/>
      <c r="X1784" s="14"/>
      <c r="Y1784" s="14"/>
      <c r="Z1784" s="14"/>
      <c r="AA1784" s="16" t="str">
        <f t="shared" ca="1" si="1642"/>
        <v>Johnson &amp; Johnson</v>
      </c>
      <c r="AB1784" s="16">
        <f t="shared" si="1642"/>
        <v>0</v>
      </c>
      <c r="AC1784" s="16">
        <f t="shared" si="1642"/>
        <v>0</v>
      </c>
      <c r="AD1784" s="16">
        <f t="shared" si="1642"/>
        <v>0</v>
      </c>
      <c r="AE1784" s="16">
        <f t="shared" si="1642"/>
        <v>0</v>
      </c>
      <c r="AF1784" s="16">
        <f t="shared" si="1642"/>
        <v>0</v>
      </c>
      <c r="AG1784" s="16">
        <f t="shared" si="1642"/>
        <v>0</v>
      </c>
      <c r="AH1784" s="16">
        <f t="shared" si="1642"/>
        <v>0</v>
      </c>
      <c r="AI1784" s="16">
        <f t="shared" si="1642"/>
        <v>0</v>
      </c>
      <c r="AJ1784" s="16">
        <f t="shared" si="1642"/>
        <v>0</v>
      </c>
      <c r="AK1784" s="16">
        <f t="shared" si="1642"/>
        <v>0</v>
      </c>
      <c r="AL1784" s="16">
        <f t="shared" si="1642"/>
        <v>0</v>
      </c>
      <c r="AM1784" s="16">
        <f t="shared" si="1642"/>
        <v>0</v>
      </c>
      <c r="AN1784" s="16">
        <f t="shared" si="1642"/>
        <v>0</v>
      </c>
      <c r="AO1784" s="16">
        <f t="shared" si="1642"/>
        <v>0</v>
      </c>
      <c r="AP1784" s="10"/>
      <c r="AQ1784" s="10"/>
      <c r="AR1784" s="10"/>
      <c r="AS1784" s="10" t="str">
        <f t="shared" ca="1" si="1641"/>
        <v>Johnson &amp; Johnson</v>
      </c>
      <c r="AT1784" s="10"/>
      <c r="AU1784" s="10"/>
      <c r="AV1784" s="10"/>
      <c r="AW1784" s="10"/>
      <c r="AX1784" s="10"/>
      <c r="AY1784" s="10"/>
      <c r="AZ1784" s="10"/>
      <c r="BA1784" s="10"/>
      <c r="BB1784" s="10"/>
      <c r="BC1784" s="10"/>
      <c r="BD1784" s="10"/>
      <c r="BE1784" s="10"/>
      <c r="BF1784" s="10"/>
      <c r="BG1784" s="10"/>
      <c r="BH1784" s="10"/>
      <c r="BI1784" s="10"/>
      <c r="BJ1784" s="10"/>
      <c r="BK1784" s="10"/>
      <c r="BM1784" s="10"/>
    </row>
    <row r="1785" spans="1:65" ht="12.75">
      <c r="A1785" s="9"/>
      <c r="B1785" s="10"/>
      <c r="C1785" s="11"/>
      <c r="D1785" s="12"/>
      <c r="E1785" s="10"/>
      <c r="F1785" s="10"/>
      <c r="G1785" s="10"/>
      <c r="H1785" s="14"/>
      <c r="I1785" s="14"/>
      <c r="J1785" s="14"/>
      <c r="K1785" s="14"/>
      <c r="L1785" s="14"/>
      <c r="M1785" s="15"/>
      <c r="N1785" s="10"/>
      <c r="O1785" s="14"/>
      <c r="P1785" s="14"/>
      <c r="Q1785" s="14"/>
      <c r="R1785" s="14"/>
      <c r="S1785" s="14"/>
      <c r="T1785" s="14"/>
      <c r="U1785" s="14"/>
      <c r="V1785" s="14"/>
      <c r="W1785" s="14"/>
      <c r="X1785" s="14"/>
      <c r="Y1785" s="14"/>
      <c r="Z1785" s="14"/>
      <c r="AA1785" s="16" t="str">
        <f t="shared" ref="AA1785:AO1800" ca="1" si="1643">AS1785</f>
        <v>Johnson &amp; Johnson</v>
      </c>
      <c r="AB1785" s="16">
        <f t="shared" si="1643"/>
        <v>0</v>
      </c>
      <c r="AC1785" s="16">
        <f t="shared" si="1643"/>
        <v>0</v>
      </c>
      <c r="AD1785" s="16">
        <f t="shared" si="1643"/>
        <v>0</v>
      </c>
      <c r="AE1785" s="16">
        <f t="shared" si="1643"/>
        <v>0</v>
      </c>
      <c r="AF1785" s="16">
        <f t="shared" si="1643"/>
        <v>0</v>
      </c>
      <c r="AG1785" s="16">
        <f t="shared" si="1643"/>
        <v>0</v>
      </c>
      <c r="AH1785" s="16">
        <f t="shared" si="1643"/>
        <v>0</v>
      </c>
      <c r="AI1785" s="16">
        <f t="shared" si="1643"/>
        <v>0</v>
      </c>
      <c r="AJ1785" s="16">
        <f t="shared" si="1643"/>
        <v>0</v>
      </c>
      <c r="AK1785" s="16">
        <f t="shared" si="1643"/>
        <v>0</v>
      </c>
      <c r="AL1785" s="16">
        <f t="shared" si="1643"/>
        <v>0</v>
      </c>
      <c r="AM1785" s="16">
        <f t="shared" si="1643"/>
        <v>0</v>
      </c>
      <c r="AN1785" s="16">
        <f t="shared" si="1643"/>
        <v>0</v>
      </c>
      <c r="AO1785" s="16">
        <f t="shared" si="1643"/>
        <v>0</v>
      </c>
      <c r="AP1785" s="10"/>
      <c r="AQ1785" s="10"/>
      <c r="AR1785" s="10"/>
      <c r="AS1785" s="10" t="str">
        <f t="shared" ca="1" si="1641"/>
        <v>Johnson &amp; Johnson</v>
      </c>
      <c r="AT1785" s="10"/>
      <c r="AU1785" s="10"/>
      <c r="AV1785" s="10"/>
      <c r="AW1785" s="10"/>
      <c r="AX1785" s="10"/>
      <c r="AY1785" s="10"/>
      <c r="AZ1785" s="10"/>
      <c r="BA1785" s="10"/>
      <c r="BB1785" s="10"/>
      <c r="BC1785" s="10"/>
      <c r="BD1785" s="10"/>
      <c r="BE1785" s="10"/>
      <c r="BF1785" s="10"/>
      <c r="BG1785" s="10"/>
      <c r="BH1785" s="10"/>
      <c r="BI1785" s="10"/>
      <c r="BJ1785" s="10"/>
      <c r="BK1785" s="10"/>
      <c r="BM1785" s="10"/>
    </row>
    <row r="1786" spans="1:65" ht="12.75">
      <c r="A1786" s="9"/>
      <c r="B1786" s="10"/>
      <c r="C1786" s="11"/>
      <c r="D1786" s="12"/>
      <c r="E1786" s="10"/>
      <c r="F1786" s="10"/>
      <c r="G1786" s="10"/>
      <c r="H1786" s="14"/>
      <c r="I1786" s="14"/>
      <c r="J1786" s="14"/>
      <c r="K1786" s="14"/>
      <c r="L1786" s="14"/>
      <c r="M1786" s="15"/>
      <c r="N1786" s="10"/>
      <c r="O1786" s="14"/>
      <c r="P1786" s="14"/>
      <c r="Q1786" s="14"/>
      <c r="R1786" s="14"/>
      <c r="S1786" s="14"/>
      <c r="T1786" s="14"/>
      <c r="U1786" s="14"/>
      <c r="V1786" s="14"/>
      <c r="W1786" s="14"/>
      <c r="X1786" s="14"/>
      <c r="Y1786" s="14"/>
      <c r="Z1786" s="14"/>
      <c r="AA1786" s="16" t="str">
        <f t="shared" ca="1" si="1643"/>
        <v>Johnson &amp; Johnson</v>
      </c>
      <c r="AB1786" s="16">
        <f t="shared" si="1643"/>
        <v>0</v>
      </c>
      <c r="AC1786" s="16">
        <f t="shared" si="1643"/>
        <v>0</v>
      </c>
      <c r="AD1786" s="16">
        <f t="shared" si="1643"/>
        <v>0</v>
      </c>
      <c r="AE1786" s="16">
        <f t="shared" si="1643"/>
        <v>0</v>
      </c>
      <c r="AF1786" s="16">
        <f t="shared" si="1643"/>
        <v>0</v>
      </c>
      <c r="AG1786" s="16">
        <f t="shared" si="1643"/>
        <v>0</v>
      </c>
      <c r="AH1786" s="16">
        <f t="shared" si="1643"/>
        <v>0</v>
      </c>
      <c r="AI1786" s="16">
        <f t="shared" si="1643"/>
        <v>0</v>
      </c>
      <c r="AJ1786" s="16">
        <f t="shared" si="1643"/>
        <v>0</v>
      </c>
      <c r="AK1786" s="16">
        <f t="shared" si="1643"/>
        <v>0</v>
      </c>
      <c r="AL1786" s="16">
        <f t="shared" si="1643"/>
        <v>0</v>
      </c>
      <c r="AM1786" s="16">
        <f t="shared" si="1643"/>
        <v>0</v>
      </c>
      <c r="AN1786" s="16">
        <f t="shared" si="1643"/>
        <v>0</v>
      </c>
      <c r="AO1786" s="16">
        <f t="shared" si="1643"/>
        <v>0</v>
      </c>
      <c r="AP1786" s="10"/>
      <c r="AQ1786" s="10"/>
      <c r="AR1786" s="10"/>
      <c r="AS1786" s="10" t="str">
        <f t="shared" ca="1" si="1641"/>
        <v>Johnson &amp; Johnson</v>
      </c>
      <c r="AT1786" s="10"/>
      <c r="AU1786" s="10"/>
      <c r="AV1786" s="10"/>
      <c r="AW1786" s="10"/>
      <c r="AX1786" s="10"/>
      <c r="AY1786" s="10"/>
      <c r="AZ1786" s="10"/>
      <c r="BA1786" s="10"/>
      <c r="BB1786" s="10"/>
      <c r="BC1786" s="10"/>
      <c r="BD1786" s="10"/>
      <c r="BE1786" s="10"/>
      <c r="BF1786" s="10"/>
      <c r="BG1786" s="10"/>
      <c r="BH1786" s="10"/>
      <c r="BI1786" s="10"/>
      <c r="BJ1786" s="10"/>
      <c r="BK1786" s="10"/>
      <c r="BM1786" s="10"/>
    </row>
    <row r="1787" spans="1:65" ht="12.75">
      <c r="A1787" s="9"/>
      <c r="B1787" s="10"/>
      <c r="C1787" s="11"/>
      <c r="D1787" s="12"/>
      <c r="E1787" s="10"/>
      <c r="F1787" s="10"/>
      <c r="G1787" s="10"/>
      <c r="H1787" s="14"/>
      <c r="I1787" s="14"/>
      <c r="J1787" s="14"/>
      <c r="K1787" s="14"/>
      <c r="L1787" s="14"/>
      <c r="M1787" s="15"/>
      <c r="N1787" s="10"/>
      <c r="O1787" s="14"/>
      <c r="P1787" s="14"/>
      <c r="Q1787" s="14"/>
      <c r="R1787" s="14"/>
      <c r="S1787" s="14"/>
      <c r="T1787" s="14"/>
      <c r="U1787" s="14"/>
      <c r="V1787" s="14"/>
      <c r="W1787" s="14"/>
      <c r="X1787" s="14"/>
      <c r="Y1787" s="14"/>
      <c r="Z1787" s="14"/>
      <c r="AA1787" s="16" t="str">
        <f t="shared" ca="1" si="1643"/>
        <v>Johnson &amp; Johnson</v>
      </c>
      <c r="AB1787" s="16">
        <f t="shared" si="1643"/>
        <v>0</v>
      </c>
      <c r="AC1787" s="16">
        <f t="shared" si="1643"/>
        <v>0</v>
      </c>
      <c r="AD1787" s="16">
        <f t="shared" si="1643"/>
        <v>0</v>
      </c>
      <c r="AE1787" s="16">
        <f t="shared" si="1643"/>
        <v>0</v>
      </c>
      <c r="AF1787" s="16">
        <f t="shared" si="1643"/>
        <v>0</v>
      </c>
      <c r="AG1787" s="16">
        <f t="shared" si="1643"/>
        <v>0</v>
      </c>
      <c r="AH1787" s="16">
        <f t="shared" si="1643"/>
        <v>0</v>
      </c>
      <c r="AI1787" s="16">
        <f t="shared" si="1643"/>
        <v>0</v>
      </c>
      <c r="AJ1787" s="16">
        <f t="shared" si="1643"/>
        <v>0</v>
      </c>
      <c r="AK1787" s="16">
        <f t="shared" si="1643"/>
        <v>0</v>
      </c>
      <c r="AL1787" s="16">
        <f t="shared" si="1643"/>
        <v>0</v>
      </c>
      <c r="AM1787" s="16">
        <f t="shared" si="1643"/>
        <v>0</v>
      </c>
      <c r="AN1787" s="16">
        <f t="shared" si="1643"/>
        <v>0</v>
      </c>
      <c r="AO1787" s="16">
        <f t="shared" si="1643"/>
        <v>0</v>
      </c>
      <c r="AP1787" s="10"/>
      <c r="AQ1787" s="10"/>
      <c r="AR1787" s="10"/>
      <c r="AS1787" s="10" t="str">
        <f t="shared" ca="1" si="1641"/>
        <v>Johnson &amp; Johnson</v>
      </c>
      <c r="AT1787" s="10"/>
      <c r="AU1787" s="10"/>
      <c r="AV1787" s="10"/>
      <c r="AW1787" s="10"/>
      <c r="AX1787" s="10"/>
      <c r="AY1787" s="10"/>
      <c r="AZ1787" s="10"/>
      <c r="BA1787" s="10"/>
      <c r="BB1787" s="10"/>
      <c r="BC1787" s="10"/>
      <c r="BD1787" s="10"/>
      <c r="BE1787" s="10"/>
      <c r="BF1787" s="10"/>
      <c r="BG1787" s="10"/>
      <c r="BH1787" s="10"/>
      <c r="BI1787" s="10"/>
      <c r="BJ1787" s="10"/>
      <c r="BK1787" s="10"/>
      <c r="BM1787" s="10"/>
    </row>
    <row r="1788" spans="1:65" ht="12.75">
      <c r="A1788" s="9"/>
      <c r="B1788" s="10"/>
      <c r="C1788" s="11"/>
      <c r="D1788" s="12"/>
      <c r="E1788" s="10"/>
      <c r="F1788" s="10"/>
      <c r="G1788" s="10"/>
      <c r="H1788" s="14"/>
      <c r="I1788" s="14"/>
      <c r="J1788" s="14"/>
      <c r="K1788" s="14"/>
      <c r="L1788" s="14"/>
      <c r="M1788" s="15"/>
      <c r="N1788" s="10"/>
      <c r="O1788" s="14"/>
      <c r="P1788" s="14"/>
      <c r="Q1788" s="14"/>
      <c r="R1788" s="14"/>
      <c r="S1788" s="14"/>
      <c r="T1788" s="14"/>
      <c r="U1788" s="14"/>
      <c r="V1788" s="14"/>
      <c r="W1788" s="14"/>
      <c r="X1788" s="14"/>
      <c r="Y1788" s="14"/>
      <c r="Z1788" s="14"/>
      <c r="AA1788" s="16" t="str">
        <f t="shared" ca="1" si="1643"/>
        <v>Johnson &amp; Johnson</v>
      </c>
      <c r="AB1788" s="16">
        <f t="shared" si="1643"/>
        <v>0</v>
      </c>
      <c r="AC1788" s="16">
        <f t="shared" si="1643"/>
        <v>0</v>
      </c>
      <c r="AD1788" s="16">
        <f t="shared" si="1643"/>
        <v>0</v>
      </c>
      <c r="AE1788" s="16">
        <f t="shared" si="1643"/>
        <v>0</v>
      </c>
      <c r="AF1788" s="16">
        <f t="shared" si="1643"/>
        <v>0</v>
      </c>
      <c r="AG1788" s="16">
        <f t="shared" si="1643"/>
        <v>0</v>
      </c>
      <c r="AH1788" s="16">
        <f t="shared" si="1643"/>
        <v>0</v>
      </c>
      <c r="AI1788" s="16">
        <f t="shared" si="1643"/>
        <v>0</v>
      </c>
      <c r="AJ1788" s="16">
        <f t="shared" si="1643"/>
        <v>0</v>
      </c>
      <c r="AK1788" s="16">
        <f t="shared" si="1643"/>
        <v>0</v>
      </c>
      <c r="AL1788" s="16">
        <f t="shared" si="1643"/>
        <v>0</v>
      </c>
      <c r="AM1788" s="16">
        <f t="shared" si="1643"/>
        <v>0</v>
      </c>
      <c r="AN1788" s="16">
        <f t="shared" si="1643"/>
        <v>0</v>
      </c>
      <c r="AO1788" s="16">
        <f t="shared" si="1643"/>
        <v>0</v>
      </c>
      <c r="AP1788" s="10"/>
      <c r="AQ1788" s="10"/>
      <c r="AR1788" s="10"/>
      <c r="AS1788" s="10" t="str">
        <f t="shared" ca="1" si="1641"/>
        <v>Johnson &amp; Johnson</v>
      </c>
      <c r="AT1788" s="10"/>
      <c r="AU1788" s="10"/>
      <c r="AV1788" s="10"/>
      <c r="AW1788" s="10"/>
      <c r="AX1788" s="10"/>
      <c r="AY1788" s="10"/>
      <c r="AZ1788" s="10"/>
      <c r="BA1788" s="10"/>
      <c r="BB1788" s="10"/>
      <c r="BC1788" s="10"/>
      <c r="BD1788" s="10"/>
      <c r="BE1788" s="10"/>
      <c r="BF1788" s="10"/>
      <c r="BG1788" s="10"/>
      <c r="BH1788" s="10"/>
      <c r="BI1788" s="10"/>
      <c r="BJ1788" s="10"/>
      <c r="BK1788" s="10"/>
      <c r="BM1788" s="10"/>
    </row>
    <row r="1789" spans="1:65" ht="12.75">
      <c r="A1789" s="9"/>
      <c r="B1789" s="10"/>
      <c r="C1789" s="11"/>
      <c r="D1789" s="12"/>
      <c r="E1789" s="10"/>
      <c r="F1789" s="10"/>
      <c r="G1789" s="10"/>
      <c r="H1789" s="14"/>
      <c r="I1789" s="14"/>
      <c r="J1789" s="14"/>
      <c r="K1789" s="14"/>
      <c r="L1789" s="14"/>
      <c r="M1789" s="15"/>
      <c r="N1789" s="10"/>
      <c r="O1789" s="14"/>
      <c r="P1789" s="14"/>
      <c r="Q1789" s="14"/>
      <c r="R1789" s="14"/>
      <c r="S1789" s="14"/>
      <c r="T1789" s="14"/>
      <c r="U1789" s="14"/>
      <c r="V1789" s="14"/>
      <c r="W1789" s="14"/>
      <c r="X1789" s="14"/>
      <c r="Y1789" s="14"/>
      <c r="Z1789" s="14"/>
      <c r="AA1789" s="16" t="str">
        <f t="shared" ca="1" si="1643"/>
        <v>Johnson &amp; Johnson</v>
      </c>
      <c r="AB1789" s="16">
        <f t="shared" si="1643"/>
        <v>0</v>
      </c>
      <c r="AC1789" s="16">
        <f t="shared" si="1643"/>
        <v>0</v>
      </c>
      <c r="AD1789" s="16">
        <f t="shared" si="1643"/>
        <v>0</v>
      </c>
      <c r="AE1789" s="16">
        <f t="shared" si="1643"/>
        <v>0</v>
      </c>
      <c r="AF1789" s="16">
        <f t="shared" si="1643"/>
        <v>0</v>
      </c>
      <c r="AG1789" s="16">
        <f t="shared" si="1643"/>
        <v>0</v>
      </c>
      <c r="AH1789" s="16">
        <f t="shared" si="1643"/>
        <v>0</v>
      </c>
      <c r="AI1789" s="16">
        <f t="shared" si="1643"/>
        <v>0</v>
      </c>
      <c r="AJ1789" s="16">
        <f t="shared" si="1643"/>
        <v>0</v>
      </c>
      <c r="AK1789" s="16">
        <f t="shared" si="1643"/>
        <v>0</v>
      </c>
      <c r="AL1789" s="16">
        <f t="shared" si="1643"/>
        <v>0</v>
      </c>
      <c r="AM1789" s="16">
        <f t="shared" si="1643"/>
        <v>0</v>
      </c>
      <c r="AN1789" s="16">
        <f t="shared" si="1643"/>
        <v>0</v>
      </c>
      <c r="AO1789" s="16">
        <f t="shared" si="1643"/>
        <v>0</v>
      </c>
      <c r="AP1789" s="10"/>
      <c r="AQ1789" s="10"/>
      <c r="AR1789" s="10"/>
      <c r="AS1789" s="10" t="str">
        <f t="shared" ca="1" si="1641"/>
        <v>Johnson &amp; Johnson</v>
      </c>
      <c r="AT1789" s="10"/>
      <c r="AU1789" s="10"/>
      <c r="AV1789" s="10"/>
      <c r="AW1789" s="10"/>
      <c r="AX1789" s="10"/>
      <c r="AY1789" s="10"/>
      <c r="AZ1789" s="10"/>
      <c r="BA1789" s="10"/>
      <c r="BB1789" s="10"/>
      <c r="BC1789" s="10"/>
      <c r="BD1789" s="10"/>
      <c r="BE1789" s="10"/>
      <c r="BF1789" s="10"/>
      <c r="BG1789" s="10"/>
      <c r="BH1789" s="10"/>
      <c r="BI1789" s="10"/>
      <c r="BJ1789" s="10"/>
      <c r="BK1789" s="10"/>
      <c r="BM1789" s="10"/>
    </row>
    <row r="1790" spans="1:65" ht="12.75">
      <c r="A1790" s="9"/>
      <c r="B1790" s="10"/>
      <c r="C1790" s="11"/>
      <c r="D1790" s="12"/>
      <c r="E1790" s="10"/>
      <c r="F1790" s="10"/>
      <c r="G1790" s="10"/>
      <c r="H1790" s="14"/>
      <c r="I1790" s="14"/>
      <c r="J1790" s="14"/>
      <c r="K1790" s="14"/>
      <c r="L1790" s="14"/>
      <c r="M1790" s="15"/>
      <c r="N1790" s="10"/>
      <c r="O1790" s="14"/>
      <c r="P1790" s="14"/>
      <c r="Q1790" s="14"/>
      <c r="R1790" s="14"/>
      <c r="S1790" s="14"/>
      <c r="T1790" s="14"/>
      <c r="U1790" s="14"/>
      <c r="V1790" s="14"/>
      <c r="W1790" s="14"/>
      <c r="X1790" s="14"/>
      <c r="Y1790" s="14"/>
      <c r="Z1790" s="14"/>
      <c r="AA1790" s="16" t="str">
        <f t="shared" ca="1" si="1643"/>
        <v>Johnson &amp; Johnson</v>
      </c>
      <c r="AB1790" s="16">
        <f t="shared" si="1643"/>
        <v>0</v>
      </c>
      <c r="AC1790" s="16">
        <f t="shared" si="1643"/>
        <v>0</v>
      </c>
      <c r="AD1790" s="16">
        <f t="shared" si="1643"/>
        <v>0</v>
      </c>
      <c r="AE1790" s="16">
        <f t="shared" si="1643"/>
        <v>0</v>
      </c>
      <c r="AF1790" s="16">
        <f t="shared" si="1643"/>
        <v>0</v>
      </c>
      <c r="AG1790" s="16">
        <f t="shared" si="1643"/>
        <v>0</v>
      </c>
      <c r="AH1790" s="16">
        <f t="shared" si="1643"/>
        <v>0</v>
      </c>
      <c r="AI1790" s="16">
        <f t="shared" si="1643"/>
        <v>0</v>
      </c>
      <c r="AJ1790" s="16">
        <f t="shared" si="1643"/>
        <v>0</v>
      </c>
      <c r="AK1790" s="16">
        <f t="shared" si="1643"/>
        <v>0</v>
      </c>
      <c r="AL1790" s="16">
        <f t="shared" si="1643"/>
        <v>0</v>
      </c>
      <c r="AM1790" s="16">
        <f t="shared" si="1643"/>
        <v>0</v>
      </c>
      <c r="AN1790" s="16">
        <f t="shared" si="1643"/>
        <v>0</v>
      </c>
      <c r="AO1790" s="16">
        <f t="shared" si="1643"/>
        <v>0</v>
      </c>
      <c r="AP1790" s="10"/>
      <c r="AQ1790" s="10"/>
      <c r="AR1790" s="10"/>
      <c r="AS1790" s="10" t="str">
        <f t="shared" ca="1" si="1641"/>
        <v>Johnson &amp; Johnson</v>
      </c>
      <c r="AT1790" s="10"/>
      <c r="AU1790" s="10"/>
      <c r="AV1790" s="10"/>
      <c r="AW1790" s="10"/>
      <c r="AX1790" s="10"/>
      <c r="AY1790" s="10"/>
      <c r="AZ1790" s="10"/>
      <c r="BA1790" s="10"/>
      <c r="BB1790" s="10"/>
      <c r="BC1790" s="10"/>
      <c r="BD1790" s="10"/>
      <c r="BE1790" s="10"/>
      <c r="BF1790" s="10"/>
      <c r="BG1790" s="10"/>
      <c r="BH1790" s="10"/>
      <c r="BI1790" s="10"/>
      <c r="BJ1790" s="10"/>
      <c r="BK1790" s="10"/>
      <c r="BM1790" s="10"/>
    </row>
    <row r="1791" spans="1:65" ht="12.75">
      <c r="A1791" s="9"/>
      <c r="B1791" s="10"/>
      <c r="C1791" s="11"/>
      <c r="D1791" s="12"/>
      <c r="E1791" s="10"/>
      <c r="F1791" s="10"/>
      <c r="G1791" s="10"/>
      <c r="H1791" s="14"/>
      <c r="I1791" s="14"/>
      <c r="J1791" s="14"/>
      <c r="K1791" s="14"/>
      <c r="L1791" s="14"/>
      <c r="M1791" s="15"/>
      <c r="N1791" s="10"/>
      <c r="O1791" s="14"/>
      <c r="P1791" s="14"/>
      <c r="Q1791" s="14"/>
      <c r="R1791" s="14"/>
      <c r="S1791" s="14"/>
      <c r="T1791" s="14"/>
      <c r="U1791" s="14"/>
      <c r="V1791" s="14"/>
      <c r="W1791" s="14"/>
      <c r="X1791" s="14"/>
      <c r="Y1791" s="14"/>
      <c r="Z1791" s="14"/>
      <c r="AA1791" s="16" t="str">
        <f t="shared" ca="1" si="1643"/>
        <v>Johnson &amp; Johnson</v>
      </c>
      <c r="AB1791" s="16">
        <f t="shared" si="1643"/>
        <v>0</v>
      </c>
      <c r="AC1791" s="16">
        <f t="shared" si="1643"/>
        <v>0</v>
      </c>
      <c r="AD1791" s="16">
        <f t="shared" si="1643"/>
        <v>0</v>
      </c>
      <c r="AE1791" s="16">
        <f t="shared" si="1643"/>
        <v>0</v>
      </c>
      <c r="AF1791" s="16">
        <f t="shared" si="1643"/>
        <v>0</v>
      </c>
      <c r="AG1791" s="16">
        <f t="shared" si="1643"/>
        <v>0</v>
      </c>
      <c r="AH1791" s="16">
        <f t="shared" si="1643"/>
        <v>0</v>
      </c>
      <c r="AI1791" s="16">
        <f t="shared" si="1643"/>
        <v>0</v>
      </c>
      <c r="AJ1791" s="16">
        <f t="shared" si="1643"/>
        <v>0</v>
      </c>
      <c r="AK1791" s="16">
        <f t="shared" si="1643"/>
        <v>0</v>
      </c>
      <c r="AL1791" s="16">
        <f t="shared" si="1643"/>
        <v>0</v>
      </c>
      <c r="AM1791" s="16">
        <f t="shared" si="1643"/>
        <v>0</v>
      </c>
      <c r="AN1791" s="16">
        <f t="shared" si="1643"/>
        <v>0</v>
      </c>
      <c r="AO1791" s="16">
        <f t="shared" si="1643"/>
        <v>0</v>
      </c>
      <c r="AP1791" s="10"/>
      <c r="AQ1791" s="10"/>
      <c r="AR1791" s="10"/>
      <c r="AS1791" s="10" t="str">
        <f t="shared" ca="1" si="1641"/>
        <v>Johnson &amp; Johnson</v>
      </c>
      <c r="AT1791" s="10"/>
      <c r="AU1791" s="10"/>
      <c r="AV1791" s="10"/>
      <c r="AW1791" s="10"/>
      <c r="AX1791" s="10"/>
      <c r="AY1791" s="10"/>
      <c r="AZ1791" s="10"/>
      <c r="BA1791" s="10"/>
      <c r="BB1791" s="10"/>
      <c r="BC1791" s="10"/>
      <c r="BD1791" s="10"/>
      <c r="BE1791" s="10"/>
      <c r="BF1791" s="10"/>
      <c r="BG1791" s="10"/>
      <c r="BH1791" s="10"/>
      <c r="BI1791" s="10"/>
      <c r="BJ1791" s="10"/>
      <c r="BK1791" s="10"/>
      <c r="BM1791" s="10"/>
    </row>
    <row r="1792" spans="1:65" ht="12.75">
      <c r="A1792" s="9"/>
      <c r="B1792" s="10"/>
      <c r="C1792" s="11"/>
      <c r="D1792" s="12"/>
      <c r="E1792" s="10"/>
      <c r="F1792" s="10"/>
      <c r="G1792" s="10"/>
      <c r="H1792" s="14"/>
      <c r="I1792" s="14"/>
      <c r="J1792" s="14"/>
      <c r="K1792" s="14"/>
      <c r="L1792" s="14"/>
      <c r="M1792" s="15"/>
      <c r="N1792" s="10"/>
      <c r="O1792" s="14"/>
      <c r="P1792" s="14"/>
      <c r="Q1792" s="14"/>
      <c r="R1792" s="14"/>
      <c r="S1792" s="14"/>
      <c r="T1792" s="14"/>
      <c r="U1792" s="14"/>
      <c r="V1792" s="14"/>
      <c r="W1792" s="14"/>
      <c r="X1792" s="14"/>
      <c r="Y1792" s="14"/>
      <c r="Z1792" s="14"/>
      <c r="AA1792" s="16" t="str">
        <f t="shared" ca="1" si="1643"/>
        <v>Johnson &amp; Johnson</v>
      </c>
      <c r="AB1792" s="16">
        <f t="shared" si="1643"/>
        <v>0</v>
      </c>
      <c r="AC1792" s="16">
        <f t="shared" si="1643"/>
        <v>0</v>
      </c>
      <c r="AD1792" s="16">
        <f t="shared" si="1643"/>
        <v>0</v>
      </c>
      <c r="AE1792" s="16">
        <f t="shared" si="1643"/>
        <v>0</v>
      </c>
      <c r="AF1792" s="16">
        <f t="shared" si="1643"/>
        <v>0</v>
      </c>
      <c r="AG1792" s="16">
        <f t="shared" si="1643"/>
        <v>0</v>
      </c>
      <c r="AH1792" s="16">
        <f t="shared" si="1643"/>
        <v>0</v>
      </c>
      <c r="AI1792" s="16">
        <f t="shared" si="1643"/>
        <v>0</v>
      </c>
      <c r="AJ1792" s="16">
        <f t="shared" si="1643"/>
        <v>0</v>
      </c>
      <c r="AK1792" s="16">
        <f t="shared" si="1643"/>
        <v>0</v>
      </c>
      <c r="AL1792" s="16">
        <f t="shared" si="1643"/>
        <v>0</v>
      </c>
      <c r="AM1792" s="16">
        <f t="shared" si="1643"/>
        <v>0</v>
      </c>
      <c r="AN1792" s="16">
        <f t="shared" si="1643"/>
        <v>0</v>
      </c>
      <c r="AO1792" s="16">
        <f t="shared" si="1643"/>
        <v>0</v>
      </c>
      <c r="AP1792" s="10"/>
      <c r="AQ1792" s="10"/>
      <c r="AR1792" s="10"/>
      <c r="AS1792" s="10" t="str">
        <f t="shared" ca="1" si="1641"/>
        <v>Johnson &amp; Johnson</v>
      </c>
      <c r="AT1792" s="10"/>
      <c r="AU1792" s="10"/>
      <c r="AV1792" s="10"/>
      <c r="AW1792" s="10"/>
      <c r="AX1792" s="10"/>
      <c r="AY1792" s="10"/>
      <c r="AZ1792" s="10"/>
      <c r="BA1792" s="10"/>
      <c r="BB1792" s="10"/>
      <c r="BC1792" s="10"/>
      <c r="BD1792" s="10"/>
      <c r="BE1792" s="10"/>
      <c r="BF1792" s="10"/>
      <c r="BG1792" s="10"/>
      <c r="BH1792" s="10"/>
      <c r="BI1792" s="10"/>
      <c r="BJ1792" s="10"/>
      <c r="BK1792" s="10"/>
      <c r="BM1792" s="10"/>
    </row>
    <row r="1793" spans="1:65" ht="12.75">
      <c r="A1793" s="9"/>
      <c r="B1793" s="10"/>
      <c r="C1793" s="11"/>
      <c r="D1793" s="12"/>
      <c r="E1793" s="10"/>
      <c r="F1793" s="10"/>
      <c r="G1793" s="10"/>
      <c r="H1793" s="14"/>
      <c r="I1793" s="14"/>
      <c r="J1793" s="14"/>
      <c r="K1793" s="14"/>
      <c r="L1793" s="14"/>
      <c r="M1793" s="15"/>
      <c r="N1793" s="10"/>
      <c r="O1793" s="14"/>
      <c r="P1793" s="14"/>
      <c r="Q1793" s="14"/>
      <c r="R1793" s="14"/>
      <c r="S1793" s="14"/>
      <c r="T1793" s="14"/>
      <c r="U1793" s="14"/>
      <c r="V1793" s="14"/>
      <c r="W1793" s="14"/>
      <c r="X1793" s="14"/>
      <c r="Y1793" s="14"/>
      <c r="Z1793" s="14"/>
      <c r="AA1793" s="16" t="str">
        <f t="shared" ca="1" si="1643"/>
        <v>Johnson &amp; Johnson</v>
      </c>
      <c r="AB1793" s="16">
        <f t="shared" si="1643"/>
        <v>0</v>
      </c>
      <c r="AC1793" s="16">
        <f t="shared" si="1643"/>
        <v>0</v>
      </c>
      <c r="AD1793" s="16">
        <f t="shared" si="1643"/>
        <v>0</v>
      </c>
      <c r="AE1793" s="16">
        <f t="shared" si="1643"/>
        <v>0</v>
      </c>
      <c r="AF1793" s="16">
        <f t="shared" si="1643"/>
        <v>0</v>
      </c>
      <c r="AG1793" s="16">
        <f t="shared" si="1643"/>
        <v>0</v>
      </c>
      <c r="AH1793" s="16">
        <f t="shared" si="1643"/>
        <v>0</v>
      </c>
      <c r="AI1793" s="16">
        <f t="shared" si="1643"/>
        <v>0</v>
      </c>
      <c r="AJ1793" s="16">
        <f t="shared" si="1643"/>
        <v>0</v>
      </c>
      <c r="AK1793" s="16">
        <f t="shared" si="1643"/>
        <v>0</v>
      </c>
      <c r="AL1793" s="16">
        <f t="shared" si="1643"/>
        <v>0</v>
      </c>
      <c r="AM1793" s="16">
        <f t="shared" si="1643"/>
        <v>0</v>
      </c>
      <c r="AN1793" s="16">
        <f t="shared" si="1643"/>
        <v>0</v>
      </c>
      <c r="AO1793" s="16">
        <f t="shared" si="1643"/>
        <v>0</v>
      </c>
      <c r="AP1793" s="10"/>
      <c r="AQ1793" s="10"/>
      <c r="AR1793" s="10"/>
      <c r="AS1793" s="10" t="str">
        <f t="shared" ca="1" si="1641"/>
        <v>Johnson &amp; Johnson</v>
      </c>
      <c r="AT1793" s="10"/>
      <c r="AU1793" s="10"/>
      <c r="AV1793" s="10"/>
      <c r="AW1793" s="10"/>
      <c r="AX1793" s="10"/>
      <c r="AY1793" s="10"/>
      <c r="AZ1793" s="10"/>
      <c r="BA1793" s="10"/>
      <c r="BB1793" s="10"/>
      <c r="BC1793" s="10"/>
      <c r="BD1793" s="10"/>
      <c r="BE1793" s="10"/>
      <c r="BF1793" s="10"/>
      <c r="BG1793" s="10"/>
      <c r="BH1793" s="10"/>
      <c r="BI1793" s="10"/>
      <c r="BJ1793" s="10"/>
      <c r="BK1793" s="10"/>
      <c r="BM1793" s="10"/>
    </row>
    <row r="1794" spans="1:65" ht="12.75">
      <c r="A1794" s="9"/>
      <c r="B1794" s="10"/>
      <c r="C1794" s="11"/>
      <c r="D1794" s="12"/>
      <c r="E1794" s="10"/>
      <c r="F1794" s="10"/>
      <c r="G1794" s="10"/>
      <c r="H1794" s="14"/>
      <c r="I1794" s="14"/>
      <c r="J1794" s="14"/>
      <c r="K1794" s="14"/>
      <c r="L1794" s="14"/>
      <c r="M1794" s="15"/>
      <c r="N1794" s="10"/>
      <c r="O1794" s="14"/>
      <c r="P1794" s="14"/>
      <c r="Q1794" s="14"/>
      <c r="R1794" s="14"/>
      <c r="S1794" s="14"/>
      <c r="T1794" s="14"/>
      <c r="U1794" s="14"/>
      <c r="V1794" s="14"/>
      <c r="W1794" s="14"/>
      <c r="X1794" s="14"/>
      <c r="Y1794" s="14"/>
      <c r="Z1794" s="14"/>
      <c r="AA1794" s="16" t="str">
        <f t="shared" ca="1" si="1643"/>
        <v>Johnson &amp; Johnson</v>
      </c>
      <c r="AB1794" s="16">
        <f t="shared" si="1643"/>
        <v>0</v>
      </c>
      <c r="AC1794" s="16">
        <f t="shared" si="1643"/>
        <v>0</v>
      </c>
      <c r="AD1794" s="16">
        <f t="shared" si="1643"/>
        <v>0</v>
      </c>
      <c r="AE1794" s="16">
        <f t="shared" si="1643"/>
        <v>0</v>
      </c>
      <c r="AF1794" s="16">
        <f t="shared" si="1643"/>
        <v>0</v>
      </c>
      <c r="AG1794" s="16">
        <f t="shared" si="1643"/>
        <v>0</v>
      </c>
      <c r="AH1794" s="16">
        <f t="shared" si="1643"/>
        <v>0</v>
      </c>
      <c r="AI1794" s="16">
        <f t="shared" si="1643"/>
        <v>0</v>
      </c>
      <c r="AJ1794" s="16">
        <f t="shared" si="1643"/>
        <v>0</v>
      </c>
      <c r="AK1794" s="16">
        <f t="shared" si="1643"/>
        <v>0</v>
      </c>
      <c r="AL1794" s="16">
        <f t="shared" si="1643"/>
        <v>0</v>
      </c>
      <c r="AM1794" s="16">
        <f t="shared" si="1643"/>
        <v>0</v>
      </c>
      <c r="AN1794" s="16">
        <f t="shared" si="1643"/>
        <v>0</v>
      </c>
      <c r="AO1794" s="16">
        <f t="shared" si="1643"/>
        <v>0</v>
      </c>
      <c r="AP1794" s="10"/>
      <c r="AQ1794" s="10"/>
      <c r="AR1794" s="10"/>
      <c r="AS1794" s="10" t="str">
        <f t="shared" ca="1" si="1641"/>
        <v>Johnson &amp; Johnson</v>
      </c>
      <c r="AT1794" s="10"/>
      <c r="AU1794" s="10"/>
      <c r="AV1794" s="10"/>
      <c r="AW1794" s="10"/>
      <c r="AX1794" s="10"/>
      <c r="AY1794" s="10"/>
      <c r="AZ1794" s="10"/>
      <c r="BA1794" s="10"/>
      <c r="BB1794" s="10"/>
      <c r="BC1794" s="10"/>
      <c r="BD1794" s="10"/>
      <c r="BE1794" s="10"/>
      <c r="BF1794" s="10"/>
      <c r="BG1794" s="10"/>
      <c r="BH1794" s="10"/>
      <c r="BI1794" s="10"/>
      <c r="BJ1794" s="10"/>
      <c r="BK1794" s="10"/>
      <c r="BM1794" s="10"/>
    </row>
    <row r="1795" spans="1:65" ht="12.75">
      <c r="A1795" s="9"/>
      <c r="B1795" s="10"/>
      <c r="C1795" s="11"/>
      <c r="D1795" s="12"/>
      <c r="E1795" s="10"/>
      <c r="F1795" s="10"/>
      <c r="G1795" s="10"/>
      <c r="H1795" s="14"/>
      <c r="I1795" s="14"/>
      <c r="J1795" s="14"/>
      <c r="K1795" s="14"/>
      <c r="L1795" s="14"/>
      <c r="M1795" s="15"/>
      <c r="N1795" s="10"/>
      <c r="O1795" s="14"/>
      <c r="P1795" s="14"/>
      <c r="Q1795" s="14"/>
      <c r="R1795" s="14"/>
      <c r="S1795" s="14"/>
      <c r="T1795" s="14"/>
      <c r="U1795" s="14"/>
      <c r="V1795" s="14"/>
      <c r="W1795" s="14"/>
      <c r="X1795" s="14"/>
      <c r="Y1795" s="14"/>
      <c r="Z1795" s="14"/>
      <c r="AA1795" s="16" t="str">
        <f t="shared" ca="1" si="1643"/>
        <v>Johnson &amp; Johnson</v>
      </c>
      <c r="AB1795" s="16">
        <f t="shared" si="1643"/>
        <v>0</v>
      </c>
      <c r="AC1795" s="16">
        <f t="shared" si="1643"/>
        <v>0</v>
      </c>
      <c r="AD1795" s="16">
        <f t="shared" si="1643"/>
        <v>0</v>
      </c>
      <c r="AE1795" s="16">
        <f t="shared" si="1643"/>
        <v>0</v>
      </c>
      <c r="AF1795" s="16">
        <f t="shared" si="1643"/>
        <v>0</v>
      </c>
      <c r="AG1795" s="16">
        <f t="shared" si="1643"/>
        <v>0</v>
      </c>
      <c r="AH1795" s="16">
        <f t="shared" si="1643"/>
        <v>0</v>
      </c>
      <c r="AI1795" s="16">
        <f t="shared" si="1643"/>
        <v>0</v>
      </c>
      <c r="AJ1795" s="16">
        <f t="shared" si="1643"/>
        <v>0</v>
      </c>
      <c r="AK1795" s="16">
        <f t="shared" si="1643"/>
        <v>0</v>
      </c>
      <c r="AL1795" s="16">
        <f t="shared" si="1643"/>
        <v>0</v>
      </c>
      <c r="AM1795" s="16">
        <f t="shared" si="1643"/>
        <v>0</v>
      </c>
      <c r="AN1795" s="16">
        <f t="shared" si="1643"/>
        <v>0</v>
      </c>
      <c r="AO1795" s="16">
        <f t="shared" si="1643"/>
        <v>0</v>
      </c>
      <c r="AP1795" s="10"/>
      <c r="AQ1795" s="10"/>
      <c r="AR1795" s="10"/>
      <c r="AS1795" s="10" t="str">
        <f t="shared" ca="1" si="1641"/>
        <v>Johnson &amp; Johnson</v>
      </c>
      <c r="AT1795" s="10"/>
      <c r="AU1795" s="10"/>
      <c r="AV1795" s="10"/>
      <c r="AW1795" s="10"/>
      <c r="AX1795" s="10"/>
      <c r="AY1795" s="10"/>
      <c r="AZ1795" s="10"/>
      <c r="BA1795" s="10"/>
      <c r="BB1795" s="10"/>
      <c r="BC1795" s="10"/>
      <c r="BD1795" s="10"/>
      <c r="BE1795" s="10"/>
      <c r="BF1795" s="10"/>
      <c r="BG1795" s="10"/>
      <c r="BH1795" s="10"/>
      <c r="BI1795" s="10"/>
      <c r="BJ1795" s="10"/>
      <c r="BK1795" s="10"/>
      <c r="BM1795" s="10"/>
    </row>
    <row r="1796" spans="1:65" ht="12.75">
      <c r="A1796" s="9"/>
      <c r="B1796" s="10"/>
      <c r="C1796" s="11"/>
      <c r="D1796" s="12"/>
      <c r="E1796" s="10"/>
      <c r="F1796" s="10"/>
      <c r="G1796" s="10"/>
      <c r="H1796" s="14"/>
      <c r="I1796" s="14"/>
      <c r="J1796" s="14"/>
      <c r="K1796" s="14"/>
      <c r="L1796" s="14"/>
      <c r="M1796" s="15"/>
      <c r="N1796" s="10"/>
      <c r="O1796" s="14"/>
      <c r="P1796" s="14"/>
      <c r="Q1796" s="14"/>
      <c r="R1796" s="14"/>
      <c r="S1796" s="14"/>
      <c r="T1796" s="14"/>
      <c r="U1796" s="14"/>
      <c r="V1796" s="14"/>
      <c r="W1796" s="14"/>
      <c r="X1796" s="14"/>
      <c r="Y1796" s="14"/>
      <c r="Z1796" s="14"/>
      <c r="AA1796" s="16" t="str">
        <f t="shared" ca="1" si="1643"/>
        <v>Johnson &amp; Johnson</v>
      </c>
      <c r="AB1796" s="16">
        <f t="shared" si="1643"/>
        <v>0</v>
      </c>
      <c r="AC1796" s="16">
        <f t="shared" si="1643"/>
        <v>0</v>
      </c>
      <c r="AD1796" s="16">
        <f t="shared" si="1643"/>
        <v>0</v>
      </c>
      <c r="AE1796" s="16">
        <f t="shared" si="1643"/>
        <v>0</v>
      </c>
      <c r="AF1796" s="16">
        <f t="shared" si="1643"/>
        <v>0</v>
      </c>
      <c r="AG1796" s="16">
        <f t="shared" si="1643"/>
        <v>0</v>
      </c>
      <c r="AH1796" s="16">
        <f t="shared" si="1643"/>
        <v>0</v>
      </c>
      <c r="AI1796" s="16">
        <f t="shared" si="1643"/>
        <v>0</v>
      </c>
      <c r="AJ1796" s="16">
        <f t="shared" si="1643"/>
        <v>0</v>
      </c>
      <c r="AK1796" s="16">
        <f t="shared" si="1643"/>
        <v>0</v>
      </c>
      <c r="AL1796" s="16">
        <f t="shared" si="1643"/>
        <v>0</v>
      </c>
      <c r="AM1796" s="16">
        <f t="shared" si="1643"/>
        <v>0</v>
      </c>
      <c r="AN1796" s="16">
        <f t="shared" si="1643"/>
        <v>0</v>
      </c>
      <c r="AO1796" s="16">
        <f t="shared" si="1643"/>
        <v>0</v>
      </c>
      <c r="AP1796" s="10"/>
      <c r="AQ1796" s="10"/>
      <c r="AR1796" s="10"/>
      <c r="AS1796" s="10" t="str">
        <f t="shared" ca="1" si="1641"/>
        <v>Johnson &amp; Johnson</v>
      </c>
      <c r="AT1796" s="10"/>
      <c r="AU1796" s="10"/>
      <c r="AV1796" s="10"/>
      <c r="AW1796" s="10"/>
      <c r="AX1796" s="10"/>
      <c r="AY1796" s="10"/>
      <c r="AZ1796" s="10"/>
      <c r="BA1796" s="10"/>
      <c r="BB1796" s="10"/>
      <c r="BC1796" s="10"/>
      <c r="BD1796" s="10"/>
      <c r="BE1796" s="10"/>
      <c r="BF1796" s="10"/>
      <c r="BG1796" s="10"/>
      <c r="BH1796" s="10"/>
      <c r="BI1796" s="10"/>
      <c r="BJ1796" s="10"/>
      <c r="BK1796" s="10"/>
      <c r="BM1796" s="10"/>
    </row>
    <row r="1797" spans="1:65" ht="12.75">
      <c r="A1797" s="9"/>
      <c r="B1797" s="10"/>
      <c r="C1797" s="11"/>
      <c r="D1797" s="12"/>
      <c r="E1797" s="10"/>
      <c r="F1797" s="10"/>
      <c r="G1797" s="10"/>
      <c r="H1797" s="14"/>
      <c r="I1797" s="14"/>
      <c r="J1797" s="14"/>
      <c r="K1797" s="14"/>
      <c r="L1797" s="14"/>
      <c r="M1797" s="15"/>
      <c r="N1797" s="10"/>
      <c r="O1797" s="14"/>
      <c r="P1797" s="14"/>
      <c r="Q1797" s="14"/>
      <c r="R1797" s="14"/>
      <c r="S1797" s="14"/>
      <c r="T1797" s="14"/>
      <c r="U1797" s="14"/>
      <c r="V1797" s="14"/>
      <c r="W1797" s="14"/>
      <c r="X1797" s="14"/>
      <c r="Y1797" s="14"/>
      <c r="Z1797" s="14"/>
      <c r="AA1797" s="16" t="str">
        <f t="shared" ca="1" si="1643"/>
        <v>Johnson &amp; Johnson</v>
      </c>
      <c r="AB1797" s="16">
        <f t="shared" si="1643"/>
        <v>0</v>
      </c>
      <c r="AC1797" s="16">
        <f t="shared" si="1643"/>
        <v>0</v>
      </c>
      <c r="AD1797" s="16">
        <f t="shared" si="1643"/>
        <v>0</v>
      </c>
      <c r="AE1797" s="16">
        <f t="shared" si="1643"/>
        <v>0</v>
      </c>
      <c r="AF1797" s="16">
        <f t="shared" si="1643"/>
        <v>0</v>
      </c>
      <c r="AG1797" s="16">
        <f t="shared" si="1643"/>
        <v>0</v>
      </c>
      <c r="AH1797" s="16">
        <f t="shared" si="1643"/>
        <v>0</v>
      </c>
      <c r="AI1797" s="16">
        <f t="shared" si="1643"/>
        <v>0</v>
      </c>
      <c r="AJ1797" s="16">
        <f t="shared" si="1643"/>
        <v>0</v>
      </c>
      <c r="AK1797" s="16">
        <f t="shared" si="1643"/>
        <v>0</v>
      </c>
      <c r="AL1797" s="16">
        <f t="shared" si="1643"/>
        <v>0</v>
      </c>
      <c r="AM1797" s="16">
        <f t="shared" si="1643"/>
        <v>0</v>
      </c>
      <c r="AN1797" s="16">
        <f t="shared" si="1643"/>
        <v>0</v>
      </c>
      <c r="AO1797" s="16">
        <f t="shared" si="1643"/>
        <v>0</v>
      </c>
      <c r="AP1797" s="10"/>
      <c r="AQ1797" s="10"/>
      <c r="AR1797" s="10"/>
      <c r="AS1797" s="10" t="str">
        <f t="shared" ca="1" si="1641"/>
        <v>Johnson &amp; Johnson</v>
      </c>
      <c r="AT1797" s="10"/>
      <c r="AU1797" s="10"/>
      <c r="AV1797" s="10"/>
      <c r="AW1797" s="10"/>
      <c r="AX1797" s="10"/>
      <c r="AY1797" s="10"/>
      <c r="AZ1797" s="10"/>
      <c r="BA1797" s="10"/>
      <c r="BB1797" s="10"/>
      <c r="BC1797" s="10"/>
      <c r="BD1797" s="10"/>
      <c r="BE1797" s="10"/>
      <c r="BF1797" s="10"/>
      <c r="BG1797" s="10"/>
      <c r="BH1797" s="10"/>
      <c r="BI1797" s="10"/>
      <c r="BJ1797" s="10"/>
      <c r="BK1797" s="10"/>
      <c r="BM1797" s="10"/>
    </row>
    <row r="1798" spans="1:65" ht="12.75">
      <c r="A1798" s="9"/>
      <c r="B1798" s="10"/>
      <c r="C1798" s="11"/>
      <c r="D1798" s="12"/>
      <c r="E1798" s="10"/>
      <c r="F1798" s="10"/>
      <c r="G1798" s="10"/>
      <c r="H1798" s="14"/>
      <c r="I1798" s="14"/>
      <c r="J1798" s="14"/>
      <c r="K1798" s="14"/>
      <c r="L1798" s="14"/>
      <c r="M1798" s="15"/>
      <c r="N1798" s="10"/>
      <c r="O1798" s="14"/>
      <c r="P1798" s="14"/>
      <c r="Q1798" s="14"/>
      <c r="R1798" s="14"/>
      <c r="S1798" s="14"/>
      <c r="T1798" s="14"/>
      <c r="U1798" s="14"/>
      <c r="V1798" s="14"/>
      <c r="W1798" s="14"/>
      <c r="X1798" s="14"/>
      <c r="Y1798" s="14"/>
      <c r="Z1798" s="14"/>
      <c r="AA1798" s="16" t="str">
        <f t="shared" ca="1" si="1643"/>
        <v>Johnson &amp; Johnson</v>
      </c>
      <c r="AB1798" s="16">
        <f t="shared" si="1643"/>
        <v>0</v>
      </c>
      <c r="AC1798" s="16">
        <f t="shared" si="1643"/>
        <v>0</v>
      </c>
      <c r="AD1798" s="16">
        <f t="shared" si="1643"/>
        <v>0</v>
      </c>
      <c r="AE1798" s="16">
        <f t="shared" si="1643"/>
        <v>0</v>
      </c>
      <c r="AF1798" s="16">
        <f t="shared" si="1643"/>
        <v>0</v>
      </c>
      <c r="AG1798" s="16">
        <f t="shared" si="1643"/>
        <v>0</v>
      </c>
      <c r="AH1798" s="16">
        <f t="shared" si="1643"/>
        <v>0</v>
      </c>
      <c r="AI1798" s="16">
        <f t="shared" si="1643"/>
        <v>0</v>
      </c>
      <c r="AJ1798" s="16">
        <f t="shared" si="1643"/>
        <v>0</v>
      </c>
      <c r="AK1798" s="16">
        <f t="shared" si="1643"/>
        <v>0</v>
      </c>
      <c r="AL1798" s="16">
        <f t="shared" si="1643"/>
        <v>0</v>
      </c>
      <c r="AM1798" s="16">
        <f t="shared" si="1643"/>
        <v>0</v>
      </c>
      <c r="AN1798" s="16">
        <f t="shared" si="1643"/>
        <v>0</v>
      </c>
      <c r="AO1798" s="16">
        <f t="shared" si="1643"/>
        <v>0</v>
      </c>
      <c r="AP1798" s="10"/>
      <c r="AQ1798" s="10"/>
      <c r="AR1798" s="10"/>
      <c r="AS1798" s="10" t="str">
        <f t="shared" ca="1" si="1641"/>
        <v>Johnson &amp; Johnson</v>
      </c>
      <c r="AT1798" s="10"/>
      <c r="AU1798" s="10"/>
      <c r="AV1798" s="10"/>
      <c r="AW1798" s="10"/>
      <c r="AX1798" s="10"/>
      <c r="AY1798" s="10"/>
      <c r="AZ1798" s="10"/>
      <c r="BA1798" s="10"/>
      <c r="BB1798" s="10"/>
      <c r="BC1798" s="10"/>
      <c r="BD1798" s="10"/>
      <c r="BE1798" s="10"/>
      <c r="BF1798" s="10"/>
      <c r="BG1798" s="10"/>
      <c r="BH1798" s="10"/>
      <c r="BI1798" s="10"/>
      <c r="BJ1798" s="10"/>
      <c r="BK1798" s="10"/>
      <c r="BM1798" s="10"/>
    </row>
    <row r="1799" spans="1:65" ht="12.75">
      <c r="A1799" s="9"/>
      <c r="B1799" s="10"/>
      <c r="C1799" s="11"/>
      <c r="D1799" s="12"/>
      <c r="E1799" s="10"/>
      <c r="F1799" s="10"/>
      <c r="G1799" s="10"/>
      <c r="H1799" s="14"/>
      <c r="I1799" s="14"/>
      <c r="J1799" s="14"/>
      <c r="K1799" s="14"/>
      <c r="L1799" s="14"/>
      <c r="M1799" s="15"/>
      <c r="N1799" s="10"/>
      <c r="O1799" s="14"/>
      <c r="P1799" s="14"/>
      <c r="Q1799" s="14"/>
      <c r="R1799" s="14"/>
      <c r="S1799" s="14"/>
      <c r="T1799" s="14"/>
      <c r="U1799" s="14"/>
      <c r="V1799" s="14"/>
      <c r="W1799" s="14"/>
      <c r="X1799" s="14"/>
      <c r="Y1799" s="14"/>
      <c r="Z1799" s="14"/>
      <c r="AA1799" s="16" t="str">
        <f t="shared" ca="1" si="1643"/>
        <v>Johnson &amp; Johnson</v>
      </c>
      <c r="AB1799" s="16">
        <f t="shared" si="1643"/>
        <v>0</v>
      </c>
      <c r="AC1799" s="16">
        <f t="shared" si="1643"/>
        <v>0</v>
      </c>
      <c r="AD1799" s="16">
        <f t="shared" si="1643"/>
        <v>0</v>
      </c>
      <c r="AE1799" s="16">
        <f t="shared" si="1643"/>
        <v>0</v>
      </c>
      <c r="AF1799" s="16">
        <f t="shared" si="1643"/>
        <v>0</v>
      </c>
      <c r="AG1799" s="16">
        <f t="shared" si="1643"/>
        <v>0</v>
      </c>
      <c r="AH1799" s="16">
        <f t="shared" si="1643"/>
        <v>0</v>
      </c>
      <c r="AI1799" s="16">
        <f t="shared" si="1643"/>
        <v>0</v>
      </c>
      <c r="AJ1799" s="16">
        <f t="shared" si="1643"/>
        <v>0</v>
      </c>
      <c r="AK1799" s="16">
        <f t="shared" si="1643"/>
        <v>0</v>
      </c>
      <c r="AL1799" s="16">
        <f t="shared" si="1643"/>
        <v>0</v>
      </c>
      <c r="AM1799" s="16">
        <f t="shared" si="1643"/>
        <v>0</v>
      </c>
      <c r="AN1799" s="16">
        <f t="shared" si="1643"/>
        <v>0</v>
      </c>
      <c r="AO1799" s="16">
        <f t="shared" si="1643"/>
        <v>0</v>
      </c>
      <c r="AP1799" s="10"/>
      <c r="AQ1799" s="10"/>
      <c r="AR1799" s="10"/>
      <c r="AS1799" s="10" t="str">
        <f t="shared" ca="1" si="1641"/>
        <v>Johnson &amp; Johnson</v>
      </c>
      <c r="AT1799" s="10"/>
      <c r="AU1799" s="10"/>
      <c r="AV1799" s="10"/>
      <c r="AW1799" s="10"/>
      <c r="AX1799" s="10"/>
      <c r="AY1799" s="10"/>
      <c r="AZ1799" s="10"/>
      <c r="BA1799" s="10"/>
      <c r="BB1799" s="10"/>
      <c r="BC1799" s="10"/>
      <c r="BD1799" s="10"/>
      <c r="BE1799" s="10"/>
      <c r="BF1799" s="10"/>
      <c r="BG1799" s="10"/>
      <c r="BH1799" s="10"/>
      <c r="BI1799" s="10"/>
      <c r="BJ1799" s="10"/>
      <c r="BK1799" s="10"/>
      <c r="BM1799" s="10"/>
    </row>
    <row r="1800" spans="1:65" ht="12.75">
      <c r="A1800" s="9"/>
      <c r="B1800" s="10"/>
      <c r="C1800" s="11"/>
      <c r="D1800" s="12"/>
      <c r="E1800" s="10"/>
      <c r="F1800" s="10"/>
      <c r="G1800" s="10"/>
      <c r="H1800" s="14"/>
      <c r="I1800" s="14"/>
      <c r="J1800" s="14"/>
      <c r="K1800" s="14"/>
      <c r="L1800" s="14"/>
      <c r="M1800" s="15"/>
      <c r="N1800" s="10"/>
      <c r="O1800" s="14"/>
      <c r="P1800" s="14"/>
      <c r="Q1800" s="14"/>
      <c r="R1800" s="14"/>
      <c r="S1800" s="14"/>
      <c r="T1800" s="14"/>
      <c r="U1800" s="14"/>
      <c r="V1800" s="14"/>
      <c r="W1800" s="14"/>
      <c r="X1800" s="14"/>
      <c r="Y1800" s="14"/>
      <c r="Z1800" s="14"/>
      <c r="AA1800" s="16" t="str">
        <f t="shared" ca="1" si="1643"/>
        <v>Johnson &amp; Johnson</v>
      </c>
      <c r="AB1800" s="16">
        <f t="shared" si="1643"/>
        <v>0</v>
      </c>
      <c r="AC1800" s="16">
        <f t="shared" si="1643"/>
        <v>0</v>
      </c>
      <c r="AD1800" s="16">
        <f t="shared" si="1643"/>
        <v>0</v>
      </c>
      <c r="AE1800" s="16">
        <f t="shared" si="1643"/>
        <v>0</v>
      </c>
      <c r="AF1800" s="16">
        <f t="shared" si="1643"/>
        <v>0</v>
      </c>
      <c r="AG1800" s="16">
        <f t="shared" si="1643"/>
        <v>0</v>
      </c>
      <c r="AH1800" s="16">
        <f t="shared" si="1643"/>
        <v>0</v>
      </c>
      <c r="AI1800" s="16">
        <f t="shared" si="1643"/>
        <v>0</v>
      </c>
      <c r="AJ1800" s="16">
        <f t="shared" si="1643"/>
        <v>0</v>
      </c>
      <c r="AK1800" s="16">
        <f t="shared" si="1643"/>
        <v>0</v>
      </c>
      <c r="AL1800" s="16">
        <f t="shared" si="1643"/>
        <v>0</v>
      </c>
      <c r="AM1800" s="16">
        <f t="shared" si="1643"/>
        <v>0</v>
      </c>
      <c r="AN1800" s="16">
        <f t="shared" si="1643"/>
        <v>0</v>
      </c>
      <c r="AO1800" s="16">
        <f t="shared" si="1643"/>
        <v>0</v>
      </c>
      <c r="AP1800" s="10"/>
      <c r="AQ1800" s="10"/>
      <c r="AR1800" s="10"/>
      <c r="AS1800" s="10" t="str">
        <f t="shared" ca="1" si="1641"/>
        <v>Johnson &amp; Johnson</v>
      </c>
      <c r="AT1800" s="10"/>
      <c r="AU1800" s="10"/>
      <c r="AV1800" s="10"/>
      <c r="AW1800" s="10"/>
      <c r="AX1800" s="10"/>
      <c r="AY1800" s="10"/>
      <c r="AZ1800" s="10"/>
      <c r="BA1800" s="10"/>
      <c r="BB1800" s="10"/>
      <c r="BC1800" s="10"/>
      <c r="BD1800" s="10"/>
      <c r="BE1800" s="10"/>
      <c r="BF1800" s="10"/>
      <c r="BG1800" s="10"/>
      <c r="BH1800" s="10"/>
      <c r="BI1800" s="10"/>
      <c r="BJ1800" s="10"/>
      <c r="BK1800" s="10"/>
      <c r="BM1800" s="10"/>
    </row>
    <row r="1801" spans="1:65" ht="12.75">
      <c r="A1801" s="9"/>
      <c r="B1801" s="10"/>
      <c r="C1801" s="11"/>
      <c r="D1801" s="12"/>
      <c r="E1801" s="10"/>
      <c r="F1801" s="10"/>
      <c r="G1801" s="10"/>
      <c r="H1801" s="14"/>
      <c r="I1801" s="14"/>
      <c r="J1801" s="14"/>
      <c r="K1801" s="14"/>
      <c r="L1801" s="14"/>
      <c r="M1801" s="15"/>
      <c r="N1801" s="10"/>
      <c r="O1801" s="14"/>
      <c r="P1801" s="14"/>
      <c r="Q1801" s="14"/>
      <c r="R1801" s="14"/>
      <c r="S1801" s="14"/>
      <c r="T1801" s="14"/>
      <c r="U1801" s="14"/>
      <c r="V1801" s="14"/>
      <c r="W1801" s="14"/>
      <c r="X1801" s="14"/>
      <c r="Y1801" s="14"/>
      <c r="Z1801" s="14"/>
      <c r="AA1801" s="16" t="str">
        <f t="shared" ref="AA1801:AO1816" ca="1" si="1644">AS1801</f>
        <v>Johnson &amp; Johnson</v>
      </c>
      <c r="AB1801" s="16">
        <f t="shared" si="1644"/>
        <v>0</v>
      </c>
      <c r="AC1801" s="16">
        <f t="shared" si="1644"/>
        <v>0</v>
      </c>
      <c r="AD1801" s="16">
        <f t="shared" si="1644"/>
        <v>0</v>
      </c>
      <c r="AE1801" s="16">
        <f t="shared" si="1644"/>
        <v>0</v>
      </c>
      <c r="AF1801" s="16">
        <f t="shared" si="1644"/>
        <v>0</v>
      </c>
      <c r="AG1801" s="16">
        <f t="shared" si="1644"/>
        <v>0</v>
      </c>
      <c r="AH1801" s="16">
        <f t="shared" si="1644"/>
        <v>0</v>
      </c>
      <c r="AI1801" s="16">
        <f t="shared" si="1644"/>
        <v>0</v>
      </c>
      <c r="AJ1801" s="16">
        <f t="shared" si="1644"/>
        <v>0</v>
      </c>
      <c r="AK1801" s="16">
        <f t="shared" si="1644"/>
        <v>0</v>
      </c>
      <c r="AL1801" s="16">
        <f t="shared" si="1644"/>
        <v>0</v>
      </c>
      <c r="AM1801" s="16">
        <f t="shared" si="1644"/>
        <v>0</v>
      </c>
      <c r="AN1801" s="16">
        <f t="shared" si="1644"/>
        <v>0</v>
      </c>
      <c r="AO1801" s="16">
        <f t="shared" si="1644"/>
        <v>0</v>
      </c>
      <c r="AP1801" s="10"/>
      <c r="AQ1801" s="10"/>
      <c r="AR1801" s="10"/>
      <c r="AS1801" s="10" t="str">
        <f t="shared" ca="1" si="1641"/>
        <v>Johnson &amp; Johnson</v>
      </c>
      <c r="AT1801" s="10"/>
      <c r="AU1801" s="10"/>
      <c r="AV1801" s="10"/>
      <c r="AW1801" s="10"/>
      <c r="AX1801" s="10"/>
      <c r="AY1801" s="10"/>
      <c r="AZ1801" s="10"/>
      <c r="BA1801" s="10"/>
      <c r="BB1801" s="10"/>
      <c r="BC1801" s="10"/>
      <c r="BD1801" s="10"/>
      <c r="BE1801" s="10"/>
      <c r="BF1801" s="10"/>
      <c r="BG1801" s="10"/>
      <c r="BH1801" s="10"/>
      <c r="BI1801" s="10"/>
      <c r="BJ1801" s="10"/>
      <c r="BK1801" s="10"/>
      <c r="BM1801" s="10"/>
    </row>
    <row r="1802" spans="1:65" ht="12.75">
      <c r="A1802" s="9"/>
      <c r="B1802" s="10"/>
      <c r="C1802" s="11"/>
      <c r="D1802" s="12"/>
      <c r="E1802" s="10"/>
      <c r="F1802" s="10"/>
      <c r="G1802" s="10"/>
      <c r="H1802" s="14"/>
      <c r="I1802" s="14"/>
      <c r="J1802" s="14"/>
      <c r="K1802" s="14"/>
      <c r="L1802" s="14"/>
      <c r="M1802" s="15"/>
      <c r="N1802" s="10"/>
      <c r="O1802" s="14"/>
      <c r="P1802" s="14"/>
      <c r="Q1802" s="14"/>
      <c r="R1802" s="14"/>
      <c r="S1802" s="14"/>
      <c r="T1802" s="14"/>
      <c r="U1802" s="14"/>
      <c r="V1802" s="14"/>
      <c r="W1802" s="14"/>
      <c r="X1802" s="14"/>
      <c r="Y1802" s="14"/>
      <c r="Z1802" s="14"/>
      <c r="AA1802" s="16" t="str">
        <f t="shared" ca="1" si="1644"/>
        <v>Johnson &amp; Johnson</v>
      </c>
      <c r="AB1802" s="16">
        <f t="shared" si="1644"/>
        <v>0</v>
      </c>
      <c r="AC1802" s="16">
        <f t="shared" si="1644"/>
        <v>0</v>
      </c>
      <c r="AD1802" s="16">
        <f t="shared" si="1644"/>
        <v>0</v>
      </c>
      <c r="AE1802" s="16">
        <f t="shared" si="1644"/>
        <v>0</v>
      </c>
      <c r="AF1802" s="16">
        <f t="shared" si="1644"/>
        <v>0</v>
      </c>
      <c r="AG1802" s="16">
        <f t="shared" si="1644"/>
        <v>0</v>
      </c>
      <c r="AH1802" s="16">
        <f t="shared" si="1644"/>
        <v>0</v>
      </c>
      <c r="AI1802" s="16">
        <f t="shared" si="1644"/>
        <v>0</v>
      </c>
      <c r="AJ1802" s="16">
        <f t="shared" si="1644"/>
        <v>0</v>
      </c>
      <c r="AK1802" s="16">
        <f t="shared" si="1644"/>
        <v>0</v>
      </c>
      <c r="AL1802" s="16">
        <f t="shared" si="1644"/>
        <v>0</v>
      </c>
      <c r="AM1802" s="16">
        <f t="shared" si="1644"/>
        <v>0</v>
      </c>
      <c r="AN1802" s="16">
        <f t="shared" si="1644"/>
        <v>0</v>
      </c>
      <c r="AO1802" s="16">
        <f t="shared" si="1644"/>
        <v>0</v>
      </c>
      <c r="AP1802" s="10"/>
      <c r="AQ1802" s="10"/>
      <c r="AR1802" s="10"/>
      <c r="AS1802" s="10" t="str">
        <f t="shared" ca="1" si="1641"/>
        <v>Johnson &amp; Johnson</v>
      </c>
      <c r="AT1802" s="10"/>
      <c r="AU1802" s="10"/>
      <c r="AV1802" s="10"/>
      <c r="AW1802" s="10"/>
      <c r="AX1802" s="10"/>
      <c r="AY1802" s="10"/>
      <c r="AZ1802" s="10"/>
      <c r="BA1802" s="10"/>
      <c r="BB1802" s="10"/>
      <c r="BC1802" s="10"/>
      <c r="BD1802" s="10"/>
      <c r="BE1802" s="10"/>
      <c r="BF1802" s="10"/>
      <c r="BG1802" s="10"/>
      <c r="BH1802" s="10"/>
      <c r="BI1802" s="10"/>
      <c r="BJ1802" s="10"/>
      <c r="BK1802" s="10"/>
      <c r="BM1802" s="10"/>
    </row>
    <row r="1803" spans="1:65" ht="12.75">
      <c r="A1803" s="9"/>
      <c r="B1803" s="10"/>
      <c r="C1803" s="11"/>
      <c r="D1803" s="12"/>
      <c r="E1803" s="10"/>
      <c r="F1803" s="10"/>
      <c r="G1803" s="10"/>
      <c r="H1803" s="14"/>
      <c r="I1803" s="14"/>
      <c r="J1803" s="14"/>
      <c r="K1803" s="14"/>
      <c r="L1803" s="14"/>
      <c r="M1803" s="15"/>
      <c r="N1803" s="10"/>
      <c r="O1803" s="14"/>
      <c r="P1803" s="14"/>
      <c r="Q1803" s="14"/>
      <c r="R1803" s="14"/>
      <c r="S1803" s="14"/>
      <c r="T1803" s="14"/>
      <c r="U1803" s="14"/>
      <c r="V1803" s="14"/>
      <c r="W1803" s="14"/>
      <c r="X1803" s="14"/>
      <c r="Y1803" s="14"/>
      <c r="Z1803" s="14"/>
      <c r="AA1803" s="16" t="str">
        <f t="shared" ca="1" si="1644"/>
        <v>Johnson &amp; Johnson</v>
      </c>
      <c r="AB1803" s="16">
        <f t="shared" si="1644"/>
        <v>0</v>
      </c>
      <c r="AC1803" s="16">
        <f t="shared" si="1644"/>
        <v>0</v>
      </c>
      <c r="AD1803" s="16">
        <f t="shared" si="1644"/>
        <v>0</v>
      </c>
      <c r="AE1803" s="16">
        <f t="shared" si="1644"/>
        <v>0</v>
      </c>
      <c r="AF1803" s="16">
        <f t="shared" si="1644"/>
        <v>0</v>
      </c>
      <c r="AG1803" s="16">
        <f t="shared" si="1644"/>
        <v>0</v>
      </c>
      <c r="AH1803" s="16">
        <f t="shared" si="1644"/>
        <v>0</v>
      </c>
      <c r="AI1803" s="16">
        <f t="shared" si="1644"/>
        <v>0</v>
      </c>
      <c r="AJ1803" s="16">
        <f t="shared" si="1644"/>
        <v>0</v>
      </c>
      <c r="AK1803" s="16">
        <f t="shared" si="1644"/>
        <v>0</v>
      </c>
      <c r="AL1803" s="16">
        <f t="shared" si="1644"/>
        <v>0</v>
      </c>
      <c r="AM1803" s="16">
        <f t="shared" si="1644"/>
        <v>0</v>
      </c>
      <c r="AN1803" s="16">
        <f t="shared" si="1644"/>
        <v>0</v>
      </c>
      <c r="AO1803" s="16">
        <f t="shared" si="1644"/>
        <v>0</v>
      </c>
      <c r="AP1803" s="10"/>
      <c r="AQ1803" s="10"/>
      <c r="AR1803" s="10"/>
      <c r="AS1803" s="10" t="str">
        <f t="shared" ca="1" si="1641"/>
        <v>Johnson &amp; Johnson</v>
      </c>
      <c r="AT1803" s="10"/>
      <c r="AU1803" s="10"/>
      <c r="AV1803" s="10"/>
      <c r="AW1803" s="10"/>
      <c r="AX1803" s="10"/>
      <c r="AY1803" s="10"/>
      <c r="AZ1803" s="10"/>
      <c r="BA1803" s="10"/>
      <c r="BB1803" s="10"/>
      <c r="BC1803" s="10"/>
      <c r="BD1803" s="10"/>
      <c r="BE1803" s="10"/>
      <c r="BF1803" s="10"/>
      <c r="BG1803" s="10"/>
      <c r="BH1803" s="10"/>
      <c r="BI1803" s="10"/>
      <c r="BJ1803" s="10"/>
      <c r="BK1803" s="10"/>
      <c r="BM1803" s="10"/>
    </row>
    <row r="1804" spans="1:65" ht="12.75">
      <c r="A1804" s="9"/>
      <c r="B1804" s="10"/>
      <c r="C1804" s="11"/>
      <c r="D1804" s="12"/>
      <c r="E1804" s="10"/>
      <c r="F1804" s="10"/>
      <c r="G1804" s="10"/>
      <c r="H1804" s="14"/>
      <c r="I1804" s="14"/>
      <c r="J1804" s="14"/>
      <c r="K1804" s="14"/>
      <c r="L1804" s="14"/>
      <c r="M1804" s="15"/>
      <c r="N1804" s="10"/>
      <c r="O1804" s="14"/>
      <c r="P1804" s="14"/>
      <c r="Q1804" s="14"/>
      <c r="R1804" s="14"/>
      <c r="S1804" s="14"/>
      <c r="T1804" s="14"/>
      <c r="U1804" s="14"/>
      <c r="V1804" s="14"/>
      <c r="W1804" s="14"/>
      <c r="X1804" s="14"/>
      <c r="Y1804" s="14"/>
      <c r="Z1804" s="14"/>
      <c r="AA1804" s="16" t="str">
        <f t="shared" ca="1" si="1644"/>
        <v>Johnson &amp; Johnson</v>
      </c>
      <c r="AB1804" s="16">
        <f t="shared" si="1644"/>
        <v>0</v>
      </c>
      <c r="AC1804" s="16">
        <f t="shared" si="1644"/>
        <v>0</v>
      </c>
      <c r="AD1804" s="16">
        <f t="shared" si="1644"/>
        <v>0</v>
      </c>
      <c r="AE1804" s="16">
        <f t="shared" si="1644"/>
        <v>0</v>
      </c>
      <c r="AF1804" s="16">
        <f t="shared" si="1644"/>
        <v>0</v>
      </c>
      <c r="AG1804" s="16">
        <f t="shared" si="1644"/>
        <v>0</v>
      </c>
      <c r="AH1804" s="16">
        <f t="shared" si="1644"/>
        <v>0</v>
      </c>
      <c r="AI1804" s="16">
        <f t="shared" si="1644"/>
        <v>0</v>
      </c>
      <c r="AJ1804" s="16">
        <f t="shared" si="1644"/>
        <v>0</v>
      </c>
      <c r="AK1804" s="16">
        <f t="shared" si="1644"/>
        <v>0</v>
      </c>
      <c r="AL1804" s="16">
        <f t="shared" si="1644"/>
        <v>0</v>
      </c>
      <c r="AM1804" s="16">
        <f t="shared" si="1644"/>
        <v>0</v>
      </c>
      <c r="AN1804" s="16">
        <f t="shared" si="1644"/>
        <v>0</v>
      </c>
      <c r="AO1804" s="16">
        <f t="shared" si="1644"/>
        <v>0</v>
      </c>
      <c r="AP1804" s="10"/>
      <c r="AQ1804" s="10"/>
      <c r="AR1804" s="10"/>
      <c r="AS1804" s="10" t="str">
        <f t="shared" ca="1" si="1641"/>
        <v>Johnson &amp; Johnson</v>
      </c>
      <c r="AT1804" s="10"/>
      <c r="AU1804" s="10"/>
      <c r="AV1804" s="10"/>
      <c r="AW1804" s="10"/>
      <c r="AX1804" s="10"/>
      <c r="AY1804" s="10"/>
      <c r="AZ1804" s="10"/>
      <c r="BA1804" s="10"/>
      <c r="BB1804" s="10"/>
      <c r="BC1804" s="10"/>
      <c r="BD1804" s="10"/>
      <c r="BE1804" s="10"/>
      <c r="BF1804" s="10"/>
      <c r="BG1804" s="10"/>
      <c r="BH1804" s="10"/>
      <c r="BI1804" s="10"/>
      <c r="BJ1804" s="10"/>
      <c r="BK1804" s="10"/>
      <c r="BM1804" s="10"/>
    </row>
    <row r="1805" spans="1:65" ht="12.75">
      <c r="A1805" s="9"/>
      <c r="B1805" s="10"/>
      <c r="C1805" s="11"/>
      <c r="D1805" s="12"/>
      <c r="E1805" s="10"/>
      <c r="F1805" s="10"/>
      <c r="G1805" s="10"/>
      <c r="H1805" s="14"/>
      <c r="I1805" s="14"/>
      <c r="J1805" s="14"/>
      <c r="K1805" s="14"/>
      <c r="L1805" s="14"/>
      <c r="M1805" s="15"/>
      <c r="N1805" s="10"/>
      <c r="O1805" s="14"/>
      <c r="P1805" s="14"/>
      <c r="Q1805" s="14"/>
      <c r="R1805" s="14"/>
      <c r="S1805" s="14"/>
      <c r="T1805" s="14"/>
      <c r="U1805" s="14"/>
      <c r="V1805" s="14"/>
      <c r="W1805" s="14"/>
      <c r="X1805" s="14"/>
      <c r="Y1805" s="14"/>
      <c r="Z1805" s="14"/>
      <c r="AA1805" s="16" t="str">
        <f t="shared" ca="1" si="1644"/>
        <v>Johnson &amp; Johnson</v>
      </c>
      <c r="AB1805" s="16">
        <f t="shared" si="1644"/>
        <v>0</v>
      </c>
      <c r="AC1805" s="16">
        <f t="shared" si="1644"/>
        <v>0</v>
      </c>
      <c r="AD1805" s="16">
        <f t="shared" si="1644"/>
        <v>0</v>
      </c>
      <c r="AE1805" s="16">
        <f t="shared" si="1644"/>
        <v>0</v>
      </c>
      <c r="AF1805" s="16">
        <f t="shared" si="1644"/>
        <v>0</v>
      </c>
      <c r="AG1805" s="16">
        <f t="shared" si="1644"/>
        <v>0</v>
      </c>
      <c r="AH1805" s="16">
        <f t="shared" si="1644"/>
        <v>0</v>
      </c>
      <c r="AI1805" s="16">
        <f t="shared" si="1644"/>
        <v>0</v>
      </c>
      <c r="AJ1805" s="16">
        <f t="shared" si="1644"/>
        <v>0</v>
      </c>
      <c r="AK1805" s="16">
        <f t="shared" si="1644"/>
        <v>0</v>
      </c>
      <c r="AL1805" s="16">
        <f t="shared" si="1644"/>
        <v>0</v>
      </c>
      <c r="AM1805" s="16">
        <f t="shared" si="1644"/>
        <v>0</v>
      </c>
      <c r="AN1805" s="16">
        <f t="shared" si="1644"/>
        <v>0</v>
      </c>
      <c r="AO1805" s="16">
        <f t="shared" si="1644"/>
        <v>0</v>
      </c>
      <c r="AP1805" s="10"/>
      <c r="AQ1805" s="10"/>
      <c r="AR1805" s="10"/>
      <c r="AS1805" s="10" t="str">
        <f t="shared" ca="1" si="1641"/>
        <v>Johnson &amp; Johnson</v>
      </c>
      <c r="AT1805" s="10"/>
      <c r="AU1805" s="10"/>
      <c r="AV1805" s="10"/>
      <c r="AW1805" s="10"/>
      <c r="AX1805" s="10"/>
      <c r="AY1805" s="10"/>
      <c r="AZ1805" s="10"/>
      <c r="BA1805" s="10"/>
      <c r="BB1805" s="10"/>
      <c r="BC1805" s="10"/>
      <c r="BD1805" s="10"/>
      <c r="BE1805" s="10"/>
      <c r="BF1805" s="10"/>
      <c r="BG1805" s="10"/>
      <c r="BH1805" s="10"/>
      <c r="BI1805" s="10"/>
      <c r="BJ1805" s="10"/>
      <c r="BK1805" s="10"/>
      <c r="BM1805" s="10"/>
    </row>
    <row r="1806" spans="1:65" ht="12.75">
      <c r="A1806" s="9"/>
      <c r="B1806" s="10"/>
      <c r="C1806" s="11"/>
      <c r="D1806" s="12"/>
      <c r="E1806" s="10"/>
      <c r="F1806" s="10"/>
      <c r="G1806" s="10"/>
      <c r="H1806" s="14"/>
      <c r="I1806" s="14"/>
      <c r="J1806" s="14"/>
      <c r="K1806" s="14"/>
      <c r="L1806" s="14"/>
      <c r="M1806" s="15"/>
      <c r="N1806" s="10"/>
      <c r="O1806" s="14"/>
      <c r="P1806" s="14"/>
      <c r="Q1806" s="14"/>
      <c r="R1806" s="14"/>
      <c r="S1806" s="14"/>
      <c r="T1806" s="14"/>
      <c r="U1806" s="14"/>
      <c r="V1806" s="14"/>
      <c r="W1806" s="14"/>
      <c r="X1806" s="14"/>
      <c r="Y1806" s="14"/>
      <c r="Z1806" s="14"/>
      <c r="AA1806" s="16" t="str">
        <f t="shared" ca="1" si="1644"/>
        <v>Johnson &amp; Johnson</v>
      </c>
      <c r="AB1806" s="16">
        <f t="shared" si="1644"/>
        <v>0</v>
      </c>
      <c r="AC1806" s="16">
        <f t="shared" si="1644"/>
        <v>0</v>
      </c>
      <c r="AD1806" s="16">
        <f t="shared" si="1644"/>
        <v>0</v>
      </c>
      <c r="AE1806" s="16">
        <f t="shared" si="1644"/>
        <v>0</v>
      </c>
      <c r="AF1806" s="16">
        <f t="shared" si="1644"/>
        <v>0</v>
      </c>
      <c r="AG1806" s="16">
        <f t="shared" si="1644"/>
        <v>0</v>
      </c>
      <c r="AH1806" s="16">
        <f t="shared" si="1644"/>
        <v>0</v>
      </c>
      <c r="AI1806" s="16">
        <f t="shared" si="1644"/>
        <v>0</v>
      </c>
      <c r="AJ1806" s="16">
        <f t="shared" si="1644"/>
        <v>0</v>
      </c>
      <c r="AK1806" s="16">
        <f t="shared" si="1644"/>
        <v>0</v>
      </c>
      <c r="AL1806" s="16">
        <f t="shared" si="1644"/>
        <v>0</v>
      </c>
      <c r="AM1806" s="16">
        <f t="shared" si="1644"/>
        <v>0</v>
      </c>
      <c r="AN1806" s="16">
        <f t="shared" si="1644"/>
        <v>0</v>
      </c>
      <c r="AO1806" s="16">
        <f t="shared" si="1644"/>
        <v>0</v>
      </c>
      <c r="AP1806" s="10"/>
      <c r="AQ1806" s="10"/>
      <c r="AR1806" s="10"/>
      <c r="AS1806" s="10" t="str">
        <f t="shared" ca="1" si="1641"/>
        <v>Johnson &amp; Johnson</v>
      </c>
      <c r="AT1806" s="10"/>
      <c r="AU1806" s="10"/>
      <c r="AV1806" s="10"/>
      <c r="AW1806" s="10"/>
      <c r="AX1806" s="10"/>
      <c r="AY1806" s="10"/>
      <c r="AZ1806" s="10"/>
      <c r="BA1806" s="10"/>
      <c r="BB1806" s="10"/>
      <c r="BC1806" s="10"/>
      <c r="BD1806" s="10"/>
      <c r="BE1806" s="10"/>
      <c r="BF1806" s="10"/>
      <c r="BG1806" s="10"/>
      <c r="BH1806" s="10"/>
      <c r="BI1806" s="10"/>
      <c r="BJ1806" s="10"/>
      <c r="BK1806" s="10"/>
      <c r="BM1806" s="10"/>
    </row>
    <row r="1807" spans="1:65" ht="12.75">
      <c r="A1807" s="9"/>
      <c r="B1807" s="10"/>
      <c r="C1807" s="11"/>
      <c r="D1807" s="12"/>
      <c r="E1807" s="10"/>
      <c r="F1807" s="10"/>
      <c r="G1807" s="10"/>
      <c r="H1807" s="14"/>
      <c r="I1807" s="14"/>
      <c r="J1807" s="14"/>
      <c r="K1807" s="14"/>
      <c r="L1807" s="14"/>
      <c r="M1807" s="15"/>
      <c r="N1807" s="10"/>
      <c r="O1807" s="14"/>
      <c r="P1807" s="14"/>
      <c r="Q1807" s="14"/>
      <c r="R1807" s="14"/>
      <c r="S1807" s="14"/>
      <c r="T1807" s="14"/>
      <c r="U1807" s="14"/>
      <c r="V1807" s="14"/>
      <c r="W1807" s="14"/>
      <c r="X1807" s="14"/>
      <c r="Y1807" s="14"/>
      <c r="Z1807" s="14"/>
      <c r="AA1807" s="16" t="str">
        <f t="shared" ca="1" si="1644"/>
        <v>Johnson &amp; Johnson</v>
      </c>
      <c r="AB1807" s="16">
        <f t="shared" si="1644"/>
        <v>0</v>
      </c>
      <c r="AC1807" s="16">
        <f t="shared" si="1644"/>
        <v>0</v>
      </c>
      <c r="AD1807" s="16">
        <f t="shared" si="1644"/>
        <v>0</v>
      </c>
      <c r="AE1807" s="16">
        <f t="shared" si="1644"/>
        <v>0</v>
      </c>
      <c r="AF1807" s="16">
        <f t="shared" si="1644"/>
        <v>0</v>
      </c>
      <c r="AG1807" s="16">
        <f t="shared" si="1644"/>
        <v>0</v>
      </c>
      <c r="AH1807" s="16">
        <f t="shared" si="1644"/>
        <v>0</v>
      </c>
      <c r="AI1807" s="16">
        <f t="shared" si="1644"/>
        <v>0</v>
      </c>
      <c r="AJ1807" s="16">
        <f t="shared" si="1644"/>
        <v>0</v>
      </c>
      <c r="AK1807" s="16">
        <f t="shared" si="1644"/>
        <v>0</v>
      </c>
      <c r="AL1807" s="16">
        <f t="shared" si="1644"/>
        <v>0</v>
      </c>
      <c r="AM1807" s="16">
        <f t="shared" si="1644"/>
        <v>0</v>
      </c>
      <c r="AN1807" s="16">
        <f t="shared" si="1644"/>
        <v>0</v>
      </c>
      <c r="AO1807" s="16">
        <f t="shared" si="1644"/>
        <v>0</v>
      </c>
      <c r="AP1807" s="10"/>
      <c r="AQ1807" s="10"/>
      <c r="AR1807" s="10"/>
      <c r="AS1807" s="10" t="str">
        <f t="shared" ca="1" si="1641"/>
        <v>Johnson &amp; Johnson</v>
      </c>
      <c r="AT1807" s="10"/>
      <c r="AU1807" s="10"/>
      <c r="AV1807" s="10"/>
      <c r="AW1807" s="10"/>
      <c r="AX1807" s="10"/>
      <c r="AY1807" s="10"/>
      <c r="AZ1807" s="10"/>
      <c r="BA1807" s="10"/>
      <c r="BB1807" s="10"/>
      <c r="BC1807" s="10"/>
      <c r="BD1807" s="10"/>
      <c r="BE1807" s="10"/>
      <c r="BF1807" s="10"/>
      <c r="BG1807" s="10"/>
      <c r="BH1807" s="10"/>
      <c r="BI1807" s="10"/>
      <c r="BJ1807" s="10"/>
      <c r="BK1807" s="10"/>
      <c r="BM1807" s="10"/>
    </row>
    <row r="1808" spans="1:65" ht="12.75">
      <c r="A1808" s="9"/>
      <c r="B1808" s="10"/>
      <c r="C1808" s="11"/>
      <c r="D1808" s="12"/>
      <c r="E1808" s="10"/>
      <c r="F1808" s="10"/>
      <c r="G1808" s="10"/>
      <c r="H1808" s="14"/>
      <c r="I1808" s="14"/>
      <c r="J1808" s="14"/>
      <c r="K1808" s="14"/>
      <c r="L1808" s="14"/>
      <c r="M1808" s="15"/>
      <c r="N1808" s="10"/>
      <c r="O1808" s="14"/>
      <c r="P1808" s="14"/>
      <c r="Q1808" s="14"/>
      <c r="R1808" s="14"/>
      <c r="S1808" s="14"/>
      <c r="T1808" s="14"/>
      <c r="U1808" s="14"/>
      <c r="V1808" s="14"/>
      <c r="W1808" s="14"/>
      <c r="X1808" s="14"/>
      <c r="Y1808" s="14"/>
      <c r="Z1808" s="14"/>
      <c r="AA1808" s="16" t="str">
        <f t="shared" ca="1" si="1644"/>
        <v>Johnson &amp; Johnson</v>
      </c>
      <c r="AB1808" s="16">
        <f t="shared" si="1644"/>
        <v>0</v>
      </c>
      <c r="AC1808" s="16">
        <f t="shared" si="1644"/>
        <v>0</v>
      </c>
      <c r="AD1808" s="16">
        <f t="shared" si="1644"/>
        <v>0</v>
      </c>
      <c r="AE1808" s="16">
        <f t="shared" si="1644"/>
        <v>0</v>
      </c>
      <c r="AF1808" s="16">
        <f t="shared" si="1644"/>
        <v>0</v>
      </c>
      <c r="AG1808" s="16">
        <f t="shared" si="1644"/>
        <v>0</v>
      </c>
      <c r="AH1808" s="16">
        <f t="shared" si="1644"/>
        <v>0</v>
      </c>
      <c r="AI1808" s="16">
        <f t="shared" si="1644"/>
        <v>0</v>
      </c>
      <c r="AJ1808" s="16">
        <f t="shared" si="1644"/>
        <v>0</v>
      </c>
      <c r="AK1808" s="16">
        <f t="shared" si="1644"/>
        <v>0</v>
      </c>
      <c r="AL1808" s="16">
        <f t="shared" si="1644"/>
        <v>0</v>
      </c>
      <c r="AM1808" s="16">
        <f t="shared" si="1644"/>
        <v>0</v>
      </c>
      <c r="AN1808" s="16">
        <f t="shared" si="1644"/>
        <v>0</v>
      </c>
      <c r="AO1808" s="16">
        <f t="shared" si="1644"/>
        <v>0</v>
      </c>
      <c r="AP1808" s="10"/>
      <c r="AQ1808" s="10"/>
      <c r="AR1808" s="10"/>
      <c r="AS1808" s="10" t="str">
        <f t="shared" ca="1" si="1641"/>
        <v>Johnson &amp; Johnson</v>
      </c>
      <c r="AT1808" s="10"/>
      <c r="AU1808" s="10"/>
      <c r="AV1808" s="10"/>
      <c r="AW1808" s="10"/>
      <c r="AX1808" s="10"/>
      <c r="AY1808" s="10"/>
      <c r="AZ1808" s="10"/>
      <c r="BA1808" s="10"/>
      <c r="BB1808" s="10"/>
      <c r="BC1808" s="10"/>
      <c r="BD1808" s="10"/>
      <c r="BE1808" s="10"/>
      <c r="BF1808" s="10"/>
      <c r="BG1808" s="10"/>
      <c r="BH1808" s="10"/>
      <c r="BI1808" s="10"/>
      <c r="BJ1808" s="10"/>
      <c r="BK1808" s="10"/>
      <c r="BM1808" s="10"/>
    </row>
    <row r="1809" spans="1:65" ht="12.75">
      <c r="A1809" s="9"/>
      <c r="B1809" s="10"/>
      <c r="C1809" s="11"/>
      <c r="D1809" s="12"/>
      <c r="E1809" s="10"/>
      <c r="F1809" s="10"/>
      <c r="G1809" s="10"/>
      <c r="H1809" s="14"/>
      <c r="I1809" s="14"/>
      <c r="J1809" s="14"/>
      <c r="K1809" s="14"/>
      <c r="L1809" s="14"/>
      <c r="M1809" s="15"/>
      <c r="N1809" s="10"/>
      <c r="O1809" s="14"/>
      <c r="P1809" s="14"/>
      <c r="Q1809" s="14"/>
      <c r="R1809" s="14"/>
      <c r="S1809" s="14"/>
      <c r="T1809" s="14"/>
      <c r="U1809" s="14"/>
      <c r="V1809" s="14"/>
      <c r="W1809" s="14"/>
      <c r="X1809" s="14"/>
      <c r="Y1809" s="14"/>
      <c r="Z1809" s="14"/>
      <c r="AA1809" s="16" t="str">
        <f t="shared" ca="1" si="1644"/>
        <v>Johnson &amp; Johnson</v>
      </c>
      <c r="AB1809" s="16">
        <f t="shared" si="1644"/>
        <v>0</v>
      </c>
      <c r="AC1809" s="16">
        <f t="shared" si="1644"/>
        <v>0</v>
      </c>
      <c r="AD1809" s="16">
        <f t="shared" si="1644"/>
        <v>0</v>
      </c>
      <c r="AE1809" s="16">
        <f t="shared" si="1644"/>
        <v>0</v>
      </c>
      <c r="AF1809" s="16">
        <f t="shared" si="1644"/>
        <v>0</v>
      </c>
      <c r="AG1809" s="16">
        <f t="shared" si="1644"/>
        <v>0</v>
      </c>
      <c r="AH1809" s="16">
        <f t="shared" si="1644"/>
        <v>0</v>
      </c>
      <c r="AI1809" s="16">
        <f t="shared" si="1644"/>
        <v>0</v>
      </c>
      <c r="AJ1809" s="16">
        <f t="shared" si="1644"/>
        <v>0</v>
      </c>
      <c r="AK1809" s="16">
        <f t="shared" si="1644"/>
        <v>0</v>
      </c>
      <c r="AL1809" s="16">
        <f t="shared" si="1644"/>
        <v>0</v>
      </c>
      <c r="AM1809" s="16">
        <f t="shared" si="1644"/>
        <v>0</v>
      </c>
      <c r="AN1809" s="16">
        <f t="shared" si="1644"/>
        <v>0</v>
      </c>
      <c r="AO1809" s="16">
        <f t="shared" si="1644"/>
        <v>0</v>
      </c>
      <c r="AP1809" s="10"/>
      <c r="AQ1809" s="10"/>
      <c r="AR1809" s="10"/>
      <c r="AS1809" s="10" t="str">
        <f t="shared" ca="1" si="1641"/>
        <v>Johnson &amp; Johnson</v>
      </c>
      <c r="AT1809" s="10"/>
      <c r="AU1809" s="10"/>
      <c r="AV1809" s="10"/>
      <c r="AW1809" s="10"/>
      <c r="AX1809" s="10"/>
      <c r="AY1809" s="10"/>
      <c r="AZ1809" s="10"/>
      <c r="BA1809" s="10"/>
      <c r="BB1809" s="10"/>
      <c r="BC1809" s="10"/>
      <c r="BD1809" s="10"/>
      <c r="BE1809" s="10"/>
      <c r="BF1809" s="10"/>
      <c r="BG1809" s="10"/>
      <c r="BH1809" s="10"/>
      <c r="BI1809" s="10"/>
      <c r="BJ1809" s="10"/>
      <c r="BK1809" s="10"/>
      <c r="BM1809" s="10"/>
    </row>
    <row r="1810" spans="1:65" ht="12.75">
      <c r="A1810" s="9"/>
      <c r="B1810" s="10"/>
      <c r="C1810" s="11"/>
      <c r="D1810" s="12"/>
      <c r="E1810" s="10"/>
      <c r="F1810" s="10"/>
      <c r="G1810" s="10"/>
      <c r="H1810" s="14"/>
      <c r="I1810" s="14"/>
      <c r="J1810" s="14"/>
      <c r="K1810" s="14"/>
      <c r="L1810" s="14"/>
      <c r="M1810" s="15"/>
      <c r="N1810" s="10"/>
      <c r="O1810" s="14"/>
      <c r="P1810" s="14"/>
      <c r="Q1810" s="14"/>
      <c r="R1810" s="14"/>
      <c r="S1810" s="14"/>
      <c r="T1810" s="14"/>
      <c r="U1810" s="14"/>
      <c r="V1810" s="14"/>
      <c r="W1810" s="14"/>
      <c r="X1810" s="14"/>
      <c r="Y1810" s="14"/>
      <c r="Z1810" s="14"/>
      <c r="AA1810" s="16" t="str">
        <f t="shared" ca="1" si="1644"/>
        <v>Johnson &amp; Johnson</v>
      </c>
      <c r="AB1810" s="16">
        <f t="shared" si="1644"/>
        <v>0</v>
      </c>
      <c r="AC1810" s="16">
        <f t="shared" si="1644"/>
        <v>0</v>
      </c>
      <c r="AD1810" s="16">
        <f t="shared" si="1644"/>
        <v>0</v>
      </c>
      <c r="AE1810" s="16">
        <f t="shared" si="1644"/>
        <v>0</v>
      </c>
      <c r="AF1810" s="16">
        <f t="shared" si="1644"/>
        <v>0</v>
      </c>
      <c r="AG1810" s="16">
        <f t="shared" si="1644"/>
        <v>0</v>
      </c>
      <c r="AH1810" s="16">
        <f t="shared" si="1644"/>
        <v>0</v>
      </c>
      <c r="AI1810" s="16">
        <f t="shared" si="1644"/>
        <v>0</v>
      </c>
      <c r="AJ1810" s="16">
        <f t="shared" si="1644"/>
        <v>0</v>
      </c>
      <c r="AK1810" s="16">
        <f t="shared" si="1644"/>
        <v>0</v>
      </c>
      <c r="AL1810" s="16">
        <f t="shared" si="1644"/>
        <v>0</v>
      </c>
      <c r="AM1810" s="16">
        <f t="shared" si="1644"/>
        <v>0</v>
      </c>
      <c r="AN1810" s="16">
        <f t="shared" si="1644"/>
        <v>0</v>
      </c>
      <c r="AO1810" s="16">
        <f t="shared" si="1644"/>
        <v>0</v>
      </c>
      <c r="AP1810" s="10"/>
      <c r="AQ1810" s="10"/>
      <c r="AR1810" s="10"/>
      <c r="AS1810" s="10" t="str">
        <f t="shared" ca="1" si="1641"/>
        <v>Johnson &amp; Johnson</v>
      </c>
      <c r="AT1810" s="10"/>
      <c r="AU1810" s="10"/>
      <c r="AV1810" s="10"/>
      <c r="AW1810" s="10"/>
      <c r="AX1810" s="10"/>
      <c r="AY1810" s="10"/>
      <c r="AZ1810" s="10"/>
      <c r="BA1810" s="10"/>
      <c r="BB1810" s="10"/>
      <c r="BC1810" s="10"/>
      <c r="BD1810" s="10"/>
      <c r="BE1810" s="10"/>
      <c r="BF1810" s="10"/>
      <c r="BG1810" s="10"/>
      <c r="BH1810" s="10"/>
      <c r="BI1810" s="10"/>
      <c r="BJ1810" s="10"/>
      <c r="BK1810" s="10"/>
      <c r="BM1810" s="10"/>
    </row>
    <row r="1811" spans="1:65" ht="12.75">
      <c r="A1811" s="9"/>
      <c r="B1811" s="10"/>
      <c r="C1811" s="11"/>
      <c r="D1811" s="12"/>
      <c r="E1811" s="10"/>
      <c r="F1811" s="10"/>
      <c r="G1811" s="10"/>
      <c r="H1811" s="14"/>
      <c r="I1811" s="14"/>
      <c r="J1811" s="14"/>
      <c r="K1811" s="14"/>
      <c r="L1811" s="14"/>
      <c r="M1811" s="15"/>
      <c r="N1811" s="10"/>
      <c r="O1811" s="14"/>
      <c r="P1811" s="14"/>
      <c r="Q1811" s="14"/>
      <c r="R1811" s="14"/>
      <c r="S1811" s="14"/>
      <c r="T1811" s="14"/>
      <c r="U1811" s="14"/>
      <c r="V1811" s="14"/>
      <c r="W1811" s="14"/>
      <c r="X1811" s="14"/>
      <c r="Y1811" s="14"/>
      <c r="Z1811" s="14"/>
      <c r="AA1811" s="16" t="str">
        <f t="shared" ca="1" si="1644"/>
        <v>Johnson &amp; Johnson</v>
      </c>
      <c r="AB1811" s="16">
        <f t="shared" si="1644"/>
        <v>0</v>
      </c>
      <c r="AC1811" s="16">
        <f t="shared" si="1644"/>
        <v>0</v>
      </c>
      <c r="AD1811" s="16">
        <f t="shared" si="1644"/>
        <v>0</v>
      </c>
      <c r="AE1811" s="16">
        <f t="shared" si="1644"/>
        <v>0</v>
      </c>
      <c r="AF1811" s="16">
        <f t="shared" si="1644"/>
        <v>0</v>
      </c>
      <c r="AG1811" s="16">
        <f t="shared" si="1644"/>
        <v>0</v>
      </c>
      <c r="AH1811" s="16">
        <f t="shared" si="1644"/>
        <v>0</v>
      </c>
      <c r="AI1811" s="16">
        <f t="shared" si="1644"/>
        <v>0</v>
      </c>
      <c r="AJ1811" s="16">
        <f t="shared" si="1644"/>
        <v>0</v>
      </c>
      <c r="AK1811" s="16">
        <f t="shared" si="1644"/>
        <v>0</v>
      </c>
      <c r="AL1811" s="16">
        <f t="shared" si="1644"/>
        <v>0</v>
      </c>
      <c r="AM1811" s="16">
        <f t="shared" si="1644"/>
        <v>0</v>
      </c>
      <c r="AN1811" s="16">
        <f t="shared" si="1644"/>
        <v>0</v>
      </c>
      <c r="AO1811" s="16">
        <f t="shared" si="1644"/>
        <v>0</v>
      </c>
      <c r="AP1811" s="10"/>
      <c r="AQ1811" s="10"/>
      <c r="AR1811" s="10"/>
      <c r="AS1811" s="10" t="str">
        <f t="shared" ca="1" si="1641"/>
        <v>Johnson &amp; Johnson</v>
      </c>
      <c r="AT1811" s="10"/>
      <c r="AU1811" s="10"/>
      <c r="AV1811" s="10"/>
      <c r="AW1811" s="10"/>
      <c r="AX1811" s="10"/>
      <c r="AY1811" s="10"/>
      <c r="AZ1811" s="10"/>
      <c r="BA1811" s="10"/>
      <c r="BB1811" s="10"/>
      <c r="BC1811" s="10"/>
      <c r="BD1811" s="10"/>
      <c r="BE1811" s="10"/>
      <c r="BF1811" s="10"/>
      <c r="BG1811" s="10"/>
      <c r="BH1811" s="10"/>
      <c r="BI1811" s="10"/>
      <c r="BJ1811" s="10"/>
      <c r="BK1811" s="10"/>
      <c r="BM1811" s="10"/>
    </row>
    <row r="1812" spans="1:65" ht="12.75">
      <c r="A1812" s="9"/>
      <c r="B1812" s="10"/>
      <c r="C1812" s="11"/>
      <c r="D1812" s="12"/>
      <c r="E1812" s="10"/>
      <c r="F1812" s="10"/>
      <c r="G1812" s="10"/>
      <c r="H1812" s="14"/>
      <c r="I1812" s="14"/>
      <c r="J1812" s="14"/>
      <c r="K1812" s="14"/>
      <c r="L1812" s="14"/>
      <c r="M1812" s="15"/>
      <c r="N1812" s="10"/>
      <c r="O1812" s="14"/>
      <c r="P1812" s="14"/>
      <c r="Q1812" s="14"/>
      <c r="R1812" s="14"/>
      <c r="S1812" s="14"/>
      <c r="T1812" s="14"/>
      <c r="U1812" s="14"/>
      <c r="V1812" s="14"/>
      <c r="W1812" s="14"/>
      <c r="X1812" s="14"/>
      <c r="Y1812" s="14"/>
      <c r="Z1812" s="14"/>
      <c r="AA1812" s="16" t="str">
        <f t="shared" ca="1" si="1644"/>
        <v>Johnson &amp; Johnson</v>
      </c>
      <c r="AB1812" s="16">
        <f t="shared" si="1644"/>
        <v>0</v>
      </c>
      <c r="AC1812" s="16">
        <f t="shared" si="1644"/>
        <v>0</v>
      </c>
      <c r="AD1812" s="16">
        <f t="shared" si="1644"/>
        <v>0</v>
      </c>
      <c r="AE1812" s="16">
        <f t="shared" si="1644"/>
        <v>0</v>
      </c>
      <c r="AF1812" s="16">
        <f t="shared" si="1644"/>
        <v>0</v>
      </c>
      <c r="AG1812" s="16">
        <f t="shared" si="1644"/>
        <v>0</v>
      </c>
      <c r="AH1812" s="16">
        <f t="shared" si="1644"/>
        <v>0</v>
      </c>
      <c r="AI1812" s="16">
        <f t="shared" si="1644"/>
        <v>0</v>
      </c>
      <c r="AJ1812" s="16">
        <f t="shared" si="1644"/>
        <v>0</v>
      </c>
      <c r="AK1812" s="16">
        <f t="shared" si="1644"/>
        <v>0</v>
      </c>
      <c r="AL1812" s="16">
        <f t="shared" si="1644"/>
        <v>0</v>
      </c>
      <c r="AM1812" s="16">
        <f t="shared" si="1644"/>
        <v>0</v>
      </c>
      <c r="AN1812" s="16">
        <f t="shared" si="1644"/>
        <v>0</v>
      </c>
      <c r="AO1812" s="16">
        <f t="shared" si="1644"/>
        <v>0</v>
      </c>
      <c r="AP1812" s="10"/>
      <c r="AQ1812" s="10"/>
      <c r="AR1812" s="10"/>
      <c r="AS1812" s="10" t="str">
        <f t="shared" ca="1" si="1641"/>
        <v>Johnson &amp; Johnson</v>
      </c>
      <c r="AT1812" s="10"/>
      <c r="AU1812" s="10"/>
      <c r="AV1812" s="10"/>
      <c r="AW1812" s="10"/>
      <c r="AX1812" s="10"/>
      <c r="AY1812" s="10"/>
      <c r="AZ1812" s="10"/>
      <c r="BA1812" s="10"/>
      <c r="BB1812" s="10"/>
      <c r="BC1812" s="10"/>
      <c r="BD1812" s="10"/>
      <c r="BE1812" s="10"/>
      <c r="BF1812" s="10"/>
      <c r="BG1812" s="10"/>
      <c r="BH1812" s="10"/>
      <c r="BI1812" s="10"/>
      <c r="BJ1812" s="10"/>
      <c r="BK1812" s="10"/>
      <c r="BM1812" s="10"/>
    </row>
    <row r="1813" spans="1:65" ht="12.75">
      <c r="A1813" s="9"/>
      <c r="B1813" s="10"/>
      <c r="C1813" s="11"/>
      <c r="D1813" s="12"/>
      <c r="E1813" s="10"/>
      <c r="F1813" s="10"/>
      <c r="G1813" s="10"/>
      <c r="H1813" s="14"/>
      <c r="I1813" s="14"/>
      <c r="J1813" s="14"/>
      <c r="K1813" s="14"/>
      <c r="L1813" s="14"/>
      <c r="M1813" s="15"/>
      <c r="N1813" s="10"/>
      <c r="O1813" s="14"/>
      <c r="P1813" s="14"/>
      <c r="Q1813" s="14"/>
      <c r="R1813" s="14"/>
      <c r="S1813" s="14"/>
      <c r="T1813" s="14"/>
      <c r="U1813" s="14"/>
      <c r="V1813" s="14"/>
      <c r="W1813" s="14"/>
      <c r="X1813" s="14"/>
      <c r="Y1813" s="14"/>
      <c r="Z1813" s="14"/>
      <c r="AA1813" s="16" t="str">
        <f t="shared" ca="1" si="1644"/>
        <v>Johnson &amp; Johnson</v>
      </c>
      <c r="AB1813" s="16">
        <f t="shared" si="1644"/>
        <v>0</v>
      </c>
      <c r="AC1813" s="16">
        <f t="shared" si="1644"/>
        <v>0</v>
      </c>
      <c r="AD1813" s="16">
        <f t="shared" si="1644"/>
        <v>0</v>
      </c>
      <c r="AE1813" s="16">
        <f t="shared" si="1644"/>
        <v>0</v>
      </c>
      <c r="AF1813" s="16">
        <f t="shared" si="1644"/>
        <v>0</v>
      </c>
      <c r="AG1813" s="16">
        <f t="shared" si="1644"/>
        <v>0</v>
      </c>
      <c r="AH1813" s="16">
        <f t="shared" si="1644"/>
        <v>0</v>
      </c>
      <c r="AI1813" s="16">
        <f t="shared" si="1644"/>
        <v>0</v>
      </c>
      <c r="AJ1813" s="16">
        <f t="shared" si="1644"/>
        <v>0</v>
      </c>
      <c r="AK1813" s="16">
        <f t="shared" si="1644"/>
        <v>0</v>
      </c>
      <c r="AL1813" s="16">
        <f t="shared" si="1644"/>
        <v>0</v>
      </c>
      <c r="AM1813" s="16">
        <f t="shared" si="1644"/>
        <v>0</v>
      </c>
      <c r="AN1813" s="16">
        <f t="shared" si="1644"/>
        <v>0</v>
      </c>
      <c r="AO1813" s="16">
        <f t="shared" si="1644"/>
        <v>0</v>
      </c>
      <c r="AP1813" s="10"/>
      <c r="AQ1813" s="10"/>
      <c r="AR1813" s="10"/>
      <c r="AS1813" s="10" t="str">
        <f t="shared" ca="1" si="1641"/>
        <v>Johnson &amp; Johnson</v>
      </c>
      <c r="AT1813" s="10"/>
      <c r="AU1813" s="10"/>
      <c r="AV1813" s="10"/>
      <c r="AW1813" s="10"/>
      <c r="AX1813" s="10"/>
      <c r="AY1813" s="10"/>
      <c r="AZ1813" s="10"/>
      <c r="BA1813" s="10"/>
      <c r="BB1813" s="10"/>
      <c r="BC1813" s="10"/>
      <c r="BD1813" s="10"/>
      <c r="BE1813" s="10"/>
      <c r="BF1813" s="10"/>
      <c r="BG1813" s="10"/>
      <c r="BH1813" s="10"/>
      <c r="BI1813" s="10"/>
      <c r="BJ1813" s="10"/>
      <c r="BK1813" s="10"/>
      <c r="BM1813" s="10"/>
    </row>
    <row r="1814" spans="1:65" ht="12.75">
      <c r="A1814" s="9"/>
      <c r="B1814" s="10"/>
      <c r="C1814" s="11"/>
      <c r="D1814" s="12"/>
      <c r="E1814" s="10"/>
      <c r="F1814" s="10"/>
      <c r="G1814" s="10"/>
      <c r="H1814" s="14"/>
      <c r="I1814" s="14"/>
      <c r="J1814" s="14"/>
      <c r="K1814" s="14"/>
      <c r="L1814" s="14"/>
      <c r="M1814" s="15"/>
      <c r="N1814" s="10"/>
      <c r="O1814" s="14"/>
      <c r="P1814" s="14"/>
      <c r="Q1814" s="14"/>
      <c r="R1814" s="14"/>
      <c r="S1814" s="14"/>
      <c r="T1814" s="14"/>
      <c r="U1814" s="14"/>
      <c r="V1814" s="14"/>
      <c r="W1814" s="14"/>
      <c r="X1814" s="14"/>
      <c r="Y1814" s="14"/>
      <c r="Z1814" s="14"/>
      <c r="AA1814" s="16" t="str">
        <f t="shared" ca="1" si="1644"/>
        <v>Johnson &amp; Johnson</v>
      </c>
      <c r="AB1814" s="16">
        <f t="shared" si="1644"/>
        <v>0</v>
      </c>
      <c r="AC1814" s="16">
        <f t="shared" si="1644"/>
        <v>0</v>
      </c>
      <c r="AD1814" s="16">
        <f t="shared" si="1644"/>
        <v>0</v>
      </c>
      <c r="AE1814" s="16">
        <f t="shared" si="1644"/>
        <v>0</v>
      </c>
      <c r="AF1814" s="16">
        <f t="shared" si="1644"/>
        <v>0</v>
      </c>
      <c r="AG1814" s="16">
        <f t="shared" si="1644"/>
        <v>0</v>
      </c>
      <c r="AH1814" s="16">
        <f t="shared" si="1644"/>
        <v>0</v>
      </c>
      <c r="AI1814" s="16">
        <f t="shared" si="1644"/>
        <v>0</v>
      </c>
      <c r="AJ1814" s="16">
        <f t="shared" si="1644"/>
        <v>0</v>
      </c>
      <c r="AK1814" s="16">
        <f t="shared" si="1644"/>
        <v>0</v>
      </c>
      <c r="AL1814" s="16">
        <f t="shared" si="1644"/>
        <v>0</v>
      </c>
      <c r="AM1814" s="16">
        <f t="shared" si="1644"/>
        <v>0</v>
      </c>
      <c r="AN1814" s="16">
        <f t="shared" si="1644"/>
        <v>0</v>
      </c>
      <c r="AO1814" s="16">
        <f t="shared" si="1644"/>
        <v>0</v>
      </c>
      <c r="AP1814" s="10"/>
      <c r="AQ1814" s="10"/>
      <c r="AR1814" s="10"/>
      <c r="AS1814" s="10" t="str">
        <f t="shared" ca="1" si="1641"/>
        <v>Johnson &amp; Johnson</v>
      </c>
      <c r="AT1814" s="10"/>
      <c r="AU1814" s="10"/>
      <c r="AV1814" s="10"/>
      <c r="AW1814" s="10"/>
      <c r="AX1814" s="10"/>
      <c r="AY1814" s="10"/>
      <c r="AZ1814" s="10"/>
      <c r="BA1814" s="10"/>
      <c r="BB1814" s="10"/>
      <c r="BC1814" s="10"/>
      <c r="BD1814" s="10"/>
      <c r="BE1814" s="10"/>
      <c r="BF1814" s="10"/>
      <c r="BG1814" s="10"/>
      <c r="BH1814" s="10"/>
      <c r="BI1814" s="10"/>
      <c r="BJ1814" s="10"/>
      <c r="BK1814" s="10"/>
      <c r="BM1814" s="10"/>
    </row>
    <row r="1815" spans="1:65" ht="12.75">
      <c r="A1815" s="9"/>
      <c r="B1815" s="10"/>
      <c r="C1815" s="11"/>
      <c r="D1815" s="12"/>
      <c r="E1815" s="10"/>
      <c r="F1815" s="10"/>
      <c r="G1815" s="10"/>
      <c r="H1815" s="14"/>
      <c r="I1815" s="14"/>
      <c r="J1815" s="14"/>
      <c r="K1815" s="14"/>
      <c r="L1815" s="14"/>
      <c r="M1815" s="15"/>
      <c r="N1815" s="10"/>
      <c r="O1815" s="14"/>
      <c r="P1815" s="14"/>
      <c r="Q1815" s="14"/>
      <c r="R1815" s="14"/>
      <c r="S1815" s="14"/>
      <c r="T1815" s="14"/>
      <c r="U1815" s="14"/>
      <c r="V1815" s="14"/>
      <c r="W1815" s="14"/>
      <c r="X1815" s="14"/>
      <c r="Y1815" s="14"/>
      <c r="Z1815" s="14"/>
      <c r="AA1815" s="16" t="str">
        <f t="shared" ca="1" si="1644"/>
        <v>Johnson &amp; Johnson</v>
      </c>
      <c r="AB1815" s="16">
        <f t="shared" si="1644"/>
        <v>0</v>
      </c>
      <c r="AC1815" s="16">
        <f t="shared" si="1644"/>
        <v>0</v>
      </c>
      <c r="AD1815" s="16">
        <f t="shared" si="1644"/>
        <v>0</v>
      </c>
      <c r="AE1815" s="16">
        <f t="shared" si="1644"/>
        <v>0</v>
      </c>
      <c r="AF1815" s="16">
        <f t="shared" si="1644"/>
        <v>0</v>
      </c>
      <c r="AG1815" s="16">
        <f t="shared" si="1644"/>
        <v>0</v>
      </c>
      <c r="AH1815" s="16">
        <f t="shared" si="1644"/>
        <v>0</v>
      </c>
      <c r="AI1815" s="16">
        <f t="shared" si="1644"/>
        <v>0</v>
      </c>
      <c r="AJ1815" s="16">
        <f t="shared" si="1644"/>
        <v>0</v>
      </c>
      <c r="AK1815" s="16">
        <f t="shared" si="1644"/>
        <v>0</v>
      </c>
      <c r="AL1815" s="16">
        <f t="shared" si="1644"/>
        <v>0</v>
      </c>
      <c r="AM1815" s="16">
        <f t="shared" si="1644"/>
        <v>0</v>
      </c>
      <c r="AN1815" s="16">
        <f t="shared" si="1644"/>
        <v>0</v>
      </c>
      <c r="AO1815" s="16">
        <f t="shared" si="1644"/>
        <v>0</v>
      </c>
      <c r="AP1815" s="10"/>
      <c r="AQ1815" s="10"/>
      <c r="AR1815" s="10"/>
      <c r="AS1815" s="10" t="str">
        <f t="shared" ca="1" si="1641"/>
        <v>Johnson &amp; Johnson</v>
      </c>
      <c r="AT1815" s="10"/>
      <c r="AU1815" s="10"/>
      <c r="AV1815" s="10"/>
      <c r="AW1815" s="10"/>
      <c r="AX1815" s="10"/>
      <c r="AY1815" s="10"/>
      <c r="AZ1815" s="10"/>
      <c r="BA1815" s="10"/>
      <c r="BB1815" s="10"/>
      <c r="BC1815" s="10"/>
      <c r="BD1815" s="10"/>
      <c r="BE1815" s="10"/>
      <c r="BF1815" s="10"/>
      <c r="BG1815" s="10"/>
      <c r="BH1815" s="10"/>
      <c r="BI1815" s="10"/>
      <c r="BJ1815" s="10"/>
      <c r="BK1815" s="10"/>
      <c r="BM1815" s="10"/>
    </row>
    <row r="1816" spans="1:65" ht="12.75">
      <c r="A1816" s="9"/>
      <c r="B1816" s="10"/>
      <c r="C1816" s="11"/>
      <c r="D1816" s="12"/>
      <c r="E1816" s="10"/>
      <c r="F1816" s="10"/>
      <c r="G1816" s="10"/>
      <c r="H1816" s="14"/>
      <c r="I1816" s="14"/>
      <c r="J1816" s="14"/>
      <c r="K1816" s="14"/>
      <c r="L1816" s="14"/>
      <c r="M1816" s="15"/>
      <c r="N1816" s="10"/>
      <c r="O1816" s="14"/>
      <c r="P1816" s="14"/>
      <c r="Q1816" s="14"/>
      <c r="R1816" s="14"/>
      <c r="S1816" s="14"/>
      <c r="T1816" s="14"/>
      <c r="U1816" s="14"/>
      <c r="V1816" s="14"/>
      <c r="W1816" s="14"/>
      <c r="X1816" s="14"/>
      <c r="Y1816" s="14"/>
      <c r="Z1816" s="14"/>
      <c r="AA1816" s="16" t="str">
        <f t="shared" ca="1" si="1644"/>
        <v>Johnson &amp; Johnson</v>
      </c>
      <c r="AB1816" s="16">
        <f t="shared" si="1644"/>
        <v>0</v>
      </c>
      <c r="AC1816" s="16">
        <f t="shared" si="1644"/>
        <v>0</v>
      </c>
      <c r="AD1816" s="16">
        <f t="shared" si="1644"/>
        <v>0</v>
      </c>
      <c r="AE1816" s="16">
        <f t="shared" si="1644"/>
        <v>0</v>
      </c>
      <c r="AF1816" s="16">
        <f t="shared" si="1644"/>
        <v>0</v>
      </c>
      <c r="AG1816" s="16">
        <f t="shared" si="1644"/>
        <v>0</v>
      </c>
      <c r="AH1816" s="16">
        <f t="shared" si="1644"/>
        <v>0</v>
      </c>
      <c r="AI1816" s="16">
        <f t="shared" si="1644"/>
        <v>0</v>
      </c>
      <c r="AJ1816" s="16">
        <f t="shared" si="1644"/>
        <v>0</v>
      </c>
      <c r="AK1816" s="16">
        <f t="shared" si="1644"/>
        <v>0</v>
      </c>
      <c r="AL1816" s="16">
        <f t="shared" si="1644"/>
        <v>0</v>
      </c>
      <c r="AM1816" s="16">
        <f t="shared" si="1644"/>
        <v>0</v>
      </c>
      <c r="AN1816" s="16">
        <f t="shared" si="1644"/>
        <v>0</v>
      </c>
      <c r="AO1816" s="16">
        <f t="shared" si="1644"/>
        <v>0</v>
      </c>
      <c r="AP1816" s="10"/>
      <c r="AQ1816" s="10"/>
      <c r="AR1816" s="10"/>
      <c r="AS1816" s="10" t="str">
        <f t="shared" ca="1" si="1641"/>
        <v>Johnson &amp; Johnson</v>
      </c>
      <c r="AT1816" s="10"/>
      <c r="AU1816" s="10"/>
      <c r="AV1816" s="10"/>
      <c r="AW1816" s="10"/>
      <c r="AX1816" s="10"/>
      <c r="AY1816" s="10"/>
      <c r="AZ1816" s="10"/>
      <c r="BA1816" s="10"/>
      <c r="BB1816" s="10"/>
      <c r="BC1816" s="10"/>
      <c r="BD1816" s="10"/>
      <c r="BE1816" s="10"/>
      <c r="BF1816" s="10"/>
      <c r="BG1816" s="10"/>
      <c r="BH1816" s="10"/>
      <c r="BI1816" s="10"/>
      <c r="BJ1816" s="10"/>
      <c r="BK1816" s="10"/>
      <c r="BM1816" s="10"/>
    </row>
    <row r="1817" spans="1:65" ht="12.75">
      <c r="A1817" s="9"/>
      <c r="B1817" s="10"/>
      <c r="C1817" s="11"/>
      <c r="D1817" s="12"/>
      <c r="E1817" s="10"/>
      <c r="F1817" s="10"/>
      <c r="G1817" s="10"/>
      <c r="H1817" s="14"/>
      <c r="I1817" s="14"/>
      <c r="J1817" s="14"/>
      <c r="K1817" s="14"/>
      <c r="L1817" s="14"/>
      <c r="M1817" s="15"/>
      <c r="N1817" s="10"/>
      <c r="O1817" s="14"/>
      <c r="P1817" s="14"/>
      <c r="Q1817" s="14"/>
      <c r="R1817" s="14"/>
      <c r="S1817" s="14"/>
      <c r="T1817" s="14"/>
      <c r="U1817" s="14"/>
      <c r="V1817" s="14"/>
      <c r="W1817" s="14"/>
      <c r="X1817" s="14"/>
      <c r="Y1817" s="14"/>
      <c r="Z1817" s="14"/>
      <c r="AA1817" s="16" t="str">
        <f t="shared" ref="AA1817:AO1832" ca="1" si="1645">AS1817</f>
        <v>Johnson &amp; Johnson</v>
      </c>
      <c r="AB1817" s="16">
        <f t="shared" si="1645"/>
        <v>0</v>
      </c>
      <c r="AC1817" s="16">
        <f t="shared" si="1645"/>
        <v>0</v>
      </c>
      <c r="AD1817" s="16">
        <f t="shared" si="1645"/>
        <v>0</v>
      </c>
      <c r="AE1817" s="16">
        <f t="shared" si="1645"/>
        <v>0</v>
      </c>
      <c r="AF1817" s="16">
        <f t="shared" si="1645"/>
        <v>0</v>
      </c>
      <c r="AG1817" s="16">
        <f t="shared" si="1645"/>
        <v>0</v>
      </c>
      <c r="AH1817" s="16">
        <f t="shared" si="1645"/>
        <v>0</v>
      </c>
      <c r="AI1817" s="16">
        <f t="shared" si="1645"/>
        <v>0</v>
      </c>
      <c r="AJ1817" s="16">
        <f t="shared" si="1645"/>
        <v>0</v>
      </c>
      <c r="AK1817" s="16">
        <f t="shared" si="1645"/>
        <v>0</v>
      </c>
      <c r="AL1817" s="16">
        <f t="shared" si="1645"/>
        <v>0</v>
      </c>
      <c r="AM1817" s="16">
        <f t="shared" si="1645"/>
        <v>0</v>
      </c>
      <c r="AN1817" s="16">
        <f t="shared" si="1645"/>
        <v>0</v>
      </c>
      <c r="AO1817" s="16">
        <f t="shared" si="1645"/>
        <v>0</v>
      </c>
      <c r="AP1817" s="10"/>
      <c r="AQ1817" s="10"/>
      <c r="AR1817" s="10"/>
      <c r="AS1817" s="10" t="str">
        <f t="shared" ca="1" si="1641"/>
        <v>Johnson &amp; Johnson</v>
      </c>
      <c r="AT1817" s="10"/>
      <c r="AU1817" s="10"/>
      <c r="AV1817" s="10"/>
      <c r="AW1817" s="10"/>
      <c r="AX1817" s="10"/>
      <c r="AY1817" s="10"/>
      <c r="AZ1817" s="10"/>
      <c r="BA1817" s="10"/>
      <c r="BB1817" s="10"/>
      <c r="BC1817" s="10"/>
      <c r="BD1817" s="10"/>
      <c r="BE1817" s="10"/>
      <c r="BF1817" s="10"/>
      <c r="BG1817" s="10"/>
      <c r="BH1817" s="10"/>
      <c r="BI1817" s="10"/>
      <c r="BJ1817" s="10"/>
      <c r="BK1817" s="10"/>
      <c r="BM1817" s="10"/>
    </row>
    <row r="1818" spans="1:65" ht="12.75">
      <c r="A1818" s="9"/>
      <c r="B1818" s="10"/>
      <c r="C1818" s="11"/>
      <c r="D1818" s="12"/>
      <c r="E1818" s="10"/>
      <c r="F1818" s="10"/>
      <c r="G1818" s="10"/>
      <c r="H1818" s="14"/>
      <c r="I1818" s="14"/>
      <c r="J1818" s="14"/>
      <c r="K1818" s="14"/>
      <c r="L1818" s="14"/>
      <c r="M1818" s="15"/>
      <c r="N1818" s="10"/>
      <c r="O1818" s="14"/>
      <c r="P1818" s="14"/>
      <c r="Q1818" s="14"/>
      <c r="R1818" s="14"/>
      <c r="S1818" s="14"/>
      <c r="T1818" s="14"/>
      <c r="U1818" s="14"/>
      <c r="V1818" s="14"/>
      <c r="W1818" s="14"/>
      <c r="X1818" s="14"/>
      <c r="Y1818" s="14"/>
      <c r="Z1818" s="14"/>
      <c r="AA1818" s="16" t="str">
        <f t="shared" ca="1" si="1645"/>
        <v>Johnson &amp; Johnson</v>
      </c>
      <c r="AB1818" s="16">
        <f t="shared" si="1645"/>
        <v>0</v>
      </c>
      <c r="AC1818" s="16">
        <f t="shared" si="1645"/>
        <v>0</v>
      </c>
      <c r="AD1818" s="16">
        <f t="shared" si="1645"/>
        <v>0</v>
      </c>
      <c r="AE1818" s="16">
        <f t="shared" si="1645"/>
        <v>0</v>
      </c>
      <c r="AF1818" s="16">
        <f t="shared" si="1645"/>
        <v>0</v>
      </c>
      <c r="AG1818" s="16">
        <f t="shared" si="1645"/>
        <v>0</v>
      </c>
      <c r="AH1818" s="16">
        <f t="shared" si="1645"/>
        <v>0</v>
      </c>
      <c r="AI1818" s="16">
        <f t="shared" si="1645"/>
        <v>0</v>
      </c>
      <c r="AJ1818" s="16">
        <f t="shared" si="1645"/>
        <v>0</v>
      </c>
      <c r="AK1818" s="16">
        <f t="shared" si="1645"/>
        <v>0</v>
      </c>
      <c r="AL1818" s="16">
        <f t="shared" si="1645"/>
        <v>0</v>
      </c>
      <c r="AM1818" s="16">
        <f t="shared" si="1645"/>
        <v>0</v>
      </c>
      <c r="AN1818" s="16">
        <f t="shared" si="1645"/>
        <v>0</v>
      </c>
      <c r="AO1818" s="16">
        <f t="shared" si="1645"/>
        <v>0</v>
      </c>
      <c r="AP1818" s="10"/>
      <c r="AQ1818" s="10"/>
      <c r="AR1818" s="10"/>
      <c r="AS1818" s="10" t="str">
        <f t="shared" ca="1" si="1641"/>
        <v>Johnson &amp; Johnson</v>
      </c>
      <c r="AT1818" s="10"/>
      <c r="AU1818" s="10"/>
      <c r="AV1818" s="10"/>
      <c r="AW1818" s="10"/>
      <c r="AX1818" s="10"/>
      <c r="AY1818" s="10"/>
      <c r="AZ1818" s="10"/>
      <c r="BA1818" s="10"/>
      <c r="BB1818" s="10"/>
      <c r="BC1818" s="10"/>
      <c r="BD1818" s="10"/>
      <c r="BE1818" s="10"/>
      <c r="BF1818" s="10"/>
      <c r="BG1818" s="10"/>
      <c r="BH1818" s="10"/>
      <c r="BI1818" s="10"/>
      <c r="BJ1818" s="10"/>
      <c r="BK1818" s="10"/>
      <c r="BM1818" s="10"/>
    </row>
    <row r="1819" spans="1:65" ht="12.75">
      <c r="A1819" s="9"/>
      <c r="B1819" s="10"/>
      <c r="C1819" s="11"/>
      <c r="D1819" s="12"/>
      <c r="E1819" s="10"/>
      <c r="F1819" s="10"/>
      <c r="G1819" s="10"/>
      <c r="H1819" s="14"/>
      <c r="I1819" s="14"/>
      <c r="J1819" s="14"/>
      <c r="K1819" s="14"/>
      <c r="L1819" s="14"/>
      <c r="M1819" s="15"/>
      <c r="N1819" s="10"/>
      <c r="O1819" s="14"/>
      <c r="P1819" s="14"/>
      <c r="Q1819" s="14"/>
      <c r="R1819" s="14"/>
      <c r="S1819" s="14"/>
      <c r="T1819" s="14"/>
      <c r="U1819" s="14"/>
      <c r="V1819" s="14"/>
      <c r="W1819" s="14"/>
      <c r="X1819" s="14"/>
      <c r="Y1819" s="14"/>
      <c r="Z1819" s="14"/>
      <c r="AA1819" s="16" t="str">
        <f t="shared" ca="1" si="1645"/>
        <v>Johnson &amp; Johnson</v>
      </c>
      <c r="AB1819" s="16">
        <f t="shared" si="1645"/>
        <v>0</v>
      </c>
      <c r="AC1819" s="16">
        <f t="shared" si="1645"/>
        <v>0</v>
      </c>
      <c r="AD1819" s="16">
        <f t="shared" si="1645"/>
        <v>0</v>
      </c>
      <c r="AE1819" s="16">
        <f t="shared" si="1645"/>
        <v>0</v>
      </c>
      <c r="AF1819" s="16">
        <f t="shared" si="1645"/>
        <v>0</v>
      </c>
      <c r="AG1819" s="16">
        <f t="shared" si="1645"/>
        <v>0</v>
      </c>
      <c r="AH1819" s="16">
        <f t="shared" si="1645"/>
        <v>0</v>
      </c>
      <c r="AI1819" s="16">
        <f t="shared" si="1645"/>
        <v>0</v>
      </c>
      <c r="AJ1819" s="16">
        <f t="shared" si="1645"/>
        <v>0</v>
      </c>
      <c r="AK1819" s="16">
        <f t="shared" si="1645"/>
        <v>0</v>
      </c>
      <c r="AL1819" s="16">
        <f t="shared" si="1645"/>
        <v>0</v>
      </c>
      <c r="AM1819" s="16">
        <f t="shared" si="1645"/>
        <v>0</v>
      </c>
      <c r="AN1819" s="16">
        <f t="shared" si="1645"/>
        <v>0</v>
      </c>
      <c r="AO1819" s="16">
        <f t="shared" si="1645"/>
        <v>0</v>
      </c>
      <c r="AP1819" s="10"/>
      <c r="AQ1819" s="10"/>
      <c r="AR1819" s="10"/>
      <c r="AS1819" s="10" t="str">
        <f t="shared" ca="1" si="1641"/>
        <v>Johnson &amp; Johnson</v>
      </c>
      <c r="AT1819" s="10"/>
      <c r="AU1819" s="10"/>
      <c r="AV1819" s="10"/>
      <c r="AW1819" s="10"/>
      <c r="AX1819" s="10"/>
      <c r="AY1819" s="10"/>
      <c r="AZ1819" s="10"/>
      <c r="BA1819" s="10"/>
      <c r="BB1819" s="10"/>
      <c r="BC1819" s="10"/>
      <c r="BD1819" s="10"/>
      <c r="BE1819" s="10"/>
      <c r="BF1819" s="10"/>
      <c r="BG1819" s="10"/>
      <c r="BH1819" s="10"/>
      <c r="BI1819" s="10"/>
      <c r="BJ1819" s="10"/>
      <c r="BK1819" s="10"/>
      <c r="BM1819" s="10"/>
    </row>
    <row r="1820" spans="1:65" ht="12.75">
      <c r="A1820" s="9"/>
      <c r="B1820" s="10"/>
      <c r="C1820" s="11"/>
      <c r="D1820" s="12"/>
      <c r="E1820" s="10"/>
      <c r="F1820" s="10"/>
      <c r="G1820" s="10"/>
      <c r="H1820" s="14"/>
      <c r="I1820" s="14"/>
      <c r="J1820" s="14"/>
      <c r="K1820" s="14"/>
      <c r="L1820" s="14"/>
      <c r="M1820" s="15"/>
      <c r="N1820" s="10"/>
      <c r="O1820" s="14"/>
      <c r="P1820" s="14"/>
      <c r="Q1820" s="14"/>
      <c r="R1820" s="14"/>
      <c r="S1820" s="14"/>
      <c r="T1820" s="14"/>
      <c r="U1820" s="14"/>
      <c r="V1820" s="14"/>
      <c r="W1820" s="14"/>
      <c r="X1820" s="14"/>
      <c r="Y1820" s="14"/>
      <c r="Z1820" s="14"/>
      <c r="AA1820" s="16" t="str">
        <f t="shared" ca="1" si="1645"/>
        <v>Johnson &amp; Johnson</v>
      </c>
      <c r="AB1820" s="16">
        <f t="shared" si="1645"/>
        <v>0</v>
      </c>
      <c r="AC1820" s="16">
        <f t="shared" si="1645"/>
        <v>0</v>
      </c>
      <c r="AD1820" s="16">
        <f t="shared" si="1645"/>
        <v>0</v>
      </c>
      <c r="AE1820" s="16">
        <f t="shared" si="1645"/>
        <v>0</v>
      </c>
      <c r="AF1820" s="16">
        <f t="shared" si="1645"/>
        <v>0</v>
      </c>
      <c r="AG1820" s="16">
        <f t="shared" si="1645"/>
        <v>0</v>
      </c>
      <c r="AH1820" s="16">
        <f t="shared" si="1645"/>
        <v>0</v>
      </c>
      <c r="AI1820" s="16">
        <f t="shared" si="1645"/>
        <v>0</v>
      </c>
      <c r="AJ1820" s="16">
        <f t="shared" si="1645"/>
        <v>0</v>
      </c>
      <c r="AK1820" s="16">
        <f t="shared" si="1645"/>
        <v>0</v>
      </c>
      <c r="AL1820" s="16">
        <f t="shared" si="1645"/>
        <v>0</v>
      </c>
      <c r="AM1820" s="16">
        <f t="shared" si="1645"/>
        <v>0</v>
      </c>
      <c r="AN1820" s="16">
        <f t="shared" si="1645"/>
        <v>0</v>
      </c>
      <c r="AO1820" s="16">
        <f t="shared" si="1645"/>
        <v>0</v>
      </c>
      <c r="AP1820" s="10"/>
      <c r="AQ1820" s="10"/>
      <c r="AR1820" s="10"/>
      <c r="AS1820" s="10" t="str">
        <f t="shared" ca="1" si="1641"/>
        <v>Johnson &amp; Johnson</v>
      </c>
      <c r="AT1820" s="10"/>
      <c r="AU1820" s="10"/>
      <c r="AV1820" s="10"/>
      <c r="AW1820" s="10"/>
      <c r="AX1820" s="10"/>
      <c r="AY1820" s="10"/>
      <c r="AZ1820" s="10"/>
      <c r="BA1820" s="10"/>
      <c r="BB1820" s="10"/>
      <c r="BC1820" s="10"/>
      <c r="BD1820" s="10"/>
      <c r="BE1820" s="10"/>
      <c r="BF1820" s="10"/>
      <c r="BG1820" s="10"/>
      <c r="BH1820" s="10"/>
      <c r="BI1820" s="10"/>
      <c r="BJ1820" s="10"/>
      <c r="BK1820" s="10"/>
      <c r="BM1820" s="10"/>
    </row>
    <row r="1821" spans="1:65" ht="12.75">
      <c r="A1821" s="9"/>
      <c r="B1821" s="10"/>
      <c r="C1821" s="11"/>
      <c r="D1821" s="12"/>
      <c r="E1821" s="10"/>
      <c r="F1821" s="10"/>
      <c r="G1821" s="10"/>
      <c r="H1821" s="14"/>
      <c r="I1821" s="14"/>
      <c r="J1821" s="14"/>
      <c r="K1821" s="14"/>
      <c r="L1821" s="14"/>
      <c r="M1821" s="15"/>
      <c r="N1821" s="10"/>
      <c r="O1821" s="14"/>
      <c r="P1821" s="14"/>
      <c r="Q1821" s="14"/>
      <c r="R1821" s="14"/>
      <c r="S1821" s="14"/>
      <c r="T1821" s="14"/>
      <c r="U1821" s="14"/>
      <c r="V1821" s="14"/>
      <c r="W1821" s="14"/>
      <c r="X1821" s="14"/>
      <c r="Y1821" s="14"/>
      <c r="Z1821" s="14"/>
      <c r="AA1821" s="16" t="str">
        <f t="shared" ca="1" si="1645"/>
        <v>Johnson &amp; Johnson</v>
      </c>
      <c r="AB1821" s="16">
        <f t="shared" si="1645"/>
        <v>0</v>
      </c>
      <c r="AC1821" s="16">
        <f t="shared" si="1645"/>
        <v>0</v>
      </c>
      <c r="AD1821" s="16">
        <f t="shared" si="1645"/>
        <v>0</v>
      </c>
      <c r="AE1821" s="16">
        <f t="shared" si="1645"/>
        <v>0</v>
      </c>
      <c r="AF1821" s="16">
        <f t="shared" si="1645"/>
        <v>0</v>
      </c>
      <c r="AG1821" s="16">
        <f t="shared" si="1645"/>
        <v>0</v>
      </c>
      <c r="AH1821" s="16">
        <f t="shared" si="1645"/>
        <v>0</v>
      </c>
      <c r="AI1821" s="16">
        <f t="shared" si="1645"/>
        <v>0</v>
      </c>
      <c r="AJ1821" s="16">
        <f t="shared" si="1645"/>
        <v>0</v>
      </c>
      <c r="AK1821" s="16">
        <f t="shared" si="1645"/>
        <v>0</v>
      </c>
      <c r="AL1821" s="16">
        <f t="shared" si="1645"/>
        <v>0</v>
      </c>
      <c r="AM1821" s="16">
        <f t="shared" si="1645"/>
        <v>0</v>
      </c>
      <c r="AN1821" s="16">
        <f t="shared" si="1645"/>
        <v>0</v>
      </c>
      <c r="AO1821" s="16">
        <f t="shared" si="1645"/>
        <v>0</v>
      </c>
      <c r="AP1821" s="10"/>
      <c r="AQ1821" s="10"/>
      <c r="AR1821" s="10"/>
      <c r="AS1821" s="10" t="str">
        <f t="shared" ca="1" si="1641"/>
        <v>Johnson &amp; Johnson</v>
      </c>
      <c r="AT1821" s="10"/>
      <c r="AU1821" s="10"/>
      <c r="AV1821" s="10"/>
      <c r="AW1821" s="10"/>
      <c r="AX1821" s="10"/>
      <c r="AY1821" s="10"/>
      <c r="AZ1821" s="10"/>
      <c r="BA1821" s="10"/>
      <c r="BB1821" s="10"/>
      <c r="BC1821" s="10"/>
      <c r="BD1821" s="10"/>
      <c r="BE1821" s="10"/>
      <c r="BF1821" s="10"/>
      <c r="BG1821" s="10"/>
      <c r="BH1821" s="10"/>
      <c r="BI1821" s="10"/>
      <c r="BJ1821" s="10"/>
      <c r="BK1821" s="10"/>
      <c r="BM1821" s="10"/>
    </row>
    <row r="1822" spans="1:65" ht="12.75">
      <c r="A1822" s="9"/>
      <c r="B1822" s="10"/>
      <c r="C1822" s="11"/>
      <c r="D1822" s="12"/>
      <c r="E1822" s="10"/>
      <c r="F1822" s="10"/>
      <c r="G1822" s="10"/>
      <c r="H1822" s="14"/>
      <c r="I1822" s="14"/>
      <c r="J1822" s="14"/>
      <c r="K1822" s="14"/>
      <c r="L1822" s="14"/>
      <c r="M1822" s="15"/>
      <c r="N1822" s="10"/>
      <c r="O1822" s="14"/>
      <c r="P1822" s="14"/>
      <c r="Q1822" s="14"/>
      <c r="R1822" s="14"/>
      <c r="S1822" s="14"/>
      <c r="T1822" s="14"/>
      <c r="U1822" s="14"/>
      <c r="V1822" s="14"/>
      <c r="W1822" s="14"/>
      <c r="X1822" s="14"/>
      <c r="Y1822" s="14"/>
      <c r="Z1822" s="14"/>
      <c r="AA1822" s="16" t="str">
        <f t="shared" ca="1" si="1645"/>
        <v>Johnson &amp; Johnson</v>
      </c>
      <c r="AB1822" s="16">
        <f t="shared" si="1645"/>
        <v>0</v>
      </c>
      <c r="AC1822" s="16">
        <f t="shared" si="1645"/>
        <v>0</v>
      </c>
      <c r="AD1822" s="16">
        <f t="shared" si="1645"/>
        <v>0</v>
      </c>
      <c r="AE1822" s="16">
        <f t="shared" si="1645"/>
        <v>0</v>
      </c>
      <c r="AF1822" s="16">
        <f t="shared" si="1645"/>
        <v>0</v>
      </c>
      <c r="AG1822" s="16">
        <f t="shared" si="1645"/>
        <v>0</v>
      </c>
      <c r="AH1822" s="16">
        <f t="shared" si="1645"/>
        <v>0</v>
      </c>
      <c r="AI1822" s="16">
        <f t="shared" si="1645"/>
        <v>0</v>
      </c>
      <c r="AJ1822" s="16">
        <f t="shared" si="1645"/>
        <v>0</v>
      </c>
      <c r="AK1822" s="16">
        <f t="shared" si="1645"/>
        <v>0</v>
      </c>
      <c r="AL1822" s="16">
        <f t="shared" si="1645"/>
        <v>0</v>
      </c>
      <c r="AM1822" s="16">
        <f t="shared" si="1645"/>
        <v>0</v>
      </c>
      <c r="AN1822" s="16">
        <f t="shared" si="1645"/>
        <v>0</v>
      </c>
      <c r="AO1822" s="16">
        <f t="shared" si="1645"/>
        <v>0</v>
      </c>
      <c r="AP1822" s="10"/>
      <c r="AQ1822" s="10"/>
      <c r="AR1822" s="10"/>
      <c r="AS1822" s="10" t="str">
        <f t="shared" ca="1" si="1641"/>
        <v>Johnson &amp; Johnson</v>
      </c>
      <c r="AT1822" s="10"/>
      <c r="AU1822" s="10"/>
      <c r="AV1822" s="10"/>
      <c r="AW1822" s="10"/>
      <c r="AX1822" s="10"/>
      <c r="AY1822" s="10"/>
      <c r="AZ1822" s="10"/>
      <c r="BA1822" s="10"/>
      <c r="BB1822" s="10"/>
      <c r="BC1822" s="10"/>
      <c r="BD1822" s="10"/>
      <c r="BE1822" s="10"/>
      <c r="BF1822" s="10"/>
      <c r="BG1822" s="10"/>
      <c r="BH1822" s="10"/>
      <c r="BI1822" s="10"/>
      <c r="BJ1822" s="10"/>
      <c r="BK1822" s="10"/>
      <c r="BM1822" s="10"/>
    </row>
    <row r="1823" spans="1:65" ht="12.75">
      <c r="A1823" s="9"/>
      <c r="B1823" s="10"/>
      <c r="C1823" s="11"/>
      <c r="D1823" s="12"/>
      <c r="E1823" s="10"/>
      <c r="F1823" s="10"/>
      <c r="G1823" s="10"/>
      <c r="H1823" s="14"/>
      <c r="I1823" s="14"/>
      <c r="J1823" s="14"/>
      <c r="K1823" s="14"/>
      <c r="L1823" s="14"/>
      <c r="M1823" s="15"/>
      <c r="N1823" s="10"/>
      <c r="O1823" s="14"/>
      <c r="P1823" s="14"/>
      <c r="Q1823" s="14"/>
      <c r="R1823" s="14"/>
      <c r="S1823" s="14"/>
      <c r="T1823" s="14"/>
      <c r="U1823" s="14"/>
      <c r="V1823" s="14"/>
      <c r="W1823" s="14"/>
      <c r="X1823" s="14"/>
      <c r="Y1823" s="14"/>
      <c r="Z1823" s="14"/>
      <c r="AA1823" s="16" t="str">
        <f t="shared" ca="1" si="1645"/>
        <v>Johnson &amp; Johnson</v>
      </c>
      <c r="AB1823" s="16">
        <f t="shared" si="1645"/>
        <v>0</v>
      </c>
      <c r="AC1823" s="16">
        <f t="shared" si="1645"/>
        <v>0</v>
      </c>
      <c r="AD1823" s="16">
        <f t="shared" si="1645"/>
        <v>0</v>
      </c>
      <c r="AE1823" s="16">
        <f t="shared" si="1645"/>
        <v>0</v>
      </c>
      <c r="AF1823" s="16">
        <f t="shared" si="1645"/>
        <v>0</v>
      </c>
      <c r="AG1823" s="16">
        <f t="shared" si="1645"/>
        <v>0</v>
      </c>
      <c r="AH1823" s="16">
        <f t="shared" si="1645"/>
        <v>0</v>
      </c>
      <c r="AI1823" s="16">
        <f t="shared" si="1645"/>
        <v>0</v>
      </c>
      <c r="AJ1823" s="16">
        <f t="shared" si="1645"/>
        <v>0</v>
      </c>
      <c r="AK1823" s="16">
        <f t="shared" si="1645"/>
        <v>0</v>
      </c>
      <c r="AL1823" s="16">
        <f t="shared" si="1645"/>
        <v>0</v>
      </c>
      <c r="AM1823" s="16">
        <f t="shared" si="1645"/>
        <v>0</v>
      </c>
      <c r="AN1823" s="16">
        <f t="shared" si="1645"/>
        <v>0</v>
      </c>
      <c r="AO1823" s="16">
        <f t="shared" si="1645"/>
        <v>0</v>
      </c>
      <c r="AP1823" s="10"/>
      <c r="AQ1823" s="10"/>
      <c r="AR1823" s="10"/>
      <c r="AS1823" s="10" t="str">
        <f t="shared" ca="1" si="1641"/>
        <v>Johnson &amp; Johnson</v>
      </c>
      <c r="AT1823" s="10"/>
      <c r="AU1823" s="10"/>
      <c r="AV1823" s="10"/>
      <c r="AW1823" s="10"/>
      <c r="AX1823" s="10"/>
      <c r="AY1823" s="10"/>
      <c r="AZ1823" s="10"/>
      <c r="BA1823" s="10"/>
      <c r="BB1823" s="10"/>
      <c r="BC1823" s="10"/>
      <c r="BD1823" s="10"/>
      <c r="BE1823" s="10"/>
      <c r="BF1823" s="10"/>
      <c r="BG1823" s="10"/>
      <c r="BH1823" s="10"/>
      <c r="BI1823" s="10"/>
      <c r="BJ1823" s="10"/>
      <c r="BK1823" s="10"/>
      <c r="BM1823" s="10"/>
    </row>
    <row r="1824" spans="1:65" ht="12.75">
      <c r="A1824" s="9"/>
      <c r="B1824" s="10"/>
      <c r="C1824" s="11"/>
      <c r="D1824" s="12"/>
      <c r="E1824" s="10"/>
      <c r="F1824" s="10"/>
      <c r="G1824" s="10"/>
      <c r="H1824" s="14"/>
      <c r="I1824" s="14"/>
      <c r="J1824" s="14"/>
      <c r="K1824" s="14"/>
      <c r="L1824" s="14"/>
      <c r="M1824" s="15"/>
      <c r="N1824" s="10"/>
      <c r="O1824" s="14"/>
      <c r="P1824" s="14"/>
      <c r="Q1824" s="14"/>
      <c r="R1824" s="14"/>
      <c r="S1824" s="14"/>
      <c r="T1824" s="14"/>
      <c r="U1824" s="14"/>
      <c r="V1824" s="14"/>
      <c r="W1824" s="14"/>
      <c r="X1824" s="14"/>
      <c r="Y1824" s="14"/>
      <c r="Z1824" s="14"/>
      <c r="AA1824" s="16" t="str">
        <f t="shared" ca="1" si="1645"/>
        <v>Johnson &amp; Johnson</v>
      </c>
      <c r="AB1824" s="16">
        <f t="shared" si="1645"/>
        <v>0</v>
      </c>
      <c r="AC1824" s="16">
        <f t="shared" si="1645"/>
        <v>0</v>
      </c>
      <c r="AD1824" s="16">
        <f t="shared" si="1645"/>
        <v>0</v>
      </c>
      <c r="AE1824" s="16">
        <f t="shared" si="1645"/>
        <v>0</v>
      </c>
      <c r="AF1824" s="16">
        <f t="shared" si="1645"/>
        <v>0</v>
      </c>
      <c r="AG1824" s="16">
        <f t="shared" si="1645"/>
        <v>0</v>
      </c>
      <c r="AH1824" s="16">
        <f t="shared" si="1645"/>
        <v>0</v>
      </c>
      <c r="AI1824" s="16">
        <f t="shared" si="1645"/>
        <v>0</v>
      </c>
      <c r="AJ1824" s="16">
        <f t="shared" si="1645"/>
        <v>0</v>
      </c>
      <c r="AK1824" s="16">
        <f t="shared" si="1645"/>
        <v>0</v>
      </c>
      <c r="AL1824" s="16">
        <f t="shared" si="1645"/>
        <v>0</v>
      </c>
      <c r="AM1824" s="16">
        <f t="shared" si="1645"/>
        <v>0</v>
      </c>
      <c r="AN1824" s="16">
        <f t="shared" si="1645"/>
        <v>0</v>
      </c>
      <c r="AO1824" s="16">
        <f t="shared" si="1645"/>
        <v>0</v>
      </c>
      <c r="AP1824" s="10"/>
      <c r="AQ1824" s="10"/>
      <c r="AR1824" s="10"/>
      <c r="AS1824" s="10" t="str">
        <f t="shared" ca="1" si="1641"/>
        <v>Johnson &amp; Johnson</v>
      </c>
      <c r="AT1824" s="10"/>
      <c r="AU1824" s="10"/>
      <c r="AV1824" s="10"/>
      <c r="AW1824" s="10"/>
      <c r="AX1824" s="10"/>
      <c r="AY1824" s="10"/>
      <c r="AZ1824" s="10"/>
      <c r="BA1824" s="10"/>
      <c r="BB1824" s="10"/>
      <c r="BC1824" s="10"/>
      <c r="BD1824" s="10"/>
      <c r="BE1824" s="10"/>
      <c r="BF1824" s="10"/>
      <c r="BG1824" s="10"/>
      <c r="BH1824" s="10"/>
      <c r="BI1824" s="10"/>
      <c r="BJ1824" s="10"/>
      <c r="BK1824" s="10"/>
      <c r="BM1824" s="10"/>
    </row>
    <row r="1825" spans="1:65" ht="12.75">
      <c r="A1825" s="9"/>
      <c r="B1825" s="10"/>
      <c r="C1825" s="11"/>
      <c r="D1825" s="12"/>
      <c r="E1825" s="10"/>
      <c r="F1825" s="10"/>
      <c r="G1825" s="10"/>
      <c r="H1825" s="14"/>
      <c r="I1825" s="14"/>
      <c r="J1825" s="14"/>
      <c r="K1825" s="14"/>
      <c r="L1825" s="14"/>
      <c r="M1825" s="15"/>
      <c r="N1825" s="10"/>
      <c r="O1825" s="14"/>
      <c r="P1825" s="14"/>
      <c r="Q1825" s="14"/>
      <c r="R1825" s="14"/>
      <c r="S1825" s="14"/>
      <c r="T1825" s="14"/>
      <c r="U1825" s="14"/>
      <c r="V1825" s="14"/>
      <c r="W1825" s="14"/>
      <c r="X1825" s="14"/>
      <c r="Y1825" s="14"/>
      <c r="Z1825" s="14"/>
      <c r="AA1825" s="16" t="str">
        <f t="shared" ca="1" si="1645"/>
        <v>Johnson &amp; Johnson</v>
      </c>
      <c r="AB1825" s="16">
        <f t="shared" si="1645"/>
        <v>0</v>
      </c>
      <c r="AC1825" s="16">
        <f t="shared" si="1645"/>
        <v>0</v>
      </c>
      <c r="AD1825" s="16">
        <f t="shared" si="1645"/>
        <v>0</v>
      </c>
      <c r="AE1825" s="16">
        <f t="shared" si="1645"/>
        <v>0</v>
      </c>
      <c r="AF1825" s="16">
        <f t="shared" si="1645"/>
        <v>0</v>
      </c>
      <c r="AG1825" s="16">
        <f t="shared" si="1645"/>
        <v>0</v>
      </c>
      <c r="AH1825" s="16">
        <f t="shared" si="1645"/>
        <v>0</v>
      </c>
      <c r="AI1825" s="16">
        <f t="shared" si="1645"/>
        <v>0</v>
      </c>
      <c r="AJ1825" s="16">
        <f t="shared" si="1645"/>
        <v>0</v>
      </c>
      <c r="AK1825" s="16">
        <f t="shared" si="1645"/>
        <v>0</v>
      </c>
      <c r="AL1825" s="16">
        <f t="shared" si="1645"/>
        <v>0</v>
      </c>
      <c r="AM1825" s="16">
        <f t="shared" si="1645"/>
        <v>0</v>
      </c>
      <c r="AN1825" s="16">
        <f t="shared" si="1645"/>
        <v>0</v>
      </c>
      <c r="AO1825" s="16">
        <f t="shared" si="1645"/>
        <v>0</v>
      </c>
      <c r="AP1825" s="10"/>
      <c r="AQ1825" s="10"/>
      <c r="AR1825" s="10"/>
      <c r="AS1825" s="10" t="str">
        <f t="shared" ca="1" si="1641"/>
        <v>Johnson &amp; Johnson</v>
      </c>
      <c r="AT1825" s="10"/>
      <c r="AU1825" s="10"/>
      <c r="AV1825" s="10"/>
      <c r="AW1825" s="10"/>
      <c r="AX1825" s="10"/>
      <c r="AY1825" s="10"/>
      <c r="AZ1825" s="10"/>
      <c r="BA1825" s="10"/>
      <c r="BB1825" s="10"/>
      <c r="BC1825" s="10"/>
      <c r="BD1825" s="10"/>
      <c r="BE1825" s="10"/>
      <c r="BF1825" s="10"/>
      <c r="BG1825" s="10"/>
      <c r="BH1825" s="10"/>
      <c r="BI1825" s="10"/>
      <c r="BJ1825" s="10"/>
      <c r="BK1825" s="10"/>
      <c r="BM1825" s="10"/>
    </row>
    <row r="1826" spans="1:65" ht="12.75">
      <c r="A1826" s="9"/>
      <c r="B1826" s="10"/>
      <c r="C1826" s="11"/>
      <c r="D1826" s="12"/>
      <c r="E1826" s="10"/>
      <c r="F1826" s="10"/>
      <c r="G1826" s="10"/>
      <c r="H1826" s="14"/>
      <c r="I1826" s="14"/>
      <c r="J1826" s="14"/>
      <c r="K1826" s="14"/>
      <c r="L1826" s="14"/>
      <c r="M1826" s="15"/>
      <c r="N1826" s="10"/>
      <c r="O1826" s="14"/>
      <c r="P1826" s="14"/>
      <c r="Q1826" s="14"/>
      <c r="R1826" s="14"/>
      <c r="S1826" s="14"/>
      <c r="T1826" s="14"/>
      <c r="U1826" s="14"/>
      <c r="V1826" s="14"/>
      <c r="W1826" s="14"/>
      <c r="X1826" s="14"/>
      <c r="Y1826" s="14"/>
      <c r="Z1826" s="14"/>
      <c r="AA1826" s="16" t="str">
        <f t="shared" ca="1" si="1645"/>
        <v>Johnson &amp; Johnson</v>
      </c>
      <c r="AB1826" s="16">
        <f t="shared" si="1645"/>
        <v>0</v>
      </c>
      <c r="AC1826" s="16">
        <f t="shared" si="1645"/>
        <v>0</v>
      </c>
      <c r="AD1826" s="16">
        <f t="shared" si="1645"/>
        <v>0</v>
      </c>
      <c r="AE1826" s="16">
        <f t="shared" si="1645"/>
        <v>0</v>
      </c>
      <c r="AF1826" s="16">
        <f t="shared" si="1645"/>
        <v>0</v>
      </c>
      <c r="AG1826" s="16">
        <f t="shared" si="1645"/>
        <v>0</v>
      </c>
      <c r="AH1826" s="16">
        <f t="shared" si="1645"/>
        <v>0</v>
      </c>
      <c r="AI1826" s="16">
        <f t="shared" si="1645"/>
        <v>0</v>
      </c>
      <c r="AJ1826" s="16">
        <f t="shared" si="1645"/>
        <v>0</v>
      </c>
      <c r="AK1826" s="16">
        <f t="shared" si="1645"/>
        <v>0</v>
      </c>
      <c r="AL1826" s="16">
        <f t="shared" si="1645"/>
        <v>0</v>
      </c>
      <c r="AM1826" s="16">
        <f t="shared" si="1645"/>
        <v>0</v>
      </c>
      <c r="AN1826" s="16">
        <f t="shared" si="1645"/>
        <v>0</v>
      </c>
      <c r="AO1826" s="16">
        <f t="shared" si="1645"/>
        <v>0</v>
      </c>
      <c r="AP1826" s="10"/>
      <c r="AQ1826" s="10"/>
      <c r="AR1826" s="10"/>
      <c r="AS1826" s="10" t="str">
        <f t="shared" ca="1" si="1641"/>
        <v>Johnson &amp; Johnson</v>
      </c>
      <c r="AT1826" s="10"/>
      <c r="AU1826" s="10"/>
      <c r="AV1826" s="10"/>
      <c r="AW1826" s="10"/>
      <c r="AX1826" s="10"/>
      <c r="AY1826" s="10"/>
      <c r="AZ1826" s="10"/>
      <c r="BA1826" s="10"/>
      <c r="BB1826" s="10"/>
      <c r="BC1826" s="10"/>
      <c r="BD1826" s="10"/>
      <c r="BE1826" s="10"/>
      <c r="BF1826" s="10"/>
      <c r="BG1826" s="10"/>
      <c r="BH1826" s="10"/>
      <c r="BI1826" s="10"/>
      <c r="BJ1826" s="10"/>
      <c r="BK1826" s="10"/>
      <c r="BM1826" s="10"/>
    </row>
    <row r="1827" spans="1:65" ht="12.75">
      <c r="A1827" s="9"/>
      <c r="B1827" s="10"/>
      <c r="C1827" s="11"/>
      <c r="D1827" s="12"/>
      <c r="E1827" s="10"/>
      <c r="F1827" s="10"/>
      <c r="G1827" s="10"/>
      <c r="H1827" s="14"/>
      <c r="I1827" s="14"/>
      <c r="J1827" s="14"/>
      <c r="K1827" s="14"/>
      <c r="L1827" s="14"/>
      <c r="M1827" s="15"/>
      <c r="N1827" s="10"/>
      <c r="O1827" s="14"/>
      <c r="P1827" s="14"/>
      <c r="Q1827" s="14"/>
      <c r="R1827" s="14"/>
      <c r="S1827" s="14"/>
      <c r="T1827" s="14"/>
      <c r="U1827" s="14"/>
      <c r="V1827" s="14"/>
      <c r="W1827" s="14"/>
      <c r="X1827" s="14"/>
      <c r="Y1827" s="14"/>
      <c r="Z1827" s="14"/>
      <c r="AA1827" s="16" t="str">
        <f t="shared" ca="1" si="1645"/>
        <v>Johnson &amp; Johnson</v>
      </c>
      <c r="AB1827" s="16">
        <f t="shared" si="1645"/>
        <v>0</v>
      </c>
      <c r="AC1827" s="16">
        <f t="shared" si="1645"/>
        <v>0</v>
      </c>
      <c r="AD1827" s="16">
        <f t="shared" si="1645"/>
        <v>0</v>
      </c>
      <c r="AE1827" s="16">
        <f t="shared" si="1645"/>
        <v>0</v>
      </c>
      <c r="AF1827" s="16">
        <f t="shared" si="1645"/>
        <v>0</v>
      </c>
      <c r="AG1827" s="16">
        <f t="shared" si="1645"/>
        <v>0</v>
      </c>
      <c r="AH1827" s="16">
        <f t="shared" si="1645"/>
        <v>0</v>
      </c>
      <c r="AI1827" s="16">
        <f t="shared" si="1645"/>
        <v>0</v>
      </c>
      <c r="AJ1827" s="16">
        <f t="shared" si="1645"/>
        <v>0</v>
      </c>
      <c r="AK1827" s="16">
        <f t="shared" si="1645"/>
        <v>0</v>
      </c>
      <c r="AL1827" s="16">
        <f t="shared" si="1645"/>
        <v>0</v>
      </c>
      <c r="AM1827" s="16">
        <f t="shared" si="1645"/>
        <v>0</v>
      </c>
      <c r="AN1827" s="16">
        <f t="shared" si="1645"/>
        <v>0</v>
      </c>
      <c r="AO1827" s="16">
        <f t="shared" si="1645"/>
        <v>0</v>
      </c>
      <c r="AP1827" s="10"/>
      <c r="AQ1827" s="10"/>
      <c r="AR1827" s="10"/>
      <c r="AS1827" s="10" t="str">
        <f t="shared" ca="1" si="1641"/>
        <v>Johnson &amp; Johnson</v>
      </c>
      <c r="AT1827" s="10"/>
      <c r="AU1827" s="10"/>
      <c r="AV1827" s="10"/>
      <c r="AW1827" s="10"/>
      <c r="AX1827" s="10"/>
      <c r="AY1827" s="10"/>
      <c r="AZ1827" s="10"/>
      <c r="BA1827" s="10"/>
      <c r="BB1827" s="10"/>
      <c r="BC1827" s="10"/>
      <c r="BD1827" s="10"/>
      <c r="BE1827" s="10"/>
      <c r="BF1827" s="10"/>
      <c r="BG1827" s="10"/>
      <c r="BH1827" s="10"/>
      <c r="BI1827" s="10"/>
      <c r="BJ1827" s="10"/>
      <c r="BK1827" s="10"/>
      <c r="BM1827" s="10"/>
    </row>
    <row r="1828" spans="1:65" ht="12.75">
      <c r="A1828" s="9"/>
      <c r="B1828" s="10"/>
      <c r="C1828" s="11"/>
      <c r="D1828" s="12"/>
      <c r="E1828" s="10"/>
      <c r="F1828" s="10"/>
      <c r="G1828" s="10"/>
      <c r="H1828" s="14"/>
      <c r="I1828" s="14"/>
      <c r="J1828" s="14"/>
      <c r="K1828" s="14"/>
      <c r="L1828" s="14"/>
      <c r="M1828" s="15"/>
      <c r="N1828" s="10"/>
      <c r="O1828" s="14"/>
      <c r="P1828" s="14"/>
      <c r="Q1828" s="14"/>
      <c r="R1828" s="14"/>
      <c r="S1828" s="14"/>
      <c r="T1828" s="14"/>
      <c r="U1828" s="14"/>
      <c r="V1828" s="14"/>
      <c r="W1828" s="14"/>
      <c r="X1828" s="14"/>
      <c r="Y1828" s="14"/>
      <c r="Z1828" s="14"/>
      <c r="AA1828" s="16" t="str">
        <f t="shared" ca="1" si="1645"/>
        <v>Johnson &amp; Johnson</v>
      </c>
      <c r="AB1828" s="16">
        <f t="shared" si="1645"/>
        <v>0</v>
      </c>
      <c r="AC1828" s="16">
        <f t="shared" si="1645"/>
        <v>0</v>
      </c>
      <c r="AD1828" s="16">
        <f t="shared" si="1645"/>
        <v>0</v>
      </c>
      <c r="AE1828" s="16">
        <f t="shared" si="1645"/>
        <v>0</v>
      </c>
      <c r="AF1828" s="16">
        <f t="shared" si="1645"/>
        <v>0</v>
      </c>
      <c r="AG1828" s="16">
        <f t="shared" si="1645"/>
        <v>0</v>
      </c>
      <c r="AH1828" s="16">
        <f t="shared" si="1645"/>
        <v>0</v>
      </c>
      <c r="AI1828" s="16">
        <f t="shared" si="1645"/>
        <v>0</v>
      </c>
      <c r="AJ1828" s="16">
        <f t="shared" si="1645"/>
        <v>0</v>
      </c>
      <c r="AK1828" s="16">
        <f t="shared" si="1645"/>
        <v>0</v>
      </c>
      <c r="AL1828" s="16">
        <f t="shared" si="1645"/>
        <v>0</v>
      </c>
      <c r="AM1828" s="16">
        <f t="shared" si="1645"/>
        <v>0</v>
      </c>
      <c r="AN1828" s="16">
        <f t="shared" si="1645"/>
        <v>0</v>
      </c>
      <c r="AO1828" s="16">
        <f t="shared" si="1645"/>
        <v>0</v>
      </c>
      <c r="AP1828" s="10"/>
      <c r="AQ1828" s="10"/>
      <c r="AR1828" s="10"/>
      <c r="AS1828" s="10" t="str">
        <f t="shared" ca="1" si="1641"/>
        <v>Johnson &amp; Johnson</v>
      </c>
      <c r="AT1828" s="10"/>
      <c r="AU1828" s="10"/>
      <c r="AV1828" s="10"/>
      <c r="AW1828" s="10"/>
      <c r="AX1828" s="10"/>
      <c r="AY1828" s="10"/>
      <c r="AZ1828" s="10"/>
      <c r="BA1828" s="10"/>
      <c r="BB1828" s="10"/>
      <c r="BC1828" s="10"/>
      <c r="BD1828" s="10"/>
      <c r="BE1828" s="10"/>
      <c r="BF1828" s="10"/>
      <c r="BG1828" s="10"/>
      <c r="BH1828" s="10"/>
      <c r="BI1828" s="10"/>
      <c r="BJ1828" s="10"/>
      <c r="BK1828" s="10"/>
      <c r="BM1828" s="10"/>
    </row>
    <row r="1829" spans="1:65" ht="12.75">
      <c r="A1829" s="9"/>
      <c r="B1829" s="10"/>
      <c r="C1829" s="11"/>
      <c r="D1829" s="12"/>
      <c r="E1829" s="10"/>
      <c r="F1829" s="10"/>
      <c r="G1829" s="10"/>
      <c r="H1829" s="14"/>
      <c r="I1829" s="14"/>
      <c r="J1829" s="14"/>
      <c r="K1829" s="14"/>
      <c r="L1829" s="14"/>
      <c r="M1829" s="15"/>
      <c r="N1829" s="10"/>
      <c r="O1829" s="14"/>
      <c r="P1829" s="14"/>
      <c r="Q1829" s="14"/>
      <c r="R1829" s="14"/>
      <c r="S1829" s="14"/>
      <c r="T1829" s="14"/>
      <c r="U1829" s="14"/>
      <c r="V1829" s="14"/>
      <c r="W1829" s="14"/>
      <c r="X1829" s="14"/>
      <c r="Y1829" s="14"/>
      <c r="Z1829" s="14"/>
      <c r="AA1829" s="16" t="str">
        <f t="shared" ca="1" si="1645"/>
        <v>Johnson &amp; Johnson</v>
      </c>
      <c r="AB1829" s="16">
        <f t="shared" si="1645"/>
        <v>0</v>
      </c>
      <c r="AC1829" s="16">
        <f t="shared" si="1645"/>
        <v>0</v>
      </c>
      <c r="AD1829" s="16">
        <f t="shared" si="1645"/>
        <v>0</v>
      </c>
      <c r="AE1829" s="16">
        <f t="shared" si="1645"/>
        <v>0</v>
      </c>
      <c r="AF1829" s="16">
        <f t="shared" si="1645"/>
        <v>0</v>
      </c>
      <c r="AG1829" s="16">
        <f t="shared" si="1645"/>
        <v>0</v>
      </c>
      <c r="AH1829" s="16">
        <f t="shared" si="1645"/>
        <v>0</v>
      </c>
      <c r="AI1829" s="16">
        <f t="shared" si="1645"/>
        <v>0</v>
      </c>
      <c r="AJ1829" s="16">
        <f t="shared" si="1645"/>
        <v>0</v>
      </c>
      <c r="AK1829" s="16">
        <f t="shared" si="1645"/>
        <v>0</v>
      </c>
      <c r="AL1829" s="16">
        <f t="shared" si="1645"/>
        <v>0</v>
      </c>
      <c r="AM1829" s="16">
        <f t="shared" si="1645"/>
        <v>0</v>
      </c>
      <c r="AN1829" s="16">
        <f t="shared" si="1645"/>
        <v>0</v>
      </c>
      <c r="AO1829" s="16">
        <f t="shared" si="1645"/>
        <v>0</v>
      </c>
      <c r="AP1829" s="10"/>
      <c r="AQ1829" s="10"/>
      <c r="AR1829" s="10"/>
      <c r="AS1829" s="10" t="str">
        <f t="shared" ca="1" si="1641"/>
        <v>Johnson &amp; Johnson</v>
      </c>
      <c r="AT1829" s="10"/>
      <c r="AU1829" s="10"/>
      <c r="AV1829" s="10"/>
      <c r="AW1829" s="10"/>
      <c r="AX1829" s="10"/>
      <c r="AY1829" s="10"/>
      <c r="AZ1829" s="10"/>
      <c r="BA1829" s="10"/>
      <c r="BB1829" s="10"/>
      <c r="BC1829" s="10"/>
      <c r="BD1829" s="10"/>
      <c r="BE1829" s="10"/>
      <c r="BF1829" s="10"/>
      <c r="BG1829" s="10"/>
      <c r="BH1829" s="10"/>
      <c r="BI1829" s="10"/>
      <c r="BJ1829" s="10"/>
      <c r="BK1829" s="10"/>
      <c r="BM1829" s="10"/>
    </row>
    <row r="1830" spans="1:65" ht="12.75">
      <c r="A1830" s="9"/>
      <c r="B1830" s="10"/>
      <c r="C1830" s="11"/>
      <c r="D1830" s="12"/>
      <c r="E1830" s="10"/>
      <c r="F1830" s="10"/>
      <c r="G1830" s="10"/>
      <c r="H1830" s="14"/>
      <c r="I1830" s="14"/>
      <c r="J1830" s="14"/>
      <c r="K1830" s="14"/>
      <c r="L1830" s="14"/>
      <c r="M1830" s="15"/>
      <c r="N1830" s="10"/>
      <c r="O1830" s="14"/>
      <c r="P1830" s="14"/>
      <c r="Q1830" s="14"/>
      <c r="R1830" s="14"/>
      <c r="S1830" s="14"/>
      <c r="T1830" s="14"/>
      <c r="U1830" s="14"/>
      <c r="V1830" s="14"/>
      <c r="W1830" s="14"/>
      <c r="X1830" s="14"/>
      <c r="Y1830" s="14"/>
      <c r="Z1830" s="14"/>
      <c r="AA1830" s="16" t="str">
        <f t="shared" ca="1" si="1645"/>
        <v>Johnson &amp; Johnson</v>
      </c>
      <c r="AB1830" s="16">
        <f t="shared" si="1645"/>
        <v>0</v>
      </c>
      <c r="AC1830" s="16">
        <f t="shared" si="1645"/>
        <v>0</v>
      </c>
      <c r="AD1830" s="16">
        <f t="shared" si="1645"/>
        <v>0</v>
      </c>
      <c r="AE1830" s="16">
        <f t="shared" si="1645"/>
        <v>0</v>
      </c>
      <c r="AF1830" s="16">
        <f t="shared" si="1645"/>
        <v>0</v>
      </c>
      <c r="AG1830" s="16">
        <f t="shared" si="1645"/>
        <v>0</v>
      </c>
      <c r="AH1830" s="16">
        <f t="shared" si="1645"/>
        <v>0</v>
      </c>
      <c r="AI1830" s="16">
        <f t="shared" si="1645"/>
        <v>0</v>
      </c>
      <c r="AJ1830" s="16">
        <f t="shared" si="1645"/>
        <v>0</v>
      </c>
      <c r="AK1830" s="16">
        <f t="shared" si="1645"/>
        <v>0</v>
      </c>
      <c r="AL1830" s="16">
        <f t="shared" si="1645"/>
        <v>0</v>
      </c>
      <c r="AM1830" s="16">
        <f t="shared" si="1645"/>
        <v>0</v>
      </c>
      <c r="AN1830" s="16">
        <f t="shared" si="1645"/>
        <v>0</v>
      </c>
      <c r="AO1830" s="16">
        <f t="shared" si="1645"/>
        <v>0</v>
      </c>
      <c r="AP1830" s="10"/>
      <c r="AQ1830" s="10"/>
      <c r="AR1830" s="10"/>
      <c r="AS1830" s="10" t="str">
        <f t="shared" ca="1" si="1641"/>
        <v>Johnson &amp; Johnson</v>
      </c>
      <c r="AT1830" s="10"/>
      <c r="AU1830" s="10"/>
      <c r="AV1830" s="10"/>
      <c r="AW1830" s="10"/>
      <c r="AX1830" s="10"/>
      <c r="AY1830" s="10"/>
      <c r="AZ1830" s="10"/>
      <c r="BA1830" s="10"/>
      <c r="BB1830" s="10"/>
      <c r="BC1830" s="10"/>
      <c r="BD1830" s="10"/>
      <c r="BE1830" s="10"/>
      <c r="BF1830" s="10"/>
      <c r="BG1830" s="10"/>
      <c r="BH1830" s="10"/>
      <c r="BI1830" s="10"/>
      <c r="BJ1830" s="10"/>
      <c r="BK1830" s="10"/>
      <c r="BM1830" s="10"/>
    </row>
    <row r="1831" spans="1:65" ht="12.75">
      <c r="A1831" s="9"/>
      <c r="B1831" s="10"/>
      <c r="C1831" s="11"/>
      <c r="D1831" s="12"/>
      <c r="E1831" s="10"/>
      <c r="F1831" s="10"/>
      <c r="G1831" s="10"/>
      <c r="H1831" s="14"/>
      <c r="I1831" s="14"/>
      <c r="J1831" s="14"/>
      <c r="K1831" s="14"/>
      <c r="L1831" s="14"/>
      <c r="M1831" s="15"/>
      <c r="N1831" s="10"/>
      <c r="O1831" s="14"/>
      <c r="P1831" s="14"/>
      <c r="Q1831" s="14"/>
      <c r="R1831" s="14"/>
      <c r="S1831" s="14"/>
      <c r="T1831" s="14"/>
      <c r="U1831" s="14"/>
      <c r="V1831" s="14"/>
      <c r="W1831" s="14"/>
      <c r="X1831" s="14"/>
      <c r="Y1831" s="14"/>
      <c r="Z1831" s="14"/>
      <c r="AA1831" s="16" t="str">
        <f t="shared" ca="1" si="1645"/>
        <v>Johnson &amp; Johnson</v>
      </c>
      <c r="AB1831" s="16">
        <f t="shared" si="1645"/>
        <v>0</v>
      </c>
      <c r="AC1831" s="16">
        <f t="shared" si="1645"/>
        <v>0</v>
      </c>
      <c r="AD1831" s="16">
        <f t="shared" si="1645"/>
        <v>0</v>
      </c>
      <c r="AE1831" s="16">
        <f t="shared" si="1645"/>
        <v>0</v>
      </c>
      <c r="AF1831" s="16">
        <f t="shared" si="1645"/>
        <v>0</v>
      </c>
      <c r="AG1831" s="16">
        <f t="shared" si="1645"/>
        <v>0</v>
      </c>
      <c r="AH1831" s="16">
        <f t="shared" si="1645"/>
        <v>0</v>
      </c>
      <c r="AI1831" s="16">
        <f t="shared" si="1645"/>
        <v>0</v>
      </c>
      <c r="AJ1831" s="16">
        <f t="shared" si="1645"/>
        <v>0</v>
      </c>
      <c r="AK1831" s="16">
        <f t="shared" si="1645"/>
        <v>0</v>
      </c>
      <c r="AL1831" s="16">
        <f t="shared" si="1645"/>
        <v>0</v>
      </c>
      <c r="AM1831" s="16">
        <f t="shared" si="1645"/>
        <v>0</v>
      </c>
      <c r="AN1831" s="16">
        <f t="shared" si="1645"/>
        <v>0</v>
      </c>
      <c r="AO1831" s="16">
        <f t="shared" si="1645"/>
        <v>0</v>
      </c>
      <c r="AP1831" s="10"/>
      <c r="AQ1831" s="10"/>
      <c r="AR1831" s="10"/>
      <c r="AS1831" s="10" t="str">
        <f t="shared" ca="1" si="1641"/>
        <v>Johnson &amp; Johnson</v>
      </c>
      <c r="AT1831" s="10"/>
      <c r="AU1831" s="10"/>
      <c r="AV1831" s="10"/>
      <c r="AW1831" s="10"/>
      <c r="AX1831" s="10"/>
      <c r="AY1831" s="10"/>
      <c r="AZ1831" s="10"/>
      <c r="BA1831" s="10"/>
      <c r="BB1831" s="10"/>
      <c r="BC1831" s="10"/>
      <c r="BD1831" s="10"/>
      <c r="BE1831" s="10"/>
      <c r="BF1831" s="10"/>
      <c r="BG1831" s="10"/>
      <c r="BH1831" s="10"/>
      <c r="BI1831" s="10"/>
      <c r="BJ1831" s="10"/>
      <c r="BK1831" s="10"/>
      <c r="BM1831" s="10"/>
    </row>
    <row r="1832" spans="1:65" ht="12.75">
      <c r="A1832" s="9"/>
      <c r="B1832" s="10"/>
      <c r="C1832" s="11"/>
      <c r="D1832" s="12"/>
      <c r="E1832" s="10"/>
      <c r="F1832" s="10"/>
      <c r="G1832" s="10"/>
      <c r="H1832" s="14"/>
      <c r="I1832" s="14"/>
      <c r="J1832" s="14"/>
      <c r="K1832" s="14"/>
      <c r="L1832" s="14"/>
      <c r="M1832" s="15"/>
      <c r="N1832" s="10"/>
      <c r="O1832" s="14"/>
      <c r="P1832" s="14"/>
      <c r="Q1832" s="14"/>
      <c r="R1832" s="14"/>
      <c r="S1832" s="14"/>
      <c r="T1832" s="14"/>
      <c r="U1832" s="14"/>
      <c r="V1832" s="14"/>
      <c r="W1832" s="14"/>
      <c r="X1832" s="14"/>
      <c r="Y1832" s="14"/>
      <c r="Z1832" s="14"/>
      <c r="AA1832" s="16" t="str">
        <f t="shared" ca="1" si="1645"/>
        <v>Johnson &amp; Johnson</v>
      </c>
      <c r="AB1832" s="16">
        <f t="shared" si="1645"/>
        <v>0</v>
      </c>
      <c r="AC1832" s="16">
        <f t="shared" si="1645"/>
        <v>0</v>
      </c>
      <c r="AD1832" s="16">
        <f t="shared" si="1645"/>
        <v>0</v>
      </c>
      <c r="AE1832" s="16">
        <f t="shared" si="1645"/>
        <v>0</v>
      </c>
      <c r="AF1832" s="16">
        <f t="shared" si="1645"/>
        <v>0</v>
      </c>
      <c r="AG1832" s="16">
        <f t="shared" si="1645"/>
        <v>0</v>
      </c>
      <c r="AH1832" s="16">
        <f t="shared" si="1645"/>
        <v>0</v>
      </c>
      <c r="AI1832" s="16">
        <f t="shared" si="1645"/>
        <v>0</v>
      </c>
      <c r="AJ1832" s="16">
        <f t="shared" si="1645"/>
        <v>0</v>
      </c>
      <c r="AK1832" s="16">
        <f t="shared" si="1645"/>
        <v>0</v>
      </c>
      <c r="AL1832" s="16">
        <f t="shared" si="1645"/>
        <v>0</v>
      </c>
      <c r="AM1832" s="16">
        <f t="shared" si="1645"/>
        <v>0</v>
      </c>
      <c r="AN1832" s="16">
        <f t="shared" si="1645"/>
        <v>0</v>
      </c>
      <c r="AO1832" s="16">
        <f t="shared" si="1645"/>
        <v>0</v>
      </c>
      <c r="AP1832" s="10"/>
      <c r="AQ1832" s="10"/>
      <c r="AR1832" s="10"/>
      <c r="AS1832" s="10" t="str">
        <f t="shared" ca="1" si="1641"/>
        <v>Johnson &amp; Johnson</v>
      </c>
      <c r="AT1832" s="10"/>
      <c r="AU1832" s="10"/>
      <c r="AV1832" s="10"/>
      <c r="AW1832" s="10"/>
      <c r="AX1832" s="10"/>
      <c r="AY1832" s="10"/>
      <c r="AZ1832" s="10"/>
      <c r="BA1832" s="10"/>
      <c r="BB1832" s="10"/>
      <c r="BC1832" s="10"/>
      <c r="BD1832" s="10"/>
      <c r="BE1832" s="10"/>
      <c r="BF1832" s="10"/>
      <c r="BG1832" s="10"/>
      <c r="BH1832" s="10"/>
      <c r="BI1832" s="10"/>
      <c r="BJ1832" s="10"/>
      <c r="BK1832" s="10"/>
      <c r="BM1832" s="10"/>
    </row>
    <row r="1833" spans="1:65" ht="12.75">
      <c r="A1833" s="9"/>
      <c r="B1833" s="10"/>
      <c r="C1833" s="11"/>
      <c r="D1833" s="12"/>
      <c r="E1833" s="10"/>
      <c r="F1833" s="10"/>
      <c r="G1833" s="10"/>
      <c r="H1833" s="14"/>
      <c r="I1833" s="14"/>
      <c r="J1833" s="14"/>
      <c r="K1833" s="14"/>
      <c r="L1833" s="14"/>
      <c r="M1833" s="15"/>
      <c r="N1833" s="10"/>
      <c r="O1833" s="14"/>
      <c r="P1833" s="14"/>
      <c r="Q1833" s="14"/>
      <c r="R1833" s="14"/>
      <c r="S1833" s="14"/>
      <c r="T1833" s="14"/>
      <c r="U1833" s="14"/>
      <c r="V1833" s="14"/>
      <c r="W1833" s="14"/>
      <c r="X1833" s="14"/>
      <c r="Y1833" s="14"/>
      <c r="Z1833" s="14"/>
      <c r="AA1833" s="16" t="str">
        <f t="shared" ref="AA1833:AO1848" ca="1" si="1646">AS1833</f>
        <v>Johnson &amp; Johnson</v>
      </c>
      <c r="AB1833" s="16">
        <f t="shared" si="1646"/>
        <v>0</v>
      </c>
      <c r="AC1833" s="16">
        <f t="shared" si="1646"/>
        <v>0</v>
      </c>
      <c r="AD1833" s="16">
        <f t="shared" si="1646"/>
        <v>0</v>
      </c>
      <c r="AE1833" s="16">
        <f t="shared" si="1646"/>
        <v>0</v>
      </c>
      <c r="AF1833" s="16">
        <f t="shared" si="1646"/>
        <v>0</v>
      </c>
      <c r="AG1833" s="16">
        <f t="shared" si="1646"/>
        <v>0</v>
      </c>
      <c r="AH1833" s="16">
        <f t="shared" si="1646"/>
        <v>0</v>
      </c>
      <c r="AI1833" s="16">
        <f t="shared" si="1646"/>
        <v>0</v>
      </c>
      <c r="AJ1833" s="16">
        <f t="shared" si="1646"/>
        <v>0</v>
      </c>
      <c r="AK1833" s="16">
        <f t="shared" si="1646"/>
        <v>0</v>
      </c>
      <c r="AL1833" s="16">
        <f t="shared" si="1646"/>
        <v>0</v>
      </c>
      <c r="AM1833" s="16">
        <f t="shared" si="1646"/>
        <v>0</v>
      </c>
      <c r="AN1833" s="16">
        <f t="shared" si="1646"/>
        <v>0</v>
      </c>
      <c r="AO1833" s="16">
        <f t="shared" si="1646"/>
        <v>0</v>
      </c>
      <c r="AP1833" s="10"/>
      <c r="AQ1833" s="10"/>
      <c r="AR1833" s="10"/>
      <c r="AS1833" s="10" t="str">
        <f t="shared" ca="1" si="1641"/>
        <v>Johnson &amp; Johnson</v>
      </c>
      <c r="AT1833" s="10"/>
      <c r="AU1833" s="10"/>
      <c r="AV1833" s="10"/>
      <c r="AW1833" s="10"/>
      <c r="AX1833" s="10"/>
      <c r="AY1833" s="10"/>
      <c r="AZ1833" s="10"/>
      <c r="BA1833" s="10"/>
      <c r="BB1833" s="10"/>
      <c r="BC1833" s="10"/>
      <c r="BD1833" s="10"/>
      <c r="BE1833" s="10"/>
      <c r="BF1833" s="10"/>
      <c r="BG1833" s="10"/>
      <c r="BH1833" s="10"/>
      <c r="BI1833" s="10"/>
      <c r="BJ1833" s="10"/>
      <c r="BK1833" s="10"/>
      <c r="BM1833" s="10"/>
    </row>
    <row r="1834" spans="1:65" ht="12.75">
      <c r="A1834" s="9"/>
      <c r="B1834" s="10"/>
      <c r="C1834" s="11"/>
      <c r="D1834" s="12"/>
      <c r="E1834" s="10"/>
      <c r="F1834" s="10"/>
      <c r="G1834" s="10"/>
      <c r="H1834" s="14"/>
      <c r="I1834" s="14"/>
      <c r="J1834" s="14"/>
      <c r="K1834" s="14"/>
      <c r="L1834" s="14"/>
      <c r="M1834" s="15"/>
      <c r="N1834" s="10"/>
      <c r="O1834" s="14"/>
      <c r="P1834" s="14"/>
      <c r="Q1834" s="14"/>
      <c r="R1834" s="14"/>
      <c r="S1834" s="14"/>
      <c r="T1834" s="14"/>
      <c r="U1834" s="14"/>
      <c r="V1834" s="14"/>
      <c r="W1834" s="14"/>
      <c r="X1834" s="14"/>
      <c r="Y1834" s="14"/>
      <c r="Z1834" s="14"/>
      <c r="AA1834" s="16" t="str">
        <f t="shared" ca="1" si="1646"/>
        <v>Johnson &amp; Johnson</v>
      </c>
      <c r="AB1834" s="16">
        <f t="shared" si="1646"/>
        <v>0</v>
      </c>
      <c r="AC1834" s="16">
        <f t="shared" si="1646"/>
        <v>0</v>
      </c>
      <c r="AD1834" s="16">
        <f t="shared" si="1646"/>
        <v>0</v>
      </c>
      <c r="AE1834" s="16">
        <f t="shared" si="1646"/>
        <v>0</v>
      </c>
      <c r="AF1834" s="16">
        <f t="shared" si="1646"/>
        <v>0</v>
      </c>
      <c r="AG1834" s="16">
        <f t="shared" si="1646"/>
        <v>0</v>
      </c>
      <c r="AH1834" s="16">
        <f t="shared" si="1646"/>
        <v>0</v>
      </c>
      <c r="AI1834" s="16">
        <f t="shared" si="1646"/>
        <v>0</v>
      </c>
      <c r="AJ1834" s="16">
        <f t="shared" si="1646"/>
        <v>0</v>
      </c>
      <c r="AK1834" s="16">
        <f t="shared" si="1646"/>
        <v>0</v>
      </c>
      <c r="AL1834" s="16">
        <f t="shared" si="1646"/>
        <v>0</v>
      </c>
      <c r="AM1834" s="16">
        <f t="shared" si="1646"/>
        <v>0</v>
      </c>
      <c r="AN1834" s="16">
        <f t="shared" si="1646"/>
        <v>0</v>
      </c>
      <c r="AO1834" s="16">
        <f t="shared" si="1646"/>
        <v>0</v>
      </c>
      <c r="AP1834" s="10"/>
      <c r="AQ1834" s="10"/>
      <c r="AR1834" s="10"/>
      <c r="AS1834" s="10" t="str">
        <f t="shared" ca="1" si="1641"/>
        <v>Johnson &amp; Johnson</v>
      </c>
      <c r="AT1834" s="10"/>
      <c r="AU1834" s="10"/>
      <c r="AV1834" s="10"/>
      <c r="AW1834" s="10"/>
      <c r="AX1834" s="10"/>
      <c r="AY1834" s="10"/>
      <c r="AZ1834" s="10"/>
      <c r="BA1834" s="10"/>
      <c r="BB1834" s="10"/>
      <c r="BC1834" s="10"/>
      <c r="BD1834" s="10"/>
      <c r="BE1834" s="10"/>
      <c r="BF1834" s="10"/>
      <c r="BG1834" s="10"/>
      <c r="BH1834" s="10"/>
      <c r="BI1834" s="10"/>
      <c r="BJ1834" s="10"/>
      <c r="BK1834" s="10"/>
      <c r="BM1834" s="10"/>
    </row>
    <row r="1835" spans="1:65" ht="12.75">
      <c r="A1835" s="9"/>
      <c r="B1835" s="10"/>
      <c r="C1835" s="11"/>
      <c r="D1835" s="12"/>
      <c r="E1835" s="10"/>
      <c r="F1835" s="10"/>
      <c r="G1835" s="10"/>
      <c r="H1835" s="14"/>
      <c r="I1835" s="14"/>
      <c r="J1835" s="14"/>
      <c r="K1835" s="14"/>
      <c r="L1835" s="14"/>
      <c r="M1835" s="15"/>
      <c r="N1835" s="10"/>
      <c r="O1835" s="14"/>
      <c r="P1835" s="14"/>
      <c r="Q1835" s="14"/>
      <c r="R1835" s="14"/>
      <c r="S1835" s="14"/>
      <c r="T1835" s="14"/>
      <c r="U1835" s="14"/>
      <c r="V1835" s="14"/>
      <c r="W1835" s="14"/>
      <c r="X1835" s="14"/>
      <c r="Y1835" s="14"/>
      <c r="Z1835" s="14"/>
      <c r="AA1835" s="16" t="str">
        <f t="shared" ca="1" si="1646"/>
        <v>Johnson &amp; Johnson</v>
      </c>
      <c r="AB1835" s="16">
        <f t="shared" si="1646"/>
        <v>0</v>
      </c>
      <c r="AC1835" s="16">
        <f t="shared" si="1646"/>
        <v>0</v>
      </c>
      <c r="AD1835" s="16">
        <f t="shared" si="1646"/>
        <v>0</v>
      </c>
      <c r="AE1835" s="16">
        <f t="shared" si="1646"/>
        <v>0</v>
      </c>
      <c r="AF1835" s="16">
        <f t="shared" si="1646"/>
        <v>0</v>
      </c>
      <c r="AG1835" s="16">
        <f t="shared" si="1646"/>
        <v>0</v>
      </c>
      <c r="AH1835" s="16">
        <f t="shared" si="1646"/>
        <v>0</v>
      </c>
      <c r="AI1835" s="16">
        <f t="shared" si="1646"/>
        <v>0</v>
      </c>
      <c r="AJ1835" s="16">
        <f t="shared" si="1646"/>
        <v>0</v>
      </c>
      <c r="AK1835" s="16">
        <f t="shared" si="1646"/>
        <v>0</v>
      </c>
      <c r="AL1835" s="16">
        <f t="shared" si="1646"/>
        <v>0</v>
      </c>
      <c r="AM1835" s="16">
        <f t="shared" si="1646"/>
        <v>0</v>
      </c>
      <c r="AN1835" s="16">
        <f t="shared" si="1646"/>
        <v>0</v>
      </c>
      <c r="AO1835" s="16">
        <f t="shared" si="1646"/>
        <v>0</v>
      </c>
      <c r="AP1835" s="10"/>
      <c r="AQ1835" s="10"/>
      <c r="AR1835" s="10"/>
      <c r="AS1835" s="10" t="str">
        <f t="shared" ca="1" si="1641"/>
        <v>Johnson &amp; Johnson</v>
      </c>
      <c r="AT1835" s="10"/>
      <c r="AU1835" s="10"/>
      <c r="AV1835" s="10"/>
      <c r="AW1835" s="10"/>
      <c r="AX1835" s="10"/>
      <c r="AY1835" s="10"/>
      <c r="AZ1835" s="10"/>
      <c r="BA1835" s="10"/>
      <c r="BB1835" s="10"/>
      <c r="BC1835" s="10"/>
      <c r="BD1835" s="10"/>
      <c r="BE1835" s="10"/>
      <c r="BF1835" s="10"/>
      <c r="BG1835" s="10"/>
      <c r="BH1835" s="10"/>
      <c r="BI1835" s="10"/>
      <c r="BJ1835" s="10"/>
      <c r="BK1835" s="10"/>
      <c r="BM1835" s="10"/>
    </row>
    <row r="1836" spans="1:65" ht="12.75">
      <c r="A1836" s="9"/>
      <c r="B1836" s="10"/>
      <c r="C1836" s="11"/>
      <c r="D1836" s="12"/>
      <c r="E1836" s="10"/>
      <c r="F1836" s="10"/>
      <c r="G1836" s="10"/>
      <c r="H1836" s="14"/>
      <c r="I1836" s="14"/>
      <c r="J1836" s="14"/>
      <c r="K1836" s="14"/>
      <c r="L1836" s="14"/>
      <c r="M1836" s="15"/>
      <c r="N1836" s="10"/>
      <c r="O1836" s="14"/>
      <c r="P1836" s="14"/>
      <c r="Q1836" s="14"/>
      <c r="R1836" s="14"/>
      <c r="S1836" s="14"/>
      <c r="T1836" s="14"/>
      <c r="U1836" s="14"/>
      <c r="V1836" s="14"/>
      <c r="W1836" s="14"/>
      <c r="X1836" s="14"/>
      <c r="Y1836" s="14"/>
      <c r="Z1836" s="14"/>
      <c r="AA1836" s="16" t="str">
        <f t="shared" ca="1" si="1646"/>
        <v>Johnson &amp; Johnson</v>
      </c>
      <c r="AB1836" s="16">
        <f t="shared" si="1646"/>
        <v>0</v>
      </c>
      <c r="AC1836" s="16">
        <f t="shared" si="1646"/>
        <v>0</v>
      </c>
      <c r="AD1836" s="16">
        <f t="shared" si="1646"/>
        <v>0</v>
      </c>
      <c r="AE1836" s="16">
        <f t="shared" si="1646"/>
        <v>0</v>
      </c>
      <c r="AF1836" s="16">
        <f t="shared" si="1646"/>
        <v>0</v>
      </c>
      <c r="AG1836" s="16">
        <f t="shared" si="1646"/>
        <v>0</v>
      </c>
      <c r="AH1836" s="16">
        <f t="shared" si="1646"/>
        <v>0</v>
      </c>
      <c r="AI1836" s="16">
        <f t="shared" si="1646"/>
        <v>0</v>
      </c>
      <c r="AJ1836" s="16">
        <f t="shared" si="1646"/>
        <v>0</v>
      </c>
      <c r="AK1836" s="16">
        <f t="shared" si="1646"/>
        <v>0</v>
      </c>
      <c r="AL1836" s="16">
        <f t="shared" si="1646"/>
        <v>0</v>
      </c>
      <c r="AM1836" s="16">
        <f t="shared" si="1646"/>
        <v>0</v>
      </c>
      <c r="AN1836" s="16">
        <f t="shared" si="1646"/>
        <v>0</v>
      </c>
      <c r="AO1836" s="16">
        <f t="shared" si="1646"/>
        <v>0</v>
      </c>
      <c r="AP1836" s="10"/>
      <c r="AQ1836" s="10"/>
      <c r="AR1836" s="10"/>
      <c r="AS1836" s="10" t="str">
        <f t="shared" ca="1" si="1641"/>
        <v>Johnson &amp; Johnson</v>
      </c>
      <c r="AT1836" s="10"/>
      <c r="AU1836" s="10"/>
      <c r="AV1836" s="10"/>
      <c r="AW1836" s="10"/>
      <c r="AX1836" s="10"/>
      <c r="AY1836" s="10"/>
      <c r="AZ1836" s="10"/>
      <c r="BA1836" s="10"/>
      <c r="BB1836" s="10"/>
      <c r="BC1836" s="10"/>
      <c r="BD1836" s="10"/>
      <c r="BE1836" s="10"/>
      <c r="BF1836" s="10"/>
      <c r="BG1836" s="10"/>
      <c r="BH1836" s="10"/>
      <c r="BI1836" s="10"/>
      <c r="BJ1836" s="10"/>
      <c r="BK1836" s="10"/>
      <c r="BM1836" s="10"/>
    </row>
    <row r="1837" spans="1:65" ht="12.75">
      <c r="A1837" s="9"/>
      <c r="B1837" s="10"/>
      <c r="C1837" s="11"/>
      <c r="D1837" s="12"/>
      <c r="E1837" s="10"/>
      <c r="F1837" s="10"/>
      <c r="G1837" s="10"/>
      <c r="H1837" s="14"/>
      <c r="I1837" s="14"/>
      <c r="J1837" s="14"/>
      <c r="K1837" s="14"/>
      <c r="L1837" s="14"/>
      <c r="M1837" s="15"/>
      <c r="N1837" s="10"/>
      <c r="O1837" s="14"/>
      <c r="P1837" s="14"/>
      <c r="Q1837" s="14"/>
      <c r="R1837" s="14"/>
      <c r="S1837" s="14"/>
      <c r="T1837" s="14"/>
      <c r="U1837" s="14"/>
      <c r="V1837" s="14"/>
      <c r="W1837" s="14"/>
      <c r="X1837" s="14"/>
      <c r="Y1837" s="14"/>
      <c r="Z1837" s="14"/>
      <c r="AA1837" s="16" t="str">
        <f t="shared" ca="1" si="1646"/>
        <v>Johnson &amp; Johnson</v>
      </c>
      <c r="AB1837" s="16">
        <f t="shared" si="1646"/>
        <v>0</v>
      </c>
      <c r="AC1837" s="16">
        <f t="shared" si="1646"/>
        <v>0</v>
      </c>
      <c r="AD1837" s="16">
        <f t="shared" si="1646"/>
        <v>0</v>
      </c>
      <c r="AE1837" s="16">
        <f t="shared" si="1646"/>
        <v>0</v>
      </c>
      <c r="AF1837" s="16">
        <f t="shared" si="1646"/>
        <v>0</v>
      </c>
      <c r="AG1837" s="16">
        <f t="shared" si="1646"/>
        <v>0</v>
      </c>
      <c r="AH1837" s="16">
        <f t="shared" si="1646"/>
        <v>0</v>
      </c>
      <c r="AI1837" s="16">
        <f t="shared" si="1646"/>
        <v>0</v>
      </c>
      <c r="AJ1837" s="16">
        <f t="shared" si="1646"/>
        <v>0</v>
      </c>
      <c r="AK1837" s="16">
        <f t="shared" si="1646"/>
        <v>0</v>
      </c>
      <c r="AL1837" s="16">
        <f t="shared" si="1646"/>
        <v>0</v>
      </c>
      <c r="AM1837" s="16">
        <f t="shared" si="1646"/>
        <v>0</v>
      </c>
      <c r="AN1837" s="16">
        <f t="shared" si="1646"/>
        <v>0</v>
      </c>
      <c r="AO1837" s="16">
        <f t="shared" si="1646"/>
        <v>0</v>
      </c>
      <c r="AP1837" s="10"/>
      <c r="AQ1837" s="10"/>
      <c r="AR1837" s="10"/>
      <c r="AS1837" s="10" t="str">
        <f t="shared" ca="1" si="1641"/>
        <v>Johnson &amp; Johnson</v>
      </c>
      <c r="AT1837" s="10"/>
      <c r="AU1837" s="10"/>
      <c r="AV1837" s="10"/>
      <c r="AW1837" s="10"/>
      <c r="AX1837" s="10"/>
      <c r="AY1837" s="10"/>
      <c r="AZ1837" s="10"/>
      <c r="BA1837" s="10"/>
      <c r="BB1837" s="10"/>
      <c r="BC1837" s="10"/>
      <c r="BD1837" s="10"/>
      <c r="BE1837" s="10"/>
      <c r="BF1837" s="10"/>
      <c r="BG1837" s="10"/>
      <c r="BH1837" s="10"/>
      <c r="BI1837" s="10"/>
      <c r="BJ1837" s="10"/>
      <c r="BK1837" s="10"/>
      <c r="BM1837" s="10"/>
    </row>
    <row r="1838" spans="1:65" ht="12.75">
      <c r="A1838" s="9"/>
      <c r="B1838" s="10"/>
      <c r="C1838" s="11"/>
      <c r="D1838" s="12"/>
      <c r="E1838" s="10"/>
      <c r="F1838" s="10"/>
      <c r="G1838" s="10"/>
      <c r="H1838" s="14"/>
      <c r="I1838" s="14"/>
      <c r="J1838" s="14"/>
      <c r="K1838" s="14"/>
      <c r="L1838" s="14"/>
      <c r="M1838" s="15"/>
      <c r="N1838" s="10"/>
      <c r="O1838" s="14"/>
      <c r="P1838" s="14"/>
      <c r="Q1838" s="14"/>
      <c r="R1838" s="14"/>
      <c r="S1838" s="14"/>
      <c r="T1838" s="14"/>
      <c r="U1838" s="14"/>
      <c r="V1838" s="14"/>
      <c r="W1838" s="14"/>
      <c r="X1838" s="14"/>
      <c r="Y1838" s="14"/>
      <c r="Z1838" s="14"/>
      <c r="AA1838" s="16" t="str">
        <f t="shared" ca="1" si="1646"/>
        <v>Johnson &amp; Johnson</v>
      </c>
      <c r="AB1838" s="16">
        <f t="shared" si="1646"/>
        <v>0</v>
      </c>
      <c r="AC1838" s="16">
        <f t="shared" si="1646"/>
        <v>0</v>
      </c>
      <c r="AD1838" s="16">
        <f t="shared" si="1646"/>
        <v>0</v>
      </c>
      <c r="AE1838" s="16">
        <f t="shared" si="1646"/>
        <v>0</v>
      </c>
      <c r="AF1838" s="16">
        <f t="shared" si="1646"/>
        <v>0</v>
      </c>
      <c r="AG1838" s="16">
        <f t="shared" si="1646"/>
        <v>0</v>
      </c>
      <c r="AH1838" s="16">
        <f t="shared" si="1646"/>
        <v>0</v>
      </c>
      <c r="AI1838" s="16">
        <f t="shared" si="1646"/>
        <v>0</v>
      </c>
      <c r="AJ1838" s="16">
        <f t="shared" si="1646"/>
        <v>0</v>
      </c>
      <c r="AK1838" s="16">
        <f t="shared" si="1646"/>
        <v>0</v>
      </c>
      <c r="AL1838" s="16">
        <f t="shared" si="1646"/>
        <v>0</v>
      </c>
      <c r="AM1838" s="16">
        <f t="shared" si="1646"/>
        <v>0</v>
      </c>
      <c r="AN1838" s="16">
        <f t="shared" si="1646"/>
        <v>0</v>
      </c>
      <c r="AO1838" s="16">
        <f t="shared" si="1646"/>
        <v>0</v>
      </c>
      <c r="AP1838" s="10"/>
      <c r="AQ1838" s="10"/>
      <c r="AR1838" s="10"/>
      <c r="AS1838" s="10" t="str">
        <f t="shared" ca="1" si="1641"/>
        <v>Johnson &amp; Johnson</v>
      </c>
      <c r="AT1838" s="10"/>
      <c r="AU1838" s="10"/>
      <c r="AV1838" s="10"/>
      <c r="AW1838" s="10"/>
      <c r="AX1838" s="10"/>
      <c r="AY1838" s="10"/>
      <c r="AZ1838" s="10"/>
      <c r="BA1838" s="10"/>
      <c r="BB1838" s="10"/>
      <c r="BC1838" s="10"/>
      <c r="BD1838" s="10"/>
      <c r="BE1838" s="10"/>
      <c r="BF1838" s="10"/>
      <c r="BG1838" s="10"/>
      <c r="BH1838" s="10"/>
      <c r="BI1838" s="10"/>
      <c r="BJ1838" s="10"/>
      <c r="BK1838" s="10"/>
      <c r="BM1838" s="10"/>
    </row>
    <row r="1839" spans="1:65" ht="12.75">
      <c r="A1839" s="9"/>
      <c r="B1839" s="10"/>
      <c r="C1839" s="11"/>
      <c r="D1839" s="12"/>
      <c r="E1839" s="10"/>
      <c r="F1839" s="10"/>
      <c r="G1839" s="10"/>
      <c r="H1839" s="14"/>
      <c r="I1839" s="14"/>
      <c r="J1839" s="14"/>
      <c r="K1839" s="14"/>
      <c r="L1839" s="14"/>
      <c r="M1839" s="15"/>
      <c r="N1839" s="10"/>
      <c r="O1839" s="14"/>
      <c r="P1839" s="14"/>
      <c r="Q1839" s="14"/>
      <c r="R1839" s="14"/>
      <c r="S1839" s="14"/>
      <c r="T1839" s="14"/>
      <c r="U1839" s="14"/>
      <c r="V1839" s="14"/>
      <c r="W1839" s="14"/>
      <c r="X1839" s="14"/>
      <c r="Y1839" s="14"/>
      <c r="Z1839" s="14"/>
      <c r="AA1839" s="16" t="str">
        <f t="shared" ca="1" si="1646"/>
        <v>Johnson &amp; Johnson</v>
      </c>
      <c r="AB1839" s="16">
        <f t="shared" si="1646"/>
        <v>0</v>
      </c>
      <c r="AC1839" s="16">
        <f t="shared" si="1646"/>
        <v>0</v>
      </c>
      <c r="AD1839" s="16">
        <f t="shared" si="1646"/>
        <v>0</v>
      </c>
      <c r="AE1839" s="16">
        <f t="shared" si="1646"/>
        <v>0</v>
      </c>
      <c r="AF1839" s="16">
        <f t="shared" si="1646"/>
        <v>0</v>
      </c>
      <c r="AG1839" s="16">
        <f t="shared" si="1646"/>
        <v>0</v>
      </c>
      <c r="AH1839" s="16">
        <f t="shared" si="1646"/>
        <v>0</v>
      </c>
      <c r="AI1839" s="16">
        <f t="shared" si="1646"/>
        <v>0</v>
      </c>
      <c r="AJ1839" s="16">
        <f t="shared" si="1646"/>
        <v>0</v>
      </c>
      <c r="AK1839" s="16">
        <f t="shared" si="1646"/>
        <v>0</v>
      </c>
      <c r="AL1839" s="16">
        <f t="shared" si="1646"/>
        <v>0</v>
      </c>
      <c r="AM1839" s="16">
        <f t="shared" si="1646"/>
        <v>0</v>
      </c>
      <c r="AN1839" s="16">
        <f t="shared" si="1646"/>
        <v>0</v>
      </c>
      <c r="AO1839" s="16">
        <f t="shared" si="1646"/>
        <v>0</v>
      </c>
      <c r="AP1839" s="10"/>
      <c r="AQ1839" s="10"/>
      <c r="AR1839" s="10"/>
      <c r="AS1839" s="10" t="str">
        <f t="shared" ca="1" si="1641"/>
        <v>Johnson &amp; Johnson</v>
      </c>
      <c r="AT1839" s="10"/>
      <c r="AU1839" s="10"/>
      <c r="AV1839" s="10"/>
      <c r="AW1839" s="10"/>
      <c r="AX1839" s="10"/>
      <c r="AY1839" s="10"/>
      <c r="AZ1839" s="10"/>
      <c r="BA1839" s="10"/>
      <c r="BB1839" s="10"/>
      <c r="BC1839" s="10"/>
      <c r="BD1839" s="10"/>
      <c r="BE1839" s="10"/>
      <c r="BF1839" s="10"/>
      <c r="BG1839" s="10"/>
      <c r="BH1839" s="10"/>
      <c r="BI1839" s="10"/>
      <c r="BJ1839" s="10"/>
      <c r="BK1839" s="10"/>
      <c r="BM1839" s="10"/>
    </row>
    <row r="1840" spans="1:65" ht="12.75">
      <c r="A1840" s="9"/>
      <c r="B1840" s="10"/>
      <c r="C1840" s="11"/>
      <c r="D1840" s="12"/>
      <c r="E1840" s="10"/>
      <c r="F1840" s="10"/>
      <c r="G1840" s="10"/>
      <c r="H1840" s="14"/>
      <c r="I1840" s="14"/>
      <c r="J1840" s="14"/>
      <c r="K1840" s="14"/>
      <c r="L1840" s="14"/>
      <c r="M1840" s="15"/>
      <c r="N1840" s="10"/>
      <c r="O1840" s="14"/>
      <c r="P1840" s="14"/>
      <c r="Q1840" s="14"/>
      <c r="R1840" s="14"/>
      <c r="S1840" s="14"/>
      <c r="T1840" s="14"/>
      <c r="U1840" s="14"/>
      <c r="V1840" s="14"/>
      <c r="W1840" s="14"/>
      <c r="X1840" s="14"/>
      <c r="Y1840" s="14"/>
      <c r="Z1840" s="14"/>
      <c r="AA1840" s="16" t="str">
        <f t="shared" ca="1" si="1646"/>
        <v>Johnson &amp; Johnson</v>
      </c>
      <c r="AB1840" s="16">
        <f t="shared" si="1646"/>
        <v>0</v>
      </c>
      <c r="AC1840" s="16">
        <f t="shared" si="1646"/>
        <v>0</v>
      </c>
      <c r="AD1840" s="16">
        <f t="shared" si="1646"/>
        <v>0</v>
      </c>
      <c r="AE1840" s="16">
        <f t="shared" si="1646"/>
        <v>0</v>
      </c>
      <c r="AF1840" s="16">
        <f t="shared" si="1646"/>
        <v>0</v>
      </c>
      <c r="AG1840" s="16">
        <f t="shared" si="1646"/>
        <v>0</v>
      </c>
      <c r="AH1840" s="16">
        <f t="shared" si="1646"/>
        <v>0</v>
      </c>
      <c r="AI1840" s="16">
        <f t="shared" si="1646"/>
        <v>0</v>
      </c>
      <c r="AJ1840" s="16">
        <f t="shared" si="1646"/>
        <v>0</v>
      </c>
      <c r="AK1840" s="16">
        <f t="shared" si="1646"/>
        <v>0</v>
      </c>
      <c r="AL1840" s="16">
        <f t="shared" si="1646"/>
        <v>0</v>
      </c>
      <c r="AM1840" s="16">
        <f t="shared" si="1646"/>
        <v>0</v>
      </c>
      <c r="AN1840" s="16">
        <f t="shared" si="1646"/>
        <v>0</v>
      </c>
      <c r="AO1840" s="16">
        <f t="shared" si="1646"/>
        <v>0</v>
      </c>
      <c r="AP1840" s="10"/>
      <c r="AQ1840" s="10"/>
      <c r="AR1840" s="10"/>
      <c r="AS1840" s="10" t="str">
        <f t="shared" ca="1" si="1641"/>
        <v>Johnson &amp; Johnson</v>
      </c>
      <c r="AT1840" s="10"/>
      <c r="AU1840" s="10"/>
      <c r="AV1840" s="10"/>
      <c r="AW1840" s="10"/>
      <c r="AX1840" s="10"/>
      <c r="AY1840" s="10"/>
      <c r="AZ1840" s="10"/>
      <c r="BA1840" s="10"/>
      <c r="BB1840" s="10"/>
      <c r="BC1840" s="10"/>
      <c r="BD1840" s="10"/>
      <c r="BE1840" s="10"/>
      <c r="BF1840" s="10"/>
      <c r="BG1840" s="10"/>
      <c r="BH1840" s="10"/>
      <c r="BI1840" s="10"/>
      <c r="BJ1840" s="10"/>
      <c r="BK1840" s="10"/>
      <c r="BM1840" s="10"/>
    </row>
    <row r="1841" spans="1:65" ht="12.75">
      <c r="A1841" s="9"/>
      <c r="B1841" s="10"/>
      <c r="C1841" s="11"/>
      <c r="D1841" s="12"/>
      <c r="E1841" s="10"/>
      <c r="F1841" s="10"/>
      <c r="G1841" s="10"/>
      <c r="H1841" s="14"/>
      <c r="I1841" s="14"/>
      <c r="J1841" s="14"/>
      <c r="K1841" s="14"/>
      <c r="L1841" s="14"/>
      <c r="M1841" s="15"/>
      <c r="N1841" s="10"/>
      <c r="O1841" s="14"/>
      <c r="P1841" s="14"/>
      <c r="Q1841" s="14"/>
      <c r="R1841" s="14"/>
      <c r="S1841" s="14"/>
      <c r="T1841" s="14"/>
      <c r="U1841" s="14"/>
      <c r="V1841" s="14"/>
      <c r="W1841" s="14"/>
      <c r="X1841" s="14"/>
      <c r="Y1841" s="14"/>
      <c r="Z1841" s="14"/>
      <c r="AA1841" s="16" t="str">
        <f t="shared" ca="1" si="1646"/>
        <v>Johnson &amp; Johnson</v>
      </c>
      <c r="AB1841" s="16">
        <f t="shared" si="1646"/>
        <v>0</v>
      </c>
      <c r="AC1841" s="16">
        <f t="shared" si="1646"/>
        <v>0</v>
      </c>
      <c r="AD1841" s="16">
        <f t="shared" si="1646"/>
        <v>0</v>
      </c>
      <c r="AE1841" s="16">
        <f t="shared" si="1646"/>
        <v>0</v>
      </c>
      <c r="AF1841" s="16">
        <f t="shared" si="1646"/>
        <v>0</v>
      </c>
      <c r="AG1841" s="16">
        <f t="shared" si="1646"/>
        <v>0</v>
      </c>
      <c r="AH1841" s="16">
        <f t="shared" si="1646"/>
        <v>0</v>
      </c>
      <c r="AI1841" s="16">
        <f t="shared" si="1646"/>
        <v>0</v>
      </c>
      <c r="AJ1841" s="16">
        <f t="shared" si="1646"/>
        <v>0</v>
      </c>
      <c r="AK1841" s="16">
        <f t="shared" si="1646"/>
        <v>0</v>
      </c>
      <c r="AL1841" s="16">
        <f t="shared" si="1646"/>
        <v>0</v>
      </c>
      <c r="AM1841" s="16">
        <f t="shared" si="1646"/>
        <v>0</v>
      </c>
      <c r="AN1841" s="16">
        <f t="shared" si="1646"/>
        <v>0</v>
      </c>
      <c r="AO1841" s="16">
        <f t="shared" si="1646"/>
        <v>0</v>
      </c>
      <c r="AP1841" s="10"/>
      <c r="AQ1841" s="10"/>
      <c r="AR1841" s="10"/>
      <c r="AS1841" s="10" t="str">
        <f t="shared" ca="1" si="1641"/>
        <v>Johnson &amp; Johnson</v>
      </c>
      <c r="AT1841" s="10"/>
      <c r="AU1841" s="10"/>
      <c r="AV1841" s="10"/>
      <c r="AW1841" s="10"/>
      <c r="AX1841" s="10"/>
      <c r="AY1841" s="10"/>
      <c r="AZ1841" s="10"/>
      <c r="BA1841" s="10"/>
      <c r="BB1841" s="10"/>
      <c r="BC1841" s="10"/>
      <c r="BD1841" s="10"/>
      <c r="BE1841" s="10"/>
      <c r="BF1841" s="10"/>
      <c r="BG1841" s="10"/>
      <c r="BH1841" s="10"/>
      <c r="BI1841" s="10"/>
      <c r="BJ1841" s="10"/>
      <c r="BK1841" s="10"/>
      <c r="BM1841" s="10"/>
    </row>
    <row r="1842" spans="1:65" ht="12.75">
      <c r="A1842" s="9"/>
      <c r="B1842" s="10"/>
      <c r="C1842" s="11"/>
      <c r="D1842" s="12"/>
      <c r="E1842" s="10"/>
      <c r="F1842" s="10"/>
      <c r="G1842" s="10"/>
      <c r="H1842" s="14"/>
      <c r="I1842" s="14"/>
      <c r="J1842" s="14"/>
      <c r="K1842" s="14"/>
      <c r="L1842" s="14"/>
      <c r="M1842" s="15"/>
      <c r="N1842" s="10"/>
      <c r="O1842" s="14"/>
      <c r="P1842" s="14"/>
      <c r="Q1842" s="14"/>
      <c r="R1842" s="14"/>
      <c r="S1842" s="14"/>
      <c r="T1842" s="14"/>
      <c r="U1842" s="14"/>
      <c r="V1842" s="14"/>
      <c r="W1842" s="14"/>
      <c r="X1842" s="14"/>
      <c r="Y1842" s="14"/>
      <c r="Z1842" s="14"/>
      <c r="AA1842" s="16" t="str">
        <f t="shared" ca="1" si="1646"/>
        <v>Johnson &amp; Johnson</v>
      </c>
      <c r="AB1842" s="16">
        <f t="shared" si="1646"/>
        <v>0</v>
      </c>
      <c r="AC1842" s="16">
        <f t="shared" si="1646"/>
        <v>0</v>
      </c>
      <c r="AD1842" s="16">
        <f t="shared" si="1646"/>
        <v>0</v>
      </c>
      <c r="AE1842" s="16">
        <f t="shared" si="1646"/>
        <v>0</v>
      </c>
      <c r="AF1842" s="16">
        <f t="shared" si="1646"/>
        <v>0</v>
      </c>
      <c r="AG1842" s="16">
        <f t="shared" si="1646"/>
        <v>0</v>
      </c>
      <c r="AH1842" s="16">
        <f t="shared" si="1646"/>
        <v>0</v>
      </c>
      <c r="AI1842" s="16">
        <f t="shared" si="1646"/>
        <v>0</v>
      </c>
      <c r="AJ1842" s="16">
        <f t="shared" si="1646"/>
        <v>0</v>
      </c>
      <c r="AK1842" s="16">
        <f t="shared" si="1646"/>
        <v>0</v>
      </c>
      <c r="AL1842" s="16">
        <f t="shared" si="1646"/>
        <v>0</v>
      </c>
      <c r="AM1842" s="16">
        <f t="shared" si="1646"/>
        <v>0</v>
      </c>
      <c r="AN1842" s="16">
        <f t="shared" si="1646"/>
        <v>0</v>
      </c>
      <c r="AO1842" s="16">
        <f t="shared" si="1646"/>
        <v>0</v>
      </c>
      <c r="AP1842" s="10"/>
      <c r="AQ1842" s="10"/>
      <c r="AR1842" s="10"/>
      <c r="AS1842" s="10" t="str">
        <f t="shared" ca="1" si="1641"/>
        <v>Johnson &amp; Johnson</v>
      </c>
      <c r="AT1842" s="10"/>
      <c r="AU1842" s="10"/>
      <c r="AV1842" s="10"/>
      <c r="AW1842" s="10"/>
      <c r="AX1842" s="10"/>
      <c r="AY1842" s="10"/>
      <c r="AZ1842" s="10"/>
      <c r="BA1842" s="10"/>
      <c r="BB1842" s="10"/>
      <c r="BC1842" s="10"/>
      <c r="BD1842" s="10"/>
      <c r="BE1842" s="10"/>
      <c r="BF1842" s="10"/>
      <c r="BG1842" s="10"/>
      <c r="BH1842" s="10"/>
      <c r="BI1842" s="10"/>
      <c r="BJ1842" s="10"/>
      <c r="BK1842" s="10"/>
      <c r="BM1842" s="10"/>
    </row>
    <row r="1843" spans="1:65" ht="12.75">
      <c r="A1843" s="9"/>
      <c r="B1843" s="10"/>
      <c r="C1843" s="11"/>
      <c r="D1843" s="12"/>
      <c r="E1843" s="10"/>
      <c r="F1843" s="10"/>
      <c r="G1843" s="10"/>
      <c r="H1843" s="14"/>
      <c r="I1843" s="14"/>
      <c r="J1843" s="14"/>
      <c r="K1843" s="14"/>
      <c r="L1843" s="14"/>
      <c r="M1843" s="15"/>
      <c r="N1843" s="10"/>
      <c r="O1843" s="14"/>
      <c r="P1843" s="14"/>
      <c r="Q1843" s="14"/>
      <c r="R1843" s="14"/>
      <c r="S1843" s="14"/>
      <c r="T1843" s="14"/>
      <c r="U1843" s="14"/>
      <c r="V1843" s="14"/>
      <c r="W1843" s="14"/>
      <c r="X1843" s="14"/>
      <c r="Y1843" s="14"/>
      <c r="Z1843" s="14"/>
      <c r="AA1843" s="16" t="str">
        <f t="shared" ca="1" si="1646"/>
        <v>Johnson &amp; Johnson</v>
      </c>
      <c r="AB1843" s="16">
        <f t="shared" si="1646"/>
        <v>0</v>
      </c>
      <c r="AC1843" s="16">
        <f t="shared" si="1646"/>
        <v>0</v>
      </c>
      <c r="AD1843" s="16">
        <f t="shared" si="1646"/>
        <v>0</v>
      </c>
      <c r="AE1843" s="16">
        <f t="shared" si="1646"/>
        <v>0</v>
      </c>
      <c r="AF1843" s="16">
        <f t="shared" si="1646"/>
        <v>0</v>
      </c>
      <c r="AG1843" s="16">
        <f t="shared" si="1646"/>
        <v>0</v>
      </c>
      <c r="AH1843" s="16">
        <f t="shared" si="1646"/>
        <v>0</v>
      </c>
      <c r="AI1843" s="16">
        <f t="shared" si="1646"/>
        <v>0</v>
      </c>
      <c r="AJ1843" s="16">
        <f t="shared" si="1646"/>
        <v>0</v>
      </c>
      <c r="AK1843" s="16">
        <f t="shared" si="1646"/>
        <v>0</v>
      </c>
      <c r="AL1843" s="16">
        <f t="shared" si="1646"/>
        <v>0</v>
      </c>
      <c r="AM1843" s="16">
        <f t="shared" si="1646"/>
        <v>0</v>
      </c>
      <c r="AN1843" s="16">
        <f t="shared" si="1646"/>
        <v>0</v>
      </c>
      <c r="AO1843" s="16">
        <f t="shared" si="1646"/>
        <v>0</v>
      </c>
      <c r="AP1843" s="10"/>
      <c r="AQ1843" s="10"/>
      <c r="AR1843" s="10"/>
      <c r="AS1843" s="10" t="str">
        <f t="shared" ca="1" si="1641"/>
        <v>Johnson &amp; Johnson</v>
      </c>
      <c r="AT1843" s="10"/>
      <c r="AU1843" s="10"/>
      <c r="AV1843" s="10"/>
      <c r="AW1843" s="10"/>
      <c r="AX1843" s="10"/>
      <c r="AY1843" s="10"/>
      <c r="AZ1843" s="10"/>
      <c r="BA1843" s="10"/>
      <c r="BB1843" s="10"/>
      <c r="BC1843" s="10"/>
      <c r="BD1843" s="10"/>
      <c r="BE1843" s="10"/>
      <c r="BF1843" s="10"/>
      <c r="BG1843" s="10"/>
      <c r="BH1843" s="10"/>
      <c r="BI1843" s="10"/>
      <c r="BJ1843" s="10"/>
      <c r="BK1843" s="10"/>
      <c r="BM1843" s="10"/>
    </row>
    <row r="1844" spans="1:65" ht="12.75">
      <c r="A1844" s="9"/>
      <c r="B1844" s="10"/>
      <c r="C1844" s="11"/>
      <c r="D1844" s="12"/>
      <c r="E1844" s="10"/>
      <c r="F1844" s="10"/>
      <c r="G1844" s="10"/>
      <c r="H1844" s="14"/>
      <c r="I1844" s="14"/>
      <c r="J1844" s="14"/>
      <c r="K1844" s="14"/>
      <c r="L1844" s="14"/>
      <c r="M1844" s="15"/>
      <c r="N1844" s="10"/>
      <c r="O1844" s="14"/>
      <c r="P1844" s="14"/>
      <c r="Q1844" s="14"/>
      <c r="R1844" s="14"/>
      <c r="S1844" s="14"/>
      <c r="T1844" s="14"/>
      <c r="U1844" s="14"/>
      <c r="V1844" s="14"/>
      <c r="W1844" s="14"/>
      <c r="X1844" s="14"/>
      <c r="Y1844" s="14"/>
      <c r="Z1844" s="14"/>
      <c r="AA1844" s="16" t="str">
        <f t="shared" ca="1" si="1646"/>
        <v>Johnson &amp; Johnson</v>
      </c>
      <c r="AB1844" s="16">
        <f t="shared" si="1646"/>
        <v>0</v>
      </c>
      <c r="AC1844" s="16">
        <f t="shared" si="1646"/>
        <v>0</v>
      </c>
      <c r="AD1844" s="16">
        <f t="shared" si="1646"/>
        <v>0</v>
      </c>
      <c r="AE1844" s="16">
        <f t="shared" si="1646"/>
        <v>0</v>
      </c>
      <c r="AF1844" s="16">
        <f t="shared" si="1646"/>
        <v>0</v>
      </c>
      <c r="AG1844" s="16">
        <f t="shared" si="1646"/>
        <v>0</v>
      </c>
      <c r="AH1844" s="16">
        <f t="shared" si="1646"/>
        <v>0</v>
      </c>
      <c r="AI1844" s="16">
        <f t="shared" si="1646"/>
        <v>0</v>
      </c>
      <c r="AJ1844" s="16">
        <f t="shared" si="1646"/>
        <v>0</v>
      </c>
      <c r="AK1844" s="16">
        <f t="shared" si="1646"/>
        <v>0</v>
      </c>
      <c r="AL1844" s="16">
        <f t="shared" si="1646"/>
        <v>0</v>
      </c>
      <c r="AM1844" s="16">
        <f t="shared" si="1646"/>
        <v>0</v>
      </c>
      <c r="AN1844" s="16">
        <f t="shared" si="1646"/>
        <v>0</v>
      </c>
      <c r="AO1844" s="16">
        <f t="shared" si="1646"/>
        <v>0</v>
      </c>
      <c r="AP1844" s="10"/>
      <c r="AQ1844" s="10"/>
      <c r="AR1844" s="10"/>
      <c r="AS1844" s="10" t="str">
        <f t="shared" ca="1" si="1641"/>
        <v>Johnson &amp; Johnson</v>
      </c>
      <c r="AT1844" s="10"/>
      <c r="AU1844" s="10"/>
      <c r="AV1844" s="10"/>
      <c r="AW1844" s="10"/>
      <c r="AX1844" s="10"/>
      <c r="AY1844" s="10"/>
      <c r="AZ1844" s="10"/>
      <c r="BA1844" s="10"/>
      <c r="BB1844" s="10"/>
      <c r="BC1844" s="10"/>
      <c r="BD1844" s="10"/>
      <c r="BE1844" s="10"/>
      <c r="BF1844" s="10"/>
      <c r="BG1844" s="10"/>
      <c r="BH1844" s="10"/>
      <c r="BI1844" s="10"/>
      <c r="BJ1844" s="10"/>
      <c r="BK1844" s="10"/>
      <c r="BM1844" s="10"/>
    </row>
    <row r="1845" spans="1:65" ht="12.75">
      <c r="A1845" s="9"/>
      <c r="B1845" s="10"/>
      <c r="C1845" s="11"/>
      <c r="D1845" s="12"/>
      <c r="E1845" s="10"/>
      <c r="F1845" s="10"/>
      <c r="G1845" s="10"/>
      <c r="H1845" s="14"/>
      <c r="I1845" s="14"/>
      <c r="J1845" s="14"/>
      <c r="K1845" s="14"/>
      <c r="L1845" s="14"/>
      <c r="M1845" s="15"/>
      <c r="N1845" s="10"/>
      <c r="O1845" s="14"/>
      <c r="P1845" s="14"/>
      <c r="Q1845" s="14"/>
      <c r="R1845" s="14"/>
      <c r="S1845" s="14"/>
      <c r="T1845" s="14"/>
      <c r="U1845" s="14"/>
      <c r="V1845" s="14"/>
      <c r="W1845" s="14"/>
      <c r="X1845" s="14"/>
      <c r="Y1845" s="14"/>
      <c r="Z1845" s="14"/>
      <c r="AA1845" s="16" t="str">
        <f t="shared" ca="1" si="1646"/>
        <v>Johnson &amp; Johnson</v>
      </c>
      <c r="AB1845" s="16">
        <f t="shared" si="1646"/>
        <v>0</v>
      </c>
      <c r="AC1845" s="16">
        <f t="shared" si="1646"/>
        <v>0</v>
      </c>
      <c r="AD1845" s="16">
        <f t="shared" si="1646"/>
        <v>0</v>
      </c>
      <c r="AE1845" s="16">
        <f t="shared" si="1646"/>
        <v>0</v>
      </c>
      <c r="AF1845" s="16">
        <f t="shared" si="1646"/>
        <v>0</v>
      </c>
      <c r="AG1845" s="16">
        <f t="shared" si="1646"/>
        <v>0</v>
      </c>
      <c r="AH1845" s="16">
        <f t="shared" si="1646"/>
        <v>0</v>
      </c>
      <c r="AI1845" s="16">
        <f t="shared" si="1646"/>
        <v>0</v>
      </c>
      <c r="AJ1845" s="16">
        <f t="shared" si="1646"/>
        <v>0</v>
      </c>
      <c r="AK1845" s="16">
        <f t="shared" si="1646"/>
        <v>0</v>
      </c>
      <c r="AL1845" s="16">
        <f t="shared" si="1646"/>
        <v>0</v>
      </c>
      <c r="AM1845" s="16">
        <f t="shared" si="1646"/>
        <v>0</v>
      </c>
      <c r="AN1845" s="16">
        <f t="shared" si="1646"/>
        <v>0</v>
      </c>
      <c r="AO1845" s="16">
        <f t="shared" si="1646"/>
        <v>0</v>
      </c>
      <c r="AP1845" s="10"/>
      <c r="AQ1845" s="10"/>
      <c r="AR1845" s="10"/>
      <c r="AS1845" s="10" t="str">
        <f t="shared" ca="1" si="1641"/>
        <v>Johnson &amp; Johnson</v>
      </c>
      <c r="AT1845" s="10"/>
      <c r="AU1845" s="10"/>
      <c r="AV1845" s="10"/>
      <c r="AW1845" s="10"/>
      <c r="AX1845" s="10"/>
      <c r="AY1845" s="10"/>
      <c r="AZ1845" s="10"/>
      <c r="BA1845" s="10"/>
      <c r="BB1845" s="10"/>
      <c r="BC1845" s="10"/>
      <c r="BD1845" s="10"/>
      <c r="BE1845" s="10"/>
      <c r="BF1845" s="10"/>
      <c r="BG1845" s="10"/>
      <c r="BH1845" s="10"/>
      <c r="BI1845" s="10"/>
      <c r="BJ1845" s="10"/>
      <c r="BK1845" s="10"/>
      <c r="BM1845" s="10"/>
    </row>
    <row r="1846" spans="1:65" ht="12.75">
      <c r="A1846" s="9"/>
      <c r="B1846" s="10"/>
      <c r="C1846" s="11"/>
      <c r="D1846" s="12"/>
      <c r="E1846" s="10"/>
      <c r="F1846" s="10"/>
      <c r="G1846" s="10"/>
      <c r="H1846" s="14"/>
      <c r="I1846" s="14"/>
      <c r="J1846" s="14"/>
      <c r="K1846" s="14"/>
      <c r="L1846" s="14"/>
      <c r="M1846" s="15"/>
      <c r="N1846" s="10"/>
      <c r="O1846" s="14"/>
      <c r="P1846" s="14"/>
      <c r="Q1846" s="14"/>
      <c r="R1846" s="14"/>
      <c r="S1846" s="14"/>
      <c r="T1846" s="14"/>
      <c r="U1846" s="14"/>
      <c r="V1846" s="14"/>
      <c r="W1846" s="14"/>
      <c r="X1846" s="14"/>
      <c r="Y1846" s="14"/>
      <c r="Z1846" s="14"/>
      <c r="AA1846" s="16" t="str">
        <f t="shared" ca="1" si="1646"/>
        <v>Johnson &amp; Johnson</v>
      </c>
      <c r="AB1846" s="16">
        <f t="shared" si="1646"/>
        <v>0</v>
      </c>
      <c r="AC1846" s="16">
        <f t="shared" si="1646"/>
        <v>0</v>
      </c>
      <c r="AD1846" s="16">
        <f t="shared" si="1646"/>
        <v>0</v>
      </c>
      <c r="AE1846" s="16">
        <f t="shared" si="1646"/>
        <v>0</v>
      </c>
      <c r="AF1846" s="16">
        <f t="shared" si="1646"/>
        <v>0</v>
      </c>
      <c r="AG1846" s="16">
        <f t="shared" si="1646"/>
        <v>0</v>
      </c>
      <c r="AH1846" s="16">
        <f t="shared" si="1646"/>
        <v>0</v>
      </c>
      <c r="AI1846" s="16">
        <f t="shared" si="1646"/>
        <v>0</v>
      </c>
      <c r="AJ1846" s="16">
        <f t="shared" si="1646"/>
        <v>0</v>
      </c>
      <c r="AK1846" s="16">
        <f t="shared" si="1646"/>
        <v>0</v>
      </c>
      <c r="AL1846" s="16">
        <f t="shared" si="1646"/>
        <v>0</v>
      </c>
      <c r="AM1846" s="16">
        <f t="shared" si="1646"/>
        <v>0</v>
      </c>
      <c r="AN1846" s="16">
        <f t="shared" si="1646"/>
        <v>0</v>
      </c>
      <c r="AO1846" s="16">
        <f t="shared" si="1646"/>
        <v>0</v>
      </c>
      <c r="AP1846" s="10"/>
      <c r="AQ1846" s="10"/>
      <c r="AR1846" s="10"/>
      <c r="AS1846" s="10" t="str">
        <f t="shared" ca="1" si="1641"/>
        <v>Johnson &amp; Johnson</v>
      </c>
      <c r="AT1846" s="10"/>
      <c r="AU1846" s="10"/>
      <c r="AV1846" s="10"/>
      <c r="AW1846" s="10"/>
      <c r="AX1846" s="10"/>
      <c r="AY1846" s="10"/>
      <c r="AZ1846" s="10"/>
      <c r="BA1846" s="10"/>
      <c r="BB1846" s="10"/>
      <c r="BC1846" s="10"/>
      <c r="BD1846" s="10"/>
      <c r="BE1846" s="10"/>
      <c r="BF1846" s="10"/>
      <c r="BG1846" s="10"/>
      <c r="BH1846" s="10"/>
      <c r="BI1846" s="10"/>
      <c r="BJ1846" s="10"/>
      <c r="BK1846" s="10"/>
      <c r="BM1846" s="10"/>
    </row>
    <row r="1847" spans="1:65" ht="12.75">
      <c r="A1847" s="9"/>
      <c r="B1847" s="10"/>
      <c r="C1847" s="11"/>
      <c r="D1847" s="12"/>
      <c r="E1847" s="10"/>
      <c r="F1847" s="10"/>
      <c r="G1847" s="10"/>
      <c r="H1847" s="14"/>
      <c r="I1847" s="14"/>
      <c r="J1847" s="14"/>
      <c r="K1847" s="14"/>
      <c r="L1847" s="14"/>
      <c r="M1847" s="15"/>
      <c r="N1847" s="10"/>
      <c r="O1847" s="14"/>
      <c r="P1847" s="14"/>
      <c r="Q1847" s="14"/>
      <c r="R1847" s="14"/>
      <c r="S1847" s="14"/>
      <c r="T1847" s="14"/>
      <c r="U1847" s="14"/>
      <c r="V1847" s="14"/>
      <c r="W1847" s="14"/>
      <c r="X1847" s="14"/>
      <c r="Y1847" s="14"/>
      <c r="Z1847" s="14"/>
      <c r="AA1847" s="16" t="str">
        <f t="shared" ca="1" si="1646"/>
        <v>Johnson &amp; Johnson</v>
      </c>
      <c r="AB1847" s="16">
        <f t="shared" si="1646"/>
        <v>0</v>
      </c>
      <c r="AC1847" s="16">
        <f t="shared" si="1646"/>
        <v>0</v>
      </c>
      <c r="AD1847" s="16">
        <f t="shared" si="1646"/>
        <v>0</v>
      </c>
      <c r="AE1847" s="16">
        <f t="shared" si="1646"/>
        <v>0</v>
      </c>
      <c r="AF1847" s="16">
        <f t="shared" si="1646"/>
        <v>0</v>
      </c>
      <c r="AG1847" s="16">
        <f t="shared" si="1646"/>
        <v>0</v>
      </c>
      <c r="AH1847" s="16">
        <f t="shared" si="1646"/>
        <v>0</v>
      </c>
      <c r="AI1847" s="16">
        <f t="shared" si="1646"/>
        <v>0</v>
      </c>
      <c r="AJ1847" s="16">
        <f t="shared" si="1646"/>
        <v>0</v>
      </c>
      <c r="AK1847" s="16">
        <f t="shared" si="1646"/>
        <v>0</v>
      </c>
      <c r="AL1847" s="16">
        <f t="shared" si="1646"/>
        <v>0</v>
      </c>
      <c r="AM1847" s="16">
        <f t="shared" si="1646"/>
        <v>0</v>
      </c>
      <c r="AN1847" s="16">
        <f t="shared" si="1646"/>
        <v>0</v>
      </c>
      <c r="AO1847" s="16">
        <f t="shared" si="1646"/>
        <v>0</v>
      </c>
      <c r="AP1847" s="10"/>
      <c r="AQ1847" s="10"/>
      <c r="AR1847" s="10"/>
      <c r="AS1847" s="10" t="str">
        <f t="shared" ca="1" si="1641"/>
        <v>Johnson &amp; Johnson</v>
      </c>
      <c r="AT1847" s="10"/>
      <c r="AU1847" s="10"/>
      <c r="AV1847" s="10"/>
      <c r="AW1847" s="10"/>
      <c r="AX1847" s="10"/>
      <c r="AY1847" s="10"/>
      <c r="AZ1847" s="10"/>
      <c r="BA1847" s="10"/>
      <c r="BB1847" s="10"/>
      <c r="BC1847" s="10"/>
      <c r="BD1847" s="10"/>
      <c r="BE1847" s="10"/>
      <c r="BF1847" s="10"/>
      <c r="BG1847" s="10"/>
      <c r="BH1847" s="10"/>
      <c r="BI1847" s="10"/>
      <c r="BJ1847" s="10"/>
      <c r="BK1847" s="10"/>
      <c r="BM1847" s="10"/>
    </row>
    <row r="1848" spans="1:65" ht="12.75">
      <c r="A1848" s="9"/>
      <c r="B1848" s="10"/>
      <c r="C1848" s="11"/>
      <c r="D1848" s="12"/>
      <c r="E1848" s="10"/>
      <c r="F1848" s="10"/>
      <c r="G1848" s="10"/>
      <c r="H1848" s="14"/>
      <c r="I1848" s="14"/>
      <c r="J1848" s="14"/>
      <c r="K1848" s="14"/>
      <c r="L1848" s="14"/>
      <c r="M1848" s="15"/>
      <c r="N1848" s="10"/>
      <c r="O1848" s="14"/>
      <c r="P1848" s="14"/>
      <c r="Q1848" s="14"/>
      <c r="R1848" s="14"/>
      <c r="S1848" s="14"/>
      <c r="T1848" s="14"/>
      <c r="U1848" s="14"/>
      <c r="V1848" s="14"/>
      <c r="W1848" s="14"/>
      <c r="X1848" s="14"/>
      <c r="Y1848" s="14"/>
      <c r="Z1848" s="14"/>
      <c r="AA1848" s="16" t="str">
        <f t="shared" ca="1" si="1646"/>
        <v>Johnson &amp; Johnson</v>
      </c>
      <c r="AB1848" s="16">
        <f t="shared" si="1646"/>
        <v>0</v>
      </c>
      <c r="AC1848" s="16">
        <f t="shared" si="1646"/>
        <v>0</v>
      </c>
      <c r="AD1848" s="16">
        <f t="shared" si="1646"/>
        <v>0</v>
      </c>
      <c r="AE1848" s="16">
        <f t="shared" si="1646"/>
        <v>0</v>
      </c>
      <c r="AF1848" s="16">
        <f t="shared" si="1646"/>
        <v>0</v>
      </c>
      <c r="AG1848" s="16">
        <f t="shared" si="1646"/>
        <v>0</v>
      </c>
      <c r="AH1848" s="16">
        <f t="shared" si="1646"/>
        <v>0</v>
      </c>
      <c r="AI1848" s="16">
        <f t="shared" si="1646"/>
        <v>0</v>
      </c>
      <c r="AJ1848" s="16">
        <f t="shared" si="1646"/>
        <v>0</v>
      </c>
      <c r="AK1848" s="16">
        <f t="shared" si="1646"/>
        <v>0</v>
      </c>
      <c r="AL1848" s="16">
        <f t="shared" si="1646"/>
        <v>0</v>
      </c>
      <c r="AM1848" s="16">
        <f t="shared" si="1646"/>
        <v>0</v>
      </c>
      <c r="AN1848" s="16">
        <f t="shared" si="1646"/>
        <v>0</v>
      </c>
      <c r="AO1848" s="16">
        <f t="shared" si="1646"/>
        <v>0</v>
      </c>
      <c r="AP1848" s="10"/>
      <c r="AQ1848" s="10"/>
      <c r="AR1848" s="10"/>
      <c r="AS1848" s="10" t="str">
        <f t="shared" ca="1" si="1641"/>
        <v>Johnson &amp; Johnson</v>
      </c>
      <c r="AT1848" s="10"/>
      <c r="AU1848" s="10"/>
      <c r="AV1848" s="10"/>
      <c r="AW1848" s="10"/>
      <c r="AX1848" s="10"/>
      <c r="AY1848" s="10"/>
      <c r="AZ1848" s="10"/>
      <c r="BA1848" s="10"/>
      <c r="BB1848" s="10"/>
      <c r="BC1848" s="10"/>
      <c r="BD1848" s="10"/>
      <c r="BE1848" s="10"/>
      <c r="BF1848" s="10"/>
      <c r="BG1848" s="10"/>
      <c r="BH1848" s="10"/>
      <c r="BI1848" s="10"/>
      <c r="BJ1848" s="10"/>
      <c r="BK1848" s="10"/>
      <c r="BM1848" s="10"/>
    </row>
    <row r="1849" spans="1:65" ht="12.75">
      <c r="A1849" s="9"/>
      <c r="B1849" s="10"/>
      <c r="C1849" s="11"/>
      <c r="D1849" s="12"/>
      <c r="E1849" s="10"/>
      <c r="F1849" s="10"/>
      <c r="G1849" s="10"/>
      <c r="H1849" s="14"/>
      <c r="I1849" s="14"/>
      <c r="J1849" s="14"/>
      <c r="K1849" s="14"/>
      <c r="L1849" s="14"/>
      <c r="M1849" s="15"/>
      <c r="N1849" s="10"/>
      <c r="O1849" s="14"/>
      <c r="P1849" s="14"/>
      <c r="Q1849" s="14"/>
      <c r="R1849" s="14"/>
      <c r="S1849" s="14"/>
      <c r="T1849" s="14"/>
      <c r="U1849" s="14"/>
      <c r="V1849" s="14"/>
      <c r="W1849" s="14"/>
      <c r="X1849" s="14"/>
      <c r="Y1849" s="14"/>
      <c r="Z1849" s="14"/>
      <c r="AA1849" s="16" t="str">
        <f t="shared" ref="AA1849:AO1864" ca="1" si="1647">AS1849</f>
        <v>Johnson &amp; Johnson</v>
      </c>
      <c r="AB1849" s="16">
        <f t="shared" si="1647"/>
        <v>0</v>
      </c>
      <c r="AC1849" s="16">
        <f t="shared" si="1647"/>
        <v>0</v>
      </c>
      <c r="AD1849" s="16">
        <f t="shared" si="1647"/>
        <v>0</v>
      </c>
      <c r="AE1849" s="16">
        <f t="shared" si="1647"/>
        <v>0</v>
      </c>
      <c r="AF1849" s="16">
        <f t="shared" si="1647"/>
        <v>0</v>
      </c>
      <c r="AG1849" s="16">
        <f t="shared" si="1647"/>
        <v>0</v>
      </c>
      <c r="AH1849" s="16">
        <f t="shared" si="1647"/>
        <v>0</v>
      </c>
      <c r="AI1849" s="16">
        <f t="shared" si="1647"/>
        <v>0</v>
      </c>
      <c r="AJ1849" s="16">
        <f t="shared" si="1647"/>
        <v>0</v>
      </c>
      <c r="AK1849" s="16">
        <f t="shared" si="1647"/>
        <v>0</v>
      </c>
      <c r="AL1849" s="16">
        <f t="shared" si="1647"/>
        <v>0</v>
      </c>
      <c r="AM1849" s="16">
        <f t="shared" si="1647"/>
        <v>0</v>
      </c>
      <c r="AN1849" s="16">
        <f t="shared" si="1647"/>
        <v>0</v>
      </c>
      <c r="AO1849" s="16">
        <f t="shared" si="1647"/>
        <v>0</v>
      </c>
      <c r="AP1849" s="10"/>
      <c r="AQ1849" s="10"/>
      <c r="AR1849" s="10"/>
      <c r="AS1849" s="10" t="str">
        <f t="shared" ca="1" si="1641"/>
        <v>Johnson &amp; Johnson</v>
      </c>
      <c r="AT1849" s="10"/>
      <c r="AU1849" s="10"/>
      <c r="AV1849" s="10"/>
      <c r="AW1849" s="10"/>
      <c r="AX1849" s="10"/>
      <c r="AY1849" s="10"/>
      <c r="AZ1849" s="10"/>
      <c r="BA1849" s="10"/>
      <c r="BB1849" s="10"/>
      <c r="BC1849" s="10"/>
      <c r="BD1849" s="10"/>
      <c r="BE1849" s="10"/>
      <c r="BF1849" s="10"/>
      <c r="BG1849" s="10"/>
      <c r="BH1849" s="10"/>
      <c r="BI1849" s="10"/>
      <c r="BJ1849" s="10"/>
      <c r="BK1849" s="10"/>
      <c r="BM1849" s="10"/>
    </row>
    <row r="1850" spans="1:65" ht="12.75">
      <c r="A1850" s="9"/>
      <c r="B1850" s="10"/>
      <c r="C1850" s="11"/>
      <c r="D1850" s="12"/>
      <c r="E1850" s="10"/>
      <c r="F1850" s="10"/>
      <c r="G1850" s="10"/>
      <c r="H1850" s="14"/>
      <c r="I1850" s="14"/>
      <c r="J1850" s="14"/>
      <c r="K1850" s="14"/>
      <c r="L1850" s="14"/>
      <c r="M1850" s="15"/>
      <c r="N1850" s="10"/>
      <c r="O1850" s="14"/>
      <c r="P1850" s="14"/>
      <c r="Q1850" s="14"/>
      <c r="R1850" s="14"/>
      <c r="S1850" s="14"/>
      <c r="T1850" s="14"/>
      <c r="U1850" s="14"/>
      <c r="V1850" s="14"/>
      <c r="W1850" s="14"/>
      <c r="X1850" s="14"/>
      <c r="Y1850" s="14"/>
      <c r="Z1850" s="14"/>
      <c r="AA1850" s="16" t="str">
        <f t="shared" ca="1" si="1647"/>
        <v>Johnson &amp; Johnson</v>
      </c>
      <c r="AB1850" s="16">
        <f t="shared" si="1647"/>
        <v>0</v>
      </c>
      <c r="AC1850" s="16">
        <f t="shared" si="1647"/>
        <v>0</v>
      </c>
      <c r="AD1850" s="16">
        <f t="shared" si="1647"/>
        <v>0</v>
      </c>
      <c r="AE1850" s="16">
        <f t="shared" si="1647"/>
        <v>0</v>
      </c>
      <c r="AF1850" s="16">
        <f t="shared" si="1647"/>
        <v>0</v>
      </c>
      <c r="AG1850" s="16">
        <f t="shared" si="1647"/>
        <v>0</v>
      </c>
      <c r="AH1850" s="16">
        <f t="shared" si="1647"/>
        <v>0</v>
      </c>
      <c r="AI1850" s="16">
        <f t="shared" si="1647"/>
        <v>0</v>
      </c>
      <c r="AJ1850" s="16">
        <f t="shared" si="1647"/>
        <v>0</v>
      </c>
      <c r="AK1850" s="16">
        <f t="shared" si="1647"/>
        <v>0</v>
      </c>
      <c r="AL1850" s="16">
        <f t="shared" si="1647"/>
        <v>0</v>
      </c>
      <c r="AM1850" s="16">
        <f t="shared" si="1647"/>
        <v>0</v>
      </c>
      <c r="AN1850" s="16">
        <f t="shared" si="1647"/>
        <v>0</v>
      </c>
      <c r="AO1850" s="16">
        <f t="shared" si="1647"/>
        <v>0</v>
      </c>
      <c r="AP1850" s="10"/>
      <c r="AQ1850" s="10"/>
      <c r="AR1850" s="10"/>
      <c r="AS1850" s="10" t="str">
        <f t="shared" ca="1" si="1641"/>
        <v>Johnson &amp; Johnson</v>
      </c>
      <c r="AT1850" s="10"/>
      <c r="AU1850" s="10"/>
      <c r="AV1850" s="10"/>
      <c r="AW1850" s="10"/>
      <c r="AX1850" s="10"/>
      <c r="AY1850" s="10"/>
      <c r="AZ1850" s="10"/>
      <c r="BA1850" s="10"/>
      <c r="BB1850" s="10"/>
      <c r="BC1850" s="10"/>
      <c r="BD1850" s="10"/>
      <c r="BE1850" s="10"/>
      <c r="BF1850" s="10"/>
      <c r="BG1850" s="10"/>
      <c r="BH1850" s="10"/>
      <c r="BI1850" s="10"/>
      <c r="BJ1850" s="10"/>
      <c r="BK1850" s="10"/>
      <c r="BM1850" s="10"/>
    </row>
    <row r="1851" spans="1:65" ht="12.75">
      <c r="A1851" s="9"/>
      <c r="B1851" s="10"/>
      <c r="C1851" s="11"/>
      <c r="D1851" s="12"/>
      <c r="E1851" s="10"/>
      <c r="F1851" s="10"/>
      <c r="G1851" s="10"/>
      <c r="H1851" s="14"/>
      <c r="I1851" s="14"/>
      <c r="J1851" s="14"/>
      <c r="K1851" s="14"/>
      <c r="L1851" s="14"/>
      <c r="M1851" s="15"/>
      <c r="N1851" s="10"/>
      <c r="O1851" s="14"/>
      <c r="P1851" s="14"/>
      <c r="Q1851" s="14"/>
      <c r="R1851" s="14"/>
      <c r="S1851" s="14"/>
      <c r="T1851" s="14"/>
      <c r="U1851" s="14"/>
      <c r="V1851" s="14"/>
      <c r="W1851" s="14"/>
      <c r="X1851" s="14"/>
      <c r="Y1851" s="14"/>
      <c r="Z1851" s="14"/>
      <c r="AA1851" s="16" t="str">
        <f t="shared" ca="1" si="1647"/>
        <v>Johnson &amp; Johnson</v>
      </c>
      <c r="AB1851" s="16">
        <f t="shared" si="1647"/>
        <v>0</v>
      </c>
      <c r="AC1851" s="16">
        <f t="shared" si="1647"/>
        <v>0</v>
      </c>
      <c r="AD1851" s="16">
        <f t="shared" si="1647"/>
        <v>0</v>
      </c>
      <c r="AE1851" s="16">
        <f t="shared" si="1647"/>
        <v>0</v>
      </c>
      <c r="AF1851" s="16">
        <f t="shared" si="1647"/>
        <v>0</v>
      </c>
      <c r="AG1851" s="16">
        <f t="shared" si="1647"/>
        <v>0</v>
      </c>
      <c r="AH1851" s="16">
        <f t="shared" si="1647"/>
        <v>0</v>
      </c>
      <c r="AI1851" s="16">
        <f t="shared" si="1647"/>
        <v>0</v>
      </c>
      <c r="AJ1851" s="16">
        <f t="shared" si="1647"/>
        <v>0</v>
      </c>
      <c r="AK1851" s="16">
        <f t="shared" si="1647"/>
        <v>0</v>
      </c>
      <c r="AL1851" s="16">
        <f t="shared" si="1647"/>
        <v>0</v>
      </c>
      <c r="AM1851" s="16">
        <f t="shared" si="1647"/>
        <v>0</v>
      </c>
      <c r="AN1851" s="16">
        <f t="shared" si="1647"/>
        <v>0</v>
      </c>
      <c r="AO1851" s="16">
        <f t="shared" si="1647"/>
        <v>0</v>
      </c>
      <c r="AP1851" s="10"/>
      <c r="AQ1851" s="10"/>
      <c r="AR1851" s="10"/>
      <c r="AS1851" s="10" t="str">
        <f t="shared" ca="1" si="1641"/>
        <v>Johnson &amp; Johnson</v>
      </c>
      <c r="AT1851" s="10"/>
      <c r="AU1851" s="10"/>
      <c r="AV1851" s="10"/>
      <c r="AW1851" s="10"/>
      <c r="AX1851" s="10"/>
      <c r="AY1851" s="10"/>
      <c r="AZ1851" s="10"/>
      <c r="BA1851" s="10"/>
      <c r="BB1851" s="10"/>
      <c r="BC1851" s="10"/>
      <c r="BD1851" s="10"/>
      <c r="BE1851" s="10"/>
      <c r="BF1851" s="10"/>
      <c r="BG1851" s="10"/>
      <c r="BH1851" s="10"/>
      <c r="BI1851" s="10"/>
      <c r="BJ1851" s="10"/>
      <c r="BK1851" s="10"/>
      <c r="BM1851" s="10"/>
    </row>
    <row r="1852" spans="1:65" ht="12.75">
      <c r="A1852" s="9"/>
      <c r="B1852" s="10"/>
      <c r="C1852" s="11"/>
      <c r="D1852" s="12"/>
      <c r="E1852" s="10"/>
      <c r="F1852" s="10"/>
      <c r="G1852" s="10"/>
      <c r="H1852" s="14"/>
      <c r="I1852" s="14"/>
      <c r="J1852" s="14"/>
      <c r="K1852" s="14"/>
      <c r="L1852" s="14"/>
      <c r="M1852" s="15"/>
      <c r="N1852" s="10"/>
      <c r="O1852" s="14"/>
      <c r="P1852" s="14"/>
      <c r="Q1852" s="14"/>
      <c r="R1852" s="14"/>
      <c r="S1852" s="14"/>
      <c r="T1852" s="14"/>
      <c r="U1852" s="14"/>
      <c r="V1852" s="14"/>
      <c r="W1852" s="14"/>
      <c r="X1852" s="14"/>
      <c r="Y1852" s="14"/>
      <c r="Z1852" s="14"/>
      <c r="AA1852" s="16" t="str">
        <f t="shared" ca="1" si="1647"/>
        <v>Johnson &amp; Johnson</v>
      </c>
      <c r="AB1852" s="16">
        <f t="shared" si="1647"/>
        <v>0</v>
      </c>
      <c r="AC1852" s="16">
        <f t="shared" si="1647"/>
        <v>0</v>
      </c>
      <c r="AD1852" s="16">
        <f t="shared" si="1647"/>
        <v>0</v>
      </c>
      <c r="AE1852" s="16">
        <f t="shared" si="1647"/>
        <v>0</v>
      </c>
      <c r="AF1852" s="16">
        <f t="shared" si="1647"/>
        <v>0</v>
      </c>
      <c r="AG1852" s="16">
        <f t="shared" si="1647"/>
        <v>0</v>
      </c>
      <c r="AH1852" s="16">
        <f t="shared" si="1647"/>
        <v>0</v>
      </c>
      <c r="AI1852" s="16">
        <f t="shared" si="1647"/>
        <v>0</v>
      </c>
      <c r="AJ1852" s="16">
        <f t="shared" si="1647"/>
        <v>0</v>
      </c>
      <c r="AK1852" s="16">
        <f t="shared" si="1647"/>
        <v>0</v>
      </c>
      <c r="AL1852" s="16">
        <f t="shared" si="1647"/>
        <v>0</v>
      </c>
      <c r="AM1852" s="16">
        <f t="shared" si="1647"/>
        <v>0</v>
      </c>
      <c r="AN1852" s="16">
        <f t="shared" si="1647"/>
        <v>0</v>
      </c>
      <c r="AO1852" s="16">
        <f t="shared" si="1647"/>
        <v>0</v>
      </c>
      <c r="AP1852" s="10"/>
      <c r="AQ1852" s="10"/>
      <c r="AR1852" s="10"/>
      <c r="AS1852" s="10" t="str">
        <f t="shared" ca="1" si="1641"/>
        <v>Johnson &amp; Johnson</v>
      </c>
      <c r="AT1852" s="10"/>
      <c r="AU1852" s="10"/>
      <c r="AV1852" s="10"/>
      <c r="AW1852" s="10"/>
      <c r="AX1852" s="10"/>
      <c r="AY1852" s="10"/>
      <c r="AZ1852" s="10"/>
      <c r="BA1852" s="10"/>
      <c r="BB1852" s="10"/>
      <c r="BC1852" s="10"/>
      <c r="BD1852" s="10"/>
      <c r="BE1852" s="10"/>
      <c r="BF1852" s="10"/>
      <c r="BG1852" s="10"/>
      <c r="BH1852" s="10"/>
      <c r="BI1852" s="10"/>
      <c r="BJ1852" s="10"/>
      <c r="BK1852" s="10"/>
      <c r="BM1852" s="10"/>
    </row>
    <row r="1853" spans="1:65" ht="12.75">
      <c r="A1853" s="9"/>
      <c r="B1853" s="10"/>
      <c r="C1853" s="11"/>
      <c r="D1853" s="12"/>
      <c r="E1853" s="10"/>
      <c r="F1853" s="10"/>
      <c r="G1853" s="10"/>
      <c r="H1853" s="14"/>
      <c r="I1853" s="14"/>
      <c r="J1853" s="14"/>
      <c r="K1853" s="14"/>
      <c r="L1853" s="14"/>
      <c r="M1853" s="15"/>
      <c r="N1853" s="10"/>
      <c r="O1853" s="14"/>
      <c r="P1853" s="14"/>
      <c r="Q1853" s="14"/>
      <c r="R1853" s="14"/>
      <c r="S1853" s="14"/>
      <c r="T1853" s="14"/>
      <c r="U1853" s="14"/>
      <c r="V1853" s="14"/>
      <c r="W1853" s="14"/>
      <c r="X1853" s="14"/>
      <c r="Y1853" s="14"/>
      <c r="Z1853" s="14"/>
      <c r="AA1853" s="16" t="str">
        <f t="shared" ca="1" si="1647"/>
        <v>Johnson &amp; Johnson</v>
      </c>
      <c r="AB1853" s="16">
        <f t="shared" si="1647"/>
        <v>0</v>
      </c>
      <c r="AC1853" s="16">
        <f t="shared" si="1647"/>
        <v>0</v>
      </c>
      <c r="AD1853" s="16">
        <f t="shared" si="1647"/>
        <v>0</v>
      </c>
      <c r="AE1853" s="16">
        <f t="shared" si="1647"/>
        <v>0</v>
      </c>
      <c r="AF1853" s="16">
        <f t="shared" si="1647"/>
        <v>0</v>
      </c>
      <c r="AG1853" s="16">
        <f t="shared" si="1647"/>
        <v>0</v>
      </c>
      <c r="AH1853" s="16">
        <f t="shared" si="1647"/>
        <v>0</v>
      </c>
      <c r="AI1853" s="16">
        <f t="shared" si="1647"/>
        <v>0</v>
      </c>
      <c r="AJ1853" s="16">
        <f t="shared" si="1647"/>
        <v>0</v>
      </c>
      <c r="AK1853" s="16">
        <f t="shared" si="1647"/>
        <v>0</v>
      </c>
      <c r="AL1853" s="16">
        <f t="shared" si="1647"/>
        <v>0</v>
      </c>
      <c r="AM1853" s="16">
        <f t="shared" si="1647"/>
        <v>0</v>
      </c>
      <c r="AN1853" s="16">
        <f t="shared" si="1647"/>
        <v>0</v>
      </c>
      <c r="AO1853" s="16">
        <f t="shared" si="1647"/>
        <v>0</v>
      </c>
      <c r="AP1853" s="10"/>
      <c r="AQ1853" s="10"/>
      <c r="AR1853" s="10"/>
      <c r="AS1853" s="10" t="str">
        <f t="shared" ca="1" si="1641"/>
        <v>Johnson &amp; Johnson</v>
      </c>
      <c r="AT1853" s="10"/>
      <c r="AU1853" s="10"/>
      <c r="AV1853" s="10"/>
      <c r="AW1853" s="10"/>
      <c r="AX1853" s="10"/>
      <c r="AY1853" s="10"/>
      <c r="AZ1853" s="10"/>
      <c r="BA1853" s="10"/>
      <c r="BB1853" s="10"/>
      <c r="BC1853" s="10"/>
      <c r="BD1853" s="10"/>
      <c r="BE1853" s="10"/>
      <c r="BF1853" s="10"/>
      <c r="BG1853" s="10"/>
      <c r="BH1853" s="10"/>
      <c r="BI1853" s="10"/>
      <c r="BJ1853" s="10"/>
      <c r="BK1853" s="10"/>
      <c r="BM1853" s="10"/>
    </row>
    <row r="1854" spans="1:65" ht="12.75">
      <c r="A1854" s="9"/>
      <c r="B1854" s="10"/>
      <c r="C1854" s="11"/>
      <c r="D1854" s="12"/>
      <c r="E1854" s="10"/>
      <c r="F1854" s="10"/>
      <c r="G1854" s="10"/>
      <c r="H1854" s="14"/>
      <c r="I1854" s="14"/>
      <c r="J1854" s="14"/>
      <c r="K1854" s="14"/>
      <c r="L1854" s="14"/>
      <c r="M1854" s="15"/>
      <c r="N1854" s="10"/>
      <c r="O1854" s="14"/>
      <c r="P1854" s="14"/>
      <c r="Q1854" s="14"/>
      <c r="R1854" s="14"/>
      <c r="S1854" s="14"/>
      <c r="T1854" s="14"/>
      <c r="U1854" s="14"/>
      <c r="V1854" s="14"/>
      <c r="W1854" s="14"/>
      <c r="X1854" s="14"/>
      <c r="Y1854" s="14"/>
      <c r="Z1854" s="14"/>
      <c r="AA1854" s="16" t="str">
        <f t="shared" ca="1" si="1647"/>
        <v>Johnson &amp; Johnson</v>
      </c>
      <c r="AB1854" s="16">
        <f t="shared" si="1647"/>
        <v>0</v>
      </c>
      <c r="AC1854" s="16">
        <f t="shared" si="1647"/>
        <v>0</v>
      </c>
      <c r="AD1854" s="16">
        <f t="shared" si="1647"/>
        <v>0</v>
      </c>
      <c r="AE1854" s="16">
        <f t="shared" si="1647"/>
        <v>0</v>
      </c>
      <c r="AF1854" s="16">
        <f t="shared" si="1647"/>
        <v>0</v>
      </c>
      <c r="AG1854" s="16">
        <f t="shared" si="1647"/>
        <v>0</v>
      </c>
      <c r="AH1854" s="16">
        <f t="shared" si="1647"/>
        <v>0</v>
      </c>
      <c r="AI1854" s="16">
        <f t="shared" si="1647"/>
        <v>0</v>
      </c>
      <c r="AJ1854" s="16">
        <f t="shared" si="1647"/>
        <v>0</v>
      </c>
      <c r="AK1854" s="16">
        <f t="shared" si="1647"/>
        <v>0</v>
      </c>
      <c r="AL1854" s="16">
        <f t="shared" si="1647"/>
        <v>0</v>
      </c>
      <c r="AM1854" s="16">
        <f t="shared" si="1647"/>
        <v>0</v>
      </c>
      <c r="AN1854" s="16">
        <f t="shared" si="1647"/>
        <v>0</v>
      </c>
      <c r="AO1854" s="16">
        <f t="shared" si="1647"/>
        <v>0</v>
      </c>
      <c r="AP1854" s="10"/>
      <c r="AQ1854" s="10"/>
      <c r="AR1854" s="10"/>
      <c r="AS1854" s="10" t="str">
        <f t="shared" ca="1" si="1641"/>
        <v>Johnson &amp; Johnson</v>
      </c>
      <c r="AT1854" s="10"/>
      <c r="AU1854" s="10"/>
      <c r="AV1854" s="10"/>
      <c r="AW1854" s="10"/>
      <c r="AX1854" s="10"/>
      <c r="AY1854" s="10"/>
      <c r="AZ1854" s="10"/>
      <c r="BA1854" s="10"/>
      <c r="BB1854" s="10"/>
      <c r="BC1854" s="10"/>
      <c r="BD1854" s="10"/>
      <c r="BE1854" s="10"/>
      <c r="BF1854" s="10"/>
      <c r="BG1854" s="10"/>
      <c r="BH1854" s="10"/>
      <c r="BI1854" s="10"/>
      <c r="BJ1854" s="10"/>
      <c r="BK1854" s="10"/>
      <c r="BM1854" s="10"/>
    </row>
    <row r="1855" spans="1:65" ht="12.75">
      <c r="A1855" s="9"/>
      <c r="B1855" s="10"/>
      <c r="C1855" s="11"/>
      <c r="D1855" s="12"/>
      <c r="E1855" s="10"/>
      <c r="F1855" s="10"/>
      <c r="G1855" s="10"/>
      <c r="H1855" s="14"/>
      <c r="I1855" s="14"/>
      <c r="J1855" s="14"/>
      <c r="K1855" s="14"/>
      <c r="L1855" s="14"/>
      <c r="M1855" s="15"/>
      <c r="N1855" s="10"/>
      <c r="O1855" s="14"/>
      <c r="P1855" s="14"/>
      <c r="Q1855" s="14"/>
      <c r="R1855" s="14"/>
      <c r="S1855" s="14"/>
      <c r="T1855" s="14"/>
      <c r="U1855" s="14"/>
      <c r="V1855" s="14"/>
      <c r="W1855" s="14"/>
      <c r="X1855" s="14"/>
      <c r="Y1855" s="14"/>
      <c r="Z1855" s="14"/>
      <c r="AA1855" s="16" t="str">
        <f t="shared" ca="1" si="1647"/>
        <v>Johnson &amp; Johnson</v>
      </c>
      <c r="AB1855" s="16">
        <f t="shared" si="1647"/>
        <v>0</v>
      </c>
      <c r="AC1855" s="16">
        <f t="shared" si="1647"/>
        <v>0</v>
      </c>
      <c r="AD1855" s="16">
        <f t="shared" si="1647"/>
        <v>0</v>
      </c>
      <c r="AE1855" s="16">
        <f t="shared" si="1647"/>
        <v>0</v>
      </c>
      <c r="AF1855" s="16">
        <f t="shared" si="1647"/>
        <v>0</v>
      </c>
      <c r="AG1855" s="16">
        <f t="shared" si="1647"/>
        <v>0</v>
      </c>
      <c r="AH1855" s="16">
        <f t="shared" si="1647"/>
        <v>0</v>
      </c>
      <c r="AI1855" s="16">
        <f t="shared" si="1647"/>
        <v>0</v>
      </c>
      <c r="AJ1855" s="16">
        <f t="shared" si="1647"/>
        <v>0</v>
      </c>
      <c r="AK1855" s="16">
        <f t="shared" si="1647"/>
        <v>0</v>
      </c>
      <c r="AL1855" s="16">
        <f t="shared" si="1647"/>
        <v>0</v>
      </c>
      <c r="AM1855" s="16">
        <f t="shared" si="1647"/>
        <v>0</v>
      </c>
      <c r="AN1855" s="16">
        <f t="shared" si="1647"/>
        <v>0</v>
      </c>
      <c r="AO1855" s="16">
        <f t="shared" si="1647"/>
        <v>0</v>
      </c>
      <c r="AP1855" s="10"/>
      <c r="AQ1855" s="10"/>
      <c r="AR1855" s="10"/>
      <c r="AS1855" s="10" t="str">
        <f t="shared" ca="1" si="1641"/>
        <v>Johnson &amp; Johnson</v>
      </c>
      <c r="AT1855" s="10"/>
      <c r="AU1855" s="10"/>
      <c r="AV1855" s="10"/>
      <c r="AW1855" s="10"/>
      <c r="AX1855" s="10"/>
      <c r="AY1855" s="10"/>
      <c r="AZ1855" s="10"/>
      <c r="BA1855" s="10"/>
      <c r="BB1855" s="10"/>
      <c r="BC1855" s="10"/>
      <c r="BD1855" s="10"/>
      <c r="BE1855" s="10"/>
      <c r="BF1855" s="10"/>
      <c r="BG1855" s="10"/>
      <c r="BH1855" s="10"/>
      <c r="BI1855" s="10"/>
      <c r="BJ1855" s="10"/>
      <c r="BK1855" s="10"/>
      <c r="BM1855" s="10"/>
    </row>
    <row r="1856" spans="1:65" ht="12.75">
      <c r="A1856" s="9"/>
      <c r="B1856" s="10"/>
      <c r="C1856" s="11"/>
      <c r="D1856" s="12"/>
      <c r="E1856" s="10"/>
      <c r="F1856" s="10"/>
      <c r="G1856" s="10"/>
      <c r="H1856" s="14"/>
      <c r="I1856" s="14"/>
      <c r="J1856" s="14"/>
      <c r="K1856" s="14"/>
      <c r="L1856" s="14"/>
      <c r="M1856" s="15"/>
      <c r="N1856" s="10"/>
      <c r="O1856" s="14"/>
      <c r="P1856" s="14"/>
      <c r="Q1856" s="14"/>
      <c r="R1856" s="14"/>
      <c r="S1856" s="14"/>
      <c r="T1856" s="14"/>
      <c r="U1856" s="14"/>
      <c r="V1856" s="14"/>
      <c r="W1856" s="14"/>
      <c r="X1856" s="14"/>
      <c r="Y1856" s="14"/>
      <c r="Z1856" s="14"/>
      <c r="AA1856" s="16" t="str">
        <f t="shared" ca="1" si="1647"/>
        <v>Johnson &amp; Johnson</v>
      </c>
      <c r="AB1856" s="16">
        <f t="shared" si="1647"/>
        <v>0</v>
      </c>
      <c r="AC1856" s="16">
        <f t="shared" si="1647"/>
        <v>0</v>
      </c>
      <c r="AD1856" s="16">
        <f t="shared" si="1647"/>
        <v>0</v>
      </c>
      <c r="AE1856" s="16">
        <f t="shared" si="1647"/>
        <v>0</v>
      </c>
      <c r="AF1856" s="16">
        <f t="shared" si="1647"/>
        <v>0</v>
      </c>
      <c r="AG1856" s="16">
        <f t="shared" si="1647"/>
        <v>0</v>
      </c>
      <c r="AH1856" s="16">
        <f t="shared" si="1647"/>
        <v>0</v>
      </c>
      <c r="AI1856" s="16">
        <f t="shared" si="1647"/>
        <v>0</v>
      </c>
      <c r="AJ1856" s="16">
        <f t="shared" si="1647"/>
        <v>0</v>
      </c>
      <c r="AK1856" s="16">
        <f t="shared" si="1647"/>
        <v>0</v>
      </c>
      <c r="AL1856" s="16">
        <f t="shared" si="1647"/>
        <v>0</v>
      </c>
      <c r="AM1856" s="16">
        <f t="shared" si="1647"/>
        <v>0</v>
      </c>
      <c r="AN1856" s="16">
        <f t="shared" si="1647"/>
        <v>0</v>
      </c>
      <c r="AO1856" s="16">
        <f t="shared" si="1647"/>
        <v>0</v>
      </c>
      <c r="AP1856" s="10"/>
      <c r="AQ1856" s="10"/>
      <c r="AR1856" s="10"/>
      <c r="AS1856" s="10" t="str">
        <f t="shared" ca="1" si="1641"/>
        <v>Johnson &amp; Johnson</v>
      </c>
      <c r="AT1856" s="10"/>
      <c r="AU1856" s="10"/>
      <c r="AV1856" s="10"/>
      <c r="AW1856" s="10"/>
      <c r="AX1856" s="10"/>
      <c r="AY1856" s="10"/>
      <c r="AZ1856" s="10"/>
      <c r="BA1856" s="10"/>
      <c r="BB1856" s="10"/>
      <c r="BC1856" s="10"/>
      <c r="BD1856" s="10"/>
      <c r="BE1856" s="10"/>
      <c r="BF1856" s="10"/>
      <c r="BG1856" s="10"/>
      <c r="BH1856" s="10"/>
      <c r="BI1856" s="10"/>
      <c r="BJ1856" s="10"/>
      <c r="BK1856" s="10"/>
      <c r="BM1856" s="10"/>
    </row>
    <row r="1857" spans="1:65" ht="12.75">
      <c r="A1857" s="9"/>
      <c r="B1857" s="10"/>
      <c r="C1857" s="11"/>
      <c r="D1857" s="12"/>
      <c r="E1857" s="10"/>
      <c r="F1857" s="10"/>
      <c r="G1857" s="10"/>
      <c r="H1857" s="14"/>
      <c r="I1857" s="14"/>
      <c r="J1857" s="14"/>
      <c r="K1857" s="14"/>
      <c r="L1857" s="14"/>
      <c r="M1857" s="15"/>
      <c r="N1857" s="10"/>
      <c r="O1857" s="14"/>
      <c r="P1857" s="14"/>
      <c r="Q1857" s="14"/>
      <c r="R1857" s="14"/>
      <c r="S1857" s="14"/>
      <c r="T1857" s="14"/>
      <c r="U1857" s="14"/>
      <c r="V1857" s="14"/>
      <c r="W1857" s="14"/>
      <c r="X1857" s="14"/>
      <c r="Y1857" s="14"/>
      <c r="Z1857" s="14"/>
      <c r="AA1857" s="16" t="str">
        <f t="shared" ca="1" si="1647"/>
        <v>Johnson &amp; Johnson</v>
      </c>
      <c r="AB1857" s="16">
        <f t="shared" si="1647"/>
        <v>0</v>
      </c>
      <c r="AC1857" s="16">
        <f t="shared" si="1647"/>
        <v>0</v>
      </c>
      <c r="AD1857" s="16">
        <f t="shared" si="1647"/>
        <v>0</v>
      </c>
      <c r="AE1857" s="16">
        <f t="shared" si="1647"/>
        <v>0</v>
      </c>
      <c r="AF1857" s="16">
        <f t="shared" si="1647"/>
        <v>0</v>
      </c>
      <c r="AG1857" s="16">
        <f t="shared" si="1647"/>
        <v>0</v>
      </c>
      <c r="AH1857" s="16">
        <f t="shared" si="1647"/>
        <v>0</v>
      </c>
      <c r="AI1857" s="16">
        <f t="shared" si="1647"/>
        <v>0</v>
      </c>
      <c r="AJ1857" s="16">
        <f t="shared" si="1647"/>
        <v>0</v>
      </c>
      <c r="AK1857" s="16">
        <f t="shared" si="1647"/>
        <v>0</v>
      </c>
      <c r="AL1857" s="16">
        <f t="shared" si="1647"/>
        <v>0</v>
      </c>
      <c r="AM1857" s="16">
        <f t="shared" si="1647"/>
        <v>0</v>
      </c>
      <c r="AN1857" s="16">
        <f t="shared" si="1647"/>
        <v>0</v>
      </c>
      <c r="AO1857" s="16">
        <f t="shared" si="1647"/>
        <v>0</v>
      </c>
      <c r="AP1857" s="10"/>
      <c r="AQ1857" s="10"/>
      <c r="AR1857" s="10"/>
      <c r="AS1857" s="10" t="str">
        <f t="shared" ca="1" si="1641"/>
        <v>Johnson &amp; Johnson</v>
      </c>
      <c r="AT1857" s="10"/>
      <c r="AU1857" s="10"/>
      <c r="AV1857" s="10"/>
      <c r="AW1857" s="10"/>
      <c r="AX1857" s="10"/>
      <c r="AY1857" s="10"/>
      <c r="AZ1857" s="10"/>
      <c r="BA1857" s="10"/>
      <c r="BB1857" s="10"/>
      <c r="BC1857" s="10"/>
      <c r="BD1857" s="10"/>
      <c r="BE1857" s="10"/>
      <c r="BF1857" s="10"/>
      <c r="BG1857" s="10"/>
      <c r="BH1857" s="10"/>
      <c r="BI1857" s="10"/>
      <c r="BJ1857" s="10"/>
      <c r="BK1857" s="10"/>
      <c r="BM1857" s="10"/>
    </row>
    <row r="1858" spans="1:65" ht="12.75">
      <c r="A1858" s="9"/>
      <c r="B1858" s="10"/>
      <c r="C1858" s="11"/>
      <c r="D1858" s="12"/>
      <c r="E1858" s="10"/>
      <c r="F1858" s="10"/>
      <c r="G1858" s="10"/>
      <c r="H1858" s="14"/>
      <c r="I1858" s="14"/>
      <c r="J1858" s="14"/>
      <c r="K1858" s="14"/>
      <c r="L1858" s="14"/>
      <c r="M1858" s="15"/>
      <c r="N1858" s="10"/>
      <c r="O1858" s="14"/>
      <c r="P1858" s="14"/>
      <c r="Q1858" s="14"/>
      <c r="R1858" s="14"/>
      <c r="S1858" s="14"/>
      <c r="T1858" s="14"/>
      <c r="U1858" s="14"/>
      <c r="V1858" s="14"/>
      <c r="W1858" s="14"/>
      <c r="X1858" s="14"/>
      <c r="Y1858" s="14"/>
      <c r="Z1858" s="14"/>
      <c r="AA1858" s="16" t="str">
        <f t="shared" ca="1" si="1647"/>
        <v>Johnson &amp; Johnson</v>
      </c>
      <c r="AB1858" s="16">
        <f t="shared" si="1647"/>
        <v>0</v>
      </c>
      <c r="AC1858" s="16">
        <f t="shared" si="1647"/>
        <v>0</v>
      </c>
      <c r="AD1858" s="16">
        <f t="shared" si="1647"/>
        <v>0</v>
      </c>
      <c r="AE1858" s="16">
        <f t="shared" si="1647"/>
        <v>0</v>
      </c>
      <c r="AF1858" s="16">
        <f t="shared" si="1647"/>
        <v>0</v>
      </c>
      <c r="AG1858" s="16">
        <f t="shared" si="1647"/>
        <v>0</v>
      </c>
      <c r="AH1858" s="16">
        <f t="shared" si="1647"/>
        <v>0</v>
      </c>
      <c r="AI1858" s="16">
        <f t="shared" si="1647"/>
        <v>0</v>
      </c>
      <c r="AJ1858" s="16">
        <f t="shared" si="1647"/>
        <v>0</v>
      </c>
      <c r="AK1858" s="16">
        <f t="shared" si="1647"/>
        <v>0</v>
      </c>
      <c r="AL1858" s="16">
        <f t="shared" si="1647"/>
        <v>0</v>
      </c>
      <c r="AM1858" s="16">
        <f t="shared" si="1647"/>
        <v>0</v>
      </c>
      <c r="AN1858" s="16">
        <f t="shared" si="1647"/>
        <v>0</v>
      </c>
      <c r="AO1858" s="16">
        <f t="shared" si="1647"/>
        <v>0</v>
      </c>
      <c r="AP1858" s="10"/>
      <c r="AQ1858" s="10"/>
      <c r="AR1858" s="10"/>
      <c r="AS1858" s="10" t="str">
        <f t="shared" ca="1" si="1641"/>
        <v>Johnson &amp; Johnson</v>
      </c>
      <c r="AT1858" s="10"/>
      <c r="AU1858" s="10"/>
      <c r="AV1858" s="10"/>
      <c r="AW1858" s="10"/>
      <c r="AX1858" s="10"/>
      <c r="AY1858" s="10"/>
      <c r="AZ1858" s="10"/>
      <c r="BA1858" s="10"/>
      <c r="BB1858" s="10"/>
      <c r="BC1858" s="10"/>
      <c r="BD1858" s="10"/>
      <c r="BE1858" s="10"/>
      <c r="BF1858" s="10"/>
      <c r="BG1858" s="10"/>
      <c r="BH1858" s="10"/>
      <c r="BI1858" s="10"/>
      <c r="BJ1858" s="10"/>
      <c r="BK1858" s="10"/>
      <c r="BM1858" s="10"/>
    </row>
    <row r="1859" spans="1:65" ht="12.75">
      <c r="A1859" s="9"/>
      <c r="B1859" s="10"/>
      <c r="C1859" s="11"/>
      <c r="D1859" s="12"/>
      <c r="E1859" s="10"/>
      <c r="F1859" s="10"/>
      <c r="G1859" s="10"/>
      <c r="H1859" s="14"/>
      <c r="I1859" s="14"/>
      <c r="J1859" s="14"/>
      <c r="K1859" s="14"/>
      <c r="L1859" s="14"/>
      <c r="M1859" s="15"/>
      <c r="N1859" s="10"/>
      <c r="O1859" s="14"/>
      <c r="P1859" s="14"/>
      <c r="Q1859" s="14"/>
      <c r="R1859" s="14"/>
      <c r="S1859" s="14"/>
      <c r="T1859" s="14"/>
      <c r="U1859" s="14"/>
      <c r="V1859" s="14"/>
      <c r="W1859" s="14"/>
      <c r="X1859" s="14"/>
      <c r="Y1859" s="14"/>
      <c r="Z1859" s="14"/>
      <c r="AA1859" s="16" t="str">
        <f t="shared" ca="1" si="1647"/>
        <v>Johnson &amp; Johnson</v>
      </c>
      <c r="AB1859" s="16">
        <f t="shared" si="1647"/>
        <v>0</v>
      </c>
      <c r="AC1859" s="16">
        <f t="shared" si="1647"/>
        <v>0</v>
      </c>
      <c r="AD1859" s="16">
        <f t="shared" si="1647"/>
        <v>0</v>
      </c>
      <c r="AE1859" s="16">
        <f t="shared" si="1647"/>
        <v>0</v>
      </c>
      <c r="AF1859" s="16">
        <f t="shared" si="1647"/>
        <v>0</v>
      </c>
      <c r="AG1859" s="16">
        <f t="shared" si="1647"/>
        <v>0</v>
      </c>
      <c r="AH1859" s="16">
        <f t="shared" si="1647"/>
        <v>0</v>
      </c>
      <c r="AI1859" s="16">
        <f t="shared" si="1647"/>
        <v>0</v>
      </c>
      <c r="AJ1859" s="16">
        <f t="shared" si="1647"/>
        <v>0</v>
      </c>
      <c r="AK1859" s="16">
        <f t="shared" si="1647"/>
        <v>0</v>
      </c>
      <c r="AL1859" s="16">
        <f t="shared" si="1647"/>
        <v>0</v>
      </c>
      <c r="AM1859" s="16">
        <f t="shared" si="1647"/>
        <v>0</v>
      </c>
      <c r="AN1859" s="16">
        <f t="shared" si="1647"/>
        <v>0</v>
      </c>
      <c r="AO1859" s="16">
        <f t="shared" si="1647"/>
        <v>0</v>
      </c>
      <c r="AP1859" s="10"/>
      <c r="AQ1859" s="10"/>
      <c r="AR1859" s="10"/>
      <c r="AS1859" s="10" t="str">
        <f t="shared" ca="1" si="1641"/>
        <v>Johnson &amp; Johnson</v>
      </c>
      <c r="AT1859" s="10"/>
      <c r="AU1859" s="10"/>
      <c r="AV1859" s="10"/>
      <c r="AW1859" s="10"/>
      <c r="AX1859" s="10"/>
      <c r="AY1859" s="10"/>
      <c r="AZ1859" s="10"/>
      <c r="BA1859" s="10"/>
      <c r="BB1859" s="10"/>
      <c r="BC1859" s="10"/>
      <c r="BD1859" s="10"/>
      <c r="BE1859" s="10"/>
      <c r="BF1859" s="10"/>
      <c r="BG1859" s="10"/>
      <c r="BH1859" s="10"/>
      <c r="BI1859" s="10"/>
      <c r="BJ1859" s="10"/>
      <c r="BK1859" s="10"/>
      <c r="BM1859" s="10"/>
    </row>
    <row r="1860" spans="1:65" ht="12.75">
      <c r="A1860" s="9"/>
      <c r="B1860" s="10"/>
      <c r="C1860" s="11"/>
      <c r="D1860" s="12"/>
      <c r="E1860" s="10"/>
      <c r="F1860" s="10"/>
      <c r="G1860" s="10"/>
      <c r="H1860" s="14"/>
      <c r="I1860" s="14"/>
      <c r="J1860" s="14"/>
      <c r="K1860" s="14"/>
      <c r="L1860" s="14"/>
      <c r="M1860" s="15"/>
      <c r="N1860" s="10"/>
      <c r="O1860" s="14"/>
      <c r="P1860" s="14"/>
      <c r="Q1860" s="14"/>
      <c r="R1860" s="14"/>
      <c r="S1860" s="14"/>
      <c r="T1860" s="14"/>
      <c r="U1860" s="14"/>
      <c r="V1860" s="14"/>
      <c r="W1860" s="14"/>
      <c r="X1860" s="14"/>
      <c r="Y1860" s="14"/>
      <c r="Z1860" s="14"/>
      <c r="AA1860" s="16" t="str">
        <f t="shared" ca="1" si="1647"/>
        <v>Johnson &amp; Johnson</v>
      </c>
      <c r="AB1860" s="16">
        <f t="shared" si="1647"/>
        <v>0</v>
      </c>
      <c r="AC1860" s="16">
        <f t="shared" si="1647"/>
        <v>0</v>
      </c>
      <c r="AD1860" s="16">
        <f t="shared" si="1647"/>
        <v>0</v>
      </c>
      <c r="AE1860" s="16">
        <f t="shared" si="1647"/>
        <v>0</v>
      </c>
      <c r="AF1860" s="16">
        <f t="shared" si="1647"/>
        <v>0</v>
      </c>
      <c r="AG1860" s="16">
        <f t="shared" si="1647"/>
        <v>0</v>
      </c>
      <c r="AH1860" s="16">
        <f t="shared" si="1647"/>
        <v>0</v>
      </c>
      <c r="AI1860" s="16">
        <f t="shared" si="1647"/>
        <v>0</v>
      </c>
      <c r="AJ1860" s="16">
        <f t="shared" si="1647"/>
        <v>0</v>
      </c>
      <c r="AK1860" s="16">
        <f t="shared" si="1647"/>
        <v>0</v>
      </c>
      <c r="AL1860" s="16">
        <f t="shared" si="1647"/>
        <v>0</v>
      </c>
      <c r="AM1860" s="16">
        <f t="shared" si="1647"/>
        <v>0</v>
      </c>
      <c r="AN1860" s="16">
        <f t="shared" si="1647"/>
        <v>0</v>
      </c>
      <c r="AO1860" s="16">
        <f t="shared" si="1647"/>
        <v>0</v>
      </c>
      <c r="AP1860" s="10"/>
      <c r="AQ1860" s="10"/>
      <c r="AR1860" s="10"/>
      <c r="AS1860" s="10" t="str">
        <f t="shared" ca="1" si="1641"/>
        <v>Johnson &amp; Johnson</v>
      </c>
      <c r="AT1860" s="10"/>
      <c r="AU1860" s="10"/>
      <c r="AV1860" s="10"/>
      <c r="AW1860" s="10"/>
      <c r="AX1860" s="10"/>
      <c r="AY1860" s="10"/>
      <c r="AZ1860" s="10"/>
      <c r="BA1860" s="10"/>
      <c r="BB1860" s="10"/>
      <c r="BC1860" s="10"/>
      <c r="BD1860" s="10"/>
      <c r="BE1860" s="10"/>
      <c r="BF1860" s="10"/>
      <c r="BG1860" s="10"/>
      <c r="BH1860" s="10"/>
      <c r="BI1860" s="10"/>
      <c r="BJ1860" s="10"/>
      <c r="BK1860" s="10"/>
      <c r="BM1860" s="10"/>
    </row>
    <row r="1861" spans="1:65" ht="12.75">
      <c r="A1861" s="9"/>
      <c r="B1861" s="10"/>
      <c r="C1861" s="11"/>
      <c r="D1861" s="12"/>
      <c r="E1861" s="10"/>
      <c r="F1861" s="10"/>
      <c r="G1861" s="10"/>
      <c r="H1861" s="14"/>
      <c r="I1861" s="14"/>
      <c r="J1861" s="14"/>
      <c r="K1861" s="14"/>
      <c r="L1861" s="14"/>
      <c r="M1861" s="15"/>
      <c r="N1861" s="10"/>
      <c r="O1861" s="14"/>
      <c r="P1861" s="14"/>
      <c r="Q1861" s="14"/>
      <c r="R1861" s="14"/>
      <c r="S1861" s="14"/>
      <c r="T1861" s="14"/>
      <c r="U1861" s="14"/>
      <c r="V1861" s="14"/>
      <c r="W1861" s="14"/>
      <c r="X1861" s="14"/>
      <c r="Y1861" s="14"/>
      <c r="Z1861" s="14"/>
      <c r="AA1861" s="16" t="str">
        <f t="shared" ca="1" si="1647"/>
        <v>Johnson &amp; Johnson</v>
      </c>
      <c r="AB1861" s="16">
        <f t="shared" si="1647"/>
        <v>0</v>
      </c>
      <c r="AC1861" s="16">
        <f t="shared" si="1647"/>
        <v>0</v>
      </c>
      <c r="AD1861" s="16">
        <f t="shared" si="1647"/>
        <v>0</v>
      </c>
      <c r="AE1861" s="16">
        <f t="shared" si="1647"/>
        <v>0</v>
      </c>
      <c r="AF1861" s="16">
        <f t="shared" si="1647"/>
        <v>0</v>
      </c>
      <c r="AG1861" s="16">
        <f t="shared" si="1647"/>
        <v>0</v>
      </c>
      <c r="AH1861" s="16">
        <f t="shared" si="1647"/>
        <v>0</v>
      </c>
      <c r="AI1861" s="16">
        <f t="shared" si="1647"/>
        <v>0</v>
      </c>
      <c r="AJ1861" s="16">
        <f t="shared" si="1647"/>
        <v>0</v>
      </c>
      <c r="AK1861" s="16">
        <f t="shared" si="1647"/>
        <v>0</v>
      </c>
      <c r="AL1861" s="16">
        <f t="shared" si="1647"/>
        <v>0</v>
      </c>
      <c r="AM1861" s="16">
        <f t="shared" si="1647"/>
        <v>0</v>
      </c>
      <c r="AN1861" s="16">
        <f t="shared" si="1647"/>
        <v>0</v>
      </c>
      <c r="AO1861" s="16">
        <f t="shared" si="1647"/>
        <v>0</v>
      </c>
      <c r="AP1861" s="10"/>
      <c r="AQ1861" s="10"/>
      <c r="AR1861" s="10"/>
      <c r="AS1861" s="10" t="str">
        <f t="shared" ca="1" si="1641"/>
        <v>Johnson &amp; Johnson</v>
      </c>
      <c r="AT1861" s="10"/>
      <c r="AU1861" s="10"/>
      <c r="AV1861" s="10"/>
      <c r="AW1861" s="10"/>
      <c r="AX1861" s="10"/>
      <c r="AY1861" s="10"/>
      <c r="AZ1861" s="10"/>
      <c r="BA1861" s="10"/>
      <c r="BB1861" s="10"/>
      <c r="BC1861" s="10"/>
      <c r="BD1861" s="10"/>
      <c r="BE1861" s="10"/>
      <c r="BF1861" s="10"/>
      <c r="BG1861" s="10"/>
      <c r="BH1861" s="10"/>
      <c r="BI1861" s="10"/>
      <c r="BJ1861" s="10"/>
      <c r="BK1861" s="10"/>
      <c r="BM1861" s="10"/>
    </row>
    <row r="1862" spans="1:65" ht="12.75">
      <c r="A1862" s="9"/>
      <c r="B1862" s="10"/>
      <c r="C1862" s="11"/>
      <c r="D1862" s="12"/>
      <c r="E1862" s="10"/>
      <c r="F1862" s="10"/>
      <c r="G1862" s="10"/>
      <c r="H1862" s="14"/>
      <c r="I1862" s="14"/>
      <c r="J1862" s="14"/>
      <c r="K1862" s="14"/>
      <c r="L1862" s="14"/>
      <c r="M1862" s="15"/>
      <c r="N1862" s="10"/>
      <c r="O1862" s="14"/>
      <c r="P1862" s="14"/>
      <c r="Q1862" s="14"/>
      <c r="R1862" s="14"/>
      <c r="S1862" s="14"/>
      <c r="T1862" s="14"/>
      <c r="U1862" s="14"/>
      <c r="V1862" s="14"/>
      <c r="W1862" s="14"/>
      <c r="X1862" s="14"/>
      <c r="Y1862" s="14"/>
      <c r="Z1862" s="14"/>
      <c r="AA1862" s="16" t="str">
        <f t="shared" ca="1" si="1647"/>
        <v>Johnson &amp; Johnson</v>
      </c>
      <c r="AB1862" s="16">
        <f t="shared" si="1647"/>
        <v>0</v>
      </c>
      <c r="AC1862" s="16">
        <f t="shared" si="1647"/>
        <v>0</v>
      </c>
      <c r="AD1862" s="16">
        <f t="shared" si="1647"/>
        <v>0</v>
      </c>
      <c r="AE1862" s="16">
        <f t="shared" si="1647"/>
        <v>0</v>
      </c>
      <c r="AF1862" s="16">
        <f t="shared" si="1647"/>
        <v>0</v>
      </c>
      <c r="AG1862" s="16">
        <f t="shared" si="1647"/>
        <v>0</v>
      </c>
      <c r="AH1862" s="16">
        <f t="shared" si="1647"/>
        <v>0</v>
      </c>
      <c r="AI1862" s="16">
        <f t="shared" si="1647"/>
        <v>0</v>
      </c>
      <c r="AJ1862" s="16">
        <f t="shared" si="1647"/>
        <v>0</v>
      </c>
      <c r="AK1862" s="16">
        <f t="shared" si="1647"/>
        <v>0</v>
      </c>
      <c r="AL1862" s="16">
        <f t="shared" si="1647"/>
        <v>0</v>
      </c>
      <c r="AM1862" s="16">
        <f t="shared" si="1647"/>
        <v>0</v>
      </c>
      <c r="AN1862" s="16">
        <f t="shared" si="1647"/>
        <v>0</v>
      </c>
      <c r="AO1862" s="16">
        <f t="shared" si="1647"/>
        <v>0</v>
      </c>
      <c r="AP1862" s="10"/>
      <c r="AQ1862" s="10"/>
      <c r="AR1862" s="10"/>
      <c r="AS1862" s="10" t="str">
        <f t="shared" ca="1" si="1641"/>
        <v>Johnson &amp; Johnson</v>
      </c>
      <c r="AT1862" s="10"/>
      <c r="AU1862" s="10"/>
      <c r="AV1862" s="10"/>
      <c r="AW1862" s="10"/>
      <c r="AX1862" s="10"/>
      <c r="AY1862" s="10"/>
      <c r="AZ1862" s="10"/>
      <c r="BA1862" s="10"/>
      <c r="BB1862" s="10"/>
      <c r="BC1862" s="10"/>
      <c r="BD1862" s="10"/>
      <c r="BE1862" s="10"/>
      <c r="BF1862" s="10"/>
      <c r="BG1862" s="10"/>
      <c r="BH1862" s="10"/>
      <c r="BI1862" s="10"/>
      <c r="BJ1862" s="10"/>
      <c r="BK1862" s="10"/>
      <c r="BM1862" s="10"/>
    </row>
    <row r="1863" spans="1:65" ht="12.75">
      <c r="A1863" s="9"/>
      <c r="B1863" s="10"/>
      <c r="C1863" s="11"/>
      <c r="D1863" s="12"/>
      <c r="E1863" s="10"/>
      <c r="F1863" s="10"/>
      <c r="G1863" s="10"/>
      <c r="H1863" s="14"/>
      <c r="I1863" s="14"/>
      <c r="J1863" s="14"/>
      <c r="K1863" s="14"/>
      <c r="L1863" s="14"/>
      <c r="M1863" s="15"/>
      <c r="N1863" s="10"/>
      <c r="O1863" s="14"/>
      <c r="P1863" s="14"/>
      <c r="Q1863" s="14"/>
      <c r="R1863" s="14"/>
      <c r="S1863" s="14"/>
      <c r="T1863" s="14"/>
      <c r="U1863" s="14"/>
      <c r="V1863" s="14"/>
      <c r="W1863" s="14"/>
      <c r="X1863" s="14"/>
      <c r="Y1863" s="14"/>
      <c r="Z1863" s="14"/>
      <c r="AA1863" s="16" t="str">
        <f t="shared" ca="1" si="1647"/>
        <v>Johnson &amp; Johnson</v>
      </c>
      <c r="AB1863" s="16">
        <f t="shared" si="1647"/>
        <v>0</v>
      </c>
      <c r="AC1863" s="16">
        <f t="shared" si="1647"/>
        <v>0</v>
      </c>
      <c r="AD1863" s="16">
        <f t="shared" si="1647"/>
        <v>0</v>
      </c>
      <c r="AE1863" s="16">
        <f t="shared" si="1647"/>
        <v>0</v>
      </c>
      <c r="AF1863" s="16">
        <f t="shared" si="1647"/>
        <v>0</v>
      </c>
      <c r="AG1863" s="16">
        <f t="shared" si="1647"/>
        <v>0</v>
      </c>
      <c r="AH1863" s="16">
        <f t="shared" si="1647"/>
        <v>0</v>
      </c>
      <c r="AI1863" s="16">
        <f t="shared" si="1647"/>
        <v>0</v>
      </c>
      <c r="AJ1863" s="16">
        <f t="shared" si="1647"/>
        <v>0</v>
      </c>
      <c r="AK1863" s="16">
        <f t="shared" si="1647"/>
        <v>0</v>
      </c>
      <c r="AL1863" s="16">
        <f t="shared" si="1647"/>
        <v>0</v>
      </c>
      <c r="AM1863" s="16">
        <f t="shared" si="1647"/>
        <v>0</v>
      </c>
      <c r="AN1863" s="16">
        <f t="shared" si="1647"/>
        <v>0</v>
      </c>
      <c r="AO1863" s="16">
        <f t="shared" si="1647"/>
        <v>0</v>
      </c>
      <c r="AP1863" s="10"/>
      <c r="AQ1863" s="10"/>
      <c r="AR1863" s="10"/>
      <c r="AS1863" s="10" t="str">
        <f t="shared" ca="1" si="1641"/>
        <v>Johnson &amp; Johnson</v>
      </c>
      <c r="AT1863" s="10"/>
      <c r="AU1863" s="10"/>
      <c r="AV1863" s="10"/>
      <c r="AW1863" s="10"/>
      <c r="AX1863" s="10"/>
      <c r="AY1863" s="10"/>
      <c r="AZ1863" s="10"/>
      <c r="BA1863" s="10"/>
      <c r="BB1863" s="10"/>
      <c r="BC1863" s="10"/>
      <c r="BD1863" s="10"/>
      <c r="BE1863" s="10"/>
      <c r="BF1863" s="10"/>
      <c r="BG1863" s="10"/>
      <c r="BH1863" s="10"/>
      <c r="BI1863" s="10"/>
      <c r="BJ1863" s="10"/>
      <c r="BK1863" s="10"/>
      <c r="BM1863" s="10"/>
    </row>
    <row r="1864" spans="1:65" ht="12.75">
      <c r="A1864" s="9"/>
      <c r="B1864" s="10"/>
      <c r="C1864" s="11"/>
      <c r="D1864" s="12"/>
      <c r="E1864" s="10"/>
      <c r="F1864" s="10"/>
      <c r="G1864" s="10"/>
      <c r="H1864" s="14"/>
      <c r="I1864" s="14"/>
      <c r="J1864" s="14"/>
      <c r="K1864" s="14"/>
      <c r="L1864" s="14"/>
      <c r="M1864" s="15"/>
      <c r="N1864" s="10"/>
      <c r="O1864" s="14"/>
      <c r="P1864" s="14"/>
      <c r="Q1864" s="14"/>
      <c r="R1864" s="14"/>
      <c r="S1864" s="14"/>
      <c r="T1864" s="14"/>
      <c r="U1864" s="14"/>
      <c r="V1864" s="14"/>
      <c r="W1864" s="14"/>
      <c r="X1864" s="14"/>
      <c r="Y1864" s="14"/>
      <c r="Z1864" s="14"/>
      <c r="AA1864" s="16" t="str">
        <f t="shared" ca="1" si="1647"/>
        <v>Johnson &amp; Johnson</v>
      </c>
      <c r="AB1864" s="16">
        <f t="shared" si="1647"/>
        <v>0</v>
      </c>
      <c r="AC1864" s="16">
        <f t="shared" si="1647"/>
        <v>0</v>
      </c>
      <c r="AD1864" s="16">
        <f t="shared" si="1647"/>
        <v>0</v>
      </c>
      <c r="AE1864" s="16">
        <f t="shared" si="1647"/>
        <v>0</v>
      </c>
      <c r="AF1864" s="16">
        <f t="shared" si="1647"/>
        <v>0</v>
      </c>
      <c r="AG1864" s="16">
        <f t="shared" si="1647"/>
        <v>0</v>
      </c>
      <c r="AH1864" s="16">
        <f t="shared" si="1647"/>
        <v>0</v>
      </c>
      <c r="AI1864" s="16">
        <f t="shared" si="1647"/>
        <v>0</v>
      </c>
      <c r="AJ1864" s="16">
        <f t="shared" si="1647"/>
        <v>0</v>
      </c>
      <c r="AK1864" s="16">
        <f t="shared" si="1647"/>
        <v>0</v>
      </c>
      <c r="AL1864" s="16">
        <f t="shared" si="1647"/>
        <v>0</v>
      </c>
      <c r="AM1864" s="16">
        <f t="shared" si="1647"/>
        <v>0</v>
      </c>
      <c r="AN1864" s="16">
        <f t="shared" si="1647"/>
        <v>0</v>
      </c>
      <c r="AO1864" s="16">
        <f t="shared" si="1647"/>
        <v>0</v>
      </c>
      <c r="AP1864" s="10"/>
      <c r="AQ1864" s="10"/>
      <c r="AR1864" s="10"/>
      <c r="AS1864" s="10" t="str">
        <f t="shared" ca="1" si="1641"/>
        <v>Johnson &amp; Johnson</v>
      </c>
      <c r="AT1864" s="10"/>
      <c r="AU1864" s="10"/>
      <c r="AV1864" s="10"/>
      <c r="AW1864" s="10"/>
      <c r="AX1864" s="10"/>
      <c r="AY1864" s="10"/>
      <c r="AZ1864" s="10"/>
      <c r="BA1864" s="10"/>
      <c r="BB1864" s="10"/>
      <c r="BC1864" s="10"/>
      <c r="BD1864" s="10"/>
      <c r="BE1864" s="10"/>
      <c r="BF1864" s="10"/>
      <c r="BG1864" s="10"/>
      <c r="BH1864" s="10"/>
      <c r="BI1864" s="10"/>
      <c r="BJ1864" s="10"/>
      <c r="BK1864" s="10"/>
      <c r="BM1864" s="10"/>
    </row>
    <row r="1865" spans="1:65" ht="12.75">
      <c r="A1865" s="9"/>
      <c r="B1865" s="10"/>
      <c r="C1865" s="11"/>
      <c r="D1865" s="12"/>
      <c r="E1865" s="10"/>
      <c r="F1865" s="10"/>
      <c r="G1865" s="10"/>
      <c r="H1865" s="14"/>
      <c r="I1865" s="14"/>
      <c r="J1865" s="14"/>
      <c r="K1865" s="14"/>
      <c r="L1865" s="14"/>
      <c r="M1865" s="15"/>
      <c r="N1865" s="10"/>
      <c r="O1865" s="14"/>
      <c r="P1865" s="14"/>
      <c r="Q1865" s="14"/>
      <c r="R1865" s="14"/>
      <c r="S1865" s="14"/>
      <c r="T1865" s="14"/>
      <c r="U1865" s="14"/>
      <c r="V1865" s="14"/>
      <c r="W1865" s="14"/>
      <c r="X1865" s="14"/>
      <c r="Y1865" s="14"/>
      <c r="Z1865" s="14"/>
      <c r="AA1865" s="16" t="str">
        <f t="shared" ref="AA1865:AO1880" ca="1" si="1648">AS1865</f>
        <v>Johnson &amp; Johnson</v>
      </c>
      <c r="AB1865" s="16">
        <f t="shared" si="1648"/>
        <v>0</v>
      </c>
      <c r="AC1865" s="16">
        <f t="shared" si="1648"/>
        <v>0</v>
      </c>
      <c r="AD1865" s="16">
        <f t="shared" si="1648"/>
        <v>0</v>
      </c>
      <c r="AE1865" s="16">
        <f t="shared" si="1648"/>
        <v>0</v>
      </c>
      <c r="AF1865" s="16">
        <f t="shared" si="1648"/>
        <v>0</v>
      </c>
      <c r="AG1865" s="16">
        <f t="shared" si="1648"/>
        <v>0</v>
      </c>
      <c r="AH1865" s="16">
        <f t="shared" si="1648"/>
        <v>0</v>
      </c>
      <c r="AI1865" s="16">
        <f t="shared" si="1648"/>
        <v>0</v>
      </c>
      <c r="AJ1865" s="16">
        <f t="shared" si="1648"/>
        <v>0</v>
      </c>
      <c r="AK1865" s="16">
        <f t="shared" si="1648"/>
        <v>0</v>
      </c>
      <c r="AL1865" s="16">
        <f t="shared" si="1648"/>
        <v>0</v>
      </c>
      <c r="AM1865" s="16">
        <f t="shared" si="1648"/>
        <v>0</v>
      </c>
      <c r="AN1865" s="16">
        <f t="shared" si="1648"/>
        <v>0</v>
      </c>
      <c r="AO1865" s="16">
        <f t="shared" si="1648"/>
        <v>0</v>
      </c>
      <c r="AP1865" s="10"/>
      <c r="AQ1865" s="10"/>
      <c r="AR1865" s="10"/>
      <c r="AS1865" s="10" t="str">
        <f t="shared" ca="1" si="1641"/>
        <v>Johnson &amp; Johnson</v>
      </c>
      <c r="AT1865" s="10"/>
      <c r="AU1865" s="10"/>
      <c r="AV1865" s="10"/>
      <c r="AW1865" s="10"/>
      <c r="AX1865" s="10"/>
      <c r="AY1865" s="10"/>
      <c r="AZ1865" s="10"/>
      <c r="BA1865" s="10"/>
      <c r="BB1865" s="10"/>
      <c r="BC1865" s="10"/>
      <c r="BD1865" s="10"/>
      <c r="BE1865" s="10"/>
      <c r="BF1865" s="10"/>
      <c r="BG1865" s="10"/>
      <c r="BH1865" s="10"/>
      <c r="BI1865" s="10"/>
      <c r="BJ1865" s="10"/>
      <c r="BK1865" s="10"/>
      <c r="BM1865" s="10"/>
    </row>
    <row r="1866" spans="1:65" ht="12.75">
      <c r="A1866" s="9"/>
      <c r="B1866" s="10"/>
      <c r="C1866" s="11"/>
      <c r="D1866" s="12"/>
      <c r="E1866" s="10"/>
      <c r="F1866" s="10"/>
      <c r="G1866" s="10"/>
      <c r="H1866" s="14"/>
      <c r="I1866" s="14"/>
      <c r="J1866" s="14"/>
      <c r="K1866" s="14"/>
      <c r="L1866" s="14"/>
      <c r="M1866" s="15"/>
      <c r="N1866" s="10"/>
      <c r="O1866" s="14"/>
      <c r="P1866" s="14"/>
      <c r="Q1866" s="14"/>
      <c r="R1866" s="14"/>
      <c r="S1866" s="14"/>
      <c r="T1866" s="14"/>
      <c r="U1866" s="14"/>
      <c r="V1866" s="14"/>
      <c r="W1866" s="14"/>
      <c r="X1866" s="14"/>
      <c r="Y1866" s="14"/>
      <c r="Z1866" s="14"/>
      <c r="AA1866" s="16" t="str">
        <f t="shared" ca="1" si="1648"/>
        <v>Johnson &amp; Johnson</v>
      </c>
      <c r="AB1866" s="16">
        <f t="shared" si="1648"/>
        <v>0</v>
      </c>
      <c r="AC1866" s="16">
        <f t="shared" si="1648"/>
        <v>0</v>
      </c>
      <c r="AD1866" s="16">
        <f t="shared" si="1648"/>
        <v>0</v>
      </c>
      <c r="AE1866" s="16">
        <f t="shared" si="1648"/>
        <v>0</v>
      </c>
      <c r="AF1866" s="16">
        <f t="shared" si="1648"/>
        <v>0</v>
      </c>
      <c r="AG1866" s="16">
        <f t="shared" si="1648"/>
        <v>0</v>
      </c>
      <c r="AH1866" s="16">
        <f t="shared" si="1648"/>
        <v>0</v>
      </c>
      <c r="AI1866" s="16">
        <f t="shared" si="1648"/>
        <v>0</v>
      </c>
      <c r="AJ1866" s="16">
        <f t="shared" si="1648"/>
        <v>0</v>
      </c>
      <c r="AK1866" s="16">
        <f t="shared" si="1648"/>
        <v>0</v>
      </c>
      <c r="AL1866" s="16">
        <f t="shared" si="1648"/>
        <v>0</v>
      </c>
      <c r="AM1866" s="16">
        <f t="shared" si="1648"/>
        <v>0</v>
      </c>
      <c r="AN1866" s="16">
        <f t="shared" si="1648"/>
        <v>0</v>
      </c>
      <c r="AO1866" s="16">
        <f t="shared" si="1648"/>
        <v>0</v>
      </c>
      <c r="AP1866" s="10"/>
      <c r="AQ1866" s="10"/>
      <c r="AR1866" s="10"/>
      <c r="AS1866" s="10" t="str">
        <f t="shared" ca="1" si="1641"/>
        <v>Johnson &amp; Johnson</v>
      </c>
      <c r="AT1866" s="10"/>
      <c r="AU1866" s="10"/>
      <c r="AV1866" s="10"/>
      <c r="AW1866" s="10"/>
      <c r="AX1866" s="10"/>
      <c r="AY1866" s="10"/>
      <c r="AZ1866" s="10"/>
      <c r="BA1866" s="10"/>
      <c r="BB1866" s="10"/>
      <c r="BC1866" s="10"/>
      <c r="BD1866" s="10"/>
      <c r="BE1866" s="10"/>
      <c r="BF1866" s="10"/>
      <c r="BG1866" s="10"/>
      <c r="BH1866" s="10"/>
      <c r="BI1866" s="10"/>
      <c r="BJ1866" s="10"/>
      <c r="BK1866" s="10"/>
      <c r="BM1866" s="10"/>
    </row>
    <row r="1867" spans="1:65" ht="12.75">
      <c r="A1867" s="9"/>
      <c r="B1867" s="10"/>
      <c r="C1867" s="11"/>
      <c r="D1867" s="12"/>
      <c r="E1867" s="10"/>
      <c r="F1867" s="10"/>
      <c r="G1867" s="10"/>
      <c r="H1867" s="14"/>
      <c r="I1867" s="14"/>
      <c r="J1867" s="14"/>
      <c r="K1867" s="14"/>
      <c r="L1867" s="14"/>
      <c r="M1867" s="15"/>
      <c r="N1867" s="10"/>
      <c r="O1867" s="14"/>
      <c r="P1867" s="14"/>
      <c r="Q1867" s="14"/>
      <c r="R1867" s="14"/>
      <c r="S1867" s="14"/>
      <c r="T1867" s="14"/>
      <c r="U1867" s="14"/>
      <c r="V1867" s="14"/>
      <c r="W1867" s="14"/>
      <c r="X1867" s="14"/>
      <c r="Y1867" s="14"/>
      <c r="Z1867" s="14"/>
      <c r="AA1867" s="16" t="str">
        <f t="shared" ca="1" si="1648"/>
        <v>Johnson &amp; Johnson</v>
      </c>
      <c r="AB1867" s="16">
        <f t="shared" si="1648"/>
        <v>0</v>
      </c>
      <c r="AC1867" s="16">
        <f t="shared" si="1648"/>
        <v>0</v>
      </c>
      <c r="AD1867" s="16">
        <f t="shared" si="1648"/>
        <v>0</v>
      </c>
      <c r="AE1867" s="16">
        <f t="shared" si="1648"/>
        <v>0</v>
      </c>
      <c r="AF1867" s="16">
        <f t="shared" si="1648"/>
        <v>0</v>
      </c>
      <c r="AG1867" s="16">
        <f t="shared" si="1648"/>
        <v>0</v>
      </c>
      <c r="AH1867" s="16">
        <f t="shared" si="1648"/>
        <v>0</v>
      </c>
      <c r="AI1867" s="16">
        <f t="shared" si="1648"/>
        <v>0</v>
      </c>
      <c r="AJ1867" s="16">
        <f t="shared" si="1648"/>
        <v>0</v>
      </c>
      <c r="AK1867" s="16">
        <f t="shared" si="1648"/>
        <v>0</v>
      </c>
      <c r="AL1867" s="16">
        <f t="shared" si="1648"/>
        <v>0</v>
      </c>
      <c r="AM1867" s="16">
        <f t="shared" si="1648"/>
        <v>0</v>
      </c>
      <c r="AN1867" s="16">
        <f t="shared" si="1648"/>
        <v>0</v>
      </c>
      <c r="AO1867" s="16">
        <f t="shared" si="1648"/>
        <v>0</v>
      </c>
      <c r="AP1867" s="10"/>
      <c r="AQ1867" s="10"/>
      <c r="AR1867" s="10"/>
      <c r="AS1867" s="10" t="str">
        <f t="shared" ca="1" si="1641"/>
        <v>Johnson &amp; Johnson</v>
      </c>
      <c r="AT1867" s="10"/>
      <c r="AU1867" s="10"/>
      <c r="AV1867" s="10"/>
      <c r="AW1867" s="10"/>
      <c r="AX1867" s="10"/>
      <c r="AY1867" s="10"/>
      <c r="AZ1867" s="10"/>
      <c r="BA1867" s="10"/>
      <c r="BB1867" s="10"/>
      <c r="BC1867" s="10"/>
      <c r="BD1867" s="10"/>
      <c r="BE1867" s="10"/>
      <c r="BF1867" s="10"/>
      <c r="BG1867" s="10"/>
      <c r="BH1867" s="10"/>
      <c r="BI1867" s="10"/>
      <c r="BJ1867" s="10"/>
      <c r="BK1867" s="10"/>
      <c r="BM1867" s="10"/>
    </row>
    <row r="1868" spans="1:65" ht="12.75">
      <c r="A1868" s="9"/>
      <c r="B1868" s="10"/>
      <c r="C1868" s="11"/>
      <c r="D1868" s="12"/>
      <c r="E1868" s="10"/>
      <c r="F1868" s="10"/>
      <c r="G1868" s="10"/>
      <c r="H1868" s="14"/>
      <c r="I1868" s="14"/>
      <c r="J1868" s="14"/>
      <c r="K1868" s="14"/>
      <c r="L1868" s="14"/>
      <c r="M1868" s="15"/>
      <c r="N1868" s="10"/>
      <c r="O1868" s="14"/>
      <c r="P1868" s="14"/>
      <c r="Q1868" s="14"/>
      <c r="R1868" s="14"/>
      <c r="S1868" s="14"/>
      <c r="T1868" s="14"/>
      <c r="U1868" s="14"/>
      <c r="V1868" s="14"/>
      <c r="W1868" s="14"/>
      <c r="X1868" s="14"/>
      <c r="Y1868" s="14"/>
      <c r="Z1868" s="14"/>
      <c r="AA1868" s="16" t="str">
        <f t="shared" ca="1" si="1648"/>
        <v>Johnson &amp; Johnson</v>
      </c>
      <c r="AB1868" s="16">
        <f t="shared" si="1648"/>
        <v>0</v>
      </c>
      <c r="AC1868" s="16">
        <f t="shared" si="1648"/>
        <v>0</v>
      </c>
      <c r="AD1868" s="16">
        <f t="shared" si="1648"/>
        <v>0</v>
      </c>
      <c r="AE1868" s="16">
        <f t="shared" si="1648"/>
        <v>0</v>
      </c>
      <c r="AF1868" s="16">
        <f t="shared" si="1648"/>
        <v>0</v>
      </c>
      <c r="AG1868" s="16">
        <f t="shared" si="1648"/>
        <v>0</v>
      </c>
      <c r="AH1868" s="16">
        <f t="shared" si="1648"/>
        <v>0</v>
      </c>
      <c r="AI1868" s="16">
        <f t="shared" si="1648"/>
        <v>0</v>
      </c>
      <c r="AJ1868" s="16">
        <f t="shared" si="1648"/>
        <v>0</v>
      </c>
      <c r="AK1868" s="16">
        <f t="shared" si="1648"/>
        <v>0</v>
      </c>
      <c r="AL1868" s="16">
        <f t="shared" si="1648"/>
        <v>0</v>
      </c>
      <c r="AM1868" s="16">
        <f t="shared" si="1648"/>
        <v>0</v>
      </c>
      <c r="AN1868" s="16">
        <f t="shared" si="1648"/>
        <v>0</v>
      </c>
      <c r="AO1868" s="16">
        <f t="shared" si="1648"/>
        <v>0</v>
      </c>
      <c r="AP1868" s="10"/>
      <c r="AQ1868" s="10"/>
      <c r="AR1868" s="10"/>
      <c r="AS1868" s="10" t="str">
        <f t="shared" ca="1" si="1641"/>
        <v>Johnson &amp; Johnson</v>
      </c>
      <c r="AT1868" s="10"/>
      <c r="AU1868" s="10"/>
      <c r="AV1868" s="10"/>
      <c r="AW1868" s="10"/>
      <c r="AX1868" s="10"/>
      <c r="AY1868" s="10"/>
      <c r="AZ1868" s="10"/>
      <c r="BA1868" s="10"/>
      <c r="BB1868" s="10"/>
      <c r="BC1868" s="10"/>
      <c r="BD1868" s="10"/>
      <c r="BE1868" s="10"/>
      <c r="BF1868" s="10"/>
      <c r="BG1868" s="10"/>
      <c r="BH1868" s="10"/>
      <c r="BI1868" s="10"/>
      <c r="BJ1868" s="10"/>
      <c r="BK1868" s="10"/>
      <c r="BM1868" s="10"/>
    </row>
    <row r="1869" spans="1:65" ht="12.75">
      <c r="A1869" s="9"/>
      <c r="B1869" s="10"/>
      <c r="C1869" s="11"/>
      <c r="D1869" s="12"/>
      <c r="E1869" s="10"/>
      <c r="F1869" s="10"/>
      <c r="G1869" s="10"/>
      <c r="H1869" s="14"/>
      <c r="I1869" s="14"/>
      <c r="J1869" s="14"/>
      <c r="K1869" s="14"/>
      <c r="L1869" s="14"/>
      <c r="M1869" s="15"/>
      <c r="N1869" s="10"/>
      <c r="O1869" s="14"/>
      <c r="P1869" s="14"/>
      <c r="Q1869" s="14"/>
      <c r="R1869" s="14"/>
      <c r="S1869" s="14"/>
      <c r="T1869" s="14"/>
      <c r="U1869" s="14"/>
      <c r="V1869" s="14"/>
      <c r="W1869" s="14"/>
      <c r="X1869" s="14"/>
      <c r="Y1869" s="14"/>
      <c r="Z1869" s="14"/>
      <c r="AA1869" s="16" t="str">
        <f t="shared" ca="1" si="1648"/>
        <v>Johnson &amp; Johnson</v>
      </c>
      <c r="AB1869" s="16">
        <f t="shared" si="1648"/>
        <v>0</v>
      </c>
      <c r="AC1869" s="16">
        <f t="shared" si="1648"/>
        <v>0</v>
      </c>
      <c r="AD1869" s="16">
        <f t="shared" si="1648"/>
        <v>0</v>
      </c>
      <c r="AE1869" s="16">
        <f t="shared" si="1648"/>
        <v>0</v>
      </c>
      <c r="AF1869" s="16">
        <f t="shared" si="1648"/>
        <v>0</v>
      </c>
      <c r="AG1869" s="16">
        <f t="shared" si="1648"/>
        <v>0</v>
      </c>
      <c r="AH1869" s="16">
        <f t="shared" si="1648"/>
        <v>0</v>
      </c>
      <c r="AI1869" s="16">
        <f t="shared" si="1648"/>
        <v>0</v>
      </c>
      <c r="AJ1869" s="16">
        <f t="shared" si="1648"/>
        <v>0</v>
      </c>
      <c r="AK1869" s="16">
        <f t="shared" si="1648"/>
        <v>0</v>
      </c>
      <c r="AL1869" s="16">
        <f t="shared" si="1648"/>
        <v>0</v>
      </c>
      <c r="AM1869" s="16">
        <f t="shared" si="1648"/>
        <v>0</v>
      </c>
      <c r="AN1869" s="16">
        <f t="shared" si="1648"/>
        <v>0</v>
      </c>
      <c r="AO1869" s="16">
        <f t="shared" si="1648"/>
        <v>0</v>
      </c>
      <c r="AP1869" s="10"/>
      <c r="AQ1869" s="10"/>
      <c r="AR1869" s="10"/>
      <c r="AS1869" s="10" t="str">
        <f t="shared" ca="1" si="1641"/>
        <v>Johnson &amp; Johnson</v>
      </c>
      <c r="AT1869" s="10"/>
      <c r="AU1869" s="10"/>
      <c r="AV1869" s="10"/>
      <c r="AW1869" s="10"/>
      <c r="AX1869" s="10"/>
      <c r="AY1869" s="10"/>
      <c r="AZ1869" s="10"/>
      <c r="BA1869" s="10"/>
      <c r="BB1869" s="10"/>
      <c r="BC1869" s="10"/>
      <c r="BD1869" s="10"/>
      <c r="BE1869" s="10"/>
      <c r="BF1869" s="10"/>
      <c r="BG1869" s="10"/>
      <c r="BH1869" s="10"/>
      <c r="BI1869" s="10"/>
      <c r="BJ1869" s="10"/>
      <c r="BK1869" s="10"/>
      <c r="BM1869" s="10"/>
    </row>
    <row r="1870" spans="1:65" ht="12.75">
      <c r="A1870" s="9"/>
      <c r="B1870" s="10"/>
      <c r="C1870" s="11"/>
      <c r="D1870" s="12"/>
      <c r="E1870" s="10"/>
      <c r="F1870" s="10"/>
      <c r="G1870" s="10"/>
      <c r="H1870" s="14"/>
      <c r="I1870" s="14"/>
      <c r="J1870" s="14"/>
      <c r="K1870" s="14"/>
      <c r="L1870" s="14"/>
      <c r="M1870" s="15"/>
      <c r="N1870" s="10"/>
      <c r="O1870" s="14"/>
      <c r="P1870" s="14"/>
      <c r="Q1870" s="14"/>
      <c r="R1870" s="14"/>
      <c r="S1870" s="14"/>
      <c r="T1870" s="14"/>
      <c r="U1870" s="14"/>
      <c r="V1870" s="14"/>
      <c r="W1870" s="14"/>
      <c r="X1870" s="14"/>
      <c r="Y1870" s="14"/>
      <c r="Z1870" s="14"/>
      <c r="AA1870" s="16" t="str">
        <f t="shared" ca="1" si="1648"/>
        <v>Johnson &amp; Johnson</v>
      </c>
      <c r="AB1870" s="16">
        <f t="shared" si="1648"/>
        <v>0</v>
      </c>
      <c r="AC1870" s="16">
        <f t="shared" si="1648"/>
        <v>0</v>
      </c>
      <c r="AD1870" s="16">
        <f t="shared" si="1648"/>
        <v>0</v>
      </c>
      <c r="AE1870" s="16">
        <f t="shared" si="1648"/>
        <v>0</v>
      </c>
      <c r="AF1870" s="16">
        <f t="shared" si="1648"/>
        <v>0</v>
      </c>
      <c r="AG1870" s="16">
        <f t="shared" si="1648"/>
        <v>0</v>
      </c>
      <c r="AH1870" s="16">
        <f t="shared" si="1648"/>
        <v>0</v>
      </c>
      <c r="AI1870" s="16">
        <f t="shared" si="1648"/>
        <v>0</v>
      </c>
      <c r="AJ1870" s="16">
        <f t="shared" si="1648"/>
        <v>0</v>
      </c>
      <c r="AK1870" s="16">
        <f t="shared" si="1648"/>
        <v>0</v>
      </c>
      <c r="AL1870" s="16">
        <f t="shared" si="1648"/>
        <v>0</v>
      </c>
      <c r="AM1870" s="16">
        <f t="shared" si="1648"/>
        <v>0</v>
      </c>
      <c r="AN1870" s="16">
        <f t="shared" si="1648"/>
        <v>0</v>
      </c>
      <c r="AO1870" s="16">
        <f t="shared" si="1648"/>
        <v>0</v>
      </c>
      <c r="AP1870" s="10"/>
      <c r="AQ1870" s="10"/>
      <c r="AR1870" s="10"/>
      <c r="AS1870" s="10" t="str">
        <f t="shared" ca="1" si="1641"/>
        <v>Johnson &amp; Johnson</v>
      </c>
      <c r="AT1870" s="10"/>
      <c r="AU1870" s="10"/>
      <c r="AV1870" s="10"/>
      <c r="AW1870" s="10"/>
      <c r="AX1870" s="10"/>
      <c r="AY1870" s="10"/>
      <c r="AZ1870" s="10"/>
      <c r="BA1870" s="10"/>
      <c r="BB1870" s="10"/>
      <c r="BC1870" s="10"/>
      <c r="BD1870" s="10"/>
      <c r="BE1870" s="10"/>
      <c r="BF1870" s="10"/>
      <c r="BG1870" s="10"/>
      <c r="BH1870" s="10"/>
      <c r="BI1870" s="10"/>
      <c r="BJ1870" s="10"/>
      <c r="BK1870" s="10"/>
      <c r="BM1870" s="10"/>
    </row>
    <row r="1871" spans="1:65" ht="12.75">
      <c r="A1871" s="9"/>
      <c r="B1871" s="10"/>
      <c r="C1871" s="11"/>
      <c r="D1871" s="12"/>
      <c r="E1871" s="10"/>
      <c r="F1871" s="10"/>
      <c r="G1871" s="10"/>
      <c r="H1871" s="14"/>
      <c r="I1871" s="14"/>
      <c r="J1871" s="14"/>
      <c r="K1871" s="14"/>
      <c r="L1871" s="14"/>
      <c r="M1871" s="15"/>
      <c r="N1871" s="10"/>
      <c r="O1871" s="14"/>
      <c r="P1871" s="14"/>
      <c r="Q1871" s="14"/>
      <c r="R1871" s="14"/>
      <c r="S1871" s="14"/>
      <c r="T1871" s="14"/>
      <c r="U1871" s="14"/>
      <c r="V1871" s="14"/>
      <c r="W1871" s="14"/>
      <c r="X1871" s="14"/>
      <c r="Y1871" s="14"/>
      <c r="Z1871" s="14"/>
      <c r="AA1871" s="16" t="str">
        <f t="shared" ca="1" si="1648"/>
        <v>Johnson &amp; Johnson</v>
      </c>
      <c r="AB1871" s="16">
        <f t="shared" si="1648"/>
        <v>0</v>
      </c>
      <c r="AC1871" s="16">
        <f t="shared" si="1648"/>
        <v>0</v>
      </c>
      <c r="AD1871" s="16">
        <f t="shared" si="1648"/>
        <v>0</v>
      </c>
      <c r="AE1871" s="16">
        <f t="shared" si="1648"/>
        <v>0</v>
      </c>
      <c r="AF1871" s="16">
        <f t="shared" si="1648"/>
        <v>0</v>
      </c>
      <c r="AG1871" s="16">
        <f t="shared" si="1648"/>
        <v>0</v>
      </c>
      <c r="AH1871" s="16">
        <f t="shared" si="1648"/>
        <v>0</v>
      </c>
      <c r="AI1871" s="16">
        <f t="shared" si="1648"/>
        <v>0</v>
      </c>
      <c r="AJ1871" s="16">
        <f t="shared" si="1648"/>
        <v>0</v>
      </c>
      <c r="AK1871" s="16">
        <f t="shared" si="1648"/>
        <v>0</v>
      </c>
      <c r="AL1871" s="16">
        <f t="shared" si="1648"/>
        <v>0</v>
      </c>
      <c r="AM1871" s="16">
        <f t="shared" si="1648"/>
        <v>0</v>
      </c>
      <c r="AN1871" s="16">
        <f t="shared" si="1648"/>
        <v>0</v>
      </c>
      <c r="AO1871" s="16">
        <f t="shared" si="1648"/>
        <v>0</v>
      </c>
      <c r="AP1871" s="10"/>
      <c r="AQ1871" s="10"/>
      <c r="AR1871" s="10"/>
      <c r="AS1871" s="10" t="str">
        <f t="shared" ca="1" si="1641"/>
        <v>Johnson &amp; Johnson</v>
      </c>
      <c r="AT1871" s="10"/>
      <c r="AU1871" s="10"/>
      <c r="AV1871" s="10"/>
      <c r="AW1871" s="10"/>
      <c r="AX1871" s="10"/>
      <c r="AY1871" s="10"/>
      <c r="AZ1871" s="10"/>
      <c r="BA1871" s="10"/>
      <c r="BB1871" s="10"/>
      <c r="BC1871" s="10"/>
      <c r="BD1871" s="10"/>
      <c r="BE1871" s="10"/>
      <c r="BF1871" s="10"/>
      <c r="BG1871" s="10"/>
      <c r="BH1871" s="10"/>
      <c r="BI1871" s="10"/>
      <c r="BJ1871" s="10"/>
      <c r="BK1871" s="10"/>
      <c r="BM1871" s="10"/>
    </row>
    <row r="1872" spans="1:65" ht="12.75">
      <c r="A1872" s="9"/>
      <c r="B1872" s="10"/>
      <c r="C1872" s="11"/>
      <c r="D1872" s="12"/>
      <c r="E1872" s="10"/>
      <c r="F1872" s="10"/>
      <c r="G1872" s="10"/>
      <c r="H1872" s="14"/>
      <c r="I1872" s="14"/>
      <c r="J1872" s="14"/>
      <c r="K1872" s="14"/>
      <c r="L1872" s="14"/>
      <c r="M1872" s="15"/>
      <c r="N1872" s="10"/>
      <c r="O1872" s="14"/>
      <c r="P1872" s="14"/>
      <c r="Q1872" s="14"/>
      <c r="R1872" s="14"/>
      <c r="S1872" s="14"/>
      <c r="T1872" s="14"/>
      <c r="U1872" s="14"/>
      <c r="V1872" s="14"/>
      <c r="W1872" s="14"/>
      <c r="X1872" s="14"/>
      <c r="Y1872" s="14"/>
      <c r="Z1872" s="14"/>
      <c r="AA1872" s="16" t="str">
        <f t="shared" ca="1" si="1648"/>
        <v>Johnson &amp; Johnson</v>
      </c>
      <c r="AB1872" s="16">
        <f t="shared" si="1648"/>
        <v>0</v>
      </c>
      <c r="AC1872" s="16">
        <f t="shared" si="1648"/>
        <v>0</v>
      </c>
      <c r="AD1872" s="16">
        <f t="shared" si="1648"/>
        <v>0</v>
      </c>
      <c r="AE1872" s="16">
        <f t="shared" si="1648"/>
        <v>0</v>
      </c>
      <c r="AF1872" s="16">
        <f t="shared" si="1648"/>
        <v>0</v>
      </c>
      <c r="AG1872" s="16">
        <f t="shared" si="1648"/>
        <v>0</v>
      </c>
      <c r="AH1872" s="16">
        <f t="shared" si="1648"/>
        <v>0</v>
      </c>
      <c r="AI1872" s="16">
        <f t="shared" si="1648"/>
        <v>0</v>
      </c>
      <c r="AJ1872" s="16">
        <f t="shared" si="1648"/>
        <v>0</v>
      </c>
      <c r="AK1872" s="16">
        <f t="shared" si="1648"/>
        <v>0</v>
      </c>
      <c r="AL1872" s="16">
        <f t="shared" si="1648"/>
        <v>0</v>
      </c>
      <c r="AM1872" s="16">
        <f t="shared" si="1648"/>
        <v>0</v>
      </c>
      <c r="AN1872" s="16">
        <f t="shared" si="1648"/>
        <v>0</v>
      </c>
      <c r="AO1872" s="16">
        <f t="shared" si="1648"/>
        <v>0</v>
      </c>
      <c r="AP1872" s="10"/>
      <c r="AQ1872" s="10"/>
      <c r="AR1872" s="10"/>
      <c r="AS1872" s="10" t="str">
        <f t="shared" ca="1" si="1641"/>
        <v>Johnson &amp; Johnson</v>
      </c>
      <c r="AT1872" s="10"/>
      <c r="AU1872" s="10"/>
      <c r="AV1872" s="10"/>
      <c r="AW1872" s="10"/>
      <c r="AX1872" s="10"/>
      <c r="AY1872" s="10"/>
      <c r="AZ1872" s="10"/>
      <c r="BA1872" s="10"/>
      <c r="BB1872" s="10"/>
      <c r="BC1872" s="10"/>
      <c r="BD1872" s="10"/>
      <c r="BE1872" s="10"/>
      <c r="BF1872" s="10"/>
      <c r="BG1872" s="10"/>
      <c r="BH1872" s="10"/>
      <c r="BI1872" s="10"/>
      <c r="BJ1872" s="10"/>
      <c r="BK1872" s="10"/>
      <c r="BM1872" s="10"/>
    </row>
    <row r="1873" spans="1:65" ht="12.75">
      <c r="A1873" s="9"/>
      <c r="B1873" s="10"/>
      <c r="C1873" s="11"/>
      <c r="D1873" s="12"/>
      <c r="E1873" s="10"/>
      <c r="F1873" s="10"/>
      <c r="G1873" s="10"/>
      <c r="H1873" s="14"/>
      <c r="I1873" s="14"/>
      <c r="J1873" s="14"/>
      <c r="K1873" s="14"/>
      <c r="L1873" s="14"/>
      <c r="M1873" s="15"/>
      <c r="N1873" s="10"/>
      <c r="O1873" s="14"/>
      <c r="P1873" s="14"/>
      <c r="Q1873" s="14"/>
      <c r="R1873" s="14"/>
      <c r="S1873" s="14"/>
      <c r="T1873" s="14"/>
      <c r="U1873" s="14"/>
      <c r="V1873" s="14"/>
      <c r="W1873" s="14"/>
      <c r="X1873" s="14"/>
      <c r="Y1873" s="14"/>
      <c r="Z1873" s="14"/>
      <c r="AA1873" s="16" t="str">
        <f t="shared" ca="1" si="1648"/>
        <v>Johnson &amp; Johnson</v>
      </c>
      <c r="AB1873" s="16">
        <f t="shared" si="1648"/>
        <v>0</v>
      </c>
      <c r="AC1873" s="16">
        <f t="shared" si="1648"/>
        <v>0</v>
      </c>
      <c r="AD1873" s="16">
        <f t="shared" si="1648"/>
        <v>0</v>
      </c>
      <c r="AE1873" s="16">
        <f t="shared" si="1648"/>
        <v>0</v>
      </c>
      <c r="AF1873" s="16">
        <f t="shared" si="1648"/>
        <v>0</v>
      </c>
      <c r="AG1873" s="16">
        <f t="shared" si="1648"/>
        <v>0</v>
      </c>
      <c r="AH1873" s="16">
        <f t="shared" si="1648"/>
        <v>0</v>
      </c>
      <c r="AI1873" s="16">
        <f t="shared" si="1648"/>
        <v>0</v>
      </c>
      <c r="AJ1873" s="16">
        <f t="shared" si="1648"/>
        <v>0</v>
      </c>
      <c r="AK1873" s="16">
        <f t="shared" si="1648"/>
        <v>0</v>
      </c>
      <c r="AL1873" s="16">
        <f t="shared" si="1648"/>
        <v>0</v>
      </c>
      <c r="AM1873" s="16">
        <f t="shared" si="1648"/>
        <v>0</v>
      </c>
      <c r="AN1873" s="16">
        <f t="shared" si="1648"/>
        <v>0</v>
      </c>
      <c r="AO1873" s="16">
        <f t="shared" si="1648"/>
        <v>0</v>
      </c>
      <c r="AP1873" s="10"/>
      <c r="AQ1873" s="10"/>
      <c r="AR1873" s="10"/>
      <c r="AS1873" s="10" t="str">
        <f t="shared" ca="1" si="1641"/>
        <v>Johnson &amp; Johnson</v>
      </c>
      <c r="AT1873" s="10"/>
      <c r="AU1873" s="10"/>
      <c r="AV1873" s="10"/>
      <c r="AW1873" s="10"/>
      <c r="AX1873" s="10"/>
      <c r="AY1873" s="10"/>
      <c r="AZ1873" s="10"/>
      <c r="BA1873" s="10"/>
      <c r="BB1873" s="10"/>
      <c r="BC1873" s="10"/>
      <c r="BD1873" s="10"/>
      <c r="BE1873" s="10"/>
      <c r="BF1873" s="10"/>
      <c r="BG1873" s="10"/>
      <c r="BH1873" s="10"/>
      <c r="BI1873" s="10"/>
      <c r="BJ1873" s="10"/>
      <c r="BK1873" s="10"/>
      <c r="BM1873" s="10"/>
    </row>
    <row r="1874" spans="1:65" ht="12.75">
      <c r="A1874" s="9"/>
      <c r="B1874" s="10"/>
      <c r="C1874" s="11"/>
      <c r="D1874" s="12"/>
      <c r="E1874" s="10"/>
      <c r="F1874" s="10"/>
      <c r="G1874" s="10"/>
      <c r="H1874" s="14"/>
      <c r="I1874" s="14"/>
      <c r="J1874" s="14"/>
      <c r="K1874" s="14"/>
      <c r="L1874" s="14"/>
      <c r="M1874" s="15"/>
      <c r="N1874" s="10"/>
      <c r="O1874" s="14"/>
      <c r="P1874" s="14"/>
      <c r="Q1874" s="14"/>
      <c r="R1874" s="14"/>
      <c r="S1874" s="14"/>
      <c r="T1874" s="14"/>
      <c r="U1874" s="14"/>
      <c r="V1874" s="14"/>
      <c r="W1874" s="14"/>
      <c r="X1874" s="14"/>
      <c r="Y1874" s="14"/>
      <c r="Z1874" s="14"/>
      <c r="AA1874" s="16" t="str">
        <f t="shared" ca="1" si="1648"/>
        <v>Johnson &amp; Johnson</v>
      </c>
      <c r="AB1874" s="16">
        <f t="shared" si="1648"/>
        <v>0</v>
      </c>
      <c r="AC1874" s="16">
        <f t="shared" si="1648"/>
        <v>0</v>
      </c>
      <c r="AD1874" s="16">
        <f t="shared" si="1648"/>
        <v>0</v>
      </c>
      <c r="AE1874" s="16">
        <f t="shared" si="1648"/>
        <v>0</v>
      </c>
      <c r="AF1874" s="16">
        <f t="shared" si="1648"/>
        <v>0</v>
      </c>
      <c r="AG1874" s="16">
        <f t="shared" si="1648"/>
        <v>0</v>
      </c>
      <c r="AH1874" s="16">
        <f t="shared" si="1648"/>
        <v>0</v>
      </c>
      <c r="AI1874" s="16">
        <f t="shared" si="1648"/>
        <v>0</v>
      </c>
      <c r="AJ1874" s="16">
        <f t="shared" si="1648"/>
        <v>0</v>
      </c>
      <c r="AK1874" s="16">
        <f t="shared" si="1648"/>
        <v>0</v>
      </c>
      <c r="AL1874" s="16">
        <f t="shared" si="1648"/>
        <v>0</v>
      </c>
      <c r="AM1874" s="16">
        <f t="shared" si="1648"/>
        <v>0</v>
      </c>
      <c r="AN1874" s="16">
        <f t="shared" si="1648"/>
        <v>0</v>
      </c>
      <c r="AO1874" s="16">
        <f t="shared" si="1648"/>
        <v>0</v>
      </c>
      <c r="AP1874" s="10"/>
      <c r="AQ1874" s="10"/>
      <c r="AR1874" s="10"/>
      <c r="AS1874" s="10" t="str">
        <f t="shared" ca="1" si="1641"/>
        <v>Johnson &amp; Johnson</v>
      </c>
      <c r="AT1874" s="10"/>
      <c r="AU1874" s="10"/>
      <c r="AV1874" s="10"/>
      <c r="AW1874" s="10"/>
      <c r="AX1874" s="10"/>
      <c r="AY1874" s="10"/>
      <c r="AZ1874" s="10"/>
      <c r="BA1874" s="10"/>
      <c r="BB1874" s="10"/>
      <c r="BC1874" s="10"/>
      <c r="BD1874" s="10"/>
      <c r="BE1874" s="10"/>
      <c r="BF1874" s="10"/>
      <c r="BG1874" s="10"/>
      <c r="BH1874" s="10"/>
      <c r="BI1874" s="10"/>
      <c r="BJ1874" s="10"/>
      <c r="BK1874" s="10"/>
      <c r="BM1874" s="10"/>
    </row>
    <row r="1875" spans="1:65" ht="12.75">
      <c r="A1875" s="9"/>
      <c r="B1875" s="10"/>
      <c r="C1875" s="11"/>
      <c r="D1875" s="12"/>
      <c r="E1875" s="10"/>
      <c r="F1875" s="10"/>
      <c r="G1875" s="10"/>
      <c r="H1875" s="14"/>
      <c r="I1875" s="14"/>
      <c r="J1875" s="14"/>
      <c r="K1875" s="14"/>
      <c r="L1875" s="14"/>
      <c r="M1875" s="15"/>
      <c r="N1875" s="10"/>
      <c r="O1875" s="14"/>
      <c r="P1875" s="14"/>
      <c r="Q1875" s="14"/>
      <c r="R1875" s="14"/>
      <c r="S1875" s="14"/>
      <c r="T1875" s="14"/>
      <c r="U1875" s="14"/>
      <c r="V1875" s="14"/>
      <c r="W1875" s="14"/>
      <c r="X1875" s="14"/>
      <c r="Y1875" s="14"/>
      <c r="Z1875" s="14"/>
      <c r="AA1875" s="16" t="str">
        <f t="shared" ca="1" si="1648"/>
        <v>Johnson &amp; Johnson</v>
      </c>
      <c r="AB1875" s="16">
        <f t="shared" si="1648"/>
        <v>0</v>
      </c>
      <c r="AC1875" s="16">
        <f t="shared" si="1648"/>
        <v>0</v>
      </c>
      <c r="AD1875" s="16">
        <f t="shared" si="1648"/>
        <v>0</v>
      </c>
      <c r="AE1875" s="16">
        <f t="shared" si="1648"/>
        <v>0</v>
      </c>
      <c r="AF1875" s="16">
        <f t="shared" si="1648"/>
        <v>0</v>
      </c>
      <c r="AG1875" s="16">
        <f t="shared" si="1648"/>
        <v>0</v>
      </c>
      <c r="AH1875" s="16">
        <f t="shared" si="1648"/>
        <v>0</v>
      </c>
      <c r="AI1875" s="16">
        <f t="shared" si="1648"/>
        <v>0</v>
      </c>
      <c r="AJ1875" s="16">
        <f t="shared" si="1648"/>
        <v>0</v>
      </c>
      <c r="AK1875" s="16">
        <f t="shared" si="1648"/>
        <v>0</v>
      </c>
      <c r="AL1875" s="16">
        <f t="shared" si="1648"/>
        <v>0</v>
      </c>
      <c r="AM1875" s="16">
        <f t="shared" si="1648"/>
        <v>0</v>
      </c>
      <c r="AN1875" s="16">
        <f t="shared" si="1648"/>
        <v>0</v>
      </c>
      <c r="AO1875" s="16">
        <f t="shared" si="1648"/>
        <v>0</v>
      </c>
      <c r="AP1875" s="10"/>
      <c r="AQ1875" s="10"/>
      <c r="AR1875" s="10"/>
      <c r="AS1875" s="10" t="str">
        <f t="shared" ca="1" si="1641"/>
        <v>Johnson &amp; Johnson</v>
      </c>
      <c r="AT1875" s="10"/>
      <c r="AU1875" s="10"/>
      <c r="AV1875" s="10"/>
      <c r="AW1875" s="10"/>
      <c r="AX1875" s="10"/>
      <c r="AY1875" s="10"/>
      <c r="AZ1875" s="10"/>
      <c r="BA1875" s="10"/>
      <c r="BB1875" s="10"/>
      <c r="BC1875" s="10"/>
      <c r="BD1875" s="10"/>
      <c r="BE1875" s="10"/>
      <c r="BF1875" s="10"/>
      <c r="BG1875" s="10"/>
      <c r="BH1875" s="10"/>
      <c r="BI1875" s="10"/>
      <c r="BJ1875" s="10"/>
      <c r="BK1875" s="10"/>
      <c r="BM1875" s="10"/>
    </row>
    <row r="1876" spans="1:65" ht="12.75">
      <c r="A1876" s="9"/>
      <c r="B1876" s="10"/>
      <c r="C1876" s="11"/>
      <c r="D1876" s="12"/>
      <c r="E1876" s="10"/>
      <c r="F1876" s="10"/>
      <c r="G1876" s="10"/>
      <c r="H1876" s="14"/>
      <c r="I1876" s="14"/>
      <c r="J1876" s="14"/>
      <c r="K1876" s="14"/>
      <c r="L1876" s="14"/>
      <c r="M1876" s="15"/>
      <c r="N1876" s="10"/>
      <c r="O1876" s="14"/>
      <c r="P1876" s="14"/>
      <c r="Q1876" s="14"/>
      <c r="R1876" s="14"/>
      <c r="S1876" s="14"/>
      <c r="T1876" s="14"/>
      <c r="U1876" s="14"/>
      <c r="V1876" s="14"/>
      <c r="W1876" s="14"/>
      <c r="X1876" s="14"/>
      <c r="Y1876" s="14"/>
      <c r="Z1876" s="14"/>
      <c r="AA1876" s="16" t="str">
        <f t="shared" ca="1" si="1648"/>
        <v>Johnson &amp; Johnson</v>
      </c>
      <c r="AB1876" s="16">
        <f t="shared" si="1648"/>
        <v>0</v>
      </c>
      <c r="AC1876" s="16">
        <f t="shared" si="1648"/>
        <v>0</v>
      </c>
      <c r="AD1876" s="16">
        <f t="shared" si="1648"/>
        <v>0</v>
      </c>
      <c r="AE1876" s="16">
        <f t="shared" si="1648"/>
        <v>0</v>
      </c>
      <c r="AF1876" s="16">
        <f t="shared" si="1648"/>
        <v>0</v>
      </c>
      <c r="AG1876" s="16">
        <f t="shared" si="1648"/>
        <v>0</v>
      </c>
      <c r="AH1876" s="16">
        <f t="shared" si="1648"/>
        <v>0</v>
      </c>
      <c r="AI1876" s="16">
        <f t="shared" si="1648"/>
        <v>0</v>
      </c>
      <c r="AJ1876" s="16">
        <f t="shared" si="1648"/>
        <v>0</v>
      </c>
      <c r="AK1876" s="16">
        <f t="shared" si="1648"/>
        <v>0</v>
      </c>
      <c r="AL1876" s="16">
        <f t="shared" si="1648"/>
        <v>0</v>
      </c>
      <c r="AM1876" s="16">
        <f t="shared" si="1648"/>
        <v>0</v>
      </c>
      <c r="AN1876" s="16">
        <f t="shared" si="1648"/>
        <v>0</v>
      </c>
      <c r="AO1876" s="16">
        <f t="shared" si="1648"/>
        <v>0</v>
      </c>
      <c r="AP1876" s="10"/>
      <c r="AQ1876" s="10"/>
      <c r="AR1876" s="10"/>
      <c r="AS1876" s="10" t="str">
        <f t="shared" ca="1" si="1641"/>
        <v>Johnson &amp; Johnson</v>
      </c>
      <c r="AT1876" s="10"/>
      <c r="AU1876" s="10"/>
      <c r="AV1876" s="10"/>
      <c r="AW1876" s="10"/>
      <c r="AX1876" s="10"/>
      <c r="AY1876" s="10"/>
      <c r="AZ1876" s="10"/>
      <c r="BA1876" s="10"/>
      <c r="BB1876" s="10"/>
      <c r="BC1876" s="10"/>
      <c r="BD1876" s="10"/>
      <c r="BE1876" s="10"/>
      <c r="BF1876" s="10"/>
      <c r="BG1876" s="10"/>
      <c r="BH1876" s="10"/>
      <c r="BI1876" s="10"/>
      <c r="BJ1876" s="10"/>
      <c r="BK1876" s="10"/>
      <c r="BM1876" s="10"/>
    </row>
    <row r="1877" spans="1:65" ht="12.75">
      <c r="A1877" s="9"/>
      <c r="B1877" s="10"/>
      <c r="C1877" s="11"/>
      <c r="D1877" s="12"/>
      <c r="E1877" s="10"/>
      <c r="F1877" s="10"/>
      <c r="G1877" s="10"/>
      <c r="H1877" s="14"/>
      <c r="I1877" s="14"/>
      <c r="J1877" s="14"/>
      <c r="K1877" s="14"/>
      <c r="L1877" s="14"/>
      <c r="M1877" s="15"/>
      <c r="N1877" s="10"/>
      <c r="O1877" s="14"/>
      <c r="P1877" s="14"/>
      <c r="Q1877" s="14"/>
      <c r="R1877" s="14"/>
      <c r="S1877" s="14"/>
      <c r="T1877" s="14"/>
      <c r="U1877" s="14"/>
      <c r="V1877" s="14"/>
      <c r="W1877" s="14"/>
      <c r="X1877" s="14"/>
      <c r="Y1877" s="14"/>
      <c r="Z1877" s="14"/>
      <c r="AA1877" s="16" t="str">
        <f t="shared" ca="1" si="1648"/>
        <v>Johnson &amp; Johnson</v>
      </c>
      <c r="AB1877" s="16">
        <f t="shared" si="1648"/>
        <v>0</v>
      </c>
      <c r="AC1877" s="16">
        <f t="shared" si="1648"/>
        <v>0</v>
      </c>
      <c r="AD1877" s="16">
        <f t="shared" si="1648"/>
        <v>0</v>
      </c>
      <c r="AE1877" s="16">
        <f t="shared" si="1648"/>
        <v>0</v>
      </c>
      <c r="AF1877" s="16">
        <f t="shared" si="1648"/>
        <v>0</v>
      </c>
      <c r="AG1877" s="16">
        <f t="shared" si="1648"/>
        <v>0</v>
      </c>
      <c r="AH1877" s="16">
        <f t="shared" si="1648"/>
        <v>0</v>
      </c>
      <c r="AI1877" s="16">
        <f t="shared" si="1648"/>
        <v>0</v>
      </c>
      <c r="AJ1877" s="16">
        <f t="shared" si="1648"/>
        <v>0</v>
      </c>
      <c r="AK1877" s="16">
        <f t="shared" si="1648"/>
        <v>0</v>
      </c>
      <c r="AL1877" s="16">
        <f t="shared" si="1648"/>
        <v>0</v>
      </c>
      <c r="AM1877" s="16">
        <f t="shared" si="1648"/>
        <v>0</v>
      </c>
      <c r="AN1877" s="16">
        <f t="shared" si="1648"/>
        <v>0</v>
      </c>
      <c r="AO1877" s="16">
        <f t="shared" si="1648"/>
        <v>0</v>
      </c>
      <c r="AP1877" s="10"/>
      <c r="AQ1877" s="10"/>
      <c r="AR1877" s="10"/>
      <c r="AS1877" s="10" t="str">
        <f t="shared" ca="1" si="1641"/>
        <v>Johnson &amp; Johnson</v>
      </c>
      <c r="AT1877" s="10"/>
      <c r="AU1877" s="10"/>
      <c r="AV1877" s="10"/>
      <c r="AW1877" s="10"/>
      <c r="AX1877" s="10"/>
      <c r="AY1877" s="10"/>
      <c r="AZ1877" s="10"/>
      <c r="BA1877" s="10"/>
      <c r="BB1877" s="10"/>
      <c r="BC1877" s="10"/>
      <c r="BD1877" s="10"/>
      <c r="BE1877" s="10"/>
      <c r="BF1877" s="10"/>
      <c r="BG1877" s="10"/>
      <c r="BH1877" s="10"/>
      <c r="BI1877" s="10"/>
      <c r="BJ1877" s="10"/>
      <c r="BK1877" s="10"/>
      <c r="BM1877" s="10"/>
    </row>
    <row r="1878" spans="1:65" ht="12.75">
      <c r="A1878" s="9"/>
      <c r="B1878" s="10"/>
      <c r="C1878" s="11"/>
      <c r="D1878" s="12"/>
      <c r="E1878" s="10"/>
      <c r="F1878" s="10"/>
      <c r="G1878" s="10"/>
      <c r="H1878" s="14"/>
      <c r="I1878" s="14"/>
      <c r="J1878" s="14"/>
      <c r="K1878" s="14"/>
      <c r="L1878" s="14"/>
      <c r="M1878" s="15"/>
      <c r="N1878" s="10"/>
      <c r="O1878" s="14"/>
      <c r="P1878" s="14"/>
      <c r="Q1878" s="14"/>
      <c r="R1878" s="14"/>
      <c r="S1878" s="14"/>
      <c r="T1878" s="14"/>
      <c r="U1878" s="14"/>
      <c r="V1878" s="14"/>
      <c r="W1878" s="14"/>
      <c r="X1878" s="14"/>
      <c r="Y1878" s="14"/>
      <c r="Z1878" s="14"/>
      <c r="AA1878" s="16" t="str">
        <f t="shared" ca="1" si="1648"/>
        <v>Johnson &amp; Johnson</v>
      </c>
      <c r="AB1878" s="16">
        <f t="shared" si="1648"/>
        <v>0</v>
      </c>
      <c r="AC1878" s="16">
        <f t="shared" si="1648"/>
        <v>0</v>
      </c>
      <c r="AD1878" s="16">
        <f t="shared" si="1648"/>
        <v>0</v>
      </c>
      <c r="AE1878" s="16">
        <f t="shared" si="1648"/>
        <v>0</v>
      </c>
      <c r="AF1878" s="16">
        <f t="shared" si="1648"/>
        <v>0</v>
      </c>
      <c r="AG1878" s="16">
        <f t="shared" si="1648"/>
        <v>0</v>
      </c>
      <c r="AH1878" s="16">
        <f t="shared" si="1648"/>
        <v>0</v>
      </c>
      <c r="AI1878" s="16">
        <f t="shared" si="1648"/>
        <v>0</v>
      </c>
      <c r="AJ1878" s="16">
        <f t="shared" si="1648"/>
        <v>0</v>
      </c>
      <c r="AK1878" s="16">
        <f t="shared" si="1648"/>
        <v>0</v>
      </c>
      <c r="AL1878" s="16">
        <f t="shared" si="1648"/>
        <v>0</v>
      </c>
      <c r="AM1878" s="16">
        <f t="shared" si="1648"/>
        <v>0</v>
      </c>
      <c r="AN1878" s="16">
        <f t="shared" si="1648"/>
        <v>0</v>
      </c>
      <c r="AO1878" s="16">
        <f t="shared" si="1648"/>
        <v>0</v>
      </c>
      <c r="AP1878" s="10"/>
      <c r="AQ1878" s="10"/>
      <c r="AR1878" s="10"/>
      <c r="AS1878" s="10" t="str">
        <f t="shared" ca="1" si="1641"/>
        <v>Johnson &amp; Johnson</v>
      </c>
      <c r="AT1878" s="10"/>
      <c r="AU1878" s="10"/>
      <c r="AV1878" s="10"/>
      <c r="AW1878" s="10"/>
      <c r="AX1878" s="10"/>
      <c r="AY1878" s="10"/>
      <c r="AZ1878" s="10"/>
      <c r="BA1878" s="10"/>
      <c r="BB1878" s="10"/>
      <c r="BC1878" s="10"/>
      <c r="BD1878" s="10"/>
      <c r="BE1878" s="10"/>
      <c r="BF1878" s="10"/>
      <c r="BG1878" s="10"/>
      <c r="BH1878" s="10"/>
      <c r="BI1878" s="10"/>
      <c r="BJ1878" s="10"/>
      <c r="BK1878" s="10"/>
      <c r="BM1878" s="10"/>
    </row>
    <row r="1879" spans="1:65" ht="12.75">
      <c r="A1879" s="9"/>
      <c r="B1879" s="10"/>
      <c r="C1879" s="11"/>
      <c r="D1879" s="12"/>
      <c r="E1879" s="10"/>
      <c r="F1879" s="10"/>
      <c r="G1879" s="10"/>
      <c r="H1879" s="14"/>
      <c r="I1879" s="14"/>
      <c r="J1879" s="14"/>
      <c r="K1879" s="14"/>
      <c r="L1879" s="14"/>
      <c r="M1879" s="15"/>
      <c r="N1879" s="10"/>
      <c r="O1879" s="14"/>
      <c r="P1879" s="14"/>
      <c r="Q1879" s="14"/>
      <c r="R1879" s="14"/>
      <c r="S1879" s="14"/>
      <c r="T1879" s="14"/>
      <c r="U1879" s="14"/>
      <c r="V1879" s="14"/>
      <c r="W1879" s="14"/>
      <c r="X1879" s="14"/>
      <c r="Y1879" s="14"/>
      <c r="Z1879" s="14"/>
      <c r="AA1879" s="16" t="str">
        <f t="shared" ca="1" si="1648"/>
        <v>Johnson &amp; Johnson</v>
      </c>
      <c r="AB1879" s="16">
        <f t="shared" si="1648"/>
        <v>0</v>
      </c>
      <c r="AC1879" s="16">
        <f t="shared" si="1648"/>
        <v>0</v>
      </c>
      <c r="AD1879" s="16">
        <f t="shared" si="1648"/>
        <v>0</v>
      </c>
      <c r="AE1879" s="16">
        <f t="shared" si="1648"/>
        <v>0</v>
      </c>
      <c r="AF1879" s="16">
        <f t="shared" si="1648"/>
        <v>0</v>
      </c>
      <c r="AG1879" s="16">
        <f t="shared" si="1648"/>
        <v>0</v>
      </c>
      <c r="AH1879" s="16">
        <f t="shared" si="1648"/>
        <v>0</v>
      </c>
      <c r="AI1879" s="16">
        <f t="shared" si="1648"/>
        <v>0</v>
      </c>
      <c r="AJ1879" s="16">
        <f t="shared" si="1648"/>
        <v>0</v>
      </c>
      <c r="AK1879" s="16">
        <f t="shared" si="1648"/>
        <v>0</v>
      </c>
      <c r="AL1879" s="16">
        <f t="shared" si="1648"/>
        <v>0</v>
      </c>
      <c r="AM1879" s="16">
        <f t="shared" si="1648"/>
        <v>0</v>
      </c>
      <c r="AN1879" s="16">
        <f t="shared" si="1648"/>
        <v>0</v>
      </c>
      <c r="AO1879" s="16">
        <f t="shared" si="1648"/>
        <v>0</v>
      </c>
      <c r="AP1879" s="10"/>
      <c r="AQ1879" s="10"/>
      <c r="AR1879" s="10"/>
      <c r="AS1879" s="10" t="str">
        <f t="shared" ca="1" si="1641"/>
        <v>Johnson &amp; Johnson</v>
      </c>
      <c r="AT1879" s="10"/>
      <c r="AU1879" s="10"/>
      <c r="AV1879" s="10"/>
      <c r="AW1879" s="10"/>
      <c r="AX1879" s="10"/>
      <c r="AY1879" s="10"/>
      <c r="AZ1879" s="10"/>
      <c r="BA1879" s="10"/>
      <c r="BB1879" s="10"/>
      <c r="BC1879" s="10"/>
      <c r="BD1879" s="10"/>
      <c r="BE1879" s="10"/>
      <c r="BF1879" s="10"/>
      <c r="BG1879" s="10"/>
      <c r="BH1879" s="10"/>
      <c r="BI1879" s="10"/>
      <c r="BJ1879" s="10"/>
      <c r="BK1879" s="10"/>
      <c r="BM1879" s="10"/>
    </row>
    <row r="1880" spans="1:65" ht="12.75">
      <c r="A1880" s="9"/>
      <c r="B1880" s="10"/>
      <c r="C1880" s="11"/>
      <c r="D1880" s="12"/>
      <c r="E1880" s="10"/>
      <c r="F1880" s="10"/>
      <c r="G1880" s="10"/>
      <c r="H1880" s="14"/>
      <c r="I1880" s="14"/>
      <c r="J1880" s="14"/>
      <c r="K1880" s="14"/>
      <c r="L1880" s="14"/>
      <c r="M1880" s="15"/>
      <c r="N1880" s="10"/>
      <c r="O1880" s="14"/>
      <c r="P1880" s="14"/>
      <c r="Q1880" s="14"/>
      <c r="R1880" s="14"/>
      <c r="S1880" s="14"/>
      <c r="T1880" s="14"/>
      <c r="U1880" s="14"/>
      <c r="V1880" s="14"/>
      <c r="W1880" s="14"/>
      <c r="X1880" s="14"/>
      <c r="Y1880" s="14"/>
      <c r="Z1880" s="14"/>
      <c r="AA1880" s="16" t="str">
        <f t="shared" ca="1" si="1648"/>
        <v>Johnson &amp; Johnson</v>
      </c>
      <c r="AB1880" s="16">
        <f t="shared" si="1648"/>
        <v>0</v>
      </c>
      <c r="AC1880" s="16">
        <f t="shared" si="1648"/>
        <v>0</v>
      </c>
      <c r="AD1880" s="16">
        <f t="shared" si="1648"/>
        <v>0</v>
      </c>
      <c r="AE1880" s="16">
        <f t="shared" si="1648"/>
        <v>0</v>
      </c>
      <c r="AF1880" s="16">
        <f t="shared" si="1648"/>
        <v>0</v>
      </c>
      <c r="AG1880" s="16">
        <f t="shared" si="1648"/>
        <v>0</v>
      </c>
      <c r="AH1880" s="16">
        <f t="shared" si="1648"/>
        <v>0</v>
      </c>
      <c r="AI1880" s="16">
        <f t="shared" si="1648"/>
        <v>0</v>
      </c>
      <c r="AJ1880" s="16">
        <f t="shared" si="1648"/>
        <v>0</v>
      </c>
      <c r="AK1880" s="16">
        <f t="shared" si="1648"/>
        <v>0</v>
      </c>
      <c r="AL1880" s="16">
        <f t="shared" si="1648"/>
        <v>0</v>
      </c>
      <c r="AM1880" s="16">
        <f t="shared" si="1648"/>
        <v>0</v>
      </c>
      <c r="AN1880" s="16">
        <f t="shared" si="1648"/>
        <v>0</v>
      </c>
      <c r="AO1880" s="16">
        <f t="shared" si="1648"/>
        <v>0</v>
      </c>
      <c r="AP1880" s="10"/>
      <c r="AQ1880" s="10"/>
      <c r="AR1880" s="10"/>
      <c r="AS1880" s="10" t="str">
        <f t="shared" ca="1" si="1641"/>
        <v>Johnson &amp; Johnson</v>
      </c>
      <c r="AT1880" s="10"/>
      <c r="AU1880" s="10"/>
      <c r="AV1880" s="10"/>
      <c r="AW1880" s="10"/>
      <c r="AX1880" s="10"/>
      <c r="AY1880" s="10"/>
      <c r="AZ1880" s="10"/>
      <c r="BA1880" s="10"/>
      <c r="BB1880" s="10"/>
      <c r="BC1880" s="10"/>
      <c r="BD1880" s="10"/>
      <c r="BE1880" s="10"/>
      <c r="BF1880" s="10"/>
      <c r="BG1880" s="10"/>
      <c r="BH1880" s="10"/>
      <c r="BI1880" s="10"/>
      <c r="BJ1880" s="10"/>
      <c r="BK1880" s="10"/>
      <c r="BM1880" s="10"/>
    </row>
    <row r="1881" spans="1:65" ht="12.75">
      <c r="A1881" s="9"/>
      <c r="B1881" s="10"/>
      <c r="C1881" s="11"/>
      <c r="D1881" s="12"/>
      <c r="E1881" s="10"/>
      <c r="F1881" s="10"/>
      <c r="G1881" s="10"/>
      <c r="H1881" s="14"/>
      <c r="I1881" s="14"/>
      <c r="J1881" s="14"/>
      <c r="K1881" s="14"/>
      <c r="L1881" s="14"/>
      <c r="M1881" s="15"/>
      <c r="N1881" s="10"/>
      <c r="O1881" s="14"/>
      <c r="P1881" s="14"/>
      <c r="Q1881" s="14"/>
      <c r="R1881" s="14"/>
      <c r="S1881" s="14"/>
      <c r="T1881" s="14"/>
      <c r="U1881" s="14"/>
      <c r="V1881" s="14"/>
      <c r="W1881" s="14"/>
      <c r="X1881" s="14"/>
      <c r="Y1881" s="14"/>
      <c r="Z1881" s="14"/>
      <c r="AA1881" s="16" t="str">
        <f t="shared" ref="AA1881:AO1896" ca="1" si="1649">AS1881</f>
        <v>Johnson &amp; Johnson</v>
      </c>
      <c r="AB1881" s="16">
        <f t="shared" si="1649"/>
        <v>0</v>
      </c>
      <c r="AC1881" s="16">
        <f t="shared" si="1649"/>
        <v>0</v>
      </c>
      <c r="AD1881" s="16">
        <f t="shared" si="1649"/>
        <v>0</v>
      </c>
      <c r="AE1881" s="16">
        <f t="shared" si="1649"/>
        <v>0</v>
      </c>
      <c r="AF1881" s="16">
        <f t="shared" si="1649"/>
        <v>0</v>
      </c>
      <c r="AG1881" s="16">
        <f t="shared" si="1649"/>
        <v>0</v>
      </c>
      <c r="AH1881" s="16">
        <f t="shared" si="1649"/>
        <v>0</v>
      </c>
      <c r="AI1881" s="16">
        <f t="shared" si="1649"/>
        <v>0</v>
      </c>
      <c r="AJ1881" s="16">
        <f t="shared" si="1649"/>
        <v>0</v>
      </c>
      <c r="AK1881" s="16">
        <f t="shared" si="1649"/>
        <v>0</v>
      </c>
      <c r="AL1881" s="16">
        <f t="shared" si="1649"/>
        <v>0</v>
      </c>
      <c r="AM1881" s="16">
        <f t="shared" si="1649"/>
        <v>0</v>
      </c>
      <c r="AN1881" s="16">
        <f t="shared" si="1649"/>
        <v>0</v>
      </c>
      <c r="AO1881" s="16">
        <f t="shared" si="1649"/>
        <v>0</v>
      </c>
      <c r="AP1881" s="10"/>
      <c r="AQ1881" s="10"/>
      <c r="AR1881" s="10"/>
      <c r="AS1881" s="10" t="str">
        <f t="shared" ca="1" si="1641"/>
        <v>Johnson &amp; Johnson</v>
      </c>
      <c r="AT1881" s="10"/>
      <c r="AU1881" s="10"/>
      <c r="AV1881" s="10"/>
      <c r="AW1881" s="10"/>
      <c r="AX1881" s="10"/>
      <c r="AY1881" s="10"/>
      <c r="AZ1881" s="10"/>
      <c r="BA1881" s="10"/>
      <c r="BB1881" s="10"/>
      <c r="BC1881" s="10"/>
      <c r="BD1881" s="10"/>
      <c r="BE1881" s="10"/>
      <c r="BF1881" s="10"/>
      <c r="BG1881" s="10"/>
      <c r="BH1881" s="10"/>
      <c r="BI1881" s="10"/>
      <c r="BJ1881" s="10"/>
      <c r="BK1881" s="10"/>
      <c r="BM1881" s="10"/>
    </row>
    <row r="1882" spans="1:65" ht="12.75">
      <c r="A1882" s="9"/>
      <c r="B1882" s="10"/>
      <c r="C1882" s="11"/>
      <c r="D1882" s="12"/>
      <c r="E1882" s="10"/>
      <c r="F1882" s="10"/>
      <c r="G1882" s="10"/>
      <c r="H1882" s="14"/>
      <c r="I1882" s="14"/>
      <c r="J1882" s="14"/>
      <c r="K1882" s="14"/>
      <c r="L1882" s="14"/>
      <c r="M1882" s="15"/>
      <c r="N1882" s="10"/>
      <c r="O1882" s="14"/>
      <c r="P1882" s="14"/>
      <c r="Q1882" s="14"/>
      <c r="R1882" s="14"/>
      <c r="S1882" s="14"/>
      <c r="T1882" s="14"/>
      <c r="U1882" s="14"/>
      <c r="V1882" s="14"/>
      <c r="W1882" s="14"/>
      <c r="X1882" s="14"/>
      <c r="Y1882" s="14"/>
      <c r="Z1882" s="14"/>
      <c r="AA1882" s="16" t="str">
        <f t="shared" ca="1" si="1649"/>
        <v>Johnson &amp; Johnson</v>
      </c>
      <c r="AB1882" s="16">
        <f t="shared" si="1649"/>
        <v>0</v>
      </c>
      <c r="AC1882" s="16">
        <f t="shared" si="1649"/>
        <v>0</v>
      </c>
      <c r="AD1882" s="16">
        <f t="shared" si="1649"/>
        <v>0</v>
      </c>
      <c r="AE1882" s="16">
        <f t="shared" si="1649"/>
        <v>0</v>
      </c>
      <c r="AF1882" s="16">
        <f t="shared" si="1649"/>
        <v>0</v>
      </c>
      <c r="AG1882" s="16">
        <f t="shared" si="1649"/>
        <v>0</v>
      </c>
      <c r="AH1882" s="16">
        <f t="shared" si="1649"/>
        <v>0</v>
      </c>
      <c r="AI1882" s="16">
        <f t="shared" si="1649"/>
        <v>0</v>
      </c>
      <c r="AJ1882" s="16">
        <f t="shared" si="1649"/>
        <v>0</v>
      </c>
      <c r="AK1882" s="16">
        <f t="shared" si="1649"/>
        <v>0</v>
      </c>
      <c r="AL1882" s="16">
        <f t="shared" si="1649"/>
        <v>0</v>
      </c>
      <c r="AM1882" s="16">
        <f t="shared" si="1649"/>
        <v>0</v>
      </c>
      <c r="AN1882" s="16">
        <f t="shared" si="1649"/>
        <v>0</v>
      </c>
      <c r="AO1882" s="16">
        <f t="shared" si="1649"/>
        <v>0</v>
      </c>
      <c r="AP1882" s="10"/>
      <c r="AQ1882" s="10"/>
      <c r="AR1882" s="10"/>
      <c r="AS1882" s="10" t="str">
        <f t="shared" ca="1" si="1641"/>
        <v>Johnson &amp; Johnson</v>
      </c>
      <c r="AT1882" s="10"/>
      <c r="AU1882" s="10"/>
      <c r="AV1882" s="10"/>
      <c r="AW1882" s="10"/>
      <c r="AX1882" s="10"/>
      <c r="AY1882" s="10"/>
      <c r="AZ1882" s="10"/>
      <c r="BA1882" s="10"/>
      <c r="BB1882" s="10"/>
      <c r="BC1882" s="10"/>
      <c r="BD1882" s="10"/>
      <c r="BE1882" s="10"/>
      <c r="BF1882" s="10"/>
      <c r="BG1882" s="10"/>
      <c r="BH1882" s="10"/>
      <c r="BI1882" s="10"/>
      <c r="BJ1882" s="10"/>
      <c r="BK1882" s="10"/>
      <c r="BM1882" s="10"/>
    </row>
    <row r="1883" spans="1:65" ht="12.75">
      <c r="A1883" s="9"/>
      <c r="B1883" s="10"/>
      <c r="C1883" s="11"/>
      <c r="D1883" s="12"/>
      <c r="E1883" s="10"/>
      <c r="F1883" s="10"/>
      <c r="G1883" s="10"/>
      <c r="H1883" s="14"/>
      <c r="I1883" s="14"/>
      <c r="J1883" s="14"/>
      <c r="K1883" s="14"/>
      <c r="L1883" s="14"/>
      <c r="M1883" s="15"/>
      <c r="N1883" s="10"/>
      <c r="O1883" s="14"/>
      <c r="P1883" s="14"/>
      <c r="Q1883" s="14"/>
      <c r="R1883" s="14"/>
      <c r="S1883" s="14"/>
      <c r="T1883" s="14"/>
      <c r="U1883" s="14"/>
      <c r="V1883" s="14"/>
      <c r="W1883" s="14"/>
      <c r="X1883" s="14"/>
      <c r="Y1883" s="14"/>
      <c r="Z1883" s="14"/>
      <c r="AA1883" s="16" t="str">
        <f t="shared" ca="1" si="1649"/>
        <v>Johnson &amp; Johnson</v>
      </c>
      <c r="AB1883" s="16">
        <f t="shared" si="1649"/>
        <v>0</v>
      </c>
      <c r="AC1883" s="16">
        <f t="shared" si="1649"/>
        <v>0</v>
      </c>
      <c r="AD1883" s="16">
        <f t="shared" si="1649"/>
        <v>0</v>
      </c>
      <c r="AE1883" s="16">
        <f t="shared" si="1649"/>
        <v>0</v>
      </c>
      <c r="AF1883" s="16">
        <f t="shared" si="1649"/>
        <v>0</v>
      </c>
      <c r="AG1883" s="16">
        <f t="shared" si="1649"/>
        <v>0</v>
      </c>
      <c r="AH1883" s="16">
        <f t="shared" si="1649"/>
        <v>0</v>
      </c>
      <c r="AI1883" s="16">
        <f t="shared" si="1649"/>
        <v>0</v>
      </c>
      <c r="AJ1883" s="16">
        <f t="shared" si="1649"/>
        <v>0</v>
      </c>
      <c r="AK1883" s="16">
        <f t="shared" si="1649"/>
        <v>0</v>
      </c>
      <c r="AL1883" s="16">
        <f t="shared" si="1649"/>
        <v>0</v>
      </c>
      <c r="AM1883" s="16">
        <f t="shared" si="1649"/>
        <v>0</v>
      </c>
      <c r="AN1883" s="16">
        <f t="shared" si="1649"/>
        <v>0</v>
      </c>
      <c r="AO1883" s="16">
        <f t="shared" si="1649"/>
        <v>0</v>
      </c>
      <c r="AP1883" s="10"/>
      <c r="AQ1883" s="10"/>
      <c r="AR1883" s="10"/>
      <c r="AS1883" s="10" t="str">
        <f t="shared" ca="1" si="1641"/>
        <v>Johnson &amp; Johnson</v>
      </c>
      <c r="AT1883" s="10"/>
      <c r="AU1883" s="10"/>
      <c r="AV1883" s="10"/>
      <c r="AW1883" s="10"/>
      <c r="AX1883" s="10"/>
      <c r="AY1883" s="10"/>
      <c r="AZ1883" s="10"/>
      <c r="BA1883" s="10"/>
      <c r="BB1883" s="10"/>
      <c r="BC1883" s="10"/>
      <c r="BD1883" s="10"/>
      <c r="BE1883" s="10"/>
      <c r="BF1883" s="10"/>
      <c r="BG1883" s="10"/>
      <c r="BH1883" s="10"/>
      <c r="BI1883" s="10"/>
      <c r="BJ1883" s="10"/>
      <c r="BK1883" s="10"/>
      <c r="BM1883" s="10"/>
    </row>
    <row r="1884" spans="1:65" ht="12.75">
      <c r="A1884" s="9"/>
      <c r="B1884" s="10"/>
      <c r="C1884" s="11"/>
      <c r="D1884" s="12"/>
      <c r="E1884" s="10"/>
      <c r="F1884" s="10"/>
      <c r="G1884" s="10"/>
      <c r="H1884" s="14"/>
      <c r="I1884" s="14"/>
      <c r="J1884" s="14"/>
      <c r="K1884" s="14"/>
      <c r="L1884" s="14"/>
      <c r="M1884" s="15"/>
      <c r="N1884" s="10"/>
      <c r="O1884" s="14"/>
      <c r="P1884" s="14"/>
      <c r="Q1884" s="14"/>
      <c r="R1884" s="14"/>
      <c r="S1884" s="14"/>
      <c r="T1884" s="14"/>
      <c r="U1884" s="14"/>
      <c r="V1884" s="14"/>
      <c r="W1884" s="14"/>
      <c r="X1884" s="14"/>
      <c r="Y1884" s="14"/>
      <c r="Z1884" s="14"/>
      <c r="AA1884" s="16" t="str">
        <f t="shared" ca="1" si="1649"/>
        <v>Johnson &amp; Johnson</v>
      </c>
      <c r="AB1884" s="16">
        <f t="shared" si="1649"/>
        <v>0</v>
      </c>
      <c r="AC1884" s="16">
        <f t="shared" si="1649"/>
        <v>0</v>
      </c>
      <c r="AD1884" s="16">
        <f t="shared" si="1649"/>
        <v>0</v>
      </c>
      <c r="AE1884" s="16">
        <f t="shared" si="1649"/>
        <v>0</v>
      </c>
      <c r="AF1884" s="16">
        <f t="shared" si="1649"/>
        <v>0</v>
      </c>
      <c r="AG1884" s="16">
        <f t="shared" si="1649"/>
        <v>0</v>
      </c>
      <c r="AH1884" s="16">
        <f t="shared" si="1649"/>
        <v>0</v>
      </c>
      <c r="AI1884" s="16">
        <f t="shared" si="1649"/>
        <v>0</v>
      </c>
      <c r="AJ1884" s="16">
        <f t="shared" si="1649"/>
        <v>0</v>
      </c>
      <c r="AK1884" s="16">
        <f t="shared" si="1649"/>
        <v>0</v>
      </c>
      <c r="AL1884" s="16">
        <f t="shared" si="1649"/>
        <v>0</v>
      </c>
      <c r="AM1884" s="16">
        <f t="shared" si="1649"/>
        <v>0</v>
      </c>
      <c r="AN1884" s="16">
        <f t="shared" si="1649"/>
        <v>0</v>
      </c>
      <c r="AO1884" s="16">
        <f t="shared" si="1649"/>
        <v>0</v>
      </c>
      <c r="AP1884" s="10"/>
      <c r="AQ1884" s="10"/>
      <c r="AR1884" s="10"/>
      <c r="AS1884" s="10" t="str">
        <f t="shared" ca="1" si="1641"/>
        <v>Johnson &amp; Johnson</v>
      </c>
      <c r="AT1884" s="10"/>
      <c r="AU1884" s="10"/>
      <c r="AV1884" s="10"/>
      <c r="AW1884" s="10"/>
      <c r="AX1884" s="10"/>
      <c r="AY1884" s="10"/>
      <c r="AZ1884" s="10"/>
      <c r="BA1884" s="10"/>
      <c r="BB1884" s="10"/>
      <c r="BC1884" s="10"/>
      <c r="BD1884" s="10"/>
      <c r="BE1884" s="10"/>
      <c r="BF1884" s="10"/>
      <c r="BG1884" s="10"/>
      <c r="BH1884" s="10"/>
      <c r="BI1884" s="10"/>
      <c r="BJ1884" s="10"/>
      <c r="BK1884" s="10"/>
      <c r="BM1884" s="10"/>
    </row>
    <row r="1885" spans="1:65" ht="12.75">
      <c r="A1885" s="9"/>
      <c r="B1885" s="10"/>
      <c r="C1885" s="11"/>
      <c r="D1885" s="12"/>
      <c r="E1885" s="10"/>
      <c r="F1885" s="10"/>
      <c r="G1885" s="10"/>
      <c r="H1885" s="14"/>
      <c r="I1885" s="14"/>
      <c r="J1885" s="14"/>
      <c r="K1885" s="14"/>
      <c r="L1885" s="14"/>
      <c r="M1885" s="15"/>
      <c r="N1885" s="10"/>
      <c r="O1885" s="14"/>
      <c r="P1885" s="14"/>
      <c r="Q1885" s="14"/>
      <c r="R1885" s="14"/>
      <c r="S1885" s="14"/>
      <c r="T1885" s="14"/>
      <c r="U1885" s="14"/>
      <c r="V1885" s="14"/>
      <c r="W1885" s="14"/>
      <c r="X1885" s="14"/>
      <c r="Y1885" s="14"/>
      <c r="Z1885" s="14"/>
      <c r="AA1885" s="16" t="str">
        <f t="shared" ca="1" si="1649"/>
        <v>Johnson &amp; Johnson</v>
      </c>
      <c r="AB1885" s="16">
        <f t="shared" si="1649"/>
        <v>0</v>
      </c>
      <c r="AC1885" s="16">
        <f t="shared" si="1649"/>
        <v>0</v>
      </c>
      <c r="AD1885" s="16">
        <f t="shared" si="1649"/>
        <v>0</v>
      </c>
      <c r="AE1885" s="16">
        <f t="shared" si="1649"/>
        <v>0</v>
      </c>
      <c r="AF1885" s="16">
        <f t="shared" si="1649"/>
        <v>0</v>
      </c>
      <c r="AG1885" s="16">
        <f t="shared" si="1649"/>
        <v>0</v>
      </c>
      <c r="AH1885" s="16">
        <f t="shared" si="1649"/>
        <v>0</v>
      </c>
      <c r="AI1885" s="16">
        <f t="shared" si="1649"/>
        <v>0</v>
      </c>
      <c r="AJ1885" s="16">
        <f t="shared" si="1649"/>
        <v>0</v>
      </c>
      <c r="AK1885" s="16">
        <f t="shared" si="1649"/>
        <v>0</v>
      </c>
      <c r="AL1885" s="16">
        <f t="shared" si="1649"/>
        <v>0</v>
      </c>
      <c r="AM1885" s="16">
        <f t="shared" si="1649"/>
        <v>0</v>
      </c>
      <c r="AN1885" s="16">
        <f t="shared" si="1649"/>
        <v>0</v>
      </c>
      <c r="AO1885" s="16">
        <f t="shared" si="1649"/>
        <v>0</v>
      </c>
      <c r="AP1885" s="10"/>
      <c r="AQ1885" s="10"/>
      <c r="AR1885" s="10"/>
      <c r="AS1885" s="10" t="str">
        <f t="shared" ca="1" si="1641"/>
        <v>Johnson &amp; Johnson</v>
      </c>
      <c r="AT1885" s="10"/>
      <c r="AU1885" s="10"/>
      <c r="AV1885" s="10"/>
      <c r="AW1885" s="10"/>
      <c r="AX1885" s="10"/>
      <c r="AY1885" s="10"/>
      <c r="AZ1885" s="10"/>
      <c r="BA1885" s="10"/>
      <c r="BB1885" s="10"/>
      <c r="BC1885" s="10"/>
      <c r="BD1885" s="10"/>
      <c r="BE1885" s="10"/>
      <c r="BF1885" s="10"/>
      <c r="BG1885" s="10"/>
      <c r="BH1885" s="10"/>
      <c r="BI1885" s="10"/>
      <c r="BJ1885" s="10"/>
      <c r="BK1885" s="10"/>
      <c r="BM1885" s="10"/>
    </row>
    <row r="1886" spans="1:65" ht="12.75">
      <c r="A1886" s="9"/>
      <c r="B1886" s="10"/>
      <c r="C1886" s="11"/>
      <c r="D1886" s="12"/>
      <c r="E1886" s="10"/>
      <c r="F1886" s="10"/>
      <c r="G1886" s="10"/>
      <c r="H1886" s="14"/>
      <c r="I1886" s="14"/>
      <c r="J1886" s="14"/>
      <c r="K1886" s="14"/>
      <c r="L1886" s="14"/>
      <c r="M1886" s="15"/>
      <c r="N1886" s="10"/>
      <c r="O1886" s="14"/>
      <c r="P1886" s="14"/>
      <c r="Q1886" s="14"/>
      <c r="R1886" s="14"/>
      <c r="S1886" s="14"/>
      <c r="T1886" s="14"/>
      <c r="U1886" s="14"/>
      <c r="V1886" s="14"/>
      <c r="W1886" s="14"/>
      <c r="X1886" s="14"/>
      <c r="Y1886" s="14"/>
      <c r="Z1886" s="14"/>
      <c r="AA1886" s="16" t="str">
        <f t="shared" ca="1" si="1649"/>
        <v>Johnson &amp; Johnson</v>
      </c>
      <c r="AB1886" s="16">
        <f t="shared" si="1649"/>
        <v>0</v>
      </c>
      <c r="AC1886" s="16">
        <f t="shared" si="1649"/>
        <v>0</v>
      </c>
      <c r="AD1886" s="16">
        <f t="shared" si="1649"/>
        <v>0</v>
      </c>
      <c r="AE1886" s="16">
        <f t="shared" si="1649"/>
        <v>0</v>
      </c>
      <c r="AF1886" s="16">
        <f t="shared" si="1649"/>
        <v>0</v>
      </c>
      <c r="AG1886" s="16">
        <f t="shared" si="1649"/>
        <v>0</v>
      </c>
      <c r="AH1886" s="16">
        <f t="shared" si="1649"/>
        <v>0</v>
      </c>
      <c r="AI1886" s="16">
        <f t="shared" si="1649"/>
        <v>0</v>
      </c>
      <c r="AJ1886" s="16">
        <f t="shared" si="1649"/>
        <v>0</v>
      </c>
      <c r="AK1886" s="16">
        <f t="shared" si="1649"/>
        <v>0</v>
      </c>
      <c r="AL1886" s="16">
        <f t="shared" si="1649"/>
        <v>0</v>
      </c>
      <c r="AM1886" s="16">
        <f t="shared" si="1649"/>
        <v>0</v>
      </c>
      <c r="AN1886" s="16">
        <f t="shared" si="1649"/>
        <v>0</v>
      </c>
      <c r="AO1886" s="16">
        <f t="shared" si="1649"/>
        <v>0</v>
      </c>
      <c r="AP1886" s="10"/>
      <c r="AQ1886" s="10"/>
      <c r="AR1886" s="10"/>
      <c r="AS1886" s="10" t="str">
        <f t="shared" ca="1" si="1641"/>
        <v>Johnson &amp; Johnson</v>
      </c>
      <c r="AT1886" s="10"/>
      <c r="AU1886" s="10"/>
      <c r="AV1886" s="10"/>
      <c r="AW1886" s="10"/>
      <c r="AX1886" s="10"/>
      <c r="AY1886" s="10"/>
      <c r="AZ1886" s="10"/>
      <c r="BA1886" s="10"/>
      <c r="BB1886" s="10"/>
      <c r="BC1886" s="10"/>
      <c r="BD1886" s="10"/>
      <c r="BE1886" s="10"/>
      <c r="BF1886" s="10"/>
      <c r="BG1886" s="10"/>
      <c r="BH1886" s="10"/>
      <c r="BI1886" s="10"/>
      <c r="BJ1886" s="10"/>
      <c r="BK1886" s="10"/>
      <c r="BM1886" s="10"/>
    </row>
    <row r="1887" spans="1:65" ht="12.75">
      <c r="A1887" s="9"/>
      <c r="B1887" s="10"/>
      <c r="C1887" s="11"/>
      <c r="D1887" s="12"/>
      <c r="E1887" s="10"/>
      <c r="F1887" s="10"/>
      <c r="G1887" s="10"/>
      <c r="H1887" s="14"/>
      <c r="I1887" s="14"/>
      <c r="J1887" s="14"/>
      <c r="K1887" s="14"/>
      <c r="L1887" s="14"/>
      <c r="M1887" s="15"/>
      <c r="N1887" s="10"/>
      <c r="O1887" s="14"/>
      <c r="P1887" s="14"/>
      <c r="Q1887" s="14"/>
      <c r="R1887" s="14"/>
      <c r="S1887" s="14"/>
      <c r="T1887" s="14"/>
      <c r="U1887" s="14"/>
      <c r="V1887" s="14"/>
      <c r="W1887" s="14"/>
      <c r="X1887" s="14"/>
      <c r="Y1887" s="14"/>
      <c r="Z1887" s="14"/>
      <c r="AA1887" s="16" t="str">
        <f t="shared" ca="1" si="1649"/>
        <v>Johnson &amp; Johnson</v>
      </c>
      <c r="AB1887" s="16">
        <f t="shared" si="1649"/>
        <v>0</v>
      </c>
      <c r="AC1887" s="16">
        <f t="shared" si="1649"/>
        <v>0</v>
      </c>
      <c r="AD1887" s="16">
        <f t="shared" si="1649"/>
        <v>0</v>
      </c>
      <c r="AE1887" s="16">
        <f t="shared" si="1649"/>
        <v>0</v>
      </c>
      <c r="AF1887" s="16">
        <f t="shared" si="1649"/>
        <v>0</v>
      </c>
      <c r="AG1887" s="16">
        <f t="shared" si="1649"/>
        <v>0</v>
      </c>
      <c r="AH1887" s="16">
        <f t="shared" si="1649"/>
        <v>0</v>
      </c>
      <c r="AI1887" s="16">
        <f t="shared" si="1649"/>
        <v>0</v>
      </c>
      <c r="AJ1887" s="16">
        <f t="shared" si="1649"/>
        <v>0</v>
      </c>
      <c r="AK1887" s="16">
        <f t="shared" si="1649"/>
        <v>0</v>
      </c>
      <c r="AL1887" s="16">
        <f t="shared" si="1649"/>
        <v>0</v>
      </c>
      <c r="AM1887" s="16">
        <f t="shared" si="1649"/>
        <v>0</v>
      </c>
      <c r="AN1887" s="16">
        <f t="shared" si="1649"/>
        <v>0</v>
      </c>
      <c r="AO1887" s="16">
        <f t="shared" si="1649"/>
        <v>0</v>
      </c>
      <c r="AP1887" s="10"/>
      <c r="AQ1887" s="10"/>
      <c r="AR1887" s="10"/>
      <c r="AS1887" s="10" t="str">
        <f t="shared" ca="1" si="1641"/>
        <v>Johnson &amp; Johnson</v>
      </c>
      <c r="AT1887" s="10"/>
      <c r="AU1887" s="10"/>
      <c r="AV1887" s="10"/>
      <c r="AW1887" s="10"/>
      <c r="AX1887" s="10"/>
      <c r="AY1887" s="10"/>
      <c r="AZ1887" s="10"/>
      <c r="BA1887" s="10"/>
      <c r="BB1887" s="10"/>
      <c r="BC1887" s="10"/>
      <c r="BD1887" s="10"/>
      <c r="BE1887" s="10"/>
      <c r="BF1887" s="10"/>
      <c r="BG1887" s="10"/>
      <c r="BH1887" s="10"/>
      <c r="BI1887" s="10"/>
      <c r="BJ1887" s="10"/>
      <c r="BK1887" s="10"/>
      <c r="BM1887" s="10"/>
    </row>
    <row r="1888" spans="1:65" ht="12.75">
      <c r="A1888" s="9"/>
      <c r="B1888" s="10"/>
      <c r="C1888" s="11"/>
      <c r="D1888" s="12"/>
      <c r="E1888" s="10"/>
      <c r="F1888" s="10"/>
      <c r="G1888" s="10"/>
      <c r="H1888" s="14"/>
      <c r="I1888" s="14"/>
      <c r="J1888" s="14"/>
      <c r="K1888" s="14"/>
      <c r="L1888" s="14"/>
      <c r="M1888" s="15"/>
      <c r="N1888" s="10"/>
      <c r="O1888" s="14"/>
      <c r="P1888" s="14"/>
      <c r="Q1888" s="14"/>
      <c r="R1888" s="14"/>
      <c r="S1888" s="14"/>
      <c r="T1888" s="14"/>
      <c r="U1888" s="14"/>
      <c r="V1888" s="14"/>
      <c r="W1888" s="14"/>
      <c r="X1888" s="14"/>
      <c r="Y1888" s="14"/>
      <c r="Z1888" s="14"/>
      <c r="AA1888" s="16" t="str">
        <f t="shared" ca="1" si="1649"/>
        <v>Johnson &amp; Johnson</v>
      </c>
      <c r="AB1888" s="16">
        <f t="shared" si="1649"/>
        <v>0</v>
      </c>
      <c r="AC1888" s="16">
        <f t="shared" si="1649"/>
        <v>0</v>
      </c>
      <c r="AD1888" s="16">
        <f t="shared" si="1649"/>
        <v>0</v>
      </c>
      <c r="AE1888" s="16">
        <f t="shared" si="1649"/>
        <v>0</v>
      </c>
      <c r="AF1888" s="16">
        <f t="shared" si="1649"/>
        <v>0</v>
      </c>
      <c r="AG1888" s="16">
        <f t="shared" si="1649"/>
        <v>0</v>
      </c>
      <c r="AH1888" s="16">
        <f t="shared" si="1649"/>
        <v>0</v>
      </c>
      <c r="AI1888" s="16">
        <f t="shared" si="1649"/>
        <v>0</v>
      </c>
      <c r="AJ1888" s="16">
        <f t="shared" si="1649"/>
        <v>0</v>
      </c>
      <c r="AK1888" s="16">
        <f t="shared" si="1649"/>
        <v>0</v>
      </c>
      <c r="AL1888" s="16">
        <f t="shared" si="1649"/>
        <v>0</v>
      </c>
      <c r="AM1888" s="16">
        <f t="shared" si="1649"/>
        <v>0</v>
      </c>
      <c r="AN1888" s="16">
        <f t="shared" si="1649"/>
        <v>0</v>
      </c>
      <c r="AO1888" s="16">
        <f t="shared" si="1649"/>
        <v>0</v>
      </c>
      <c r="AP1888" s="10"/>
      <c r="AQ1888" s="10"/>
      <c r="AR1888" s="10"/>
      <c r="AS1888" s="10" t="str">
        <f t="shared" ca="1" si="1641"/>
        <v>Johnson &amp; Johnson</v>
      </c>
      <c r="AT1888" s="10"/>
      <c r="AU1888" s="10"/>
      <c r="AV1888" s="10"/>
      <c r="AW1888" s="10"/>
      <c r="AX1888" s="10"/>
      <c r="AY1888" s="10"/>
      <c r="AZ1888" s="10"/>
      <c r="BA1888" s="10"/>
      <c r="BB1888" s="10"/>
      <c r="BC1888" s="10"/>
      <c r="BD1888" s="10"/>
      <c r="BE1888" s="10"/>
      <c r="BF1888" s="10"/>
      <c r="BG1888" s="10"/>
      <c r="BH1888" s="10"/>
      <c r="BI1888" s="10"/>
      <c r="BJ1888" s="10"/>
      <c r="BK1888" s="10"/>
      <c r="BM1888" s="10"/>
    </row>
    <row r="1889" spans="1:65" ht="12.75">
      <c r="A1889" s="9"/>
      <c r="B1889" s="10"/>
      <c r="C1889" s="11"/>
      <c r="D1889" s="12"/>
      <c r="E1889" s="10"/>
      <c r="F1889" s="10"/>
      <c r="G1889" s="10"/>
      <c r="H1889" s="14"/>
      <c r="I1889" s="14"/>
      <c r="J1889" s="14"/>
      <c r="K1889" s="14"/>
      <c r="L1889" s="14"/>
      <c r="M1889" s="15"/>
      <c r="N1889" s="10"/>
      <c r="O1889" s="14"/>
      <c r="P1889" s="14"/>
      <c r="Q1889" s="14"/>
      <c r="R1889" s="14"/>
      <c r="S1889" s="14"/>
      <c r="T1889" s="14"/>
      <c r="U1889" s="14"/>
      <c r="V1889" s="14"/>
      <c r="W1889" s="14"/>
      <c r="X1889" s="14"/>
      <c r="Y1889" s="14"/>
      <c r="Z1889" s="14"/>
      <c r="AA1889" s="16" t="str">
        <f t="shared" ca="1" si="1649"/>
        <v>Johnson &amp; Johnson</v>
      </c>
      <c r="AB1889" s="16">
        <f t="shared" si="1649"/>
        <v>0</v>
      </c>
      <c r="AC1889" s="16">
        <f t="shared" si="1649"/>
        <v>0</v>
      </c>
      <c r="AD1889" s="16">
        <f t="shared" si="1649"/>
        <v>0</v>
      </c>
      <c r="AE1889" s="16">
        <f t="shared" si="1649"/>
        <v>0</v>
      </c>
      <c r="AF1889" s="16">
        <f t="shared" si="1649"/>
        <v>0</v>
      </c>
      <c r="AG1889" s="16">
        <f t="shared" si="1649"/>
        <v>0</v>
      </c>
      <c r="AH1889" s="16">
        <f t="shared" si="1649"/>
        <v>0</v>
      </c>
      <c r="AI1889" s="16">
        <f t="shared" si="1649"/>
        <v>0</v>
      </c>
      <c r="AJ1889" s="16">
        <f t="shared" si="1649"/>
        <v>0</v>
      </c>
      <c r="AK1889" s="16">
        <f t="shared" si="1649"/>
        <v>0</v>
      </c>
      <c r="AL1889" s="16">
        <f t="shared" si="1649"/>
        <v>0</v>
      </c>
      <c r="AM1889" s="16">
        <f t="shared" si="1649"/>
        <v>0</v>
      </c>
      <c r="AN1889" s="16">
        <f t="shared" si="1649"/>
        <v>0</v>
      </c>
      <c r="AO1889" s="16">
        <f t="shared" si="1649"/>
        <v>0</v>
      </c>
      <c r="AP1889" s="10"/>
      <c r="AQ1889" s="10"/>
      <c r="AR1889" s="10"/>
      <c r="AS1889" s="10" t="str">
        <f t="shared" ca="1" si="1641"/>
        <v>Johnson &amp; Johnson</v>
      </c>
      <c r="AT1889" s="10"/>
      <c r="AU1889" s="10"/>
      <c r="AV1889" s="10"/>
      <c r="AW1889" s="10"/>
      <c r="AX1889" s="10"/>
      <c r="AY1889" s="10"/>
      <c r="AZ1889" s="10"/>
      <c r="BA1889" s="10"/>
      <c r="BB1889" s="10"/>
      <c r="BC1889" s="10"/>
      <c r="BD1889" s="10"/>
      <c r="BE1889" s="10"/>
      <c r="BF1889" s="10"/>
      <c r="BG1889" s="10"/>
      <c r="BH1889" s="10"/>
      <c r="BI1889" s="10"/>
      <c r="BJ1889" s="10"/>
      <c r="BK1889" s="10"/>
      <c r="BM1889" s="10"/>
    </row>
    <row r="1890" spans="1:65" ht="12.75">
      <c r="A1890" s="9"/>
      <c r="B1890" s="10"/>
      <c r="C1890" s="11"/>
      <c r="D1890" s="12"/>
      <c r="E1890" s="10"/>
      <c r="F1890" s="10"/>
      <c r="G1890" s="10"/>
      <c r="H1890" s="14"/>
      <c r="I1890" s="14"/>
      <c r="J1890" s="14"/>
      <c r="K1890" s="14"/>
      <c r="L1890" s="14"/>
      <c r="M1890" s="15"/>
      <c r="N1890" s="10"/>
      <c r="O1890" s="14"/>
      <c r="P1890" s="14"/>
      <c r="Q1890" s="14"/>
      <c r="R1890" s="14"/>
      <c r="S1890" s="14"/>
      <c r="T1890" s="14"/>
      <c r="U1890" s="14"/>
      <c r="V1890" s="14"/>
      <c r="W1890" s="14"/>
      <c r="X1890" s="14"/>
      <c r="Y1890" s="14"/>
      <c r="Z1890" s="14"/>
      <c r="AA1890" s="16" t="str">
        <f t="shared" ca="1" si="1649"/>
        <v>Johnson &amp; Johnson</v>
      </c>
      <c r="AB1890" s="16">
        <f t="shared" si="1649"/>
        <v>0</v>
      </c>
      <c r="AC1890" s="16">
        <f t="shared" si="1649"/>
        <v>0</v>
      </c>
      <c r="AD1890" s="16">
        <f t="shared" si="1649"/>
        <v>0</v>
      </c>
      <c r="AE1890" s="16">
        <f t="shared" si="1649"/>
        <v>0</v>
      </c>
      <c r="AF1890" s="16">
        <f t="shared" si="1649"/>
        <v>0</v>
      </c>
      <c r="AG1890" s="16">
        <f t="shared" si="1649"/>
        <v>0</v>
      </c>
      <c r="AH1890" s="16">
        <f t="shared" si="1649"/>
        <v>0</v>
      </c>
      <c r="AI1890" s="16">
        <f t="shared" si="1649"/>
        <v>0</v>
      </c>
      <c r="AJ1890" s="16">
        <f t="shared" si="1649"/>
        <v>0</v>
      </c>
      <c r="AK1890" s="16">
        <f t="shared" si="1649"/>
        <v>0</v>
      </c>
      <c r="AL1890" s="16">
        <f t="shared" si="1649"/>
        <v>0</v>
      </c>
      <c r="AM1890" s="16">
        <f t="shared" si="1649"/>
        <v>0</v>
      </c>
      <c r="AN1890" s="16">
        <f t="shared" si="1649"/>
        <v>0</v>
      </c>
      <c r="AO1890" s="16">
        <f t="shared" si="1649"/>
        <v>0</v>
      </c>
      <c r="AP1890" s="10"/>
      <c r="AQ1890" s="10"/>
      <c r="AR1890" s="10"/>
      <c r="AS1890" s="10" t="str">
        <f t="shared" ca="1" si="1641"/>
        <v>Johnson &amp; Johnson</v>
      </c>
      <c r="AT1890" s="10"/>
      <c r="AU1890" s="10"/>
      <c r="AV1890" s="10"/>
      <c r="AW1890" s="10"/>
      <c r="AX1890" s="10"/>
      <c r="AY1890" s="10"/>
      <c r="AZ1890" s="10"/>
      <c r="BA1890" s="10"/>
      <c r="BB1890" s="10"/>
      <c r="BC1890" s="10"/>
      <c r="BD1890" s="10"/>
      <c r="BE1890" s="10"/>
      <c r="BF1890" s="10"/>
      <c r="BG1890" s="10"/>
      <c r="BH1890" s="10"/>
      <c r="BI1890" s="10"/>
      <c r="BJ1890" s="10"/>
      <c r="BK1890" s="10"/>
      <c r="BM1890" s="10"/>
    </row>
    <row r="1891" spans="1:65" ht="12.75">
      <c r="A1891" s="9"/>
      <c r="B1891" s="10"/>
      <c r="C1891" s="11"/>
      <c r="D1891" s="12"/>
      <c r="E1891" s="10"/>
      <c r="F1891" s="10"/>
      <c r="G1891" s="10"/>
      <c r="H1891" s="14"/>
      <c r="I1891" s="14"/>
      <c r="J1891" s="14"/>
      <c r="K1891" s="14"/>
      <c r="L1891" s="14"/>
      <c r="M1891" s="15"/>
      <c r="N1891" s="10"/>
      <c r="O1891" s="14"/>
      <c r="P1891" s="14"/>
      <c r="Q1891" s="14"/>
      <c r="R1891" s="14"/>
      <c r="S1891" s="14"/>
      <c r="T1891" s="14"/>
      <c r="U1891" s="14"/>
      <c r="V1891" s="14"/>
      <c r="W1891" s="14"/>
      <c r="X1891" s="14"/>
      <c r="Y1891" s="14"/>
      <c r="Z1891" s="14"/>
      <c r="AA1891" s="16" t="str">
        <f t="shared" ca="1" si="1649"/>
        <v>Johnson &amp; Johnson</v>
      </c>
      <c r="AB1891" s="16">
        <f t="shared" si="1649"/>
        <v>0</v>
      </c>
      <c r="AC1891" s="16">
        <f t="shared" si="1649"/>
        <v>0</v>
      </c>
      <c r="AD1891" s="16">
        <f t="shared" si="1649"/>
        <v>0</v>
      </c>
      <c r="AE1891" s="16">
        <f t="shared" si="1649"/>
        <v>0</v>
      </c>
      <c r="AF1891" s="16">
        <f t="shared" si="1649"/>
        <v>0</v>
      </c>
      <c r="AG1891" s="16">
        <f t="shared" si="1649"/>
        <v>0</v>
      </c>
      <c r="AH1891" s="16">
        <f t="shared" si="1649"/>
        <v>0</v>
      </c>
      <c r="AI1891" s="16">
        <f t="shared" si="1649"/>
        <v>0</v>
      </c>
      <c r="AJ1891" s="16">
        <f t="shared" si="1649"/>
        <v>0</v>
      </c>
      <c r="AK1891" s="16">
        <f t="shared" si="1649"/>
        <v>0</v>
      </c>
      <c r="AL1891" s="16">
        <f t="shared" si="1649"/>
        <v>0</v>
      </c>
      <c r="AM1891" s="16">
        <f t="shared" si="1649"/>
        <v>0</v>
      </c>
      <c r="AN1891" s="16">
        <f t="shared" si="1649"/>
        <v>0</v>
      </c>
      <c r="AO1891" s="16">
        <f t="shared" si="1649"/>
        <v>0</v>
      </c>
      <c r="AP1891" s="10"/>
      <c r="AQ1891" s="10"/>
      <c r="AR1891" s="10"/>
      <c r="AS1891" s="10" t="str">
        <f t="shared" ca="1" si="1641"/>
        <v>Johnson &amp; Johnson</v>
      </c>
      <c r="AT1891" s="10"/>
      <c r="AU1891" s="10"/>
      <c r="AV1891" s="10"/>
      <c r="AW1891" s="10"/>
      <c r="AX1891" s="10"/>
      <c r="AY1891" s="10"/>
      <c r="AZ1891" s="10"/>
      <c r="BA1891" s="10"/>
      <c r="BB1891" s="10"/>
      <c r="BC1891" s="10"/>
      <c r="BD1891" s="10"/>
      <c r="BE1891" s="10"/>
      <c r="BF1891" s="10"/>
      <c r="BG1891" s="10"/>
      <c r="BH1891" s="10"/>
      <c r="BI1891" s="10"/>
      <c r="BJ1891" s="10"/>
      <c r="BK1891" s="10"/>
      <c r="BM1891" s="10"/>
    </row>
    <row r="1892" spans="1:65" ht="12.75">
      <c r="A1892" s="9"/>
      <c r="B1892" s="10"/>
      <c r="C1892" s="11"/>
      <c r="D1892" s="12"/>
      <c r="E1892" s="10"/>
      <c r="F1892" s="10"/>
      <c r="G1892" s="10"/>
      <c r="H1892" s="14"/>
      <c r="I1892" s="14"/>
      <c r="J1892" s="14"/>
      <c r="K1892" s="14"/>
      <c r="L1892" s="14"/>
      <c r="M1892" s="15"/>
      <c r="N1892" s="10"/>
      <c r="O1892" s="14"/>
      <c r="P1892" s="14"/>
      <c r="Q1892" s="14"/>
      <c r="R1892" s="14"/>
      <c r="S1892" s="14"/>
      <c r="T1892" s="14"/>
      <c r="U1892" s="14"/>
      <c r="V1892" s="14"/>
      <c r="W1892" s="14"/>
      <c r="X1892" s="14"/>
      <c r="Y1892" s="14"/>
      <c r="Z1892" s="14"/>
      <c r="AA1892" s="16" t="str">
        <f t="shared" ca="1" si="1649"/>
        <v>Johnson &amp; Johnson</v>
      </c>
      <c r="AB1892" s="16">
        <f t="shared" si="1649"/>
        <v>0</v>
      </c>
      <c r="AC1892" s="16">
        <f t="shared" si="1649"/>
        <v>0</v>
      </c>
      <c r="AD1892" s="16">
        <f t="shared" si="1649"/>
        <v>0</v>
      </c>
      <c r="AE1892" s="16">
        <f t="shared" si="1649"/>
        <v>0</v>
      </c>
      <c r="AF1892" s="16">
        <f t="shared" si="1649"/>
        <v>0</v>
      </c>
      <c r="AG1892" s="16">
        <f t="shared" si="1649"/>
        <v>0</v>
      </c>
      <c r="AH1892" s="16">
        <f t="shared" si="1649"/>
        <v>0</v>
      </c>
      <c r="AI1892" s="16">
        <f t="shared" si="1649"/>
        <v>0</v>
      </c>
      <c r="AJ1892" s="16">
        <f t="shared" si="1649"/>
        <v>0</v>
      </c>
      <c r="AK1892" s="16">
        <f t="shared" si="1649"/>
        <v>0</v>
      </c>
      <c r="AL1892" s="16">
        <f t="shared" si="1649"/>
        <v>0</v>
      </c>
      <c r="AM1892" s="16">
        <f t="shared" si="1649"/>
        <v>0</v>
      </c>
      <c r="AN1892" s="16">
        <f t="shared" si="1649"/>
        <v>0</v>
      </c>
      <c r="AO1892" s="16">
        <f t="shared" si="1649"/>
        <v>0</v>
      </c>
      <c r="AP1892" s="10"/>
      <c r="AQ1892" s="10"/>
      <c r="AR1892" s="10"/>
      <c r="AS1892" s="10" t="str">
        <f t="shared" ca="1" si="1641"/>
        <v>Johnson &amp; Johnson</v>
      </c>
      <c r="AT1892" s="10"/>
      <c r="AU1892" s="10"/>
      <c r="AV1892" s="10"/>
      <c r="AW1892" s="10"/>
      <c r="AX1892" s="10"/>
      <c r="AY1892" s="10"/>
      <c r="AZ1892" s="10"/>
      <c r="BA1892" s="10"/>
      <c r="BB1892" s="10"/>
      <c r="BC1892" s="10"/>
      <c r="BD1892" s="10"/>
      <c r="BE1892" s="10"/>
      <c r="BF1892" s="10"/>
      <c r="BG1892" s="10"/>
      <c r="BH1892" s="10"/>
      <c r="BI1892" s="10"/>
      <c r="BJ1892" s="10"/>
      <c r="BK1892" s="10"/>
      <c r="BM1892" s="10"/>
    </row>
    <row r="1893" spans="1:65" ht="12.75">
      <c r="A1893" s="9"/>
      <c r="B1893" s="10"/>
      <c r="C1893" s="11"/>
      <c r="D1893" s="12"/>
      <c r="E1893" s="10"/>
      <c r="F1893" s="10"/>
      <c r="G1893" s="10"/>
      <c r="H1893" s="14"/>
      <c r="I1893" s="14"/>
      <c r="J1893" s="14"/>
      <c r="K1893" s="14"/>
      <c r="L1893" s="14"/>
      <c r="M1893" s="15"/>
      <c r="N1893" s="10"/>
      <c r="O1893" s="14"/>
      <c r="P1893" s="14"/>
      <c r="Q1893" s="14"/>
      <c r="R1893" s="14"/>
      <c r="S1893" s="14"/>
      <c r="T1893" s="14"/>
      <c r="U1893" s="14"/>
      <c r="V1893" s="14"/>
      <c r="W1893" s="14"/>
      <c r="X1893" s="14"/>
      <c r="Y1893" s="14"/>
      <c r="Z1893" s="14"/>
      <c r="AA1893" s="16" t="str">
        <f t="shared" ca="1" si="1649"/>
        <v>Johnson &amp; Johnson</v>
      </c>
      <c r="AB1893" s="16">
        <f t="shared" si="1649"/>
        <v>0</v>
      </c>
      <c r="AC1893" s="16">
        <f t="shared" si="1649"/>
        <v>0</v>
      </c>
      <c r="AD1893" s="16">
        <f t="shared" si="1649"/>
        <v>0</v>
      </c>
      <c r="AE1893" s="16">
        <f t="shared" si="1649"/>
        <v>0</v>
      </c>
      <c r="AF1893" s="16">
        <f t="shared" si="1649"/>
        <v>0</v>
      </c>
      <c r="AG1893" s="16">
        <f t="shared" si="1649"/>
        <v>0</v>
      </c>
      <c r="AH1893" s="16">
        <f t="shared" si="1649"/>
        <v>0</v>
      </c>
      <c r="AI1893" s="16">
        <f t="shared" si="1649"/>
        <v>0</v>
      </c>
      <c r="AJ1893" s="16">
        <f t="shared" si="1649"/>
        <v>0</v>
      </c>
      <c r="AK1893" s="16">
        <f t="shared" si="1649"/>
        <v>0</v>
      </c>
      <c r="AL1893" s="16">
        <f t="shared" si="1649"/>
        <v>0</v>
      </c>
      <c r="AM1893" s="16">
        <f t="shared" si="1649"/>
        <v>0</v>
      </c>
      <c r="AN1893" s="16">
        <f t="shared" si="1649"/>
        <v>0</v>
      </c>
      <c r="AO1893" s="16">
        <f t="shared" si="1649"/>
        <v>0</v>
      </c>
      <c r="AP1893" s="10"/>
      <c r="AQ1893" s="10"/>
      <c r="AR1893" s="10"/>
      <c r="AS1893" s="10" t="str">
        <f t="shared" ca="1" si="1641"/>
        <v>Johnson &amp; Johnson</v>
      </c>
      <c r="AT1893" s="10"/>
      <c r="AU1893" s="10"/>
      <c r="AV1893" s="10"/>
      <c r="AW1893" s="10"/>
      <c r="AX1893" s="10"/>
      <c r="AY1893" s="10"/>
      <c r="AZ1893" s="10"/>
      <c r="BA1893" s="10"/>
      <c r="BB1893" s="10"/>
      <c r="BC1893" s="10"/>
      <c r="BD1893" s="10"/>
      <c r="BE1893" s="10"/>
      <c r="BF1893" s="10"/>
      <c r="BG1893" s="10"/>
      <c r="BH1893" s="10"/>
      <c r="BI1893" s="10"/>
      <c r="BJ1893" s="10"/>
      <c r="BK1893" s="10"/>
      <c r="BM1893" s="10"/>
    </row>
    <row r="1894" spans="1:65" ht="12.75">
      <c r="A1894" s="9"/>
      <c r="B1894" s="10"/>
      <c r="C1894" s="11"/>
      <c r="D1894" s="12"/>
      <c r="E1894" s="10"/>
      <c r="F1894" s="10"/>
      <c r="G1894" s="10"/>
      <c r="H1894" s="14"/>
      <c r="I1894" s="14"/>
      <c r="J1894" s="14"/>
      <c r="K1894" s="14"/>
      <c r="L1894" s="14"/>
      <c r="M1894" s="15"/>
      <c r="N1894" s="10"/>
      <c r="O1894" s="14"/>
      <c r="P1894" s="14"/>
      <c r="Q1894" s="14"/>
      <c r="R1894" s="14"/>
      <c r="S1894" s="14"/>
      <c r="T1894" s="14"/>
      <c r="U1894" s="14"/>
      <c r="V1894" s="14"/>
      <c r="W1894" s="14"/>
      <c r="X1894" s="14"/>
      <c r="Y1894" s="14"/>
      <c r="Z1894" s="14"/>
      <c r="AA1894" s="16" t="str">
        <f t="shared" ca="1" si="1649"/>
        <v>Johnson &amp; Johnson</v>
      </c>
      <c r="AB1894" s="16">
        <f t="shared" si="1649"/>
        <v>0</v>
      </c>
      <c r="AC1894" s="16">
        <f t="shared" si="1649"/>
        <v>0</v>
      </c>
      <c r="AD1894" s="16">
        <f t="shared" si="1649"/>
        <v>0</v>
      </c>
      <c r="AE1894" s="16">
        <f t="shared" si="1649"/>
        <v>0</v>
      </c>
      <c r="AF1894" s="16">
        <f t="shared" si="1649"/>
        <v>0</v>
      </c>
      <c r="AG1894" s="16">
        <f t="shared" si="1649"/>
        <v>0</v>
      </c>
      <c r="AH1894" s="16">
        <f t="shared" si="1649"/>
        <v>0</v>
      </c>
      <c r="AI1894" s="16">
        <f t="shared" si="1649"/>
        <v>0</v>
      </c>
      <c r="AJ1894" s="16">
        <f t="shared" si="1649"/>
        <v>0</v>
      </c>
      <c r="AK1894" s="16">
        <f t="shared" si="1649"/>
        <v>0</v>
      </c>
      <c r="AL1894" s="16">
        <f t="shared" si="1649"/>
        <v>0</v>
      </c>
      <c r="AM1894" s="16">
        <f t="shared" si="1649"/>
        <v>0</v>
      </c>
      <c r="AN1894" s="16">
        <f t="shared" si="1649"/>
        <v>0</v>
      </c>
      <c r="AO1894" s="16">
        <f t="shared" si="1649"/>
        <v>0</v>
      </c>
      <c r="AP1894" s="10"/>
      <c r="AQ1894" s="10"/>
      <c r="AR1894" s="10"/>
      <c r="AS1894" s="10" t="str">
        <f t="shared" ca="1" si="1641"/>
        <v>Johnson &amp; Johnson</v>
      </c>
      <c r="AT1894" s="10"/>
      <c r="AU1894" s="10"/>
      <c r="AV1894" s="10"/>
      <c r="AW1894" s="10"/>
      <c r="AX1894" s="10"/>
      <c r="AY1894" s="10"/>
      <c r="AZ1894" s="10"/>
      <c r="BA1894" s="10"/>
      <c r="BB1894" s="10"/>
      <c r="BC1894" s="10"/>
      <c r="BD1894" s="10"/>
      <c r="BE1894" s="10"/>
      <c r="BF1894" s="10"/>
      <c r="BG1894" s="10"/>
      <c r="BH1894" s="10"/>
      <c r="BI1894" s="10"/>
      <c r="BJ1894" s="10"/>
      <c r="BK1894" s="10"/>
      <c r="BM1894" s="10"/>
    </row>
    <row r="1895" spans="1:65" ht="12.75">
      <c r="A1895" s="9"/>
      <c r="B1895" s="10"/>
      <c r="C1895" s="11"/>
      <c r="D1895" s="12"/>
      <c r="E1895" s="10"/>
      <c r="F1895" s="10"/>
      <c r="G1895" s="10"/>
      <c r="H1895" s="14"/>
      <c r="I1895" s="14"/>
      <c r="J1895" s="14"/>
      <c r="K1895" s="14"/>
      <c r="L1895" s="14"/>
      <c r="M1895" s="15"/>
      <c r="N1895" s="10"/>
      <c r="O1895" s="14"/>
      <c r="P1895" s="14"/>
      <c r="Q1895" s="14"/>
      <c r="R1895" s="14"/>
      <c r="S1895" s="14"/>
      <c r="T1895" s="14"/>
      <c r="U1895" s="14"/>
      <c r="V1895" s="14"/>
      <c r="W1895" s="14"/>
      <c r="X1895" s="14"/>
      <c r="Y1895" s="14"/>
      <c r="Z1895" s="14"/>
      <c r="AA1895" s="16" t="str">
        <f t="shared" ca="1" si="1649"/>
        <v>Johnson &amp; Johnson</v>
      </c>
      <c r="AB1895" s="16">
        <f t="shared" si="1649"/>
        <v>0</v>
      </c>
      <c r="AC1895" s="16">
        <f t="shared" si="1649"/>
        <v>0</v>
      </c>
      <c r="AD1895" s="16">
        <f t="shared" si="1649"/>
        <v>0</v>
      </c>
      <c r="AE1895" s="16">
        <f t="shared" si="1649"/>
        <v>0</v>
      </c>
      <c r="AF1895" s="16">
        <f t="shared" si="1649"/>
        <v>0</v>
      </c>
      <c r="AG1895" s="16">
        <f t="shared" si="1649"/>
        <v>0</v>
      </c>
      <c r="AH1895" s="16">
        <f t="shared" si="1649"/>
        <v>0</v>
      </c>
      <c r="AI1895" s="16">
        <f t="shared" si="1649"/>
        <v>0</v>
      </c>
      <c r="AJ1895" s="16">
        <f t="shared" si="1649"/>
        <v>0</v>
      </c>
      <c r="AK1895" s="16">
        <f t="shared" si="1649"/>
        <v>0</v>
      </c>
      <c r="AL1895" s="16">
        <f t="shared" si="1649"/>
        <v>0</v>
      </c>
      <c r="AM1895" s="16">
        <f t="shared" si="1649"/>
        <v>0</v>
      </c>
      <c r="AN1895" s="16">
        <f t="shared" si="1649"/>
        <v>0</v>
      </c>
      <c r="AO1895" s="16">
        <f t="shared" si="1649"/>
        <v>0</v>
      </c>
      <c r="AP1895" s="10"/>
      <c r="AQ1895" s="10"/>
      <c r="AR1895" s="10"/>
      <c r="AS1895" s="10" t="str">
        <f t="shared" ca="1" si="1641"/>
        <v>Johnson &amp; Johnson</v>
      </c>
      <c r="AT1895" s="10"/>
      <c r="AU1895" s="10"/>
      <c r="AV1895" s="10"/>
      <c r="AW1895" s="10"/>
      <c r="AX1895" s="10"/>
      <c r="AY1895" s="10"/>
      <c r="AZ1895" s="10"/>
      <c r="BA1895" s="10"/>
      <c r="BB1895" s="10"/>
      <c r="BC1895" s="10"/>
      <c r="BD1895" s="10"/>
      <c r="BE1895" s="10"/>
      <c r="BF1895" s="10"/>
      <c r="BG1895" s="10"/>
      <c r="BH1895" s="10"/>
      <c r="BI1895" s="10"/>
      <c r="BJ1895" s="10"/>
      <c r="BK1895" s="10"/>
      <c r="BM1895" s="10"/>
    </row>
    <row r="1896" spans="1:65" ht="12.75">
      <c r="A1896" s="9"/>
      <c r="B1896" s="10"/>
      <c r="C1896" s="11"/>
      <c r="D1896" s="12"/>
      <c r="E1896" s="10"/>
      <c r="F1896" s="10"/>
      <c r="G1896" s="10"/>
      <c r="H1896" s="14"/>
      <c r="I1896" s="14"/>
      <c r="J1896" s="14"/>
      <c r="K1896" s="14"/>
      <c r="L1896" s="14"/>
      <c r="M1896" s="15"/>
      <c r="N1896" s="10"/>
      <c r="O1896" s="14"/>
      <c r="P1896" s="14"/>
      <c r="Q1896" s="14"/>
      <c r="R1896" s="14"/>
      <c r="S1896" s="14"/>
      <c r="T1896" s="14"/>
      <c r="U1896" s="14"/>
      <c r="V1896" s="14"/>
      <c r="W1896" s="14"/>
      <c r="X1896" s="14"/>
      <c r="Y1896" s="14"/>
      <c r="Z1896" s="14"/>
      <c r="AA1896" s="16" t="str">
        <f t="shared" ca="1" si="1649"/>
        <v>Johnson &amp; Johnson</v>
      </c>
      <c r="AB1896" s="16">
        <f t="shared" si="1649"/>
        <v>0</v>
      </c>
      <c r="AC1896" s="16">
        <f t="shared" si="1649"/>
        <v>0</v>
      </c>
      <c r="AD1896" s="16">
        <f t="shared" si="1649"/>
        <v>0</v>
      </c>
      <c r="AE1896" s="16">
        <f t="shared" si="1649"/>
        <v>0</v>
      </c>
      <c r="AF1896" s="16">
        <f t="shared" si="1649"/>
        <v>0</v>
      </c>
      <c r="AG1896" s="16">
        <f t="shared" si="1649"/>
        <v>0</v>
      </c>
      <c r="AH1896" s="16">
        <f t="shared" si="1649"/>
        <v>0</v>
      </c>
      <c r="AI1896" s="16">
        <f t="shared" si="1649"/>
        <v>0</v>
      </c>
      <c r="AJ1896" s="16">
        <f t="shared" si="1649"/>
        <v>0</v>
      </c>
      <c r="AK1896" s="16">
        <f t="shared" si="1649"/>
        <v>0</v>
      </c>
      <c r="AL1896" s="16">
        <f t="shared" si="1649"/>
        <v>0</v>
      </c>
      <c r="AM1896" s="16">
        <f t="shared" si="1649"/>
        <v>0</v>
      </c>
      <c r="AN1896" s="16">
        <f t="shared" si="1649"/>
        <v>0</v>
      </c>
      <c r="AO1896" s="16">
        <f t="shared" si="1649"/>
        <v>0</v>
      </c>
      <c r="AP1896" s="10"/>
      <c r="AQ1896" s="10"/>
      <c r="AR1896" s="10"/>
      <c r="AS1896" s="10" t="str">
        <f t="shared" ca="1" si="1641"/>
        <v>Johnson &amp; Johnson</v>
      </c>
      <c r="AT1896" s="10"/>
      <c r="AU1896" s="10"/>
      <c r="AV1896" s="10"/>
      <c r="AW1896" s="10"/>
      <c r="AX1896" s="10"/>
      <c r="AY1896" s="10"/>
      <c r="AZ1896" s="10"/>
      <c r="BA1896" s="10"/>
      <c r="BB1896" s="10"/>
      <c r="BC1896" s="10"/>
      <c r="BD1896" s="10"/>
      <c r="BE1896" s="10"/>
      <c r="BF1896" s="10"/>
      <c r="BG1896" s="10"/>
      <c r="BH1896" s="10"/>
      <c r="BI1896" s="10"/>
      <c r="BJ1896" s="10"/>
      <c r="BK1896" s="10"/>
      <c r="BM1896" s="10"/>
    </row>
    <row r="1897" spans="1:65" ht="12.75">
      <c r="A1897" s="9"/>
      <c r="B1897" s="10"/>
      <c r="C1897" s="11"/>
      <c r="D1897" s="12"/>
      <c r="E1897" s="10"/>
      <c r="F1897" s="10"/>
      <c r="G1897" s="10"/>
      <c r="H1897" s="14"/>
      <c r="I1897" s="14"/>
      <c r="J1897" s="14"/>
      <c r="K1897" s="14"/>
      <c r="L1897" s="14"/>
      <c r="M1897" s="15"/>
      <c r="N1897" s="10"/>
      <c r="O1897" s="14"/>
      <c r="P1897" s="14"/>
      <c r="Q1897" s="14"/>
      <c r="R1897" s="14"/>
      <c r="S1897" s="14"/>
      <c r="T1897" s="14"/>
      <c r="U1897" s="14"/>
      <c r="V1897" s="14"/>
      <c r="W1897" s="14"/>
      <c r="X1897" s="14"/>
      <c r="Y1897" s="14"/>
      <c r="Z1897" s="14"/>
      <c r="AA1897" s="16" t="str">
        <f t="shared" ref="AA1897:AO1912" ca="1" si="1650">AS1897</f>
        <v>Johnson &amp; Johnson</v>
      </c>
      <c r="AB1897" s="16">
        <f t="shared" si="1650"/>
        <v>0</v>
      </c>
      <c r="AC1897" s="16">
        <f t="shared" si="1650"/>
        <v>0</v>
      </c>
      <c r="AD1897" s="16">
        <f t="shared" si="1650"/>
        <v>0</v>
      </c>
      <c r="AE1897" s="16">
        <f t="shared" si="1650"/>
        <v>0</v>
      </c>
      <c r="AF1897" s="16">
        <f t="shared" si="1650"/>
        <v>0</v>
      </c>
      <c r="AG1897" s="16">
        <f t="shared" si="1650"/>
        <v>0</v>
      </c>
      <c r="AH1897" s="16">
        <f t="shared" si="1650"/>
        <v>0</v>
      </c>
      <c r="AI1897" s="16">
        <f t="shared" si="1650"/>
        <v>0</v>
      </c>
      <c r="AJ1897" s="16">
        <f t="shared" si="1650"/>
        <v>0</v>
      </c>
      <c r="AK1897" s="16">
        <f t="shared" si="1650"/>
        <v>0</v>
      </c>
      <c r="AL1897" s="16">
        <f t="shared" si="1650"/>
        <v>0</v>
      </c>
      <c r="AM1897" s="16">
        <f t="shared" si="1650"/>
        <v>0</v>
      </c>
      <c r="AN1897" s="16">
        <f t="shared" si="1650"/>
        <v>0</v>
      </c>
      <c r="AO1897" s="16">
        <f t="shared" si="1650"/>
        <v>0</v>
      </c>
      <c r="AP1897" s="10"/>
      <c r="AQ1897" s="10"/>
      <c r="AR1897" s="10"/>
      <c r="AS1897" s="10" t="str">
        <f t="shared" ca="1" si="1641"/>
        <v>Johnson &amp; Johnson</v>
      </c>
      <c r="AT1897" s="10"/>
      <c r="AU1897" s="10"/>
      <c r="AV1897" s="10"/>
      <c r="AW1897" s="10"/>
      <c r="AX1897" s="10"/>
      <c r="AY1897" s="10"/>
      <c r="AZ1897" s="10"/>
      <c r="BA1897" s="10"/>
      <c r="BB1897" s="10"/>
      <c r="BC1897" s="10"/>
      <c r="BD1897" s="10"/>
      <c r="BE1897" s="10"/>
      <c r="BF1897" s="10"/>
      <c r="BG1897" s="10"/>
      <c r="BH1897" s="10"/>
      <c r="BI1897" s="10"/>
      <c r="BJ1897" s="10"/>
      <c r="BK1897" s="10"/>
      <c r="BM1897" s="10"/>
    </row>
    <row r="1898" spans="1:65" ht="12.75">
      <c r="A1898" s="9"/>
      <c r="B1898" s="10"/>
      <c r="C1898" s="11"/>
      <c r="D1898" s="12"/>
      <c r="E1898" s="10"/>
      <c r="F1898" s="10"/>
      <c r="G1898" s="10"/>
      <c r="H1898" s="14"/>
      <c r="I1898" s="14"/>
      <c r="J1898" s="14"/>
      <c r="K1898" s="14"/>
      <c r="L1898" s="14"/>
      <c r="M1898" s="15"/>
      <c r="N1898" s="10"/>
      <c r="O1898" s="14"/>
      <c r="P1898" s="14"/>
      <c r="Q1898" s="14"/>
      <c r="R1898" s="14"/>
      <c r="S1898" s="14"/>
      <c r="T1898" s="14"/>
      <c r="U1898" s="14"/>
      <c r="V1898" s="14"/>
      <c r="W1898" s="14"/>
      <c r="X1898" s="14"/>
      <c r="Y1898" s="14"/>
      <c r="Z1898" s="14"/>
      <c r="AA1898" s="16" t="str">
        <f t="shared" ca="1" si="1650"/>
        <v>Johnson &amp; Johnson</v>
      </c>
      <c r="AB1898" s="16">
        <f t="shared" si="1650"/>
        <v>0</v>
      </c>
      <c r="AC1898" s="16">
        <f t="shared" si="1650"/>
        <v>0</v>
      </c>
      <c r="AD1898" s="16">
        <f t="shared" si="1650"/>
        <v>0</v>
      </c>
      <c r="AE1898" s="16">
        <f t="shared" si="1650"/>
        <v>0</v>
      </c>
      <c r="AF1898" s="16">
        <f t="shared" si="1650"/>
        <v>0</v>
      </c>
      <c r="AG1898" s="16">
        <f t="shared" si="1650"/>
        <v>0</v>
      </c>
      <c r="AH1898" s="16">
        <f t="shared" si="1650"/>
        <v>0</v>
      </c>
      <c r="AI1898" s="16">
        <f t="shared" si="1650"/>
        <v>0</v>
      </c>
      <c r="AJ1898" s="16">
        <f t="shared" si="1650"/>
        <v>0</v>
      </c>
      <c r="AK1898" s="16">
        <f t="shared" si="1650"/>
        <v>0</v>
      </c>
      <c r="AL1898" s="16">
        <f t="shared" si="1650"/>
        <v>0</v>
      </c>
      <c r="AM1898" s="16">
        <f t="shared" si="1650"/>
        <v>0</v>
      </c>
      <c r="AN1898" s="16">
        <f t="shared" si="1650"/>
        <v>0</v>
      </c>
      <c r="AO1898" s="16">
        <f t="shared" si="1650"/>
        <v>0</v>
      </c>
      <c r="AP1898" s="10"/>
      <c r="AQ1898" s="10"/>
      <c r="AR1898" s="10"/>
      <c r="AS1898" s="10" t="str">
        <f t="shared" ca="1" si="1641"/>
        <v>Johnson &amp; Johnson</v>
      </c>
      <c r="AT1898" s="10"/>
      <c r="AU1898" s="10"/>
      <c r="AV1898" s="10"/>
      <c r="AW1898" s="10"/>
      <c r="AX1898" s="10"/>
      <c r="AY1898" s="10"/>
      <c r="AZ1898" s="10"/>
      <c r="BA1898" s="10"/>
      <c r="BB1898" s="10"/>
      <c r="BC1898" s="10"/>
      <c r="BD1898" s="10"/>
      <c r="BE1898" s="10"/>
      <c r="BF1898" s="10"/>
      <c r="BG1898" s="10"/>
      <c r="BH1898" s="10"/>
      <c r="BI1898" s="10"/>
      <c r="BJ1898" s="10"/>
      <c r="BK1898" s="10"/>
      <c r="BM1898" s="10"/>
    </row>
    <row r="1899" spans="1:65" ht="12.75">
      <c r="A1899" s="9"/>
      <c r="B1899" s="10"/>
      <c r="C1899" s="11"/>
      <c r="D1899" s="12"/>
      <c r="E1899" s="10"/>
      <c r="F1899" s="10"/>
      <c r="G1899" s="10"/>
      <c r="H1899" s="14"/>
      <c r="I1899" s="14"/>
      <c r="J1899" s="14"/>
      <c r="K1899" s="14"/>
      <c r="L1899" s="14"/>
      <c r="M1899" s="15"/>
      <c r="N1899" s="10"/>
      <c r="O1899" s="14"/>
      <c r="P1899" s="14"/>
      <c r="Q1899" s="14"/>
      <c r="R1899" s="14"/>
      <c r="S1899" s="14"/>
      <c r="T1899" s="14"/>
      <c r="U1899" s="14"/>
      <c r="V1899" s="14"/>
      <c r="W1899" s="14"/>
      <c r="X1899" s="14"/>
      <c r="Y1899" s="14"/>
      <c r="Z1899" s="14"/>
      <c r="AA1899" s="16" t="str">
        <f t="shared" ca="1" si="1650"/>
        <v>Johnson &amp; Johnson</v>
      </c>
      <c r="AB1899" s="16">
        <f t="shared" si="1650"/>
        <v>0</v>
      </c>
      <c r="AC1899" s="16">
        <f t="shared" si="1650"/>
        <v>0</v>
      </c>
      <c r="AD1899" s="16">
        <f t="shared" si="1650"/>
        <v>0</v>
      </c>
      <c r="AE1899" s="16">
        <f t="shared" si="1650"/>
        <v>0</v>
      </c>
      <c r="AF1899" s="16">
        <f t="shared" si="1650"/>
        <v>0</v>
      </c>
      <c r="AG1899" s="16">
        <f t="shared" si="1650"/>
        <v>0</v>
      </c>
      <c r="AH1899" s="16">
        <f t="shared" si="1650"/>
        <v>0</v>
      </c>
      <c r="AI1899" s="16">
        <f t="shared" si="1650"/>
        <v>0</v>
      </c>
      <c r="AJ1899" s="16">
        <f t="shared" si="1650"/>
        <v>0</v>
      </c>
      <c r="AK1899" s="16">
        <f t="shared" si="1650"/>
        <v>0</v>
      </c>
      <c r="AL1899" s="16">
        <f t="shared" si="1650"/>
        <v>0</v>
      </c>
      <c r="AM1899" s="16">
        <f t="shared" si="1650"/>
        <v>0</v>
      </c>
      <c r="AN1899" s="16">
        <f t="shared" si="1650"/>
        <v>0</v>
      </c>
      <c r="AO1899" s="16">
        <f t="shared" si="1650"/>
        <v>0</v>
      </c>
      <c r="AP1899" s="10"/>
      <c r="AQ1899" s="10"/>
      <c r="AR1899" s="10"/>
      <c r="AS1899" s="10" t="str">
        <f t="shared" ca="1" si="1641"/>
        <v>Johnson &amp; Johnson</v>
      </c>
      <c r="AT1899" s="10"/>
      <c r="AU1899" s="10"/>
      <c r="AV1899" s="10"/>
      <c r="AW1899" s="10"/>
      <c r="AX1899" s="10"/>
      <c r="AY1899" s="10"/>
      <c r="AZ1899" s="10"/>
      <c r="BA1899" s="10"/>
      <c r="BB1899" s="10"/>
      <c r="BC1899" s="10"/>
      <c r="BD1899" s="10"/>
      <c r="BE1899" s="10"/>
      <c r="BF1899" s="10"/>
      <c r="BG1899" s="10"/>
      <c r="BH1899" s="10"/>
      <c r="BI1899" s="10"/>
      <c r="BJ1899" s="10"/>
      <c r="BK1899" s="10"/>
      <c r="BM1899" s="10"/>
    </row>
    <row r="1900" spans="1:65" ht="12.75">
      <c r="A1900" s="9"/>
      <c r="B1900" s="10"/>
      <c r="C1900" s="11"/>
      <c r="D1900" s="12"/>
      <c r="E1900" s="10"/>
      <c r="F1900" s="10"/>
      <c r="G1900" s="10"/>
      <c r="H1900" s="14"/>
      <c r="I1900" s="14"/>
      <c r="J1900" s="14"/>
      <c r="K1900" s="14"/>
      <c r="L1900" s="14"/>
      <c r="M1900" s="15"/>
      <c r="N1900" s="10"/>
      <c r="O1900" s="14"/>
      <c r="P1900" s="14"/>
      <c r="Q1900" s="14"/>
      <c r="R1900" s="14"/>
      <c r="S1900" s="14"/>
      <c r="T1900" s="14"/>
      <c r="U1900" s="14"/>
      <c r="V1900" s="14"/>
      <c r="W1900" s="14"/>
      <c r="X1900" s="14"/>
      <c r="Y1900" s="14"/>
      <c r="Z1900" s="14"/>
      <c r="AA1900" s="16" t="str">
        <f t="shared" ca="1" si="1650"/>
        <v>Johnson &amp; Johnson</v>
      </c>
      <c r="AB1900" s="16">
        <f t="shared" si="1650"/>
        <v>0</v>
      </c>
      <c r="AC1900" s="16">
        <f t="shared" si="1650"/>
        <v>0</v>
      </c>
      <c r="AD1900" s="16">
        <f t="shared" si="1650"/>
        <v>0</v>
      </c>
      <c r="AE1900" s="16">
        <f t="shared" si="1650"/>
        <v>0</v>
      </c>
      <c r="AF1900" s="16">
        <f t="shared" si="1650"/>
        <v>0</v>
      </c>
      <c r="AG1900" s="16">
        <f t="shared" si="1650"/>
        <v>0</v>
      </c>
      <c r="AH1900" s="16">
        <f t="shared" si="1650"/>
        <v>0</v>
      </c>
      <c r="AI1900" s="16">
        <f t="shared" si="1650"/>
        <v>0</v>
      </c>
      <c r="AJ1900" s="16">
        <f t="shared" si="1650"/>
        <v>0</v>
      </c>
      <c r="AK1900" s="16">
        <f t="shared" si="1650"/>
        <v>0</v>
      </c>
      <c r="AL1900" s="16">
        <f t="shared" si="1650"/>
        <v>0</v>
      </c>
      <c r="AM1900" s="16">
        <f t="shared" si="1650"/>
        <v>0</v>
      </c>
      <c r="AN1900" s="16">
        <f t="shared" si="1650"/>
        <v>0</v>
      </c>
      <c r="AO1900" s="16">
        <f t="shared" si="1650"/>
        <v>0</v>
      </c>
      <c r="AP1900" s="10"/>
      <c r="AQ1900" s="10"/>
      <c r="AR1900" s="10"/>
      <c r="AS1900" s="10" t="str">
        <f t="shared" ca="1" si="1641"/>
        <v>Johnson &amp; Johnson</v>
      </c>
      <c r="AT1900" s="10"/>
      <c r="AU1900" s="10"/>
      <c r="AV1900" s="10"/>
      <c r="AW1900" s="10"/>
      <c r="AX1900" s="10"/>
      <c r="AY1900" s="10"/>
      <c r="AZ1900" s="10"/>
      <c r="BA1900" s="10"/>
      <c r="BB1900" s="10"/>
      <c r="BC1900" s="10"/>
      <c r="BD1900" s="10"/>
      <c r="BE1900" s="10"/>
      <c r="BF1900" s="10"/>
      <c r="BG1900" s="10"/>
      <c r="BH1900" s="10"/>
      <c r="BI1900" s="10"/>
      <c r="BJ1900" s="10"/>
      <c r="BK1900" s="10"/>
      <c r="BM1900" s="10"/>
    </row>
    <row r="1901" spans="1:65" ht="12.75">
      <c r="A1901" s="9"/>
      <c r="B1901" s="10"/>
      <c r="C1901" s="11"/>
      <c r="D1901" s="12"/>
      <c r="E1901" s="10"/>
      <c r="F1901" s="10"/>
      <c r="G1901" s="10"/>
      <c r="H1901" s="14"/>
      <c r="I1901" s="14"/>
      <c r="J1901" s="14"/>
      <c r="K1901" s="14"/>
      <c r="L1901" s="14"/>
      <c r="M1901" s="15"/>
      <c r="N1901" s="10"/>
      <c r="O1901" s="14"/>
      <c r="P1901" s="14"/>
      <c r="Q1901" s="14"/>
      <c r="R1901" s="14"/>
      <c r="S1901" s="14"/>
      <c r="T1901" s="14"/>
      <c r="U1901" s="14"/>
      <c r="V1901" s="14"/>
      <c r="W1901" s="14"/>
      <c r="X1901" s="14"/>
      <c r="Y1901" s="14"/>
      <c r="Z1901" s="14"/>
      <c r="AA1901" s="16" t="str">
        <f t="shared" ca="1" si="1650"/>
        <v>Johnson &amp; Johnson</v>
      </c>
      <c r="AB1901" s="16">
        <f t="shared" si="1650"/>
        <v>0</v>
      </c>
      <c r="AC1901" s="16">
        <f t="shared" si="1650"/>
        <v>0</v>
      </c>
      <c r="AD1901" s="16">
        <f t="shared" si="1650"/>
        <v>0</v>
      </c>
      <c r="AE1901" s="16">
        <f t="shared" si="1650"/>
        <v>0</v>
      </c>
      <c r="AF1901" s="16">
        <f t="shared" si="1650"/>
        <v>0</v>
      </c>
      <c r="AG1901" s="16">
        <f t="shared" si="1650"/>
        <v>0</v>
      </c>
      <c r="AH1901" s="16">
        <f t="shared" si="1650"/>
        <v>0</v>
      </c>
      <c r="AI1901" s="16">
        <f t="shared" si="1650"/>
        <v>0</v>
      </c>
      <c r="AJ1901" s="16">
        <f t="shared" si="1650"/>
        <v>0</v>
      </c>
      <c r="AK1901" s="16">
        <f t="shared" si="1650"/>
        <v>0</v>
      </c>
      <c r="AL1901" s="16">
        <f t="shared" si="1650"/>
        <v>0</v>
      </c>
      <c r="AM1901" s="16">
        <f t="shared" si="1650"/>
        <v>0</v>
      </c>
      <c r="AN1901" s="16">
        <f t="shared" si="1650"/>
        <v>0</v>
      </c>
      <c r="AO1901" s="16">
        <f t="shared" si="1650"/>
        <v>0</v>
      </c>
      <c r="AP1901" s="10"/>
      <c r="AQ1901" s="10"/>
      <c r="AR1901" s="10"/>
      <c r="AS1901" s="10" t="str">
        <f t="shared" ca="1" si="1641"/>
        <v>Johnson &amp; Johnson</v>
      </c>
      <c r="AT1901" s="10"/>
      <c r="AU1901" s="10"/>
      <c r="AV1901" s="10"/>
      <c r="AW1901" s="10"/>
      <c r="AX1901" s="10"/>
      <c r="AY1901" s="10"/>
      <c r="AZ1901" s="10"/>
      <c r="BA1901" s="10"/>
      <c r="BB1901" s="10"/>
      <c r="BC1901" s="10"/>
      <c r="BD1901" s="10"/>
      <c r="BE1901" s="10"/>
      <c r="BF1901" s="10"/>
      <c r="BG1901" s="10"/>
      <c r="BH1901" s="10"/>
      <c r="BI1901" s="10"/>
      <c r="BJ1901" s="10"/>
      <c r="BK1901" s="10"/>
      <c r="BM1901" s="10"/>
    </row>
    <row r="1902" spans="1:65" ht="12.75">
      <c r="A1902" s="9"/>
      <c r="B1902" s="10"/>
      <c r="C1902" s="11"/>
      <c r="D1902" s="12"/>
      <c r="E1902" s="10"/>
      <c r="F1902" s="10"/>
      <c r="G1902" s="10"/>
      <c r="H1902" s="14"/>
      <c r="I1902" s="14"/>
      <c r="J1902" s="14"/>
      <c r="K1902" s="14"/>
      <c r="L1902" s="14"/>
      <c r="M1902" s="15"/>
      <c r="N1902" s="10"/>
      <c r="O1902" s="14"/>
      <c r="P1902" s="14"/>
      <c r="Q1902" s="14"/>
      <c r="R1902" s="14"/>
      <c r="S1902" s="14"/>
      <c r="T1902" s="14"/>
      <c r="U1902" s="14"/>
      <c r="V1902" s="14"/>
      <c r="W1902" s="14"/>
      <c r="X1902" s="14"/>
      <c r="Y1902" s="14"/>
      <c r="Z1902" s="14"/>
      <c r="AA1902" s="16" t="str">
        <f t="shared" ca="1" si="1650"/>
        <v>Johnson &amp; Johnson</v>
      </c>
      <c r="AB1902" s="16">
        <f t="shared" si="1650"/>
        <v>0</v>
      </c>
      <c r="AC1902" s="16">
        <f t="shared" si="1650"/>
        <v>0</v>
      </c>
      <c r="AD1902" s="16">
        <f t="shared" si="1650"/>
        <v>0</v>
      </c>
      <c r="AE1902" s="16">
        <f t="shared" si="1650"/>
        <v>0</v>
      </c>
      <c r="AF1902" s="16">
        <f t="shared" si="1650"/>
        <v>0</v>
      </c>
      <c r="AG1902" s="16">
        <f t="shared" si="1650"/>
        <v>0</v>
      </c>
      <c r="AH1902" s="16">
        <f t="shared" si="1650"/>
        <v>0</v>
      </c>
      <c r="AI1902" s="16">
        <f t="shared" si="1650"/>
        <v>0</v>
      </c>
      <c r="AJ1902" s="16">
        <f t="shared" si="1650"/>
        <v>0</v>
      </c>
      <c r="AK1902" s="16">
        <f t="shared" si="1650"/>
        <v>0</v>
      </c>
      <c r="AL1902" s="16">
        <f t="shared" si="1650"/>
        <v>0</v>
      </c>
      <c r="AM1902" s="16">
        <f t="shared" si="1650"/>
        <v>0</v>
      </c>
      <c r="AN1902" s="16">
        <f t="shared" si="1650"/>
        <v>0</v>
      </c>
      <c r="AO1902" s="16">
        <f t="shared" si="1650"/>
        <v>0</v>
      </c>
      <c r="AP1902" s="10"/>
      <c r="AQ1902" s="10"/>
      <c r="AR1902" s="10"/>
      <c r="AS1902" s="10" t="str">
        <f t="shared" ca="1" si="1641"/>
        <v>Johnson &amp; Johnson</v>
      </c>
      <c r="AT1902" s="10"/>
      <c r="AU1902" s="10"/>
      <c r="AV1902" s="10"/>
      <c r="AW1902" s="10"/>
      <c r="AX1902" s="10"/>
      <c r="AY1902" s="10"/>
      <c r="AZ1902" s="10"/>
      <c r="BA1902" s="10"/>
      <c r="BB1902" s="10"/>
      <c r="BC1902" s="10"/>
      <c r="BD1902" s="10"/>
      <c r="BE1902" s="10"/>
      <c r="BF1902" s="10"/>
      <c r="BG1902" s="10"/>
      <c r="BH1902" s="10"/>
      <c r="BI1902" s="10"/>
      <c r="BJ1902" s="10"/>
      <c r="BK1902" s="10"/>
      <c r="BM1902" s="10"/>
    </row>
    <row r="1903" spans="1:65" ht="12.75">
      <c r="A1903" s="9"/>
      <c r="B1903" s="10"/>
      <c r="C1903" s="11"/>
      <c r="D1903" s="12"/>
      <c r="E1903" s="10"/>
      <c r="F1903" s="10"/>
      <c r="G1903" s="10"/>
      <c r="H1903" s="14"/>
      <c r="I1903" s="14"/>
      <c r="J1903" s="14"/>
      <c r="K1903" s="14"/>
      <c r="L1903" s="14"/>
      <c r="M1903" s="15"/>
      <c r="N1903" s="10"/>
      <c r="O1903" s="14"/>
      <c r="P1903" s="14"/>
      <c r="Q1903" s="14"/>
      <c r="R1903" s="14"/>
      <c r="S1903" s="14"/>
      <c r="T1903" s="14"/>
      <c r="U1903" s="14"/>
      <c r="V1903" s="14"/>
      <c r="W1903" s="14"/>
      <c r="X1903" s="14"/>
      <c r="Y1903" s="14"/>
      <c r="Z1903" s="14"/>
      <c r="AA1903" s="16" t="str">
        <f t="shared" ca="1" si="1650"/>
        <v>Johnson &amp; Johnson</v>
      </c>
      <c r="AB1903" s="16">
        <f t="shared" si="1650"/>
        <v>0</v>
      </c>
      <c r="AC1903" s="16">
        <f t="shared" si="1650"/>
        <v>0</v>
      </c>
      <c r="AD1903" s="16">
        <f t="shared" si="1650"/>
        <v>0</v>
      </c>
      <c r="AE1903" s="16">
        <f t="shared" si="1650"/>
        <v>0</v>
      </c>
      <c r="AF1903" s="16">
        <f t="shared" si="1650"/>
        <v>0</v>
      </c>
      <c r="AG1903" s="16">
        <f t="shared" si="1650"/>
        <v>0</v>
      </c>
      <c r="AH1903" s="16">
        <f t="shared" si="1650"/>
        <v>0</v>
      </c>
      <c r="AI1903" s="16">
        <f t="shared" si="1650"/>
        <v>0</v>
      </c>
      <c r="AJ1903" s="16">
        <f t="shared" si="1650"/>
        <v>0</v>
      </c>
      <c r="AK1903" s="16">
        <f t="shared" si="1650"/>
        <v>0</v>
      </c>
      <c r="AL1903" s="16">
        <f t="shared" si="1650"/>
        <v>0</v>
      </c>
      <c r="AM1903" s="16">
        <f t="shared" si="1650"/>
        <v>0</v>
      </c>
      <c r="AN1903" s="16">
        <f t="shared" si="1650"/>
        <v>0</v>
      </c>
      <c r="AO1903" s="16">
        <f t="shared" si="1650"/>
        <v>0</v>
      </c>
      <c r="AP1903" s="10"/>
      <c r="AQ1903" s="10"/>
      <c r="AR1903" s="10"/>
      <c r="AS1903" s="10" t="str">
        <f t="shared" ca="1" si="1641"/>
        <v>Johnson &amp; Johnson</v>
      </c>
      <c r="AT1903" s="10"/>
      <c r="AU1903" s="10"/>
      <c r="AV1903" s="10"/>
      <c r="AW1903" s="10"/>
      <c r="AX1903" s="10"/>
      <c r="AY1903" s="10"/>
      <c r="AZ1903" s="10"/>
      <c r="BA1903" s="10"/>
      <c r="BB1903" s="10"/>
      <c r="BC1903" s="10"/>
      <c r="BD1903" s="10"/>
      <c r="BE1903" s="10"/>
      <c r="BF1903" s="10"/>
      <c r="BG1903" s="10"/>
      <c r="BH1903" s="10"/>
      <c r="BI1903" s="10"/>
      <c r="BJ1903" s="10"/>
      <c r="BK1903" s="10"/>
      <c r="BM1903" s="10"/>
    </row>
    <row r="1904" spans="1:65" ht="12.75">
      <c r="A1904" s="9"/>
      <c r="B1904" s="10"/>
      <c r="C1904" s="11"/>
      <c r="D1904" s="12"/>
      <c r="E1904" s="10"/>
      <c r="F1904" s="10"/>
      <c r="G1904" s="10"/>
      <c r="H1904" s="14"/>
      <c r="I1904" s="14"/>
      <c r="J1904" s="14"/>
      <c r="K1904" s="14"/>
      <c r="L1904" s="14"/>
      <c r="M1904" s="15"/>
      <c r="N1904" s="10"/>
      <c r="O1904" s="14"/>
      <c r="P1904" s="14"/>
      <c r="Q1904" s="14"/>
      <c r="R1904" s="14"/>
      <c r="S1904" s="14"/>
      <c r="T1904" s="14"/>
      <c r="U1904" s="14"/>
      <c r="V1904" s="14"/>
      <c r="W1904" s="14"/>
      <c r="X1904" s="14"/>
      <c r="Y1904" s="14"/>
      <c r="Z1904" s="14"/>
      <c r="AA1904" s="16" t="str">
        <f t="shared" ca="1" si="1650"/>
        <v>Johnson &amp; Johnson</v>
      </c>
      <c r="AB1904" s="16">
        <f t="shared" si="1650"/>
        <v>0</v>
      </c>
      <c r="AC1904" s="16">
        <f t="shared" si="1650"/>
        <v>0</v>
      </c>
      <c r="AD1904" s="16">
        <f t="shared" si="1650"/>
        <v>0</v>
      </c>
      <c r="AE1904" s="16">
        <f t="shared" si="1650"/>
        <v>0</v>
      </c>
      <c r="AF1904" s="16">
        <f t="shared" si="1650"/>
        <v>0</v>
      </c>
      <c r="AG1904" s="16">
        <f t="shared" si="1650"/>
        <v>0</v>
      </c>
      <c r="AH1904" s="16">
        <f t="shared" si="1650"/>
        <v>0</v>
      </c>
      <c r="AI1904" s="16">
        <f t="shared" si="1650"/>
        <v>0</v>
      </c>
      <c r="AJ1904" s="16">
        <f t="shared" si="1650"/>
        <v>0</v>
      </c>
      <c r="AK1904" s="16">
        <f t="shared" si="1650"/>
        <v>0</v>
      </c>
      <c r="AL1904" s="16">
        <f t="shared" si="1650"/>
        <v>0</v>
      </c>
      <c r="AM1904" s="16">
        <f t="shared" si="1650"/>
        <v>0</v>
      </c>
      <c r="AN1904" s="16">
        <f t="shared" si="1650"/>
        <v>0</v>
      </c>
      <c r="AO1904" s="16">
        <f t="shared" si="1650"/>
        <v>0</v>
      </c>
      <c r="AP1904" s="10"/>
      <c r="AQ1904" s="10"/>
      <c r="AR1904" s="10"/>
      <c r="AS1904" s="10" t="str">
        <f t="shared" ca="1" si="1641"/>
        <v>Johnson &amp; Johnson</v>
      </c>
      <c r="AT1904" s="10"/>
      <c r="AU1904" s="10"/>
      <c r="AV1904" s="10"/>
      <c r="AW1904" s="10"/>
      <c r="AX1904" s="10"/>
      <c r="AY1904" s="10"/>
      <c r="AZ1904" s="10"/>
      <c r="BA1904" s="10"/>
      <c r="BB1904" s="10"/>
      <c r="BC1904" s="10"/>
      <c r="BD1904" s="10"/>
      <c r="BE1904" s="10"/>
      <c r="BF1904" s="10"/>
      <c r="BG1904" s="10"/>
      <c r="BH1904" s="10"/>
      <c r="BI1904" s="10"/>
      <c r="BJ1904" s="10"/>
      <c r="BK1904" s="10"/>
      <c r="BM1904" s="10"/>
    </row>
    <row r="1905" spans="1:65" ht="12.75">
      <c r="A1905" s="9"/>
      <c r="B1905" s="10"/>
      <c r="C1905" s="11"/>
      <c r="D1905" s="12"/>
      <c r="E1905" s="10"/>
      <c r="F1905" s="10"/>
      <c r="G1905" s="10"/>
      <c r="H1905" s="14"/>
      <c r="I1905" s="14"/>
      <c r="J1905" s="14"/>
      <c r="K1905" s="14"/>
      <c r="L1905" s="14"/>
      <c r="M1905" s="15"/>
      <c r="N1905" s="10"/>
      <c r="O1905" s="14"/>
      <c r="P1905" s="14"/>
      <c r="Q1905" s="14"/>
      <c r="R1905" s="14"/>
      <c r="S1905" s="14"/>
      <c r="T1905" s="14"/>
      <c r="U1905" s="14"/>
      <c r="V1905" s="14"/>
      <c r="W1905" s="14"/>
      <c r="X1905" s="14"/>
      <c r="Y1905" s="14"/>
      <c r="Z1905" s="14"/>
      <c r="AA1905" s="16" t="str">
        <f t="shared" ca="1" si="1650"/>
        <v>Johnson &amp; Johnson</v>
      </c>
      <c r="AB1905" s="16">
        <f t="shared" si="1650"/>
        <v>0</v>
      </c>
      <c r="AC1905" s="16">
        <f t="shared" si="1650"/>
        <v>0</v>
      </c>
      <c r="AD1905" s="16">
        <f t="shared" si="1650"/>
        <v>0</v>
      </c>
      <c r="AE1905" s="16">
        <f t="shared" si="1650"/>
        <v>0</v>
      </c>
      <c r="AF1905" s="16">
        <f t="shared" si="1650"/>
        <v>0</v>
      </c>
      <c r="AG1905" s="16">
        <f t="shared" si="1650"/>
        <v>0</v>
      </c>
      <c r="AH1905" s="16">
        <f t="shared" si="1650"/>
        <v>0</v>
      </c>
      <c r="AI1905" s="16">
        <f t="shared" si="1650"/>
        <v>0</v>
      </c>
      <c r="AJ1905" s="16">
        <f t="shared" si="1650"/>
        <v>0</v>
      </c>
      <c r="AK1905" s="16">
        <f t="shared" si="1650"/>
        <v>0</v>
      </c>
      <c r="AL1905" s="16">
        <f t="shared" si="1650"/>
        <v>0</v>
      </c>
      <c r="AM1905" s="16">
        <f t="shared" si="1650"/>
        <v>0</v>
      </c>
      <c r="AN1905" s="16">
        <f t="shared" si="1650"/>
        <v>0</v>
      </c>
      <c r="AO1905" s="16">
        <f t="shared" si="1650"/>
        <v>0</v>
      </c>
      <c r="AP1905" s="10"/>
      <c r="AQ1905" s="10"/>
      <c r="AR1905" s="10"/>
      <c r="AS1905" s="10" t="str">
        <f t="shared" ca="1" si="1641"/>
        <v>Johnson &amp; Johnson</v>
      </c>
      <c r="AT1905" s="10"/>
      <c r="AU1905" s="10"/>
      <c r="AV1905" s="10"/>
      <c r="AW1905" s="10"/>
      <c r="AX1905" s="10"/>
      <c r="AY1905" s="10"/>
      <c r="AZ1905" s="10"/>
      <c r="BA1905" s="10"/>
      <c r="BB1905" s="10"/>
      <c r="BC1905" s="10"/>
      <c r="BD1905" s="10"/>
      <c r="BE1905" s="10"/>
      <c r="BF1905" s="10"/>
      <c r="BG1905" s="10"/>
      <c r="BH1905" s="10"/>
      <c r="BI1905" s="10"/>
      <c r="BJ1905" s="10"/>
      <c r="BK1905" s="10"/>
      <c r="BM1905" s="10"/>
    </row>
    <row r="1906" spans="1:65" ht="12.75">
      <c r="A1906" s="9"/>
      <c r="B1906" s="10"/>
      <c r="C1906" s="11"/>
      <c r="D1906" s="12"/>
      <c r="E1906" s="10"/>
      <c r="F1906" s="10"/>
      <c r="G1906" s="10"/>
      <c r="H1906" s="14"/>
      <c r="I1906" s="14"/>
      <c r="J1906" s="14"/>
      <c r="K1906" s="14"/>
      <c r="L1906" s="14"/>
      <c r="M1906" s="15"/>
      <c r="N1906" s="10"/>
      <c r="O1906" s="14"/>
      <c r="P1906" s="14"/>
      <c r="Q1906" s="14"/>
      <c r="R1906" s="14"/>
      <c r="S1906" s="14"/>
      <c r="T1906" s="14"/>
      <c r="U1906" s="14"/>
      <c r="V1906" s="14"/>
      <c r="W1906" s="14"/>
      <c r="X1906" s="14"/>
      <c r="Y1906" s="14"/>
      <c r="Z1906" s="14"/>
      <c r="AA1906" s="16" t="str">
        <f t="shared" ca="1" si="1650"/>
        <v>Johnson &amp; Johnson</v>
      </c>
      <c r="AB1906" s="16">
        <f t="shared" si="1650"/>
        <v>0</v>
      </c>
      <c r="AC1906" s="16">
        <f t="shared" si="1650"/>
        <v>0</v>
      </c>
      <c r="AD1906" s="16">
        <f t="shared" si="1650"/>
        <v>0</v>
      </c>
      <c r="AE1906" s="16">
        <f t="shared" si="1650"/>
        <v>0</v>
      </c>
      <c r="AF1906" s="16">
        <f t="shared" si="1650"/>
        <v>0</v>
      </c>
      <c r="AG1906" s="16">
        <f t="shared" si="1650"/>
        <v>0</v>
      </c>
      <c r="AH1906" s="16">
        <f t="shared" si="1650"/>
        <v>0</v>
      </c>
      <c r="AI1906" s="16">
        <f t="shared" si="1650"/>
        <v>0</v>
      </c>
      <c r="AJ1906" s="16">
        <f t="shared" si="1650"/>
        <v>0</v>
      </c>
      <c r="AK1906" s="16">
        <f t="shared" si="1650"/>
        <v>0</v>
      </c>
      <c r="AL1906" s="16">
        <f t="shared" si="1650"/>
        <v>0</v>
      </c>
      <c r="AM1906" s="16">
        <f t="shared" si="1650"/>
        <v>0</v>
      </c>
      <c r="AN1906" s="16">
        <f t="shared" si="1650"/>
        <v>0</v>
      </c>
      <c r="AO1906" s="16">
        <f t="shared" si="1650"/>
        <v>0</v>
      </c>
      <c r="AP1906" s="10"/>
      <c r="AQ1906" s="10"/>
      <c r="AR1906" s="10"/>
      <c r="AS1906" s="10" t="str">
        <f t="shared" ca="1" si="1641"/>
        <v>Johnson &amp; Johnson</v>
      </c>
      <c r="AT1906" s="10"/>
      <c r="AU1906" s="10"/>
      <c r="AV1906" s="10"/>
      <c r="AW1906" s="10"/>
      <c r="AX1906" s="10"/>
      <c r="AY1906" s="10"/>
      <c r="AZ1906" s="10"/>
      <c r="BA1906" s="10"/>
      <c r="BB1906" s="10"/>
      <c r="BC1906" s="10"/>
      <c r="BD1906" s="10"/>
      <c r="BE1906" s="10"/>
      <c r="BF1906" s="10"/>
      <c r="BG1906" s="10"/>
      <c r="BH1906" s="10"/>
      <c r="BI1906" s="10"/>
      <c r="BJ1906" s="10"/>
      <c r="BK1906" s="10"/>
      <c r="BM1906" s="10"/>
    </row>
    <row r="1907" spans="1:65" ht="12.75">
      <c r="A1907" s="9"/>
      <c r="B1907" s="10"/>
      <c r="C1907" s="11"/>
      <c r="D1907" s="12"/>
      <c r="E1907" s="10"/>
      <c r="F1907" s="10"/>
      <c r="G1907" s="10"/>
      <c r="H1907" s="14"/>
      <c r="I1907" s="14"/>
      <c r="J1907" s="14"/>
      <c r="K1907" s="14"/>
      <c r="L1907" s="14"/>
      <c r="M1907" s="15"/>
      <c r="N1907" s="10"/>
      <c r="O1907" s="14"/>
      <c r="P1907" s="14"/>
      <c r="Q1907" s="14"/>
      <c r="R1907" s="14"/>
      <c r="S1907" s="14"/>
      <c r="T1907" s="14"/>
      <c r="U1907" s="14"/>
      <c r="V1907" s="14"/>
      <c r="W1907" s="14"/>
      <c r="X1907" s="14"/>
      <c r="Y1907" s="14"/>
      <c r="Z1907" s="14"/>
      <c r="AA1907" s="16" t="str">
        <f t="shared" ca="1" si="1650"/>
        <v>Johnson &amp; Johnson</v>
      </c>
      <c r="AB1907" s="16">
        <f t="shared" si="1650"/>
        <v>0</v>
      </c>
      <c r="AC1907" s="16">
        <f t="shared" si="1650"/>
        <v>0</v>
      </c>
      <c r="AD1907" s="16">
        <f t="shared" si="1650"/>
        <v>0</v>
      </c>
      <c r="AE1907" s="16">
        <f t="shared" si="1650"/>
        <v>0</v>
      </c>
      <c r="AF1907" s="16">
        <f t="shared" si="1650"/>
        <v>0</v>
      </c>
      <c r="AG1907" s="16">
        <f t="shared" si="1650"/>
        <v>0</v>
      </c>
      <c r="AH1907" s="16">
        <f t="shared" si="1650"/>
        <v>0</v>
      </c>
      <c r="AI1907" s="16">
        <f t="shared" si="1650"/>
        <v>0</v>
      </c>
      <c r="AJ1907" s="16">
        <f t="shared" si="1650"/>
        <v>0</v>
      </c>
      <c r="AK1907" s="16">
        <f t="shared" si="1650"/>
        <v>0</v>
      </c>
      <c r="AL1907" s="16">
        <f t="shared" si="1650"/>
        <v>0</v>
      </c>
      <c r="AM1907" s="16">
        <f t="shared" si="1650"/>
        <v>0</v>
      </c>
      <c r="AN1907" s="16">
        <f t="shared" si="1650"/>
        <v>0</v>
      </c>
      <c r="AO1907" s="16">
        <f t="shared" si="1650"/>
        <v>0</v>
      </c>
      <c r="AP1907" s="10"/>
      <c r="AQ1907" s="10"/>
      <c r="AR1907" s="10"/>
      <c r="AS1907" s="10" t="str">
        <f t="shared" ca="1" si="1641"/>
        <v>Johnson &amp; Johnson</v>
      </c>
      <c r="AT1907" s="10"/>
      <c r="AU1907" s="10"/>
      <c r="AV1907" s="10"/>
      <c r="AW1907" s="10"/>
      <c r="AX1907" s="10"/>
      <c r="AY1907" s="10"/>
      <c r="AZ1907" s="10"/>
      <c r="BA1907" s="10"/>
      <c r="BB1907" s="10"/>
      <c r="BC1907" s="10"/>
      <c r="BD1907" s="10"/>
      <c r="BE1907" s="10"/>
      <c r="BF1907" s="10"/>
      <c r="BG1907" s="10"/>
      <c r="BH1907" s="10"/>
      <c r="BI1907" s="10"/>
      <c r="BJ1907" s="10"/>
      <c r="BK1907" s="10"/>
      <c r="BM1907" s="10"/>
    </row>
    <row r="1908" spans="1:65" ht="12.75">
      <c r="A1908" s="9"/>
      <c r="B1908" s="10"/>
      <c r="C1908" s="11"/>
      <c r="D1908" s="12"/>
      <c r="E1908" s="10"/>
      <c r="F1908" s="10"/>
      <c r="G1908" s="10"/>
      <c r="H1908" s="14"/>
      <c r="I1908" s="14"/>
      <c r="J1908" s="14"/>
      <c r="K1908" s="14"/>
      <c r="L1908" s="14"/>
      <c r="M1908" s="15"/>
      <c r="N1908" s="10"/>
      <c r="O1908" s="14"/>
      <c r="P1908" s="14"/>
      <c r="Q1908" s="14"/>
      <c r="R1908" s="14"/>
      <c r="S1908" s="14"/>
      <c r="T1908" s="14"/>
      <c r="U1908" s="14"/>
      <c r="V1908" s="14"/>
      <c r="W1908" s="14"/>
      <c r="X1908" s="14"/>
      <c r="Y1908" s="14"/>
      <c r="Z1908" s="14"/>
      <c r="AA1908" s="16" t="str">
        <f t="shared" ca="1" si="1650"/>
        <v>Johnson &amp; Johnson</v>
      </c>
      <c r="AB1908" s="16">
        <f t="shared" si="1650"/>
        <v>0</v>
      </c>
      <c r="AC1908" s="16">
        <f t="shared" si="1650"/>
        <v>0</v>
      </c>
      <c r="AD1908" s="16">
        <f t="shared" si="1650"/>
        <v>0</v>
      </c>
      <c r="AE1908" s="16">
        <f t="shared" si="1650"/>
        <v>0</v>
      </c>
      <c r="AF1908" s="16">
        <f t="shared" si="1650"/>
        <v>0</v>
      </c>
      <c r="AG1908" s="16">
        <f t="shared" si="1650"/>
        <v>0</v>
      </c>
      <c r="AH1908" s="16">
        <f t="shared" si="1650"/>
        <v>0</v>
      </c>
      <c r="AI1908" s="16">
        <f t="shared" si="1650"/>
        <v>0</v>
      </c>
      <c r="AJ1908" s="16">
        <f t="shared" si="1650"/>
        <v>0</v>
      </c>
      <c r="AK1908" s="16">
        <f t="shared" si="1650"/>
        <v>0</v>
      </c>
      <c r="AL1908" s="16">
        <f t="shared" si="1650"/>
        <v>0</v>
      </c>
      <c r="AM1908" s="16">
        <f t="shared" si="1650"/>
        <v>0</v>
      </c>
      <c r="AN1908" s="16">
        <f t="shared" si="1650"/>
        <v>0</v>
      </c>
      <c r="AO1908" s="16">
        <f t="shared" si="1650"/>
        <v>0</v>
      </c>
      <c r="AP1908" s="10"/>
      <c r="AQ1908" s="10"/>
      <c r="AR1908" s="10"/>
      <c r="AS1908" s="10" t="str">
        <f t="shared" ca="1" si="1641"/>
        <v>Johnson &amp; Johnson</v>
      </c>
      <c r="AT1908" s="10"/>
      <c r="AU1908" s="10"/>
      <c r="AV1908" s="10"/>
      <c r="AW1908" s="10"/>
      <c r="AX1908" s="10"/>
      <c r="AY1908" s="10"/>
      <c r="AZ1908" s="10"/>
      <c r="BA1908" s="10"/>
      <c r="BB1908" s="10"/>
      <c r="BC1908" s="10"/>
      <c r="BD1908" s="10"/>
      <c r="BE1908" s="10"/>
      <c r="BF1908" s="10"/>
      <c r="BG1908" s="10"/>
      <c r="BH1908" s="10"/>
      <c r="BI1908" s="10"/>
      <c r="BJ1908" s="10"/>
      <c r="BK1908" s="10"/>
      <c r="BM1908" s="10"/>
    </row>
    <row r="1909" spans="1:65" ht="12.75">
      <c r="A1909" s="9"/>
      <c r="B1909" s="10"/>
      <c r="C1909" s="11"/>
      <c r="D1909" s="12"/>
      <c r="E1909" s="10"/>
      <c r="F1909" s="10"/>
      <c r="G1909" s="10"/>
      <c r="H1909" s="14"/>
      <c r="I1909" s="14"/>
      <c r="J1909" s="14"/>
      <c r="K1909" s="14"/>
      <c r="L1909" s="14"/>
      <c r="M1909" s="15"/>
      <c r="N1909" s="10"/>
      <c r="O1909" s="14"/>
      <c r="P1909" s="14"/>
      <c r="Q1909" s="14"/>
      <c r="R1909" s="14"/>
      <c r="S1909" s="14"/>
      <c r="T1909" s="14"/>
      <c r="U1909" s="14"/>
      <c r="V1909" s="14"/>
      <c r="W1909" s="14"/>
      <c r="X1909" s="14"/>
      <c r="Y1909" s="14"/>
      <c r="Z1909" s="14"/>
      <c r="AA1909" s="16" t="str">
        <f t="shared" ca="1" si="1650"/>
        <v>Johnson &amp; Johnson</v>
      </c>
      <c r="AB1909" s="16">
        <f t="shared" si="1650"/>
        <v>0</v>
      </c>
      <c r="AC1909" s="16">
        <f t="shared" si="1650"/>
        <v>0</v>
      </c>
      <c r="AD1909" s="16">
        <f t="shared" si="1650"/>
        <v>0</v>
      </c>
      <c r="AE1909" s="16">
        <f t="shared" si="1650"/>
        <v>0</v>
      </c>
      <c r="AF1909" s="16">
        <f t="shared" si="1650"/>
        <v>0</v>
      </c>
      <c r="AG1909" s="16">
        <f t="shared" si="1650"/>
        <v>0</v>
      </c>
      <c r="AH1909" s="16">
        <f t="shared" si="1650"/>
        <v>0</v>
      </c>
      <c r="AI1909" s="16">
        <f t="shared" si="1650"/>
        <v>0</v>
      </c>
      <c r="AJ1909" s="16">
        <f t="shared" si="1650"/>
        <v>0</v>
      </c>
      <c r="AK1909" s="16">
        <f t="shared" si="1650"/>
        <v>0</v>
      </c>
      <c r="AL1909" s="16">
        <f t="shared" si="1650"/>
        <v>0</v>
      </c>
      <c r="AM1909" s="16">
        <f t="shared" si="1650"/>
        <v>0</v>
      </c>
      <c r="AN1909" s="16">
        <f t="shared" si="1650"/>
        <v>0</v>
      </c>
      <c r="AO1909" s="16">
        <f t="shared" si="1650"/>
        <v>0</v>
      </c>
      <c r="AP1909" s="10"/>
      <c r="AQ1909" s="10"/>
      <c r="AR1909" s="10"/>
      <c r="AS1909" s="10" t="str">
        <f t="shared" ca="1" si="1641"/>
        <v>Johnson &amp; Johnson</v>
      </c>
      <c r="AT1909" s="10"/>
      <c r="AU1909" s="10"/>
      <c r="AV1909" s="10"/>
      <c r="AW1909" s="10"/>
      <c r="AX1909" s="10"/>
      <c r="AY1909" s="10"/>
      <c r="AZ1909" s="10"/>
      <c r="BA1909" s="10"/>
      <c r="BB1909" s="10"/>
      <c r="BC1909" s="10"/>
      <c r="BD1909" s="10"/>
      <c r="BE1909" s="10"/>
      <c r="BF1909" s="10"/>
      <c r="BG1909" s="10"/>
      <c r="BH1909" s="10"/>
      <c r="BI1909" s="10"/>
      <c r="BJ1909" s="10"/>
      <c r="BK1909" s="10"/>
      <c r="BM1909" s="10"/>
    </row>
    <row r="1910" spans="1:65" ht="12.75">
      <c r="A1910" s="9"/>
      <c r="B1910" s="10"/>
      <c r="C1910" s="11"/>
      <c r="D1910" s="12"/>
      <c r="E1910" s="10"/>
      <c r="F1910" s="10"/>
      <c r="G1910" s="10"/>
      <c r="H1910" s="14"/>
      <c r="I1910" s="14"/>
      <c r="J1910" s="14"/>
      <c r="K1910" s="14"/>
      <c r="L1910" s="14"/>
      <c r="M1910" s="15"/>
      <c r="N1910" s="10"/>
      <c r="O1910" s="14"/>
      <c r="P1910" s="14"/>
      <c r="Q1910" s="14"/>
      <c r="R1910" s="14"/>
      <c r="S1910" s="14"/>
      <c r="T1910" s="14"/>
      <c r="U1910" s="14"/>
      <c r="V1910" s="14"/>
      <c r="W1910" s="14"/>
      <c r="X1910" s="14"/>
      <c r="Y1910" s="14"/>
      <c r="Z1910" s="14"/>
      <c r="AA1910" s="16" t="str">
        <f t="shared" ca="1" si="1650"/>
        <v>Johnson &amp; Johnson</v>
      </c>
      <c r="AB1910" s="16">
        <f t="shared" si="1650"/>
        <v>0</v>
      </c>
      <c r="AC1910" s="16">
        <f t="shared" si="1650"/>
        <v>0</v>
      </c>
      <c r="AD1910" s="16">
        <f t="shared" si="1650"/>
        <v>0</v>
      </c>
      <c r="AE1910" s="16">
        <f t="shared" si="1650"/>
        <v>0</v>
      </c>
      <c r="AF1910" s="16">
        <f t="shared" si="1650"/>
        <v>0</v>
      </c>
      <c r="AG1910" s="16">
        <f t="shared" si="1650"/>
        <v>0</v>
      </c>
      <c r="AH1910" s="16">
        <f t="shared" si="1650"/>
        <v>0</v>
      </c>
      <c r="AI1910" s="16">
        <f t="shared" si="1650"/>
        <v>0</v>
      </c>
      <c r="AJ1910" s="16">
        <f t="shared" si="1650"/>
        <v>0</v>
      </c>
      <c r="AK1910" s="16">
        <f t="shared" si="1650"/>
        <v>0</v>
      </c>
      <c r="AL1910" s="16">
        <f t="shared" si="1650"/>
        <v>0</v>
      </c>
      <c r="AM1910" s="16">
        <f t="shared" si="1650"/>
        <v>0</v>
      </c>
      <c r="AN1910" s="16">
        <f t="shared" si="1650"/>
        <v>0</v>
      </c>
      <c r="AO1910" s="16">
        <f t="shared" si="1650"/>
        <v>0</v>
      </c>
      <c r="AP1910" s="10"/>
      <c r="AQ1910" s="10"/>
      <c r="AR1910" s="10"/>
      <c r="AS1910" s="10" t="str">
        <f t="shared" ca="1" si="1641"/>
        <v>Johnson &amp; Johnson</v>
      </c>
      <c r="AT1910" s="10"/>
      <c r="AU1910" s="10"/>
      <c r="AV1910" s="10"/>
      <c r="AW1910" s="10"/>
      <c r="AX1910" s="10"/>
      <c r="AY1910" s="10"/>
      <c r="AZ1910" s="10"/>
      <c r="BA1910" s="10"/>
      <c r="BB1910" s="10"/>
      <c r="BC1910" s="10"/>
      <c r="BD1910" s="10"/>
      <c r="BE1910" s="10"/>
      <c r="BF1910" s="10"/>
      <c r="BG1910" s="10"/>
      <c r="BH1910" s="10"/>
      <c r="BI1910" s="10"/>
      <c r="BJ1910" s="10"/>
      <c r="BK1910" s="10"/>
      <c r="BM1910" s="10"/>
    </row>
    <row r="1911" spans="1:65" ht="12.75">
      <c r="A1911" s="9"/>
      <c r="B1911" s="10"/>
      <c r="C1911" s="11"/>
      <c r="D1911" s="12"/>
      <c r="E1911" s="10"/>
      <c r="F1911" s="10"/>
      <c r="G1911" s="10"/>
      <c r="H1911" s="14"/>
      <c r="I1911" s="14"/>
      <c r="J1911" s="14"/>
      <c r="K1911" s="14"/>
      <c r="L1911" s="14"/>
      <c r="M1911" s="15"/>
      <c r="N1911" s="10"/>
      <c r="O1911" s="14"/>
      <c r="P1911" s="14"/>
      <c r="Q1911" s="14"/>
      <c r="R1911" s="14"/>
      <c r="S1911" s="14"/>
      <c r="T1911" s="14"/>
      <c r="U1911" s="14"/>
      <c r="V1911" s="14"/>
      <c r="W1911" s="14"/>
      <c r="X1911" s="14"/>
      <c r="Y1911" s="14"/>
      <c r="Z1911" s="14"/>
      <c r="AA1911" s="16" t="str">
        <f t="shared" ca="1" si="1650"/>
        <v>Johnson &amp; Johnson</v>
      </c>
      <c r="AB1911" s="16">
        <f t="shared" si="1650"/>
        <v>0</v>
      </c>
      <c r="AC1911" s="16">
        <f t="shared" si="1650"/>
        <v>0</v>
      </c>
      <c r="AD1911" s="16">
        <f t="shared" si="1650"/>
        <v>0</v>
      </c>
      <c r="AE1911" s="16">
        <f t="shared" si="1650"/>
        <v>0</v>
      </c>
      <c r="AF1911" s="16">
        <f t="shared" si="1650"/>
        <v>0</v>
      </c>
      <c r="AG1911" s="16">
        <f t="shared" si="1650"/>
        <v>0</v>
      </c>
      <c r="AH1911" s="16">
        <f t="shared" si="1650"/>
        <v>0</v>
      </c>
      <c r="AI1911" s="16">
        <f t="shared" si="1650"/>
        <v>0</v>
      </c>
      <c r="AJ1911" s="16">
        <f t="shared" si="1650"/>
        <v>0</v>
      </c>
      <c r="AK1911" s="16">
        <f t="shared" si="1650"/>
        <v>0</v>
      </c>
      <c r="AL1911" s="16">
        <f t="shared" si="1650"/>
        <v>0</v>
      </c>
      <c r="AM1911" s="16">
        <f t="shared" si="1650"/>
        <v>0</v>
      </c>
      <c r="AN1911" s="16">
        <f t="shared" si="1650"/>
        <v>0</v>
      </c>
      <c r="AO1911" s="16">
        <f t="shared" si="1650"/>
        <v>0</v>
      </c>
      <c r="AP1911" s="10"/>
      <c r="AQ1911" s="10"/>
      <c r="AR1911" s="10"/>
      <c r="AS1911" s="10" t="str">
        <f t="shared" ca="1" si="1641"/>
        <v>Johnson &amp; Johnson</v>
      </c>
      <c r="AT1911" s="10"/>
      <c r="AU1911" s="10"/>
      <c r="AV1911" s="10"/>
      <c r="AW1911" s="10"/>
      <c r="AX1911" s="10"/>
      <c r="AY1911" s="10"/>
      <c r="AZ1911" s="10"/>
      <c r="BA1911" s="10"/>
      <c r="BB1911" s="10"/>
      <c r="BC1911" s="10"/>
      <c r="BD1911" s="10"/>
      <c r="BE1911" s="10"/>
      <c r="BF1911" s="10"/>
      <c r="BG1911" s="10"/>
      <c r="BH1911" s="10"/>
      <c r="BI1911" s="10"/>
      <c r="BJ1911" s="10"/>
      <c r="BK1911" s="10"/>
      <c r="BM1911" s="10"/>
    </row>
    <row r="1912" spans="1:65" ht="12.75">
      <c r="A1912" s="9"/>
      <c r="B1912" s="10"/>
      <c r="C1912" s="11"/>
      <c r="D1912" s="12"/>
      <c r="E1912" s="10"/>
      <c r="F1912" s="10"/>
      <c r="G1912" s="10"/>
      <c r="H1912" s="14"/>
      <c r="I1912" s="14"/>
      <c r="J1912" s="14"/>
      <c r="K1912" s="14"/>
      <c r="L1912" s="14"/>
      <c r="M1912" s="15"/>
      <c r="N1912" s="10"/>
      <c r="O1912" s="14"/>
      <c r="P1912" s="14"/>
      <c r="Q1912" s="14"/>
      <c r="R1912" s="14"/>
      <c r="S1912" s="14"/>
      <c r="T1912" s="14"/>
      <c r="U1912" s="14"/>
      <c r="V1912" s="14"/>
      <c r="W1912" s="14"/>
      <c r="X1912" s="14"/>
      <c r="Y1912" s="14"/>
      <c r="Z1912" s="14"/>
      <c r="AA1912" s="16" t="str">
        <f t="shared" ca="1" si="1650"/>
        <v>Johnson &amp; Johnson</v>
      </c>
      <c r="AB1912" s="16">
        <f t="shared" si="1650"/>
        <v>0</v>
      </c>
      <c r="AC1912" s="16">
        <f t="shared" si="1650"/>
        <v>0</v>
      </c>
      <c r="AD1912" s="16">
        <f t="shared" si="1650"/>
        <v>0</v>
      </c>
      <c r="AE1912" s="16">
        <f t="shared" si="1650"/>
        <v>0</v>
      </c>
      <c r="AF1912" s="16">
        <f t="shared" si="1650"/>
        <v>0</v>
      </c>
      <c r="AG1912" s="16">
        <f t="shared" si="1650"/>
        <v>0</v>
      </c>
      <c r="AH1912" s="16">
        <f t="shared" si="1650"/>
        <v>0</v>
      </c>
      <c r="AI1912" s="16">
        <f t="shared" si="1650"/>
        <v>0</v>
      </c>
      <c r="AJ1912" s="16">
        <f t="shared" si="1650"/>
        <v>0</v>
      </c>
      <c r="AK1912" s="16">
        <f t="shared" si="1650"/>
        <v>0</v>
      </c>
      <c r="AL1912" s="16">
        <f t="shared" si="1650"/>
        <v>0</v>
      </c>
      <c r="AM1912" s="16">
        <f t="shared" si="1650"/>
        <v>0</v>
      </c>
      <c r="AN1912" s="16">
        <f t="shared" si="1650"/>
        <v>0</v>
      </c>
      <c r="AO1912" s="16">
        <f t="shared" si="1650"/>
        <v>0</v>
      </c>
      <c r="AP1912" s="10"/>
      <c r="AQ1912" s="10"/>
      <c r="AR1912" s="10"/>
      <c r="AS1912" s="10" t="str">
        <f t="shared" ca="1" si="1641"/>
        <v>Johnson &amp; Johnson</v>
      </c>
      <c r="AT1912" s="10"/>
      <c r="AU1912" s="10"/>
      <c r="AV1912" s="10"/>
      <c r="AW1912" s="10"/>
      <c r="AX1912" s="10"/>
      <c r="AY1912" s="10"/>
      <c r="AZ1912" s="10"/>
      <c r="BA1912" s="10"/>
      <c r="BB1912" s="10"/>
      <c r="BC1912" s="10"/>
      <c r="BD1912" s="10"/>
      <c r="BE1912" s="10"/>
      <c r="BF1912" s="10"/>
      <c r="BG1912" s="10"/>
      <c r="BH1912" s="10"/>
      <c r="BI1912" s="10"/>
      <c r="BJ1912" s="10"/>
      <c r="BK1912" s="10"/>
      <c r="BM1912" s="10"/>
    </row>
    <row r="1913" spans="1:65" ht="12.75">
      <c r="A1913" s="9"/>
      <c r="B1913" s="10"/>
      <c r="C1913" s="11"/>
      <c r="D1913" s="12"/>
      <c r="E1913" s="10"/>
      <c r="F1913" s="10"/>
      <c r="G1913" s="10"/>
      <c r="H1913" s="14"/>
      <c r="I1913" s="14"/>
      <c r="J1913" s="14"/>
      <c r="K1913" s="14"/>
      <c r="L1913" s="14"/>
      <c r="M1913" s="15"/>
      <c r="N1913" s="10"/>
      <c r="O1913" s="14"/>
      <c r="P1913" s="14"/>
      <c r="Q1913" s="14"/>
      <c r="R1913" s="14"/>
      <c r="S1913" s="14"/>
      <c r="T1913" s="14"/>
      <c r="U1913" s="14"/>
      <c r="V1913" s="14"/>
      <c r="W1913" s="14"/>
      <c r="X1913" s="14"/>
      <c r="Y1913" s="14"/>
      <c r="Z1913" s="14"/>
      <c r="AA1913" s="16" t="str">
        <f t="shared" ref="AA1913:AO1928" ca="1" si="1651">AS1913</f>
        <v>Johnson &amp; Johnson</v>
      </c>
      <c r="AB1913" s="16">
        <f t="shared" si="1651"/>
        <v>0</v>
      </c>
      <c r="AC1913" s="16">
        <f t="shared" si="1651"/>
        <v>0</v>
      </c>
      <c r="AD1913" s="16">
        <f t="shared" si="1651"/>
        <v>0</v>
      </c>
      <c r="AE1913" s="16">
        <f t="shared" si="1651"/>
        <v>0</v>
      </c>
      <c r="AF1913" s="16">
        <f t="shared" si="1651"/>
        <v>0</v>
      </c>
      <c r="AG1913" s="16">
        <f t="shared" si="1651"/>
        <v>0</v>
      </c>
      <c r="AH1913" s="16">
        <f t="shared" si="1651"/>
        <v>0</v>
      </c>
      <c r="AI1913" s="16">
        <f t="shared" si="1651"/>
        <v>0</v>
      </c>
      <c r="AJ1913" s="16">
        <f t="shared" si="1651"/>
        <v>0</v>
      </c>
      <c r="AK1913" s="16">
        <f t="shared" si="1651"/>
        <v>0</v>
      </c>
      <c r="AL1913" s="16">
        <f t="shared" si="1651"/>
        <v>0</v>
      </c>
      <c r="AM1913" s="16">
        <f t="shared" si="1651"/>
        <v>0</v>
      </c>
      <c r="AN1913" s="16">
        <f t="shared" si="1651"/>
        <v>0</v>
      </c>
      <c r="AO1913" s="16">
        <f t="shared" si="1651"/>
        <v>0</v>
      </c>
      <c r="AP1913" s="10"/>
      <c r="AQ1913" s="10"/>
      <c r="AR1913" s="10"/>
      <c r="AS1913" s="10" t="str">
        <f t="shared" ca="1" si="1641"/>
        <v>Johnson &amp; Johnson</v>
      </c>
      <c r="AT1913" s="10"/>
      <c r="AU1913" s="10"/>
      <c r="AV1913" s="10"/>
      <c r="AW1913" s="10"/>
      <c r="AX1913" s="10"/>
      <c r="AY1913" s="10"/>
      <c r="AZ1913" s="10"/>
      <c r="BA1913" s="10"/>
      <c r="BB1913" s="10"/>
      <c r="BC1913" s="10"/>
      <c r="BD1913" s="10"/>
      <c r="BE1913" s="10"/>
      <c r="BF1913" s="10"/>
      <c r="BG1913" s="10"/>
      <c r="BH1913" s="10"/>
      <c r="BI1913" s="10"/>
      <c r="BJ1913" s="10"/>
      <c r="BK1913" s="10"/>
      <c r="BM1913" s="10"/>
    </row>
    <row r="1914" spans="1:65" ht="12.75">
      <c r="A1914" s="9"/>
      <c r="B1914" s="10"/>
      <c r="C1914" s="11"/>
      <c r="D1914" s="12"/>
      <c r="E1914" s="10"/>
      <c r="F1914" s="10"/>
      <c r="G1914" s="10"/>
      <c r="H1914" s="14"/>
      <c r="I1914" s="14"/>
      <c r="J1914" s="14"/>
      <c r="K1914" s="14"/>
      <c r="L1914" s="14"/>
      <c r="M1914" s="15"/>
      <c r="N1914" s="10"/>
      <c r="O1914" s="14"/>
      <c r="P1914" s="14"/>
      <c r="Q1914" s="14"/>
      <c r="R1914" s="14"/>
      <c r="S1914" s="14"/>
      <c r="T1914" s="14"/>
      <c r="U1914" s="14"/>
      <c r="V1914" s="14"/>
      <c r="W1914" s="14"/>
      <c r="X1914" s="14"/>
      <c r="Y1914" s="14"/>
      <c r="Z1914" s="14"/>
      <c r="AA1914" s="16" t="str">
        <f t="shared" ca="1" si="1651"/>
        <v>Johnson &amp; Johnson</v>
      </c>
      <c r="AB1914" s="16">
        <f t="shared" si="1651"/>
        <v>0</v>
      </c>
      <c r="AC1914" s="16">
        <f t="shared" si="1651"/>
        <v>0</v>
      </c>
      <c r="AD1914" s="16">
        <f t="shared" si="1651"/>
        <v>0</v>
      </c>
      <c r="AE1914" s="16">
        <f t="shared" si="1651"/>
        <v>0</v>
      </c>
      <c r="AF1914" s="16">
        <f t="shared" si="1651"/>
        <v>0</v>
      </c>
      <c r="AG1914" s="16">
        <f t="shared" si="1651"/>
        <v>0</v>
      </c>
      <c r="AH1914" s="16">
        <f t="shared" si="1651"/>
        <v>0</v>
      </c>
      <c r="AI1914" s="16">
        <f t="shared" si="1651"/>
        <v>0</v>
      </c>
      <c r="AJ1914" s="16">
        <f t="shared" si="1651"/>
        <v>0</v>
      </c>
      <c r="AK1914" s="16">
        <f t="shared" si="1651"/>
        <v>0</v>
      </c>
      <c r="AL1914" s="16">
        <f t="shared" si="1651"/>
        <v>0</v>
      </c>
      <c r="AM1914" s="16">
        <f t="shared" si="1651"/>
        <v>0</v>
      </c>
      <c r="AN1914" s="16">
        <f t="shared" si="1651"/>
        <v>0</v>
      </c>
      <c r="AO1914" s="16">
        <f t="shared" si="1651"/>
        <v>0</v>
      </c>
      <c r="AP1914" s="10"/>
      <c r="AQ1914" s="10"/>
      <c r="AR1914" s="10"/>
      <c r="AS1914" s="10" t="str">
        <f t="shared" ca="1" si="1641"/>
        <v>Johnson &amp; Johnson</v>
      </c>
      <c r="AT1914" s="10"/>
      <c r="AU1914" s="10"/>
      <c r="AV1914" s="10"/>
      <c r="AW1914" s="10"/>
      <c r="AX1914" s="10"/>
      <c r="AY1914" s="10"/>
      <c r="AZ1914" s="10"/>
      <c r="BA1914" s="10"/>
      <c r="BB1914" s="10"/>
      <c r="BC1914" s="10"/>
      <c r="BD1914" s="10"/>
      <c r="BE1914" s="10"/>
      <c r="BF1914" s="10"/>
      <c r="BG1914" s="10"/>
      <c r="BH1914" s="10"/>
      <c r="BI1914" s="10"/>
      <c r="BJ1914" s="10"/>
      <c r="BK1914" s="10"/>
      <c r="BM1914" s="10"/>
    </row>
    <row r="1915" spans="1:65" ht="12.75">
      <c r="A1915" s="9"/>
      <c r="B1915" s="10"/>
      <c r="C1915" s="11"/>
      <c r="D1915" s="12"/>
      <c r="E1915" s="10"/>
      <c r="F1915" s="10"/>
      <c r="G1915" s="10"/>
      <c r="H1915" s="14"/>
      <c r="I1915" s="14"/>
      <c r="J1915" s="14"/>
      <c r="K1915" s="14"/>
      <c r="L1915" s="14"/>
      <c r="M1915" s="15"/>
      <c r="N1915" s="10"/>
      <c r="O1915" s="14"/>
      <c r="P1915" s="14"/>
      <c r="Q1915" s="14"/>
      <c r="R1915" s="14"/>
      <c r="S1915" s="14"/>
      <c r="T1915" s="14"/>
      <c r="U1915" s="14"/>
      <c r="V1915" s="14"/>
      <c r="W1915" s="14"/>
      <c r="X1915" s="14"/>
      <c r="Y1915" s="14"/>
      <c r="Z1915" s="14"/>
      <c r="AA1915" s="16" t="str">
        <f t="shared" ca="1" si="1651"/>
        <v>Johnson &amp; Johnson</v>
      </c>
      <c r="AB1915" s="16">
        <f t="shared" si="1651"/>
        <v>0</v>
      </c>
      <c r="AC1915" s="16">
        <f t="shared" si="1651"/>
        <v>0</v>
      </c>
      <c r="AD1915" s="16">
        <f t="shared" si="1651"/>
        <v>0</v>
      </c>
      <c r="AE1915" s="16">
        <f t="shared" si="1651"/>
        <v>0</v>
      </c>
      <c r="AF1915" s="16">
        <f t="shared" si="1651"/>
        <v>0</v>
      </c>
      <c r="AG1915" s="16">
        <f t="shared" si="1651"/>
        <v>0</v>
      </c>
      <c r="AH1915" s="16">
        <f t="shared" si="1651"/>
        <v>0</v>
      </c>
      <c r="AI1915" s="16">
        <f t="shared" si="1651"/>
        <v>0</v>
      </c>
      <c r="AJ1915" s="16">
        <f t="shared" si="1651"/>
        <v>0</v>
      </c>
      <c r="AK1915" s="16">
        <f t="shared" si="1651"/>
        <v>0</v>
      </c>
      <c r="AL1915" s="16">
        <f t="shared" si="1651"/>
        <v>0</v>
      </c>
      <c r="AM1915" s="16">
        <f t="shared" si="1651"/>
        <v>0</v>
      </c>
      <c r="AN1915" s="16">
        <f t="shared" si="1651"/>
        <v>0</v>
      </c>
      <c r="AO1915" s="16">
        <f t="shared" si="1651"/>
        <v>0</v>
      </c>
      <c r="AP1915" s="10"/>
      <c r="AQ1915" s="10"/>
      <c r="AR1915" s="10"/>
      <c r="AS1915" s="10" t="str">
        <f t="shared" ca="1" si="1641"/>
        <v>Johnson &amp; Johnson</v>
      </c>
      <c r="AT1915" s="10"/>
      <c r="AU1915" s="10"/>
      <c r="AV1915" s="10"/>
      <c r="AW1915" s="10"/>
      <c r="AX1915" s="10"/>
      <c r="AY1915" s="10"/>
      <c r="AZ1915" s="10"/>
      <c r="BA1915" s="10"/>
      <c r="BB1915" s="10"/>
      <c r="BC1915" s="10"/>
      <c r="BD1915" s="10"/>
      <c r="BE1915" s="10"/>
      <c r="BF1915" s="10"/>
      <c r="BG1915" s="10"/>
      <c r="BH1915" s="10"/>
      <c r="BI1915" s="10"/>
      <c r="BJ1915" s="10"/>
      <c r="BK1915" s="10"/>
      <c r="BM1915" s="10"/>
    </row>
    <row r="1916" spans="1:65" ht="12.75">
      <c r="A1916" s="9"/>
      <c r="B1916" s="10"/>
      <c r="C1916" s="11"/>
      <c r="D1916" s="12"/>
      <c r="E1916" s="10"/>
      <c r="F1916" s="10"/>
      <c r="G1916" s="10"/>
      <c r="H1916" s="14"/>
      <c r="I1916" s="14"/>
      <c r="J1916" s="14"/>
      <c r="K1916" s="14"/>
      <c r="L1916" s="14"/>
      <c r="M1916" s="15"/>
      <c r="N1916" s="10"/>
      <c r="O1916" s="14"/>
      <c r="P1916" s="14"/>
      <c r="Q1916" s="14"/>
      <c r="R1916" s="14"/>
      <c r="S1916" s="14"/>
      <c r="T1916" s="14"/>
      <c r="U1916" s="14"/>
      <c r="V1916" s="14"/>
      <c r="W1916" s="14"/>
      <c r="X1916" s="14"/>
      <c r="Y1916" s="14"/>
      <c r="Z1916" s="14"/>
      <c r="AA1916" s="16" t="str">
        <f t="shared" ca="1" si="1651"/>
        <v>Johnson &amp; Johnson</v>
      </c>
      <c r="AB1916" s="16">
        <f t="shared" si="1651"/>
        <v>0</v>
      </c>
      <c r="AC1916" s="16">
        <f t="shared" si="1651"/>
        <v>0</v>
      </c>
      <c r="AD1916" s="16">
        <f t="shared" si="1651"/>
        <v>0</v>
      </c>
      <c r="AE1916" s="16">
        <f t="shared" si="1651"/>
        <v>0</v>
      </c>
      <c r="AF1916" s="16">
        <f t="shared" si="1651"/>
        <v>0</v>
      </c>
      <c r="AG1916" s="16">
        <f t="shared" si="1651"/>
        <v>0</v>
      </c>
      <c r="AH1916" s="16">
        <f t="shared" si="1651"/>
        <v>0</v>
      </c>
      <c r="AI1916" s="16">
        <f t="shared" si="1651"/>
        <v>0</v>
      </c>
      <c r="AJ1916" s="16">
        <f t="shared" si="1651"/>
        <v>0</v>
      </c>
      <c r="AK1916" s="16">
        <f t="shared" si="1651"/>
        <v>0</v>
      </c>
      <c r="AL1916" s="16">
        <f t="shared" si="1651"/>
        <v>0</v>
      </c>
      <c r="AM1916" s="16">
        <f t="shared" si="1651"/>
        <v>0</v>
      </c>
      <c r="AN1916" s="16">
        <f t="shared" si="1651"/>
        <v>0</v>
      </c>
      <c r="AO1916" s="16">
        <f t="shared" si="1651"/>
        <v>0</v>
      </c>
      <c r="AP1916" s="10"/>
      <c r="AQ1916" s="10"/>
      <c r="AR1916" s="10"/>
      <c r="AS1916" s="10" t="str">
        <f t="shared" ca="1" si="1641"/>
        <v>Johnson &amp; Johnson</v>
      </c>
      <c r="AT1916" s="10"/>
      <c r="AU1916" s="10"/>
      <c r="AV1916" s="10"/>
      <c r="AW1916" s="10"/>
      <c r="AX1916" s="10"/>
      <c r="AY1916" s="10"/>
      <c r="AZ1916" s="10"/>
      <c r="BA1916" s="10"/>
      <c r="BB1916" s="10"/>
      <c r="BC1916" s="10"/>
      <c r="BD1916" s="10"/>
      <c r="BE1916" s="10"/>
      <c r="BF1916" s="10"/>
      <c r="BG1916" s="10"/>
      <c r="BH1916" s="10"/>
      <c r="BI1916" s="10"/>
      <c r="BJ1916" s="10"/>
      <c r="BK1916" s="10"/>
      <c r="BM1916" s="10"/>
    </row>
    <row r="1917" spans="1:65" ht="12.75">
      <c r="A1917" s="9"/>
      <c r="B1917" s="10"/>
      <c r="C1917" s="11"/>
      <c r="D1917" s="12"/>
      <c r="E1917" s="10"/>
      <c r="F1917" s="10"/>
      <c r="G1917" s="10"/>
      <c r="H1917" s="14"/>
      <c r="I1917" s="14"/>
      <c r="J1917" s="14"/>
      <c r="K1917" s="14"/>
      <c r="L1917" s="14"/>
      <c r="M1917" s="15"/>
      <c r="N1917" s="10"/>
      <c r="O1917" s="14"/>
      <c r="P1917" s="14"/>
      <c r="Q1917" s="14"/>
      <c r="R1917" s="14"/>
      <c r="S1917" s="14"/>
      <c r="T1917" s="14"/>
      <c r="U1917" s="14"/>
      <c r="V1917" s="14"/>
      <c r="W1917" s="14"/>
      <c r="X1917" s="14"/>
      <c r="Y1917" s="14"/>
      <c r="Z1917" s="14"/>
      <c r="AA1917" s="16" t="str">
        <f t="shared" ca="1" si="1651"/>
        <v>Johnson &amp; Johnson</v>
      </c>
      <c r="AB1917" s="16">
        <f t="shared" si="1651"/>
        <v>0</v>
      </c>
      <c r="AC1917" s="16">
        <f t="shared" si="1651"/>
        <v>0</v>
      </c>
      <c r="AD1917" s="16">
        <f t="shared" si="1651"/>
        <v>0</v>
      </c>
      <c r="AE1917" s="16">
        <f t="shared" si="1651"/>
        <v>0</v>
      </c>
      <c r="AF1917" s="16">
        <f t="shared" si="1651"/>
        <v>0</v>
      </c>
      <c r="AG1917" s="16">
        <f t="shared" si="1651"/>
        <v>0</v>
      </c>
      <c r="AH1917" s="16">
        <f t="shared" si="1651"/>
        <v>0</v>
      </c>
      <c r="AI1917" s="16">
        <f t="shared" si="1651"/>
        <v>0</v>
      </c>
      <c r="AJ1917" s="16">
        <f t="shared" si="1651"/>
        <v>0</v>
      </c>
      <c r="AK1917" s="16">
        <f t="shared" si="1651"/>
        <v>0</v>
      </c>
      <c r="AL1917" s="16">
        <f t="shared" si="1651"/>
        <v>0</v>
      </c>
      <c r="AM1917" s="16">
        <f t="shared" si="1651"/>
        <v>0</v>
      </c>
      <c r="AN1917" s="16">
        <f t="shared" si="1651"/>
        <v>0</v>
      </c>
      <c r="AO1917" s="16">
        <f t="shared" si="1651"/>
        <v>0</v>
      </c>
      <c r="AP1917" s="10"/>
      <c r="AQ1917" s="10"/>
      <c r="AR1917" s="10"/>
      <c r="AS1917" s="10" t="str">
        <f t="shared" ca="1" si="1641"/>
        <v>Johnson &amp; Johnson</v>
      </c>
      <c r="AT1917" s="10"/>
      <c r="AU1917" s="10"/>
      <c r="AV1917" s="10"/>
      <c r="AW1917" s="10"/>
      <c r="AX1917" s="10"/>
      <c r="AY1917" s="10"/>
      <c r="AZ1917" s="10"/>
      <c r="BA1917" s="10"/>
      <c r="BB1917" s="10"/>
      <c r="BC1917" s="10"/>
      <c r="BD1917" s="10"/>
      <c r="BE1917" s="10"/>
      <c r="BF1917" s="10"/>
      <c r="BG1917" s="10"/>
      <c r="BH1917" s="10"/>
      <c r="BI1917" s="10"/>
      <c r="BJ1917" s="10"/>
      <c r="BK1917" s="10"/>
      <c r="BM1917" s="10"/>
    </row>
    <row r="1918" spans="1:65" ht="12.75">
      <c r="A1918" s="9"/>
      <c r="B1918" s="10"/>
      <c r="C1918" s="11"/>
      <c r="D1918" s="12"/>
      <c r="E1918" s="10"/>
      <c r="F1918" s="10"/>
      <c r="G1918" s="10"/>
      <c r="H1918" s="14"/>
      <c r="I1918" s="14"/>
      <c r="J1918" s="14"/>
      <c r="K1918" s="14"/>
      <c r="L1918" s="14"/>
      <c r="M1918" s="15"/>
      <c r="N1918" s="10"/>
      <c r="O1918" s="14"/>
      <c r="P1918" s="14"/>
      <c r="Q1918" s="14"/>
      <c r="R1918" s="14"/>
      <c r="S1918" s="14"/>
      <c r="T1918" s="14"/>
      <c r="U1918" s="14"/>
      <c r="V1918" s="14"/>
      <c r="W1918" s="14"/>
      <c r="X1918" s="14"/>
      <c r="Y1918" s="14"/>
      <c r="Z1918" s="14"/>
      <c r="AA1918" s="16" t="str">
        <f t="shared" ca="1" si="1651"/>
        <v>Johnson &amp; Johnson</v>
      </c>
      <c r="AB1918" s="16">
        <f t="shared" si="1651"/>
        <v>0</v>
      </c>
      <c r="AC1918" s="16">
        <f t="shared" si="1651"/>
        <v>0</v>
      </c>
      <c r="AD1918" s="16">
        <f t="shared" si="1651"/>
        <v>0</v>
      </c>
      <c r="AE1918" s="16">
        <f t="shared" si="1651"/>
        <v>0</v>
      </c>
      <c r="AF1918" s="16">
        <f t="shared" si="1651"/>
        <v>0</v>
      </c>
      <c r="AG1918" s="16">
        <f t="shared" si="1651"/>
        <v>0</v>
      </c>
      <c r="AH1918" s="16">
        <f t="shared" si="1651"/>
        <v>0</v>
      </c>
      <c r="AI1918" s="16">
        <f t="shared" si="1651"/>
        <v>0</v>
      </c>
      <c r="AJ1918" s="16">
        <f t="shared" si="1651"/>
        <v>0</v>
      </c>
      <c r="AK1918" s="16">
        <f t="shared" si="1651"/>
        <v>0</v>
      </c>
      <c r="AL1918" s="16">
        <f t="shared" si="1651"/>
        <v>0</v>
      </c>
      <c r="AM1918" s="16">
        <f t="shared" si="1651"/>
        <v>0</v>
      </c>
      <c r="AN1918" s="16">
        <f t="shared" si="1651"/>
        <v>0</v>
      </c>
      <c r="AO1918" s="16">
        <f t="shared" si="1651"/>
        <v>0</v>
      </c>
      <c r="AP1918" s="10"/>
      <c r="AQ1918" s="10"/>
      <c r="AR1918" s="10"/>
      <c r="AS1918" s="10" t="str">
        <f t="shared" ca="1" si="1641"/>
        <v>Johnson &amp; Johnson</v>
      </c>
      <c r="AT1918" s="10"/>
      <c r="AU1918" s="10"/>
      <c r="AV1918" s="10"/>
      <c r="AW1918" s="10"/>
      <c r="AX1918" s="10"/>
      <c r="AY1918" s="10"/>
      <c r="AZ1918" s="10"/>
      <c r="BA1918" s="10"/>
      <c r="BB1918" s="10"/>
      <c r="BC1918" s="10"/>
      <c r="BD1918" s="10"/>
      <c r="BE1918" s="10"/>
      <c r="BF1918" s="10"/>
      <c r="BG1918" s="10"/>
      <c r="BH1918" s="10"/>
      <c r="BI1918" s="10"/>
      <c r="BJ1918" s="10"/>
      <c r="BK1918" s="10"/>
      <c r="BM1918" s="10"/>
    </row>
    <row r="1919" spans="1:65" ht="12.75">
      <c r="A1919" s="9"/>
      <c r="B1919" s="10"/>
      <c r="C1919" s="11"/>
      <c r="D1919" s="12"/>
      <c r="E1919" s="10"/>
      <c r="F1919" s="10"/>
      <c r="G1919" s="10"/>
      <c r="H1919" s="14"/>
      <c r="I1919" s="14"/>
      <c r="J1919" s="14"/>
      <c r="K1919" s="14"/>
      <c r="L1919" s="14"/>
      <c r="M1919" s="15"/>
      <c r="N1919" s="10"/>
      <c r="O1919" s="14"/>
      <c r="P1919" s="14"/>
      <c r="Q1919" s="14"/>
      <c r="R1919" s="14"/>
      <c r="S1919" s="14"/>
      <c r="T1919" s="14"/>
      <c r="U1919" s="14"/>
      <c r="V1919" s="14"/>
      <c r="W1919" s="14"/>
      <c r="X1919" s="14"/>
      <c r="Y1919" s="14"/>
      <c r="Z1919" s="14"/>
      <c r="AA1919" s="16" t="str">
        <f t="shared" ca="1" si="1651"/>
        <v>Johnson &amp; Johnson</v>
      </c>
      <c r="AB1919" s="16">
        <f t="shared" si="1651"/>
        <v>0</v>
      </c>
      <c r="AC1919" s="16">
        <f t="shared" si="1651"/>
        <v>0</v>
      </c>
      <c r="AD1919" s="16">
        <f t="shared" si="1651"/>
        <v>0</v>
      </c>
      <c r="AE1919" s="16">
        <f t="shared" si="1651"/>
        <v>0</v>
      </c>
      <c r="AF1919" s="16">
        <f t="shared" si="1651"/>
        <v>0</v>
      </c>
      <c r="AG1919" s="16">
        <f t="shared" si="1651"/>
        <v>0</v>
      </c>
      <c r="AH1919" s="16">
        <f t="shared" si="1651"/>
        <v>0</v>
      </c>
      <c r="AI1919" s="16">
        <f t="shared" si="1651"/>
        <v>0</v>
      </c>
      <c r="AJ1919" s="16">
        <f t="shared" si="1651"/>
        <v>0</v>
      </c>
      <c r="AK1919" s="16">
        <f t="shared" si="1651"/>
        <v>0</v>
      </c>
      <c r="AL1919" s="16">
        <f t="shared" si="1651"/>
        <v>0</v>
      </c>
      <c r="AM1919" s="16">
        <f t="shared" si="1651"/>
        <v>0</v>
      </c>
      <c r="AN1919" s="16">
        <f t="shared" si="1651"/>
        <v>0</v>
      </c>
      <c r="AO1919" s="16">
        <f t="shared" si="1651"/>
        <v>0</v>
      </c>
      <c r="AP1919" s="10"/>
      <c r="AQ1919" s="10"/>
      <c r="AR1919" s="10"/>
      <c r="AS1919" s="10" t="str">
        <f t="shared" ca="1" si="1641"/>
        <v>Johnson &amp; Johnson</v>
      </c>
      <c r="AT1919" s="10"/>
      <c r="AU1919" s="10"/>
      <c r="AV1919" s="10"/>
      <c r="AW1919" s="10"/>
      <c r="AX1919" s="10"/>
      <c r="AY1919" s="10"/>
      <c r="AZ1919" s="10"/>
      <c r="BA1919" s="10"/>
      <c r="BB1919" s="10"/>
      <c r="BC1919" s="10"/>
      <c r="BD1919" s="10"/>
      <c r="BE1919" s="10"/>
      <c r="BF1919" s="10"/>
      <c r="BG1919" s="10"/>
      <c r="BH1919" s="10"/>
      <c r="BI1919" s="10"/>
      <c r="BJ1919" s="10"/>
      <c r="BK1919" s="10"/>
      <c r="BM1919" s="10"/>
    </row>
    <row r="1920" spans="1:65" ht="12.75">
      <c r="A1920" s="9"/>
      <c r="B1920" s="10"/>
      <c r="C1920" s="11"/>
      <c r="D1920" s="12"/>
      <c r="E1920" s="10"/>
      <c r="F1920" s="10"/>
      <c r="G1920" s="10"/>
      <c r="H1920" s="14"/>
      <c r="I1920" s="14"/>
      <c r="J1920" s="14"/>
      <c r="K1920" s="14"/>
      <c r="L1920" s="14"/>
      <c r="M1920" s="15"/>
      <c r="N1920" s="10"/>
      <c r="O1920" s="14"/>
      <c r="P1920" s="14"/>
      <c r="Q1920" s="14"/>
      <c r="R1920" s="14"/>
      <c r="S1920" s="14"/>
      <c r="T1920" s="14"/>
      <c r="U1920" s="14"/>
      <c r="V1920" s="14"/>
      <c r="W1920" s="14"/>
      <c r="X1920" s="14"/>
      <c r="Y1920" s="14"/>
      <c r="Z1920" s="14"/>
      <c r="AA1920" s="16" t="str">
        <f t="shared" ca="1" si="1651"/>
        <v>Johnson &amp; Johnson</v>
      </c>
      <c r="AB1920" s="16">
        <f t="shared" si="1651"/>
        <v>0</v>
      </c>
      <c r="AC1920" s="16">
        <f t="shared" si="1651"/>
        <v>0</v>
      </c>
      <c r="AD1920" s="16">
        <f t="shared" si="1651"/>
        <v>0</v>
      </c>
      <c r="AE1920" s="16">
        <f t="shared" si="1651"/>
        <v>0</v>
      </c>
      <c r="AF1920" s="16">
        <f t="shared" si="1651"/>
        <v>0</v>
      </c>
      <c r="AG1920" s="16">
        <f t="shared" si="1651"/>
        <v>0</v>
      </c>
      <c r="AH1920" s="16">
        <f t="shared" si="1651"/>
        <v>0</v>
      </c>
      <c r="AI1920" s="16">
        <f t="shared" si="1651"/>
        <v>0</v>
      </c>
      <c r="AJ1920" s="16">
        <f t="shared" si="1651"/>
        <v>0</v>
      </c>
      <c r="AK1920" s="16">
        <f t="shared" si="1651"/>
        <v>0</v>
      </c>
      <c r="AL1920" s="16">
        <f t="shared" si="1651"/>
        <v>0</v>
      </c>
      <c r="AM1920" s="16">
        <f t="shared" si="1651"/>
        <v>0</v>
      </c>
      <c r="AN1920" s="16">
        <f t="shared" si="1651"/>
        <v>0</v>
      </c>
      <c r="AO1920" s="16">
        <f t="shared" si="1651"/>
        <v>0</v>
      </c>
      <c r="AP1920" s="10"/>
      <c r="AQ1920" s="10"/>
      <c r="AR1920" s="10"/>
      <c r="AS1920" s="10" t="str">
        <f t="shared" ca="1" si="1641"/>
        <v>Johnson &amp; Johnson</v>
      </c>
      <c r="AT1920" s="10"/>
      <c r="AU1920" s="10"/>
      <c r="AV1920" s="10"/>
      <c r="AW1920" s="10"/>
      <c r="AX1920" s="10"/>
      <c r="AY1920" s="10"/>
      <c r="AZ1920" s="10"/>
      <c r="BA1920" s="10"/>
      <c r="BB1920" s="10"/>
      <c r="BC1920" s="10"/>
      <c r="BD1920" s="10"/>
      <c r="BE1920" s="10"/>
      <c r="BF1920" s="10"/>
      <c r="BG1920" s="10"/>
      <c r="BH1920" s="10"/>
      <c r="BI1920" s="10"/>
      <c r="BJ1920" s="10"/>
      <c r="BK1920" s="10"/>
      <c r="BM1920" s="10"/>
    </row>
    <row r="1921" spans="1:65" ht="12.75">
      <c r="A1921" s="9"/>
      <c r="B1921" s="10"/>
      <c r="C1921" s="11"/>
      <c r="D1921" s="12"/>
      <c r="E1921" s="10"/>
      <c r="F1921" s="10"/>
      <c r="G1921" s="10"/>
      <c r="H1921" s="14"/>
      <c r="I1921" s="14"/>
      <c r="J1921" s="14"/>
      <c r="K1921" s="14"/>
      <c r="L1921" s="14"/>
      <c r="M1921" s="15"/>
      <c r="N1921" s="10"/>
      <c r="O1921" s="14"/>
      <c r="P1921" s="14"/>
      <c r="Q1921" s="14"/>
      <c r="R1921" s="14"/>
      <c r="S1921" s="14"/>
      <c r="T1921" s="14"/>
      <c r="U1921" s="14"/>
      <c r="V1921" s="14"/>
      <c r="W1921" s="14"/>
      <c r="X1921" s="14"/>
      <c r="Y1921" s="14"/>
      <c r="Z1921" s="14"/>
      <c r="AA1921" s="16" t="str">
        <f t="shared" ca="1" si="1651"/>
        <v>Johnson &amp; Johnson</v>
      </c>
      <c r="AB1921" s="16">
        <f t="shared" si="1651"/>
        <v>0</v>
      </c>
      <c r="AC1921" s="16">
        <f t="shared" si="1651"/>
        <v>0</v>
      </c>
      <c r="AD1921" s="16">
        <f t="shared" si="1651"/>
        <v>0</v>
      </c>
      <c r="AE1921" s="16">
        <f t="shared" si="1651"/>
        <v>0</v>
      </c>
      <c r="AF1921" s="16">
        <f t="shared" si="1651"/>
        <v>0</v>
      </c>
      <c r="AG1921" s="16">
        <f t="shared" si="1651"/>
        <v>0</v>
      </c>
      <c r="AH1921" s="16">
        <f t="shared" si="1651"/>
        <v>0</v>
      </c>
      <c r="AI1921" s="16">
        <f t="shared" si="1651"/>
        <v>0</v>
      </c>
      <c r="AJ1921" s="16">
        <f t="shared" si="1651"/>
        <v>0</v>
      </c>
      <c r="AK1921" s="16">
        <f t="shared" si="1651"/>
        <v>0</v>
      </c>
      <c r="AL1921" s="16">
        <f t="shared" si="1651"/>
        <v>0</v>
      </c>
      <c r="AM1921" s="16">
        <f t="shared" si="1651"/>
        <v>0</v>
      </c>
      <c r="AN1921" s="16">
        <f t="shared" si="1651"/>
        <v>0</v>
      </c>
      <c r="AO1921" s="16">
        <f t="shared" si="1651"/>
        <v>0</v>
      </c>
      <c r="AP1921" s="10"/>
      <c r="AQ1921" s="10"/>
      <c r="AR1921" s="10"/>
      <c r="AS1921" s="10" t="str">
        <f t="shared" ca="1" si="1641"/>
        <v>Johnson &amp; Johnson</v>
      </c>
      <c r="AT1921" s="10"/>
      <c r="AU1921" s="10"/>
      <c r="AV1921" s="10"/>
      <c r="AW1921" s="10"/>
      <c r="AX1921" s="10"/>
      <c r="AY1921" s="10"/>
      <c r="AZ1921" s="10"/>
      <c r="BA1921" s="10"/>
      <c r="BB1921" s="10"/>
      <c r="BC1921" s="10"/>
      <c r="BD1921" s="10"/>
      <c r="BE1921" s="10"/>
      <c r="BF1921" s="10"/>
      <c r="BG1921" s="10"/>
      <c r="BH1921" s="10"/>
      <c r="BI1921" s="10"/>
      <c r="BJ1921" s="10"/>
      <c r="BK1921" s="10"/>
      <c r="BM1921" s="10"/>
    </row>
    <row r="1922" spans="1:65" ht="12.75">
      <c r="A1922" s="9"/>
      <c r="B1922" s="10"/>
      <c r="C1922" s="11"/>
      <c r="D1922" s="12"/>
      <c r="E1922" s="10"/>
      <c r="F1922" s="10"/>
      <c r="G1922" s="10"/>
      <c r="H1922" s="14"/>
      <c r="I1922" s="14"/>
      <c r="J1922" s="14"/>
      <c r="K1922" s="14"/>
      <c r="L1922" s="14"/>
      <c r="M1922" s="15"/>
      <c r="N1922" s="10"/>
      <c r="O1922" s="14"/>
      <c r="P1922" s="14"/>
      <c r="Q1922" s="14"/>
      <c r="R1922" s="14"/>
      <c r="S1922" s="14"/>
      <c r="T1922" s="14"/>
      <c r="U1922" s="14"/>
      <c r="V1922" s="14"/>
      <c r="W1922" s="14"/>
      <c r="X1922" s="14"/>
      <c r="Y1922" s="14"/>
      <c r="Z1922" s="14"/>
      <c r="AA1922" s="16" t="str">
        <f t="shared" ca="1" si="1651"/>
        <v>Johnson &amp; Johnson</v>
      </c>
      <c r="AB1922" s="16">
        <f t="shared" si="1651"/>
        <v>0</v>
      </c>
      <c r="AC1922" s="16">
        <f t="shared" si="1651"/>
        <v>0</v>
      </c>
      <c r="AD1922" s="16">
        <f t="shared" si="1651"/>
        <v>0</v>
      </c>
      <c r="AE1922" s="16">
        <f t="shared" si="1651"/>
        <v>0</v>
      </c>
      <c r="AF1922" s="16">
        <f t="shared" si="1651"/>
        <v>0</v>
      </c>
      <c r="AG1922" s="16">
        <f t="shared" si="1651"/>
        <v>0</v>
      </c>
      <c r="AH1922" s="16">
        <f t="shared" si="1651"/>
        <v>0</v>
      </c>
      <c r="AI1922" s="16">
        <f t="shared" si="1651"/>
        <v>0</v>
      </c>
      <c r="AJ1922" s="16">
        <f t="shared" si="1651"/>
        <v>0</v>
      </c>
      <c r="AK1922" s="16">
        <f t="shared" si="1651"/>
        <v>0</v>
      </c>
      <c r="AL1922" s="16">
        <f t="shared" si="1651"/>
        <v>0</v>
      </c>
      <c r="AM1922" s="16">
        <f t="shared" si="1651"/>
        <v>0</v>
      </c>
      <c r="AN1922" s="16">
        <f t="shared" si="1651"/>
        <v>0</v>
      </c>
      <c r="AO1922" s="16">
        <f t="shared" si="1651"/>
        <v>0</v>
      </c>
      <c r="AP1922" s="10"/>
      <c r="AQ1922" s="10"/>
      <c r="AR1922" s="10"/>
      <c r="AS1922" s="10" t="str">
        <f t="shared" ca="1" si="1641"/>
        <v>Johnson &amp; Johnson</v>
      </c>
      <c r="AT1922" s="10"/>
      <c r="AU1922" s="10"/>
      <c r="AV1922" s="10"/>
      <c r="AW1922" s="10"/>
      <c r="AX1922" s="10"/>
      <c r="AY1922" s="10"/>
      <c r="AZ1922" s="10"/>
      <c r="BA1922" s="10"/>
      <c r="BB1922" s="10"/>
      <c r="BC1922" s="10"/>
      <c r="BD1922" s="10"/>
      <c r="BE1922" s="10"/>
      <c r="BF1922" s="10"/>
      <c r="BG1922" s="10"/>
      <c r="BH1922" s="10"/>
      <c r="BI1922" s="10"/>
      <c r="BJ1922" s="10"/>
      <c r="BK1922" s="10"/>
      <c r="BM1922" s="10"/>
    </row>
    <row r="1923" spans="1:65" ht="12.75">
      <c r="A1923" s="9"/>
      <c r="B1923" s="10"/>
      <c r="C1923" s="11"/>
      <c r="D1923" s="12"/>
      <c r="E1923" s="10"/>
      <c r="F1923" s="10"/>
      <c r="G1923" s="10"/>
      <c r="H1923" s="14"/>
      <c r="I1923" s="14"/>
      <c r="J1923" s="14"/>
      <c r="K1923" s="14"/>
      <c r="L1923" s="14"/>
      <c r="M1923" s="15"/>
      <c r="N1923" s="10"/>
      <c r="O1923" s="14"/>
      <c r="P1923" s="14"/>
      <c r="Q1923" s="14"/>
      <c r="R1923" s="14"/>
      <c r="S1923" s="14"/>
      <c r="T1923" s="14"/>
      <c r="U1923" s="14"/>
      <c r="V1923" s="14"/>
      <c r="W1923" s="14"/>
      <c r="X1923" s="14"/>
      <c r="Y1923" s="14"/>
      <c r="Z1923" s="14"/>
      <c r="AA1923" s="16" t="str">
        <f t="shared" ca="1" si="1651"/>
        <v>Johnson &amp; Johnson</v>
      </c>
      <c r="AB1923" s="16">
        <f t="shared" si="1651"/>
        <v>0</v>
      </c>
      <c r="AC1923" s="16">
        <f t="shared" si="1651"/>
        <v>0</v>
      </c>
      <c r="AD1923" s="16">
        <f t="shared" si="1651"/>
        <v>0</v>
      </c>
      <c r="AE1923" s="16">
        <f t="shared" si="1651"/>
        <v>0</v>
      </c>
      <c r="AF1923" s="16">
        <f t="shared" si="1651"/>
        <v>0</v>
      </c>
      <c r="AG1923" s="16">
        <f t="shared" si="1651"/>
        <v>0</v>
      </c>
      <c r="AH1923" s="16">
        <f t="shared" si="1651"/>
        <v>0</v>
      </c>
      <c r="AI1923" s="16">
        <f t="shared" si="1651"/>
        <v>0</v>
      </c>
      <c r="AJ1923" s="16">
        <f t="shared" si="1651"/>
        <v>0</v>
      </c>
      <c r="AK1923" s="16">
        <f t="shared" si="1651"/>
        <v>0</v>
      </c>
      <c r="AL1923" s="16">
        <f t="shared" si="1651"/>
        <v>0</v>
      </c>
      <c r="AM1923" s="16">
        <f t="shared" si="1651"/>
        <v>0</v>
      </c>
      <c r="AN1923" s="16">
        <f t="shared" si="1651"/>
        <v>0</v>
      </c>
      <c r="AO1923" s="16">
        <f t="shared" si="1651"/>
        <v>0</v>
      </c>
      <c r="AP1923" s="10"/>
      <c r="AQ1923" s="10"/>
      <c r="AR1923" s="10"/>
      <c r="AS1923" s="10" t="str">
        <f t="shared" ca="1" si="1641"/>
        <v>Johnson &amp; Johnson</v>
      </c>
      <c r="AT1923" s="10"/>
      <c r="AU1923" s="10"/>
      <c r="AV1923" s="10"/>
      <c r="AW1923" s="10"/>
      <c r="AX1923" s="10"/>
      <c r="AY1923" s="10"/>
      <c r="AZ1923" s="10"/>
      <c r="BA1923" s="10"/>
      <c r="BB1923" s="10"/>
      <c r="BC1923" s="10"/>
      <c r="BD1923" s="10"/>
      <c r="BE1923" s="10"/>
      <c r="BF1923" s="10"/>
      <c r="BG1923" s="10"/>
      <c r="BH1923" s="10"/>
      <c r="BI1923" s="10"/>
      <c r="BJ1923" s="10"/>
      <c r="BK1923" s="10"/>
      <c r="BM1923" s="10"/>
    </row>
    <row r="1924" spans="1:65" ht="12.75">
      <c r="A1924" s="9"/>
      <c r="B1924" s="10"/>
      <c r="C1924" s="11"/>
      <c r="D1924" s="12"/>
      <c r="E1924" s="10"/>
      <c r="F1924" s="10"/>
      <c r="G1924" s="10"/>
      <c r="H1924" s="14"/>
      <c r="I1924" s="14"/>
      <c r="J1924" s="14"/>
      <c r="K1924" s="14"/>
      <c r="L1924" s="14"/>
      <c r="M1924" s="15"/>
      <c r="N1924" s="10"/>
      <c r="O1924" s="14"/>
      <c r="P1924" s="14"/>
      <c r="Q1924" s="14"/>
      <c r="R1924" s="14"/>
      <c r="S1924" s="14"/>
      <c r="T1924" s="14"/>
      <c r="U1924" s="14"/>
      <c r="V1924" s="14"/>
      <c r="W1924" s="14"/>
      <c r="X1924" s="14"/>
      <c r="Y1924" s="14"/>
      <c r="Z1924" s="14"/>
      <c r="AA1924" s="16" t="str">
        <f t="shared" ca="1" si="1651"/>
        <v>Johnson &amp; Johnson</v>
      </c>
      <c r="AB1924" s="16">
        <f t="shared" si="1651"/>
        <v>0</v>
      </c>
      <c r="AC1924" s="16">
        <f t="shared" si="1651"/>
        <v>0</v>
      </c>
      <c r="AD1924" s="16">
        <f t="shared" si="1651"/>
        <v>0</v>
      </c>
      <c r="AE1924" s="16">
        <f t="shared" si="1651"/>
        <v>0</v>
      </c>
      <c r="AF1924" s="16">
        <f t="shared" si="1651"/>
        <v>0</v>
      </c>
      <c r="AG1924" s="16">
        <f t="shared" si="1651"/>
        <v>0</v>
      </c>
      <c r="AH1924" s="16">
        <f t="shared" si="1651"/>
        <v>0</v>
      </c>
      <c r="AI1924" s="16">
        <f t="shared" si="1651"/>
        <v>0</v>
      </c>
      <c r="AJ1924" s="16">
        <f t="shared" si="1651"/>
        <v>0</v>
      </c>
      <c r="AK1924" s="16">
        <f t="shared" si="1651"/>
        <v>0</v>
      </c>
      <c r="AL1924" s="16">
        <f t="shared" si="1651"/>
        <v>0</v>
      </c>
      <c r="AM1924" s="16">
        <f t="shared" si="1651"/>
        <v>0</v>
      </c>
      <c r="AN1924" s="16">
        <f t="shared" si="1651"/>
        <v>0</v>
      </c>
      <c r="AO1924" s="16">
        <f t="shared" si="1651"/>
        <v>0</v>
      </c>
      <c r="AP1924" s="10"/>
      <c r="AQ1924" s="10"/>
      <c r="AR1924" s="10"/>
      <c r="AS1924" s="10" t="str">
        <f t="shared" ca="1" si="1641"/>
        <v>Johnson &amp; Johnson</v>
      </c>
      <c r="AT1924" s="10"/>
      <c r="AU1924" s="10"/>
      <c r="AV1924" s="10"/>
      <c r="AW1924" s="10"/>
      <c r="AX1924" s="10"/>
      <c r="AY1924" s="10"/>
      <c r="AZ1924" s="10"/>
      <c r="BA1924" s="10"/>
      <c r="BB1924" s="10"/>
      <c r="BC1924" s="10"/>
      <c r="BD1924" s="10"/>
      <c r="BE1924" s="10"/>
      <c r="BF1924" s="10"/>
      <c r="BG1924" s="10"/>
      <c r="BH1924" s="10"/>
      <c r="BI1924" s="10"/>
      <c r="BJ1924" s="10"/>
      <c r="BK1924" s="10"/>
      <c r="BM1924" s="10"/>
    </row>
    <row r="1925" spans="1:65" ht="12.75">
      <c r="A1925" s="9"/>
      <c r="B1925" s="10"/>
      <c r="C1925" s="11"/>
      <c r="D1925" s="12"/>
      <c r="E1925" s="10"/>
      <c r="F1925" s="10"/>
      <c r="G1925" s="10"/>
      <c r="H1925" s="14"/>
      <c r="I1925" s="14"/>
      <c r="J1925" s="14"/>
      <c r="K1925" s="14"/>
      <c r="L1925" s="14"/>
      <c r="M1925" s="15"/>
      <c r="N1925" s="10"/>
      <c r="O1925" s="14"/>
      <c r="P1925" s="14"/>
      <c r="Q1925" s="14"/>
      <c r="R1925" s="14"/>
      <c r="S1925" s="14"/>
      <c r="T1925" s="14"/>
      <c r="U1925" s="14"/>
      <c r="V1925" s="14"/>
      <c r="W1925" s="14"/>
      <c r="X1925" s="14"/>
      <c r="Y1925" s="14"/>
      <c r="Z1925" s="14"/>
      <c r="AA1925" s="16" t="str">
        <f t="shared" ca="1" si="1651"/>
        <v>Johnson &amp; Johnson</v>
      </c>
      <c r="AB1925" s="16">
        <f t="shared" si="1651"/>
        <v>0</v>
      </c>
      <c r="AC1925" s="16">
        <f t="shared" si="1651"/>
        <v>0</v>
      </c>
      <c r="AD1925" s="16">
        <f t="shared" si="1651"/>
        <v>0</v>
      </c>
      <c r="AE1925" s="16">
        <f t="shared" si="1651"/>
        <v>0</v>
      </c>
      <c r="AF1925" s="16">
        <f t="shared" si="1651"/>
        <v>0</v>
      </c>
      <c r="AG1925" s="16">
        <f t="shared" si="1651"/>
        <v>0</v>
      </c>
      <c r="AH1925" s="16">
        <f t="shared" si="1651"/>
        <v>0</v>
      </c>
      <c r="AI1925" s="16">
        <f t="shared" si="1651"/>
        <v>0</v>
      </c>
      <c r="AJ1925" s="16">
        <f t="shared" si="1651"/>
        <v>0</v>
      </c>
      <c r="AK1925" s="16">
        <f t="shared" si="1651"/>
        <v>0</v>
      </c>
      <c r="AL1925" s="16">
        <f t="shared" si="1651"/>
        <v>0</v>
      </c>
      <c r="AM1925" s="16">
        <f t="shared" si="1651"/>
        <v>0</v>
      </c>
      <c r="AN1925" s="16">
        <f t="shared" si="1651"/>
        <v>0</v>
      </c>
      <c r="AO1925" s="16">
        <f t="shared" si="1651"/>
        <v>0</v>
      </c>
      <c r="AP1925" s="10"/>
      <c r="AQ1925" s="10"/>
      <c r="AR1925" s="10"/>
      <c r="AS1925" s="10" t="str">
        <f t="shared" ca="1" si="1641"/>
        <v>Johnson &amp; Johnson</v>
      </c>
      <c r="AT1925" s="10"/>
      <c r="AU1925" s="10"/>
      <c r="AV1925" s="10"/>
      <c r="AW1925" s="10"/>
      <c r="AX1925" s="10"/>
      <c r="AY1925" s="10"/>
      <c r="AZ1925" s="10"/>
      <c r="BA1925" s="10"/>
      <c r="BB1925" s="10"/>
      <c r="BC1925" s="10"/>
      <c r="BD1925" s="10"/>
      <c r="BE1925" s="10"/>
      <c r="BF1925" s="10"/>
      <c r="BG1925" s="10"/>
      <c r="BH1925" s="10"/>
      <c r="BI1925" s="10"/>
      <c r="BJ1925" s="10"/>
      <c r="BK1925" s="10"/>
      <c r="BM1925" s="10"/>
    </row>
    <row r="1926" spans="1:65" ht="12.75">
      <c r="A1926" s="9"/>
      <c r="B1926" s="10"/>
      <c r="C1926" s="11"/>
      <c r="D1926" s="12"/>
      <c r="E1926" s="10"/>
      <c r="F1926" s="10"/>
      <c r="G1926" s="10"/>
      <c r="H1926" s="14"/>
      <c r="I1926" s="14"/>
      <c r="J1926" s="14"/>
      <c r="K1926" s="14"/>
      <c r="L1926" s="14"/>
      <c r="M1926" s="15"/>
      <c r="N1926" s="10"/>
      <c r="O1926" s="14"/>
      <c r="P1926" s="14"/>
      <c r="Q1926" s="14"/>
      <c r="R1926" s="14"/>
      <c r="S1926" s="14"/>
      <c r="T1926" s="14"/>
      <c r="U1926" s="14"/>
      <c r="V1926" s="14"/>
      <c r="W1926" s="14"/>
      <c r="X1926" s="14"/>
      <c r="Y1926" s="14"/>
      <c r="Z1926" s="14"/>
      <c r="AA1926" s="16" t="str">
        <f t="shared" ca="1" si="1651"/>
        <v>Johnson &amp; Johnson</v>
      </c>
      <c r="AB1926" s="16">
        <f t="shared" si="1651"/>
        <v>0</v>
      </c>
      <c r="AC1926" s="16">
        <f t="shared" si="1651"/>
        <v>0</v>
      </c>
      <c r="AD1926" s="16">
        <f t="shared" si="1651"/>
        <v>0</v>
      </c>
      <c r="AE1926" s="16">
        <f t="shared" si="1651"/>
        <v>0</v>
      </c>
      <c r="AF1926" s="16">
        <f t="shared" si="1651"/>
        <v>0</v>
      </c>
      <c r="AG1926" s="16">
        <f t="shared" si="1651"/>
        <v>0</v>
      </c>
      <c r="AH1926" s="16">
        <f t="shared" si="1651"/>
        <v>0</v>
      </c>
      <c r="AI1926" s="16">
        <f t="shared" si="1651"/>
        <v>0</v>
      </c>
      <c r="AJ1926" s="16">
        <f t="shared" si="1651"/>
        <v>0</v>
      </c>
      <c r="AK1926" s="16">
        <f t="shared" si="1651"/>
        <v>0</v>
      </c>
      <c r="AL1926" s="16">
        <f t="shared" si="1651"/>
        <v>0</v>
      </c>
      <c r="AM1926" s="16">
        <f t="shared" si="1651"/>
        <v>0</v>
      </c>
      <c r="AN1926" s="16">
        <f t="shared" si="1651"/>
        <v>0</v>
      </c>
      <c r="AO1926" s="16">
        <f t="shared" si="1651"/>
        <v>0</v>
      </c>
      <c r="AP1926" s="10"/>
      <c r="AQ1926" s="10"/>
      <c r="AR1926" s="10"/>
      <c r="AS1926" s="10" t="str">
        <f t="shared" ca="1" si="1641"/>
        <v>Johnson &amp; Johnson</v>
      </c>
      <c r="AT1926" s="10"/>
      <c r="AU1926" s="10"/>
      <c r="AV1926" s="10"/>
      <c r="AW1926" s="10"/>
      <c r="AX1926" s="10"/>
      <c r="AY1926" s="10"/>
      <c r="AZ1926" s="10"/>
      <c r="BA1926" s="10"/>
      <c r="BB1926" s="10"/>
      <c r="BC1926" s="10"/>
      <c r="BD1926" s="10"/>
      <c r="BE1926" s="10"/>
      <c r="BF1926" s="10"/>
      <c r="BG1926" s="10"/>
      <c r="BH1926" s="10"/>
      <c r="BI1926" s="10"/>
      <c r="BJ1926" s="10"/>
      <c r="BK1926" s="10"/>
      <c r="BM1926" s="10"/>
    </row>
    <row r="1927" spans="1:65" ht="12.75">
      <c r="A1927" s="9"/>
      <c r="B1927" s="10"/>
      <c r="C1927" s="11"/>
      <c r="D1927" s="12"/>
      <c r="E1927" s="10"/>
      <c r="F1927" s="10"/>
      <c r="G1927" s="10"/>
      <c r="H1927" s="14"/>
      <c r="I1927" s="14"/>
      <c r="J1927" s="14"/>
      <c r="K1927" s="14"/>
      <c r="L1927" s="14"/>
      <c r="M1927" s="15"/>
      <c r="N1927" s="10"/>
      <c r="O1927" s="14"/>
      <c r="P1927" s="14"/>
      <c r="Q1927" s="14"/>
      <c r="R1927" s="14"/>
      <c r="S1927" s="14"/>
      <c r="T1927" s="14"/>
      <c r="U1927" s="14"/>
      <c r="V1927" s="14"/>
      <c r="W1927" s="14"/>
      <c r="X1927" s="14"/>
      <c r="Y1927" s="14"/>
      <c r="Z1927" s="14"/>
      <c r="AA1927" s="16" t="str">
        <f t="shared" ca="1" si="1651"/>
        <v>Johnson &amp; Johnson</v>
      </c>
      <c r="AB1927" s="16">
        <f t="shared" si="1651"/>
        <v>0</v>
      </c>
      <c r="AC1927" s="16">
        <f t="shared" si="1651"/>
        <v>0</v>
      </c>
      <c r="AD1927" s="16">
        <f t="shared" si="1651"/>
        <v>0</v>
      </c>
      <c r="AE1927" s="16">
        <f t="shared" si="1651"/>
        <v>0</v>
      </c>
      <c r="AF1927" s="16">
        <f t="shared" si="1651"/>
        <v>0</v>
      </c>
      <c r="AG1927" s="16">
        <f t="shared" si="1651"/>
        <v>0</v>
      </c>
      <c r="AH1927" s="16">
        <f t="shared" si="1651"/>
        <v>0</v>
      </c>
      <c r="AI1927" s="16">
        <f t="shared" si="1651"/>
        <v>0</v>
      </c>
      <c r="AJ1927" s="16">
        <f t="shared" si="1651"/>
        <v>0</v>
      </c>
      <c r="AK1927" s="16">
        <f t="shared" si="1651"/>
        <v>0</v>
      </c>
      <c r="AL1927" s="16">
        <f t="shared" si="1651"/>
        <v>0</v>
      </c>
      <c r="AM1927" s="16">
        <f t="shared" si="1651"/>
        <v>0</v>
      </c>
      <c r="AN1927" s="16">
        <f t="shared" si="1651"/>
        <v>0</v>
      </c>
      <c r="AO1927" s="16">
        <f t="shared" si="1651"/>
        <v>0</v>
      </c>
      <c r="AP1927" s="10"/>
      <c r="AQ1927" s="10"/>
      <c r="AR1927" s="10"/>
      <c r="AS1927" s="10" t="str">
        <f t="shared" ca="1" si="1641"/>
        <v>Johnson &amp; Johnson</v>
      </c>
      <c r="AT1927" s="10"/>
      <c r="AU1927" s="10"/>
      <c r="AV1927" s="10"/>
      <c r="AW1927" s="10"/>
      <c r="AX1927" s="10"/>
      <c r="AY1927" s="10"/>
      <c r="AZ1927" s="10"/>
      <c r="BA1927" s="10"/>
      <c r="BB1927" s="10"/>
      <c r="BC1927" s="10"/>
      <c r="BD1927" s="10"/>
      <c r="BE1927" s="10"/>
      <c r="BF1927" s="10"/>
      <c r="BG1927" s="10"/>
      <c r="BH1927" s="10"/>
      <c r="BI1927" s="10"/>
      <c r="BJ1927" s="10"/>
      <c r="BK1927" s="10"/>
      <c r="BM1927" s="10"/>
    </row>
    <row r="1928" spans="1:65" ht="12.75">
      <c r="A1928" s="9"/>
      <c r="B1928" s="10"/>
      <c r="C1928" s="11"/>
      <c r="D1928" s="12"/>
      <c r="E1928" s="10"/>
      <c r="F1928" s="10"/>
      <c r="G1928" s="10"/>
      <c r="H1928" s="14"/>
      <c r="I1928" s="14"/>
      <c r="J1928" s="14"/>
      <c r="K1928" s="14"/>
      <c r="L1928" s="14"/>
      <c r="M1928" s="15"/>
      <c r="N1928" s="10"/>
      <c r="O1928" s="14"/>
      <c r="P1928" s="14"/>
      <c r="Q1928" s="14"/>
      <c r="R1928" s="14"/>
      <c r="S1928" s="14"/>
      <c r="T1928" s="14"/>
      <c r="U1928" s="14"/>
      <c r="V1928" s="14"/>
      <c r="W1928" s="14"/>
      <c r="X1928" s="14"/>
      <c r="Y1928" s="14"/>
      <c r="Z1928" s="14"/>
      <c r="AA1928" s="16" t="str">
        <f t="shared" ca="1" si="1651"/>
        <v>Johnson &amp; Johnson</v>
      </c>
      <c r="AB1928" s="16">
        <f t="shared" si="1651"/>
        <v>0</v>
      </c>
      <c r="AC1928" s="16">
        <f t="shared" si="1651"/>
        <v>0</v>
      </c>
      <c r="AD1928" s="16">
        <f t="shared" si="1651"/>
        <v>0</v>
      </c>
      <c r="AE1928" s="16">
        <f t="shared" si="1651"/>
        <v>0</v>
      </c>
      <c r="AF1928" s="16">
        <f t="shared" si="1651"/>
        <v>0</v>
      </c>
      <c r="AG1928" s="16">
        <f t="shared" si="1651"/>
        <v>0</v>
      </c>
      <c r="AH1928" s="16">
        <f t="shared" si="1651"/>
        <v>0</v>
      </c>
      <c r="AI1928" s="16">
        <f t="shared" si="1651"/>
        <v>0</v>
      </c>
      <c r="AJ1928" s="16">
        <f t="shared" si="1651"/>
        <v>0</v>
      </c>
      <c r="AK1928" s="16">
        <f t="shared" si="1651"/>
        <v>0</v>
      </c>
      <c r="AL1928" s="16">
        <f t="shared" si="1651"/>
        <v>0</v>
      </c>
      <c r="AM1928" s="16">
        <f t="shared" si="1651"/>
        <v>0</v>
      </c>
      <c r="AN1928" s="16">
        <f t="shared" si="1651"/>
        <v>0</v>
      </c>
      <c r="AO1928" s="16">
        <f t="shared" si="1651"/>
        <v>0</v>
      </c>
      <c r="AP1928" s="10"/>
      <c r="AQ1928" s="10"/>
      <c r="AR1928" s="10"/>
      <c r="AS1928" s="10" t="str">
        <f t="shared" ca="1" si="1641"/>
        <v>Johnson &amp; Johnson</v>
      </c>
      <c r="AT1928" s="10"/>
      <c r="AU1928" s="10"/>
      <c r="AV1928" s="10"/>
      <c r="AW1928" s="10"/>
      <c r="AX1928" s="10"/>
      <c r="AY1928" s="10"/>
      <c r="AZ1928" s="10"/>
      <c r="BA1928" s="10"/>
      <c r="BB1928" s="10"/>
      <c r="BC1928" s="10"/>
      <c r="BD1928" s="10"/>
      <c r="BE1928" s="10"/>
      <c r="BF1928" s="10"/>
      <c r="BG1928" s="10"/>
      <c r="BH1928" s="10"/>
      <c r="BI1928" s="10"/>
      <c r="BJ1928" s="10"/>
      <c r="BK1928" s="10"/>
      <c r="BM1928" s="10"/>
    </row>
    <row r="1929" spans="1:65" ht="12.75">
      <c r="A1929" s="9"/>
      <c r="B1929" s="10"/>
      <c r="C1929" s="11"/>
      <c r="D1929" s="12"/>
      <c r="E1929" s="10"/>
      <c r="F1929" s="10"/>
      <c r="G1929" s="10"/>
      <c r="H1929" s="14"/>
      <c r="I1929" s="14"/>
      <c r="J1929" s="14"/>
      <c r="K1929" s="14"/>
      <c r="L1929" s="14"/>
      <c r="M1929" s="15"/>
      <c r="N1929" s="10"/>
      <c r="O1929" s="14"/>
      <c r="P1929" s="14"/>
      <c r="Q1929" s="14"/>
      <c r="R1929" s="14"/>
      <c r="S1929" s="14"/>
      <c r="T1929" s="14"/>
      <c r="U1929" s="14"/>
      <c r="V1929" s="14"/>
      <c r="W1929" s="14"/>
      <c r="X1929" s="14"/>
      <c r="Y1929" s="14"/>
      <c r="Z1929" s="14"/>
      <c r="AA1929" s="16" t="str">
        <f t="shared" ref="AA1929:AO1944" ca="1" si="1652">AS1929</f>
        <v>Johnson &amp; Johnson</v>
      </c>
      <c r="AB1929" s="16">
        <f t="shared" si="1652"/>
        <v>0</v>
      </c>
      <c r="AC1929" s="16">
        <f t="shared" si="1652"/>
        <v>0</v>
      </c>
      <c r="AD1929" s="16">
        <f t="shared" si="1652"/>
        <v>0</v>
      </c>
      <c r="AE1929" s="16">
        <f t="shared" si="1652"/>
        <v>0</v>
      </c>
      <c r="AF1929" s="16">
        <f t="shared" si="1652"/>
        <v>0</v>
      </c>
      <c r="AG1929" s="16">
        <f t="shared" si="1652"/>
        <v>0</v>
      </c>
      <c r="AH1929" s="16">
        <f t="shared" si="1652"/>
        <v>0</v>
      </c>
      <c r="AI1929" s="16">
        <f t="shared" si="1652"/>
        <v>0</v>
      </c>
      <c r="AJ1929" s="16">
        <f t="shared" si="1652"/>
        <v>0</v>
      </c>
      <c r="AK1929" s="16">
        <f t="shared" si="1652"/>
        <v>0</v>
      </c>
      <c r="AL1929" s="16">
        <f t="shared" si="1652"/>
        <v>0</v>
      </c>
      <c r="AM1929" s="16">
        <f t="shared" si="1652"/>
        <v>0</v>
      </c>
      <c r="AN1929" s="16">
        <f t="shared" si="1652"/>
        <v>0</v>
      </c>
      <c r="AO1929" s="16">
        <f t="shared" si="1652"/>
        <v>0</v>
      </c>
      <c r="AP1929" s="10"/>
      <c r="AQ1929" s="10"/>
      <c r="AR1929" s="10"/>
      <c r="AS1929" s="10" t="str">
        <f t="shared" ca="1" si="1641"/>
        <v>Johnson &amp; Johnson</v>
      </c>
      <c r="AT1929" s="10"/>
      <c r="AU1929" s="10"/>
      <c r="AV1929" s="10"/>
      <c r="AW1929" s="10"/>
      <c r="AX1929" s="10"/>
      <c r="AY1929" s="10"/>
      <c r="AZ1929" s="10"/>
      <c r="BA1929" s="10"/>
      <c r="BB1929" s="10"/>
      <c r="BC1929" s="10"/>
      <c r="BD1929" s="10"/>
      <c r="BE1929" s="10"/>
      <c r="BF1929" s="10"/>
      <c r="BG1929" s="10"/>
      <c r="BH1929" s="10"/>
      <c r="BI1929" s="10"/>
      <c r="BJ1929" s="10"/>
      <c r="BK1929" s="10"/>
      <c r="BM1929" s="10"/>
    </row>
    <row r="1930" spans="1:65" ht="12.75">
      <c r="A1930" s="9"/>
      <c r="B1930" s="10"/>
      <c r="C1930" s="11"/>
      <c r="D1930" s="12"/>
      <c r="E1930" s="10"/>
      <c r="F1930" s="10"/>
      <c r="G1930" s="10"/>
      <c r="H1930" s="14"/>
      <c r="I1930" s="14"/>
      <c r="J1930" s="14"/>
      <c r="K1930" s="14"/>
      <c r="L1930" s="14"/>
      <c r="M1930" s="15"/>
      <c r="N1930" s="10"/>
      <c r="O1930" s="14"/>
      <c r="P1930" s="14"/>
      <c r="Q1930" s="14"/>
      <c r="R1930" s="14"/>
      <c r="S1930" s="14"/>
      <c r="T1930" s="14"/>
      <c r="U1930" s="14"/>
      <c r="V1930" s="14"/>
      <c r="W1930" s="14"/>
      <c r="X1930" s="14"/>
      <c r="Y1930" s="14"/>
      <c r="Z1930" s="14"/>
      <c r="AA1930" s="16" t="str">
        <f t="shared" ca="1" si="1652"/>
        <v>Johnson &amp; Johnson</v>
      </c>
      <c r="AB1930" s="16">
        <f t="shared" si="1652"/>
        <v>0</v>
      </c>
      <c r="AC1930" s="16">
        <f t="shared" si="1652"/>
        <v>0</v>
      </c>
      <c r="AD1930" s="16">
        <f t="shared" si="1652"/>
        <v>0</v>
      </c>
      <c r="AE1930" s="16">
        <f t="shared" si="1652"/>
        <v>0</v>
      </c>
      <c r="AF1930" s="16">
        <f t="shared" si="1652"/>
        <v>0</v>
      </c>
      <c r="AG1930" s="16">
        <f t="shared" si="1652"/>
        <v>0</v>
      </c>
      <c r="AH1930" s="16">
        <f t="shared" si="1652"/>
        <v>0</v>
      </c>
      <c r="AI1930" s="16">
        <f t="shared" si="1652"/>
        <v>0</v>
      </c>
      <c r="AJ1930" s="16">
        <f t="shared" si="1652"/>
        <v>0</v>
      </c>
      <c r="AK1930" s="16">
        <f t="shared" si="1652"/>
        <v>0</v>
      </c>
      <c r="AL1930" s="16">
        <f t="shared" si="1652"/>
        <v>0</v>
      </c>
      <c r="AM1930" s="16">
        <f t="shared" si="1652"/>
        <v>0</v>
      </c>
      <c r="AN1930" s="16">
        <f t="shared" si="1652"/>
        <v>0</v>
      </c>
      <c r="AO1930" s="16">
        <f t="shared" si="1652"/>
        <v>0</v>
      </c>
      <c r="AP1930" s="10"/>
      <c r="AQ1930" s="10"/>
      <c r="AR1930" s="10"/>
      <c r="AS1930" s="10" t="str">
        <f t="shared" ca="1" si="1641"/>
        <v>Johnson &amp; Johnson</v>
      </c>
      <c r="AT1930" s="10"/>
      <c r="AU1930" s="10"/>
      <c r="AV1930" s="10"/>
      <c r="AW1930" s="10"/>
      <c r="AX1930" s="10"/>
      <c r="AY1930" s="10"/>
      <c r="AZ1930" s="10"/>
      <c r="BA1930" s="10"/>
      <c r="BB1930" s="10"/>
      <c r="BC1930" s="10"/>
      <c r="BD1930" s="10"/>
      <c r="BE1930" s="10"/>
      <c r="BF1930" s="10"/>
      <c r="BG1930" s="10"/>
      <c r="BH1930" s="10"/>
      <c r="BI1930" s="10"/>
      <c r="BJ1930" s="10"/>
      <c r="BK1930" s="10"/>
      <c r="BM1930" s="10"/>
    </row>
    <row r="1931" spans="1:65" ht="12.75">
      <c r="A1931" s="9"/>
      <c r="B1931" s="10"/>
      <c r="C1931" s="11"/>
      <c r="D1931" s="12"/>
      <c r="E1931" s="10"/>
      <c r="F1931" s="10"/>
      <c r="G1931" s="10"/>
      <c r="H1931" s="14"/>
      <c r="I1931" s="14"/>
      <c r="J1931" s="14"/>
      <c r="K1931" s="14"/>
      <c r="L1931" s="14"/>
      <c r="M1931" s="15"/>
      <c r="N1931" s="10"/>
      <c r="O1931" s="14"/>
      <c r="P1931" s="14"/>
      <c r="Q1931" s="14"/>
      <c r="R1931" s="14"/>
      <c r="S1931" s="14"/>
      <c r="T1931" s="14"/>
      <c r="U1931" s="14"/>
      <c r="V1931" s="14"/>
      <c r="W1931" s="14"/>
      <c r="X1931" s="14"/>
      <c r="Y1931" s="14"/>
      <c r="Z1931" s="14"/>
      <c r="AA1931" s="16" t="str">
        <f t="shared" ca="1" si="1652"/>
        <v>Johnson &amp; Johnson</v>
      </c>
      <c r="AB1931" s="16">
        <f t="shared" si="1652"/>
        <v>0</v>
      </c>
      <c r="AC1931" s="16">
        <f t="shared" si="1652"/>
        <v>0</v>
      </c>
      <c r="AD1931" s="16">
        <f t="shared" si="1652"/>
        <v>0</v>
      </c>
      <c r="AE1931" s="16">
        <f t="shared" si="1652"/>
        <v>0</v>
      </c>
      <c r="AF1931" s="16">
        <f t="shared" si="1652"/>
        <v>0</v>
      </c>
      <c r="AG1931" s="16">
        <f t="shared" si="1652"/>
        <v>0</v>
      </c>
      <c r="AH1931" s="16">
        <f t="shared" si="1652"/>
        <v>0</v>
      </c>
      <c r="AI1931" s="16">
        <f t="shared" si="1652"/>
        <v>0</v>
      </c>
      <c r="AJ1931" s="16">
        <f t="shared" si="1652"/>
        <v>0</v>
      </c>
      <c r="AK1931" s="16">
        <f t="shared" si="1652"/>
        <v>0</v>
      </c>
      <c r="AL1931" s="16">
        <f t="shared" si="1652"/>
        <v>0</v>
      </c>
      <c r="AM1931" s="16">
        <f t="shared" si="1652"/>
        <v>0</v>
      </c>
      <c r="AN1931" s="16">
        <f t="shared" si="1652"/>
        <v>0</v>
      </c>
      <c r="AO1931" s="16">
        <f t="shared" si="1652"/>
        <v>0</v>
      </c>
      <c r="AP1931" s="10"/>
      <c r="AQ1931" s="10"/>
      <c r="AR1931" s="10"/>
      <c r="AS1931" s="10" t="str">
        <f t="shared" ca="1" si="1641"/>
        <v>Johnson &amp; Johnson</v>
      </c>
      <c r="AT1931" s="10"/>
      <c r="AU1931" s="10"/>
      <c r="AV1931" s="10"/>
      <c r="AW1931" s="10"/>
      <c r="AX1931" s="10"/>
      <c r="AY1931" s="10"/>
      <c r="AZ1931" s="10"/>
      <c r="BA1931" s="10"/>
      <c r="BB1931" s="10"/>
      <c r="BC1931" s="10"/>
      <c r="BD1931" s="10"/>
      <c r="BE1931" s="10"/>
      <c r="BF1931" s="10"/>
      <c r="BG1931" s="10"/>
      <c r="BH1931" s="10"/>
      <c r="BI1931" s="10"/>
      <c r="BJ1931" s="10"/>
      <c r="BK1931" s="10"/>
      <c r="BM1931" s="10"/>
    </row>
    <row r="1932" spans="1:65" ht="12.75">
      <c r="A1932" s="9"/>
      <c r="B1932" s="10"/>
      <c r="C1932" s="11"/>
      <c r="D1932" s="12"/>
      <c r="E1932" s="10"/>
      <c r="F1932" s="10"/>
      <c r="G1932" s="10"/>
      <c r="H1932" s="14"/>
      <c r="I1932" s="14"/>
      <c r="J1932" s="14"/>
      <c r="K1932" s="14"/>
      <c r="L1932" s="14"/>
      <c r="M1932" s="15"/>
      <c r="N1932" s="10"/>
      <c r="O1932" s="14"/>
      <c r="P1932" s="14"/>
      <c r="Q1932" s="14"/>
      <c r="R1932" s="14"/>
      <c r="S1932" s="14"/>
      <c r="T1932" s="14"/>
      <c r="U1932" s="14"/>
      <c r="V1932" s="14"/>
      <c r="W1932" s="14"/>
      <c r="X1932" s="14"/>
      <c r="Y1932" s="14"/>
      <c r="Z1932" s="14"/>
      <c r="AA1932" s="16" t="str">
        <f t="shared" ca="1" si="1652"/>
        <v>Johnson &amp; Johnson</v>
      </c>
      <c r="AB1932" s="16">
        <f t="shared" si="1652"/>
        <v>0</v>
      </c>
      <c r="AC1932" s="16">
        <f t="shared" si="1652"/>
        <v>0</v>
      </c>
      <c r="AD1932" s="16">
        <f t="shared" si="1652"/>
        <v>0</v>
      </c>
      <c r="AE1932" s="16">
        <f t="shared" si="1652"/>
        <v>0</v>
      </c>
      <c r="AF1932" s="16">
        <f t="shared" si="1652"/>
        <v>0</v>
      </c>
      <c r="AG1932" s="16">
        <f t="shared" si="1652"/>
        <v>0</v>
      </c>
      <c r="AH1932" s="16">
        <f t="shared" si="1652"/>
        <v>0</v>
      </c>
      <c r="AI1932" s="16">
        <f t="shared" si="1652"/>
        <v>0</v>
      </c>
      <c r="AJ1932" s="16">
        <f t="shared" si="1652"/>
        <v>0</v>
      </c>
      <c r="AK1932" s="16">
        <f t="shared" si="1652"/>
        <v>0</v>
      </c>
      <c r="AL1932" s="16">
        <f t="shared" si="1652"/>
        <v>0</v>
      </c>
      <c r="AM1932" s="16">
        <f t="shared" si="1652"/>
        <v>0</v>
      </c>
      <c r="AN1932" s="16">
        <f t="shared" si="1652"/>
        <v>0</v>
      </c>
      <c r="AO1932" s="16">
        <f t="shared" si="1652"/>
        <v>0</v>
      </c>
      <c r="AP1932" s="10"/>
      <c r="AQ1932" s="10"/>
      <c r="AR1932" s="10"/>
      <c r="AS1932" s="10" t="str">
        <f t="shared" ca="1" si="1641"/>
        <v>Johnson &amp; Johnson</v>
      </c>
      <c r="AT1932" s="10"/>
      <c r="AU1932" s="10"/>
      <c r="AV1932" s="10"/>
      <c r="AW1932" s="10"/>
      <c r="AX1932" s="10"/>
      <c r="AY1932" s="10"/>
      <c r="AZ1932" s="10"/>
      <c r="BA1932" s="10"/>
      <c r="BB1932" s="10"/>
      <c r="BC1932" s="10"/>
      <c r="BD1932" s="10"/>
      <c r="BE1932" s="10"/>
      <c r="BF1932" s="10"/>
      <c r="BG1932" s="10"/>
      <c r="BH1932" s="10"/>
      <c r="BI1932" s="10"/>
      <c r="BJ1932" s="10"/>
      <c r="BK1932" s="10"/>
      <c r="BM1932" s="10"/>
    </row>
    <row r="1933" spans="1:65" ht="12.75">
      <c r="A1933" s="9"/>
      <c r="B1933" s="10"/>
      <c r="C1933" s="11"/>
      <c r="D1933" s="12"/>
      <c r="E1933" s="10"/>
      <c r="F1933" s="10"/>
      <c r="G1933" s="10"/>
      <c r="H1933" s="14"/>
      <c r="I1933" s="14"/>
      <c r="J1933" s="14"/>
      <c r="K1933" s="14"/>
      <c r="L1933" s="14"/>
      <c r="M1933" s="15"/>
      <c r="N1933" s="10"/>
      <c r="O1933" s="14"/>
      <c r="P1933" s="14"/>
      <c r="Q1933" s="14"/>
      <c r="R1933" s="14"/>
      <c r="S1933" s="14"/>
      <c r="T1933" s="14"/>
      <c r="U1933" s="14"/>
      <c r="V1933" s="14"/>
      <c r="W1933" s="14"/>
      <c r="X1933" s="14"/>
      <c r="Y1933" s="14"/>
      <c r="Z1933" s="14"/>
      <c r="AA1933" s="16" t="str">
        <f t="shared" ca="1" si="1652"/>
        <v>Johnson &amp; Johnson</v>
      </c>
      <c r="AB1933" s="16">
        <f t="shared" si="1652"/>
        <v>0</v>
      </c>
      <c r="AC1933" s="16">
        <f t="shared" si="1652"/>
        <v>0</v>
      </c>
      <c r="AD1933" s="16">
        <f t="shared" si="1652"/>
        <v>0</v>
      </c>
      <c r="AE1933" s="16">
        <f t="shared" si="1652"/>
        <v>0</v>
      </c>
      <c r="AF1933" s="16">
        <f t="shared" si="1652"/>
        <v>0</v>
      </c>
      <c r="AG1933" s="16">
        <f t="shared" si="1652"/>
        <v>0</v>
      </c>
      <c r="AH1933" s="16">
        <f t="shared" si="1652"/>
        <v>0</v>
      </c>
      <c r="AI1933" s="16">
        <f t="shared" si="1652"/>
        <v>0</v>
      </c>
      <c r="AJ1933" s="16">
        <f t="shared" si="1652"/>
        <v>0</v>
      </c>
      <c r="AK1933" s="16">
        <f t="shared" si="1652"/>
        <v>0</v>
      </c>
      <c r="AL1933" s="16">
        <f t="shared" si="1652"/>
        <v>0</v>
      </c>
      <c r="AM1933" s="16">
        <f t="shared" si="1652"/>
        <v>0</v>
      </c>
      <c r="AN1933" s="16">
        <f t="shared" si="1652"/>
        <v>0</v>
      </c>
      <c r="AO1933" s="16">
        <f t="shared" si="1652"/>
        <v>0</v>
      </c>
      <c r="AP1933" s="10"/>
      <c r="AQ1933" s="10"/>
      <c r="AR1933" s="10"/>
      <c r="AS1933" s="10" t="str">
        <f t="shared" ca="1" si="1641"/>
        <v>Johnson &amp; Johnson</v>
      </c>
      <c r="AT1933" s="10"/>
      <c r="AU1933" s="10"/>
      <c r="AV1933" s="10"/>
      <c r="AW1933" s="10"/>
      <c r="AX1933" s="10"/>
      <c r="AY1933" s="10"/>
      <c r="AZ1933" s="10"/>
      <c r="BA1933" s="10"/>
      <c r="BB1933" s="10"/>
      <c r="BC1933" s="10"/>
      <c r="BD1933" s="10"/>
      <c r="BE1933" s="10"/>
      <c r="BF1933" s="10"/>
      <c r="BG1933" s="10"/>
      <c r="BH1933" s="10"/>
      <c r="BI1933" s="10"/>
      <c r="BJ1933" s="10"/>
      <c r="BK1933" s="10"/>
      <c r="BM1933" s="10"/>
    </row>
    <row r="1934" spans="1:65" ht="12.75">
      <c r="A1934" s="9"/>
      <c r="B1934" s="10"/>
      <c r="C1934" s="11"/>
      <c r="D1934" s="12"/>
      <c r="E1934" s="10"/>
      <c r="F1934" s="10"/>
      <c r="G1934" s="10"/>
      <c r="H1934" s="14"/>
      <c r="I1934" s="14"/>
      <c r="J1934" s="14"/>
      <c r="K1934" s="14"/>
      <c r="L1934" s="14"/>
      <c r="M1934" s="15"/>
      <c r="N1934" s="10"/>
      <c r="O1934" s="14"/>
      <c r="P1934" s="14"/>
      <c r="Q1934" s="14"/>
      <c r="R1934" s="14"/>
      <c r="S1934" s="14"/>
      <c r="T1934" s="14"/>
      <c r="U1934" s="14"/>
      <c r="V1934" s="14"/>
      <c r="W1934" s="14"/>
      <c r="X1934" s="14"/>
      <c r="Y1934" s="14"/>
      <c r="Z1934" s="14"/>
      <c r="AA1934" s="16" t="str">
        <f t="shared" ca="1" si="1652"/>
        <v>Johnson &amp; Johnson</v>
      </c>
      <c r="AB1934" s="16">
        <f t="shared" si="1652"/>
        <v>0</v>
      </c>
      <c r="AC1934" s="16">
        <f t="shared" si="1652"/>
        <v>0</v>
      </c>
      <c r="AD1934" s="16">
        <f t="shared" si="1652"/>
        <v>0</v>
      </c>
      <c r="AE1934" s="16">
        <f t="shared" si="1652"/>
        <v>0</v>
      </c>
      <c r="AF1934" s="16">
        <f t="shared" si="1652"/>
        <v>0</v>
      </c>
      <c r="AG1934" s="16">
        <f t="shared" si="1652"/>
        <v>0</v>
      </c>
      <c r="AH1934" s="16">
        <f t="shared" si="1652"/>
        <v>0</v>
      </c>
      <c r="AI1934" s="16">
        <f t="shared" si="1652"/>
        <v>0</v>
      </c>
      <c r="AJ1934" s="16">
        <f t="shared" si="1652"/>
        <v>0</v>
      </c>
      <c r="AK1934" s="16">
        <f t="shared" si="1652"/>
        <v>0</v>
      </c>
      <c r="AL1934" s="16">
        <f t="shared" si="1652"/>
        <v>0</v>
      </c>
      <c r="AM1934" s="16">
        <f t="shared" si="1652"/>
        <v>0</v>
      </c>
      <c r="AN1934" s="16">
        <f t="shared" si="1652"/>
        <v>0</v>
      </c>
      <c r="AO1934" s="16">
        <f t="shared" si="1652"/>
        <v>0</v>
      </c>
      <c r="AP1934" s="10"/>
      <c r="AQ1934" s="10"/>
      <c r="AR1934" s="10"/>
      <c r="AS1934" s="10" t="str">
        <f t="shared" ca="1" si="1641"/>
        <v>Johnson &amp; Johnson</v>
      </c>
      <c r="AT1934" s="10"/>
      <c r="AU1934" s="10"/>
      <c r="AV1934" s="10"/>
      <c r="AW1934" s="10"/>
      <c r="AX1934" s="10"/>
      <c r="AY1934" s="10"/>
      <c r="AZ1934" s="10"/>
      <c r="BA1934" s="10"/>
      <c r="BB1934" s="10"/>
      <c r="BC1934" s="10"/>
      <c r="BD1934" s="10"/>
      <c r="BE1934" s="10"/>
      <c r="BF1934" s="10"/>
      <c r="BG1934" s="10"/>
      <c r="BH1934" s="10"/>
      <c r="BI1934" s="10"/>
      <c r="BJ1934" s="10"/>
      <c r="BK1934" s="10"/>
      <c r="BM1934" s="10"/>
    </row>
    <row r="1935" spans="1:65" ht="12.75">
      <c r="A1935" s="9"/>
      <c r="B1935" s="10"/>
      <c r="C1935" s="11"/>
      <c r="D1935" s="12"/>
      <c r="E1935" s="10"/>
      <c r="F1935" s="10"/>
      <c r="G1935" s="10"/>
      <c r="H1935" s="14"/>
      <c r="I1935" s="14"/>
      <c r="J1935" s="14"/>
      <c r="K1935" s="14"/>
      <c r="L1935" s="14"/>
      <c r="M1935" s="15"/>
      <c r="N1935" s="10"/>
      <c r="O1935" s="14"/>
      <c r="P1935" s="14"/>
      <c r="Q1935" s="14"/>
      <c r="R1935" s="14"/>
      <c r="S1935" s="14"/>
      <c r="T1935" s="14"/>
      <c r="U1935" s="14"/>
      <c r="V1935" s="14"/>
      <c r="W1935" s="14"/>
      <c r="X1935" s="14"/>
      <c r="Y1935" s="14"/>
      <c r="Z1935" s="14"/>
      <c r="AA1935" s="16" t="str">
        <f t="shared" ca="1" si="1652"/>
        <v>Johnson &amp; Johnson</v>
      </c>
      <c r="AB1935" s="16">
        <f t="shared" si="1652"/>
        <v>0</v>
      </c>
      <c r="AC1935" s="16">
        <f t="shared" si="1652"/>
        <v>0</v>
      </c>
      <c r="AD1935" s="16">
        <f t="shared" si="1652"/>
        <v>0</v>
      </c>
      <c r="AE1935" s="16">
        <f t="shared" si="1652"/>
        <v>0</v>
      </c>
      <c r="AF1935" s="16">
        <f t="shared" si="1652"/>
        <v>0</v>
      </c>
      <c r="AG1935" s="16">
        <f t="shared" si="1652"/>
        <v>0</v>
      </c>
      <c r="AH1935" s="16">
        <f t="shared" si="1652"/>
        <v>0</v>
      </c>
      <c r="AI1935" s="16">
        <f t="shared" si="1652"/>
        <v>0</v>
      </c>
      <c r="AJ1935" s="16">
        <f t="shared" si="1652"/>
        <v>0</v>
      </c>
      <c r="AK1935" s="16">
        <f t="shared" si="1652"/>
        <v>0</v>
      </c>
      <c r="AL1935" s="16">
        <f t="shared" si="1652"/>
        <v>0</v>
      </c>
      <c r="AM1935" s="16">
        <f t="shared" si="1652"/>
        <v>0</v>
      </c>
      <c r="AN1935" s="16">
        <f t="shared" si="1652"/>
        <v>0</v>
      </c>
      <c r="AO1935" s="16">
        <f t="shared" si="1652"/>
        <v>0</v>
      </c>
      <c r="AP1935" s="10"/>
      <c r="AQ1935" s="10"/>
      <c r="AR1935" s="10"/>
      <c r="AS1935" s="10" t="str">
        <f t="shared" ca="1" si="1641"/>
        <v>Johnson &amp; Johnson</v>
      </c>
      <c r="AT1935" s="10"/>
      <c r="AU1935" s="10"/>
      <c r="AV1935" s="10"/>
      <c r="AW1935" s="10"/>
      <c r="AX1935" s="10"/>
      <c r="AY1935" s="10"/>
      <c r="AZ1935" s="10"/>
      <c r="BA1935" s="10"/>
      <c r="BB1935" s="10"/>
      <c r="BC1935" s="10"/>
      <c r="BD1935" s="10"/>
      <c r="BE1935" s="10"/>
      <c r="BF1935" s="10"/>
      <c r="BG1935" s="10"/>
      <c r="BH1935" s="10"/>
      <c r="BI1935" s="10"/>
      <c r="BJ1935" s="10"/>
      <c r="BK1935" s="10"/>
      <c r="BM1935" s="10"/>
    </row>
    <row r="1936" spans="1:65" ht="12.75">
      <c r="A1936" s="9"/>
      <c r="B1936" s="10"/>
      <c r="C1936" s="11"/>
      <c r="D1936" s="12"/>
      <c r="E1936" s="10"/>
      <c r="F1936" s="10"/>
      <c r="G1936" s="10"/>
      <c r="H1936" s="14"/>
      <c r="I1936" s="14"/>
      <c r="J1936" s="14"/>
      <c r="K1936" s="14"/>
      <c r="L1936" s="14"/>
      <c r="M1936" s="15"/>
      <c r="N1936" s="10"/>
      <c r="O1936" s="14"/>
      <c r="P1936" s="14"/>
      <c r="Q1936" s="14"/>
      <c r="R1936" s="14"/>
      <c r="S1936" s="14"/>
      <c r="T1936" s="14"/>
      <c r="U1936" s="14"/>
      <c r="V1936" s="14"/>
      <c r="W1936" s="14"/>
      <c r="X1936" s="14"/>
      <c r="Y1936" s="14"/>
      <c r="Z1936" s="14"/>
      <c r="AA1936" s="16" t="str">
        <f t="shared" ca="1" si="1652"/>
        <v>Johnson &amp; Johnson</v>
      </c>
      <c r="AB1936" s="16">
        <f t="shared" si="1652"/>
        <v>0</v>
      </c>
      <c r="AC1936" s="16">
        <f t="shared" si="1652"/>
        <v>0</v>
      </c>
      <c r="AD1936" s="16">
        <f t="shared" si="1652"/>
        <v>0</v>
      </c>
      <c r="AE1936" s="16">
        <f t="shared" si="1652"/>
        <v>0</v>
      </c>
      <c r="AF1936" s="16">
        <f t="shared" si="1652"/>
        <v>0</v>
      </c>
      <c r="AG1936" s="16">
        <f t="shared" si="1652"/>
        <v>0</v>
      </c>
      <c r="AH1936" s="16">
        <f t="shared" si="1652"/>
        <v>0</v>
      </c>
      <c r="AI1936" s="16">
        <f t="shared" si="1652"/>
        <v>0</v>
      </c>
      <c r="AJ1936" s="16">
        <f t="shared" si="1652"/>
        <v>0</v>
      </c>
      <c r="AK1936" s="16">
        <f t="shared" si="1652"/>
        <v>0</v>
      </c>
      <c r="AL1936" s="16">
        <f t="shared" si="1652"/>
        <v>0</v>
      </c>
      <c r="AM1936" s="16">
        <f t="shared" si="1652"/>
        <v>0</v>
      </c>
      <c r="AN1936" s="16">
        <f t="shared" si="1652"/>
        <v>0</v>
      </c>
      <c r="AO1936" s="16">
        <f t="shared" si="1652"/>
        <v>0</v>
      </c>
      <c r="AP1936" s="10"/>
      <c r="AQ1936" s="10"/>
      <c r="AR1936" s="10"/>
      <c r="AS1936" s="10" t="str">
        <f t="shared" ca="1" si="1641"/>
        <v>Johnson &amp; Johnson</v>
      </c>
      <c r="AT1936" s="10"/>
      <c r="AU1936" s="10"/>
      <c r="AV1936" s="10"/>
      <c r="AW1936" s="10"/>
      <c r="AX1936" s="10"/>
      <c r="AY1936" s="10"/>
      <c r="AZ1936" s="10"/>
      <c r="BA1936" s="10"/>
      <c r="BB1936" s="10"/>
      <c r="BC1936" s="10"/>
      <c r="BD1936" s="10"/>
      <c r="BE1936" s="10"/>
      <c r="BF1936" s="10"/>
      <c r="BG1936" s="10"/>
      <c r="BH1936" s="10"/>
      <c r="BI1936" s="10"/>
      <c r="BJ1936" s="10"/>
      <c r="BK1936" s="10"/>
      <c r="BM1936" s="10"/>
    </row>
    <row r="1937" spans="1:65" ht="12.75">
      <c r="A1937" s="9"/>
      <c r="B1937" s="10"/>
      <c r="C1937" s="11"/>
      <c r="D1937" s="12"/>
      <c r="E1937" s="10"/>
      <c r="F1937" s="10"/>
      <c r="G1937" s="10"/>
      <c r="H1937" s="14"/>
      <c r="I1937" s="14"/>
      <c r="J1937" s="14"/>
      <c r="K1937" s="14"/>
      <c r="L1937" s="14"/>
      <c r="M1937" s="15"/>
      <c r="N1937" s="10"/>
      <c r="O1937" s="14"/>
      <c r="P1937" s="14"/>
      <c r="Q1937" s="14"/>
      <c r="R1937" s="14"/>
      <c r="S1937" s="14"/>
      <c r="T1937" s="14"/>
      <c r="U1937" s="14"/>
      <c r="V1937" s="14"/>
      <c r="W1937" s="14"/>
      <c r="X1937" s="14"/>
      <c r="Y1937" s="14"/>
      <c r="Z1937" s="14"/>
      <c r="AA1937" s="16" t="str">
        <f t="shared" ca="1" si="1652"/>
        <v>Johnson &amp; Johnson</v>
      </c>
      <c r="AB1937" s="16">
        <f t="shared" si="1652"/>
        <v>0</v>
      </c>
      <c r="AC1937" s="16">
        <f t="shared" si="1652"/>
        <v>0</v>
      </c>
      <c r="AD1937" s="16">
        <f t="shared" si="1652"/>
        <v>0</v>
      </c>
      <c r="AE1937" s="16">
        <f t="shared" si="1652"/>
        <v>0</v>
      </c>
      <c r="AF1937" s="16">
        <f t="shared" si="1652"/>
        <v>0</v>
      </c>
      <c r="AG1937" s="16">
        <f t="shared" si="1652"/>
        <v>0</v>
      </c>
      <c r="AH1937" s="16">
        <f t="shared" si="1652"/>
        <v>0</v>
      </c>
      <c r="AI1937" s="16">
        <f t="shared" si="1652"/>
        <v>0</v>
      </c>
      <c r="AJ1937" s="16">
        <f t="shared" si="1652"/>
        <v>0</v>
      </c>
      <c r="AK1937" s="16">
        <f t="shared" si="1652"/>
        <v>0</v>
      </c>
      <c r="AL1937" s="16">
        <f t="shared" si="1652"/>
        <v>0</v>
      </c>
      <c r="AM1937" s="16">
        <f t="shared" si="1652"/>
        <v>0</v>
      </c>
      <c r="AN1937" s="16">
        <f t="shared" si="1652"/>
        <v>0</v>
      </c>
      <c r="AO1937" s="16">
        <f t="shared" si="1652"/>
        <v>0</v>
      </c>
      <c r="AP1937" s="10"/>
      <c r="AQ1937" s="10"/>
      <c r="AR1937" s="10"/>
      <c r="AS1937" s="10" t="str">
        <f t="shared" ca="1" si="1641"/>
        <v>Johnson &amp; Johnson</v>
      </c>
      <c r="AT1937" s="10"/>
      <c r="AU1937" s="10"/>
      <c r="AV1937" s="10"/>
      <c r="AW1937" s="10"/>
      <c r="AX1937" s="10"/>
      <c r="AY1937" s="10"/>
      <c r="AZ1937" s="10"/>
      <c r="BA1937" s="10"/>
      <c r="BB1937" s="10"/>
      <c r="BC1937" s="10"/>
      <c r="BD1937" s="10"/>
      <c r="BE1937" s="10"/>
      <c r="BF1937" s="10"/>
      <c r="BG1937" s="10"/>
      <c r="BH1937" s="10"/>
      <c r="BI1937" s="10"/>
      <c r="BJ1937" s="10"/>
      <c r="BK1937" s="10"/>
      <c r="BM1937" s="10"/>
    </row>
    <row r="1938" spans="1:65" ht="12.75">
      <c r="A1938" s="9"/>
      <c r="B1938" s="10"/>
      <c r="C1938" s="11"/>
      <c r="D1938" s="12"/>
      <c r="E1938" s="10"/>
      <c r="F1938" s="10"/>
      <c r="G1938" s="10"/>
      <c r="H1938" s="14"/>
      <c r="I1938" s="14"/>
      <c r="J1938" s="14"/>
      <c r="K1938" s="14"/>
      <c r="L1938" s="14"/>
      <c r="M1938" s="15"/>
      <c r="N1938" s="10"/>
      <c r="O1938" s="14"/>
      <c r="P1938" s="14"/>
      <c r="Q1938" s="14"/>
      <c r="R1938" s="14"/>
      <c r="S1938" s="14"/>
      <c r="T1938" s="14"/>
      <c r="U1938" s="14"/>
      <c r="V1938" s="14"/>
      <c r="W1938" s="14"/>
      <c r="X1938" s="14"/>
      <c r="Y1938" s="14"/>
      <c r="Z1938" s="14"/>
      <c r="AA1938" s="16" t="str">
        <f t="shared" ca="1" si="1652"/>
        <v>Johnson &amp; Johnson</v>
      </c>
      <c r="AB1938" s="16">
        <f t="shared" si="1652"/>
        <v>0</v>
      </c>
      <c r="AC1938" s="16">
        <f t="shared" si="1652"/>
        <v>0</v>
      </c>
      <c r="AD1938" s="16">
        <f t="shared" si="1652"/>
        <v>0</v>
      </c>
      <c r="AE1938" s="16">
        <f t="shared" si="1652"/>
        <v>0</v>
      </c>
      <c r="AF1938" s="16">
        <f t="shared" si="1652"/>
        <v>0</v>
      </c>
      <c r="AG1938" s="16">
        <f t="shared" si="1652"/>
        <v>0</v>
      </c>
      <c r="AH1938" s="16">
        <f t="shared" si="1652"/>
        <v>0</v>
      </c>
      <c r="AI1938" s="16">
        <f t="shared" si="1652"/>
        <v>0</v>
      </c>
      <c r="AJ1938" s="16">
        <f t="shared" si="1652"/>
        <v>0</v>
      </c>
      <c r="AK1938" s="16">
        <f t="shared" si="1652"/>
        <v>0</v>
      </c>
      <c r="AL1938" s="16">
        <f t="shared" si="1652"/>
        <v>0</v>
      </c>
      <c r="AM1938" s="16">
        <f t="shared" si="1652"/>
        <v>0</v>
      </c>
      <c r="AN1938" s="16">
        <f t="shared" si="1652"/>
        <v>0</v>
      </c>
      <c r="AO1938" s="16">
        <f t="shared" si="1652"/>
        <v>0</v>
      </c>
      <c r="AP1938" s="10"/>
      <c r="AQ1938" s="10"/>
      <c r="AR1938" s="10"/>
      <c r="AS1938" s="10" t="str">
        <f t="shared" ca="1" si="1641"/>
        <v>Johnson &amp; Johnson</v>
      </c>
      <c r="AT1938" s="10"/>
      <c r="AU1938" s="10"/>
      <c r="AV1938" s="10"/>
      <c r="AW1938" s="10"/>
      <c r="AX1938" s="10"/>
      <c r="AY1938" s="10"/>
      <c r="AZ1938" s="10"/>
      <c r="BA1938" s="10"/>
      <c r="BB1938" s="10"/>
      <c r="BC1938" s="10"/>
      <c r="BD1938" s="10"/>
      <c r="BE1938" s="10"/>
      <c r="BF1938" s="10"/>
      <c r="BG1938" s="10"/>
      <c r="BH1938" s="10"/>
      <c r="BI1938" s="10"/>
      <c r="BJ1938" s="10"/>
      <c r="BK1938" s="10"/>
      <c r="BM1938" s="10"/>
    </row>
    <row r="1939" spans="1:65" ht="12.75">
      <c r="A1939" s="9"/>
      <c r="B1939" s="10"/>
      <c r="C1939" s="11"/>
      <c r="D1939" s="12"/>
      <c r="E1939" s="10"/>
      <c r="F1939" s="10"/>
      <c r="G1939" s="10"/>
      <c r="H1939" s="14"/>
      <c r="I1939" s="14"/>
      <c r="J1939" s="14"/>
      <c r="K1939" s="14"/>
      <c r="L1939" s="14"/>
      <c r="M1939" s="15"/>
      <c r="N1939" s="10"/>
      <c r="O1939" s="14"/>
      <c r="P1939" s="14"/>
      <c r="Q1939" s="14"/>
      <c r="R1939" s="14"/>
      <c r="S1939" s="14"/>
      <c r="T1939" s="14"/>
      <c r="U1939" s="14"/>
      <c r="V1939" s="14"/>
      <c r="W1939" s="14"/>
      <c r="X1939" s="14"/>
      <c r="Y1939" s="14"/>
      <c r="Z1939" s="14"/>
      <c r="AA1939" s="16" t="str">
        <f t="shared" ca="1" si="1652"/>
        <v>Johnson &amp; Johnson</v>
      </c>
      <c r="AB1939" s="16">
        <f t="shared" si="1652"/>
        <v>0</v>
      </c>
      <c r="AC1939" s="16">
        <f t="shared" si="1652"/>
        <v>0</v>
      </c>
      <c r="AD1939" s="16">
        <f t="shared" si="1652"/>
        <v>0</v>
      </c>
      <c r="AE1939" s="16">
        <f t="shared" si="1652"/>
        <v>0</v>
      </c>
      <c r="AF1939" s="16">
        <f t="shared" si="1652"/>
        <v>0</v>
      </c>
      <c r="AG1939" s="16">
        <f t="shared" si="1652"/>
        <v>0</v>
      </c>
      <c r="AH1939" s="16">
        <f t="shared" si="1652"/>
        <v>0</v>
      </c>
      <c r="AI1939" s="16">
        <f t="shared" si="1652"/>
        <v>0</v>
      </c>
      <c r="AJ1939" s="16">
        <f t="shared" si="1652"/>
        <v>0</v>
      </c>
      <c r="AK1939" s="16">
        <f t="shared" si="1652"/>
        <v>0</v>
      </c>
      <c r="AL1939" s="16">
        <f t="shared" si="1652"/>
        <v>0</v>
      </c>
      <c r="AM1939" s="16">
        <f t="shared" si="1652"/>
        <v>0</v>
      </c>
      <c r="AN1939" s="16">
        <f t="shared" si="1652"/>
        <v>0</v>
      </c>
      <c r="AO1939" s="16">
        <f t="shared" si="1652"/>
        <v>0</v>
      </c>
      <c r="AP1939" s="10"/>
      <c r="AQ1939" s="10"/>
      <c r="AR1939" s="10"/>
      <c r="AS1939" s="10" t="str">
        <f t="shared" ca="1" si="1641"/>
        <v>Johnson &amp; Johnson</v>
      </c>
      <c r="AT1939" s="10"/>
      <c r="AU1939" s="10"/>
      <c r="AV1939" s="10"/>
      <c r="AW1939" s="10"/>
      <c r="AX1939" s="10"/>
      <c r="AY1939" s="10"/>
      <c r="AZ1939" s="10"/>
      <c r="BA1939" s="10"/>
      <c r="BB1939" s="10"/>
      <c r="BC1939" s="10"/>
      <c r="BD1939" s="10"/>
      <c r="BE1939" s="10"/>
      <c r="BF1939" s="10"/>
      <c r="BG1939" s="10"/>
      <c r="BH1939" s="10"/>
      <c r="BI1939" s="10"/>
      <c r="BJ1939" s="10"/>
      <c r="BK1939" s="10"/>
      <c r="BM1939" s="10"/>
    </row>
    <row r="1940" spans="1:65" ht="12.75">
      <c r="A1940" s="9"/>
      <c r="B1940" s="10"/>
      <c r="C1940" s="11"/>
      <c r="D1940" s="12"/>
      <c r="E1940" s="10"/>
      <c r="F1940" s="10"/>
      <c r="G1940" s="10"/>
      <c r="H1940" s="14"/>
      <c r="I1940" s="14"/>
      <c r="J1940" s="14"/>
      <c r="K1940" s="14"/>
      <c r="L1940" s="14"/>
      <c r="M1940" s="15"/>
      <c r="N1940" s="10"/>
      <c r="O1940" s="14"/>
      <c r="P1940" s="14"/>
      <c r="Q1940" s="14"/>
      <c r="R1940" s="14"/>
      <c r="S1940" s="14"/>
      <c r="T1940" s="14"/>
      <c r="U1940" s="14"/>
      <c r="V1940" s="14"/>
      <c r="W1940" s="14"/>
      <c r="X1940" s="14"/>
      <c r="Y1940" s="14"/>
      <c r="Z1940" s="14"/>
      <c r="AA1940" s="16" t="str">
        <f t="shared" ca="1" si="1652"/>
        <v>Johnson &amp; Johnson</v>
      </c>
      <c r="AB1940" s="16">
        <f t="shared" si="1652"/>
        <v>0</v>
      </c>
      <c r="AC1940" s="16">
        <f t="shared" si="1652"/>
        <v>0</v>
      </c>
      <c r="AD1940" s="16">
        <f t="shared" si="1652"/>
        <v>0</v>
      </c>
      <c r="AE1940" s="16">
        <f t="shared" si="1652"/>
        <v>0</v>
      </c>
      <c r="AF1940" s="16">
        <f t="shared" si="1652"/>
        <v>0</v>
      </c>
      <c r="AG1940" s="16">
        <f t="shared" si="1652"/>
        <v>0</v>
      </c>
      <c r="AH1940" s="16">
        <f t="shared" si="1652"/>
        <v>0</v>
      </c>
      <c r="AI1940" s="16">
        <f t="shared" si="1652"/>
        <v>0</v>
      </c>
      <c r="AJ1940" s="16">
        <f t="shared" si="1652"/>
        <v>0</v>
      </c>
      <c r="AK1940" s="16">
        <f t="shared" si="1652"/>
        <v>0</v>
      </c>
      <c r="AL1940" s="16">
        <f t="shared" si="1652"/>
        <v>0</v>
      </c>
      <c r="AM1940" s="16">
        <f t="shared" si="1652"/>
        <v>0</v>
      </c>
      <c r="AN1940" s="16">
        <f t="shared" si="1652"/>
        <v>0</v>
      </c>
      <c r="AO1940" s="16">
        <f t="shared" si="1652"/>
        <v>0</v>
      </c>
      <c r="AP1940" s="10"/>
      <c r="AQ1940" s="10"/>
      <c r="AR1940" s="10"/>
      <c r="AS1940" s="10" t="str">
        <f t="shared" ca="1" si="1641"/>
        <v>Johnson &amp; Johnson</v>
      </c>
      <c r="AT1940" s="10"/>
      <c r="AU1940" s="10"/>
      <c r="AV1940" s="10"/>
      <c r="AW1940" s="10"/>
      <c r="AX1940" s="10"/>
      <c r="AY1940" s="10"/>
      <c r="AZ1940" s="10"/>
      <c r="BA1940" s="10"/>
      <c r="BB1940" s="10"/>
      <c r="BC1940" s="10"/>
      <c r="BD1940" s="10"/>
      <c r="BE1940" s="10"/>
      <c r="BF1940" s="10"/>
      <c r="BG1940" s="10"/>
      <c r="BH1940" s="10"/>
      <c r="BI1940" s="10"/>
      <c r="BJ1940" s="10"/>
      <c r="BK1940" s="10"/>
      <c r="BM1940" s="10"/>
    </row>
    <row r="1941" spans="1:65" ht="12.75">
      <c r="A1941" s="9"/>
      <c r="B1941" s="10"/>
      <c r="C1941" s="11"/>
      <c r="D1941" s="12"/>
      <c r="E1941" s="10"/>
      <c r="F1941" s="10"/>
      <c r="G1941" s="10"/>
      <c r="H1941" s="14"/>
      <c r="I1941" s="14"/>
      <c r="J1941" s="14"/>
      <c r="K1941" s="14"/>
      <c r="L1941" s="14"/>
      <c r="M1941" s="15"/>
      <c r="N1941" s="10"/>
      <c r="O1941" s="14"/>
      <c r="P1941" s="14"/>
      <c r="Q1941" s="14"/>
      <c r="R1941" s="14"/>
      <c r="S1941" s="14"/>
      <c r="T1941" s="14"/>
      <c r="U1941" s="14"/>
      <c r="V1941" s="14"/>
      <c r="W1941" s="14"/>
      <c r="X1941" s="14"/>
      <c r="Y1941" s="14"/>
      <c r="Z1941" s="14"/>
      <c r="AA1941" s="16" t="str">
        <f t="shared" ca="1" si="1652"/>
        <v>Johnson &amp; Johnson</v>
      </c>
      <c r="AB1941" s="16">
        <f t="shared" si="1652"/>
        <v>0</v>
      </c>
      <c r="AC1941" s="16">
        <f t="shared" si="1652"/>
        <v>0</v>
      </c>
      <c r="AD1941" s="16">
        <f t="shared" si="1652"/>
        <v>0</v>
      </c>
      <c r="AE1941" s="16">
        <f t="shared" si="1652"/>
        <v>0</v>
      </c>
      <c r="AF1941" s="16">
        <f t="shared" si="1652"/>
        <v>0</v>
      </c>
      <c r="AG1941" s="16">
        <f t="shared" si="1652"/>
        <v>0</v>
      </c>
      <c r="AH1941" s="16">
        <f t="shared" si="1652"/>
        <v>0</v>
      </c>
      <c r="AI1941" s="16">
        <f t="shared" si="1652"/>
        <v>0</v>
      </c>
      <c r="AJ1941" s="16">
        <f t="shared" si="1652"/>
        <v>0</v>
      </c>
      <c r="AK1941" s="16">
        <f t="shared" si="1652"/>
        <v>0</v>
      </c>
      <c r="AL1941" s="16">
        <f t="shared" si="1652"/>
        <v>0</v>
      </c>
      <c r="AM1941" s="16">
        <f t="shared" si="1652"/>
        <v>0</v>
      </c>
      <c r="AN1941" s="16">
        <f t="shared" si="1652"/>
        <v>0</v>
      </c>
      <c r="AO1941" s="16">
        <f t="shared" si="1652"/>
        <v>0</v>
      </c>
      <c r="AP1941" s="10"/>
      <c r="AQ1941" s="10"/>
      <c r="AR1941" s="10"/>
      <c r="AS1941" s="10" t="str">
        <f t="shared" ca="1" si="1641"/>
        <v>Johnson &amp; Johnson</v>
      </c>
      <c r="AT1941" s="10"/>
      <c r="AU1941" s="10"/>
      <c r="AV1941" s="10"/>
      <c r="AW1941" s="10"/>
      <c r="AX1941" s="10"/>
      <c r="AY1941" s="10"/>
      <c r="AZ1941" s="10"/>
      <c r="BA1941" s="10"/>
      <c r="BB1941" s="10"/>
      <c r="BC1941" s="10"/>
      <c r="BD1941" s="10"/>
      <c r="BE1941" s="10"/>
      <c r="BF1941" s="10"/>
      <c r="BG1941" s="10"/>
      <c r="BH1941" s="10"/>
      <c r="BI1941" s="10"/>
      <c r="BJ1941" s="10"/>
      <c r="BK1941" s="10"/>
      <c r="BM1941" s="10"/>
    </row>
    <row r="1942" spans="1:65" ht="12.75">
      <c r="A1942" s="9"/>
      <c r="B1942" s="10"/>
      <c r="C1942" s="11"/>
      <c r="D1942" s="12"/>
      <c r="E1942" s="10"/>
      <c r="F1942" s="10"/>
      <c r="G1942" s="10"/>
      <c r="H1942" s="14"/>
      <c r="I1942" s="14"/>
      <c r="J1942" s="14"/>
      <c r="K1942" s="14"/>
      <c r="L1942" s="14"/>
      <c r="M1942" s="15"/>
      <c r="N1942" s="10"/>
      <c r="O1942" s="14"/>
      <c r="P1942" s="14"/>
      <c r="Q1942" s="14"/>
      <c r="R1942" s="14"/>
      <c r="S1942" s="14"/>
      <c r="T1942" s="14"/>
      <c r="U1942" s="14"/>
      <c r="V1942" s="14"/>
      <c r="W1942" s="14"/>
      <c r="X1942" s="14"/>
      <c r="Y1942" s="14"/>
      <c r="Z1942" s="14"/>
      <c r="AA1942" s="16" t="str">
        <f t="shared" ca="1" si="1652"/>
        <v>Johnson &amp; Johnson</v>
      </c>
      <c r="AB1942" s="16">
        <f t="shared" si="1652"/>
        <v>0</v>
      </c>
      <c r="AC1942" s="16">
        <f t="shared" si="1652"/>
        <v>0</v>
      </c>
      <c r="AD1942" s="16">
        <f t="shared" si="1652"/>
        <v>0</v>
      </c>
      <c r="AE1942" s="16">
        <f t="shared" si="1652"/>
        <v>0</v>
      </c>
      <c r="AF1942" s="16">
        <f t="shared" si="1652"/>
        <v>0</v>
      </c>
      <c r="AG1942" s="16">
        <f t="shared" si="1652"/>
        <v>0</v>
      </c>
      <c r="AH1942" s="16">
        <f t="shared" si="1652"/>
        <v>0</v>
      </c>
      <c r="AI1942" s="16">
        <f t="shared" si="1652"/>
        <v>0</v>
      </c>
      <c r="AJ1942" s="16">
        <f t="shared" si="1652"/>
        <v>0</v>
      </c>
      <c r="AK1942" s="16">
        <f t="shared" si="1652"/>
        <v>0</v>
      </c>
      <c r="AL1942" s="16">
        <f t="shared" si="1652"/>
        <v>0</v>
      </c>
      <c r="AM1942" s="16">
        <f t="shared" si="1652"/>
        <v>0</v>
      </c>
      <c r="AN1942" s="16">
        <f t="shared" si="1652"/>
        <v>0</v>
      </c>
      <c r="AO1942" s="16">
        <f t="shared" si="1652"/>
        <v>0</v>
      </c>
      <c r="AP1942" s="10"/>
      <c r="AQ1942" s="10"/>
      <c r="AR1942" s="10"/>
      <c r="AS1942" s="10" t="str">
        <f t="shared" ca="1" si="1641"/>
        <v>Johnson &amp; Johnson</v>
      </c>
      <c r="AT1942" s="10"/>
      <c r="AU1942" s="10"/>
      <c r="AV1942" s="10"/>
      <c r="AW1942" s="10"/>
      <c r="AX1942" s="10"/>
      <c r="AY1942" s="10"/>
      <c r="AZ1942" s="10"/>
      <c r="BA1942" s="10"/>
      <c r="BB1942" s="10"/>
      <c r="BC1942" s="10"/>
      <c r="BD1942" s="10"/>
      <c r="BE1942" s="10"/>
      <c r="BF1942" s="10"/>
      <c r="BG1942" s="10"/>
      <c r="BH1942" s="10"/>
      <c r="BI1942" s="10"/>
      <c r="BJ1942" s="10"/>
      <c r="BK1942" s="10"/>
      <c r="BM1942" s="10"/>
    </row>
    <row r="1943" spans="1:65" ht="12.75">
      <c r="A1943" s="9"/>
      <c r="B1943" s="10"/>
      <c r="C1943" s="11"/>
      <c r="D1943" s="12"/>
      <c r="E1943" s="10"/>
      <c r="F1943" s="10"/>
      <c r="G1943" s="10"/>
      <c r="H1943" s="14"/>
      <c r="I1943" s="14"/>
      <c r="J1943" s="14"/>
      <c r="K1943" s="14"/>
      <c r="L1943" s="14"/>
      <c r="M1943" s="15"/>
      <c r="N1943" s="10"/>
      <c r="O1943" s="14"/>
      <c r="P1943" s="14"/>
      <c r="Q1943" s="14"/>
      <c r="R1943" s="14"/>
      <c r="S1943" s="14"/>
      <c r="T1943" s="14"/>
      <c r="U1943" s="14"/>
      <c r="V1943" s="14"/>
      <c r="W1943" s="14"/>
      <c r="X1943" s="14"/>
      <c r="Y1943" s="14"/>
      <c r="Z1943" s="14"/>
      <c r="AA1943" s="16" t="str">
        <f t="shared" ca="1" si="1652"/>
        <v>Johnson &amp; Johnson</v>
      </c>
      <c r="AB1943" s="16">
        <f t="shared" si="1652"/>
        <v>0</v>
      </c>
      <c r="AC1943" s="16">
        <f t="shared" si="1652"/>
        <v>0</v>
      </c>
      <c r="AD1943" s="16">
        <f t="shared" si="1652"/>
        <v>0</v>
      </c>
      <c r="AE1943" s="16">
        <f t="shared" si="1652"/>
        <v>0</v>
      </c>
      <c r="AF1943" s="16">
        <f t="shared" si="1652"/>
        <v>0</v>
      </c>
      <c r="AG1943" s="16">
        <f t="shared" si="1652"/>
        <v>0</v>
      </c>
      <c r="AH1943" s="16">
        <f t="shared" si="1652"/>
        <v>0</v>
      </c>
      <c r="AI1943" s="16">
        <f t="shared" si="1652"/>
        <v>0</v>
      </c>
      <c r="AJ1943" s="16">
        <f t="shared" si="1652"/>
        <v>0</v>
      </c>
      <c r="AK1943" s="16">
        <f t="shared" si="1652"/>
        <v>0</v>
      </c>
      <c r="AL1943" s="16">
        <f t="shared" si="1652"/>
        <v>0</v>
      </c>
      <c r="AM1943" s="16">
        <f t="shared" si="1652"/>
        <v>0</v>
      </c>
      <c r="AN1943" s="16">
        <f t="shared" si="1652"/>
        <v>0</v>
      </c>
      <c r="AO1943" s="16">
        <f t="shared" si="1652"/>
        <v>0</v>
      </c>
      <c r="AP1943" s="10"/>
      <c r="AQ1943" s="10"/>
      <c r="AR1943" s="10"/>
      <c r="AS1943" s="10" t="str">
        <f t="shared" ca="1" si="1641"/>
        <v>Johnson &amp; Johnson</v>
      </c>
      <c r="AT1943" s="10"/>
      <c r="AU1943" s="10"/>
      <c r="AV1943" s="10"/>
      <c r="AW1943" s="10"/>
      <c r="AX1943" s="10"/>
      <c r="AY1943" s="10"/>
      <c r="AZ1943" s="10"/>
      <c r="BA1943" s="10"/>
      <c r="BB1943" s="10"/>
      <c r="BC1943" s="10"/>
      <c r="BD1943" s="10"/>
      <c r="BE1943" s="10"/>
      <c r="BF1943" s="10"/>
      <c r="BG1943" s="10"/>
      <c r="BH1943" s="10"/>
      <c r="BI1943" s="10"/>
      <c r="BJ1943" s="10"/>
      <c r="BK1943" s="10"/>
      <c r="BM1943" s="10"/>
    </row>
    <row r="1944" spans="1:65" ht="12.75">
      <c r="A1944" s="9"/>
      <c r="B1944" s="10"/>
      <c r="C1944" s="11"/>
      <c r="D1944" s="12"/>
      <c r="E1944" s="10"/>
      <c r="F1944" s="10"/>
      <c r="G1944" s="10"/>
      <c r="H1944" s="14"/>
      <c r="I1944" s="14"/>
      <c r="J1944" s="14"/>
      <c r="K1944" s="14"/>
      <c r="L1944" s="14"/>
      <c r="M1944" s="15"/>
      <c r="N1944" s="10"/>
      <c r="O1944" s="14"/>
      <c r="P1944" s="14"/>
      <c r="Q1944" s="14"/>
      <c r="R1944" s="14"/>
      <c r="S1944" s="14"/>
      <c r="T1944" s="14"/>
      <c r="U1944" s="14"/>
      <c r="V1944" s="14"/>
      <c r="W1944" s="14"/>
      <c r="X1944" s="14"/>
      <c r="Y1944" s="14"/>
      <c r="Z1944" s="14"/>
      <c r="AA1944" s="16" t="str">
        <f t="shared" ca="1" si="1652"/>
        <v>Johnson &amp; Johnson</v>
      </c>
      <c r="AB1944" s="16">
        <f t="shared" si="1652"/>
        <v>0</v>
      </c>
      <c r="AC1944" s="16">
        <f t="shared" si="1652"/>
        <v>0</v>
      </c>
      <c r="AD1944" s="16">
        <f t="shared" si="1652"/>
        <v>0</v>
      </c>
      <c r="AE1944" s="16">
        <f t="shared" si="1652"/>
        <v>0</v>
      </c>
      <c r="AF1944" s="16">
        <f t="shared" si="1652"/>
        <v>0</v>
      </c>
      <c r="AG1944" s="16">
        <f t="shared" si="1652"/>
        <v>0</v>
      </c>
      <c r="AH1944" s="16">
        <f t="shared" si="1652"/>
        <v>0</v>
      </c>
      <c r="AI1944" s="16">
        <f t="shared" si="1652"/>
        <v>0</v>
      </c>
      <c r="AJ1944" s="16">
        <f t="shared" si="1652"/>
        <v>0</v>
      </c>
      <c r="AK1944" s="16">
        <f t="shared" si="1652"/>
        <v>0</v>
      </c>
      <c r="AL1944" s="16">
        <f t="shared" si="1652"/>
        <v>0</v>
      </c>
      <c r="AM1944" s="16">
        <f t="shared" si="1652"/>
        <v>0</v>
      </c>
      <c r="AN1944" s="16">
        <f t="shared" si="1652"/>
        <v>0</v>
      </c>
      <c r="AO1944" s="16">
        <f t="shared" si="1652"/>
        <v>0</v>
      </c>
      <c r="AP1944" s="10"/>
      <c r="AQ1944" s="10"/>
      <c r="AR1944" s="10"/>
      <c r="AS1944" s="10" t="str">
        <f t="shared" ca="1" si="1641"/>
        <v>Johnson &amp; Johnson</v>
      </c>
      <c r="AT1944" s="10"/>
      <c r="AU1944" s="10"/>
      <c r="AV1944" s="10"/>
      <c r="AW1944" s="10"/>
      <c r="AX1944" s="10"/>
      <c r="AY1944" s="10"/>
      <c r="AZ1944" s="10"/>
      <c r="BA1944" s="10"/>
      <c r="BB1944" s="10"/>
      <c r="BC1944" s="10"/>
      <c r="BD1944" s="10"/>
      <c r="BE1944" s="10"/>
      <c r="BF1944" s="10"/>
      <c r="BG1944" s="10"/>
      <c r="BH1944" s="10"/>
      <c r="BI1944" s="10"/>
      <c r="BJ1944" s="10"/>
      <c r="BK1944" s="10"/>
      <c r="BM1944" s="10"/>
    </row>
    <row r="1945" spans="1:65" ht="12.75">
      <c r="A1945" s="9"/>
      <c r="B1945" s="10"/>
      <c r="C1945" s="11"/>
      <c r="D1945" s="12"/>
      <c r="E1945" s="10"/>
      <c r="F1945" s="10"/>
      <c r="G1945" s="10"/>
      <c r="H1945" s="14"/>
      <c r="I1945" s="14"/>
      <c r="J1945" s="14"/>
      <c r="K1945" s="14"/>
      <c r="L1945" s="14"/>
      <c r="M1945" s="15"/>
      <c r="N1945" s="10"/>
      <c r="O1945" s="14"/>
      <c r="P1945" s="14"/>
      <c r="Q1945" s="14"/>
      <c r="R1945" s="14"/>
      <c r="S1945" s="14"/>
      <c r="T1945" s="14"/>
      <c r="U1945" s="14"/>
      <c r="V1945" s="14"/>
      <c r="W1945" s="14"/>
      <c r="X1945" s="14"/>
      <c r="Y1945" s="14"/>
      <c r="Z1945" s="14"/>
      <c r="AA1945" s="16" t="str">
        <f t="shared" ref="AA1945:AO1960" ca="1" si="1653">AS1945</f>
        <v>Johnson &amp; Johnson</v>
      </c>
      <c r="AB1945" s="16">
        <f t="shared" si="1653"/>
        <v>0</v>
      </c>
      <c r="AC1945" s="16">
        <f t="shared" si="1653"/>
        <v>0</v>
      </c>
      <c r="AD1945" s="16">
        <f t="shared" si="1653"/>
        <v>0</v>
      </c>
      <c r="AE1945" s="16">
        <f t="shared" si="1653"/>
        <v>0</v>
      </c>
      <c r="AF1945" s="16">
        <f t="shared" si="1653"/>
        <v>0</v>
      </c>
      <c r="AG1945" s="16">
        <f t="shared" si="1653"/>
        <v>0</v>
      </c>
      <c r="AH1945" s="16">
        <f t="shared" si="1653"/>
        <v>0</v>
      </c>
      <c r="AI1945" s="16">
        <f t="shared" si="1653"/>
        <v>0</v>
      </c>
      <c r="AJ1945" s="16">
        <f t="shared" si="1653"/>
        <v>0</v>
      </c>
      <c r="AK1945" s="16">
        <f t="shared" si="1653"/>
        <v>0</v>
      </c>
      <c r="AL1945" s="16">
        <f t="shared" si="1653"/>
        <v>0</v>
      </c>
      <c r="AM1945" s="16">
        <f t="shared" si="1653"/>
        <v>0</v>
      </c>
      <c r="AN1945" s="16">
        <f t="shared" si="1653"/>
        <v>0</v>
      </c>
      <c r="AO1945" s="16">
        <f t="shared" si="1653"/>
        <v>0</v>
      </c>
      <c r="AP1945" s="10"/>
      <c r="AQ1945" s="10"/>
      <c r="AR1945" s="10"/>
      <c r="AS1945" s="10" t="str">
        <f t="shared" ca="1" si="1641"/>
        <v>Johnson &amp; Johnson</v>
      </c>
      <c r="AT1945" s="10"/>
      <c r="AU1945" s="10"/>
      <c r="AV1945" s="10"/>
      <c r="AW1945" s="10"/>
      <c r="AX1945" s="10"/>
      <c r="AY1945" s="10"/>
      <c r="AZ1945" s="10"/>
      <c r="BA1945" s="10"/>
      <c r="BB1945" s="10"/>
      <c r="BC1945" s="10"/>
      <c r="BD1945" s="10"/>
      <c r="BE1945" s="10"/>
      <c r="BF1945" s="10"/>
      <c r="BG1945" s="10"/>
      <c r="BH1945" s="10"/>
      <c r="BI1945" s="10"/>
      <c r="BJ1945" s="10"/>
      <c r="BK1945" s="10"/>
      <c r="BM1945" s="10"/>
    </row>
    <row r="1946" spans="1:65" ht="12.75">
      <c r="A1946" s="9"/>
      <c r="B1946" s="10"/>
      <c r="C1946" s="11"/>
      <c r="D1946" s="12"/>
      <c r="E1946" s="10"/>
      <c r="F1946" s="10"/>
      <c r="G1946" s="10"/>
      <c r="H1946" s="14"/>
      <c r="I1946" s="14"/>
      <c r="J1946" s="14"/>
      <c r="K1946" s="14"/>
      <c r="L1946" s="14"/>
      <c r="M1946" s="15"/>
      <c r="N1946" s="10"/>
      <c r="O1946" s="14"/>
      <c r="P1946" s="14"/>
      <c r="Q1946" s="14"/>
      <c r="R1946" s="14"/>
      <c r="S1946" s="14"/>
      <c r="T1946" s="14"/>
      <c r="U1946" s="14"/>
      <c r="V1946" s="14"/>
      <c r="W1946" s="14"/>
      <c r="X1946" s="14"/>
      <c r="Y1946" s="14"/>
      <c r="Z1946" s="14"/>
      <c r="AA1946" s="16" t="str">
        <f t="shared" ca="1" si="1653"/>
        <v>Johnson &amp; Johnson</v>
      </c>
      <c r="AB1946" s="16">
        <f t="shared" si="1653"/>
        <v>0</v>
      </c>
      <c r="AC1946" s="16">
        <f t="shared" si="1653"/>
        <v>0</v>
      </c>
      <c r="AD1946" s="16">
        <f t="shared" si="1653"/>
        <v>0</v>
      </c>
      <c r="AE1946" s="16">
        <f t="shared" si="1653"/>
        <v>0</v>
      </c>
      <c r="AF1946" s="16">
        <f t="shared" si="1653"/>
        <v>0</v>
      </c>
      <c r="AG1946" s="16">
        <f t="shared" si="1653"/>
        <v>0</v>
      </c>
      <c r="AH1946" s="16">
        <f t="shared" si="1653"/>
        <v>0</v>
      </c>
      <c r="AI1946" s="16">
        <f t="shared" si="1653"/>
        <v>0</v>
      </c>
      <c r="AJ1946" s="16">
        <f t="shared" si="1653"/>
        <v>0</v>
      </c>
      <c r="AK1946" s="16">
        <f t="shared" si="1653"/>
        <v>0</v>
      </c>
      <c r="AL1946" s="16">
        <f t="shared" si="1653"/>
        <v>0</v>
      </c>
      <c r="AM1946" s="16">
        <f t="shared" si="1653"/>
        <v>0</v>
      </c>
      <c r="AN1946" s="16">
        <f t="shared" si="1653"/>
        <v>0</v>
      </c>
      <c r="AO1946" s="16">
        <f t="shared" si="1653"/>
        <v>0</v>
      </c>
      <c r="AP1946" s="10"/>
      <c r="AQ1946" s="10"/>
      <c r="AR1946" s="10"/>
      <c r="AS1946" s="10" t="str">
        <f t="shared" ca="1" si="1641"/>
        <v>Johnson &amp; Johnson</v>
      </c>
      <c r="AT1946" s="10"/>
      <c r="AU1946" s="10"/>
      <c r="AV1946" s="10"/>
      <c r="AW1946" s="10"/>
      <c r="AX1946" s="10"/>
      <c r="AY1946" s="10"/>
      <c r="AZ1946" s="10"/>
      <c r="BA1946" s="10"/>
      <c r="BB1946" s="10"/>
      <c r="BC1946" s="10"/>
      <c r="BD1946" s="10"/>
      <c r="BE1946" s="10"/>
      <c r="BF1946" s="10"/>
      <c r="BG1946" s="10"/>
      <c r="BH1946" s="10"/>
      <c r="BI1946" s="10"/>
      <c r="BJ1946" s="10"/>
      <c r="BK1946" s="10"/>
      <c r="BM1946" s="10"/>
    </row>
    <row r="1947" spans="1:65" ht="12.75">
      <c r="A1947" s="9"/>
      <c r="B1947" s="10"/>
      <c r="C1947" s="11"/>
      <c r="D1947" s="12"/>
      <c r="E1947" s="10"/>
      <c r="F1947" s="10"/>
      <c r="G1947" s="10"/>
      <c r="H1947" s="14"/>
      <c r="I1947" s="14"/>
      <c r="J1947" s="14"/>
      <c r="K1947" s="14"/>
      <c r="L1947" s="14"/>
      <c r="M1947" s="15"/>
      <c r="N1947" s="10"/>
      <c r="O1947" s="14"/>
      <c r="P1947" s="14"/>
      <c r="Q1947" s="14"/>
      <c r="R1947" s="14"/>
      <c r="S1947" s="14"/>
      <c r="T1947" s="14"/>
      <c r="U1947" s="14"/>
      <c r="V1947" s="14"/>
      <c r="W1947" s="14"/>
      <c r="X1947" s="14"/>
      <c r="Y1947" s="14"/>
      <c r="Z1947" s="14"/>
      <c r="AA1947" s="16" t="str">
        <f t="shared" ca="1" si="1653"/>
        <v>Johnson &amp; Johnson</v>
      </c>
      <c r="AB1947" s="16">
        <f t="shared" si="1653"/>
        <v>0</v>
      </c>
      <c r="AC1947" s="16">
        <f t="shared" si="1653"/>
        <v>0</v>
      </c>
      <c r="AD1947" s="16">
        <f t="shared" si="1653"/>
        <v>0</v>
      </c>
      <c r="AE1947" s="16">
        <f t="shared" si="1653"/>
        <v>0</v>
      </c>
      <c r="AF1947" s="16">
        <f t="shared" si="1653"/>
        <v>0</v>
      </c>
      <c r="AG1947" s="16">
        <f t="shared" si="1653"/>
        <v>0</v>
      </c>
      <c r="AH1947" s="16">
        <f t="shared" si="1653"/>
        <v>0</v>
      </c>
      <c r="AI1947" s="16">
        <f t="shared" si="1653"/>
        <v>0</v>
      </c>
      <c r="AJ1947" s="16">
        <f t="shared" si="1653"/>
        <v>0</v>
      </c>
      <c r="AK1947" s="16">
        <f t="shared" si="1653"/>
        <v>0</v>
      </c>
      <c r="AL1947" s="16">
        <f t="shared" si="1653"/>
        <v>0</v>
      </c>
      <c r="AM1947" s="16">
        <f t="shared" si="1653"/>
        <v>0</v>
      </c>
      <c r="AN1947" s="16">
        <f t="shared" si="1653"/>
        <v>0</v>
      </c>
      <c r="AO1947" s="16">
        <f t="shared" si="1653"/>
        <v>0</v>
      </c>
      <c r="AP1947" s="10"/>
      <c r="AQ1947" s="10"/>
      <c r="AR1947" s="10"/>
      <c r="AS1947" s="10" t="str">
        <f t="shared" ca="1" si="1641"/>
        <v>Johnson &amp; Johnson</v>
      </c>
      <c r="AT1947" s="10"/>
      <c r="AU1947" s="10"/>
      <c r="AV1947" s="10"/>
      <c r="AW1947" s="10"/>
      <c r="AX1947" s="10"/>
      <c r="AY1947" s="10"/>
      <c r="AZ1947" s="10"/>
      <c r="BA1947" s="10"/>
      <c r="BB1947" s="10"/>
      <c r="BC1947" s="10"/>
      <c r="BD1947" s="10"/>
      <c r="BE1947" s="10"/>
      <c r="BF1947" s="10"/>
      <c r="BG1947" s="10"/>
      <c r="BH1947" s="10"/>
      <c r="BI1947" s="10"/>
      <c r="BJ1947" s="10"/>
      <c r="BK1947" s="10"/>
      <c r="BM1947" s="10"/>
    </row>
    <row r="1948" spans="1:65" ht="12.75">
      <c r="A1948" s="9"/>
      <c r="B1948" s="10"/>
      <c r="C1948" s="11"/>
      <c r="D1948" s="12"/>
      <c r="E1948" s="10"/>
      <c r="F1948" s="10"/>
      <c r="G1948" s="10"/>
      <c r="H1948" s="14"/>
      <c r="I1948" s="14"/>
      <c r="J1948" s="14"/>
      <c r="K1948" s="14"/>
      <c r="L1948" s="14"/>
      <c r="M1948" s="15"/>
      <c r="N1948" s="10"/>
      <c r="O1948" s="14"/>
      <c r="P1948" s="14"/>
      <c r="Q1948" s="14"/>
      <c r="R1948" s="14"/>
      <c r="S1948" s="14"/>
      <c r="T1948" s="14"/>
      <c r="U1948" s="14"/>
      <c r="V1948" s="14"/>
      <c r="W1948" s="14"/>
      <c r="X1948" s="14"/>
      <c r="Y1948" s="14"/>
      <c r="Z1948" s="14"/>
      <c r="AA1948" s="16" t="str">
        <f t="shared" ca="1" si="1653"/>
        <v>Johnson &amp; Johnson</v>
      </c>
      <c r="AB1948" s="16">
        <f t="shared" si="1653"/>
        <v>0</v>
      </c>
      <c r="AC1948" s="16">
        <f t="shared" si="1653"/>
        <v>0</v>
      </c>
      <c r="AD1948" s="16">
        <f t="shared" si="1653"/>
        <v>0</v>
      </c>
      <c r="AE1948" s="16">
        <f t="shared" si="1653"/>
        <v>0</v>
      </c>
      <c r="AF1948" s="16">
        <f t="shared" si="1653"/>
        <v>0</v>
      </c>
      <c r="AG1948" s="16">
        <f t="shared" si="1653"/>
        <v>0</v>
      </c>
      <c r="AH1948" s="16">
        <f t="shared" si="1653"/>
        <v>0</v>
      </c>
      <c r="AI1948" s="16">
        <f t="shared" si="1653"/>
        <v>0</v>
      </c>
      <c r="AJ1948" s="16">
        <f t="shared" si="1653"/>
        <v>0</v>
      </c>
      <c r="AK1948" s="16">
        <f t="shared" si="1653"/>
        <v>0</v>
      </c>
      <c r="AL1948" s="16">
        <f t="shared" si="1653"/>
        <v>0</v>
      </c>
      <c r="AM1948" s="16">
        <f t="shared" si="1653"/>
        <v>0</v>
      </c>
      <c r="AN1948" s="16">
        <f t="shared" si="1653"/>
        <v>0</v>
      </c>
      <c r="AO1948" s="16">
        <f t="shared" si="1653"/>
        <v>0</v>
      </c>
      <c r="AP1948" s="10"/>
      <c r="AQ1948" s="10"/>
      <c r="AR1948" s="10"/>
      <c r="AS1948" s="10" t="str">
        <f t="shared" ca="1" si="1641"/>
        <v>Johnson &amp; Johnson</v>
      </c>
      <c r="AT1948" s="10"/>
      <c r="AU1948" s="10"/>
      <c r="AV1948" s="10"/>
      <c r="AW1948" s="10"/>
      <c r="AX1948" s="10"/>
      <c r="AY1948" s="10"/>
      <c r="AZ1948" s="10"/>
      <c r="BA1948" s="10"/>
      <c r="BB1948" s="10"/>
      <c r="BC1948" s="10"/>
      <c r="BD1948" s="10"/>
      <c r="BE1948" s="10"/>
      <c r="BF1948" s="10"/>
      <c r="BG1948" s="10"/>
      <c r="BH1948" s="10"/>
      <c r="BI1948" s="10"/>
      <c r="BJ1948" s="10"/>
      <c r="BK1948" s="10"/>
      <c r="BM1948" s="10"/>
    </row>
    <row r="1949" spans="1:65" ht="12.75">
      <c r="A1949" s="9"/>
      <c r="B1949" s="10"/>
      <c r="C1949" s="11"/>
      <c r="D1949" s="12"/>
      <c r="E1949" s="10"/>
      <c r="F1949" s="10"/>
      <c r="G1949" s="10"/>
      <c r="H1949" s="14"/>
      <c r="I1949" s="14"/>
      <c r="J1949" s="14"/>
      <c r="K1949" s="14"/>
      <c r="L1949" s="14"/>
      <c r="M1949" s="15"/>
      <c r="N1949" s="10"/>
      <c r="O1949" s="14"/>
      <c r="P1949" s="14"/>
      <c r="Q1949" s="14"/>
      <c r="R1949" s="14"/>
      <c r="S1949" s="14"/>
      <c r="T1949" s="14"/>
      <c r="U1949" s="14"/>
      <c r="V1949" s="14"/>
      <c r="W1949" s="14"/>
      <c r="X1949" s="14"/>
      <c r="Y1949" s="14"/>
      <c r="Z1949" s="14"/>
      <c r="AA1949" s="16" t="str">
        <f t="shared" ca="1" si="1653"/>
        <v>Johnson &amp; Johnson</v>
      </c>
      <c r="AB1949" s="16">
        <f t="shared" si="1653"/>
        <v>0</v>
      </c>
      <c r="AC1949" s="16">
        <f t="shared" si="1653"/>
        <v>0</v>
      </c>
      <c r="AD1949" s="16">
        <f t="shared" si="1653"/>
        <v>0</v>
      </c>
      <c r="AE1949" s="16">
        <f t="shared" si="1653"/>
        <v>0</v>
      </c>
      <c r="AF1949" s="16">
        <f t="shared" si="1653"/>
        <v>0</v>
      </c>
      <c r="AG1949" s="16">
        <f t="shared" si="1653"/>
        <v>0</v>
      </c>
      <c r="AH1949" s="16">
        <f t="shared" si="1653"/>
        <v>0</v>
      </c>
      <c r="AI1949" s="16">
        <f t="shared" si="1653"/>
        <v>0</v>
      </c>
      <c r="AJ1949" s="16">
        <f t="shared" si="1653"/>
        <v>0</v>
      </c>
      <c r="AK1949" s="16">
        <f t="shared" si="1653"/>
        <v>0</v>
      </c>
      <c r="AL1949" s="16">
        <f t="shared" si="1653"/>
        <v>0</v>
      </c>
      <c r="AM1949" s="16">
        <f t="shared" si="1653"/>
        <v>0</v>
      </c>
      <c r="AN1949" s="16">
        <f t="shared" si="1653"/>
        <v>0</v>
      </c>
      <c r="AO1949" s="16">
        <f t="shared" si="1653"/>
        <v>0</v>
      </c>
      <c r="AP1949" s="10"/>
      <c r="AQ1949" s="10"/>
      <c r="AR1949" s="10"/>
      <c r="AS1949" s="10" t="str">
        <f t="shared" ca="1" si="1641"/>
        <v>Johnson &amp; Johnson</v>
      </c>
      <c r="AT1949" s="10"/>
      <c r="AU1949" s="10"/>
      <c r="AV1949" s="10"/>
      <c r="AW1949" s="10"/>
      <c r="AX1949" s="10"/>
      <c r="AY1949" s="10"/>
      <c r="AZ1949" s="10"/>
      <c r="BA1949" s="10"/>
      <c r="BB1949" s="10"/>
      <c r="BC1949" s="10"/>
      <c r="BD1949" s="10"/>
      <c r="BE1949" s="10"/>
      <c r="BF1949" s="10"/>
      <c r="BG1949" s="10"/>
      <c r="BH1949" s="10"/>
      <c r="BI1949" s="10"/>
      <c r="BJ1949" s="10"/>
      <c r="BK1949" s="10"/>
      <c r="BM1949" s="10"/>
    </row>
    <row r="1950" spans="1:65" ht="12.75">
      <c r="A1950" s="9"/>
      <c r="B1950" s="10"/>
      <c r="C1950" s="11"/>
      <c r="D1950" s="12"/>
      <c r="E1950" s="10"/>
      <c r="F1950" s="10"/>
      <c r="G1950" s="10"/>
      <c r="H1950" s="14"/>
      <c r="I1950" s="14"/>
      <c r="J1950" s="14"/>
      <c r="K1950" s="14"/>
      <c r="L1950" s="14"/>
      <c r="M1950" s="15"/>
      <c r="N1950" s="10"/>
      <c r="O1950" s="14"/>
      <c r="P1950" s="14"/>
      <c r="Q1950" s="14"/>
      <c r="R1950" s="14"/>
      <c r="S1950" s="14"/>
      <c r="T1950" s="14"/>
      <c r="U1950" s="14"/>
      <c r="V1950" s="14"/>
      <c r="W1950" s="14"/>
      <c r="X1950" s="14"/>
      <c r="Y1950" s="14"/>
      <c r="Z1950" s="14"/>
      <c r="AA1950" s="16" t="str">
        <f t="shared" ca="1" si="1653"/>
        <v>Johnson &amp; Johnson</v>
      </c>
      <c r="AB1950" s="16">
        <f t="shared" si="1653"/>
        <v>0</v>
      </c>
      <c r="AC1950" s="16">
        <f t="shared" si="1653"/>
        <v>0</v>
      </c>
      <c r="AD1950" s="16">
        <f t="shared" si="1653"/>
        <v>0</v>
      </c>
      <c r="AE1950" s="16">
        <f t="shared" si="1653"/>
        <v>0</v>
      </c>
      <c r="AF1950" s="16">
        <f t="shared" si="1653"/>
        <v>0</v>
      </c>
      <c r="AG1950" s="16">
        <f t="shared" si="1653"/>
        <v>0</v>
      </c>
      <c r="AH1950" s="16">
        <f t="shared" si="1653"/>
        <v>0</v>
      </c>
      <c r="AI1950" s="16">
        <f t="shared" si="1653"/>
        <v>0</v>
      </c>
      <c r="AJ1950" s="16">
        <f t="shared" si="1653"/>
        <v>0</v>
      </c>
      <c r="AK1950" s="16">
        <f t="shared" si="1653"/>
        <v>0</v>
      </c>
      <c r="AL1950" s="16">
        <f t="shared" si="1653"/>
        <v>0</v>
      </c>
      <c r="AM1950" s="16">
        <f t="shared" si="1653"/>
        <v>0</v>
      </c>
      <c r="AN1950" s="16">
        <f t="shared" si="1653"/>
        <v>0</v>
      </c>
      <c r="AO1950" s="16">
        <f t="shared" si="1653"/>
        <v>0</v>
      </c>
      <c r="AP1950" s="10"/>
      <c r="AQ1950" s="10"/>
      <c r="AR1950" s="10"/>
      <c r="AS1950" s="10" t="str">
        <f t="shared" ca="1" si="1641"/>
        <v>Johnson &amp; Johnson</v>
      </c>
      <c r="AT1950" s="10"/>
      <c r="AU1950" s="10"/>
      <c r="AV1950" s="10"/>
      <c r="AW1950" s="10"/>
      <c r="AX1950" s="10"/>
      <c r="AY1950" s="10"/>
      <c r="AZ1950" s="10"/>
      <c r="BA1950" s="10"/>
      <c r="BB1950" s="10"/>
      <c r="BC1950" s="10"/>
      <c r="BD1950" s="10"/>
      <c r="BE1950" s="10"/>
      <c r="BF1950" s="10"/>
      <c r="BG1950" s="10"/>
      <c r="BH1950" s="10"/>
      <c r="BI1950" s="10"/>
      <c r="BJ1950" s="10"/>
      <c r="BK1950" s="10"/>
      <c r="BM1950" s="10"/>
    </row>
    <row r="1951" spans="1:65" ht="12.75">
      <c r="A1951" s="9"/>
      <c r="B1951" s="10"/>
      <c r="C1951" s="11"/>
      <c r="D1951" s="12"/>
      <c r="E1951" s="10"/>
      <c r="F1951" s="10"/>
      <c r="G1951" s="10"/>
      <c r="H1951" s="14"/>
      <c r="I1951" s="14"/>
      <c r="J1951" s="14"/>
      <c r="K1951" s="14"/>
      <c r="L1951" s="14"/>
      <c r="M1951" s="15"/>
      <c r="N1951" s="10"/>
      <c r="O1951" s="14"/>
      <c r="P1951" s="14"/>
      <c r="Q1951" s="14"/>
      <c r="R1951" s="14"/>
      <c r="S1951" s="14"/>
      <c r="T1951" s="14"/>
      <c r="U1951" s="14"/>
      <c r="V1951" s="14"/>
      <c r="W1951" s="14"/>
      <c r="X1951" s="14"/>
      <c r="Y1951" s="14"/>
      <c r="Z1951" s="14"/>
      <c r="AA1951" s="16" t="str">
        <f t="shared" ca="1" si="1653"/>
        <v>Johnson &amp; Johnson</v>
      </c>
      <c r="AB1951" s="16">
        <f t="shared" si="1653"/>
        <v>0</v>
      </c>
      <c r="AC1951" s="16">
        <f t="shared" si="1653"/>
        <v>0</v>
      </c>
      <c r="AD1951" s="16">
        <f t="shared" si="1653"/>
        <v>0</v>
      </c>
      <c r="AE1951" s="16">
        <f t="shared" si="1653"/>
        <v>0</v>
      </c>
      <c r="AF1951" s="16">
        <f t="shared" si="1653"/>
        <v>0</v>
      </c>
      <c r="AG1951" s="16">
        <f t="shared" si="1653"/>
        <v>0</v>
      </c>
      <c r="AH1951" s="16">
        <f t="shared" si="1653"/>
        <v>0</v>
      </c>
      <c r="AI1951" s="16">
        <f t="shared" si="1653"/>
        <v>0</v>
      </c>
      <c r="AJ1951" s="16">
        <f t="shared" si="1653"/>
        <v>0</v>
      </c>
      <c r="AK1951" s="16">
        <f t="shared" si="1653"/>
        <v>0</v>
      </c>
      <c r="AL1951" s="16">
        <f t="shared" si="1653"/>
        <v>0</v>
      </c>
      <c r="AM1951" s="16">
        <f t="shared" si="1653"/>
        <v>0</v>
      </c>
      <c r="AN1951" s="16">
        <f t="shared" si="1653"/>
        <v>0</v>
      </c>
      <c r="AO1951" s="16">
        <f t="shared" si="1653"/>
        <v>0</v>
      </c>
      <c r="AP1951" s="10"/>
      <c r="AQ1951" s="10"/>
      <c r="AR1951" s="10"/>
      <c r="AS1951" s="10" t="str">
        <f t="shared" ca="1" si="1641"/>
        <v>Johnson &amp; Johnson</v>
      </c>
      <c r="AT1951" s="10"/>
      <c r="AU1951" s="10"/>
      <c r="AV1951" s="10"/>
      <c r="AW1951" s="10"/>
      <c r="AX1951" s="10"/>
      <c r="AY1951" s="10"/>
      <c r="AZ1951" s="10"/>
      <c r="BA1951" s="10"/>
      <c r="BB1951" s="10"/>
      <c r="BC1951" s="10"/>
      <c r="BD1951" s="10"/>
      <c r="BE1951" s="10"/>
      <c r="BF1951" s="10"/>
      <c r="BG1951" s="10"/>
      <c r="BH1951" s="10"/>
      <c r="BI1951" s="10"/>
      <c r="BJ1951" s="10"/>
      <c r="BK1951" s="10"/>
      <c r="BM1951" s="10"/>
    </row>
    <row r="1952" spans="1:65" ht="12.75">
      <c r="A1952" s="9"/>
      <c r="B1952" s="10"/>
      <c r="C1952" s="11"/>
      <c r="D1952" s="12"/>
      <c r="E1952" s="10"/>
      <c r="F1952" s="10"/>
      <c r="G1952" s="10"/>
      <c r="H1952" s="14"/>
      <c r="I1952" s="14"/>
      <c r="J1952" s="14"/>
      <c r="K1952" s="14"/>
      <c r="L1952" s="14"/>
      <c r="M1952" s="15"/>
      <c r="N1952" s="10"/>
      <c r="O1952" s="14"/>
      <c r="P1952" s="14"/>
      <c r="Q1952" s="14"/>
      <c r="R1952" s="14"/>
      <c r="S1952" s="14"/>
      <c r="T1952" s="14"/>
      <c r="U1952" s="14"/>
      <c r="V1952" s="14"/>
      <c r="W1952" s="14"/>
      <c r="X1952" s="14"/>
      <c r="Y1952" s="14"/>
      <c r="Z1952" s="14"/>
      <c r="AA1952" s="16" t="str">
        <f t="shared" ca="1" si="1653"/>
        <v>Johnson &amp; Johnson</v>
      </c>
      <c r="AB1952" s="16">
        <f t="shared" si="1653"/>
        <v>0</v>
      </c>
      <c r="AC1952" s="16">
        <f t="shared" si="1653"/>
        <v>0</v>
      </c>
      <c r="AD1952" s="16">
        <f t="shared" si="1653"/>
        <v>0</v>
      </c>
      <c r="AE1952" s="16">
        <f t="shared" si="1653"/>
        <v>0</v>
      </c>
      <c r="AF1952" s="16">
        <f t="shared" si="1653"/>
        <v>0</v>
      </c>
      <c r="AG1952" s="16">
        <f t="shared" si="1653"/>
        <v>0</v>
      </c>
      <c r="AH1952" s="16">
        <f t="shared" si="1653"/>
        <v>0</v>
      </c>
      <c r="AI1952" s="16">
        <f t="shared" si="1653"/>
        <v>0</v>
      </c>
      <c r="AJ1952" s="16">
        <f t="shared" si="1653"/>
        <v>0</v>
      </c>
      <c r="AK1952" s="16">
        <f t="shared" si="1653"/>
        <v>0</v>
      </c>
      <c r="AL1952" s="16">
        <f t="shared" si="1653"/>
        <v>0</v>
      </c>
      <c r="AM1952" s="16">
        <f t="shared" si="1653"/>
        <v>0</v>
      </c>
      <c r="AN1952" s="16">
        <f t="shared" si="1653"/>
        <v>0</v>
      </c>
      <c r="AO1952" s="16">
        <f t="shared" si="1653"/>
        <v>0</v>
      </c>
      <c r="AP1952" s="10"/>
      <c r="AQ1952" s="10"/>
      <c r="AR1952" s="10"/>
      <c r="AS1952" s="10" t="str">
        <f t="shared" ca="1" si="1641"/>
        <v>Johnson &amp; Johnson</v>
      </c>
      <c r="AT1952" s="10"/>
      <c r="AU1952" s="10"/>
      <c r="AV1952" s="10"/>
      <c r="AW1952" s="10"/>
      <c r="AX1952" s="10"/>
      <c r="AY1952" s="10"/>
      <c r="AZ1952" s="10"/>
      <c r="BA1952" s="10"/>
      <c r="BB1952" s="10"/>
      <c r="BC1952" s="10"/>
      <c r="BD1952" s="10"/>
      <c r="BE1952" s="10"/>
      <c r="BF1952" s="10"/>
      <c r="BG1952" s="10"/>
      <c r="BH1952" s="10"/>
      <c r="BI1952" s="10"/>
      <c r="BJ1952" s="10"/>
      <c r="BK1952" s="10"/>
      <c r="BM1952" s="10"/>
    </row>
    <row r="1953" spans="1:65" ht="12.75">
      <c r="A1953" s="9"/>
      <c r="B1953" s="10"/>
      <c r="C1953" s="11"/>
      <c r="D1953" s="12"/>
      <c r="E1953" s="10"/>
      <c r="F1953" s="10"/>
      <c r="G1953" s="10"/>
      <c r="H1953" s="14"/>
      <c r="I1953" s="14"/>
      <c r="J1953" s="14"/>
      <c r="K1953" s="14"/>
      <c r="L1953" s="14"/>
      <c r="M1953" s="15"/>
      <c r="N1953" s="10"/>
      <c r="O1953" s="14"/>
      <c r="P1953" s="14"/>
      <c r="Q1953" s="14"/>
      <c r="R1953" s="14"/>
      <c r="S1953" s="14"/>
      <c r="T1953" s="14"/>
      <c r="U1953" s="14"/>
      <c r="V1953" s="14"/>
      <c r="W1953" s="14"/>
      <c r="X1953" s="14"/>
      <c r="Y1953" s="14"/>
      <c r="Z1953" s="14"/>
      <c r="AA1953" s="16" t="str">
        <f t="shared" ca="1" si="1653"/>
        <v>Johnson &amp; Johnson</v>
      </c>
      <c r="AB1953" s="16">
        <f t="shared" si="1653"/>
        <v>0</v>
      </c>
      <c r="AC1953" s="16">
        <f t="shared" si="1653"/>
        <v>0</v>
      </c>
      <c r="AD1953" s="16">
        <f t="shared" si="1653"/>
        <v>0</v>
      </c>
      <c r="AE1953" s="16">
        <f t="shared" si="1653"/>
        <v>0</v>
      </c>
      <c r="AF1953" s="16">
        <f t="shared" si="1653"/>
        <v>0</v>
      </c>
      <c r="AG1953" s="16">
        <f t="shared" si="1653"/>
        <v>0</v>
      </c>
      <c r="AH1953" s="16">
        <f t="shared" si="1653"/>
        <v>0</v>
      </c>
      <c r="AI1953" s="16">
        <f t="shared" si="1653"/>
        <v>0</v>
      </c>
      <c r="AJ1953" s="16">
        <f t="shared" si="1653"/>
        <v>0</v>
      </c>
      <c r="AK1953" s="16">
        <f t="shared" si="1653"/>
        <v>0</v>
      </c>
      <c r="AL1953" s="16">
        <f t="shared" si="1653"/>
        <v>0</v>
      </c>
      <c r="AM1953" s="16">
        <f t="shared" si="1653"/>
        <v>0</v>
      </c>
      <c r="AN1953" s="16">
        <f t="shared" si="1653"/>
        <v>0</v>
      </c>
      <c r="AO1953" s="16">
        <f t="shared" si="1653"/>
        <v>0</v>
      </c>
      <c r="AP1953" s="10"/>
      <c r="AQ1953" s="10"/>
      <c r="AR1953" s="10"/>
      <c r="AS1953" s="10" t="str">
        <f t="shared" ca="1" si="1641"/>
        <v>Johnson &amp; Johnson</v>
      </c>
      <c r="AT1953" s="10"/>
      <c r="AU1953" s="10"/>
      <c r="AV1953" s="10"/>
      <c r="AW1953" s="10"/>
      <c r="AX1953" s="10"/>
      <c r="AY1953" s="10"/>
      <c r="AZ1953" s="10"/>
      <c r="BA1953" s="10"/>
      <c r="BB1953" s="10"/>
      <c r="BC1953" s="10"/>
      <c r="BD1953" s="10"/>
      <c r="BE1953" s="10"/>
      <c r="BF1953" s="10"/>
      <c r="BG1953" s="10"/>
      <c r="BH1953" s="10"/>
      <c r="BI1953" s="10"/>
      <c r="BJ1953" s="10"/>
      <c r="BK1953" s="10"/>
      <c r="BM1953" s="10"/>
    </row>
    <row r="1954" spans="1:65" ht="12.75">
      <c r="A1954" s="9"/>
      <c r="B1954" s="10"/>
      <c r="C1954" s="11"/>
      <c r="D1954" s="12"/>
      <c r="E1954" s="10"/>
      <c r="F1954" s="10"/>
      <c r="G1954" s="10"/>
      <c r="H1954" s="14"/>
      <c r="I1954" s="14"/>
      <c r="J1954" s="14"/>
      <c r="K1954" s="14"/>
      <c r="L1954" s="14"/>
      <c r="M1954" s="15"/>
      <c r="N1954" s="10"/>
      <c r="O1954" s="14"/>
      <c r="P1954" s="14"/>
      <c r="Q1954" s="14"/>
      <c r="R1954" s="14"/>
      <c r="S1954" s="14"/>
      <c r="T1954" s="14"/>
      <c r="U1954" s="14"/>
      <c r="V1954" s="14"/>
      <c r="W1954" s="14"/>
      <c r="X1954" s="14"/>
      <c r="Y1954" s="14"/>
      <c r="Z1954" s="14"/>
      <c r="AA1954" s="16" t="str">
        <f t="shared" ca="1" si="1653"/>
        <v>Johnson &amp; Johnson</v>
      </c>
      <c r="AB1954" s="16">
        <f t="shared" si="1653"/>
        <v>0</v>
      </c>
      <c r="AC1954" s="16">
        <f t="shared" si="1653"/>
        <v>0</v>
      </c>
      <c r="AD1954" s="16">
        <f t="shared" si="1653"/>
        <v>0</v>
      </c>
      <c r="AE1954" s="16">
        <f t="shared" si="1653"/>
        <v>0</v>
      </c>
      <c r="AF1954" s="16">
        <f t="shared" si="1653"/>
        <v>0</v>
      </c>
      <c r="AG1954" s="16">
        <f t="shared" si="1653"/>
        <v>0</v>
      </c>
      <c r="AH1954" s="16">
        <f t="shared" si="1653"/>
        <v>0</v>
      </c>
      <c r="AI1954" s="16">
        <f t="shared" si="1653"/>
        <v>0</v>
      </c>
      <c r="AJ1954" s="16">
        <f t="shared" si="1653"/>
        <v>0</v>
      </c>
      <c r="AK1954" s="16">
        <f t="shared" si="1653"/>
        <v>0</v>
      </c>
      <c r="AL1954" s="16">
        <f t="shared" si="1653"/>
        <v>0</v>
      </c>
      <c r="AM1954" s="16">
        <f t="shared" si="1653"/>
        <v>0</v>
      </c>
      <c r="AN1954" s="16">
        <f t="shared" si="1653"/>
        <v>0</v>
      </c>
      <c r="AO1954" s="16">
        <f t="shared" si="1653"/>
        <v>0</v>
      </c>
      <c r="AP1954" s="10"/>
      <c r="AQ1954" s="10"/>
      <c r="AR1954" s="10"/>
      <c r="AS1954" s="10" t="str">
        <f t="shared" ca="1" si="1641"/>
        <v>Johnson &amp; Johnson</v>
      </c>
      <c r="AT1954" s="10"/>
      <c r="AU1954" s="10"/>
      <c r="AV1954" s="10"/>
      <c r="AW1954" s="10"/>
      <c r="AX1954" s="10"/>
      <c r="AY1954" s="10"/>
      <c r="AZ1954" s="10"/>
      <c r="BA1954" s="10"/>
      <c r="BB1954" s="10"/>
      <c r="BC1954" s="10"/>
      <c r="BD1954" s="10"/>
      <c r="BE1954" s="10"/>
      <c r="BF1954" s="10"/>
      <c r="BG1954" s="10"/>
      <c r="BH1954" s="10"/>
      <c r="BI1954" s="10"/>
      <c r="BJ1954" s="10"/>
      <c r="BK1954" s="10"/>
      <c r="BM1954" s="10"/>
    </row>
    <row r="1955" spans="1:65" ht="12.75">
      <c r="A1955" s="9"/>
      <c r="B1955" s="10"/>
      <c r="C1955" s="11"/>
      <c r="D1955" s="12"/>
      <c r="E1955" s="10"/>
      <c r="F1955" s="10"/>
      <c r="G1955" s="10"/>
      <c r="H1955" s="14"/>
      <c r="I1955" s="14"/>
      <c r="J1955" s="14"/>
      <c r="K1955" s="14"/>
      <c r="L1955" s="14"/>
      <c r="M1955" s="15"/>
      <c r="N1955" s="10"/>
      <c r="O1955" s="14"/>
      <c r="P1955" s="14"/>
      <c r="Q1955" s="14"/>
      <c r="R1955" s="14"/>
      <c r="S1955" s="14"/>
      <c r="T1955" s="14"/>
      <c r="U1955" s="14"/>
      <c r="V1955" s="14"/>
      <c r="W1955" s="14"/>
      <c r="X1955" s="14"/>
      <c r="Y1955" s="14"/>
      <c r="Z1955" s="14"/>
      <c r="AA1955" s="16" t="str">
        <f t="shared" ca="1" si="1653"/>
        <v>Johnson &amp; Johnson</v>
      </c>
      <c r="AB1955" s="16">
        <f t="shared" si="1653"/>
        <v>0</v>
      </c>
      <c r="AC1955" s="16">
        <f t="shared" si="1653"/>
        <v>0</v>
      </c>
      <c r="AD1955" s="16">
        <f t="shared" si="1653"/>
        <v>0</v>
      </c>
      <c r="AE1955" s="16">
        <f t="shared" si="1653"/>
        <v>0</v>
      </c>
      <c r="AF1955" s="16">
        <f t="shared" si="1653"/>
        <v>0</v>
      </c>
      <c r="AG1955" s="16">
        <f t="shared" si="1653"/>
        <v>0</v>
      </c>
      <c r="AH1955" s="16">
        <f t="shared" si="1653"/>
        <v>0</v>
      </c>
      <c r="AI1955" s="16">
        <f t="shared" si="1653"/>
        <v>0</v>
      </c>
      <c r="AJ1955" s="16">
        <f t="shared" si="1653"/>
        <v>0</v>
      </c>
      <c r="AK1955" s="16">
        <f t="shared" si="1653"/>
        <v>0</v>
      </c>
      <c r="AL1955" s="16">
        <f t="shared" si="1653"/>
        <v>0</v>
      </c>
      <c r="AM1955" s="16">
        <f t="shared" si="1653"/>
        <v>0</v>
      </c>
      <c r="AN1955" s="16">
        <f t="shared" si="1653"/>
        <v>0</v>
      </c>
      <c r="AO1955" s="16">
        <f t="shared" si="1653"/>
        <v>0</v>
      </c>
      <c r="AP1955" s="10"/>
      <c r="AQ1955" s="10"/>
      <c r="AR1955" s="10"/>
      <c r="AS1955" s="10" t="str">
        <f t="shared" ca="1" si="1641"/>
        <v>Johnson &amp; Johnson</v>
      </c>
      <c r="AT1955" s="10"/>
      <c r="AU1955" s="10"/>
      <c r="AV1955" s="10"/>
      <c r="AW1955" s="10"/>
      <c r="AX1955" s="10"/>
      <c r="AY1955" s="10"/>
      <c r="AZ1955" s="10"/>
      <c r="BA1955" s="10"/>
      <c r="BB1955" s="10"/>
      <c r="BC1955" s="10"/>
      <c r="BD1955" s="10"/>
      <c r="BE1955" s="10"/>
      <c r="BF1955" s="10"/>
      <c r="BG1955" s="10"/>
      <c r="BH1955" s="10"/>
      <c r="BI1955" s="10"/>
      <c r="BJ1955" s="10"/>
      <c r="BK1955" s="10"/>
      <c r="BM1955" s="10"/>
    </row>
    <row r="1956" spans="1:65" ht="12.75">
      <c r="A1956" s="9"/>
      <c r="B1956" s="10"/>
      <c r="C1956" s="11"/>
      <c r="D1956" s="12"/>
      <c r="E1956" s="10"/>
      <c r="F1956" s="10"/>
      <c r="G1956" s="10"/>
      <c r="H1956" s="14"/>
      <c r="I1956" s="14"/>
      <c r="J1956" s="14"/>
      <c r="K1956" s="14"/>
      <c r="L1956" s="14"/>
      <c r="M1956" s="15"/>
      <c r="N1956" s="10"/>
      <c r="O1956" s="14"/>
      <c r="P1956" s="14"/>
      <c r="Q1956" s="14"/>
      <c r="R1956" s="14"/>
      <c r="S1956" s="14"/>
      <c r="T1956" s="14"/>
      <c r="U1956" s="14"/>
      <c r="V1956" s="14"/>
      <c r="W1956" s="14"/>
      <c r="X1956" s="14"/>
      <c r="Y1956" s="14"/>
      <c r="Z1956" s="14"/>
      <c r="AA1956" s="16" t="str">
        <f t="shared" ca="1" si="1653"/>
        <v>Johnson &amp; Johnson</v>
      </c>
      <c r="AB1956" s="16">
        <f t="shared" si="1653"/>
        <v>0</v>
      </c>
      <c r="AC1956" s="16">
        <f t="shared" si="1653"/>
        <v>0</v>
      </c>
      <c r="AD1956" s="16">
        <f t="shared" si="1653"/>
        <v>0</v>
      </c>
      <c r="AE1956" s="16">
        <f t="shared" si="1653"/>
        <v>0</v>
      </c>
      <c r="AF1956" s="16">
        <f t="shared" si="1653"/>
        <v>0</v>
      </c>
      <c r="AG1956" s="16">
        <f t="shared" si="1653"/>
        <v>0</v>
      </c>
      <c r="AH1956" s="16">
        <f t="shared" si="1653"/>
        <v>0</v>
      </c>
      <c r="AI1956" s="16">
        <f t="shared" si="1653"/>
        <v>0</v>
      </c>
      <c r="AJ1956" s="16">
        <f t="shared" si="1653"/>
        <v>0</v>
      </c>
      <c r="AK1956" s="16">
        <f t="shared" si="1653"/>
        <v>0</v>
      </c>
      <c r="AL1956" s="16">
        <f t="shared" si="1653"/>
        <v>0</v>
      </c>
      <c r="AM1956" s="16">
        <f t="shared" si="1653"/>
        <v>0</v>
      </c>
      <c r="AN1956" s="16">
        <f t="shared" si="1653"/>
        <v>0</v>
      </c>
      <c r="AO1956" s="16">
        <f t="shared" si="1653"/>
        <v>0</v>
      </c>
      <c r="AP1956" s="10"/>
      <c r="AQ1956" s="10"/>
      <c r="AR1956" s="10"/>
      <c r="AS1956" s="10" t="str">
        <f t="shared" ca="1" si="1641"/>
        <v>Johnson &amp; Johnson</v>
      </c>
      <c r="AT1956" s="10"/>
      <c r="AU1956" s="10"/>
      <c r="AV1956" s="10"/>
      <c r="AW1956" s="10"/>
      <c r="AX1956" s="10"/>
      <c r="AY1956" s="10"/>
      <c r="AZ1956" s="10"/>
      <c r="BA1956" s="10"/>
      <c r="BB1956" s="10"/>
      <c r="BC1956" s="10"/>
      <c r="BD1956" s="10"/>
      <c r="BE1956" s="10"/>
      <c r="BF1956" s="10"/>
      <c r="BG1956" s="10"/>
      <c r="BH1956" s="10"/>
      <c r="BI1956" s="10"/>
      <c r="BJ1956" s="10"/>
      <c r="BK1956" s="10"/>
      <c r="BM1956" s="10"/>
    </row>
    <row r="1957" spans="1:65" ht="12.75">
      <c r="A1957" s="9"/>
      <c r="B1957" s="10"/>
      <c r="C1957" s="11"/>
      <c r="D1957" s="12"/>
      <c r="E1957" s="10"/>
      <c r="F1957" s="10"/>
      <c r="G1957" s="10"/>
      <c r="H1957" s="14"/>
      <c r="I1957" s="14"/>
      <c r="J1957" s="14"/>
      <c r="K1957" s="14"/>
      <c r="L1957" s="14"/>
      <c r="M1957" s="15"/>
      <c r="N1957" s="10"/>
      <c r="O1957" s="14"/>
      <c r="P1957" s="14"/>
      <c r="Q1957" s="14"/>
      <c r="R1957" s="14"/>
      <c r="S1957" s="14"/>
      <c r="T1957" s="14"/>
      <c r="U1957" s="14"/>
      <c r="V1957" s="14"/>
      <c r="W1957" s="14"/>
      <c r="X1957" s="14"/>
      <c r="Y1957" s="14"/>
      <c r="Z1957" s="14"/>
      <c r="AA1957" s="16" t="str">
        <f t="shared" ca="1" si="1653"/>
        <v>Johnson &amp; Johnson</v>
      </c>
      <c r="AB1957" s="16">
        <f t="shared" si="1653"/>
        <v>0</v>
      </c>
      <c r="AC1957" s="16">
        <f t="shared" si="1653"/>
        <v>0</v>
      </c>
      <c r="AD1957" s="16">
        <f t="shared" si="1653"/>
        <v>0</v>
      </c>
      <c r="AE1957" s="16">
        <f t="shared" si="1653"/>
        <v>0</v>
      </c>
      <c r="AF1957" s="16">
        <f t="shared" si="1653"/>
        <v>0</v>
      </c>
      <c r="AG1957" s="16">
        <f t="shared" si="1653"/>
        <v>0</v>
      </c>
      <c r="AH1957" s="16">
        <f t="shared" si="1653"/>
        <v>0</v>
      </c>
      <c r="AI1957" s="16">
        <f t="shared" si="1653"/>
        <v>0</v>
      </c>
      <c r="AJ1957" s="16">
        <f t="shared" si="1653"/>
        <v>0</v>
      </c>
      <c r="AK1957" s="16">
        <f t="shared" si="1653"/>
        <v>0</v>
      </c>
      <c r="AL1957" s="16">
        <f t="shared" si="1653"/>
        <v>0</v>
      </c>
      <c r="AM1957" s="16">
        <f t="shared" si="1653"/>
        <v>0</v>
      </c>
      <c r="AN1957" s="16">
        <f t="shared" si="1653"/>
        <v>0</v>
      </c>
      <c r="AO1957" s="16">
        <f t="shared" si="1653"/>
        <v>0</v>
      </c>
      <c r="AP1957" s="10"/>
      <c r="AQ1957" s="10"/>
      <c r="AR1957" s="10"/>
      <c r="AS1957" s="10" t="str">
        <f t="shared" ca="1" si="1641"/>
        <v>Johnson &amp; Johnson</v>
      </c>
      <c r="AT1957" s="10"/>
      <c r="AU1957" s="10"/>
      <c r="AV1957" s="10"/>
      <c r="AW1957" s="10"/>
      <c r="AX1957" s="10"/>
      <c r="AY1957" s="10"/>
      <c r="AZ1957" s="10"/>
      <c r="BA1957" s="10"/>
      <c r="BB1957" s="10"/>
      <c r="BC1957" s="10"/>
      <c r="BD1957" s="10"/>
      <c r="BE1957" s="10"/>
      <c r="BF1957" s="10"/>
      <c r="BG1957" s="10"/>
      <c r="BH1957" s="10"/>
      <c r="BI1957" s="10"/>
      <c r="BJ1957" s="10"/>
      <c r="BK1957" s="10"/>
      <c r="BM1957" s="10"/>
    </row>
    <row r="1958" spans="1:65" ht="12.75">
      <c r="A1958" s="9"/>
      <c r="B1958" s="10"/>
      <c r="C1958" s="11"/>
      <c r="D1958" s="12"/>
      <c r="E1958" s="10"/>
      <c r="F1958" s="10"/>
      <c r="G1958" s="10"/>
      <c r="H1958" s="14"/>
      <c r="I1958" s="14"/>
      <c r="J1958" s="14"/>
      <c r="K1958" s="14"/>
      <c r="L1958" s="14"/>
      <c r="M1958" s="15"/>
      <c r="N1958" s="10"/>
      <c r="O1958" s="14"/>
      <c r="P1958" s="14"/>
      <c r="Q1958" s="14"/>
      <c r="R1958" s="14"/>
      <c r="S1958" s="14"/>
      <c r="T1958" s="14"/>
      <c r="U1958" s="14"/>
      <c r="V1958" s="14"/>
      <c r="W1958" s="14"/>
      <c r="X1958" s="14"/>
      <c r="Y1958" s="14"/>
      <c r="Z1958" s="14"/>
      <c r="AA1958" s="16" t="str">
        <f t="shared" ca="1" si="1653"/>
        <v>Johnson &amp; Johnson</v>
      </c>
      <c r="AB1958" s="16">
        <f t="shared" si="1653"/>
        <v>0</v>
      </c>
      <c r="AC1958" s="16">
        <f t="shared" si="1653"/>
        <v>0</v>
      </c>
      <c r="AD1958" s="16">
        <f t="shared" si="1653"/>
        <v>0</v>
      </c>
      <c r="AE1958" s="16">
        <f t="shared" si="1653"/>
        <v>0</v>
      </c>
      <c r="AF1958" s="16">
        <f t="shared" si="1653"/>
        <v>0</v>
      </c>
      <c r="AG1958" s="16">
        <f t="shared" si="1653"/>
        <v>0</v>
      </c>
      <c r="AH1958" s="16">
        <f t="shared" si="1653"/>
        <v>0</v>
      </c>
      <c r="AI1958" s="16">
        <f t="shared" si="1653"/>
        <v>0</v>
      </c>
      <c r="AJ1958" s="16">
        <f t="shared" si="1653"/>
        <v>0</v>
      </c>
      <c r="AK1958" s="16">
        <f t="shared" si="1653"/>
        <v>0</v>
      </c>
      <c r="AL1958" s="16">
        <f t="shared" si="1653"/>
        <v>0</v>
      </c>
      <c r="AM1958" s="16">
        <f t="shared" si="1653"/>
        <v>0</v>
      </c>
      <c r="AN1958" s="16">
        <f t="shared" si="1653"/>
        <v>0</v>
      </c>
      <c r="AO1958" s="16">
        <f t="shared" si="1653"/>
        <v>0</v>
      </c>
      <c r="AP1958" s="10"/>
      <c r="AQ1958" s="10"/>
      <c r="AR1958" s="10"/>
      <c r="AS1958" s="10" t="str">
        <f t="shared" ca="1" si="1641"/>
        <v>Johnson &amp; Johnson</v>
      </c>
      <c r="AT1958" s="10"/>
      <c r="AU1958" s="10"/>
      <c r="AV1958" s="10"/>
      <c r="AW1958" s="10"/>
      <c r="AX1958" s="10"/>
      <c r="AY1958" s="10"/>
      <c r="AZ1958" s="10"/>
      <c r="BA1958" s="10"/>
      <c r="BB1958" s="10"/>
      <c r="BC1958" s="10"/>
      <c r="BD1958" s="10"/>
      <c r="BE1958" s="10"/>
      <c r="BF1958" s="10"/>
      <c r="BG1958" s="10"/>
      <c r="BH1958" s="10"/>
      <c r="BI1958" s="10"/>
      <c r="BJ1958" s="10"/>
      <c r="BK1958" s="10"/>
      <c r="BM1958" s="10"/>
    </row>
    <row r="1959" spans="1:65" ht="12.75">
      <c r="A1959" s="9"/>
      <c r="B1959" s="10"/>
      <c r="C1959" s="11"/>
      <c r="D1959" s="12"/>
      <c r="E1959" s="10"/>
      <c r="F1959" s="10"/>
      <c r="G1959" s="10"/>
      <c r="H1959" s="14"/>
      <c r="I1959" s="14"/>
      <c r="J1959" s="14"/>
      <c r="K1959" s="14"/>
      <c r="L1959" s="14"/>
      <c r="M1959" s="15"/>
      <c r="N1959" s="10"/>
      <c r="O1959" s="14"/>
      <c r="P1959" s="14"/>
      <c r="Q1959" s="14"/>
      <c r="R1959" s="14"/>
      <c r="S1959" s="14"/>
      <c r="T1959" s="14"/>
      <c r="U1959" s="14"/>
      <c r="V1959" s="14"/>
      <c r="W1959" s="14"/>
      <c r="X1959" s="14"/>
      <c r="Y1959" s="14"/>
      <c r="Z1959" s="14"/>
      <c r="AA1959" s="16" t="str">
        <f t="shared" ca="1" si="1653"/>
        <v>Johnson &amp; Johnson</v>
      </c>
      <c r="AB1959" s="16">
        <f t="shared" si="1653"/>
        <v>0</v>
      </c>
      <c r="AC1959" s="16">
        <f t="shared" si="1653"/>
        <v>0</v>
      </c>
      <c r="AD1959" s="16">
        <f t="shared" si="1653"/>
        <v>0</v>
      </c>
      <c r="AE1959" s="16">
        <f t="shared" si="1653"/>
        <v>0</v>
      </c>
      <c r="AF1959" s="16">
        <f t="shared" si="1653"/>
        <v>0</v>
      </c>
      <c r="AG1959" s="16">
        <f t="shared" si="1653"/>
        <v>0</v>
      </c>
      <c r="AH1959" s="16">
        <f t="shared" si="1653"/>
        <v>0</v>
      </c>
      <c r="AI1959" s="16">
        <f t="shared" si="1653"/>
        <v>0</v>
      </c>
      <c r="AJ1959" s="16">
        <f t="shared" si="1653"/>
        <v>0</v>
      </c>
      <c r="AK1959" s="16">
        <f t="shared" si="1653"/>
        <v>0</v>
      </c>
      <c r="AL1959" s="16">
        <f t="shared" si="1653"/>
        <v>0</v>
      </c>
      <c r="AM1959" s="16">
        <f t="shared" si="1653"/>
        <v>0</v>
      </c>
      <c r="AN1959" s="16">
        <f t="shared" si="1653"/>
        <v>0</v>
      </c>
      <c r="AO1959" s="16">
        <f t="shared" si="1653"/>
        <v>0</v>
      </c>
      <c r="AP1959" s="10"/>
      <c r="AQ1959" s="10"/>
      <c r="AR1959" s="10"/>
      <c r="AS1959" s="10" t="str">
        <f t="shared" ca="1" si="1641"/>
        <v>Johnson &amp; Johnson</v>
      </c>
      <c r="AT1959" s="10"/>
      <c r="AU1959" s="10"/>
      <c r="AV1959" s="10"/>
      <c r="AW1959" s="10"/>
      <c r="AX1959" s="10"/>
      <c r="AY1959" s="10"/>
      <c r="AZ1959" s="10"/>
      <c r="BA1959" s="10"/>
      <c r="BB1959" s="10"/>
      <c r="BC1959" s="10"/>
      <c r="BD1959" s="10"/>
      <c r="BE1959" s="10"/>
      <c r="BF1959" s="10"/>
      <c r="BG1959" s="10"/>
      <c r="BH1959" s="10"/>
      <c r="BI1959" s="10"/>
      <c r="BJ1959" s="10"/>
      <c r="BK1959" s="10"/>
      <c r="BM1959" s="10"/>
    </row>
    <row r="1960" spans="1:65" ht="12.75">
      <c r="A1960" s="9"/>
      <c r="B1960" s="10"/>
      <c r="C1960" s="11"/>
      <c r="D1960" s="12"/>
      <c r="E1960" s="10"/>
      <c r="F1960" s="10"/>
      <c r="G1960" s="10"/>
      <c r="H1960" s="14"/>
      <c r="I1960" s="14"/>
      <c r="J1960" s="14"/>
      <c r="K1960" s="14"/>
      <c r="L1960" s="14"/>
      <c r="M1960" s="15"/>
      <c r="N1960" s="10"/>
      <c r="O1960" s="14"/>
      <c r="P1960" s="14"/>
      <c r="Q1960" s="14"/>
      <c r="R1960" s="14"/>
      <c r="S1960" s="14"/>
      <c r="T1960" s="14"/>
      <c r="U1960" s="14"/>
      <c r="V1960" s="14"/>
      <c r="W1960" s="14"/>
      <c r="X1960" s="14"/>
      <c r="Y1960" s="14"/>
      <c r="Z1960" s="14"/>
      <c r="AA1960" s="16" t="str">
        <f t="shared" ca="1" si="1653"/>
        <v>Johnson &amp; Johnson</v>
      </c>
      <c r="AB1960" s="16">
        <f t="shared" si="1653"/>
        <v>0</v>
      </c>
      <c r="AC1960" s="16">
        <f t="shared" si="1653"/>
        <v>0</v>
      </c>
      <c r="AD1960" s="16">
        <f t="shared" si="1653"/>
        <v>0</v>
      </c>
      <c r="AE1960" s="16">
        <f t="shared" si="1653"/>
        <v>0</v>
      </c>
      <c r="AF1960" s="16">
        <f t="shared" si="1653"/>
        <v>0</v>
      </c>
      <c r="AG1960" s="16">
        <f t="shared" si="1653"/>
        <v>0</v>
      </c>
      <c r="AH1960" s="16">
        <f t="shared" si="1653"/>
        <v>0</v>
      </c>
      <c r="AI1960" s="16">
        <f t="shared" si="1653"/>
        <v>0</v>
      </c>
      <c r="AJ1960" s="16">
        <f t="shared" si="1653"/>
        <v>0</v>
      </c>
      <c r="AK1960" s="16">
        <f t="shared" si="1653"/>
        <v>0</v>
      </c>
      <c r="AL1960" s="16">
        <f t="shared" si="1653"/>
        <v>0</v>
      </c>
      <c r="AM1960" s="16">
        <f t="shared" si="1653"/>
        <v>0</v>
      </c>
      <c r="AN1960" s="16">
        <f t="shared" si="1653"/>
        <v>0</v>
      </c>
      <c r="AO1960" s="16">
        <f t="shared" si="1653"/>
        <v>0</v>
      </c>
      <c r="AP1960" s="10"/>
      <c r="AQ1960" s="10"/>
      <c r="AR1960" s="10"/>
      <c r="AS1960" s="10" t="str">
        <f t="shared" ca="1" si="1641"/>
        <v>Johnson &amp; Johnson</v>
      </c>
      <c r="AT1960" s="10"/>
      <c r="AU1960" s="10"/>
      <c r="AV1960" s="10"/>
      <c r="AW1960" s="10"/>
      <c r="AX1960" s="10"/>
      <c r="AY1960" s="10"/>
      <c r="AZ1960" s="10"/>
      <c r="BA1960" s="10"/>
      <c r="BB1960" s="10"/>
      <c r="BC1960" s="10"/>
      <c r="BD1960" s="10"/>
      <c r="BE1960" s="10"/>
      <c r="BF1960" s="10"/>
      <c r="BG1960" s="10"/>
      <c r="BH1960" s="10"/>
      <c r="BI1960" s="10"/>
      <c r="BJ1960" s="10"/>
      <c r="BK1960" s="10"/>
      <c r="BM1960" s="10"/>
    </row>
    <row r="1961" spans="1:65" ht="12.75">
      <c r="A1961" s="9"/>
      <c r="B1961" s="10"/>
      <c r="C1961" s="11"/>
      <c r="D1961" s="12"/>
      <c r="E1961" s="10"/>
      <c r="F1961" s="10"/>
      <c r="G1961" s="10"/>
      <c r="H1961" s="14"/>
      <c r="I1961" s="14"/>
      <c r="J1961" s="14"/>
      <c r="K1961" s="14"/>
      <c r="L1961" s="14"/>
      <c r="M1961" s="15"/>
      <c r="N1961" s="10"/>
      <c r="O1961" s="14"/>
      <c r="P1961" s="14"/>
      <c r="Q1961" s="14"/>
      <c r="R1961" s="14"/>
      <c r="S1961" s="14"/>
      <c r="T1961" s="14"/>
      <c r="U1961" s="14"/>
      <c r="V1961" s="14"/>
      <c r="W1961" s="14"/>
      <c r="X1961" s="14"/>
      <c r="Y1961" s="14"/>
      <c r="Z1961" s="14"/>
      <c r="AA1961" s="16" t="str">
        <f t="shared" ref="AA1961:AO1976" ca="1" si="1654">AS1961</f>
        <v>Johnson &amp; Johnson</v>
      </c>
      <c r="AB1961" s="16">
        <f t="shared" si="1654"/>
        <v>0</v>
      </c>
      <c r="AC1961" s="16">
        <f t="shared" si="1654"/>
        <v>0</v>
      </c>
      <c r="AD1961" s="16">
        <f t="shared" si="1654"/>
        <v>0</v>
      </c>
      <c r="AE1961" s="16">
        <f t="shared" si="1654"/>
        <v>0</v>
      </c>
      <c r="AF1961" s="16">
        <f t="shared" si="1654"/>
        <v>0</v>
      </c>
      <c r="AG1961" s="16">
        <f t="shared" si="1654"/>
        <v>0</v>
      </c>
      <c r="AH1961" s="16">
        <f t="shared" si="1654"/>
        <v>0</v>
      </c>
      <c r="AI1961" s="16">
        <f t="shared" si="1654"/>
        <v>0</v>
      </c>
      <c r="AJ1961" s="16">
        <f t="shared" si="1654"/>
        <v>0</v>
      </c>
      <c r="AK1961" s="16">
        <f t="shared" si="1654"/>
        <v>0</v>
      </c>
      <c r="AL1961" s="16">
        <f t="shared" si="1654"/>
        <v>0</v>
      </c>
      <c r="AM1961" s="16">
        <f t="shared" si="1654"/>
        <v>0</v>
      </c>
      <c r="AN1961" s="16">
        <f t="shared" si="1654"/>
        <v>0</v>
      </c>
      <c r="AO1961" s="16">
        <f t="shared" si="1654"/>
        <v>0</v>
      </c>
      <c r="AP1961" s="10"/>
      <c r="AQ1961" s="10"/>
      <c r="AR1961" s="10"/>
      <c r="AS1961" s="10" t="str">
        <f t="shared" ca="1" si="1641"/>
        <v>Johnson &amp; Johnson</v>
      </c>
      <c r="AT1961" s="10"/>
      <c r="AU1961" s="10"/>
      <c r="AV1961" s="10"/>
      <c r="AW1961" s="10"/>
      <c r="AX1961" s="10"/>
      <c r="AY1961" s="10"/>
      <c r="AZ1961" s="10"/>
      <c r="BA1961" s="10"/>
      <c r="BB1961" s="10"/>
      <c r="BC1961" s="10"/>
      <c r="BD1961" s="10"/>
      <c r="BE1961" s="10"/>
      <c r="BF1961" s="10"/>
      <c r="BG1961" s="10"/>
      <c r="BH1961" s="10"/>
      <c r="BI1961" s="10"/>
      <c r="BJ1961" s="10"/>
      <c r="BK1961" s="10"/>
      <c r="BM1961" s="10"/>
    </row>
    <row r="1962" spans="1:65" ht="12.75">
      <c r="A1962" s="9"/>
      <c r="B1962" s="10"/>
      <c r="C1962" s="11"/>
      <c r="D1962" s="12"/>
      <c r="E1962" s="10"/>
      <c r="F1962" s="10"/>
      <c r="G1962" s="10"/>
      <c r="H1962" s="14"/>
      <c r="I1962" s="14"/>
      <c r="J1962" s="14"/>
      <c r="K1962" s="14"/>
      <c r="L1962" s="14"/>
      <c r="M1962" s="15"/>
      <c r="N1962" s="10"/>
      <c r="O1962" s="14"/>
      <c r="P1962" s="14"/>
      <c r="Q1962" s="14"/>
      <c r="R1962" s="14"/>
      <c r="S1962" s="14"/>
      <c r="T1962" s="14"/>
      <c r="U1962" s="14"/>
      <c r="V1962" s="14"/>
      <c r="W1962" s="14"/>
      <c r="X1962" s="14"/>
      <c r="Y1962" s="14"/>
      <c r="Z1962" s="14"/>
      <c r="AA1962" s="16" t="str">
        <f t="shared" ca="1" si="1654"/>
        <v>Johnson &amp; Johnson</v>
      </c>
      <c r="AB1962" s="16">
        <f t="shared" si="1654"/>
        <v>0</v>
      </c>
      <c r="AC1962" s="16">
        <f t="shared" si="1654"/>
        <v>0</v>
      </c>
      <c r="AD1962" s="16">
        <f t="shared" si="1654"/>
        <v>0</v>
      </c>
      <c r="AE1962" s="16">
        <f t="shared" si="1654"/>
        <v>0</v>
      </c>
      <c r="AF1962" s="16">
        <f t="shared" si="1654"/>
        <v>0</v>
      </c>
      <c r="AG1962" s="16">
        <f t="shared" si="1654"/>
        <v>0</v>
      </c>
      <c r="AH1962" s="16">
        <f t="shared" si="1654"/>
        <v>0</v>
      </c>
      <c r="AI1962" s="16">
        <f t="shared" si="1654"/>
        <v>0</v>
      </c>
      <c r="AJ1962" s="16">
        <f t="shared" si="1654"/>
        <v>0</v>
      </c>
      <c r="AK1962" s="16">
        <f t="shared" si="1654"/>
        <v>0</v>
      </c>
      <c r="AL1962" s="16">
        <f t="shared" si="1654"/>
        <v>0</v>
      </c>
      <c r="AM1962" s="16">
        <f t="shared" si="1654"/>
        <v>0</v>
      </c>
      <c r="AN1962" s="16">
        <f t="shared" si="1654"/>
        <v>0</v>
      </c>
      <c r="AO1962" s="16">
        <f t="shared" si="1654"/>
        <v>0</v>
      </c>
      <c r="AP1962" s="10"/>
      <c r="AQ1962" s="10"/>
      <c r="AR1962" s="10"/>
      <c r="AS1962" s="10" t="str">
        <f t="shared" ca="1" si="1641"/>
        <v>Johnson &amp; Johnson</v>
      </c>
      <c r="AT1962" s="10"/>
      <c r="AU1962" s="10"/>
      <c r="AV1962" s="10"/>
      <c r="AW1962" s="10"/>
      <c r="AX1962" s="10"/>
      <c r="AY1962" s="10"/>
      <c r="AZ1962" s="10"/>
      <c r="BA1962" s="10"/>
      <c r="BB1962" s="10"/>
      <c r="BC1962" s="10"/>
      <c r="BD1962" s="10"/>
      <c r="BE1962" s="10"/>
      <c r="BF1962" s="10"/>
      <c r="BG1962" s="10"/>
      <c r="BH1962" s="10"/>
      <c r="BI1962" s="10"/>
      <c r="BJ1962" s="10"/>
      <c r="BK1962" s="10"/>
      <c r="BM1962" s="10"/>
    </row>
    <row r="1963" spans="1:65" ht="12.75">
      <c r="A1963" s="9"/>
      <c r="B1963" s="10"/>
      <c r="C1963" s="11"/>
      <c r="D1963" s="12"/>
      <c r="E1963" s="10"/>
      <c r="F1963" s="10"/>
      <c r="G1963" s="10"/>
      <c r="H1963" s="14"/>
      <c r="I1963" s="14"/>
      <c r="J1963" s="14"/>
      <c r="K1963" s="14"/>
      <c r="L1963" s="14"/>
      <c r="M1963" s="15"/>
      <c r="N1963" s="10"/>
      <c r="O1963" s="14"/>
      <c r="P1963" s="14"/>
      <c r="Q1963" s="14"/>
      <c r="R1963" s="14"/>
      <c r="S1963" s="14"/>
      <c r="T1963" s="14"/>
      <c r="U1963" s="14"/>
      <c r="V1963" s="14"/>
      <c r="W1963" s="14"/>
      <c r="X1963" s="14"/>
      <c r="Y1963" s="14"/>
      <c r="Z1963" s="14"/>
      <c r="AA1963" s="16" t="str">
        <f t="shared" ca="1" si="1654"/>
        <v>Johnson &amp; Johnson</v>
      </c>
      <c r="AB1963" s="16">
        <f t="shared" si="1654"/>
        <v>0</v>
      </c>
      <c r="AC1963" s="16">
        <f t="shared" si="1654"/>
        <v>0</v>
      </c>
      <c r="AD1963" s="16">
        <f t="shared" si="1654"/>
        <v>0</v>
      </c>
      <c r="AE1963" s="16">
        <f t="shared" si="1654"/>
        <v>0</v>
      </c>
      <c r="AF1963" s="16">
        <f t="shared" si="1654"/>
        <v>0</v>
      </c>
      <c r="AG1963" s="16">
        <f t="shared" si="1654"/>
        <v>0</v>
      </c>
      <c r="AH1963" s="16">
        <f t="shared" si="1654"/>
        <v>0</v>
      </c>
      <c r="AI1963" s="16">
        <f t="shared" si="1654"/>
        <v>0</v>
      </c>
      <c r="AJ1963" s="16">
        <f t="shared" si="1654"/>
        <v>0</v>
      </c>
      <c r="AK1963" s="16">
        <f t="shared" si="1654"/>
        <v>0</v>
      </c>
      <c r="AL1963" s="16">
        <f t="shared" si="1654"/>
        <v>0</v>
      </c>
      <c r="AM1963" s="16">
        <f t="shared" si="1654"/>
        <v>0</v>
      </c>
      <c r="AN1963" s="16">
        <f t="shared" si="1654"/>
        <v>0</v>
      </c>
      <c r="AO1963" s="16">
        <f t="shared" si="1654"/>
        <v>0</v>
      </c>
      <c r="AP1963" s="10"/>
      <c r="AQ1963" s="10"/>
      <c r="AR1963" s="10"/>
      <c r="AS1963" s="10" t="str">
        <f t="shared" ca="1" si="1641"/>
        <v>Johnson &amp; Johnson</v>
      </c>
      <c r="AT1963" s="10"/>
      <c r="AU1963" s="10"/>
      <c r="AV1963" s="10"/>
      <c r="AW1963" s="10"/>
      <c r="AX1963" s="10"/>
      <c r="AY1963" s="10"/>
      <c r="AZ1963" s="10"/>
      <c r="BA1963" s="10"/>
      <c r="BB1963" s="10"/>
      <c r="BC1963" s="10"/>
      <c r="BD1963" s="10"/>
      <c r="BE1963" s="10"/>
      <c r="BF1963" s="10"/>
      <c r="BG1963" s="10"/>
      <c r="BH1963" s="10"/>
      <c r="BI1963" s="10"/>
      <c r="BJ1963" s="10"/>
      <c r="BK1963" s="10"/>
      <c r="BM1963" s="10"/>
    </row>
    <row r="1964" spans="1:65" ht="12.75">
      <c r="A1964" s="9"/>
      <c r="B1964" s="10"/>
      <c r="C1964" s="11"/>
      <c r="D1964" s="12"/>
      <c r="E1964" s="10"/>
      <c r="F1964" s="10"/>
      <c r="G1964" s="10"/>
      <c r="H1964" s="14"/>
      <c r="I1964" s="14"/>
      <c r="J1964" s="14"/>
      <c r="K1964" s="14"/>
      <c r="L1964" s="14"/>
      <c r="M1964" s="15"/>
      <c r="N1964" s="10"/>
      <c r="O1964" s="14"/>
      <c r="P1964" s="14"/>
      <c r="Q1964" s="14"/>
      <c r="R1964" s="14"/>
      <c r="S1964" s="14"/>
      <c r="T1964" s="14"/>
      <c r="U1964" s="14"/>
      <c r="V1964" s="14"/>
      <c r="W1964" s="14"/>
      <c r="X1964" s="14"/>
      <c r="Y1964" s="14"/>
      <c r="Z1964" s="14"/>
      <c r="AA1964" s="16" t="str">
        <f t="shared" ca="1" si="1654"/>
        <v>Johnson &amp; Johnson</v>
      </c>
      <c r="AB1964" s="16">
        <f t="shared" si="1654"/>
        <v>0</v>
      </c>
      <c r="AC1964" s="16">
        <f t="shared" si="1654"/>
        <v>0</v>
      </c>
      <c r="AD1964" s="16">
        <f t="shared" si="1654"/>
        <v>0</v>
      </c>
      <c r="AE1964" s="16">
        <f t="shared" si="1654"/>
        <v>0</v>
      </c>
      <c r="AF1964" s="16">
        <f t="shared" si="1654"/>
        <v>0</v>
      </c>
      <c r="AG1964" s="16">
        <f t="shared" si="1654"/>
        <v>0</v>
      </c>
      <c r="AH1964" s="16">
        <f t="shared" si="1654"/>
        <v>0</v>
      </c>
      <c r="AI1964" s="16">
        <f t="shared" si="1654"/>
        <v>0</v>
      </c>
      <c r="AJ1964" s="16">
        <f t="shared" si="1654"/>
        <v>0</v>
      </c>
      <c r="AK1964" s="16">
        <f t="shared" si="1654"/>
        <v>0</v>
      </c>
      <c r="AL1964" s="16">
        <f t="shared" si="1654"/>
        <v>0</v>
      </c>
      <c r="AM1964" s="16">
        <f t="shared" si="1654"/>
        <v>0</v>
      </c>
      <c r="AN1964" s="16">
        <f t="shared" si="1654"/>
        <v>0</v>
      </c>
      <c r="AO1964" s="16">
        <f t="shared" si="1654"/>
        <v>0</v>
      </c>
      <c r="AP1964" s="10"/>
      <c r="AQ1964" s="10"/>
      <c r="AR1964" s="10"/>
      <c r="AS1964" s="10" t="str">
        <f t="shared" ca="1" si="1641"/>
        <v>Johnson &amp; Johnson</v>
      </c>
      <c r="AT1964" s="10"/>
      <c r="AU1964" s="10"/>
      <c r="AV1964" s="10"/>
      <c r="AW1964" s="10"/>
      <c r="AX1964" s="10"/>
      <c r="AY1964" s="10"/>
      <c r="AZ1964" s="10"/>
      <c r="BA1964" s="10"/>
      <c r="BB1964" s="10"/>
      <c r="BC1964" s="10"/>
      <c r="BD1964" s="10"/>
      <c r="BE1964" s="10"/>
      <c r="BF1964" s="10"/>
      <c r="BG1964" s="10"/>
      <c r="BH1964" s="10"/>
      <c r="BI1964" s="10"/>
      <c r="BJ1964" s="10"/>
      <c r="BK1964" s="10"/>
      <c r="BM1964" s="10"/>
    </row>
    <row r="1965" spans="1:65" ht="12.75">
      <c r="A1965" s="9"/>
      <c r="B1965" s="10"/>
      <c r="C1965" s="11"/>
      <c r="D1965" s="12"/>
      <c r="E1965" s="10"/>
      <c r="F1965" s="10"/>
      <c r="G1965" s="10"/>
      <c r="H1965" s="14"/>
      <c r="I1965" s="14"/>
      <c r="J1965" s="14"/>
      <c r="K1965" s="14"/>
      <c r="L1965" s="14"/>
      <c r="M1965" s="15"/>
      <c r="N1965" s="10"/>
      <c r="O1965" s="14"/>
      <c r="P1965" s="14"/>
      <c r="Q1965" s="14"/>
      <c r="R1965" s="14"/>
      <c r="S1965" s="14"/>
      <c r="T1965" s="14"/>
      <c r="U1965" s="14"/>
      <c r="V1965" s="14"/>
      <c r="W1965" s="14"/>
      <c r="X1965" s="14"/>
      <c r="Y1965" s="14"/>
      <c r="Z1965" s="14"/>
      <c r="AA1965" s="16" t="str">
        <f t="shared" ca="1" si="1654"/>
        <v>Johnson &amp; Johnson</v>
      </c>
      <c r="AB1965" s="16">
        <f t="shared" si="1654"/>
        <v>0</v>
      </c>
      <c r="AC1965" s="16">
        <f t="shared" si="1654"/>
        <v>0</v>
      </c>
      <c r="AD1965" s="16">
        <f t="shared" si="1654"/>
        <v>0</v>
      </c>
      <c r="AE1965" s="16">
        <f t="shared" si="1654"/>
        <v>0</v>
      </c>
      <c r="AF1965" s="16">
        <f t="shared" si="1654"/>
        <v>0</v>
      </c>
      <c r="AG1965" s="16">
        <f t="shared" si="1654"/>
        <v>0</v>
      </c>
      <c r="AH1965" s="16">
        <f t="shared" si="1654"/>
        <v>0</v>
      </c>
      <c r="AI1965" s="16">
        <f t="shared" si="1654"/>
        <v>0</v>
      </c>
      <c r="AJ1965" s="16">
        <f t="shared" si="1654"/>
        <v>0</v>
      </c>
      <c r="AK1965" s="16">
        <f t="shared" si="1654"/>
        <v>0</v>
      </c>
      <c r="AL1965" s="16">
        <f t="shared" si="1654"/>
        <v>0</v>
      </c>
      <c r="AM1965" s="16">
        <f t="shared" si="1654"/>
        <v>0</v>
      </c>
      <c r="AN1965" s="16">
        <f t="shared" si="1654"/>
        <v>0</v>
      </c>
      <c r="AO1965" s="16">
        <f t="shared" si="1654"/>
        <v>0</v>
      </c>
      <c r="AP1965" s="10"/>
      <c r="AQ1965" s="10"/>
      <c r="AR1965" s="10"/>
      <c r="AS1965" s="10" t="str">
        <f t="shared" ca="1" si="1641"/>
        <v>Johnson &amp; Johnson</v>
      </c>
      <c r="AT1965" s="10"/>
      <c r="AU1965" s="10"/>
      <c r="AV1965" s="10"/>
      <c r="AW1965" s="10"/>
      <c r="AX1965" s="10"/>
      <c r="AY1965" s="10"/>
      <c r="AZ1965" s="10"/>
      <c r="BA1965" s="10"/>
      <c r="BB1965" s="10"/>
      <c r="BC1965" s="10"/>
      <c r="BD1965" s="10"/>
      <c r="BE1965" s="10"/>
      <c r="BF1965" s="10"/>
      <c r="BG1965" s="10"/>
      <c r="BH1965" s="10"/>
      <c r="BI1965" s="10"/>
      <c r="BJ1965" s="10"/>
      <c r="BK1965" s="10"/>
      <c r="BM1965" s="10"/>
    </row>
    <row r="1966" spans="1:65" ht="12.75">
      <c r="A1966" s="9"/>
      <c r="B1966" s="10"/>
      <c r="C1966" s="11"/>
      <c r="D1966" s="12"/>
      <c r="E1966" s="10"/>
      <c r="F1966" s="10"/>
      <c r="G1966" s="10"/>
      <c r="H1966" s="14"/>
      <c r="I1966" s="14"/>
      <c r="J1966" s="14"/>
      <c r="K1966" s="14"/>
      <c r="L1966" s="14"/>
      <c r="M1966" s="15"/>
      <c r="N1966" s="10"/>
      <c r="O1966" s="14"/>
      <c r="P1966" s="14"/>
      <c r="Q1966" s="14"/>
      <c r="R1966" s="14"/>
      <c r="S1966" s="14"/>
      <c r="T1966" s="14"/>
      <c r="U1966" s="14"/>
      <c r="V1966" s="14"/>
      <c r="W1966" s="14"/>
      <c r="X1966" s="14"/>
      <c r="Y1966" s="14"/>
      <c r="Z1966" s="14"/>
      <c r="AA1966" s="16" t="str">
        <f t="shared" ca="1" si="1654"/>
        <v>Johnson &amp; Johnson</v>
      </c>
      <c r="AB1966" s="16">
        <f t="shared" si="1654"/>
        <v>0</v>
      </c>
      <c r="AC1966" s="16">
        <f t="shared" si="1654"/>
        <v>0</v>
      </c>
      <c r="AD1966" s="16">
        <f t="shared" si="1654"/>
        <v>0</v>
      </c>
      <c r="AE1966" s="16">
        <f t="shared" si="1654"/>
        <v>0</v>
      </c>
      <c r="AF1966" s="16">
        <f t="shared" si="1654"/>
        <v>0</v>
      </c>
      <c r="AG1966" s="16">
        <f t="shared" si="1654"/>
        <v>0</v>
      </c>
      <c r="AH1966" s="16">
        <f t="shared" si="1654"/>
        <v>0</v>
      </c>
      <c r="AI1966" s="16">
        <f t="shared" si="1654"/>
        <v>0</v>
      </c>
      <c r="AJ1966" s="16">
        <f t="shared" si="1654"/>
        <v>0</v>
      </c>
      <c r="AK1966" s="16">
        <f t="shared" si="1654"/>
        <v>0</v>
      </c>
      <c r="AL1966" s="16">
        <f t="shared" si="1654"/>
        <v>0</v>
      </c>
      <c r="AM1966" s="16">
        <f t="shared" si="1654"/>
        <v>0</v>
      </c>
      <c r="AN1966" s="16">
        <f t="shared" si="1654"/>
        <v>0</v>
      </c>
      <c r="AO1966" s="16">
        <f t="shared" si="1654"/>
        <v>0</v>
      </c>
      <c r="AP1966" s="10"/>
      <c r="AQ1966" s="10"/>
      <c r="AR1966" s="10"/>
      <c r="AS1966" s="10" t="str">
        <f t="shared" ca="1" si="1641"/>
        <v>Johnson &amp; Johnson</v>
      </c>
      <c r="AT1966" s="10"/>
      <c r="AU1966" s="10"/>
      <c r="AV1966" s="10"/>
      <c r="AW1966" s="10"/>
      <c r="AX1966" s="10"/>
      <c r="AY1966" s="10"/>
      <c r="AZ1966" s="10"/>
      <c r="BA1966" s="10"/>
      <c r="BB1966" s="10"/>
      <c r="BC1966" s="10"/>
      <c r="BD1966" s="10"/>
      <c r="BE1966" s="10"/>
      <c r="BF1966" s="10"/>
      <c r="BG1966" s="10"/>
      <c r="BH1966" s="10"/>
      <c r="BI1966" s="10"/>
      <c r="BJ1966" s="10"/>
      <c r="BK1966" s="10"/>
      <c r="BM1966" s="10"/>
    </row>
    <row r="1967" spans="1:65" ht="12.75">
      <c r="A1967" s="9"/>
      <c r="B1967" s="10"/>
      <c r="C1967" s="11"/>
      <c r="D1967" s="12"/>
      <c r="E1967" s="10"/>
      <c r="F1967" s="10"/>
      <c r="G1967" s="10"/>
      <c r="H1967" s="14"/>
      <c r="I1967" s="14"/>
      <c r="J1967" s="14"/>
      <c r="K1967" s="14"/>
      <c r="L1967" s="14"/>
      <c r="M1967" s="15"/>
      <c r="N1967" s="10"/>
      <c r="O1967" s="14"/>
      <c r="P1967" s="14"/>
      <c r="Q1967" s="14"/>
      <c r="R1967" s="14"/>
      <c r="S1967" s="14"/>
      <c r="T1967" s="14"/>
      <c r="U1967" s="14"/>
      <c r="V1967" s="14"/>
      <c r="W1967" s="14"/>
      <c r="X1967" s="14"/>
      <c r="Y1967" s="14"/>
      <c r="Z1967" s="14"/>
      <c r="AA1967" s="16" t="str">
        <f t="shared" ca="1" si="1654"/>
        <v>Johnson &amp; Johnson</v>
      </c>
      <c r="AB1967" s="16">
        <f t="shared" si="1654"/>
        <v>0</v>
      </c>
      <c r="AC1967" s="16">
        <f t="shared" si="1654"/>
        <v>0</v>
      </c>
      <c r="AD1967" s="16">
        <f t="shared" si="1654"/>
        <v>0</v>
      </c>
      <c r="AE1967" s="16">
        <f t="shared" si="1654"/>
        <v>0</v>
      </c>
      <c r="AF1967" s="16">
        <f t="shared" si="1654"/>
        <v>0</v>
      </c>
      <c r="AG1967" s="16">
        <f t="shared" si="1654"/>
        <v>0</v>
      </c>
      <c r="AH1967" s="16">
        <f t="shared" si="1654"/>
        <v>0</v>
      </c>
      <c r="AI1967" s="16">
        <f t="shared" si="1654"/>
        <v>0</v>
      </c>
      <c r="AJ1967" s="16">
        <f t="shared" si="1654"/>
        <v>0</v>
      </c>
      <c r="AK1967" s="16">
        <f t="shared" si="1654"/>
        <v>0</v>
      </c>
      <c r="AL1967" s="16">
        <f t="shared" si="1654"/>
        <v>0</v>
      </c>
      <c r="AM1967" s="16">
        <f t="shared" si="1654"/>
        <v>0</v>
      </c>
      <c r="AN1967" s="16">
        <f t="shared" si="1654"/>
        <v>0</v>
      </c>
      <c r="AO1967" s="16">
        <f t="shared" si="1654"/>
        <v>0</v>
      </c>
      <c r="AP1967" s="10"/>
      <c r="AQ1967" s="10"/>
      <c r="AR1967" s="10"/>
      <c r="AS1967" s="10" t="str">
        <f t="shared" ca="1" si="1641"/>
        <v>Johnson &amp; Johnson</v>
      </c>
      <c r="AT1967" s="10"/>
      <c r="AU1967" s="10"/>
      <c r="AV1967" s="10"/>
      <c r="AW1967" s="10"/>
      <c r="AX1967" s="10"/>
      <c r="AY1967" s="10"/>
      <c r="AZ1967" s="10"/>
      <c r="BA1967" s="10"/>
      <c r="BB1967" s="10"/>
      <c r="BC1967" s="10"/>
      <c r="BD1967" s="10"/>
      <c r="BE1967" s="10"/>
      <c r="BF1967" s="10"/>
      <c r="BG1967" s="10"/>
      <c r="BH1967" s="10"/>
      <c r="BI1967" s="10"/>
      <c r="BJ1967" s="10"/>
      <c r="BK1967" s="10"/>
      <c r="BM1967" s="10"/>
    </row>
    <row r="1968" spans="1:65" ht="12.75">
      <c r="A1968" s="9"/>
      <c r="B1968" s="10"/>
      <c r="C1968" s="11"/>
      <c r="D1968" s="12"/>
      <c r="E1968" s="10"/>
      <c r="F1968" s="10"/>
      <c r="G1968" s="10"/>
      <c r="H1968" s="14"/>
      <c r="I1968" s="14"/>
      <c r="J1968" s="14"/>
      <c r="K1968" s="14"/>
      <c r="L1968" s="14"/>
      <c r="M1968" s="15"/>
      <c r="N1968" s="10"/>
      <c r="O1968" s="14"/>
      <c r="P1968" s="14"/>
      <c r="Q1968" s="14"/>
      <c r="R1968" s="14"/>
      <c r="S1968" s="14"/>
      <c r="T1968" s="14"/>
      <c r="U1968" s="14"/>
      <c r="V1968" s="14"/>
      <c r="W1968" s="14"/>
      <c r="X1968" s="14"/>
      <c r="Y1968" s="14"/>
      <c r="Z1968" s="14"/>
      <c r="AA1968" s="16" t="str">
        <f t="shared" ca="1" si="1654"/>
        <v>Johnson &amp; Johnson</v>
      </c>
      <c r="AB1968" s="16">
        <f t="shared" si="1654"/>
        <v>0</v>
      </c>
      <c r="AC1968" s="16">
        <f t="shared" si="1654"/>
        <v>0</v>
      </c>
      <c r="AD1968" s="16">
        <f t="shared" si="1654"/>
        <v>0</v>
      </c>
      <c r="AE1968" s="16">
        <f t="shared" si="1654"/>
        <v>0</v>
      </c>
      <c r="AF1968" s="16">
        <f t="shared" si="1654"/>
        <v>0</v>
      </c>
      <c r="AG1968" s="16">
        <f t="shared" si="1654"/>
        <v>0</v>
      </c>
      <c r="AH1968" s="16">
        <f t="shared" si="1654"/>
        <v>0</v>
      </c>
      <c r="AI1968" s="16">
        <f t="shared" si="1654"/>
        <v>0</v>
      </c>
      <c r="AJ1968" s="16">
        <f t="shared" si="1654"/>
        <v>0</v>
      </c>
      <c r="AK1968" s="16">
        <f t="shared" si="1654"/>
        <v>0</v>
      </c>
      <c r="AL1968" s="16">
        <f t="shared" si="1654"/>
        <v>0</v>
      </c>
      <c r="AM1968" s="16">
        <f t="shared" si="1654"/>
        <v>0</v>
      </c>
      <c r="AN1968" s="16">
        <f t="shared" si="1654"/>
        <v>0</v>
      </c>
      <c r="AO1968" s="16">
        <f t="shared" si="1654"/>
        <v>0</v>
      </c>
      <c r="AP1968" s="10"/>
      <c r="AQ1968" s="10"/>
      <c r="AR1968" s="10"/>
      <c r="AS1968" s="10" t="str">
        <f t="shared" ca="1" si="1641"/>
        <v>Johnson &amp; Johnson</v>
      </c>
      <c r="AT1968" s="10"/>
      <c r="AU1968" s="10"/>
      <c r="AV1968" s="10"/>
      <c r="AW1968" s="10"/>
      <c r="AX1968" s="10"/>
      <c r="AY1968" s="10"/>
      <c r="AZ1968" s="10"/>
      <c r="BA1968" s="10"/>
      <c r="BB1968" s="10"/>
      <c r="BC1968" s="10"/>
      <c r="BD1968" s="10"/>
      <c r="BE1968" s="10"/>
      <c r="BF1968" s="10"/>
      <c r="BG1968" s="10"/>
      <c r="BH1968" s="10"/>
      <c r="BI1968" s="10"/>
      <c r="BJ1968" s="10"/>
      <c r="BK1968" s="10"/>
      <c r="BM1968" s="10"/>
    </row>
    <row r="1969" spans="1:65" ht="12.75">
      <c r="A1969" s="9"/>
      <c r="B1969" s="10"/>
      <c r="C1969" s="11"/>
      <c r="D1969" s="12"/>
      <c r="E1969" s="10"/>
      <c r="F1969" s="10"/>
      <c r="G1969" s="10"/>
      <c r="H1969" s="14"/>
      <c r="I1969" s="14"/>
      <c r="J1969" s="14"/>
      <c r="K1969" s="14"/>
      <c r="L1969" s="14"/>
      <c r="M1969" s="15"/>
      <c r="N1969" s="10"/>
      <c r="O1969" s="14"/>
      <c r="P1969" s="14"/>
      <c r="Q1969" s="14"/>
      <c r="R1969" s="14"/>
      <c r="S1969" s="14"/>
      <c r="T1969" s="14"/>
      <c r="U1969" s="14"/>
      <c r="V1969" s="14"/>
      <c r="W1969" s="14"/>
      <c r="X1969" s="14"/>
      <c r="Y1969" s="14"/>
      <c r="Z1969" s="14"/>
      <c r="AA1969" s="16" t="str">
        <f t="shared" ca="1" si="1654"/>
        <v>Johnson &amp; Johnson</v>
      </c>
      <c r="AB1969" s="16">
        <f t="shared" si="1654"/>
        <v>0</v>
      </c>
      <c r="AC1969" s="16">
        <f t="shared" si="1654"/>
        <v>0</v>
      </c>
      <c r="AD1969" s="16">
        <f t="shared" si="1654"/>
        <v>0</v>
      </c>
      <c r="AE1969" s="16">
        <f t="shared" si="1654"/>
        <v>0</v>
      </c>
      <c r="AF1969" s="16">
        <f t="shared" si="1654"/>
        <v>0</v>
      </c>
      <c r="AG1969" s="16">
        <f t="shared" si="1654"/>
        <v>0</v>
      </c>
      <c r="AH1969" s="16">
        <f t="shared" si="1654"/>
        <v>0</v>
      </c>
      <c r="AI1969" s="16">
        <f t="shared" si="1654"/>
        <v>0</v>
      </c>
      <c r="AJ1969" s="16">
        <f t="shared" si="1654"/>
        <v>0</v>
      </c>
      <c r="AK1969" s="16">
        <f t="shared" si="1654"/>
        <v>0</v>
      </c>
      <c r="AL1969" s="16">
        <f t="shared" si="1654"/>
        <v>0</v>
      </c>
      <c r="AM1969" s="16">
        <f t="shared" si="1654"/>
        <v>0</v>
      </c>
      <c r="AN1969" s="16">
        <f t="shared" si="1654"/>
        <v>0</v>
      </c>
      <c r="AO1969" s="16">
        <f t="shared" si="1654"/>
        <v>0</v>
      </c>
      <c r="AP1969" s="10"/>
      <c r="AQ1969" s="10"/>
      <c r="AR1969" s="10"/>
      <c r="AS1969" s="10" t="str">
        <f t="shared" ca="1" si="1641"/>
        <v>Johnson &amp; Johnson</v>
      </c>
      <c r="AT1969" s="10"/>
      <c r="AU1969" s="10"/>
      <c r="AV1969" s="10"/>
      <c r="AW1969" s="10"/>
      <c r="AX1969" s="10"/>
      <c r="AY1969" s="10"/>
      <c r="AZ1969" s="10"/>
      <c r="BA1969" s="10"/>
      <c r="BB1969" s="10"/>
      <c r="BC1969" s="10"/>
      <c r="BD1969" s="10"/>
      <c r="BE1969" s="10"/>
      <c r="BF1969" s="10"/>
      <c r="BG1969" s="10"/>
      <c r="BH1969" s="10"/>
      <c r="BI1969" s="10"/>
      <c r="BJ1969" s="10"/>
      <c r="BK1969" s="10"/>
      <c r="BM1969" s="10"/>
    </row>
    <row r="1970" spans="1:65" ht="12.75">
      <c r="A1970" s="9"/>
      <c r="B1970" s="10"/>
      <c r="C1970" s="11"/>
      <c r="D1970" s="12"/>
      <c r="E1970" s="10"/>
      <c r="F1970" s="10"/>
      <c r="G1970" s="10"/>
      <c r="H1970" s="14"/>
      <c r="I1970" s="14"/>
      <c r="J1970" s="14"/>
      <c r="K1970" s="14"/>
      <c r="L1970" s="14"/>
      <c r="M1970" s="15"/>
      <c r="N1970" s="10"/>
      <c r="O1970" s="14"/>
      <c r="P1970" s="14"/>
      <c r="Q1970" s="14"/>
      <c r="R1970" s="14"/>
      <c r="S1970" s="14"/>
      <c r="T1970" s="14"/>
      <c r="U1970" s="14"/>
      <c r="V1970" s="14"/>
      <c r="W1970" s="14"/>
      <c r="X1970" s="14"/>
      <c r="Y1970" s="14"/>
      <c r="Z1970" s="14"/>
      <c r="AA1970" s="16" t="str">
        <f t="shared" ca="1" si="1654"/>
        <v>Johnson &amp; Johnson</v>
      </c>
      <c r="AB1970" s="16">
        <f t="shared" si="1654"/>
        <v>0</v>
      </c>
      <c r="AC1970" s="16">
        <f t="shared" si="1654"/>
        <v>0</v>
      </c>
      <c r="AD1970" s="16">
        <f t="shared" si="1654"/>
        <v>0</v>
      </c>
      <c r="AE1970" s="16">
        <f t="shared" si="1654"/>
        <v>0</v>
      </c>
      <c r="AF1970" s="16">
        <f t="shared" si="1654"/>
        <v>0</v>
      </c>
      <c r="AG1970" s="16">
        <f t="shared" si="1654"/>
        <v>0</v>
      </c>
      <c r="AH1970" s="16">
        <f t="shared" si="1654"/>
        <v>0</v>
      </c>
      <c r="AI1970" s="16">
        <f t="shared" si="1654"/>
        <v>0</v>
      </c>
      <c r="AJ1970" s="16">
        <f t="shared" si="1654"/>
        <v>0</v>
      </c>
      <c r="AK1970" s="16">
        <f t="shared" si="1654"/>
        <v>0</v>
      </c>
      <c r="AL1970" s="16">
        <f t="shared" si="1654"/>
        <v>0</v>
      </c>
      <c r="AM1970" s="16">
        <f t="shared" si="1654"/>
        <v>0</v>
      </c>
      <c r="AN1970" s="16">
        <f t="shared" si="1654"/>
        <v>0</v>
      </c>
      <c r="AO1970" s="16">
        <f t="shared" si="1654"/>
        <v>0</v>
      </c>
      <c r="AP1970" s="10"/>
      <c r="AQ1970" s="10"/>
      <c r="AR1970" s="10"/>
      <c r="AS1970" s="10" t="str">
        <f t="shared" ca="1" si="1641"/>
        <v>Johnson &amp; Johnson</v>
      </c>
      <c r="AT1970" s="10"/>
      <c r="AU1970" s="10"/>
      <c r="AV1970" s="10"/>
      <c r="AW1970" s="10"/>
      <c r="AX1970" s="10"/>
      <c r="AY1970" s="10"/>
      <c r="AZ1970" s="10"/>
      <c r="BA1970" s="10"/>
      <c r="BB1970" s="10"/>
      <c r="BC1970" s="10"/>
      <c r="BD1970" s="10"/>
      <c r="BE1970" s="10"/>
      <c r="BF1970" s="10"/>
      <c r="BG1970" s="10"/>
      <c r="BH1970" s="10"/>
      <c r="BI1970" s="10"/>
      <c r="BJ1970" s="10"/>
      <c r="BK1970" s="10"/>
      <c r="BM1970" s="10"/>
    </row>
    <row r="1971" spans="1:65" ht="12.75">
      <c r="A1971" s="9"/>
      <c r="B1971" s="10"/>
      <c r="C1971" s="11"/>
      <c r="D1971" s="12"/>
      <c r="E1971" s="10"/>
      <c r="F1971" s="10"/>
      <c r="G1971" s="10"/>
      <c r="H1971" s="14"/>
      <c r="I1971" s="14"/>
      <c r="J1971" s="14"/>
      <c r="K1971" s="14"/>
      <c r="L1971" s="14"/>
      <c r="M1971" s="15"/>
      <c r="N1971" s="10"/>
      <c r="O1971" s="14"/>
      <c r="P1971" s="14"/>
      <c r="Q1971" s="14"/>
      <c r="R1971" s="14"/>
      <c r="S1971" s="14"/>
      <c r="T1971" s="14"/>
      <c r="U1971" s="14"/>
      <c r="V1971" s="14"/>
      <c r="W1971" s="14"/>
      <c r="X1971" s="14"/>
      <c r="Y1971" s="14"/>
      <c r="Z1971" s="14"/>
      <c r="AA1971" s="16" t="str">
        <f t="shared" ca="1" si="1654"/>
        <v>Johnson &amp; Johnson</v>
      </c>
      <c r="AB1971" s="16">
        <f t="shared" si="1654"/>
        <v>0</v>
      </c>
      <c r="AC1971" s="16">
        <f t="shared" si="1654"/>
        <v>0</v>
      </c>
      <c r="AD1971" s="16">
        <f t="shared" si="1654"/>
        <v>0</v>
      </c>
      <c r="AE1971" s="16">
        <f t="shared" si="1654"/>
        <v>0</v>
      </c>
      <c r="AF1971" s="16">
        <f t="shared" si="1654"/>
        <v>0</v>
      </c>
      <c r="AG1971" s="16">
        <f t="shared" si="1654"/>
        <v>0</v>
      </c>
      <c r="AH1971" s="16">
        <f t="shared" si="1654"/>
        <v>0</v>
      </c>
      <c r="AI1971" s="16">
        <f t="shared" si="1654"/>
        <v>0</v>
      </c>
      <c r="AJ1971" s="16">
        <f t="shared" si="1654"/>
        <v>0</v>
      </c>
      <c r="AK1971" s="16">
        <f t="shared" si="1654"/>
        <v>0</v>
      </c>
      <c r="AL1971" s="16">
        <f t="shared" si="1654"/>
        <v>0</v>
      </c>
      <c r="AM1971" s="16">
        <f t="shared" si="1654"/>
        <v>0</v>
      </c>
      <c r="AN1971" s="16">
        <f t="shared" si="1654"/>
        <v>0</v>
      </c>
      <c r="AO1971" s="16">
        <f t="shared" si="1654"/>
        <v>0</v>
      </c>
      <c r="AP1971" s="10"/>
      <c r="AQ1971" s="10"/>
      <c r="AR1971" s="10"/>
      <c r="AS1971" s="10" t="str">
        <f t="shared" ca="1" si="1641"/>
        <v>Johnson &amp; Johnson</v>
      </c>
      <c r="AT1971" s="10"/>
      <c r="AU1971" s="10"/>
      <c r="AV1971" s="10"/>
      <c r="AW1971" s="10"/>
      <c r="AX1971" s="10"/>
      <c r="AY1971" s="10"/>
      <c r="AZ1971" s="10"/>
      <c r="BA1971" s="10"/>
      <c r="BB1971" s="10"/>
      <c r="BC1971" s="10"/>
      <c r="BD1971" s="10"/>
      <c r="BE1971" s="10"/>
      <c r="BF1971" s="10"/>
      <c r="BG1971" s="10"/>
      <c r="BH1971" s="10"/>
      <c r="BI1971" s="10"/>
      <c r="BJ1971" s="10"/>
      <c r="BK1971" s="10"/>
      <c r="BM1971" s="10"/>
    </row>
    <row r="1972" spans="1:65" ht="12.75">
      <c r="A1972" s="9"/>
      <c r="B1972" s="10"/>
      <c r="C1972" s="11"/>
      <c r="D1972" s="12"/>
      <c r="E1972" s="10"/>
      <c r="F1972" s="10"/>
      <c r="G1972" s="10"/>
      <c r="H1972" s="14"/>
      <c r="I1972" s="14"/>
      <c r="J1972" s="14"/>
      <c r="K1972" s="14"/>
      <c r="L1972" s="14"/>
      <c r="M1972" s="15"/>
      <c r="N1972" s="10"/>
      <c r="O1972" s="14"/>
      <c r="P1972" s="14"/>
      <c r="Q1972" s="14"/>
      <c r="R1972" s="14"/>
      <c r="S1972" s="14"/>
      <c r="T1972" s="14"/>
      <c r="U1972" s="14"/>
      <c r="V1972" s="14"/>
      <c r="W1972" s="14"/>
      <c r="X1972" s="14"/>
      <c r="Y1972" s="14"/>
      <c r="Z1972" s="14"/>
      <c r="AA1972" s="16" t="str">
        <f t="shared" ca="1" si="1654"/>
        <v>Johnson &amp; Johnson</v>
      </c>
      <c r="AB1972" s="16">
        <f t="shared" si="1654"/>
        <v>0</v>
      </c>
      <c r="AC1972" s="16">
        <f t="shared" si="1654"/>
        <v>0</v>
      </c>
      <c r="AD1972" s="16">
        <f t="shared" si="1654"/>
        <v>0</v>
      </c>
      <c r="AE1972" s="16">
        <f t="shared" si="1654"/>
        <v>0</v>
      </c>
      <c r="AF1972" s="16">
        <f t="shared" si="1654"/>
        <v>0</v>
      </c>
      <c r="AG1972" s="16">
        <f t="shared" si="1654"/>
        <v>0</v>
      </c>
      <c r="AH1972" s="16">
        <f t="shared" si="1654"/>
        <v>0</v>
      </c>
      <c r="AI1972" s="16">
        <f t="shared" si="1654"/>
        <v>0</v>
      </c>
      <c r="AJ1972" s="16">
        <f t="shared" si="1654"/>
        <v>0</v>
      </c>
      <c r="AK1972" s="16">
        <f t="shared" si="1654"/>
        <v>0</v>
      </c>
      <c r="AL1972" s="16">
        <f t="shared" si="1654"/>
        <v>0</v>
      </c>
      <c r="AM1972" s="16">
        <f t="shared" si="1654"/>
        <v>0</v>
      </c>
      <c r="AN1972" s="16">
        <f t="shared" si="1654"/>
        <v>0</v>
      </c>
      <c r="AO1972" s="16">
        <f t="shared" si="1654"/>
        <v>0</v>
      </c>
      <c r="AP1972" s="10"/>
      <c r="AQ1972" s="10"/>
      <c r="AR1972" s="10"/>
      <c r="AS1972" s="10" t="str">
        <f t="shared" ca="1" si="1641"/>
        <v>Johnson &amp; Johnson</v>
      </c>
      <c r="AT1972" s="10"/>
      <c r="AU1972" s="10"/>
      <c r="AV1972" s="10"/>
      <c r="AW1972" s="10"/>
      <c r="AX1972" s="10"/>
      <c r="AY1972" s="10"/>
      <c r="AZ1972" s="10"/>
      <c r="BA1972" s="10"/>
      <c r="BB1972" s="10"/>
      <c r="BC1972" s="10"/>
      <c r="BD1972" s="10"/>
      <c r="BE1972" s="10"/>
      <c r="BF1972" s="10"/>
      <c r="BG1972" s="10"/>
      <c r="BH1972" s="10"/>
      <c r="BI1972" s="10"/>
      <c r="BJ1972" s="10"/>
      <c r="BK1972" s="10"/>
      <c r="BM1972" s="10"/>
    </row>
    <row r="1973" spans="1:65" ht="12.75">
      <c r="A1973" s="9"/>
      <c r="B1973" s="10"/>
      <c r="C1973" s="11"/>
      <c r="D1973" s="12"/>
      <c r="E1973" s="10"/>
      <c r="F1973" s="10"/>
      <c r="G1973" s="10"/>
      <c r="H1973" s="14"/>
      <c r="I1973" s="14"/>
      <c r="J1973" s="14"/>
      <c r="K1973" s="14"/>
      <c r="L1973" s="14"/>
      <c r="M1973" s="15"/>
      <c r="N1973" s="10"/>
      <c r="O1973" s="14"/>
      <c r="P1973" s="14"/>
      <c r="Q1973" s="14"/>
      <c r="R1973" s="14"/>
      <c r="S1973" s="14"/>
      <c r="T1973" s="14"/>
      <c r="U1973" s="14"/>
      <c r="V1973" s="14"/>
      <c r="W1973" s="14"/>
      <c r="X1973" s="14"/>
      <c r="Y1973" s="14"/>
      <c r="Z1973" s="14"/>
      <c r="AA1973" s="16" t="str">
        <f t="shared" ca="1" si="1654"/>
        <v>Johnson &amp; Johnson</v>
      </c>
      <c r="AB1973" s="16">
        <f t="shared" si="1654"/>
        <v>0</v>
      </c>
      <c r="AC1973" s="16">
        <f t="shared" si="1654"/>
        <v>0</v>
      </c>
      <c r="AD1973" s="16">
        <f t="shared" si="1654"/>
        <v>0</v>
      </c>
      <c r="AE1973" s="16">
        <f t="shared" si="1654"/>
        <v>0</v>
      </c>
      <c r="AF1973" s="16">
        <f t="shared" si="1654"/>
        <v>0</v>
      </c>
      <c r="AG1973" s="16">
        <f t="shared" si="1654"/>
        <v>0</v>
      </c>
      <c r="AH1973" s="16">
        <f t="shared" si="1654"/>
        <v>0</v>
      </c>
      <c r="AI1973" s="16">
        <f t="shared" si="1654"/>
        <v>0</v>
      </c>
      <c r="AJ1973" s="16">
        <f t="shared" si="1654"/>
        <v>0</v>
      </c>
      <c r="AK1973" s="16">
        <f t="shared" si="1654"/>
        <v>0</v>
      </c>
      <c r="AL1973" s="16">
        <f t="shared" si="1654"/>
        <v>0</v>
      </c>
      <c r="AM1973" s="16">
        <f t="shared" si="1654"/>
        <v>0</v>
      </c>
      <c r="AN1973" s="16">
        <f t="shared" si="1654"/>
        <v>0</v>
      </c>
      <c r="AO1973" s="16">
        <f t="shared" si="1654"/>
        <v>0</v>
      </c>
      <c r="AP1973" s="10"/>
      <c r="AQ1973" s="10"/>
      <c r="AR1973" s="10"/>
      <c r="AS1973" s="10" t="str">
        <f t="shared" ca="1" si="1641"/>
        <v>Johnson &amp; Johnson</v>
      </c>
      <c r="AT1973" s="10"/>
      <c r="AU1973" s="10"/>
      <c r="AV1973" s="10"/>
      <c r="AW1973" s="10"/>
      <c r="AX1973" s="10"/>
      <c r="AY1973" s="10"/>
      <c r="AZ1973" s="10"/>
      <c r="BA1973" s="10"/>
      <c r="BB1973" s="10"/>
      <c r="BC1973" s="10"/>
      <c r="BD1973" s="10"/>
      <c r="BE1973" s="10"/>
      <c r="BF1973" s="10"/>
      <c r="BG1973" s="10"/>
      <c r="BH1973" s="10"/>
      <c r="BI1973" s="10"/>
      <c r="BJ1973" s="10"/>
      <c r="BK1973" s="10"/>
      <c r="BM1973" s="10"/>
    </row>
    <row r="1974" spans="1:65" ht="12.75">
      <c r="A1974" s="9"/>
      <c r="B1974" s="10"/>
      <c r="C1974" s="11"/>
      <c r="D1974" s="12"/>
      <c r="E1974" s="10"/>
      <c r="F1974" s="10"/>
      <c r="G1974" s="10"/>
      <c r="H1974" s="14"/>
      <c r="I1974" s="14"/>
      <c r="J1974" s="14"/>
      <c r="K1974" s="14"/>
      <c r="L1974" s="14"/>
      <c r="M1974" s="15"/>
      <c r="N1974" s="10"/>
      <c r="O1974" s="14"/>
      <c r="P1974" s="14"/>
      <c r="Q1974" s="14"/>
      <c r="R1974" s="14"/>
      <c r="S1974" s="14"/>
      <c r="T1974" s="14"/>
      <c r="U1974" s="14"/>
      <c r="V1974" s="14"/>
      <c r="W1974" s="14"/>
      <c r="X1974" s="14"/>
      <c r="Y1974" s="14"/>
      <c r="Z1974" s="14"/>
      <c r="AA1974" s="16" t="str">
        <f t="shared" ca="1" si="1654"/>
        <v>Johnson &amp; Johnson</v>
      </c>
      <c r="AB1974" s="16">
        <f t="shared" si="1654"/>
        <v>0</v>
      </c>
      <c r="AC1974" s="16">
        <f t="shared" si="1654"/>
        <v>0</v>
      </c>
      <c r="AD1974" s="16">
        <f t="shared" si="1654"/>
        <v>0</v>
      </c>
      <c r="AE1974" s="16">
        <f t="shared" si="1654"/>
        <v>0</v>
      </c>
      <c r="AF1974" s="16">
        <f t="shared" si="1654"/>
        <v>0</v>
      </c>
      <c r="AG1974" s="16">
        <f t="shared" si="1654"/>
        <v>0</v>
      </c>
      <c r="AH1974" s="16">
        <f t="shared" si="1654"/>
        <v>0</v>
      </c>
      <c r="AI1974" s="16">
        <f t="shared" si="1654"/>
        <v>0</v>
      </c>
      <c r="AJ1974" s="16">
        <f t="shared" si="1654"/>
        <v>0</v>
      </c>
      <c r="AK1974" s="16">
        <f t="shared" si="1654"/>
        <v>0</v>
      </c>
      <c r="AL1974" s="16">
        <f t="shared" si="1654"/>
        <v>0</v>
      </c>
      <c r="AM1974" s="16">
        <f t="shared" si="1654"/>
        <v>0</v>
      </c>
      <c r="AN1974" s="16">
        <f t="shared" si="1654"/>
        <v>0</v>
      </c>
      <c r="AO1974" s="16">
        <f t="shared" si="1654"/>
        <v>0</v>
      </c>
      <c r="AP1974" s="10"/>
      <c r="AQ1974" s="10"/>
      <c r="AR1974" s="10"/>
      <c r="AS1974" s="10" t="str">
        <f t="shared" ca="1" si="1641"/>
        <v>Johnson &amp; Johnson</v>
      </c>
      <c r="AT1974" s="10"/>
      <c r="AU1974" s="10"/>
      <c r="AV1974" s="10"/>
      <c r="AW1974" s="10"/>
      <c r="AX1974" s="10"/>
      <c r="AY1974" s="10"/>
      <c r="AZ1974" s="10"/>
      <c r="BA1974" s="10"/>
      <c r="BB1974" s="10"/>
      <c r="BC1974" s="10"/>
      <c r="BD1974" s="10"/>
      <c r="BE1974" s="10"/>
      <c r="BF1974" s="10"/>
      <c r="BG1974" s="10"/>
      <c r="BH1974" s="10"/>
      <c r="BI1974" s="10"/>
      <c r="BJ1974" s="10"/>
      <c r="BK1974" s="10"/>
      <c r="BM1974" s="10"/>
    </row>
    <row r="1975" spans="1:65" ht="12.75">
      <c r="A1975" s="9"/>
      <c r="B1975" s="10"/>
      <c r="C1975" s="11"/>
      <c r="D1975" s="12"/>
      <c r="E1975" s="10"/>
      <c r="F1975" s="10"/>
      <c r="G1975" s="10"/>
      <c r="H1975" s="14"/>
      <c r="I1975" s="14"/>
      <c r="J1975" s="14"/>
      <c r="K1975" s="14"/>
      <c r="L1975" s="14"/>
      <c r="M1975" s="15"/>
      <c r="N1975" s="10"/>
      <c r="O1975" s="14"/>
      <c r="P1975" s="14"/>
      <c r="Q1975" s="14"/>
      <c r="R1975" s="14"/>
      <c r="S1975" s="14"/>
      <c r="T1975" s="14"/>
      <c r="U1975" s="14"/>
      <c r="V1975" s="14"/>
      <c r="W1975" s="14"/>
      <c r="X1975" s="14"/>
      <c r="Y1975" s="14"/>
      <c r="Z1975" s="14"/>
      <c r="AA1975" s="16" t="str">
        <f t="shared" ca="1" si="1654"/>
        <v>Johnson &amp; Johnson</v>
      </c>
      <c r="AB1975" s="16">
        <f t="shared" si="1654"/>
        <v>0</v>
      </c>
      <c r="AC1975" s="16">
        <f t="shared" si="1654"/>
        <v>0</v>
      </c>
      <c r="AD1975" s="16">
        <f t="shared" si="1654"/>
        <v>0</v>
      </c>
      <c r="AE1975" s="16">
        <f t="shared" si="1654"/>
        <v>0</v>
      </c>
      <c r="AF1975" s="16">
        <f t="shared" si="1654"/>
        <v>0</v>
      </c>
      <c r="AG1975" s="16">
        <f t="shared" si="1654"/>
        <v>0</v>
      </c>
      <c r="AH1975" s="16">
        <f t="shared" si="1654"/>
        <v>0</v>
      </c>
      <c r="AI1975" s="16">
        <f t="shared" si="1654"/>
        <v>0</v>
      </c>
      <c r="AJ1975" s="16">
        <f t="shared" si="1654"/>
        <v>0</v>
      </c>
      <c r="AK1975" s="16">
        <f t="shared" si="1654"/>
        <v>0</v>
      </c>
      <c r="AL1975" s="16">
        <f t="shared" si="1654"/>
        <v>0</v>
      </c>
      <c r="AM1975" s="16">
        <f t="shared" si="1654"/>
        <v>0</v>
      </c>
      <c r="AN1975" s="16">
        <f t="shared" si="1654"/>
        <v>0</v>
      </c>
      <c r="AO1975" s="16">
        <f t="shared" si="1654"/>
        <v>0</v>
      </c>
      <c r="AP1975" s="10"/>
      <c r="AQ1975" s="10"/>
      <c r="AR1975" s="10"/>
      <c r="AS1975" s="10" t="str">
        <f t="shared" ca="1" si="1641"/>
        <v>Johnson &amp; Johnson</v>
      </c>
      <c r="AT1975" s="10"/>
      <c r="AU1975" s="10"/>
      <c r="AV1975" s="10"/>
      <c r="AW1975" s="10"/>
      <c r="AX1975" s="10"/>
      <c r="AY1975" s="10"/>
      <c r="AZ1975" s="10"/>
      <c r="BA1975" s="10"/>
      <c r="BB1975" s="10"/>
      <c r="BC1975" s="10"/>
      <c r="BD1975" s="10"/>
      <c r="BE1975" s="10"/>
      <c r="BF1975" s="10"/>
      <c r="BG1975" s="10"/>
      <c r="BH1975" s="10"/>
      <c r="BI1975" s="10"/>
      <c r="BJ1975" s="10"/>
      <c r="BK1975" s="10"/>
      <c r="BM1975" s="10"/>
    </row>
    <row r="1976" spans="1:65" ht="12.75">
      <c r="A1976" s="9"/>
      <c r="B1976" s="10"/>
      <c r="C1976" s="11"/>
      <c r="D1976" s="12"/>
      <c r="E1976" s="10"/>
      <c r="F1976" s="10"/>
      <c r="G1976" s="10"/>
      <c r="H1976" s="14"/>
      <c r="I1976" s="14"/>
      <c r="J1976" s="14"/>
      <c r="K1976" s="14"/>
      <c r="L1976" s="14"/>
      <c r="M1976" s="15"/>
      <c r="N1976" s="10"/>
      <c r="O1976" s="14"/>
      <c r="P1976" s="14"/>
      <c r="Q1976" s="14"/>
      <c r="R1976" s="14"/>
      <c r="S1976" s="14"/>
      <c r="T1976" s="14"/>
      <c r="U1976" s="14"/>
      <c r="V1976" s="14"/>
      <c r="W1976" s="14"/>
      <c r="X1976" s="14"/>
      <c r="Y1976" s="14"/>
      <c r="Z1976" s="14"/>
      <c r="AA1976" s="16" t="str">
        <f t="shared" ca="1" si="1654"/>
        <v>Johnson &amp; Johnson</v>
      </c>
      <c r="AB1976" s="16">
        <f t="shared" si="1654"/>
        <v>0</v>
      </c>
      <c r="AC1976" s="16">
        <f t="shared" si="1654"/>
        <v>0</v>
      </c>
      <c r="AD1976" s="16">
        <f t="shared" si="1654"/>
        <v>0</v>
      </c>
      <c r="AE1976" s="16">
        <f t="shared" si="1654"/>
        <v>0</v>
      </c>
      <c r="AF1976" s="16">
        <f t="shared" si="1654"/>
        <v>0</v>
      </c>
      <c r="AG1976" s="16">
        <f t="shared" si="1654"/>
        <v>0</v>
      </c>
      <c r="AH1976" s="16">
        <f t="shared" si="1654"/>
        <v>0</v>
      </c>
      <c r="AI1976" s="16">
        <f t="shared" si="1654"/>
        <v>0</v>
      </c>
      <c r="AJ1976" s="16">
        <f t="shared" si="1654"/>
        <v>0</v>
      </c>
      <c r="AK1976" s="16">
        <f t="shared" si="1654"/>
        <v>0</v>
      </c>
      <c r="AL1976" s="16">
        <f t="shared" si="1654"/>
        <v>0</v>
      </c>
      <c r="AM1976" s="16">
        <f t="shared" si="1654"/>
        <v>0</v>
      </c>
      <c r="AN1976" s="16">
        <f t="shared" si="1654"/>
        <v>0</v>
      </c>
      <c r="AO1976" s="16">
        <f t="shared" si="1654"/>
        <v>0</v>
      </c>
      <c r="AP1976" s="10"/>
      <c r="AQ1976" s="10"/>
      <c r="AR1976" s="10"/>
      <c r="AS1976" s="10" t="str">
        <f t="shared" ca="1" si="1641"/>
        <v>Johnson &amp; Johnson</v>
      </c>
      <c r="AT1976" s="10"/>
      <c r="AU1976" s="10"/>
      <c r="AV1976" s="10"/>
      <c r="AW1976" s="10"/>
      <c r="AX1976" s="10"/>
      <c r="AY1976" s="10"/>
      <c r="AZ1976" s="10"/>
      <c r="BA1976" s="10"/>
      <c r="BB1976" s="10"/>
      <c r="BC1976" s="10"/>
      <c r="BD1976" s="10"/>
      <c r="BE1976" s="10"/>
      <c r="BF1976" s="10"/>
      <c r="BG1976" s="10"/>
      <c r="BH1976" s="10"/>
      <c r="BI1976" s="10"/>
      <c r="BJ1976" s="10"/>
      <c r="BK1976" s="10"/>
      <c r="BM1976" s="10"/>
    </row>
    <row r="1977" spans="1:65" ht="12.75">
      <c r="A1977" s="9"/>
      <c r="B1977" s="10"/>
      <c r="C1977" s="11"/>
      <c r="D1977" s="12"/>
      <c r="E1977" s="10"/>
      <c r="F1977" s="10"/>
      <c r="G1977" s="10"/>
      <c r="H1977" s="14"/>
      <c r="I1977" s="14"/>
      <c r="J1977" s="14"/>
      <c r="K1977" s="14"/>
      <c r="L1977" s="14"/>
      <c r="M1977" s="15"/>
      <c r="N1977" s="10"/>
      <c r="O1977" s="14"/>
      <c r="P1977" s="14"/>
      <c r="Q1977" s="14"/>
      <c r="R1977" s="14"/>
      <c r="S1977" s="14"/>
      <c r="T1977" s="14"/>
      <c r="U1977" s="14"/>
      <c r="V1977" s="14"/>
      <c r="W1977" s="14"/>
      <c r="X1977" s="14"/>
      <c r="Y1977" s="14"/>
      <c r="Z1977" s="14"/>
      <c r="AA1977" s="16" t="str">
        <f t="shared" ref="AA1977:AO1992" ca="1" si="1655">AS1977</f>
        <v>Johnson &amp; Johnson</v>
      </c>
      <c r="AB1977" s="16">
        <f t="shared" si="1655"/>
        <v>0</v>
      </c>
      <c r="AC1977" s="16">
        <f t="shared" si="1655"/>
        <v>0</v>
      </c>
      <c r="AD1977" s="16">
        <f t="shared" si="1655"/>
        <v>0</v>
      </c>
      <c r="AE1977" s="16">
        <f t="shared" si="1655"/>
        <v>0</v>
      </c>
      <c r="AF1977" s="16">
        <f t="shared" si="1655"/>
        <v>0</v>
      </c>
      <c r="AG1977" s="16">
        <f t="shared" si="1655"/>
        <v>0</v>
      </c>
      <c r="AH1977" s="16">
        <f t="shared" si="1655"/>
        <v>0</v>
      </c>
      <c r="AI1977" s="16">
        <f t="shared" si="1655"/>
        <v>0</v>
      </c>
      <c r="AJ1977" s="16">
        <f t="shared" si="1655"/>
        <v>0</v>
      </c>
      <c r="AK1977" s="16">
        <f t="shared" si="1655"/>
        <v>0</v>
      </c>
      <c r="AL1977" s="16">
        <f t="shared" si="1655"/>
        <v>0</v>
      </c>
      <c r="AM1977" s="16">
        <f t="shared" si="1655"/>
        <v>0</v>
      </c>
      <c r="AN1977" s="16">
        <f t="shared" si="1655"/>
        <v>0</v>
      </c>
      <c r="AO1977" s="16">
        <f t="shared" si="1655"/>
        <v>0</v>
      </c>
      <c r="AP1977" s="10"/>
      <c r="AQ1977" s="10"/>
      <c r="AR1977" s="10"/>
      <c r="AS1977" s="10" t="str">
        <f t="shared" ca="1" si="1641"/>
        <v>Johnson &amp; Johnson</v>
      </c>
      <c r="AT1977" s="10"/>
      <c r="AU1977" s="10"/>
      <c r="AV1977" s="10"/>
      <c r="AW1977" s="10"/>
      <c r="AX1977" s="10"/>
      <c r="AY1977" s="10"/>
      <c r="AZ1977" s="10"/>
      <c r="BA1977" s="10"/>
      <c r="BB1977" s="10"/>
      <c r="BC1977" s="10"/>
      <c r="BD1977" s="10"/>
      <c r="BE1977" s="10"/>
      <c r="BF1977" s="10"/>
      <c r="BG1977" s="10"/>
      <c r="BH1977" s="10"/>
      <c r="BI1977" s="10"/>
      <c r="BJ1977" s="10"/>
      <c r="BK1977" s="10"/>
      <c r="BM1977" s="10"/>
    </row>
    <row r="1978" spans="1:65" ht="12.75">
      <c r="A1978" s="9"/>
      <c r="B1978" s="10"/>
      <c r="C1978" s="11"/>
      <c r="D1978" s="12"/>
      <c r="E1978" s="10"/>
      <c r="F1978" s="10"/>
      <c r="G1978" s="10"/>
      <c r="H1978" s="14"/>
      <c r="I1978" s="14"/>
      <c r="J1978" s="14"/>
      <c r="K1978" s="14"/>
      <c r="L1978" s="14"/>
      <c r="M1978" s="15"/>
      <c r="N1978" s="10"/>
      <c r="O1978" s="14"/>
      <c r="P1978" s="14"/>
      <c r="Q1978" s="14"/>
      <c r="R1978" s="14"/>
      <c r="S1978" s="14"/>
      <c r="T1978" s="14"/>
      <c r="U1978" s="14"/>
      <c r="V1978" s="14"/>
      <c r="W1978" s="14"/>
      <c r="X1978" s="14"/>
      <c r="Y1978" s="14"/>
      <c r="Z1978" s="14"/>
      <c r="AA1978" s="16" t="str">
        <f t="shared" ca="1" si="1655"/>
        <v>Johnson &amp; Johnson</v>
      </c>
      <c r="AB1978" s="16">
        <f t="shared" si="1655"/>
        <v>0</v>
      </c>
      <c r="AC1978" s="16">
        <f t="shared" si="1655"/>
        <v>0</v>
      </c>
      <c r="AD1978" s="16">
        <f t="shared" si="1655"/>
        <v>0</v>
      </c>
      <c r="AE1978" s="16">
        <f t="shared" si="1655"/>
        <v>0</v>
      </c>
      <c r="AF1978" s="16">
        <f t="shared" si="1655"/>
        <v>0</v>
      </c>
      <c r="AG1978" s="16">
        <f t="shared" si="1655"/>
        <v>0</v>
      </c>
      <c r="AH1978" s="16">
        <f t="shared" si="1655"/>
        <v>0</v>
      </c>
      <c r="AI1978" s="16">
        <f t="shared" si="1655"/>
        <v>0</v>
      </c>
      <c r="AJ1978" s="16">
        <f t="shared" si="1655"/>
        <v>0</v>
      </c>
      <c r="AK1978" s="16">
        <f t="shared" si="1655"/>
        <v>0</v>
      </c>
      <c r="AL1978" s="16">
        <f t="shared" si="1655"/>
        <v>0</v>
      </c>
      <c r="AM1978" s="16">
        <f t="shared" si="1655"/>
        <v>0</v>
      </c>
      <c r="AN1978" s="16">
        <f t="shared" si="1655"/>
        <v>0</v>
      </c>
      <c r="AO1978" s="16">
        <f t="shared" si="1655"/>
        <v>0</v>
      </c>
      <c r="AP1978" s="10"/>
      <c r="AQ1978" s="10"/>
      <c r="AR1978" s="10"/>
      <c r="AS1978" s="10" t="str">
        <f t="shared" ca="1" si="1641"/>
        <v>Johnson &amp; Johnson</v>
      </c>
      <c r="AT1978" s="10"/>
      <c r="AU1978" s="10"/>
      <c r="AV1978" s="10"/>
      <c r="AW1978" s="10"/>
      <c r="AX1978" s="10"/>
      <c r="AY1978" s="10"/>
      <c r="AZ1978" s="10"/>
      <c r="BA1978" s="10"/>
      <c r="BB1978" s="10"/>
      <c r="BC1978" s="10"/>
      <c r="BD1978" s="10"/>
      <c r="BE1978" s="10"/>
      <c r="BF1978" s="10"/>
      <c r="BG1978" s="10"/>
      <c r="BH1978" s="10"/>
      <c r="BI1978" s="10"/>
      <c r="BJ1978" s="10"/>
      <c r="BK1978" s="10"/>
      <c r="BM1978" s="10"/>
    </row>
    <row r="1979" spans="1:65" ht="12.75">
      <c r="A1979" s="9"/>
      <c r="B1979" s="10"/>
      <c r="C1979" s="11"/>
      <c r="D1979" s="12"/>
      <c r="E1979" s="10"/>
      <c r="F1979" s="10"/>
      <c r="G1979" s="10"/>
      <c r="H1979" s="14"/>
      <c r="I1979" s="14"/>
      <c r="J1979" s="14"/>
      <c r="K1979" s="14"/>
      <c r="L1979" s="14"/>
      <c r="M1979" s="15"/>
      <c r="N1979" s="10"/>
      <c r="O1979" s="14"/>
      <c r="P1979" s="14"/>
      <c r="Q1979" s="14"/>
      <c r="R1979" s="14"/>
      <c r="S1979" s="14"/>
      <c r="T1979" s="14"/>
      <c r="U1979" s="14"/>
      <c r="V1979" s="14"/>
      <c r="W1979" s="14"/>
      <c r="X1979" s="14"/>
      <c r="Y1979" s="14"/>
      <c r="Z1979" s="14"/>
      <c r="AA1979" s="16" t="str">
        <f t="shared" ca="1" si="1655"/>
        <v>Johnson &amp; Johnson</v>
      </c>
      <c r="AB1979" s="16">
        <f t="shared" si="1655"/>
        <v>0</v>
      </c>
      <c r="AC1979" s="16">
        <f t="shared" si="1655"/>
        <v>0</v>
      </c>
      <c r="AD1979" s="16">
        <f t="shared" si="1655"/>
        <v>0</v>
      </c>
      <c r="AE1979" s="16">
        <f t="shared" si="1655"/>
        <v>0</v>
      </c>
      <c r="AF1979" s="16">
        <f t="shared" si="1655"/>
        <v>0</v>
      </c>
      <c r="AG1979" s="16">
        <f t="shared" si="1655"/>
        <v>0</v>
      </c>
      <c r="AH1979" s="16">
        <f t="shared" si="1655"/>
        <v>0</v>
      </c>
      <c r="AI1979" s="16">
        <f t="shared" si="1655"/>
        <v>0</v>
      </c>
      <c r="AJ1979" s="16">
        <f t="shared" si="1655"/>
        <v>0</v>
      </c>
      <c r="AK1979" s="16">
        <f t="shared" si="1655"/>
        <v>0</v>
      </c>
      <c r="AL1979" s="16">
        <f t="shared" si="1655"/>
        <v>0</v>
      </c>
      <c r="AM1979" s="16">
        <f t="shared" si="1655"/>
        <v>0</v>
      </c>
      <c r="AN1979" s="16">
        <f t="shared" si="1655"/>
        <v>0</v>
      </c>
      <c r="AO1979" s="16">
        <f t="shared" si="1655"/>
        <v>0</v>
      </c>
      <c r="AP1979" s="10"/>
      <c r="AQ1979" s="10"/>
      <c r="AR1979" s="10"/>
      <c r="AS1979" s="10" t="str">
        <f t="shared" ca="1" si="1641"/>
        <v>Johnson &amp; Johnson</v>
      </c>
      <c r="AT1979" s="10"/>
      <c r="AU1979" s="10"/>
      <c r="AV1979" s="10"/>
      <c r="AW1979" s="10"/>
      <c r="AX1979" s="10"/>
      <c r="AY1979" s="10"/>
      <c r="AZ1979" s="10"/>
      <c r="BA1979" s="10"/>
      <c r="BB1979" s="10"/>
      <c r="BC1979" s="10"/>
      <c r="BD1979" s="10"/>
      <c r="BE1979" s="10"/>
      <c r="BF1979" s="10"/>
      <c r="BG1979" s="10"/>
      <c r="BH1979" s="10"/>
      <c r="BI1979" s="10"/>
      <c r="BJ1979" s="10"/>
      <c r="BK1979" s="10"/>
      <c r="BM1979" s="10"/>
    </row>
    <row r="1980" spans="1:65" ht="12.75">
      <c r="A1980" s="9"/>
      <c r="B1980" s="10"/>
      <c r="C1980" s="11"/>
      <c r="D1980" s="12"/>
      <c r="E1980" s="10"/>
      <c r="F1980" s="10"/>
      <c r="G1980" s="10"/>
      <c r="H1980" s="14"/>
      <c r="I1980" s="14"/>
      <c r="J1980" s="14"/>
      <c r="K1980" s="14"/>
      <c r="L1980" s="14"/>
      <c r="M1980" s="15"/>
      <c r="N1980" s="10"/>
      <c r="O1980" s="14"/>
      <c r="P1980" s="14"/>
      <c r="Q1980" s="14"/>
      <c r="R1980" s="14"/>
      <c r="S1980" s="14"/>
      <c r="T1980" s="14"/>
      <c r="U1980" s="14"/>
      <c r="V1980" s="14"/>
      <c r="W1980" s="14"/>
      <c r="X1980" s="14"/>
      <c r="Y1980" s="14"/>
      <c r="Z1980" s="14"/>
      <c r="AA1980" s="16" t="str">
        <f t="shared" ca="1" si="1655"/>
        <v>Johnson &amp; Johnson</v>
      </c>
      <c r="AB1980" s="16">
        <f t="shared" si="1655"/>
        <v>0</v>
      </c>
      <c r="AC1980" s="16">
        <f t="shared" si="1655"/>
        <v>0</v>
      </c>
      <c r="AD1980" s="16">
        <f t="shared" si="1655"/>
        <v>0</v>
      </c>
      <c r="AE1980" s="16">
        <f t="shared" si="1655"/>
        <v>0</v>
      </c>
      <c r="AF1980" s="16">
        <f t="shared" si="1655"/>
        <v>0</v>
      </c>
      <c r="AG1980" s="16">
        <f t="shared" si="1655"/>
        <v>0</v>
      </c>
      <c r="AH1980" s="16">
        <f t="shared" si="1655"/>
        <v>0</v>
      </c>
      <c r="AI1980" s="16">
        <f t="shared" si="1655"/>
        <v>0</v>
      </c>
      <c r="AJ1980" s="16">
        <f t="shared" si="1655"/>
        <v>0</v>
      </c>
      <c r="AK1980" s="16">
        <f t="shared" si="1655"/>
        <v>0</v>
      </c>
      <c r="AL1980" s="16">
        <f t="shared" si="1655"/>
        <v>0</v>
      </c>
      <c r="AM1980" s="16">
        <f t="shared" si="1655"/>
        <v>0</v>
      </c>
      <c r="AN1980" s="16">
        <f t="shared" si="1655"/>
        <v>0</v>
      </c>
      <c r="AO1980" s="16">
        <f t="shared" si="1655"/>
        <v>0</v>
      </c>
      <c r="AP1980" s="10"/>
      <c r="AQ1980" s="10"/>
      <c r="AR1980" s="10"/>
      <c r="AS1980" s="10" t="str">
        <f t="shared" ca="1" si="1641"/>
        <v>Johnson &amp; Johnson</v>
      </c>
      <c r="AT1980" s="10"/>
      <c r="AU1980" s="10"/>
      <c r="AV1980" s="10"/>
      <c r="AW1980" s="10"/>
      <c r="AX1980" s="10"/>
      <c r="AY1980" s="10"/>
      <c r="AZ1980" s="10"/>
      <c r="BA1980" s="10"/>
      <c r="BB1980" s="10"/>
      <c r="BC1980" s="10"/>
      <c r="BD1980" s="10"/>
      <c r="BE1980" s="10"/>
      <c r="BF1980" s="10"/>
      <c r="BG1980" s="10"/>
      <c r="BH1980" s="10"/>
      <c r="BI1980" s="10"/>
      <c r="BJ1980" s="10"/>
      <c r="BK1980" s="10"/>
      <c r="BM1980" s="10"/>
    </row>
    <row r="1981" spans="1:65" ht="12.75">
      <c r="A1981" s="9"/>
      <c r="B1981" s="10"/>
      <c r="C1981" s="11"/>
      <c r="D1981" s="12"/>
      <c r="E1981" s="10"/>
      <c r="F1981" s="10"/>
      <c r="G1981" s="10"/>
      <c r="H1981" s="14"/>
      <c r="I1981" s="14"/>
      <c r="J1981" s="14"/>
      <c r="K1981" s="14"/>
      <c r="L1981" s="14"/>
      <c r="M1981" s="15"/>
      <c r="N1981" s="10"/>
      <c r="O1981" s="14"/>
      <c r="P1981" s="14"/>
      <c r="Q1981" s="14"/>
      <c r="R1981" s="14"/>
      <c r="S1981" s="14"/>
      <c r="T1981" s="14"/>
      <c r="U1981" s="14"/>
      <c r="V1981" s="14"/>
      <c r="W1981" s="14"/>
      <c r="X1981" s="14"/>
      <c r="Y1981" s="14"/>
      <c r="Z1981" s="14"/>
      <c r="AA1981" s="16" t="str">
        <f t="shared" ca="1" si="1655"/>
        <v>Johnson &amp; Johnson</v>
      </c>
      <c r="AB1981" s="16">
        <f t="shared" si="1655"/>
        <v>0</v>
      </c>
      <c r="AC1981" s="16">
        <f t="shared" si="1655"/>
        <v>0</v>
      </c>
      <c r="AD1981" s="16">
        <f t="shared" si="1655"/>
        <v>0</v>
      </c>
      <c r="AE1981" s="16">
        <f t="shared" si="1655"/>
        <v>0</v>
      </c>
      <c r="AF1981" s="16">
        <f t="shared" si="1655"/>
        <v>0</v>
      </c>
      <c r="AG1981" s="16">
        <f t="shared" si="1655"/>
        <v>0</v>
      </c>
      <c r="AH1981" s="16">
        <f t="shared" si="1655"/>
        <v>0</v>
      </c>
      <c r="AI1981" s="16">
        <f t="shared" si="1655"/>
        <v>0</v>
      </c>
      <c r="AJ1981" s="16">
        <f t="shared" si="1655"/>
        <v>0</v>
      </c>
      <c r="AK1981" s="16">
        <f t="shared" si="1655"/>
        <v>0</v>
      </c>
      <c r="AL1981" s="16">
        <f t="shared" si="1655"/>
        <v>0</v>
      </c>
      <c r="AM1981" s="16">
        <f t="shared" si="1655"/>
        <v>0</v>
      </c>
      <c r="AN1981" s="16">
        <f t="shared" si="1655"/>
        <v>0</v>
      </c>
      <c r="AO1981" s="16">
        <f t="shared" si="1655"/>
        <v>0</v>
      </c>
      <c r="AP1981" s="10"/>
      <c r="AQ1981" s="10"/>
      <c r="AR1981" s="10"/>
      <c r="AS1981" s="10" t="str">
        <f t="shared" ca="1" si="1641"/>
        <v>Johnson &amp; Johnson</v>
      </c>
      <c r="AT1981" s="10"/>
      <c r="AU1981" s="10"/>
      <c r="AV1981" s="10"/>
      <c r="AW1981" s="10"/>
      <c r="AX1981" s="10"/>
      <c r="AY1981" s="10"/>
      <c r="AZ1981" s="10"/>
      <c r="BA1981" s="10"/>
      <c r="BB1981" s="10"/>
      <c r="BC1981" s="10"/>
      <c r="BD1981" s="10"/>
      <c r="BE1981" s="10"/>
      <c r="BF1981" s="10"/>
      <c r="BG1981" s="10"/>
      <c r="BH1981" s="10"/>
      <c r="BI1981" s="10"/>
      <c r="BJ1981" s="10"/>
      <c r="BK1981" s="10"/>
      <c r="BM1981" s="10"/>
    </row>
    <row r="1982" spans="1:65" ht="12.75">
      <c r="A1982" s="9"/>
      <c r="B1982" s="10"/>
      <c r="C1982" s="11"/>
      <c r="D1982" s="12"/>
      <c r="E1982" s="10"/>
      <c r="F1982" s="10"/>
      <c r="G1982" s="10"/>
      <c r="H1982" s="14"/>
      <c r="I1982" s="14"/>
      <c r="J1982" s="14"/>
      <c r="K1982" s="14"/>
      <c r="L1982" s="14"/>
      <c r="M1982" s="15"/>
      <c r="N1982" s="10"/>
      <c r="O1982" s="14"/>
      <c r="P1982" s="14"/>
      <c r="Q1982" s="14"/>
      <c r="R1982" s="14"/>
      <c r="S1982" s="14"/>
      <c r="T1982" s="14"/>
      <c r="U1982" s="14"/>
      <c r="V1982" s="14"/>
      <c r="W1982" s="14"/>
      <c r="X1982" s="14"/>
      <c r="Y1982" s="14"/>
      <c r="Z1982" s="14"/>
      <c r="AA1982" s="16" t="str">
        <f t="shared" ca="1" si="1655"/>
        <v>Johnson &amp; Johnson</v>
      </c>
      <c r="AB1982" s="16">
        <f t="shared" si="1655"/>
        <v>0</v>
      </c>
      <c r="AC1982" s="16">
        <f t="shared" si="1655"/>
        <v>0</v>
      </c>
      <c r="AD1982" s="16">
        <f t="shared" si="1655"/>
        <v>0</v>
      </c>
      <c r="AE1982" s="16">
        <f t="shared" si="1655"/>
        <v>0</v>
      </c>
      <c r="AF1982" s="16">
        <f t="shared" si="1655"/>
        <v>0</v>
      </c>
      <c r="AG1982" s="16">
        <f t="shared" si="1655"/>
        <v>0</v>
      </c>
      <c r="AH1982" s="16">
        <f t="shared" si="1655"/>
        <v>0</v>
      </c>
      <c r="AI1982" s="16">
        <f t="shared" si="1655"/>
        <v>0</v>
      </c>
      <c r="AJ1982" s="16">
        <f t="shared" si="1655"/>
        <v>0</v>
      </c>
      <c r="AK1982" s="16">
        <f t="shared" si="1655"/>
        <v>0</v>
      </c>
      <c r="AL1982" s="16">
        <f t="shared" si="1655"/>
        <v>0</v>
      </c>
      <c r="AM1982" s="16">
        <f t="shared" si="1655"/>
        <v>0</v>
      </c>
      <c r="AN1982" s="16">
        <f t="shared" si="1655"/>
        <v>0</v>
      </c>
      <c r="AO1982" s="16">
        <f t="shared" si="1655"/>
        <v>0</v>
      </c>
      <c r="AP1982" s="10"/>
      <c r="AQ1982" s="10"/>
      <c r="AR1982" s="10"/>
      <c r="AS1982" s="10" t="str">
        <f t="shared" ca="1" si="1641"/>
        <v>Johnson &amp; Johnson</v>
      </c>
      <c r="AT1982" s="10"/>
      <c r="AU1982" s="10"/>
      <c r="AV1982" s="10"/>
      <c r="AW1982" s="10"/>
      <c r="AX1982" s="10"/>
      <c r="AY1982" s="10"/>
      <c r="AZ1982" s="10"/>
      <c r="BA1982" s="10"/>
      <c r="BB1982" s="10"/>
      <c r="BC1982" s="10"/>
      <c r="BD1982" s="10"/>
      <c r="BE1982" s="10"/>
      <c r="BF1982" s="10"/>
      <c r="BG1982" s="10"/>
      <c r="BH1982" s="10"/>
      <c r="BI1982" s="10"/>
      <c r="BJ1982" s="10"/>
      <c r="BK1982" s="10"/>
      <c r="BM1982" s="10"/>
    </row>
    <row r="1983" spans="1:65" ht="12.75">
      <c r="A1983" s="9"/>
      <c r="B1983" s="10"/>
      <c r="C1983" s="11"/>
      <c r="D1983" s="12"/>
      <c r="E1983" s="10"/>
      <c r="F1983" s="10"/>
      <c r="G1983" s="10"/>
      <c r="H1983" s="14"/>
      <c r="I1983" s="14"/>
      <c r="J1983" s="14"/>
      <c r="K1983" s="14"/>
      <c r="L1983" s="14"/>
      <c r="M1983" s="15"/>
      <c r="N1983" s="10"/>
      <c r="O1983" s="14"/>
      <c r="P1983" s="14"/>
      <c r="Q1983" s="14"/>
      <c r="R1983" s="14"/>
      <c r="S1983" s="14"/>
      <c r="T1983" s="14"/>
      <c r="U1983" s="14"/>
      <c r="V1983" s="14"/>
      <c r="W1983" s="14"/>
      <c r="X1983" s="14"/>
      <c r="Y1983" s="14"/>
      <c r="Z1983" s="14"/>
      <c r="AA1983" s="16" t="str">
        <f t="shared" ca="1" si="1655"/>
        <v>Johnson &amp; Johnson</v>
      </c>
      <c r="AB1983" s="16">
        <f t="shared" si="1655"/>
        <v>0</v>
      </c>
      <c r="AC1983" s="16">
        <f t="shared" si="1655"/>
        <v>0</v>
      </c>
      <c r="AD1983" s="16">
        <f t="shared" si="1655"/>
        <v>0</v>
      </c>
      <c r="AE1983" s="16">
        <f t="shared" si="1655"/>
        <v>0</v>
      </c>
      <c r="AF1983" s="16">
        <f t="shared" si="1655"/>
        <v>0</v>
      </c>
      <c r="AG1983" s="16">
        <f t="shared" si="1655"/>
        <v>0</v>
      </c>
      <c r="AH1983" s="16">
        <f t="shared" si="1655"/>
        <v>0</v>
      </c>
      <c r="AI1983" s="16">
        <f t="shared" si="1655"/>
        <v>0</v>
      </c>
      <c r="AJ1983" s="16">
        <f t="shared" si="1655"/>
        <v>0</v>
      </c>
      <c r="AK1983" s="16">
        <f t="shared" si="1655"/>
        <v>0</v>
      </c>
      <c r="AL1983" s="16">
        <f t="shared" si="1655"/>
        <v>0</v>
      </c>
      <c r="AM1983" s="16">
        <f t="shared" si="1655"/>
        <v>0</v>
      </c>
      <c r="AN1983" s="16">
        <f t="shared" si="1655"/>
        <v>0</v>
      </c>
      <c r="AO1983" s="16">
        <f t="shared" si="1655"/>
        <v>0</v>
      </c>
      <c r="AP1983" s="10"/>
      <c r="AQ1983" s="10"/>
      <c r="AR1983" s="10"/>
      <c r="AS1983" s="10" t="str">
        <f t="shared" ca="1" si="1641"/>
        <v>Johnson &amp; Johnson</v>
      </c>
      <c r="AT1983" s="10"/>
      <c r="AU1983" s="10"/>
      <c r="AV1983" s="10"/>
      <c r="AW1983" s="10"/>
      <c r="AX1983" s="10"/>
      <c r="AY1983" s="10"/>
      <c r="AZ1983" s="10"/>
      <c r="BA1983" s="10"/>
      <c r="BB1983" s="10"/>
      <c r="BC1983" s="10"/>
      <c r="BD1983" s="10"/>
      <c r="BE1983" s="10"/>
      <c r="BF1983" s="10"/>
      <c r="BG1983" s="10"/>
      <c r="BH1983" s="10"/>
      <c r="BI1983" s="10"/>
      <c r="BJ1983" s="10"/>
      <c r="BK1983" s="10"/>
      <c r="BM1983" s="10"/>
    </row>
    <row r="1984" spans="1:65" ht="12.75">
      <c r="A1984" s="9"/>
      <c r="B1984" s="10"/>
      <c r="C1984" s="11"/>
      <c r="D1984" s="12"/>
      <c r="E1984" s="10"/>
      <c r="F1984" s="10"/>
      <c r="G1984" s="10"/>
      <c r="H1984" s="14"/>
      <c r="I1984" s="14"/>
      <c r="J1984" s="14"/>
      <c r="K1984" s="14"/>
      <c r="L1984" s="14"/>
      <c r="M1984" s="15"/>
      <c r="N1984" s="10"/>
      <c r="O1984" s="14"/>
      <c r="P1984" s="14"/>
      <c r="Q1984" s="14"/>
      <c r="R1984" s="14"/>
      <c r="S1984" s="14"/>
      <c r="T1984" s="14"/>
      <c r="U1984" s="14"/>
      <c r="V1984" s="14"/>
      <c r="W1984" s="14"/>
      <c r="X1984" s="14"/>
      <c r="Y1984" s="14"/>
      <c r="Z1984" s="14"/>
      <c r="AA1984" s="16" t="str">
        <f t="shared" ca="1" si="1655"/>
        <v>Johnson &amp; Johnson</v>
      </c>
      <c r="AB1984" s="16">
        <f t="shared" si="1655"/>
        <v>0</v>
      </c>
      <c r="AC1984" s="16">
        <f t="shared" si="1655"/>
        <v>0</v>
      </c>
      <c r="AD1984" s="16">
        <f t="shared" si="1655"/>
        <v>0</v>
      </c>
      <c r="AE1984" s="16">
        <f t="shared" si="1655"/>
        <v>0</v>
      </c>
      <c r="AF1984" s="16">
        <f t="shared" si="1655"/>
        <v>0</v>
      </c>
      <c r="AG1984" s="16">
        <f t="shared" si="1655"/>
        <v>0</v>
      </c>
      <c r="AH1984" s="16">
        <f t="shared" si="1655"/>
        <v>0</v>
      </c>
      <c r="AI1984" s="16">
        <f t="shared" si="1655"/>
        <v>0</v>
      </c>
      <c r="AJ1984" s="16">
        <f t="shared" si="1655"/>
        <v>0</v>
      </c>
      <c r="AK1984" s="16">
        <f t="shared" si="1655"/>
        <v>0</v>
      </c>
      <c r="AL1984" s="16">
        <f t="shared" si="1655"/>
        <v>0</v>
      </c>
      <c r="AM1984" s="16">
        <f t="shared" si="1655"/>
        <v>0</v>
      </c>
      <c r="AN1984" s="16">
        <f t="shared" si="1655"/>
        <v>0</v>
      </c>
      <c r="AO1984" s="16">
        <f t="shared" si="1655"/>
        <v>0</v>
      </c>
      <c r="AP1984" s="10"/>
      <c r="AQ1984" s="10"/>
      <c r="AR1984" s="10"/>
      <c r="AS1984" s="10" t="str">
        <f t="shared" ca="1" si="1641"/>
        <v>Johnson &amp; Johnson</v>
      </c>
      <c r="AT1984" s="10"/>
      <c r="AU1984" s="10"/>
      <c r="AV1984" s="10"/>
      <c r="AW1984" s="10"/>
      <c r="AX1984" s="10"/>
      <c r="AY1984" s="10"/>
      <c r="AZ1984" s="10"/>
      <c r="BA1984" s="10"/>
      <c r="BB1984" s="10"/>
      <c r="BC1984" s="10"/>
      <c r="BD1984" s="10"/>
      <c r="BE1984" s="10"/>
      <c r="BF1984" s="10"/>
      <c r="BG1984" s="10"/>
      <c r="BH1984" s="10"/>
      <c r="BI1984" s="10"/>
      <c r="BJ1984" s="10"/>
      <c r="BK1984" s="10"/>
      <c r="BM1984" s="10"/>
    </row>
    <row r="1985" spans="1:65" ht="12.75">
      <c r="A1985" s="9"/>
      <c r="B1985" s="10"/>
      <c r="C1985" s="11"/>
      <c r="D1985" s="12"/>
      <c r="E1985" s="10"/>
      <c r="F1985" s="10"/>
      <c r="G1985" s="10"/>
      <c r="H1985" s="14"/>
      <c r="I1985" s="14"/>
      <c r="J1985" s="14"/>
      <c r="K1985" s="14"/>
      <c r="L1985" s="14"/>
      <c r="M1985" s="15"/>
      <c r="N1985" s="10"/>
      <c r="O1985" s="14"/>
      <c r="P1985" s="14"/>
      <c r="Q1985" s="14"/>
      <c r="R1985" s="14"/>
      <c r="S1985" s="14"/>
      <c r="T1985" s="14"/>
      <c r="U1985" s="14"/>
      <c r="V1985" s="14"/>
      <c r="W1985" s="14"/>
      <c r="X1985" s="14"/>
      <c r="Y1985" s="14"/>
      <c r="Z1985" s="14"/>
      <c r="AA1985" s="16" t="str">
        <f t="shared" ca="1" si="1655"/>
        <v>Johnson &amp; Johnson</v>
      </c>
      <c r="AB1985" s="16">
        <f t="shared" si="1655"/>
        <v>0</v>
      </c>
      <c r="AC1985" s="16">
        <f t="shared" si="1655"/>
        <v>0</v>
      </c>
      <c r="AD1985" s="16">
        <f t="shared" si="1655"/>
        <v>0</v>
      </c>
      <c r="AE1985" s="16">
        <f t="shared" si="1655"/>
        <v>0</v>
      </c>
      <c r="AF1985" s="16">
        <f t="shared" si="1655"/>
        <v>0</v>
      </c>
      <c r="AG1985" s="16">
        <f t="shared" si="1655"/>
        <v>0</v>
      </c>
      <c r="AH1985" s="16">
        <f t="shared" si="1655"/>
        <v>0</v>
      </c>
      <c r="AI1985" s="16">
        <f t="shared" si="1655"/>
        <v>0</v>
      </c>
      <c r="AJ1985" s="16">
        <f t="shared" si="1655"/>
        <v>0</v>
      </c>
      <c r="AK1985" s="16">
        <f t="shared" si="1655"/>
        <v>0</v>
      </c>
      <c r="AL1985" s="16">
        <f t="shared" si="1655"/>
        <v>0</v>
      </c>
      <c r="AM1985" s="16">
        <f t="shared" si="1655"/>
        <v>0</v>
      </c>
      <c r="AN1985" s="16">
        <f t="shared" si="1655"/>
        <v>0</v>
      </c>
      <c r="AO1985" s="16">
        <f t="shared" si="1655"/>
        <v>0</v>
      </c>
      <c r="AP1985" s="10"/>
      <c r="AQ1985" s="10"/>
      <c r="AR1985" s="10"/>
      <c r="AS1985" s="10" t="str">
        <f t="shared" ca="1" si="1641"/>
        <v>Johnson &amp; Johnson</v>
      </c>
      <c r="AT1985" s="10"/>
      <c r="AU1985" s="10"/>
      <c r="AV1985" s="10"/>
      <c r="AW1985" s="10"/>
      <c r="AX1985" s="10"/>
      <c r="AY1985" s="10"/>
      <c r="AZ1985" s="10"/>
      <c r="BA1985" s="10"/>
      <c r="BB1985" s="10"/>
      <c r="BC1985" s="10"/>
      <c r="BD1985" s="10"/>
      <c r="BE1985" s="10"/>
      <c r="BF1985" s="10"/>
      <c r="BG1985" s="10"/>
      <c r="BH1985" s="10"/>
      <c r="BI1985" s="10"/>
      <c r="BJ1985" s="10"/>
      <c r="BK1985" s="10"/>
      <c r="BM1985" s="10"/>
    </row>
    <row r="1986" spans="1:65" ht="12.75">
      <c r="A1986" s="9"/>
      <c r="B1986" s="10"/>
      <c r="C1986" s="11"/>
      <c r="D1986" s="12"/>
      <c r="E1986" s="10"/>
      <c r="F1986" s="10"/>
      <c r="G1986" s="10"/>
      <c r="H1986" s="14"/>
      <c r="I1986" s="14"/>
      <c r="J1986" s="14"/>
      <c r="K1986" s="14"/>
      <c r="L1986" s="14"/>
      <c r="M1986" s="15"/>
      <c r="N1986" s="10"/>
      <c r="O1986" s="14"/>
      <c r="P1986" s="14"/>
      <c r="Q1986" s="14"/>
      <c r="R1986" s="14"/>
      <c r="S1986" s="14"/>
      <c r="T1986" s="14"/>
      <c r="U1986" s="14"/>
      <c r="V1986" s="14"/>
      <c r="W1986" s="14"/>
      <c r="X1986" s="14"/>
      <c r="Y1986" s="14"/>
      <c r="Z1986" s="14"/>
      <c r="AA1986" s="16" t="str">
        <f t="shared" ca="1" si="1655"/>
        <v>Johnson &amp; Johnson</v>
      </c>
      <c r="AB1986" s="16">
        <f t="shared" si="1655"/>
        <v>0</v>
      </c>
      <c r="AC1986" s="16">
        <f t="shared" si="1655"/>
        <v>0</v>
      </c>
      <c r="AD1986" s="16">
        <f t="shared" si="1655"/>
        <v>0</v>
      </c>
      <c r="AE1986" s="16">
        <f t="shared" si="1655"/>
        <v>0</v>
      </c>
      <c r="AF1986" s="16">
        <f t="shared" si="1655"/>
        <v>0</v>
      </c>
      <c r="AG1986" s="16">
        <f t="shared" si="1655"/>
        <v>0</v>
      </c>
      <c r="AH1986" s="16">
        <f t="shared" si="1655"/>
        <v>0</v>
      </c>
      <c r="AI1986" s="16">
        <f t="shared" si="1655"/>
        <v>0</v>
      </c>
      <c r="AJ1986" s="16">
        <f t="shared" si="1655"/>
        <v>0</v>
      </c>
      <c r="AK1986" s="16">
        <f t="shared" si="1655"/>
        <v>0</v>
      </c>
      <c r="AL1986" s="16">
        <f t="shared" si="1655"/>
        <v>0</v>
      </c>
      <c r="AM1986" s="16">
        <f t="shared" si="1655"/>
        <v>0</v>
      </c>
      <c r="AN1986" s="16">
        <f t="shared" si="1655"/>
        <v>0</v>
      </c>
      <c r="AO1986" s="16">
        <f t="shared" si="1655"/>
        <v>0</v>
      </c>
      <c r="AP1986" s="10"/>
      <c r="AQ1986" s="10"/>
      <c r="AR1986" s="10"/>
      <c r="AS1986" s="10" t="str">
        <f t="shared" ca="1" si="1641"/>
        <v>Johnson &amp; Johnson</v>
      </c>
      <c r="AT1986" s="10"/>
      <c r="AU1986" s="10"/>
      <c r="AV1986" s="10"/>
      <c r="AW1986" s="10"/>
      <c r="AX1986" s="10"/>
      <c r="AY1986" s="10"/>
      <c r="AZ1986" s="10"/>
      <c r="BA1986" s="10"/>
      <c r="BB1986" s="10"/>
      <c r="BC1986" s="10"/>
      <c r="BD1986" s="10"/>
      <c r="BE1986" s="10"/>
      <c r="BF1986" s="10"/>
      <c r="BG1986" s="10"/>
      <c r="BH1986" s="10"/>
      <c r="BI1986" s="10"/>
      <c r="BJ1986" s="10"/>
      <c r="BK1986" s="10"/>
      <c r="BM1986" s="10"/>
    </row>
    <row r="1987" spans="1:65" ht="12.75">
      <c r="A1987" s="9"/>
      <c r="B1987" s="10"/>
      <c r="C1987" s="11"/>
      <c r="D1987" s="12"/>
      <c r="E1987" s="10"/>
      <c r="F1987" s="10"/>
      <c r="G1987" s="10"/>
      <c r="H1987" s="14"/>
      <c r="I1987" s="14"/>
      <c r="J1987" s="14"/>
      <c r="K1987" s="14"/>
      <c r="L1987" s="14"/>
      <c r="M1987" s="15"/>
      <c r="N1987" s="10"/>
      <c r="O1987" s="14"/>
      <c r="P1987" s="14"/>
      <c r="Q1987" s="14"/>
      <c r="R1987" s="14"/>
      <c r="S1987" s="14"/>
      <c r="T1987" s="14"/>
      <c r="U1987" s="14"/>
      <c r="V1987" s="14"/>
      <c r="W1987" s="14"/>
      <c r="X1987" s="14"/>
      <c r="Y1987" s="14"/>
      <c r="Z1987" s="14"/>
      <c r="AA1987" s="16" t="str">
        <f t="shared" ca="1" si="1655"/>
        <v>Johnson &amp; Johnson</v>
      </c>
      <c r="AB1987" s="16">
        <f t="shared" si="1655"/>
        <v>0</v>
      </c>
      <c r="AC1987" s="16">
        <f t="shared" si="1655"/>
        <v>0</v>
      </c>
      <c r="AD1987" s="16">
        <f t="shared" si="1655"/>
        <v>0</v>
      </c>
      <c r="AE1987" s="16">
        <f t="shared" si="1655"/>
        <v>0</v>
      </c>
      <c r="AF1987" s="16">
        <f t="shared" si="1655"/>
        <v>0</v>
      </c>
      <c r="AG1987" s="16">
        <f t="shared" si="1655"/>
        <v>0</v>
      </c>
      <c r="AH1987" s="16">
        <f t="shared" si="1655"/>
        <v>0</v>
      </c>
      <c r="AI1987" s="16">
        <f t="shared" si="1655"/>
        <v>0</v>
      </c>
      <c r="AJ1987" s="16">
        <f t="shared" si="1655"/>
        <v>0</v>
      </c>
      <c r="AK1987" s="16">
        <f t="shared" si="1655"/>
        <v>0</v>
      </c>
      <c r="AL1987" s="16">
        <f t="shared" si="1655"/>
        <v>0</v>
      </c>
      <c r="AM1987" s="16">
        <f t="shared" si="1655"/>
        <v>0</v>
      </c>
      <c r="AN1987" s="16">
        <f t="shared" si="1655"/>
        <v>0</v>
      </c>
      <c r="AO1987" s="16">
        <f t="shared" si="1655"/>
        <v>0</v>
      </c>
      <c r="AP1987" s="10"/>
      <c r="AQ1987" s="10"/>
      <c r="AR1987" s="10"/>
      <c r="AS1987" s="10" t="str">
        <f t="shared" ca="1" si="1641"/>
        <v>Johnson &amp; Johnson</v>
      </c>
      <c r="AT1987" s="10"/>
      <c r="AU1987" s="10"/>
      <c r="AV1987" s="10"/>
      <c r="AW1987" s="10"/>
      <c r="AX1987" s="10"/>
      <c r="AY1987" s="10"/>
      <c r="AZ1987" s="10"/>
      <c r="BA1987" s="10"/>
      <c r="BB1987" s="10"/>
      <c r="BC1987" s="10"/>
      <c r="BD1987" s="10"/>
      <c r="BE1987" s="10"/>
      <c r="BF1987" s="10"/>
      <c r="BG1987" s="10"/>
      <c r="BH1987" s="10"/>
      <c r="BI1987" s="10"/>
      <c r="BJ1987" s="10"/>
      <c r="BK1987" s="10"/>
      <c r="BM1987" s="10"/>
    </row>
    <row r="1988" spans="1:65" ht="12.75">
      <c r="A1988" s="9"/>
      <c r="B1988" s="10"/>
      <c r="C1988" s="11"/>
      <c r="D1988" s="12"/>
      <c r="E1988" s="10"/>
      <c r="F1988" s="10"/>
      <c r="G1988" s="10"/>
      <c r="H1988" s="14"/>
      <c r="I1988" s="14"/>
      <c r="J1988" s="14"/>
      <c r="K1988" s="14"/>
      <c r="L1988" s="14"/>
      <c r="M1988" s="15"/>
      <c r="N1988" s="10"/>
      <c r="O1988" s="14"/>
      <c r="P1988" s="14"/>
      <c r="Q1988" s="14"/>
      <c r="R1988" s="14"/>
      <c r="S1988" s="14"/>
      <c r="T1988" s="14"/>
      <c r="U1988" s="14"/>
      <c r="V1988" s="14"/>
      <c r="W1988" s="14"/>
      <c r="X1988" s="14"/>
      <c r="Y1988" s="14"/>
      <c r="Z1988" s="14"/>
      <c r="AA1988" s="16" t="str">
        <f t="shared" ca="1" si="1655"/>
        <v>Johnson &amp; Johnson</v>
      </c>
      <c r="AB1988" s="16">
        <f t="shared" si="1655"/>
        <v>0</v>
      </c>
      <c r="AC1988" s="16">
        <f t="shared" si="1655"/>
        <v>0</v>
      </c>
      <c r="AD1988" s="16">
        <f t="shared" si="1655"/>
        <v>0</v>
      </c>
      <c r="AE1988" s="16">
        <f t="shared" si="1655"/>
        <v>0</v>
      </c>
      <c r="AF1988" s="16">
        <f t="shared" si="1655"/>
        <v>0</v>
      </c>
      <c r="AG1988" s="16">
        <f t="shared" si="1655"/>
        <v>0</v>
      </c>
      <c r="AH1988" s="16">
        <f t="shared" si="1655"/>
        <v>0</v>
      </c>
      <c r="AI1988" s="16">
        <f t="shared" si="1655"/>
        <v>0</v>
      </c>
      <c r="AJ1988" s="16">
        <f t="shared" si="1655"/>
        <v>0</v>
      </c>
      <c r="AK1988" s="16">
        <f t="shared" si="1655"/>
        <v>0</v>
      </c>
      <c r="AL1988" s="16">
        <f t="shared" si="1655"/>
        <v>0</v>
      </c>
      <c r="AM1988" s="16">
        <f t="shared" si="1655"/>
        <v>0</v>
      </c>
      <c r="AN1988" s="16">
        <f t="shared" si="1655"/>
        <v>0</v>
      </c>
      <c r="AO1988" s="16">
        <f t="shared" si="1655"/>
        <v>0</v>
      </c>
      <c r="AP1988" s="10"/>
      <c r="AQ1988" s="10"/>
      <c r="AR1988" s="10"/>
      <c r="AS1988" s="10" t="str">
        <f t="shared" ca="1" si="1641"/>
        <v>Johnson &amp; Johnson</v>
      </c>
      <c r="AT1988" s="10"/>
      <c r="AU1988" s="10"/>
      <c r="AV1988" s="10"/>
      <c r="AW1988" s="10"/>
      <c r="AX1988" s="10"/>
      <c r="AY1988" s="10"/>
      <c r="AZ1988" s="10"/>
      <c r="BA1988" s="10"/>
      <c r="BB1988" s="10"/>
      <c r="BC1988" s="10"/>
      <c r="BD1988" s="10"/>
      <c r="BE1988" s="10"/>
      <c r="BF1988" s="10"/>
      <c r="BG1988" s="10"/>
      <c r="BH1988" s="10"/>
      <c r="BI1988" s="10"/>
      <c r="BJ1988" s="10"/>
      <c r="BK1988" s="10"/>
      <c r="BM1988" s="10"/>
    </row>
    <row r="1989" spans="1:65" ht="12.75">
      <c r="A1989" s="9"/>
      <c r="B1989" s="10"/>
      <c r="C1989" s="11"/>
      <c r="D1989" s="12"/>
      <c r="E1989" s="10"/>
      <c r="F1989" s="10"/>
      <c r="G1989" s="10"/>
      <c r="H1989" s="14"/>
      <c r="I1989" s="14"/>
      <c r="J1989" s="14"/>
      <c r="K1989" s="14"/>
      <c r="L1989" s="14"/>
      <c r="M1989" s="15"/>
      <c r="N1989" s="10"/>
      <c r="O1989" s="14"/>
      <c r="P1989" s="14"/>
      <c r="Q1989" s="14"/>
      <c r="R1989" s="14"/>
      <c r="S1989" s="14"/>
      <c r="T1989" s="14"/>
      <c r="U1989" s="14"/>
      <c r="V1989" s="14"/>
      <c r="W1989" s="14"/>
      <c r="X1989" s="14"/>
      <c r="Y1989" s="14"/>
      <c r="Z1989" s="14"/>
      <c r="AA1989" s="16" t="str">
        <f t="shared" ca="1" si="1655"/>
        <v>Johnson &amp; Johnson</v>
      </c>
      <c r="AB1989" s="16">
        <f t="shared" si="1655"/>
        <v>0</v>
      </c>
      <c r="AC1989" s="16">
        <f t="shared" si="1655"/>
        <v>0</v>
      </c>
      <c r="AD1989" s="16">
        <f t="shared" si="1655"/>
        <v>0</v>
      </c>
      <c r="AE1989" s="16">
        <f t="shared" si="1655"/>
        <v>0</v>
      </c>
      <c r="AF1989" s="16">
        <f t="shared" si="1655"/>
        <v>0</v>
      </c>
      <c r="AG1989" s="16">
        <f t="shared" si="1655"/>
        <v>0</v>
      </c>
      <c r="AH1989" s="16">
        <f t="shared" si="1655"/>
        <v>0</v>
      </c>
      <c r="AI1989" s="16">
        <f t="shared" si="1655"/>
        <v>0</v>
      </c>
      <c r="AJ1989" s="16">
        <f t="shared" si="1655"/>
        <v>0</v>
      </c>
      <c r="AK1989" s="16">
        <f t="shared" si="1655"/>
        <v>0</v>
      </c>
      <c r="AL1989" s="16">
        <f t="shared" si="1655"/>
        <v>0</v>
      </c>
      <c r="AM1989" s="16">
        <f t="shared" si="1655"/>
        <v>0</v>
      </c>
      <c r="AN1989" s="16">
        <f t="shared" si="1655"/>
        <v>0</v>
      </c>
      <c r="AO1989" s="16">
        <f t="shared" si="1655"/>
        <v>0</v>
      </c>
      <c r="AP1989" s="10"/>
      <c r="AQ1989" s="10"/>
      <c r="AR1989" s="10"/>
      <c r="AS1989" s="10" t="str">
        <f t="shared" ca="1" si="1641"/>
        <v>Johnson &amp; Johnson</v>
      </c>
      <c r="AT1989" s="10"/>
      <c r="AU1989" s="10"/>
      <c r="AV1989" s="10"/>
      <c r="AW1989" s="10"/>
      <c r="AX1989" s="10"/>
      <c r="AY1989" s="10"/>
      <c r="AZ1989" s="10"/>
      <c r="BA1989" s="10"/>
      <c r="BB1989" s="10"/>
      <c r="BC1989" s="10"/>
      <c r="BD1989" s="10"/>
      <c r="BE1989" s="10"/>
      <c r="BF1989" s="10"/>
      <c r="BG1989" s="10"/>
      <c r="BH1989" s="10"/>
      <c r="BI1989" s="10"/>
      <c r="BJ1989" s="10"/>
      <c r="BK1989" s="10"/>
      <c r="BM1989" s="10"/>
    </row>
    <row r="1990" spans="1:65" ht="12.75">
      <c r="A1990" s="9"/>
      <c r="B1990" s="10"/>
      <c r="C1990" s="11"/>
      <c r="D1990" s="12"/>
      <c r="E1990" s="10"/>
      <c r="F1990" s="10"/>
      <c r="G1990" s="10"/>
      <c r="H1990" s="14"/>
      <c r="I1990" s="14"/>
      <c r="J1990" s="14"/>
      <c r="K1990" s="14"/>
      <c r="L1990" s="14"/>
      <c r="M1990" s="15"/>
      <c r="N1990" s="10"/>
      <c r="O1990" s="14"/>
      <c r="P1990" s="14"/>
      <c r="Q1990" s="14"/>
      <c r="R1990" s="14"/>
      <c r="S1990" s="14"/>
      <c r="T1990" s="14"/>
      <c r="U1990" s="14"/>
      <c r="V1990" s="14"/>
      <c r="W1990" s="14"/>
      <c r="X1990" s="14"/>
      <c r="Y1990" s="14"/>
      <c r="Z1990" s="14"/>
      <c r="AA1990" s="16" t="str">
        <f t="shared" ca="1" si="1655"/>
        <v>Johnson &amp; Johnson</v>
      </c>
      <c r="AB1990" s="16">
        <f t="shared" si="1655"/>
        <v>0</v>
      </c>
      <c r="AC1990" s="16">
        <f t="shared" si="1655"/>
        <v>0</v>
      </c>
      <c r="AD1990" s="16">
        <f t="shared" si="1655"/>
        <v>0</v>
      </c>
      <c r="AE1990" s="16">
        <f t="shared" si="1655"/>
        <v>0</v>
      </c>
      <c r="AF1990" s="16">
        <f t="shared" si="1655"/>
        <v>0</v>
      </c>
      <c r="AG1990" s="16">
        <f t="shared" si="1655"/>
        <v>0</v>
      </c>
      <c r="AH1990" s="16">
        <f t="shared" si="1655"/>
        <v>0</v>
      </c>
      <c r="AI1990" s="16">
        <f t="shared" si="1655"/>
        <v>0</v>
      </c>
      <c r="AJ1990" s="16">
        <f t="shared" si="1655"/>
        <v>0</v>
      </c>
      <c r="AK1990" s="16">
        <f t="shared" si="1655"/>
        <v>0</v>
      </c>
      <c r="AL1990" s="16">
        <f t="shared" si="1655"/>
        <v>0</v>
      </c>
      <c r="AM1990" s="16">
        <f t="shared" si="1655"/>
        <v>0</v>
      </c>
      <c r="AN1990" s="16">
        <f t="shared" si="1655"/>
        <v>0</v>
      </c>
      <c r="AO1990" s="16">
        <f t="shared" si="1655"/>
        <v>0</v>
      </c>
      <c r="AP1990" s="10"/>
      <c r="AQ1990" s="10"/>
      <c r="AR1990" s="10"/>
      <c r="AS1990" s="10" t="str">
        <f t="shared" ca="1" si="1641"/>
        <v>Johnson &amp; Johnson</v>
      </c>
      <c r="AT1990" s="10"/>
      <c r="AU1990" s="10"/>
      <c r="AV1990" s="10"/>
      <c r="AW1990" s="10"/>
      <c r="AX1990" s="10"/>
      <c r="AY1990" s="10"/>
      <c r="AZ1990" s="10"/>
      <c r="BA1990" s="10"/>
      <c r="BB1990" s="10"/>
      <c r="BC1990" s="10"/>
      <c r="BD1990" s="10"/>
      <c r="BE1990" s="10"/>
      <c r="BF1990" s="10"/>
      <c r="BG1990" s="10"/>
      <c r="BH1990" s="10"/>
      <c r="BI1990" s="10"/>
      <c r="BJ1990" s="10"/>
      <c r="BK1990" s="10"/>
      <c r="BM1990" s="10"/>
    </row>
    <row r="1991" spans="1:65" ht="12.75">
      <c r="A1991" s="9"/>
      <c r="B1991" s="10"/>
      <c r="C1991" s="11"/>
      <c r="D1991" s="12"/>
      <c r="E1991" s="10"/>
      <c r="F1991" s="10"/>
      <c r="G1991" s="10"/>
      <c r="H1991" s="14"/>
      <c r="I1991" s="14"/>
      <c r="J1991" s="14"/>
      <c r="K1991" s="14"/>
      <c r="L1991" s="14"/>
      <c r="M1991" s="15"/>
      <c r="N1991" s="10"/>
      <c r="O1991" s="14"/>
      <c r="P1991" s="14"/>
      <c r="Q1991" s="14"/>
      <c r="R1991" s="14"/>
      <c r="S1991" s="14"/>
      <c r="T1991" s="14"/>
      <c r="U1991" s="14"/>
      <c r="V1991" s="14"/>
      <c r="W1991" s="14"/>
      <c r="X1991" s="14"/>
      <c r="Y1991" s="14"/>
      <c r="Z1991" s="14"/>
      <c r="AA1991" s="16" t="str">
        <f t="shared" ca="1" si="1655"/>
        <v>Johnson &amp; Johnson</v>
      </c>
      <c r="AB1991" s="16">
        <f t="shared" si="1655"/>
        <v>0</v>
      </c>
      <c r="AC1991" s="16">
        <f t="shared" si="1655"/>
        <v>0</v>
      </c>
      <c r="AD1991" s="16">
        <f t="shared" si="1655"/>
        <v>0</v>
      </c>
      <c r="AE1991" s="16">
        <f t="shared" si="1655"/>
        <v>0</v>
      </c>
      <c r="AF1991" s="16">
        <f t="shared" si="1655"/>
        <v>0</v>
      </c>
      <c r="AG1991" s="16">
        <f t="shared" si="1655"/>
        <v>0</v>
      </c>
      <c r="AH1991" s="16">
        <f t="shared" si="1655"/>
        <v>0</v>
      </c>
      <c r="AI1991" s="16">
        <f t="shared" si="1655"/>
        <v>0</v>
      </c>
      <c r="AJ1991" s="16">
        <f t="shared" si="1655"/>
        <v>0</v>
      </c>
      <c r="AK1991" s="16">
        <f t="shared" si="1655"/>
        <v>0</v>
      </c>
      <c r="AL1991" s="16">
        <f t="shared" si="1655"/>
        <v>0</v>
      </c>
      <c r="AM1991" s="16">
        <f t="shared" si="1655"/>
        <v>0</v>
      </c>
      <c r="AN1991" s="16">
        <f t="shared" si="1655"/>
        <v>0</v>
      </c>
      <c r="AO1991" s="16">
        <f t="shared" si="1655"/>
        <v>0</v>
      </c>
      <c r="AP1991" s="10"/>
      <c r="AQ1991" s="10"/>
      <c r="AR1991" s="10"/>
      <c r="AS1991" s="10" t="str">
        <f t="shared" ca="1" si="1641"/>
        <v>Johnson &amp; Johnson</v>
      </c>
      <c r="AT1991" s="10"/>
      <c r="AU1991" s="10"/>
      <c r="AV1991" s="10"/>
      <c r="AW1991" s="10"/>
      <c r="AX1991" s="10"/>
      <c r="AY1991" s="10"/>
      <c r="AZ1991" s="10"/>
      <c r="BA1991" s="10"/>
      <c r="BB1991" s="10"/>
      <c r="BC1991" s="10"/>
      <c r="BD1991" s="10"/>
      <c r="BE1991" s="10"/>
      <c r="BF1991" s="10"/>
      <c r="BG1991" s="10"/>
      <c r="BH1991" s="10"/>
      <c r="BI1991" s="10"/>
      <c r="BJ1991" s="10"/>
      <c r="BK1991" s="10"/>
      <c r="BM1991" s="10"/>
    </row>
    <row r="1992" spans="1:65" ht="12.75">
      <c r="A1992" s="9"/>
      <c r="B1992" s="10"/>
      <c r="C1992" s="11"/>
      <c r="D1992" s="12"/>
      <c r="E1992" s="10"/>
      <c r="F1992" s="10"/>
      <c r="G1992" s="10"/>
      <c r="H1992" s="14"/>
      <c r="I1992" s="14"/>
      <c r="J1992" s="14"/>
      <c r="K1992" s="14"/>
      <c r="L1992" s="14"/>
      <c r="M1992" s="15"/>
      <c r="N1992" s="10"/>
      <c r="O1992" s="14"/>
      <c r="P1992" s="14"/>
      <c r="Q1992" s="14"/>
      <c r="R1992" s="14"/>
      <c r="S1992" s="14"/>
      <c r="T1992" s="14"/>
      <c r="U1992" s="14"/>
      <c r="V1992" s="14"/>
      <c r="W1992" s="14"/>
      <c r="X1992" s="14"/>
      <c r="Y1992" s="14"/>
      <c r="Z1992" s="14"/>
      <c r="AA1992" s="16" t="str">
        <f t="shared" ca="1" si="1655"/>
        <v>Johnson &amp; Johnson</v>
      </c>
      <c r="AB1992" s="16">
        <f t="shared" si="1655"/>
        <v>0</v>
      </c>
      <c r="AC1992" s="16">
        <f t="shared" si="1655"/>
        <v>0</v>
      </c>
      <c r="AD1992" s="16">
        <f t="shared" si="1655"/>
        <v>0</v>
      </c>
      <c r="AE1992" s="16">
        <f t="shared" si="1655"/>
        <v>0</v>
      </c>
      <c r="AF1992" s="16">
        <f t="shared" si="1655"/>
        <v>0</v>
      </c>
      <c r="AG1992" s="16">
        <f t="shared" si="1655"/>
        <v>0</v>
      </c>
      <c r="AH1992" s="16">
        <f t="shared" si="1655"/>
        <v>0</v>
      </c>
      <c r="AI1992" s="16">
        <f t="shared" si="1655"/>
        <v>0</v>
      </c>
      <c r="AJ1992" s="16">
        <f t="shared" si="1655"/>
        <v>0</v>
      </c>
      <c r="AK1992" s="16">
        <f t="shared" si="1655"/>
        <v>0</v>
      </c>
      <c r="AL1992" s="16">
        <f t="shared" si="1655"/>
        <v>0</v>
      </c>
      <c r="AM1992" s="16">
        <f t="shared" si="1655"/>
        <v>0</v>
      </c>
      <c r="AN1992" s="16">
        <f t="shared" si="1655"/>
        <v>0</v>
      </c>
      <c r="AO1992" s="16">
        <f t="shared" si="1655"/>
        <v>0</v>
      </c>
      <c r="AP1992" s="10"/>
      <c r="AQ1992" s="10"/>
      <c r="AR1992" s="10"/>
      <c r="AS1992" s="10" t="str">
        <f t="shared" ca="1" si="1641"/>
        <v>Johnson &amp; Johnson</v>
      </c>
      <c r="AT1992" s="10"/>
      <c r="AU1992" s="10"/>
      <c r="AV1992" s="10"/>
      <c r="AW1992" s="10"/>
      <c r="AX1992" s="10"/>
      <c r="AY1992" s="10"/>
      <c r="AZ1992" s="10"/>
      <c r="BA1992" s="10"/>
      <c r="BB1992" s="10"/>
      <c r="BC1992" s="10"/>
      <c r="BD1992" s="10"/>
      <c r="BE1992" s="10"/>
      <c r="BF1992" s="10"/>
      <c r="BG1992" s="10"/>
      <c r="BH1992" s="10"/>
      <c r="BI1992" s="10"/>
      <c r="BJ1992" s="10"/>
      <c r="BK1992" s="10"/>
      <c r="BM1992" s="10"/>
    </row>
    <row r="1993" spans="1:65" ht="12.75">
      <c r="A1993" s="9"/>
      <c r="B1993" s="10"/>
      <c r="C1993" s="11"/>
      <c r="D1993" s="12"/>
      <c r="E1993" s="10"/>
      <c r="F1993" s="10"/>
      <c r="G1993" s="10"/>
      <c r="H1993" s="14"/>
      <c r="I1993" s="14"/>
      <c r="J1993" s="14"/>
      <c r="K1993" s="14"/>
      <c r="L1993" s="14"/>
      <c r="M1993" s="15"/>
      <c r="N1993" s="10"/>
      <c r="O1993" s="14"/>
      <c r="P1993" s="14"/>
      <c r="Q1993" s="14"/>
      <c r="R1993" s="14"/>
      <c r="S1993" s="14"/>
      <c r="T1993" s="14"/>
      <c r="U1993" s="14"/>
      <c r="V1993" s="14"/>
      <c r="W1993" s="14"/>
      <c r="X1993" s="14"/>
      <c r="Y1993" s="14"/>
      <c r="Z1993" s="14"/>
      <c r="AA1993" s="16" t="str">
        <f t="shared" ref="AA1993:AO2008" ca="1" si="1656">AS1993</f>
        <v>Johnson &amp; Johnson</v>
      </c>
      <c r="AB1993" s="16">
        <f t="shared" si="1656"/>
        <v>0</v>
      </c>
      <c r="AC1993" s="16">
        <f t="shared" si="1656"/>
        <v>0</v>
      </c>
      <c r="AD1993" s="16">
        <f t="shared" si="1656"/>
        <v>0</v>
      </c>
      <c r="AE1993" s="16">
        <f t="shared" si="1656"/>
        <v>0</v>
      </c>
      <c r="AF1993" s="16">
        <f t="shared" si="1656"/>
        <v>0</v>
      </c>
      <c r="AG1993" s="16">
        <f t="shared" si="1656"/>
        <v>0</v>
      </c>
      <c r="AH1993" s="16">
        <f t="shared" si="1656"/>
        <v>0</v>
      </c>
      <c r="AI1993" s="16">
        <f t="shared" si="1656"/>
        <v>0</v>
      </c>
      <c r="AJ1993" s="16">
        <f t="shared" si="1656"/>
        <v>0</v>
      </c>
      <c r="AK1993" s="16">
        <f t="shared" si="1656"/>
        <v>0</v>
      </c>
      <c r="AL1993" s="16">
        <f t="shared" si="1656"/>
        <v>0</v>
      </c>
      <c r="AM1993" s="16">
        <f t="shared" si="1656"/>
        <v>0</v>
      </c>
      <c r="AN1993" s="16">
        <f t="shared" si="1656"/>
        <v>0</v>
      </c>
      <c r="AO1993" s="16">
        <f t="shared" si="1656"/>
        <v>0</v>
      </c>
      <c r="AP1993" s="10"/>
      <c r="AQ1993" s="10"/>
      <c r="AR1993" s="10"/>
      <c r="AS1993" s="10" t="str">
        <f t="shared" ca="1" si="1641"/>
        <v>Johnson &amp; Johnson</v>
      </c>
      <c r="AT1993" s="10"/>
      <c r="AU1993" s="10"/>
      <c r="AV1993" s="10"/>
      <c r="AW1993" s="10"/>
      <c r="AX1993" s="10"/>
      <c r="AY1993" s="10"/>
      <c r="AZ1993" s="10"/>
      <c r="BA1993" s="10"/>
      <c r="BB1993" s="10"/>
      <c r="BC1993" s="10"/>
      <c r="BD1993" s="10"/>
      <c r="BE1993" s="10"/>
      <c r="BF1993" s="10"/>
      <c r="BG1993" s="10"/>
      <c r="BH1993" s="10"/>
      <c r="BI1993" s="10"/>
      <c r="BJ1993" s="10"/>
      <c r="BK1993" s="10"/>
      <c r="BM1993" s="10"/>
    </row>
    <row r="1994" spans="1:65" ht="12.75">
      <c r="A1994" s="9"/>
      <c r="B1994" s="10"/>
      <c r="C1994" s="11"/>
      <c r="D1994" s="12"/>
      <c r="E1994" s="10"/>
      <c r="F1994" s="10"/>
      <c r="G1994" s="10"/>
      <c r="H1994" s="14"/>
      <c r="I1994" s="14"/>
      <c r="J1994" s="14"/>
      <c r="K1994" s="14"/>
      <c r="L1994" s="14"/>
      <c r="M1994" s="15"/>
      <c r="N1994" s="10"/>
      <c r="O1994" s="14"/>
      <c r="P1994" s="14"/>
      <c r="Q1994" s="14"/>
      <c r="R1994" s="14"/>
      <c r="S1994" s="14"/>
      <c r="T1994" s="14"/>
      <c r="U1994" s="14"/>
      <c r="V1994" s="14"/>
      <c r="W1994" s="14"/>
      <c r="X1994" s="14"/>
      <c r="Y1994" s="14"/>
      <c r="Z1994" s="14"/>
      <c r="AA1994" s="16" t="str">
        <f t="shared" ca="1" si="1656"/>
        <v>Johnson &amp; Johnson</v>
      </c>
      <c r="AB1994" s="16">
        <f t="shared" si="1656"/>
        <v>0</v>
      </c>
      <c r="AC1994" s="16">
        <f t="shared" si="1656"/>
        <v>0</v>
      </c>
      <c r="AD1994" s="16">
        <f t="shared" si="1656"/>
        <v>0</v>
      </c>
      <c r="AE1994" s="16">
        <f t="shared" si="1656"/>
        <v>0</v>
      </c>
      <c r="AF1994" s="16">
        <f t="shared" si="1656"/>
        <v>0</v>
      </c>
      <c r="AG1994" s="16">
        <f t="shared" si="1656"/>
        <v>0</v>
      </c>
      <c r="AH1994" s="16">
        <f t="shared" si="1656"/>
        <v>0</v>
      </c>
      <c r="AI1994" s="16">
        <f t="shared" si="1656"/>
        <v>0</v>
      </c>
      <c r="AJ1994" s="16">
        <f t="shared" si="1656"/>
        <v>0</v>
      </c>
      <c r="AK1994" s="16">
        <f t="shared" si="1656"/>
        <v>0</v>
      </c>
      <c r="AL1994" s="16">
        <f t="shared" si="1656"/>
        <v>0</v>
      </c>
      <c r="AM1994" s="16">
        <f t="shared" si="1656"/>
        <v>0</v>
      </c>
      <c r="AN1994" s="16">
        <f t="shared" si="1656"/>
        <v>0</v>
      </c>
      <c r="AO1994" s="16">
        <f t="shared" si="1656"/>
        <v>0</v>
      </c>
      <c r="AP1994" s="10"/>
      <c r="AQ1994" s="10"/>
      <c r="AR1994" s="10"/>
      <c r="AS1994" s="10" t="str">
        <f t="shared" ca="1" si="1641"/>
        <v>Johnson &amp; Johnson</v>
      </c>
      <c r="AT1994" s="10"/>
      <c r="AU1994" s="10"/>
      <c r="AV1994" s="10"/>
      <c r="AW1994" s="10"/>
      <c r="AX1994" s="10"/>
      <c r="AY1994" s="10"/>
      <c r="AZ1994" s="10"/>
      <c r="BA1994" s="10"/>
      <c r="BB1994" s="10"/>
      <c r="BC1994" s="10"/>
      <c r="BD1994" s="10"/>
      <c r="BE1994" s="10"/>
      <c r="BF1994" s="10"/>
      <c r="BG1994" s="10"/>
      <c r="BH1994" s="10"/>
      <c r="BI1994" s="10"/>
      <c r="BJ1994" s="10"/>
      <c r="BK1994" s="10"/>
      <c r="BM1994" s="10"/>
    </row>
    <row r="1995" spans="1:65" ht="12.75">
      <c r="A1995" s="9"/>
      <c r="B1995" s="10"/>
      <c r="C1995" s="11"/>
      <c r="D1995" s="12"/>
      <c r="E1995" s="10"/>
      <c r="F1995" s="10"/>
      <c r="G1995" s="10"/>
      <c r="H1995" s="14"/>
      <c r="I1995" s="14"/>
      <c r="J1995" s="14"/>
      <c r="K1995" s="14"/>
      <c r="L1995" s="14"/>
      <c r="M1995" s="15"/>
      <c r="N1995" s="10"/>
      <c r="O1995" s="14"/>
      <c r="P1995" s="14"/>
      <c r="Q1995" s="14"/>
      <c r="R1995" s="14"/>
      <c r="S1995" s="14"/>
      <c r="T1995" s="14"/>
      <c r="U1995" s="14"/>
      <c r="V1995" s="14"/>
      <c r="W1995" s="14"/>
      <c r="X1995" s="14"/>
      <c r="Y1995" s="14"/>
      <c r="Z1995" s="14"/>
      <c r="AA1995" s="16" t="str">
        <f t="shared" ca="1" si="1656"/>
        <v>Johnson &amp; Johnson</v>
      </c>
      <c r="AB1995" s="16">
        <f t="shared" si="1656"/>
        <v>0</v>
      </c>
      <c r="AC1995" s="16">
        <f t="shared" si="1656"/>
        <v>0</v>
      </c>
      <c r="AD1995" s="16">
        <f t="shared" si="1656"/>
        <v>0</v>
      </c>
      <c r="AE1995" s="16">
        <f t="shared" si="1656"/>
        <v>0</v>
      </c>
      <c r="AF1995" s="16">
        <f t="shared" si="1656"/>
        <v>0</v>
      </c>
      <c r="AG1995" s="16">
        <f t="shared" si="1656"/>
        <v>0</v>
      </c>
      <c r="AH1995" s="16">
        <f t="shared" si="1656"/>
        <v>0</v>
      </c>
      <c r="AI1995" s="16">
        <f t="shared" si="1656"/>
        <v>0</v>
      </c>
      <c r="AJ1995" s="16">
        <f t="shared" si="1656"/>
        <v>0</v>
      </c>
      <c r="AK1995" s="16">
        <f t="shared" si="1656"/>
        <v>0</v>
      </c>
      <c r="AL1995" s="16">
        <f t="shared" si="1656"/>
        <v>0</v>
      </c>
      <c r="AM1995" s="16">
        <f t="shared" si="1656"/>
        <v>0</v>
      </c>
      <c r="AN1995" s="16">
        <f t="shared" si="1656"/>
        <v>0</v>
      </c>
      <c r="AO1995" s="16">
        <f t="shared" si="1656"/>
        <v>0</v>
      </c>
      <c r="AP1995" s="10"/>
      <c r="AQ1995" s="10"/>
      <c r="AR1995" s="10"/>
      <c r="AS1995" s="10" t="str">
        <f t="shared" ca="1" si="1641"/>
        <v>Johnson &amp; Johnson</v>
      </c>
      <c r="AT1995" s="10"/>
      <c r="AU1995" s="10"/>
      <c r="AV1995" s="10"/>
      <c r="AW1995" s="10"/>
      <c r="AX1995" s="10"/>
      <c r="AY1995" s="10"/>
      <c r="AZ1995" s="10"/>
      <c r="BA1995" s="10"/>
      <c r="BB1995" s="10"/>
      <c r="BC1995" s="10"/>
      <c r="BD1995" s="10"/>
      <c r="BE1995" s="10"/>
      <c r="BF1995" s="10"/>
      <c r="BG1995" s="10"/>
      <c r="BH1995" s="10"/>
      <c r="BI1995" s="10"/>
      <c r="BJ1995" s="10"/>
      <c r="BK1995" s="10"/>
      <c r="BM1995" s="10"/>
    </row>
    <row r="1996" spans="1:65" ht="12.75">
      <c r="A1996" s="9"/>
      <c r="B1996" s="10"/>
      <c r="C1996" s="11"/>
      <c r="D1996" s="12"/>
      <c r="E1996" s="10"/>
      <c r="F1996" s="10"/>
      <c r="G1996" s="10"/>
      <c r="H1996" s="14"/>
      <c r="I1996" s="14"/>
      <c r="J1996" s="14"/>
      <c r="K1996" s="14"/>
      <c r="L1996" s="14"/>
      <c r="M1996" s="15"/>
      <c r="N1996" s="10"/>
      <c r="O1996" s="14"/>
      <c r="P1996" s="14"/>
      <c r="Q1996" s="14"/>
      <c r="R1996" s="14"/>
      <c r="S1996" s="14"/>
      <c r="T1996" s="14"/>
      <c r="U1996" s="14"/>
      <c r="V1996" s="14"/>
      <c r="W1996" s="14"/>
      <c r="X1996" s="14"/>
      <c r="Y1996" s="14"/>
      <c r="Z1996" s="14"/>
      <c r="AA1996" s="16" t="str">
        <f t="shared" ca="1" si="1656"/>
        <v>Johnson &amp; Johnson</v>
      </c>
      <c r="AB1996" s="16">
        <f t="shared" si="1656"/>
        <v>0</v>
      </c>
      <c r="AC1996" s="16">
        <f t="shared" si="1656"/>
        <v>0</v>
      </c>
      <c r="AD1996" s="16">
        <f t="shared" si="1656"/>
        <v>0</v>
      </c>
      <c r="AE1996" s="16">
        <f t="shared" si="1656"/>
        <v>0</v>
      </c>
      <c r="AF1996" s="16">
        <f t="shared" si="1656"/>
        <v>0</v>
      </c>
      <c r="AG1996" s="16">
        <f t="shared" si="1656"/>
        <v>0</v>
      </c>
      <c r="AH1996" s="16">
        <f t="shared" si="1656"/>
        <v>0</v>
      </c>
      <c r="AI1996" s="16">
        <f t="shared" si="1656"/>
        <v>0</v>
      </c>
      <c r="AJ1996" s="16">
        <f t="shared" si="1656"/>
        <v>0</v>
      </c>
      <c r="AK1996" s="16">
        <f t="shared" si="1656"/>
        <v>0</v>
      </c>
      <c r="AL1996" s="16">
        <f t="shared" si="1656"/>
        <v>0</v>
      </c>
      <c r="AM1996" s="16">
        <f t="shared" si="1656"/>
        <v>0</v>
      </c>
      <c r="AN1996" s="16">
        <f t="shared" si="1656"/>
        <v>0</v>
      </c>
      <c r="AO1996" s="16">
        <f t="shared" si="1656"/>
        <v>0</v>
      </c>
      <c r="AP1996" s="10"/>
      <c r="AQ1996" s="10"/>
      <c r="AR1996" s="10"/>
      <c r="AS1996" s="10" t="str">
        <f t="shared" ca="1" si="1641"/>
        <v>Johnson &amp; Johnson</v>
      </c>
      <c r="AT1996" s="10"/>
      <c r="AU1996" s="10"/>
      <c r="AV1996" s="10"/>
      <c r="AW1996" s="10"/>
      <c r="AX1996" s="10"/>
      <c r="AY1996" s="10"/>
      <c r="AZ1996" s="10"/>
      <c r="BA1996" s="10"/>
      <c r="BB1996" s="10"/>
      <c r="BC1996" s="10"/>
      <c r="BD1996" s="10"/>
      <c r="BE1996" s="10"/>
      <c r="BF1996" s="10"/>
      <c r="BG1996" s="10"/>
      <c r="BH1996" s="10"/>
      <c r="BI1996" s="10"/>
      <c r="BJ1996" s="10"/>
      <c r="BK1996" s="10"/>
      <c r="BM1996" s="10"/>
    </row>
    <row r="1997" spans="1:65" ht="12.75">
      <c r="A1997" s="9"/>
      <c r="B1997" s="10"/>
      <c r="C1997" s="11"/>
      <c r="D1997" s="12"/>
      <c r="E1997" s="10"/>
      <c r="F1997" s="10"/>
      <c r="G1997" s="10"/>
      <c r="H1997" s="14"/>
      <c r="I1997" s="14"/>
      <c r="J1997" s="14"/>
      <c r="K1997" s="14"/>
      <c r="L1997" s="14"/>
      <c r="M1997" s="15"/>
      <c r="N1997" s="10"/>
      <c r="O1997" s="14"/>
      <c r="P1997" s="14"/>
      <c r="Q1997" s="14"/>
      <c r="R1997" s="14"/>
      <c r="S1997" s="14"/>
      <c r="T1997" s="14"/>
      <c r="U1997" s="14"/>
      <c r="V1997" s="14"/>
      <c r="W1997" s="14"/>
      <c r="X1997" s="14"/>
      <c r="Y1997" s="14"/>
      <c r="Z1997" s="14"/>
      <c r="AA1997" s="16" t="str">
        <f t="shared" ca="1" si="1656"/>
        <v>Johnson &amp; Johnson</v>
      </c>
      <c r="AB1997" s="16">
        <f t="shared" si="1656"/>
        <v>0</v>
      </c>
      <c r="AC1997" s="16">
        <f t="shared" si="1656"/>
        <v>0</v>
      </c>
      <c r="AD1997" s="16">
        <f t="shared" si="1656"/>
        <v>0</v>
      </c>
      <c r="AE1997" s="16">
        <f t="shared" si="1656"/>
        <v>0</v>
      </c>
      <c r="AF1997" s="16">
        <f t="shared" si="1656"/>
        <v>0</v>
      </c>
      <c r="AG1997" s="16">
        <f t="shared" si="1656"/>
        <v>0</v>
      </c>
      <c r="AH1997" s="16">
        <f t="shared" si="1656"/>
        <v>0</v>
      </c>
      <c r="AI1997" s="16">
        <f t="shared" si="1656"/>
        <v>0</v>
      </c>
      <c r="AJ1997" s="16">
        <f t="shared" si="1656"/>
        <v>0</v>
      </c>
      <c r="AK1997" s="16">
        <f t="shared" si="1656"/>
        <v>0</v>
      </c>
      <c r="AL1997" s="16">
        <f t="shared" si="1656"/>
        <v>0</v>
      </c>
      <c r="AM1997" s="16">
        <f t="shared" si="1656"/>
        <v>0</v>
      </c>
      <c r="AN1997" s="16">
        <f t="shared" si="1656"/>
        <v>0</v>
      </c>
      <c r="AO1997" s="16">
        <f t="shared" si="1656"/>
        <v>0</v>
      </c>
      <c r="AP1997" s="10"/>
      <c r="AQ1997" s="10"/>
      <c r="AR1997" s="10"/>
      <c r="AS1997" s="10" t="str">
        <f t="shared" ca="1" si="1641"/>
        <v>Johnson &amp; Johnson</v>
      </c>
      <c r="AT1997" s="10"/>
      <c r="AU1997" s="10"/>
      <c r="AV1997" s="10"/>
      <c r="AW1997" s="10"/>
      <c r="AX1997" s="10"/>
      <c r="AY1997" s="10"/>
      <c r="AZ1997" s="10"/>
      <c r="BA1997" s="10"/>
      <c r="BB1997" s="10"/>
      <c r="BC1997" s="10"/>
      <c r="BD1997" s="10"/>
      <c r="BE1997" s="10"/>
      <c r="BF1997" s="10"/>
      <c r="BG1997" s="10"/>
      <c r="BH1997" s="10"/>
      <c r="BI1997" s="10"/>
      <c r="BJ1997" s="10"/>
      <c r="BK1997" s="10"/>
      <c r="BM1997" s="10"/>
    </row>
    <row r="1998" spans="1:65" ht="12.75">
      <c r="A1998" s="9"/>
      <c r="B1998" s="10"/>
      <c r="C1998" s="11"/>
      <c r="D1998" s="12"/>
      <c r="E1998" s="10"/>
      <c r="F1998" s="10"/>
      <c r="G1998" s="10"/>
      <c r="H1998" s="14"/>
      <c r="I1998" s="14"/>
      <c r="J1998" s="14"/>
      <c r="K1998" s="14"/>
      <c r="L1998" s="14"/>
      <c r="M1998" s="15"/>
      <c r="N1998" s="10"/>
      <c r="O1998" s="14"/>
      <c r="P1998" s="14"/>
      <c r="Q1998" s="14"/>
      <c r="R1998" s="14"/>
      <c r="S1998" s="14"/>
      <c r="T1998" s="14"/>
      <c r="U1998" s="14"/>
      <c r="V1998" s="14"/>
      <c r="W1998" s="14"/>
      <c r="X1998" s="14"/>
      <c r="Y1998" s="14"/>
      <c r="Z1998" s="14"/>
      <c r="AA1998" s="16" t="str">
        <f t="shared" ca="1" si="1656"/>
        <v>Johnson &amp; Johnson</v>
      </c>
      <c r="AB1998" s="16">
        <f t="shared" si="1656"/>
        <v>0</v>
      </c>
      <c r="AC1998" s="16">
        <f t="shared" si="1656"/>
        <v>0</v>
      </c>
      <c r="AD1998" s="16">
        <f t="shared" si="1656"/>
        <v>0</v>
      </c>
      <c r="AE1998" s="16">
        <f t="shared" si="1656"/>
        <v>0</v>
      </c>
      <c r="AF1998" s="16">
        <f t="shared" si="1656"/>
        <v>0</v>
      </c>
      <c r="AG1998" s="16">
        <f t="shared" si="1656"/>
        <v>0</v>
      </c>
      <c r="AH1998" s="16">
        <f t="shared" si="1656"/>
        <v>0</v>
      </c>
      <c r="AI1998" s="16">
        <f t="shared" si="1656"/>
        <v>0</v>
      </c>
      <c r="AJ1998" s="16">
        <f t="shared" si="1656"/>
        <v>0</v>
      </c>
      <c r="AK1998" s="16">
        <f t="shared" si="1656"/>
        <v>0</v>
      </c>
      <c r="AL1998" s="16">
        <f t="shared" si="1656"/>
        <v>0</v>
      </c>
      <c r="AM1998" s="16">
        <f t="shared" si="1656"/>
        <v>0</v>
      </c>
      <c r="AN1998" s="16">
        <f t="shared" si="1656"/>
        <v>0</v>
      </c>
      <c r="AO1998" s="16">
        <f t="shared" si="1656"/>
        <v>0</v>
      </c>
      <c r="AP1998" s="10"/>
      <c r="AQ1998" s="10"/>
      <c r="AR1998" s="10"/>
      <c r="AS1998" s="10" t="str">
        <f t="shared" ca="1" si="1641"/>
        <v>Johnson &amp; Johnson</v>
      </c>
      <c r="AT1998" s="10"/>
      <c r="AU1998" s="10"/>
      <c r="AV1998" s="10"/>
      <c r="AW1998" s="10"/>
      <c r="AX1998" s="10"/>
      <c r="AY1998" s="10"/>
      <c r="AZ1998" s="10"/>
      <c r="BA1998" s="10"/>
      <c r="BB1998" s="10"/>
      <c r="BC1998" s="10"/>
      <c r="BD1998" s="10"/>
      <c r="BE1998" s="10"/>
      <c r="BF1998" s="10"/>
      <c r="BG1998" s="10"/>
      <c r="BH1998" s="10"/>
      <c r="BI1998" s="10"/>
      <c r="BJ1998" s="10"/>
      <c r="BK1998" s="10"/>
      <c r="BM1998" s="10"/>
    </row>
    <row r="1999" spans="1:65" ht="12.75">
      <c r="A1999" s="9"/>
      <c r="B1999" s="10"/>
      <c r="C1999" s="11"/>
      <c r="D1999" s="12"/>
      <c r="E1999" s="10"/>
      <c r="F1999" s="10"/>
      <c r="G1999" s="10"/>
      <c r="H1999" s="14"/>
      <c r="I1999" s="14"/>
      <c r="J1999" s="14"/>
      <c r="K1999" s="14"/>
      <c r="L1999" s="14"/>
      <c r="M1999" s="15"/>
      <c r="N1999" s="10"/>
      <c r="O1999" s="14"/>
      <c r="P1999" s="14"/>
      <c r="Q1999" s="14"/>
      <c r="R1999" s="14"/>
      <c r="S1999" s="14"/>
      <c r="T1999" s="14"/>
      <c r="U1999" s="14"/>
      <c r="V1999" s="14"/>
      <c r="W1999" s="14"/>
      <c r="X1999" s="14"/>
      <c r="Y1999" s="14"/>
      <c r="Z1999" s="14"/>
      <c r="AA1999" s="16" t="str">
        <f t="shared" ca="1" si="1656"/>
        <v>Johnson &amp; Johnson</v>
      </c>
      <c r="AB1999" s="16">
        <f t="shared" si="1656"/>
        <v>0</v>
      </c>
      <c r="AC1999" s="16">
        <f t="shared" si="1656"/>
        <v>0</v>
      </c>
      <c r="AD1999" s="16">
        <f t="shared" si="1656"/>
        <v>0</v>
      </c>
      <c r="AE1999" s="16">
        <f t="shared" si="1656"/>
        <v>0</v>
      </c>
      <c r="AF1999" s="16">
        <f t="shared" si="1656"/>
        <v>0</v>
      </c>
      <c r="AG1999" s="16">
        <f t="shared" si="1656"/>
        <v>0</v>
      </c>
      <c r="AH1999" s="16">
        <f t="shared" si="1656"/>
        <v>0</v>
      </c>
      <c r="AI1999" s="16">
        <f t="shared" si="1656"/>
        <v>0</v>
      </c>
      <c r="AJ1999" s="16">
        <f t="shared" si="1656"/>
        <v>0</v>
      </c>
      <c r="AK1999" s="16">
        <f t="shared" si="1656"/>
        <v>0</v>
      </c>
      <c r="AL1999" s="16">
        <f t="shared" si="1656"/>
        <v>0</v>
      </c>
      <c r="AM1999" s="16">
        <f t="shared" si="1656"/>
        <v>0</v>
      </c>
      <c r="AN1999" s="16">
        <f t="shared" si="1656"/>
        <v>0</v>
      </c>
      <c r="AO1999" s="16">
        <f t="shared" si="1656"/>
        <v>0</v>
      </c>
      <c r="AP1999" s="10"/>
      <c r="AQ1999" s="10"/>
      <c r="AR1999" s="10"/>
      <c r="AS1999" s="10" t="str">
        <f t="shared" ca="1" si="1641"/>
        <v>Johnson &amp; Johnson</v>
      </c>
      <c r="AT1999" s="10"/>
      <c r="AU1999" s="10"/>
      <c r="AV1999" s="10"/>
      <c r="AW1999" s="10"/>
      <c r="AX1999" s="10"/>
      <c r="AY1999" s="10"/>
      <c r="AZ1999" s="10"/>
      <c r="BA1999" s="10"/>
      <c r="BB1999" s="10"/>
      <c r="BC1999" s="10"/>
      <c r="BD1999" s="10"/>
      <c r="BE1999" s="10"/>
      <c r="BF1999" s="10"/>
      <c r="BG1999" s="10"/>
      <c r="BH1999" s="10"/>
      <c r="BI1999" s="10"/>
      <c r="BJ1999" s="10"/>
      <c r="BK1999" s="10"/>
      <c r="BM1999" s="10"/>
    </row>
    <row r="2000" spans="1:65" ht="12.75">
      <c r="A2000" s="9"/>
      <c r="B2000" s="10"/>
      <c r="C2000" s="11"/>
      <c r="D2000" s="12"/>
      <c r="E2000" s="10"/>
      <c r="F2000" s="10"/>
      <c r="G2000" s="10"/>
      <c r="H2000" s="14"/>
      <c r="I2000" s="14"/>
      <c r="J2000" s="14"/>
      <c r="K2000" s="14"/>
      <c r="L2000" s="14"/>
      <c r="M2000" s="15"/>
      <c r="N2000" s="10"/>
      <c r="O2000" s="14"/>
      <c r="P2000" s="14"/>
      <c r="Q2000" s="14"/>
      <c r="R2000" s="14"/>
      <c r="S2000" s="14"/>
      <c r="T2000" s="14"/>
      <c r="U2000" s="14"/>
      <c r="V2000" s="14"/>
      <c r="W2000" s="14"/>
      <c r="X2000" s="14"/>
      <c r="Y2000" s="14"/>
      <c r="Z2000" s="14"/>
      <c r="AA2000" s="16" t="str">
        <f t="shared" ca="1" si="1656"/>
        <v>Johnson &amp; Johnson</v>
      </c>
      <c r="AB2000" s="16">
        <f t="shared" si="1656"/>
        <v>0</v>
      </c>
      <c r="AC2000" s="16">
        <f t="shared" si="1656"/>
        <v>0</v>
      </c>
      <c r="AD2000" s="16">
        <f t="shared" si="1656"/>
        <v>0</v>
      </c>
      <c r="AE2000" s="16">
        <f t="shared" si="1656"/>
        <v>0</v>
      </c>
      <c r="AF2000" s="16">
        <f t="shared" si="1656"/>
        <v>0</v>
      </c>
      <c r="AG2000" s="16">
        <f t="shared" si="1656"/>
        <v>0</v>
      </c>
      <c r="AH2000" s="16">
        <f t="shared" si="1656"/>
        <v>0</v>
      </c>
      <c r="AI2000" s="16">
        <f t="shared" si="1656"/>
        <v>0</v>
      </c>
      <c r="AJ2000" s="16">
        <f t="shared" si="1656"/>
        <v>0</v>
      </c>
      <c r="AK2000" s="16">
        <f t="shared" si="1656"/>
        <v>0</v>
      </c>
      <c r="AL2000" s="16">
        <f t="shared" si="1656"/>
        <v>0</v>
      </c>
      <c r="AM2000" s="16">
        <f t="shared" si="1656"/>
        <v>0</v>
      </c>
      <c r="AN2000" s="16">
        <f t="shared" si="1656"/>
        <v>0</v>
      </c>
      <c r="AO2000" s="16">
        <f t="shared" si="1656"/>
        <v>0</v>
      </c>
      <c r="AP2000" s="10"/>
      <c r="AQ2000" s="10"/>
      <c r="AR2000" s="10"/>
      <c r="AS2000" s="10" t="str">
        <f t="shared" ca="1" si="1641"/>
        <v>Johnson &amp; Johnson</v>
      </c>
      <c r="AT2000" s="10"/>
      <c r="AU2000" s="10"/>
      <c r="AV2000" s="10"/>
      <c r="AW2000" s="10"/>
      <c r="AX2000" s="10"/>
      <c r="AY2000" s="10"/>
      <c r="AZ2000" s="10"/>
      <c r="BA2000" s="10"/>
      <c r="BB2000" s="10"/>
      <c r="BC2000" s="10"/>
      <c r="BD2000" s="10"/>
      <c r="BE2000" s="10"/>
      <c r="BF2000" s="10"/>
      <c r="BG2000" s="10"/>
      <c r="BH2000" s="10"/>
      <c r="BI2000" s="10"/>
      <c r="BJ2000" s="10"/>
      <c r="BK2000" s="10"/>
      <c r="BM2000" s="10"/>
    </row>
    <row r="2001" spans="1:65" ht="12.75">
      <c r="A2001" s="9"/>
      <c r="B2001" s="10"/>
      <c r="C2001" s="11"/>
      <c r="D2001" s="12"/>
      <c r="E2001" s="10"/>
      <c r="F2001" s="10"/>
      <c r="G2001" s="10"/>
      <c r="H2001" s="14"/>
      <c r="I2001" s="14"/>
      <c r="J2001" s="14"/>
      <c r="K2001" s="14"/>
      <c r="L2001" s="14"/>
      <c r="M2001" s="15"/>
      <c r="N2001" s="10"/>
      <c r="O2001" s="14"/>
      <c r="P2001" s="14"/>
      <c r="Q2001" s="14"/>
      <c r="R2001" s="14"/>
      <c r="S2001" s="14"/>
      <c r="T2001" s="14"/>
      <c r="U2001" s="14"/>
      <c r="V2001" s="14"/>
      <c r="W2001" s="14"/>
      <c r="X2001" s="14"/>
      <c r="Y2001" s="14"/>
      <c r="Z2001" s="14"/>
      <c r="AA2001" s="16" t="str">
        <f t="shared" ca="1" si="1656"/>
        <v>Johnson &amp; Johnson</v>
      </c>
      <c r="AB2001" s="16">
        <f t="shared" si="1656"/>
        <v>0</v>
      </c>
      <c r="AC2001" s="16">
        <f t="shared" si="1656"/>
        <v>0</v>
      </c>
      <c r="AD2001" s="16">
        <f t="shared" si="1656"/>
        <v>0</v>
      </c>
      <c r="AE2001" s="16">
        <f t="shared" si="1656"/>
        <v>0</v>
      </c>
      <c r="AF2001" s="16">
        <f t="shared" si="1656"/>
        <v>0</v>
      </c>
      <c r="AG2001" s="16">
        <f t="shared" si="1656"/>
        <v>0</v>
      </c>
      <c r="AH2001" s="16">
        <f t="shared" si="1656"/>
        <v>0</v>
      </c>
      <c r="AI2001" s="16">
        <f t="shared" si="1656"/>
        <v>0</v>
      </c>
      <c r="AJ2001" s="16">
        <f t="shared" si="1656"/>
        <v>0</v>
      </c>
      <c r="AK2001" s="16">
        <f t="shared" si="1656"/>
        <v>0</v>
      </c>
      <c r="AL2001" s="16">
        <f t="shared" si="1656"/>
        <v>0</v>
      </c>
      <c r="AM2001" s="16">
        <f t="shared" si="1656"/>
        <v>0</v>
      </c>
      <c r="AN2001" s="16">
        <f t="shared" si="1656"/>
        <v>0</v>
      </c>
      <c r="AO2001" s="16">
        <f t="shared" si="1656"/>
        <v>0</v>
      </c>
      <c r="AP2001" s="10"/>
      <c r="AQ2001" s="10"/>
      <c r="AR2001" s="10"/>
      <c r="AS2001" s="10" t="str">
        <f t="shared" ca="1" si="1641"/>
        <v>Johnson &amp; Johnson</v>
      </c>
      <c r="AT2001" s="10"/>
      <c r="AU2001" s="10"/>
      <c r="AV2001" s="10"/>
      <c r="AW2001" s="10"/>
      <c r="AX2001" s="10"/>
      <c r="AY2001" s="10"/>
      <c r="AZ2001" s="10"/>
      <c r="BA2001" s="10"/>
      <c r="BB2001" s="10"/>
      <c r="BC2001" s="10"/>
      <c r="BD2001" s="10"/>
      <c r="BE2001" s="10"/>
      <c r="BF2001" s="10"/>
      <c r="BG2001" s="10"/>
      <c r="BH2001" s="10"/>
      <c r="BI2001" s="10"/>
      <c r="BJ2001" s="10"/>
      <c r="BK2001" s="10"/>
      <c r="BM2001" s="10"/>
    </row>
    <row r="2002" spans="1:65" ht="12.75">
      <c r="A2002" s="9"/>
      <c r="B2002" s="10"/>
      <c r="C2002" s="11"/>
      <c r="D2002" s="12"/>
      <c r="E2002" s="10"/>
      <c r="F2002" s="10"/>
      <c r="G2002" s="10"/>
      <c r="H2002" s="14"/>
      <c r="I2002" s="14"/>
      <c r="J2002" s="14"/>
      <c r="K2002" s="14"/>
      <c r="L2002" s="14"/>
      <c r="M2002" s="15"/>
      <c r="N2002" s="10"/>
      <c r="O2002" s="14"/>
      <c r="P2002" s="14"/>
      <c r="Q2002" s="14"/>
      <c r="R2002" s="14"/>
      <c r="S2002" s="14"/>
      <c r="T2002" s="14"/>
      <c r="U2002" s="14"/>
      <c r="V2002" s="14"/>
      <c r="W2002" s="14"/>
      <c r="X2002" s="14"/>
      <c r="Y2002" s="14"/>
      <c r="Z2002" s="14"/>
      <c r="AA2002" s="16" t="str">
        <f t="shared" ca="1" si="1656"/>
        <v>Johnson &amp; Johnson</v>
      </c>
      <c r="AB2002" s="16">
        <f t="shared" si="1656"/>
        <v>0</v>
      </c>
      <c r="AC2002" s="16">
        <f t="shared" si="1656"/>
        <v>0</v>
      </c>
      <c r="AD2002" s="16">
        <f t="shared" si="1656"/>
        <v>0</v>
      </c>
      <c r="AE2002" s="16">
        <f t="shared" si="1656"/>
        <v>0</v>
      </c>
      <c r="AF2002" s="16">
        <f t="shared" si="1656"/>
        <v>0</v>
      </c>
      <c r="AG2002" s="16">
        <f t="shared" si="1656"/>
        <v>0</v>
      </c>
      <c r="AH2002" s="16">
        <f t="shared" si="1656"/>
        <v>0</v>
      </c>
      <c r="AI2002" s="16">
        <f t="shared" si="1656"/>
        <v>0</v>
      </c>
      <c r="AJ2002" s="16">
        <f t="shared" si="1656"/>
        <v>0</v>
      </c>
      <c r="AK2002" s="16">
        <f t="shared" si="1656"/>
        <v>0</v>
      </c>
      <c r="AL2002" s="16">
        <f t="shared" si="1656"/>
        <v>0</v>
      </c>
      <c r="AM2002" s="16">
        <f t="shared" si="1656"/>
        <v>0</v>
      </c>
      <c r="AN2002" s="16">
        <f t="shared" si="1656"/>
        <v>0</v>
      </c>
      <c r="AO2002" s="16">
        <f t="shared" si="1656"/>
        <v>0</v>
      </c>
      <c r="AP2002" s="10"/>
      <c r="AQ2002" s="10"/>
      <c r="AR2002" s="10"/>
      <c r="AS2002" s="10" t="str">
        <f t="shared" ca="1" si="1641"/>
        <v>Johnson &amp; Johnson</v>
      </c>
      <c r="AT2002" s="10"/>
      <c r="AU2002" s="10"/>
      <c r="AV2002" s="10"/>
      <c r="AW2002" s="10"/>
      <c r="AX2002" s="10"/>
      <c r="AY2002" s="10"/>
      <c r="AZ2002" s="10"/>
      <c r="BA2002" s="10"/>
      <c r="BB2002" s="10"/>
      <c r="BC2002" s="10"/>
      <c r="BD2002" s="10"/>
      <c r="BE2002" s="10"/>
      <c r="BF2002" s="10"/>
      <c r="BG2002" s="10"/>
      <c r="BH2002" s="10"/>
      <c r="BI2002" s="10"/>
      <c r="BJ2002" s="10"/>
      <c r="BK2002" s="10"/>
      <c r="BM2002" s="10"/>
    </row>
    <row r="2003" spans="1:65" ht="12.75">
      <c r="A2003" s="9"/>
      <c r="B2003" s="10"/>
      <c r="C2003" s="11"/>
      <c r="D2003" s="12"/>
      <c r="E2003" s="10"/>
      <c r="F2003" s="10"/>
      <c r="G2003" s="10"/>
      <c r="H2003" s="14"/>
      <c r="I2003" s="14"/>
      <c r="J2003" s="14"/>
      <c r="K2003" s="14"/>
      <c r="L2003" s="14"/>
      <c r="M2003" s="15"/>
      <c r="N2003" s="10"/>
      <c r="O2003" s="14"/>
      <c r="P2003" s="14"/>
      <c r="Q2003" s="14"/>
      <c r="R2003" s="14"/>
      <c r="S2003" s="14"/>
      <c r="T2003" s="14"/>
      <c r="U2003" s="14"/>
      <c r="V2003" s="14"/>
      <c r="W2003" s="14"/>
      <c r="X2003" s="14"/>
      <c r="Y2003" s="14"/>
      <c r="Z2003" s="14"/>
      <c r="AA2003" s="16" t="str">
        <f t="shared" ca="1" si="1656"/>
        <v>Johnson &amp; Johnson</v>
      </c>
      <c r="AB2003" s="16">
        <f t="shared" si="1656"/>
        <v>0</v>
      </c>
      <c r="AC2003" s="16">
        <f t="shared" si="1656"/>
        <v>0</v>
      </c>
      <c r="AD2003" s="16">
        <f t="shared" si="1656"/>
        <v>0</v>
      </c>
      <c r="AE2003" s="16">
        <f t="shared" si="1656"/>
        <v>0</v>
      </c>
      <c r="AF2003" s="16">
        <f t="shared" si="1656"/>
        <v>0</v>
      </c>
      <c r="AG2003" s="16">
        <f t="shared" si="1656"/>
        <v>0</v>
      </c>
      <c r="AH2003" s="16">
        <f t="shared" si="1656"/>
        <v>0</v>
      </c>
      <c r="AI2003" s="16">
        <f t="shared" si="1656"/>
        <v>0</v>
      </c>
      <c r="AJ2003" s="16">
        <f t="shared" si="1656"/>
        <v>0</v>
      </c>
      <c r="AK2003" s="16">
        <f t="shared" si="1656"/>
        <v>0</v>
      </c>
      <c r="AL2003" s="16">
        <f t="shared" si="1656"/>
        <v>0</v>
      </c>
      <c r="AM2003" s="16">
        <f t="shared" si="1656"/>
        <v>0</v>
      </c>
      <c r="AN2003" s="16">
        <f t="shared" si="1656"/>
        <v>0</v>
      </c>
      <c r="AO2003" s="16">
        <f t="shared" si="1656"/>
        <v>0</v>
      </c>
      <c r="AP2003" s="10"/>
      <c r="AQ2003" s="10"/>
      <c r="AR2003" s="10"/>
      <c r="AS2003" s="10" t="str">
        <f t="shared" ca="1" si="1641"/>
        <v>Johnson &amp; Johnson</v>
      </c>
      <c r="AT2003" s="10"/>
      <c r="AU2003" s="10"/>
      <c r="AV2003" s="10"/>
      <c r="AW2003" s="10"/>
      <c r="AX2003" s="10"/>
      <c r="AY2003" s="10"/>
      <c r="AZ2003" s="10"/>
      <c r="BA2003" s="10"/>
      <c r="BB2003" s="10"/>
      <c r="BC2003" s="10"/>
      <c r="BD2003" s="10"/>
      <c r="BE2003" s="10"/>
      <c r="BF2003" s="10"/>
      <c r="BG2003" s="10"/>
      <c r="BH2003" s="10"/>
      <c r="BI2003" s="10"/>
      <c r="BJ2003" s="10"/>
      <c r="BK2003" s="10"/>
      <c r="BM2003" s="10"/>
    </row>
    <row r="2004" spans="1:65" ht="12.75">
      <c r="A2004" s="9"/>
      <c r="B2004" s="10"/>
      <c r="C2004" s="11"/>
      <c r="D2004" s="12"/>
      <c r="E2004" s="10"/>
      <c r="F2004" s="10"/>
      <c r="G2004" s="10"/>
      <c r="H2004" s="14"/>
      <c r="I2004" s="14"/>
      <c r="J2004" s="14"/>
      <c r="K2004" s="14"/>
      <c r="L2004" s="14"/>
      <c r="M2004" s="15"/>
      <c r="N2004" s="10"/>
      <c r="O2004" s="14"/>
      <c r="P2004" s="14"/>
      <c r="Q2004" s="14"/>
      <c r="R2004" s="14"/>
      <c r="S2004" s="14"/>
      <c r="T2004" s="14"/>
      <c r="U2004" s="14"/>
      <c r="V2004" s="14"/>
      <c r="W2004" s="14"/>
      <c r="X2004" s="14"/>
      <c r="Y2004" s="14"/>
      <c r="Z2004" s="14"/>
      <c r="AA2004" s="16" t="str">
        <f t="shared" ca="1" si="1656"/>
        <v>Johnson &amp; Johnson</v>
      </c>
      <c r="AB2004" s="16">
        <f t="shared" si="1656"/>
        <v>0</v>
      </c>
      <c r="AC2004" s="16">
        <f t="shared" si="1656"/>
        <v>0</v>
      </c>
      <c r="AD2004" s="16">
        <f t="shared" si="1656"/>
        <v>0</v>
      </c>
      <c r="AE2004" s="16">
        <f t="shared" si="1656"/>
        <v>0</v>
      </c>
      <c r="AF2004" s="16">
        <f t="shared" si="1656"/>
        <v>0</v>
      </c>
      <c r="AG2004" s="16">
        <f t="shared" si="1656"/>
        <v>0</v>
      </c>
      <c r="AH2004" s="16">
        <f t="shared" si="1656"/>
        <v>0</v>
      </c>
      <c r="AI2004" s="16">
        <f t="shared" si="1656"/>
        <v>0</v>
      </c>
      <c r="AJ2004" s="16">
        <f t="shared" si="1656"/>
        <v>0</v>
      </c>
      <c r="AK2004" s="16">
        <f t="shared" si="1656"/>
        <v>0</v>
      </c>
      <c r="AL2004" s="16">
        <f t="shared" si="1656"/>
        <v>0</v>
      </c>
      <c r="AM2004" s="16">
        <f t="shared" si="1656"/>
        <v>0</v>
      </c>
      <c r="AN2004" s="16">
        <f t="shared" si="1656"/>
        <v>0</v>
      </c>
      <c r="AO2004" s="16">
        <f t="shared" si="1656"/>
        <v>0</v>
      </c>
      <c r="AP2004" s="10"/>
      <c r="AQ2004" s="10"/>
      <c r="AR2004" s="10"/>
      <c r="AS2004" s="10" t="str">
        <f t="shared" ca="1" si="1641"/>
        <v>Johnson &amp; Johnson</v>
      </c>
      <c r="AT2004" s="10"/>
      <c r="AU2004" s="10"/>
      <c r="AV2004" s="10"/>
      <c r="AW2004" s="10"/>
      <c r="AX2004" s="10"/>
      <c r="AY2004" s="10"/>
      <c r="AZ2004" s="10"/>
      <c r="BA2004" s="10"/>
      <c r="BB2004" s="10"/>
      <c r="BC2004" s="10"/>
      <c r="BD2004" s="10"/>
      <c r="BE2004" s="10"/>
      <c r="BF2004" s="10"/>
      <c r="BG2004" s="10"/>
      <c r="BH2004" s="10"/>
      <c r="BI2004" s="10"/>
      <c r="BJ2004" s="10"/>
      <c r="BK2004" s="10"/>
      <c r="BM2004" s="10"/>
    </row>
    <row r="2005" spans="1:65" ht="12.75">
      <c r="A2005" s="9"/>
      <c r="B2005" s="10"/>
      <c r="C2005" s="11"/>
      <c r="D2005" s="12"/>
      <c r="E2005" s="10"/>
      <c r="F2005" s="10"/>
      <c r="G2005" s="10"/>
      <c r="H2005" s="14"/>
      <c r="I2005" s="14"/>
      <c r="J2005" s="14"/>
      <c r="K2005" s="14"/>
      <c r="L2005" s="14"/>
      <c r="M2005" s="15"/>
      <c r="N2005" s="10"/>
      <c r="O2005" s="14"/>
      <c r="P2005" s="14"/>
      <c r="Q2005" s="14"/>
      <c r="R2005" s="14"/>
      <c r="S2005" s="14"/>
      <c r="T2005" s="14"/>
      <c r="U2005" s="14"/>
      <c r="V2005" s="14"/>
      <c r="W2005" s="14"/>
      <c r="X2005" s="14"/>
      <c r="Y2005" s="14"/>
      <c r="Z2005" s="14"/>
      <c r="AA2005" s="16" t="str">
        <f t="shared" ca="1" si="1656"/>
        <v>Johnson &amp; Johnson</v>
      </c>
      <c r="AB2005" s="16">
        <f t="shared" si="1656"/>
        <v>0</v>
      </c>
      <c r="AC2005" s="16">
        <f t="shared" si="1656"/>
        <v>0</v>
      </c>
      <c r="AD2005" s="16">
        <f t="shared" si="1656"/>
        <v>0</v>
      </c>
      <c r="AE2005" s="16">
        <f t="shared" si="1656"/>
        <v>0</v>
      </c>
      <c r="AF2005" s="16">
        <f t="shared" si="1656"/>
        <v>0</v>
      </c>
      <c r="AG2005" s="16">
        <f t="shared" si="1656"/>
        <v>0</v>
      </c>
      <c r="AH2005" s="16">
        <f t="shared" si="1656"/>
        <v>0</v>
      </c>
      <c r="AI2005" s="16">
        <f t="shared" si="1656"/>
        <v>0</v>
      </c>
      <c r="AJ2005" s="16">
        <f t="shared" si="1656"/>
        <v>0</v>
      </c>
      <c r="AK2005" s="16">
        <f t="shared" si="1656"/>
        <v>0</v>
      </c>
      <c r="AL2005" s="16">
        <f t="shared" si="1656"/>
        <v>0</v>
      </c>
      <c r="AM2005" s="16">
        <f t="shared" si="1656"/>
        <v>0</v>
      </c>
      <c r="AN2005" s="16">
        <f t="shared" si="1656"/>
        <v>0</v>
      </c>
      <c r="AO2005" s="16">
        <f t="shared" si="1656"/>
        <v>0</v>
      </c>
      <c r="AP2005" s="10"/>
      <c r="AQ2005" s="10"/>
      <c r="AR2005" s="10"/>
      <c r="AS2005" s="10" t="str">
        <f t="shared" ca="1" si="1641"/>
        <v>Johnson &amp; Johnson</v>
      </c>
      <c r="AT2005" s="10"/>
      <c r="AU2005" s="10"/>
      <c r="AV2005" s="10"/>
      <c r="AW2005" s="10"/>
      <c r="AX2005" s="10"/>
      <c r="AY2005" s="10"/>
      <c r="AZ2005" s="10"/>
      <c r="BA2005" s="10"/>
      <c r="BB2005" s="10"/>
      <c r="BC2005" s="10"/>
      <c r="BD2005" s="10"/>
      <c r="BE2005" s="10"/>
      <c r="BF2005" s="10"/>
      <c r="BG2005" s="10"/>
      <c r="BH2005" s="10"/>
      <c r="BI2005" s="10"/>
      <c r="BJ2005" s="10"/>
      <c r="BK2005" s="10"/>
      <c r="BM2005" s="10"/>
    </row>
    <row r="2006" spans="1:65" ht="12.75">
      <c r="A2006" s="9"/>
      <c r="B2006" s="10"/>
      <c r="C2006" s="11"/>
      <c r="D2006" s="12"/>
      <c r="E2006" s="10"/>
      <c r="F2006" s="10"/>
      <c r="G2006" s="10"/>
      <c r="H2006" s="14"/>
      <c r="I2006" s="14"/>
      <c r="J2006" s="14"/>
      <c r="K2006" s="14"/>
      <c r="L2006" s="14"/>
      <c r="M2006" s="15"/>
      <c r="N2006" s="10"/>
      <c r="O2006" s="14"/>
      <c r="P2006" s="14"/>
      <c r="Q2006" s="14"/>
      <c r="R2006" s="14"/>
      <c r="S2006" s="14"/>
      <c r="T2006" s="14"/>
      <c r="U2006" s="14"/>
      <c r="V2006" s="14"/>
      <c r="W2006" s="14"/>
      <c r="X2006" s="14"/>
      <c r="Y2006" s="14"/>
      <c r="Z2006" s="14"/>
      <c r="AA2006" s="16" t="str">
        <f t="shared" ca="1" si="1656"/>
        <v>Johnson &amp; Johnson</v>
      </c>
      <c r="AB2006" s="16">
        <f t="shared" si="1656"/>
        <v>0</v>
      </c>
      <c r="AC2006" s="16">
        <f t="shared" si="1656"/>
        <v>0</v>
      </c>
      <c r="AD2006" s="16">
        <f t="shared" si="1656"/>
        <v>0</v>
      </c>
      <c r="AE2006" s="16">
        <f t="shared" si="1656"/>
        <v>0</v>
      </c>
      <c r="AF2006" s="16">
        <f t="shared" si="1656"/>
        <v>0</v>
      </c>
      <c r="AG2006" s="16">
        <f t="shared" si="1656"/>
        <v>0</v>
      </c>
      <c r="AH2006" s="16">
        <f t="shared" si="1656"/>
        <v>0</v>
      </c>
      <c r="AI2006" s="16">
        <f t="shared" si="1656"/>
        <v>0</v>
      </c>
      <c r="AJ2006" s="16">
        <f t="shared" si="1656"/>
        <v>0</v>
      </c>
      <c r="AK2006" s="16">
        <f t="shared" si="1656"/>
        <v>0</v>
      </c>
      <c r="AL2006" s="16">
        <f t="shared" si="1656"/>
        <v>0</v>
      </c>
      <c r="AM2006" s="16">
        <f t="shared" si="1656"/>
        <v>0</v>
      </c>
      <c r="AN2006" s="16">
        <f t="shared" si="1656"/>
        <v>0</v>
      </c>
      <c r="AO2006" s="16">
        <f t="shared" si="1656"/>
        <v>0</v>
      </c>
      <c r="AP2006" s="10"/>
      <c r="AQ2006" s="10"/>
      <c r="AR2006" s="10"/>
      <c r="AS2006" s="10" t="str">
        <f t="shared" ca="1" si="1641"/>
        <v>Johnson &amp; Johnson</v>
      </c>
      <c r="AT2006" s="10"/>
      <c r="AU2006" s="10"/>
      <c r="AV2006" s="10"/>
      <c r="AW2006" s="10"/>
      <c r="AX2006" s="10"/>
      <c r="AY2006" s="10"/>
      <c r="AZ2006" s="10"/>
      <c r="BA2006" s="10"/>
      <c r="BB2006" s="10"/>
      <c r="BC2006" s="10"/>
      <c r="BD2006" s="10"/>
      <c r="BE2006" s="10"/>
      <c r="BF2006" s="10"/>
      <c r="BG2006" s="10"/>
      <c r="BH2006" s="10"/>
      <c r="BI2006" s="10"/>
      <c r="BJ2006" s="10"/>
      <c r="BK2006" s="10"/>
      <c r="BM2006" s="10"/>
    </row>
    <row r="2007" spans="1:65" ht="12.75">
      <c r="A2007" s="9"/>
      <c r="B2007" s="10"/>
      <c r="C2007" s="11"/>
      <c r="D2007" s="12"/>
      <c r="E2007" s="10"/>
      <c r="F2007" s="10"/>
      <c r="G2007" s="10"/>
      <c r="H2007" s="14"/>
      <c r="I2007" s="14"/>
      <c r="J2007" s="14"/>
      <c r="K2007" s="14"/>
      <c r="L2007" s="14"/>
      <c r="M2007" s="15"/>
      <c r="N2007" s="10"/>
      <c r="O2007" s="14"/>
      <c r="P2007" s="14"/>
      <c r="Q2007" s="14"/>
      <c r="R2007" s="14"/>
      <c r="S2007" s="14"/>
      <c r="T2007" s="14"/>
      <c r="U2007" s="14"/>
      <c r="V2007" s="14"/>
      <c r="W2007" s="14"/>
      <c r="X2007" s="14"/>
      <c r="Y2007" s="14"/>
      <c r="Z2007" s="14"/>
      <c r="AA2007" s="16" t="str">
        <f t="shared" ca="1" si="1656"/>
        <v>Johnson &amp; Johnson</v>
      </c>
      <c r="AB2007" s="16">
        <f t="shared" si="1656"/>
        <v>0</v>
      </c>
      <c r="AC2007" s="16">
        <f t="shared" si="1656"/>
        <v>0</v>
      </c>
      <c r="AD2007" s="16">
        <f t="shared" si="1656"/>
        <v>0</v>
      </c>
      <c r="AE2007" s="16">
        <f t="shared" si="1656"/>
        <v>0</v>
      </c>
      <c r="AF2007" s="16">
        <f t="shared" si="1656"/>
        <v>0</v>
      </c>
      <c r="AG2007" s="16">
        <f t="shared" si="1656"/>
        <v>0</v>
      </c>
      <c r="AH2007" s="16">
        <f t="shared" si="1656"/>
        <v>0</v>
      </c>
      <c r="AI2007" s="16">
        <f t="shared" si="1656"/>
        <v>0</v>
      </c>
      <c r="AJ2007" s="16">
        <f t="shared" si="1656"/>
        <v>0</v>
      </c>
      <c r="AK2007" s="16">
        <f t="shared" si="1656"/>
        <v>0</v>
      </c>
      <c r="AL2007" s="16">
        <f t="shared" si="1656"/>
        <v>0</v>
      </c>
      <c r="AM2007" s="16">
        <f t="shared" si="1656"/>
        <v>0</v>
      </c>
      <c r="AN2007" s="16">
        <f t="shared" si="1656"/>
        <v>0</v>
      </c>
      <c r="AO2007" s="16">
        <f t="shared" si="1656"/>
        <v>0</v>
      </c>
      <c r="AP2007" s="10"/>
      <c r="AQ2007" s="10"/>
      <c r="AR2007" s="10"/>
      <c r="AS2007" s="10" t="str">
        <f t="shared" ca="1" si="1641"/>
        <v>Johnson &amp; Johnson</v>
      </c>
      <c r="AT2007" s="10"/>
      <c r="AU2007" s="10"/>
      <c r="AV2007" s="10"/>
      <c r="AW2007" s="10"/>
      <c r="AX2007" s="10"/>
      <c r="AY2007" s="10"/>
      <c r="AZ2007" s="10"/>
      <c r="BA2007" s="10"/>
      <c r="BB2007" s="10"/>
      <c r="BC2007" s="10"/>
      <c r="BD2007" s="10"/>
      <c r="BE2007" s="10"/>
      <c r="BF2007" s="10"/>
      <c r="BG2007" s="10"/>
      <c r="BH2007" s="10"/>
      <c r="BI2007" s="10"/>
      <c r="BJ2007" s="10"/>
      <c r="BK2007" s="10"/>
      <c r="BM2007" s="10"/>
    </row>
    <row r="2008" spans="1:65" ht="12.75">
      <c r="A2008" s="9"/>
      <c r="B2008" s="10"/>
      <c r="C2008" s="11"/>
      <c r="D2008" s="12"/>
      <c r="E2008" s="10"/>
      <c r="F2008" s="10"/>
      <c r="G2008" s="10"/>
      <c r="H2008" s="14"/>
      <c r="I2008" s="14"/>
      <c r="J2008" s="14"/>
      <c r="K2008" s="14"/>
      <c r="L2008" s="14"/>
      <c r="M2008" s="15"/>
      <c r="N2008" s="10"/>
      <c r="O2008" s="14"/>
      <c r="P2008" s="14"/>
      <c r="Q2008" s="14"/>
      <c r="R2008" s="14"/>
      <c r="S2008" s="14"/>
      <c r="T2008" s="14"/>
      <c r="U2008" s="14"/>
      <c r="V2008" s="14"/>
      <c r="W2008" s="14"/>
      <c r="X2008" s="14"/>
      <c r="Y2008" s="14"/>
      <c r="Z2008" s="14"/>
      <c r="AA2008" s="16" t="str">
        <f t="shared" ca="1" si="1656"/>
        <v>Johnson &amp; Johnson</v>
      </c>
      <c r="AB2008" s="16">
        <f t="shared" si="1656"/>
        <v>0</v>
      </c>
      <c r="AC2008" s="16">
        <f t="shared" si="1656"/>
        <v>0</v>
      </c>
      <c r="AD2008" s="16">
        <f t="shared" si="1656"/>
        <v>0</v>
      </c>
      <c r="AE2008" s="16">
        <f t="shared" si="1656"/>
        <v>0</v>
      </c>
      <c r="AF2008" s="16">
        <f t="shared" si="1656"/>
        <v>0</v>
      </c>
      <c r="AG2008" s="16">
        <f t="shared" si="1656"/>
        <v>0</v>
      </c>
      <c r="AH2008" s="16">
        <f t="shared" si="1656"/>
        <v>0</v>
      </c>
      <c r="AI2008" s="16">
        <f t="shared" si="1656"/>
        <v>0</v>
      </c>
      <c r="AJ2008" s="16">
        <f t="shared" si="1656"/>
        <v>0</v>
      </c>
      <c r="AK2008" s="16">
        <f t="shared" si="1656"/>
        <v>0</v>
      </c>
      <c r="AL2008" s="16">
        <f t="shared" si="1656"/>
        <v>0</v>
      </c>
      <c r="AM2008" s="16">
        <f t="shared" si="1656"/>
        <v>0</v>
      </c>
      <c r="AN2008" s="16">
        <f t="shared" si="1656"/>
        <v>0</v>
      </c>
      <c r="AO2008" s="16">
        <f t="shared" si="1656"/>
        <v>0</v>
      </c>
      <c r="AP2008" s="10"/>
      <c r="AQ2008" s="10"/>
      <c r="AR2008" s="10"/>
      <c r="AS2008" s="10" t="str">
        <f t="shared" ca="1" si="1641"/>
        <v>Johnson &amp; Johnson</v>
      </c>
      <c r="AT2008" s="10"/>
      <c r="AU2008" s="10"/>
      <c r="AV2008" s="10"/>
      <c r="AW2008" s="10"/>
      <c r="AX2008" s="10"/>
      <c r="AY2008" s="10"/>
      <c r="AZ2008" s="10"/>
      <c r="BA2008" s="10"/>
      <c r="BB2008" s="10"/>
      <c r="BC2008" s="10"/>
      <c r="BD2008" s="10"/>
      <c r="BE2008" s="10"/>
      <c r="BF2008" s="10"/>
      <c r="BG2008" s="10"/>
      <c r="BH2008" s="10"/>
      <c r="BI2008" s="10"/>
      <c r="BJ2008" s="10"/>
      <c r="BK2008" s="10"/>
      <c r="BM2008" s="10"/>
    </row>
    <row r="2009" spans="1:65" ht="12.75">
      <c r="A2009" s="9"/>
      <c r="B2009" s="10"/>
      <c r="C2009" s="11"/>
      <c r="D2009" s="12"/>
      <c r="E2009" s="10"/>
      <c r="F2009" s="10"/>
      <c r="G2009" s="10"/>
      <c r="H2009" s="14"/>
      <c r="I2009" s="14"/>
      <c r="J2009" s="14"/>
      <c r="K2009" s="14"/>
      <c r="L2009" s="14"/>
      <c r="M2009" s="15"/>
      <c r="N2009" s="10"/>
      <c r="O2009" s="14"/>
      <c r="P2009" s="14"/>
      <c r="Q2009" s="14"/>
      <c r="R2009" s="14"/>
      <c r="S2009" s="14"/>
      <c r="T2009" s="14"/>
      <c r="U2009" s="14"/>
      <c r="V2009" s="14"/>
      <c r="W2009" s="14"/>
      <c r="X2009" s="14"/>
      <c r="Y2009" s="14"/>
      <c r="Z2009" s="14"/>
      <c r="AA2009" s="16" t="str">
        <f t="shared" ref="AA2009:AO2024" ca="1" si="1657">AS2009</f>
        <v>Johnson &amp; Johnson</v>
      </c>
      <c r="AB2009" s="16">
        <f t="shared" si="1657"/>
        <v>0</v>
      </c>
      <c r="AC2009" s="16">
        <f t="shared" si="1657"/>
        <v>0</v>
      </c>
      <c r="AD2009" s="16">
        <f t="shared" si="1657"/>
        <v>0</v>
      </c>
      <c r="AE2009" s="16">
        <f t="shared" si="1657"/>
        <v>0</v>
      </c>
      <c r="AF2009" s="16">
        <f t="shared" si="1657"/>
        <v>0</v>
      </c>
      <c r="AG2009" s="16">
        <f t="shared" si="1657"/>
        <v>0</v>
      </c>
      <c r="AH2009" s="16">
        <f t="shared" si="1657"/>
        <v>0</v>
      </c>
      <c r="AI2009" s="16">
        <f t="shared" si="1657"/>
        <v>0</v>
      </c>
      <c r="AJ2009" s="16">
        <f t="shared" si="1657"/>
        <v>0</v>
      </c>
      <c r="AK2009" s="16">
        <f t="shared" si="1657"/>
        <v>0</v>
      </c>
      <c r="AL2009" s="16">
        <f t="shared" si="1657"/>
        <v>0</v>
      </c>
      <c r="AM2009" s="16">
        <f t="shared" si="1657"/>
        <v>0</v>
      </c>
      <c r="AN2009" s="16">
        <f t="shared" si="1657"/>
        <v>0</v>
      </c>
      <c r="AO2009" s="16">
        <f t="shared" si="1657"/>
        <v>0</v>
      </c>
      <c r="AP2009" s="10"/>
      <c r="AQ2009" s="10"/>
      <c r="AR2009" s="10"/>
      <c r="AS2009" s="10" t="str">
        <f t="shared" ca="1" si="1641"/>
        <v>Johnson &amp; Johnson</v>
      </c>
      <c r="AT2009" s="10"/>
      <c r="AU2009" s="10"/>
      <c r="AV2009" s="10"/>
      <c r="AW2009" s="10"/>
      <c r="AX2009" s="10"/>
      <c r="AY2009" s="10"/>
      <c r="AZ2009" s="10"/>
      <c r="BA2009" s="10"/>
      <c r="BB2009" s="10"/>
      <c r="BC2009" s="10"/>
      <c r="BD2009" s="10"/>
      <c r="BE2009" s="10"/>
      <c r="BF2009" s="10"/>
      <c r="BG2009" s="10"/>
      <c r="BH2009" s="10"/>
      <c r="BI2009" s="10"/>
      <c r="BJ2009" s="10"/>
      <c r="BK2009" s="10"/>
      <c r="BM2009" s="10"/>
    </row>
    <row r="2010" spans="1:65" ht="12.75">
      <c r="A2010" s="9"/>
      <c r="B2010" s="10"/>
      <c r="C2010" s="11"/>
      <c r="D2010" s="12"/>
      <c r="E2010" s="10"/>
      <c r="F2010" s="10"/>
      <c r="G2010" s="10"/>
      <c r="H2010" s="14"/>
      <c r="I2010" s="14"/>
      <c r="J2010" s="14"/>
      <c r="K2010" s="14"/>
      <c r="L2010" s="14"/>
      <c r="M2010" s="15"/>
      <c r="N2010" s="10"/>
      <c r="O2010" s="14"/>
      <c r="P2010" s="14"/>
      <c r="Q2010" s="14"/>
      <c r="R2010" s="14"/>
      <c r="S2010" s="14"/>
      <c r="T2010" s="14"/>
      <c r="U2010" s="14"/>
      <c r="V2010" s="14"/>
      <c r="W2010" s="14"/>
      <c r="X2010" s="14"/>
      <c r="Y2010" s="14"/>
      <c r="Z2010" s="14"/>
      <c r="AA2010" s="16" t="str">
        <f t="shared" ca="1" si="1657"/>
        <v>Johnson &amp; Johnson</v>
      </c>
      <c r="AB2010" s="16">
        <f t="shared" si="1657"/>
        <v>0</v>
      </c>
      <c r="AC2010" s="16">
        <f t="shared" si="1657"/>
        <v>0</v>
      </c>
      <c r="AD2010" s="16">
        <f t="shared" si="1657"/>
        <v>0</v>
      </c>
      <c r="AE2010" s="16">
        <f t="shared" si="1657"/>
        <v>0</v>
      </c>
      <c r="AF2010" s="16">
        <f t="shared" si="1657"/>
        <v>0</v>
      </c>
      <c r="AG2010" s="16">
        <f t="shared" si="1657"/>
        <v>0</v>
      </c>
      <c r="AH2010" s="16">
        <f t="shared" si="1657"/>
        <v>0</v>
      </c>
      <c r="AI2010" s="16">
        <f t="shared" si="1657"/>
        <v>0</v>
      </c>
      <c r="AJ2010" s="16">
        <f t="shared" si="1657"/>
        <v>0</v>
      </c>
      <c r="AK2010" s="16">
        <f t="shared" si="1657"/>
        <v>0</v>
      </c>
      <c r="AL2010" s="16">
        <f t="shared" si="1657"/>
        <v>0</v>
      </c>
      <c r="AM2010" s="16">
        <f t="shared" si="1657"/>
        <v>0</v>
      </c>
      <c r="AN2010" s="16">
        <f t="shared" si="1657"/>
        <v>0</v>
      </c>
      <c r="AO2010" s="16">
        <f t="shared" si="1657"/>
        <v>0</v>
      </c>
      <c r="AP2010" s="10"/>
      <c r="AQ2010" s="10"/>
      <c r="AR2010" s="10"/>
      <c r="AS2010" s="10" t="str">
        <f t="shared" ca="1" si="1641"/>
        <v>Johnson &amp; Johnson</v>
      </c>
      <c r="AT2010" s="10"/>
      <c r="AU2010" s="10"/>
      <c r="AV2010" s="10"/>
      <c r="AW2010" s="10"/>
      <c r="AX2010" s="10"/>
      <c r="AY2010" s="10"/>
      <c r="AZ2010" s="10"/>
      <c r="BA2010" s="10"/>
      <c r="BB2010" s="10"/>
      <c r="BC2010" s="10"/>
      <c r="BD2010" s="10"/>
      <c r="BE2010" s="10"/>
      <c r="BF2010" s="10"/>
      <c r="BG2010" s="10"/>
      <c r="BH2010" s="10"/>
      <c r="BI2010" s="10"/>
      <c r="BJ2010" s="10"/>
      <c r="BK2010" s="10"/>
      <c r="BM2010" s="10"/>
    </row>
    <row r="2011" spans="1:65" ht="12.75">
      <c r="A2011" s="9"/>
      <c r="B2011" s="10"/>
      <c r="C2011" s="11"/>
      <c r="D2011" s="12"/>
      <c r="E2011" s="10"/>
      <c r="F2011" s="10"/>
      <c r="G2011" s="10"/>
      <c r="H2011" s="14"/>
      <c r="I2011" s="14"/>
      <c r="J2011" s="14"/>
      <c r="K2011" s="14"/>
      <c r="L2011" s="14"/>
      <c r="M2011" s="15"/>
      <c r="N2011" s="10"/>
      <c r="O2011" s="14"/>
      <c r="P2011" s="14"/>
      <c r="Q2011" s="14"/>
      <c r="R2011" s="14"/>
      <c r="S2011" s="14"/>
      <c r="T2011" s="14"/>
      <c r="U2011" s="14"/>
      <c r="V2011" s="14"/>
      <c r="W2011" s="14"/>
      <c r="X2011" s="14"/>
      <c r="Y2011" s="14"/>
      <c r="Z2011" s="14"/>
      <c r="AA2011" s="16" t="str">
        <f t="shared" ca="1" si="1657"/>
        <v>Johnson &amp; Johnson</v>
      </c>
      <c r="AB2011" s="16">
        <f t="shared" si="1657"/>
        <v>0</v>
      </c>
      <c r="AC2011" s="16">
        <f t="shared" si="1657"/>
        <v>0</v>
      </c>
      <c r="AD2011" s="16">
        <f t="shared" si="1657"/>
        <v>0</v>
      </c>
      <c r="AE2011" s="16">
        <f t="shared" si="1657"/>
        <v>0</v>
      </c>
      <c r="AF2011" s="16">
        <f t="shared" si="1657"/>
        <v>0</v>
      </c>
      <c r="AG2011" s="16">
        <f t="shared" si="1657"/>
        <v>0</v>
      </c>
      <c r="AH2011" s="16">
        <f t="shared" si="1657"/>
        <v>0</v>
      </c>
      <c r="AI2011" s="16">
        <f t="shared" si="1657"/>
        <v>0</v>
      </c>
      <c r="AJ2011" s="16">
        <f t="shared" si="1657"/>
        <v>0</v>
      </c>
      <c r="AK2011" s="16">
        <f t="shared" si="1657"/>
        <v>0</v>
      </c>
      <c r="AL2011" s="16">
        <f t="shared" si="1657"/>
        <v>0</v>
      </c>
      <c r="AM2011" s="16">
        <f t="shared" si="1657"/>
        <v>0</v>
      </c>
      <c r="AN2011" s="16">
        <f t="shared" si="1657"/>
        <v>0</v>
      </c>
      <c r="AO2011" s="16">
        <f t="shared" si="1657"/>
        <v>0</v>
      </c>
      <c r="AP2011" s="10"/>
      <c r="AQ2011" s="10"/>
      <c r="AR2011" s="10"/>
      <c r="AS2011" s="10" t="str">
        <f t="shared" ca="1" si="1641"/>
        <v>Johnson &amp; Johnson</v>
      </c>
      <c r="AT2011" s="10"/>
      <c r="AU2011" s="10"/>
      <c r="AV2011" s="10"/>
      <c r="AW2011" s="10"/>
      <c r="AX2011" s="10"/>
      <c r="AY2011" s="10"/>
      <c r="AZ2011" s="10"/>
      <c r="BA2011" s="10"/>
      <c r="BB2011" s="10"/>
      <c r="BC2011" s="10"/>
      <c r="BD2011" s="10"/>
      <c r="BE2011" s="10"/>
      <c r="BF2011" s="10"/>
      <c r="BG2011" s="10"/>
      <c r="BH2011" s="10"/>
      <c r="BI2011" s="10"/>
      <c r="BJ2011" s="10"/>
      <c r="BK2011" s="10"/>
      <c r="BM2011" s="10"/>
    </row>
    <row r="2012" spans="1:65" ht="12.75">
      <c r="A2012" s="9"/>
      <c r="B2012" s="10"/>
      <c r="C2012" s="11"/>
      <c r="D2012" s="12"/>
      <c r="E2012" s="10"/>
      <c r="F2012" s="10"/>
      <c r="G2012" s="10"/>
      <c r="H2012" s="14"/>
      <c r="I2012" s="14"/>
      <c r="J2012" s="14"/>
      <c r="K2012" s="14"/>
      <c r="L2012" s="14"/>
      <c r="M2012" s="15"/>
      <c r="N2012" s="10"/>
      <c r="O2012" s="14"/>
      <c r="P2012" s="14"/>
      <c r="Q2012" s="14"/>
      <c r="R2012" s="14"/>
      <c r="S2012" s="14"/>
      <c r="T2012" s="14"/>
      <c r="U2012" s="14"/>
      <c r="V2012" s="14"/>
      <c r="W2012" s="14"/>
      <c r="X2012" s="14"/>
      <c r="Y2012" s="14"/>
      <c r="Z2012" s="14"/>
      <c r="AA2012" s="16" t="str">
        <f t="shared" ca="1" si="1657"/>
        <v>Johnson &amp; Johnson</v>
      </c>
      <c r="AB2012" s="16">
        <f t="shared" si="1657"/>
        <v>0</v>
      </c>
      <c r="AC2012" s="16">
        <f t="shared" si="1657"/>
        <v>0</v>
      </c>
      <c r="AD2012" s="16">
        <f t="shared" si="1657"/>
        <v>0</v>
      </c>
      <c r="AE2012" s="16">
        <f t="shared" si="1657"/>
        <v>0</v>
      </c>
      <c r="AF2012" s="16">
        <f t="shared" si="1657"/>
        <v>0</v>
      </c>
      <c r="AG2012" s="16">
        <f t="shared" si="1657"/>
        <v>0</v>
      </c>
      <c r="AH2012" s="16">
        <f t="shared" si="1657"/>
        <v>0</v>
      </c>
      <c r="AI2012" s="16">
        <f t="shared" si="1657"/>
        <v>0</v>
      </c>
      <c r="AJ2012" s="16">
        <f t="shared" si="1657"/>
        <v>0</v>
      </c>
      <c r="AK2012" s="16">
        <f t="shared" si="1657"/>
        <v>0</v>
      </c>
      <c r="AL2012" s="16">
        <f t="shared" si="1657"/>
        <v>0</v>
      </c>
      <c r="AM2012" s="16">
        <f t="shared" si="1657"/>
        <v>0</v>
      </c>
      <c r="AN2012" s="16">
        <f t="shared" si="1657"/>
        <v>0</v>
      </c>
      <c r="AO2012" s="16">
        <f t="shared" si="1657"/>
        <v>0</v>
      </c>
      <c r="AP2012" s="10"/>
      <c r="AQ2012" s="10"/>
      <c r="AR2012" s="10"/>
      <c r="AS2012" s="10" t="str">
        <f t="shared" ca="1" si="1641"/>
        <v>Johnson &amp; Johnson</v>
      </c>
      <c r="AT2012" s="10"/>
      <c r="AU2012" s="10"/>
      <c r="AV2012" s="10"/>
      <c r="AW2012" s="10"/>
      <c r="AX2012" s="10"/>
      <c r="AY2012" s="10"/>
      <c r="AZ2012" s="10"/>
      <c r="BA2012" s="10"/>
      <c r="BB2012" s="10"/>
      <c r="BC2012" s="10"/>
      <c r="BD2012" s="10"/>
      <c r="BE2012" s="10"/>
      <c r="BF2012" s="10"/>
      <c r="BG2012" s="10"/>
      <c r="BH2012" s="10"/>
      <c r="BI2012" s="10"/>
      <c r="BJ2012" s="10"/>
      <c r="BK2012" s="10"/>
      <c r="BM2012" s="10"/>
    </row>
    <row r="2013" spans="1:65" ht="12.75">
      <c r="A2013" s="9"/>
      <c r="B2013" s="10"/>
      <c r="C2013" s="11"/>
      <c r="D2013" s="12"/>
      <c r="E2013" s="10"/>
      <c r="F2013" s="10"/>
      <c r="G2013" s="10"/>
      <c r="H2013" s="14"/>
      <c r="I2013" s="14"/>
      <c r="J2013" s="14"/>
      <c r="K2013" s="14"/>
      <c r="L2013" s="14"/>
      <c r="M2013" s="15"/>
      <c r="N2013" s="10"/>
      <c r="O2013" s="14"/>
      <c r="P2013" s="14"/>
      <c r="Q2013" s="14"/>
      <c r="R2013" s="14"/>
      <c r="S2013" s="14"/>
      <c r="T2013" s="14"/>
      <c r="U2013" s="14"/>
      <c r="V2013" s="14"/>
      <c r="W2013" s="14"/>
      <c r="X2013" s="14"/>
      <c r="Y2013" s="14"/>
      <c r="Z2013" s="14"/>
      <c r="AA2013" s="16" t="str">
        <f t="shared" ca="1" si="1657"/>
        <v>Johnson &amp; Johnson</v>
      </c>
      <c r="AB2013" s="16">
        <f t="shared" si="1657"/>
        <v>0</v>
      </c>
      <c r="AC2013" s="16">
        <f t="shared" si="1657"/>
        <v>0</v>
      </c>
      <c r="AD2013" s="16">
        <f t="shared" si="1657"/>
        <v>0</v>
      </c>
      <c r="AE2013" s="16">
        <f t="shared" si="1657"/>
        <v>0</v>
      </c>
      <c r="AF2013" s="16">
        <f t="shared" si="1657"/>
        <v>0</v>
      </c>
      <c r="AG2013" s="16">
        <f t="shared" si="1657"/>
        <v>0</v>
      </c>
      <c r="AH2013" s="16">
        <f t="shared" si="1657"/>
        <v>0</v>
      </c>
      <c r="AI2013" s="16">
        <f t="shared" si="1657"/>
        <v>0</v>
      </c>
      <c r="AJ2013" s="16">
        <f t="shared" si="1657"/>
        <v>0</v>
      </c>
      <c r="AK2013" s="16">
        <f t="shared" si="1657"/>
        <v>0</v>
      </c>
      <c r="AL2013" s="16">
        <f t="shared" si="1657"/>
        <v>0</v>
      </c>
      <c r="AM2013" s="16">
        <f t="shared" si="1657"/>
        <v>0</v>
      </c>
      <c r="AN2013" s="16">
        <f t="shared" si="1657"/>
        <v>0</v>
      </c>
      <c r="AO2013" s="16">
        <f t="shared" si="1657"/>
        <v>0</v>
      </c>
      <c r="AP2013" s="10"/>
      <c r="AQ2013" s="10"/>
      <c r="AR2013" s="10"/>
      <c r="AS2013" s="10" t="str">
        <f t="shared" ca="1" si="1641"/>
        <v>Johnson &amp; Johnson</v>
      </c>
      <c r="AT2013" s="10"/>
      <c r="AU2013" s="10"/>
      <c r="AV2013" s="10"/>
      <c r="AW2013" s="10"/>
      <c r="AX2013" s="10"/>
      <c r="AY2013" s="10"/>
      <c r="AZ2013" s="10"/>
      <c r="BA2013" s="10"/>
      <c r="BB2013" s="10"/>
      <c r="BC2013" s="10"/>
      <c r="BD2013" s="10"/>
      <c r="BE2013" s="10"/>
      <c r="BF2013" s="10"/>
      <c r="BG2013" s="10"/>
      <c r="BH2013" s="10"/>
      <c r="BI2013" s="10"/>
      <c r="BJ2013" s="10"/>
      <c r="BK2013" s="10"/>
      <c r="BM2013" s="10"/>
    </row>
    <row r="2014" spans="1:65" ht="12.75">
      <c r="A2014" s="9"/>
      <c r="B2014" s="10"/>
      <c r="C2014" s="11"/>
      <c r="D2014" s="12"/>
      <c r="E2014" s="10"/>
      <c r="F2014" s="10"/>
      <c r="G2014" s="10"/>
      <c r="H2014" s="14"/>
      <c r="I2014" s="14"/>
      <c r="J2014" s="14"/>
      <c r="K2014" s="14"/>
      <c r="L2014" s="14"/>
      <c r="M2014" s="15"/>
      <c r="N2014" s="10"/>
      <c r="O2014" s="14"/>
      <c r="P2014" s="14"/>
      <c r="Q2014" s="14"/>
      <c r="R2014" s="14"/>
      <c r="S2014" s="14"/>
      <c r="T2014" s="14"/>
      <c r="U2014" s="14"/>
      <c r="V2014" s="14"/>
      <c r="W2014" s="14"/>
      <c r="X2014" s="14"/>
      <c r="Y2014" s="14"/>
      <c r="Z2014" s="14"/>
      <c r="AA2014" s="16" t="str">
        <f t="shared" ca="1" si="1657"/>
        <v>Johnson &amp; Johnson</v>
      </c>
      <c r="AB2014" s="16">
        <f t="shared" si="1657"/>
        <v>0</v>
      </c>
      <c r="AC2014" s="16">
        <f t="shared" si="1657"/>
        <v>0</v>
      </c>
      <c r="AD2014" s="16">
        <f t="shared" si="1657"/>
        <v>0</v>
      </c>
      <c r="AE2014" s="16">
        <f t="shared" si="1657"/>
        <v>0</v>
      </c>
      <c r="AF2014" s="16">
        <f t="shared" si="1657"/>
        <v>0</v>
      </c>
      <c r="AG2014" s="16">
        <f t="shared" si="1657"/>
        <v>0</v>
      </c>
      <c r="AH2014" s="16">
        <f t="shared" si="1657"/>
        <v>0</v>
      </c>
      <c r="AI2014" s="16">
        <f t="shared" si="1657"/>
        <v>0</v>
      </c>
      <c r="AJ2014" s="16">
        <f t="shared" si="1657"/>
        <v>0</v>
      </c>
      <c r="AK2014" s="16">
        <f t="shared" si="1657"/>
        <v>0</v>
      </c>
      <c r="AL2014" s="16">
        <f t="shared" si="1657"/>
        <v>0</v>
      </c>
      <c r="AM2014" s="16">
        <f t="shared" si="1657"/>
        <v>0</v>
      </c>
      <c r="AN2014" s="16">
        <f t="shared" si="1657"/>
        <v>0</v>
      </c>
      <c r="AO2014" s="16">
        <f t="shared" si="1657"/>
        <v>0</v>
      </c>
      <c r="AP2014" s="10"/>
      <c r="AQ2014" s="10"/>
      <c r="AR2014" s="10"/>
      <c r="AS2014" s="10" t="str">
        <f t="shared" ca="1" si="1641"/>
        <v>Johnson &amp; Johnson</v>
      </c>
      <c r="AT2014" s="10"/>
      <c r="AU2014" s="10"/>
      <c r="AV2014" s="10"/>
      <c r="AW2014" s="10"/>
      <c r="AX2014" s="10"/>
      <c r="AY2014" s="10"/>
      <c r="AZ2014" s="10"/>
      <c r="BA2014" s="10"/>
      <c r="BB2014" s="10"/>
      <c r="BC2014" s="10"/>
      <c r="BD2014" s="10"/>
      <c r="BE2014" s="10"/>
      <c r="BF2014" s="10"/>
      <c r="BG2014" s="10"/>
      <c r="BH2014" s="10"/>
      <c r="BI2014" s="10"/>
      <c r="BJ2014" s="10"/>
      <c r="BK2014" s="10"/>
      <c r="BM2014" s="10"/>
    </row>
    <row r="2015" spans="1:65" ht="12.75">
      <c r="A2015" s="9"/>
      <c r="B2015" s="10"/>
      <c r="C2015" s="11"/>
      <c r="D2015" s="12"/>
      <c r="E2015" s="10"/>
      <c r="F2015" s="10"/>
      <c r="G2015" s="10"/>
      <c r="H2015" s="14"/>
      <c r="I2015" s="14"/>
      <c r="J2015" s="14"/>
      <c r="K2015" s="14"/>
      <c r="L2015" s="14"/>
      <c r="M2015" s="15"/>
      <c r="N2015" s="10"/>
      <c r="O2015" s="14"/>
      <c r="P2015" s="14"/>
      <c r="Q2015" s="14"/>
      <c r="R2015" s="14"/>
      <c r="S2015" s="14"/>
      <c r="T2015" s="14"/>
      <c r="U2015" s="14"/>
      <c r="V2015" s="14"/>
      <c r="W2015" s="14"/>
      <c r="X2015" s="14"/>
      <c r="Y2015" s="14"/>
      <c r="Z2015" s="14"/>
      <c r="AA2015" s="16" t="str">
        <f t="shared" ca="1" si="1657"/>
        <v>Johnson &amp; Johnson</v>
      </c>
      <c r="AB2015" s="16">
        <f t="shared" si="1657"/>
        <v>0</v>
      </c>
      <c r="AC2015" s="16">
        <f t="shared" si="1657"/>
        <v>0</v>
      </c>
      <c r="AD2015" s="16">
        <f t="shared" si="1657"/>
        <v>0</v>
      </c>
      <c r="AE2015" s="16">
        <f t="shared" si="1657"/>
        <v>0</v>
      </c>
      <c r="AF2015" s="16">
        <f t="shared" si="1657"/>
        <v>0</v>
      </c>
      <c r="AG2015" s="16">
        <f t="shared" si="1657"/>
        <v>0</v>
      </c>
      <c r="AH2015" s="16">
        <f t="shared" si="1657"/>
        <v>0</v>
      </c>
      <c r="AI2015" s="16">
        <f t="shared" si="1657"/>
        <v>0</v>
      </c>
      <c r="AJ2015" s="16">
        <f t="shared" si="1657"/>
        <v>0</v>
      </c>
      <c r="AK2015" s="16">
        <f t="shared" si="1657"/>
        <v>0</v>
      </c>
      <c r="AL2015" s="16">
        <f t="shared" si="1657"/>
        <v>0</v>
      </c>
      <c r="AM2015" s="16">
        <f t="shared" si="1657"/>
        <v>0</v>
      </c>
      <c r="AN2015" s="16">
        <f t="shared" si="1657"/>
        <v>0</v>
      </c>
      <c r="AO2015" s="16">
        <f t="shared" si="1657"/>
        <v>0</v>
      </c>
      <c r="AP2015" s="10"/>
      <c r="AQ2015" s="10"/>
      <c r="AR2015" s="10"/>
      <c r="AS2015" s="10" t="str">
        <f t="shared" ca="1" si="1641"/>
        <v>Johnson &amp; Johnson</v>
      </c>
      <c r="AT2015" s="10"/>
      <c r="AU2015" s="10"/>
      <c r="AV2015" s="10"/>
      <c r="AW2015" s="10"/>
      <c r="AX2015" s="10"/>
      <c r="AY2015" s="10"/>
      <c r="AZ2015" s="10"/>
      <c r="BA2015" s="10"/>
      <c r="BB2015" s="10"/>
      <c r="BC2015" s="10"/>
      <c r="BD2015" s="10"/>
      <c r="BE2015" s="10"/>
      <c r="BF2015" s="10"/>
      <c r="BG2015" s="10"/>
      <c r="BH2015" s="10"/>
      <c r="BI2015" s="10"/>
      <c r="BJ2015" s="10"/>
      <c r="BK2015" s="10"/>
      <c r="BM2015" s="10"/>
    </row>
    <row r="2016" spans="1:65" ht="12.75">
      <c r="A2016" s="9"/>
      <c r="B2016" s="10"/>
      <c r="C2016" s="11"/>
      <c r="D2016" s="12"/>
      <c r="E2016" s="10"/>
      <c r="F2016" s="10"/>
      <c r="G2016" s="10"/>
      <c r="H2016" s="14"/>
      <c r="I2016" s="14"/>
      <c r="J2016" s="14"/>
      <c r="K2016" s="14"/>
      <c r="L2016" s="14"/>
      <c r="M2016" s="15"/>
      <c r="N2016" s="10"/>
      <c r="O2016" s="14"/>
      <c r="P2016" s="14"/>
      <c r="Q2016" s="14"/>
      <c r="R2016" s="14"/>
      <c r="S2016" s="14"/>
      <c r="T2016" s="14"/>
      <c r="U2016" s="14"/>
      <c r="V2016" s="14"/>
      <c r="W2016" s="14"/>
      <c r="X2016" s="14"/>
      <c r="Y2016" s="14"/>
      <c r="Z2016" s="14"/>
      <c r="AA2016" s="16" t="str">
        <f t="shared" ca="1" si="1657"/>
        <v>Johnson &amp; Johnson</v>
      </c>
      <c r="AB2016" s="16">
        <f t="shared" si="1657"/>
        <v>0</v>
      </c>
      <c r="AC2016" s="16">
        <f t="shared" si="1657"/>
        <v>0</v>
      </c>
      <c r="AD2016" s="16">
        <f t="shared" si="1657"/>
        <v>0</v>
      </c>
      <c r="AE2016" s="16">
        <f t="shared" si="1657"/>
        <v>0</v>
      </c>
      <c r="AF2016" s="16">
        <f t="shared" si="1657"/>
        <v>0</v>
      </c>
      <c r="AG2016" s="16">
        <f t="shared" si="1657"/>
        <v>0</v>
      </c>
      <c r="AH2016" s="16">
        <f t="shared" si="1657"/>
        <v>0</v>
      </c>
      <c r="AI2016" s="16">
        <f t="shared" si="1657"/>
        <v>0</v>
      </c>
      <c r="AJ2016" s="16">
        <f t="shared" si="1657"/>
        <v>0</v>
      </c>
      <c r="AK2016" s="16">
        <f t="shared" si="1657"/>
        <v>0</v>
      </c>
      <c r="AL2016" s="16">
        <f t="shared" si="1657"/>
        <v>0</v>
      </c>
      <c r="AM2016" s="16">
        <f t="shared" si="1657"/>
        <v>0</v>
      </c>
      <c r="AN2016" s="16">
        <f t="shared" si="1657"/>
        <v>0</v>
      </c>
      <c r="AO2016" s="16">
        <f t="shared" si="1657"/>
        <v>0</v>
      </c>
      <c r="AP2016" s="10"/>
      <c r="AQ2016" s="10"/>
      <c r="AR2016" s="10"/>
      <c r="AS2016" s="10" t="str">
        <f t="shared" ca="1" si="1641"/>
        <v>Johnson &amp; Johnson</v>
      </c>
      <c r="AT2016" s="10"/>
      <c r="AU2016" s="10"/>
      <c r="AV2016" s="10"/>
      <c r="AW2016" s="10"/>
      <c r="AX2016" s="10"/>
      <c r="AY2016" s="10"/>
      <c r="AZ2016" s="10"/>
      <c r="BA2016" s="10"/>
      <c r="BB2016" s="10"/>
      <c r="BC2016" s="10"/>
      <c r="BD2016" s="10"/>
      <c r="BE2016" s="10"/>
      <c r="BF2016" s="10"/>
      <c r="BG2016" s="10"/>
      <c r="BH2016" s="10"/>
      <c r="BI2016" s="10"/>
      <c r="BJ2016" s="10"/>
      <c r="BK2016" s="10"/>
      <c r="BM2016" s="10"/>
    </row>
    <row r="2017" spans="1:65" ht="12.75">
      <c r="A2017" s="9"/>
      <c r="B2017" s="10"/>
      <c r="C2017" s="11"/>
      <c r="D2017" s="12"/>
      <c r="E2017" s="10"/>
      <c r="F2017" s="10"/>
      <c r="G2017" s="10"/>
      <c r="H2017" s="14"/>
      <c r="I2017" s="14"/>
      <c r="J2017" s="14"/>
      <c r="K2017" s="14"/>
      <c r="L2017" s="14"/>
      <c r="M2017" s="15"/>
      <c r="N2017" s="10"/>
      <c r="O2017" s="14"/>
      <c r="P2017" s="14"/>
      <c r="Q2017" s="14"/>
      <c r="R2017" s="14"/>
      <c r="S2017" s="14"/>
      <c r="T2017" s="14"/>
      <c r="U2017" s="14"/>
      <c r="V2017" s="14"/>
      <c r="W2017" s="14"/>
      <c r="X2017" s="14"/>
      <c r="Y2017" s="14"/>
      <c r="Z2017" s="14"/>
      <c r="AA2017" s="16" t="str">
        <f t="shared" ca="1" si="1657"/>
        <v>Johnson &amp; Johnson</v>
      </c>
      <c r="AB2017" s="16">
        <f t="shared" si="1657"/>
        <v>0</v>
      </c>
      <c r="AC2017" s="16">
        <f t="shared" si="1657"/>
        <v>0</v>
      </c>
      <c r="AD2017" s="16">
        <f t="shared" si="1657"/>
        <v>0</v>
      </c>
      <c r="AE2017" s="16">
        <f t="shared" si="1657"/>
        <v>0</v>
      </c>
      <c r="AF2017" s="16">
        <f t="shared" si="1657"/>
        <v>0</v>
      </c>
      <c r="AG2017" s="16">
        <f t="shared" si="1657"/>
        <v>0</v>
      </c>
      <c r="AH2017" s="16">
        <f t="shared" si="1657"/>
        <v>0</v>
      </c>
      <c r="AI2017" s="16">
        <f t="shared" si="1657"/>
        <v>0</v>
      </c>
      <c r="AJ2017" s="16">
        <f t="shared" si="1657"/>
        <v>0</v>
      </c>
      <c r="AK2017" s="16">
        <f t="shared" si="1657"/>
        <v>0</v>
      </c>
      <c r="AL2017" s="16">
        <f t="shared" si="1657"/>
        <v>0</v>
      </c>
      <c r="AM2017" s="16">
        <f t="shared" si="1657"/>
        <v>0</v>
      </c>
      <c r="AN2017" s="16">
        <f t="shared" si="1657"/>
        <v>0</v>
      </c>
      <c r="AO2017" s="16">
        <f t="shared" si="1657"/>
        <v>0</v>
      </c>
      <c r="AP2017" s="10"/>
      <c r="AQ2017" s="10"/>
      <c r="AR2017" s="10"/>
      <c r="AS2017" s="10" t="str">
        <f t="shared" ca="1" si="1641"/>
        <v>Johnson &amp; Johnson</v>
      </c>
      <c r="AT2017" s="10"/>
      <c r="AU2017" s="10"/>
      <c r="AV2017" s="10"/>
      <c r="AW2017" s="10"/>
      <c r="AX2017" s="10"/>
      <c r="AY2017" s="10"/>
      <c r="AZ2017" s="10"/>
      <c r="BA2017" s="10"/>
      <c r="BB2017" s="10"/>
      <c r="BC2017" s="10"/>
      <c r="BD2017" s="10"/>
      <c r="BE2017" s="10"/>
      <c r="BF2017" s="10"/>
      <c r="BG2017" s="10"/>
      <c r="BH2017" s="10"/>
      <c r="BI2017" s="10"/>
      <c r="BJ2017" s="10"/>
      <c r="BK2017" s="10"/>
      <c r="BM2017" s="10"/>
    </row>
    <row r="2018" spans="1:65" ht="12.75">
      <c r="A2018" s="9"/>
      <c r="B2018" s="10"/>
      <c r="C2018" s="11"/>
      <c r="D2018" s="12"/>
      <c r="E2018" s="10"/>
      <c r="F2018" s="10"/>
      <c r="G2018" s="10"/>
      <c r="H2018" s="14"/>
      <c r="I2018" s="14"/>
      <c r="J2018" s="14"/>
      <c r="K2018" s="14"/>
      <c r="L2018" s="14"/>
      <c r="M2018" s="15"/>
      <c r="N2018" s="10"/>
      <c r="O2018" s="14"/>
      <c r="P2018" s="14"/>
      <c r="Q2018" s="14"/>
      <c r="R2018" s="14"/>
      <c r="S2018" s="14"/>
      <c r="T2018" s="14"/>
      <c r="U2018" s="14"/>
      <c r="V2018" s="14"/>
      <c r="W2018" s="14"/>
      <c r="X2018" s="14"/>
      <c r="Y2018" s="14"/>
      <c r="Z2018" s="14"/>
      <c r="AA2018" s="16" t="str">
        <f t="shared" ca="1" si="1657"/>
        <v>Johnson &amp; Johnson</v>
      </c>
      <c r="AB2018" s="16">
        <f t="shared" si="1657"/>
        <v>0</v>
      </c>
      <c r="AC2018" s="16">
        <f t="shared" si="1657"/>
        <v>0</v>
      </c>
      <c r="AD2018" s="16">
        <f t="shared" si="1657"/>
        <v>0</v>
      </c>
      <c r="AE2018" s="16">
        <f t="shared" si="1657"/>
        <v>0</v>
      </c>
      <c r="AF2018" s="16">
        <f t="shared" si="1657"/>
        <v>0</v>
      </c>
      <c r="AG2018" s="16">
        <f t="shared" si="1657"/>
        <v>0</v>
      </c>
      <c r="AH2018" s="16">
        <f t="shared" si="1657"/>
        <v>0</v>
      </c>
      <c r="AI2018" s="16">
        <f t="shared" si="1657"/>
        <v>0</v>
      </c>
      <c r="AJ2018" s="16">
        <f t="shared" si="1657"/>
        <v>0</v>
      </c>
      <c r="AK2018" s="16">
        <f t="shared" si="1657"/>
        <v>0</v>
      </c>
      <c r="AL2018" s="16">
        <f t="shared" si="1657"/>
        <v>0</v>
      </c>
      <c r="AM2018" s="16">
        <f t="shared" si="1657"/>
        <v>0</v>
      </c>
      <c r="AN2018" s="16">
        <f t="shared" si="1657"/>
        <v>0</v>
      </c>
      <c r="AO2018" s="16">
        <f t="shared" si="1657"/>
        <v>0</v>
      </c>
      <c r="AP2018" s="10"/>
      <c r="AQ2018" s="10"/>
      <c r="AR2018" s="10"/>
      <c r="AS2018" s="10" t="str">
        <f t="shared" ca="1" si="1641"/>
        <v>Johnson &amp; Johnson</v>
      </c>
      <c r="AT2018" s="10"/>
      <c r="AU2018" s="10"/>
      <c r="AV2018" s="10"/>
      <c r="AW2018" s="10"/>
      <c r="AX2018" s="10"/>
      <c r="AY2018" s="10"/>
      <c r="AZ2018" s="10"/>
      <c r="BA2018" s="10"/>
      <c r="BB2018" s="10"/>
      <c r="BC2018" s="10"/>
      <c r="BD2018" s="10"/>
      <c r="BE2018" s="10"/>
      <c r="BF2018" s="10"/>
      <c r="BG2018" s="10"/>
      <c r="BH2018" s="10"/>
      <c r="BI2018" s="10"/>
      <c r="BJ2018" s="10"/>
      <c r="BK2018" s="10"/>
      <c r="BM2018" s="10"/>
    </row>
    <row r="2019" spans="1:65" ht="12.75">
      <c r="A2019" s="9"/>
      <c r="B2019" s="10"/>
      <c r="C2019" s="11"/>
      <c r="D2019" s="12"/>
      <c r="E2019" s="10"/>
      <c r="F2019" s="10"/>
      <c r="G2019" s="10"/>
      <c r="H2019" s="14"/>
      <c r="I2019" s="14"/>
      <c r="J2019" s="14"/>
      <c r="K2019" s="14"/>
      <c r="L2019" s="14"/>
      <c r="M2019" s="15"/>
      <c r="N2019" s="10"/>
      <c r="O2019" s="14"/>
      <c r="P2019" s="14"/>
      <c r="Q2019" s="14"/>
      <c r="R2019" s="14"/>
      <c r="S2019" s="14"/>
      <c r="T2019" s="14"/>
      <c r="U2019" s="14"/>
      <c r="V2019" s="14"/>
      <c r="W2019" s="14"/>
      <c r="X2019" s="14"/>
      <c r="Y2019" s="14"/>
      <c r="Z2019" s="14"/>
      <c r="AA2019" s="16" t="str">
        <f t="shared" ca="1" si="1657"/>
        <v>Johnson &amp; Johnson</v>
      </c>
      <c r="AB2019" s="16">
        <f t="shared" si="1657"/>
        <v>0</v>
      </c>
      <c r="AC2019" s="16">
        <f t="shared" si="1657"/>
        <v>0</v>
      </c>
      <c r="AD2019" s="16">
        <f t="shared" si="1657"/>
        <v>0</v>
      </c>
      <c r="AE2019" s="16">
        <f t="shared" si="1657"/>
        <v>0</v>
      </c>
      <c r="AF2019" s="16">
        <f t="shared" si="1657"/>
        <v>0</v>
      </c>
      <c r="AG2019" s="16">
        <f t="shared" si="1657"/>
        <v>0</v>
      </c>
      <c r="AH2019" s="16">
        <f t="shared" si="1657"/>
        <v>0</v>
      </c>
      <c r="AI2019" s="16">
        <f t="shared" si="1657"/>
        <v>0</v>
      </c>
      <c r="AJ2019" s="16">
        <f t="shared" si="1657"/>
        <v>0</v>
      </c>
      <c r="AK2019" s="16">
        <f t="shared" si="1657"/>
        <v>0</v>
      </c>
      <c r="AL2019" s="16">
        <f t="shared" si="1657"/>
        <v>0</v>
      </c>
      <c r="AM2019" s="16">
        <f t="shared" si="1657"/>
        <v>0</v>
      </c>
      <c r="AN2019" s="16">
        <f t="shared" si="1657"/>
        <v>0</v>
      </c>
      <c r="AO2019" s="16">
        <f t="shared" si="1657"/>
        <v>0</v>
      </c>
      <c r="AP2019" s="10"/>
      <c r="AQ2019" s="10"/>
      <c r="AR2019" s="10"/>
      <c r="AS2019" s="10" t="str">
        <f t="shared" ca="1" si="1641"/>
        <v>Johnson &amp; Johnson</v>
      </c>
      <c r="AT2019" s="10"/>
      <c r="AU2019" s="10"/>
      <c r="AV2019" s="10"/>
      <c r="AW2019" s="10"/>
      <c r="AX2019" s="10"/>
      <c r="AY2019" s="10"/>
      <c r="AZ2019" s="10"/>
      <c r="BA2019" s="10"/>
      <c r="BB2019" s="10"/>
      <c r="BC2019" s="10"/>
      <c r="BD2019" s="10"/>
      <c r="BE2019" s="10"/>
      <c r="BF2019" s="10"/>
      <c r="BG2019" s="10"/>
      <c r="BH2019" s="10"/>
      <c r="BI2019" s="10"/>
      <c r="BJ2019" s="10"/>
      <c r="BK2019" s="10"/>
      <c r="BM2019" s="10"/>
    </row>
    <row r="2020" spans="1:65" ht="12.75">
      <c r="A2020" s="9"/>
      <c r="B2020" s="10"/>
      <c r="C2020" s="11"/>
      <c r="D2020" s="12"/>
      <c r="E2020" s="10"/>
      <c r="F2020" s="10"/>
      <c r="G2020" s="10"/>
      <c r="H2020" s="14"/>
      <c r="I2020" s="14"/>
      <c r="J2020" s="14"/>
      <c r="K2020" s="14"/>
      <c r="L2020" s="14"/>
      <c r="M2020" s="15"/>
      <c r="N2020" s="10"/>
      <c r="O2020" s="14"/>
      <c r="P2020" s="14"/>
      <c r="Q2020" s="14"/>
      <c r="R2020" s="14"/>
      <c r="S2020" s="14"/>
      <c r="T2020" s="14"/>
      <c r="U2020" s="14"/>
      <c r="V2020" s="14"/>
      <c r="W2020" s="14"/>
      <c r="X2020" s="14"/>
      <c r="Y2020" s="14"/>
      <c r="Z2020" s="14"/>
      <c r="AA2020" s="16" t="str">
        <f t="shared" ca="1" si="1657"/>
        <v>Johnson &amp; Johnson</v>
      </c>
      <c r="AB2020" s="16">
        <f t="shared" si="1657"/>
        <v>0</v>
      </c>
      <c r="AC2020" s="16">
        <f t="shared" si="1657"/>
        <v>0</v>
      </c>
      <c r="AD2020" s="16">
        <f t="shared" si="1657"/>
        <v>0</v>
      </c>
      <c r="AE2020" s="16">
        <f t="shared" si="1657"/>
        <v>0</v>
      </c>
      <c r="AF2020" s="16">
        <f t="shared" si="1657"/>
        <v>0</v>
      </c>
      <c r="AG2020" s="16">
        <f t="shared" si="1657"/>
        <v>0</v>
      </c>
      <c r="AH2020" s="16">
        <f t="shared" si="1657"/>
        <v>0</v>
      </c>
      <c r="AI2020" s="16">
        <f t="shared" si="1657"/>
        <v>0</v>
      </c>
      <c r="AJ2020" s="16">
        <f t="shared" si="1657"/>
        <v>0</v>
      </c>
      <c r="AK2020" s="16">
        <f t="shared" si="1657"/>
        <v>0</v>
      </c>
      <c r="AL2020" s="16">
        <f t="shared" si="1657"/>
        <v>0</v>
      </c>
      <c r="AM2020" s="16">
        <f t="shared" si="1657"/>
        <v>0</v>
      </c>
      <c r="AN2020" s="16">
        <f t="shared" si="1657"/>
        <v>0</v>
      </c>
      <c r="AO2020" s="16">
        <f t="shared" si="1657"/>
        <v>0</v>
      </c>
      <c r="AP2020" s="10"/>
      <c r="AQ2020" s="10"/>
      <c r="AR2020" s="10"/>
      <c r="AS2020" s="10" t="str">
        <f t="shared" ca="1" si="1641"/>
        <v>Johnson &amp; Johnson</v>
      </c>
      <c r="AT2020" s="10"/>
      <c r="AU2020" s="10"/>
      <c r="AV2020" s="10"/>
      <c r="AW2020" s="10"/>
      <c r="AX2020" s="10"/>
      <c r="AY2020" s="10"/>
      <c r="AZ2020" s="10"/>
      <c r="BA2020" s="10"/>
      <c r="BB2020" s="10"/>
      <c r="BC2020" s="10"/>
      <c r="BD2020" s="10"/>
      <c r="BE2020" s="10"/>
      <c r="BF2020" s="10"/>
      <c r="BG2020" s="10"/>
      <c r="BH2020" s="10"/>
      <c r="BI2020" s="10"/>
      <c r="BJ2020" s="10"/>
      <c r="BK2020" s="10"/>
      <c r="BM2020" s="10"/>
    </row>
    <row r="2021" spans="1:65" ht="12.75">
      <c r="A2021" s="9"/>
      <c r="B2021" s="10"/>
      <c r="C2021" s="11"/>
      <c r="D2021" s="12"/>
      <c r="E2021" s="10"/>
      <c r="F2021" s="10"/>
      <c r="G2021" s="10"/>
      <c r="H2021" s="14"/>
      <c r="I2021" s="14"/>
      <c r="J2021" s="14"/>
      <c r="K2021" s="14"/>
      <c r="L2021" s="14"/>
      <c r="M2021" s="15"/>
      <c r="N2021" s="10"/>
      <c r="O2021" s="14"/>
      <c r="P2021" s="14"/>
      <c r="Q2021" s="14"/>
      <c r="R2021" s="14"/>
      <c r="S2021" s="14"/>
      <c r="T2021" s="14"/>
      <c r="U2021" s="14"/>
      <c r="V2021" s="14"/>
      <c r="W2021" s="14"/>
      <c r="X2021" s="14"/>
      <c r="Y2021" s="14"/>
      <c r="Z2021" s="14"/>
      <c r="AA2021" s="16" t="str">
        <f t="shared" ca="1" si="1657"/>
        <v>Johnson &amp; Johnson</v>
      </c>
      <c r="AB2021" s="16">
        <f t="shared" si="1657"/>
        <v>0</v>
      </c>
      <c r="AC2021" s="16">
        <f t="shared" si="1657"/>
        <v>0</v>
      </c>
      <c r="AD2021" s="16">
        <f t="shared" si="1657"/>
        <v>0</v>
      </c>
      <c r="AE2021" s="16">
        <f t="shared" si="1657"/>
        <v>0</v>
      </c>
      <c r="AF2021" s="16">
        <f t="shared" si="1657"/>
        <v>0</v>
      </c>
      <c r="AG2021" s="16">
        <f t="shared" si="1657"/>
        <v>0</v>
      </c>
      <c r="AH2021" s="16">
        <f t="shared" si="1657"/>
        <v>0</v>
      </c>
      <c r="AI2021" s="16">
        <f t="shared" si="1657"/>
        <v>0</v>
      </c>
      <c r="AJ2021" s="16">
        <f t="shared" si="1657"/>
        <v>0</v>
      </c>
      <c r="AK2021" s="16">
        <f t="shared" si="1657"/>
        <v>0</v>
      </c>
      <c r="AL2021" s="16">
        <f t="shared" si="1657"/>
        <v>0</v>
      </c>
      <c r="AM2021" s="16">
        <f t="shared" si="1657"/>
        <v>0</v>
      </c>
      <c r="AN2021" s="16">
        <f t="shared" si="1657"/>
        <v>0</v>
      </c>
      <c r="AO2021" s="16">
        <f t="shared" si="1657"/>
        <v>0</v>
      </c>
      <c r="AP2021" s="10"/>
      <c r="AQ2021" s="10"/>
      <c r="AR2021" s="10"/>
      <c r="AS2021" s="10" t="str">
        <f t="shared" ca="1" si="1641"/>
        <v>Johnson &amp; Johnson</v>
      </c>
      <c r="AT2021" s="10"/>
      <c r="AU2021" s="10"/>
      <c r="AV2021" s="10"/>
      <c r="AW2021" s="10"/>
      <c r="AX2021" s="10"/>
      <c r="AY2021" s="10"/>
      <c r="AZ2021" s="10"/>
      <c r="BA2021" s="10"/>
      <c r="BB2021" s="10"/>
      <c r="BC2021" s="10"/>
      <c r="BD2021" s="10"/>
      <c r="BE2021" s="10"/>
      <c r="BF2021" s="10"/>
      <c r="BG2021" s="10"/>
      <c r="BH2021" s="10"/>
      <c r="BI2021" s="10"/>
      <c r="BJ2021" s="10"/>
      <c r="BK2021" s="10"/>
      <c r="BM2021" s="10"/>
    </row>
    <row r="2022" spans="1:65" ht="12.75">
      <c r="A2022" s="9"/>
      <c r="B2022" s="10"/>
      <c r="C2022" s="11"/>
      <c r="D2022" s="12"/>
      <c r="E2022" s="10"/>
      <c r="F2022" s="10"/>
      <c r="G2022" s="10"/>
      <c r="H2022" s="14"/>
      <c r="I2022" s="14"/>
      <c r="J2022" s="14"/>
      <c r="K2022" s="14"/>
      <c r="L2022" s="14"/>
      <c r="M2022" s="15"/>
      <c r="N2022" s="10"/>
      <c r="O2022" s="14"/>
      <c r="P2022" s="14"/>
      <c r="Q2022" s="14"/>
      <c r="R2022" s="14"/>
      <c r="S2022" s="14"/>
      <c r="T2022" s="14"/>
      <c r="U2022" s="14"/>
      <c r="V2022" s="14"/>
      <c r="W2022" s="14"/>
      <c r="X2022" s="14"/>
      <c r="Y2022" s="14"/>
      <c r="Z2022" s="14"/>
      <c r="AA2022" s="16" t="str">
        <f t="shared" ca="1" si="1657"/>
        <v>Johnson &amp; Johnson</v>
      </c>
      <c r="AB2022" s="16">
        <f t="shared" si="1657"/>
        <v>0</v>
      </c>
      <c r="AC2022" s="16">
        <f t="shared" si="1657"/>
        <v>0</v>
      </c>
      <c r="AD2022" s="16">
        <f t="shared" si="1657"/>
        <v>0</v>
      </c>
      <c r="AE2022" s="16">
        <f t="shared" si="1657"/>
        <v>0</v>
      </c>
      <c r="AF2022" s="16">
        <f t="shared" si="1657"/>
        <v>0</v>
      </c>
      <c r="AG2022" s="16">
        <f t="shared" si="1657"/>
        <v>0</v>
      </c>
      <c r="AH2022" s="16">
        <f t="shared" si="1657"/>
        <v>0</v>
      </c>
      <c r="AI2022" s="16">
        <f t="shared" si="1657"/>
        <v>0</v>
      </c>
      <c r="AJ2022" s="16">
        <f t="shared" si="1657"/>
        <v>0</v>
      </c>
      <c r="AK2022" s="16">
        <f t="shared" si="1657"/>
        <v>0</v>
      </c>
      <c r="AL2022" s="16">
        <f t="shared" si="1657"/>
        <v>0</v>
      </c>
      <c r="AM2022" s="16">
        <f t="shared" si="1657"/>
        <v>0</v>
      </c>
      <c r="AN2022" s="16">
        <f t="shared" si="1657"/>
        <v>0</v>
      </c>
      <c r="AO2022" s="16">
        <f t="shared" si="1657"/>
        <v>0</v>
      </c>
      <c r="AP2022" s="10"/>
      <c r="AQ2022" s="10"/>
      <c r="AR2022" s="10"/>
      <c r="AS2022" s="10" t="str">
        <f t="shared" ref="AS2022:AS2060" ca="1" si="1658">IFERROR(__xludf.DUMMYFUNCTION("split(F1257,"","",true,true)"),"Johnson &amp; Johnson")</f>
        <v>Johnson &amp; Johnson</v>
      </c>
      <c r="AT2022" s="10"/>
      <c r="AU2022" s="10"/>
      <c r="AV2022" s="10"/>
      <c r="AW2022" s="10"/>
      <c r="AX2022" s="10"/>
      <c r="AY2022" s="10"/>
      <c r="AZ2022" s="10"/>
      <c r="BA2022" s="10"/>
      <c r="BB2022" s="10"/>
      <c r="BC2022" s="10"/>
      <c r="BD2022" s="10"/>
      <c r="BE2022" s="10"/>
      <c r="BF2022" s="10"/>
      <c r="BG2022" s="10"/>
      <c r="BH2022" s="10"/>
      <c r="BI2022" s="10"/>
      <c r="BJ2022" s="10"/>
      <c r="BK2022" s="10"/>
      <c r="BM2022" s="10"/>
    </row>
    <row r="2023" spans="1:65" ht="12.75">
      <c r="A2023" s="9"/>
      <c r="B2023" s="10"/>
      <c r="C2023" s="11"/>
      <c r="D2023" s="12"/>
      <c r="E2023" s="10"/>
      <c r="F2023" s="10"/>
      <c r="G2023" s="10"/>
      <c r="H2023" s="14"/>
      <c r="I2023" s="14"/>
      <c r="J2023" s="14"/>
      <c r="K2023" s="14"/>
      <c r="L2023" s="14"/>
      <c r="M2023" s="15"/>
      <c r="N2023" s="10"/>
      <c r="O2023" s="14"/>
      <c r="P2023" s="14"/>
      <c r="Q2023" s="14"/>
      <c r="R2023" s="14"/>
      <c r="S2023" s="14"/>
      <c r="T2023" s="14"/>
      <c r="U2023" s="14"/>
      <c r="V2023" s="14"/>
      <c r="W2023" s="14"/>
      <c r="X2023" s="14"/>
      <c r="Y2023" s="14"/>
      <c r="Z2023" s="14"/>
      <c r="AA2023" s="16" t="str">
        <f t="shared" ca="1" si="1657"/>
        <v>Johnson &amp; Johnson</v>
      </c>
      <c r="AB2023" s="16">
        <f t="shared" si="1657"/>
        <v>0</v>
      </c>
      <c r="AC2023" s="16">
        <f t="shared" si="1657"/>
        <v>0</v>
      </c>
      <c r="AD2023" s="16">
        <f t="shared" si="1657"/>
        <v>0</v>
      </c>
      <c r="AE2023" s="16">
        <f t="shared" si="1657"/>
        <v>0</v>
      </c>
      <c r="AF2023" s="16">
        <f t="shared" si="1657"/>
        <v>0</v>
      </c>
      <c r="AG2023" s="16">
        <f t="shared" si="1657"/>
        <v>0</v>
      </c>
      <c r="AH2023" s="16">
        <f t="shared" si="1657"/>
        <v>0</v>
      </c>
      <c r="AI2023" s="16">
        <f t="shared" si="1657"/>
        <v>0</v>
      </c>
      <c r="AJ2023" s="16">
        <f t="shared" si="1657"/>
        <v>0</v>
      </c>
      <c r="AK2023" s="16">
        <f t="shared" si="1657"/>
        <v>0</v>
      </c>
      <c r="AL2023" s="16">
        <f t="shared" si="1657"/>
        <v>0</v>
      </c>
      <c r="AM2023" s="16">
        <f t="shared" si="1657"/>
        <v>0</v>
      </c>
      <c r="AN2023" s="16">
        <f t="shared" si="1657"/>
        <v>0</v>
      </c>
      <c r="AO2023" s="16">
        <f t="shared" si="1657"/>
        <v>0</v>
      </c>
      <c r="AP2023" s="10"/>
      <c r="AQ2023" s="10"/>
      <c r="AR2023" s="10"/>
      <c r="AS2023" s="10" t="str">
        <f t="shared" ca="1" si="1658"/>
        <v>Johnson &amp; Johnson</v>
      </c>
      <c r="AT2023" s="10"/>
      <c r="AU2023" s="10"/>
      <c r="AV2023" s="10"/>
      <c r="AW2023" s="10"/>
      <c r="AX2023" s="10"/>
      <c r="AY2023" s="10"/>
      <c r="AZ2023" s="10"/>
      <c r="BA2023" s="10"/>
      <c r="BB2023" s="10"/>
      <c r="BC2023" s="10"/>
      <c r="BD2023" s="10"/>
      <c r="BE2023" s="10"/>
      <c r="BF2023" s="10"/>
      <c r="BG2023" s="10"/>
      <c r="BH2023" s="10"/>
      <c r="BI2023" s="10"/>
      <c r="BJ2023" s="10"/>
      <c r="BK2023" s="10"/>
      <c r="BM2023" s="10"/>
    </row>
    <row r="2024" spans="1:65" ht="12.75">
      <c r="A2024" s="9"/>
      <c r="B2024" s="10"/>
      <c r="C2024" s="11"/>
      <c r="D2024" s="12"/>
      <c r="E2024" s="10"/>
      <c r="F2024" s="10"/>
      <c r="G2024" s="10"/>
      <c r="H2024" s="14"/>
      <c r="I2024" s="14"/>
      <c r="J2024" s="14"/>
      <c r="K2024" s="14"/>
      <c r="L2024" s="14"/>
      <c r="M2024" s="15"/>
      <c r="N2024" s="10"/>
      <c r="O2024" s="14"/>
      <c r="P2024" s="14"/>
      <c r="Q2024" s="14"/>
      <c r="R2024" s="14"/>
      <c r="S2024" s="14"/>
      <c r="T2024" s="14"/>
      <c r="U2024" s="14"/>
      <c r="V2024" s="14"/>
      <c r="W2024" s="14"/>
      <c r="X2024" s="14"/>
      <c r="Y2024" s="14"/>
      <c r="Z2024" s="14"/>
      <c r="AA2024" s="16" t="str">
        <f t="shared" ca="1" si="1657"/>
        <v>Johnson &amp; Johnson</v>
      </c>
      <c r="AB2024" s="16">
        <f t="shared" si="1657"/>
        <v>0</v>
      </c>
      <c r="AC2024" s="16">
        <f t="shared" si="1657"/>
        <v>0</v>
      </c>
      <c r="AD2024" s="16">
        <f t="shared" si="1657"/>
        <v>0</v>
      </c>
      <c r="AE2024" s="16">
        <f t="shared" si="1657"/>
        <v>0</v>
      </c>
      <c r="AF2024" s="16">
        <f t="shared" si="1657"/>
        <v>0</v>
      </c>
      <c r="AG2024" s="16">
        <f t="shared" si="1657"/>
        <v>0</v>
      </c>
      <c r="AH2024" s="16">
        <f t="shared" si="1657"/>
        <v>0</v>
      </c>
      <c r="AI2024" s="16">
        <f t="shared" si="1657"/>
        <v>0</v>
      </c>
      <c r="AJ2024" s="16">
        <f t="shared" si="1657"/>
        <v>0</v>
      </c>
      <c r="AK2024" s="16">
        <f t="shared" si="1657"/>
        <v>0</v>
      </c>
      <c r="AL2024" s="16">
        <f t="shared" si="1657"/>
        <v>0</v>
      </c>
      <c r="AM2024" s="16">
        <f t="shared" si="1657"/>
        <v>0</v>
      </c>
      <c r="AN2024" s="16">
        <f t="shared" si="1657"/>
        <v>0</v>
      </c>
      <c r="AO2024" s="16">
        <f t="shared" si="1657"/>
        <v>0</v>
      </c>
      <c r="AP2024" s="10"/>
      <c r="AQ2024" s="10"/>
      <c r="AR2024" s="10"/>
      <c r="AS2024" s="10" t="str">
        <f t="shared" ca="1" si="1658"/>
        <v>Johnson &amp; Johnson</v>
      </c>
      <c r="AT2024" s="10"/>
      <c r="AU2024" s="10"/>
      <c r="AV2024" s="10"/>
      <c r="AW2024" s="10"/>
      <c r="AX2024" s="10"/>
      <c r="AY2024" s="10"/>
      <c r="AZ2024" s="10"/>
      <c r="BA2024" s="10"/>
      <c r="BB2024" s="10"/>
      <c r="BC2024" s="10"/>
      <c r="BD2024" s="10"/>
      <c r="BE2024" s="10"/>
      <c r="BF2024" s="10"/>
      <c r="BG2024" s="10"/>
      <c r="BH2024" s="10"/>
      <c r="BI2024" s="10"/>
      <c r="BJ2024" s="10"/>
      <c r="BK2024" s="10"/>
      <c r="BM2024" s="10"/>
    </row>
    <row r="2025" spans="1:65" ht="12.75">
      <c r="A2025" s="9"/>
      <c r="B2025" s="10"/>
      <c r="C2025" s="11"/>
      <c r="D2025" s="12"/>
      <c r="E2025" s="10"/>
      <c r="F2025" s="10"/>
      <c r="G2025" s="10"/>
      <c r="H2025" s="14"/>
      <c r="I2025" s="14"/>
      <c r="J2025" s="14"/>
      <c r="K2025" s="14"/>
      <c r="L2025" s="14"/>
      <c r="M2025" s="15"/>
      <c r="N2025" s="10"/>
      <c r="O2025" s="14"/>
      <c r="P2025" s="14"/>
      <c r="Q2025" s="14"/>
      <c r="R2025" s="14"/>
      <c r="S2025" s="14"/>
      <c r="T2025" s="14"/>
      <c r="U2025" s="14"/>
      <c r="V2025" s="14"/>
      <c r="W2025" s="14"/>
      <c r="X2025" s="14"/>
      <c r="Y2025" s="14"/>
      <c r="Z2025" s="14"/>
      <c r="AA2025" s="16" t="str">
        <f t="shared" ref="AA2025:AO2040" ca="1" si="1659">AS2025</f>
        <v>Johnson &amp; Johnson</v>
      </c>
      <c r="AB2025" s="16">
        <f t="shared" si="1659"/>
        <v>0</v>
      </c>
      <c r="AC2025" s="16">
        <f t="shared" si="1659"/>
        <v>0</v>
      </c>
      <c r="AD2025" s="16">
        <f t="shared" si="1659"/>
        <v>0</v>
      </c>
      <c r="AE2025" s="16">
        <f t="shared" si="1659"/>
        <v>0</v>
      </c>
      <c r="AF2025" s="16">
        <f t="shared" si="1659"/>
        <v>0</v>
      </c>
      <c r="AG2025" s="16">
        <f t="shared" si="1659"/>
        <v>0</v>
      </c>
      <c r="AH2025" s="16">
        <f t="shared" si="1659"/>
        <v>0</v>
      </c>
      <c r="AI2025" s="16">
        <f t="shared" si="1659"/>
        <v>0</v>
      </c>
      <c r="AJ2025" s="16">
        <f t="shared" si="1659"/>
        <v>0</v>
      </c>
      <c r="AK2025" s="16">
        <f t="shared" si="1659"/>
        <v>0</v>
      </c>
      <c r="AL2025" s="16">
        <f t="shared" si="1659"/>
        <v>0</v>
      </c>
      <c r="AM2025" s="16">
        <f t="shared" si="1659"/>
        <v>0</v>
      </c>
      <c r="AN2025" s="16">
        <f t="shared" si="1659"/>
        <v>0</v>
      </c>
      <c r="AO2025" s="16">
        <f t="shared" si="1659"/>
        <v>0</v>
      </c>
      <c r="AP2025" s="10"/>
      <c r="AQ2025" s="10"/>
      <c r="AR2025" s="10"/>
      <c r="AS2025" s="10" t="str">
        <f t="shared" ca="1" si="1658"/>
        <v>Johnson &amp; Johnson</v>
      </c>
      <c r="AT2025" s="10"/>
      <c r="AU2025" s="10"/>
      <c r="AV2025" s="10"/>
      <c r="AW2025" s="10"/>
      <c r="AX2025" s="10"/>
      <c r="AY2025" s="10"/>
      <c r="AZ2025" s="10"/>
      <c r="BA2025" s="10"/>
      <c r="BB2025" s="10"/>
      <c r="BC2025" s="10"/>
      <c r="BD2025" s="10"/>
      <c r="BE2025" s="10"/>
      <c r="BF2025" s="10"/>
      <c r="BG2025" s="10"/>
      <c r="BH2025" s="10"/>
      <c r="BI2025" s="10"/>
      <c r="BJ2025" s="10"/>
      <c r="BK2025" s="10"/>
      <c r="BM2025" s="10"/>
    </row>
    <row r="2026" spans="1:65" ht="12.75">
      <c r="A2026" s="9"/>
      <c r="B2026" s="10"/>
      <c r="C2026" s="11"/>
      <c r="D2026" s="12"/>
      <c r="E2026" s="10"/>
      <c r="F2026" s="10"/>
      <c r="G2026" s="10"/>
      <c r="H2026" s="14"/>
      <c r="I2026" s="14"/>
      <c r="J2026" s="14"/>
      <c r="K2026" s="14"/>
      <c r="L2026" s="14"/>
      <c r="M2026" s="15"/>
      <c r="N2026" s="10"/>
      <c r="O2026" s="14"/>
      <c r="P2026" s="14"/>
      <c r="Q2026" s="14"/>
      <c r="R2026" s="14"/>
      <c r="S2026" s="14"/>
      <c r="T2026" s="14"/>
      <c r="U2026" s="14"/>
      <c r="V2026" s="14"/>
      <c r="W2026" s="14"/>
      <c r="X2026" s="14"/>
      <c r="Y2026" s="14"/>
      <c r="Z2026" s="14"/>
      <c r="AA2026" s="16" t="str">
        <f t="shared" ca="1" si="1659"/>
        <v>Johnson &amp; Johnson</v>
      </c>
      <c r="AB2026" s="16">
        <f t="shared" si="1659"/>
        <v>0</v>
      </c>
      <c r="AC2026" s="16">
        <f t="shared" si="1659"/>
        <v>0</v>
      </c>
      <c r="AD2026" s="16">
        <f t="shared" si="1659"/>
        <v>0</v>
      </c>
      <c r="AE2026" s="16">
        <f t="shared" si="1659"/>
        <v>0</v>
      </c>
      <c r="AF2026" s="16">
        <f t="shared" si="1659"/>
        <v>0</v>
      </c>
      <c r="AG2026" s="16">
        <f t="shared" si="1659"/>
        <v>0</v>
      </c>
      <c r="AH2026" s="16">
        <f t="shared" si="1659"/>
        <v>0</v>
      </c>
      <c r="AI2026" s="16">
        <f t="shared" si="1659"/>
        <v>0</v>
      </c>
      <c r="AJ2026" s="16">
        <f t="shared" si="1659"/>
        <v>0</v>
      </c>
      <c r="AK2026" s="16">
        <f t="shared" si="1659"/>
        <v>0</v>
      </c>
      <c r="AL2026" s="16">
        <f t="shared" si="1659"/>
        <v>0</v>
      </c>
      <c r="AM2026" s="16">
        <f t="shared" si="1659"/>
        <v>0</v>
      </c>
      <c r="AN2026" s="16">
        <f t="shared" si="1659"/>
        <v>0</v>
      </c>
      <c r="AO2026" s="16">
        <f t="shared" si="1659"/>
        <v>0</v>
      </c>
      <c r="AP2026" s="10"/>
      <c r="AQ2026" s="10"/>
      <c r="AR2026" s="10"/>
      <c r="AS2026" s="10" t="str">
        <f t="shared" ca="1" si="1658"/>
        <v>Johnson &amp; Johnson</v>
      </c>
      <c r="AT2026" s="10"/>
      <c r="AU2026" s="10"/>
      <c r="AV2026" s="10"/>
      <c r="AW2026" s="10"/>
      <c r="AX2026" s="10"/>
      <c r="AY2026" s="10"/>
      <c r="AZ2026" s="10"/>
      <c r="BA2026" s="10"/>
      <c r="BB2026" s="10"/>
      <c r="BC2026" s="10"/>
      <c r="BD2026" s="10"/>
      <c r="BE2026" s="10"/>
      <c r="BF2026" s="10"/>
      <c r="BG2026" s="10"/>
      <c r="BH2026" s="10"/>
      <c r="BI2026" s="10"/>
      <c r="BJ2026" s="10"/>
      <c r="BK2026" s="10"/>
      <c r="BM2026" s="10"/>
    </row>
    <row r="2027" spans="1:65" ht="12.75">
      <c r="A2027" s="9"/>
      <c r="B2027" s="10"/>
      <c r="C2027" s="11"/>
      <c r="D2027" s="12"/>
      <c r="E2027" s="10"/>
      <c r="F2027" s="10"/>
      <c r="G2027" s="10"/>
      <c r="H2027" s="14"/>
      <c r="I2027" s="14"/>
      <c r="J2027" s="14"/>
      <c r="K2027" s="14"/>
      <c r="L2027" s="14"/>
      <c r="M2027" s="15"/>
      <c r="N2027" s="10"/>
      <c r="O2027" s="14"/>
      <c r="P2027" s="14"/>
      <c r="Q2027" s="14"/>
      <c r="R2027" s="14"/>
      <c r="S2027" s="14"/>
      <c r="T2027" s="14"/>
      <c r="U2027" s="14"/>
      <c r="V2027" s="14"/>
      <c r="W2027" s="14"/>
      <c r="X2027" s="14"/>
      <c r="Y2027" s="14"/>
      <c r="Z2027" s="14"/>
      <c r="AA2027" s="16" t="str">
        <f t="shared" ca="1" si="1659"/>
        <v>Johnson &amp; Johnson</v>
      </c>
      <c r="AB2027" s="16">
        <f t="shared" si="1659"/>
        <v>0</v>
      </c>
      <c r="AC2027" s="16">
        <f t="shared" si="1659"/>
        <v>0</v>
      </c>
      <c r="AD2027" s="16">
        <f t="shared" si="1659"/>
        <v>0</v>
      </c>
      <c r="AE2027" s="16">
        <f t="shared" si="1659"/>
        <v>0</v>
      </c>
      <c r="AF2027" s="16">
        <f t="shared" si="1659"/>
        <v>0</v>
      </c>
      <c r="AG2027" s="16">
        <f t="shared" si="1659"/>
        <v>0</v>
      </c>
      <c r="AH2027" s="16">
        <f t="shared" si="1659"/>
        <v>0</v>
      </c>
      <c r="AI2027" s="16">
        <f t="shared" si="1659"/>
        <v>0</v>
      </c>
      <c r="AJ2027" s="16">
        <f t="shared" si="1659"/>
        <v>0</v>
      </c>
      <c r="AK2027" s="16">
        <f t="shared" si="1659"/>
        <v>0</v>
      </c>
      <c r="AL2027" s="16">
        <f t="shared" si="1659"/>
        <v>0</v>
      </c>
      <c r="AM2027" s="16">
        <f t="shared" si="1659"/>
        <v>0</v>
      </c>
      <c r="AN2027" s="16">
        <f t="shared" si="1659"/>
        <v>0</v>
      </c>
      <c r="AO2027" s="16">
        <f t="shared" si="1659"/>
        <v>0</v>
      </c>
      <c r="AP2027" s="10"/>
      <c r="AQ2027" s="10"/>
      <c r="AR2027" s="10"/>
      <c r="AS2027" s="10" t="str">
        <f t="shared" ca="1" si="1658"/>
        <v>Johnson &amp; Johnson</v>
      </c>
      <c r="AT2027" s="10"/>
      <c r="AU2027" s="10"/>
      <c r="AV2027" s="10"/>
      <c r="AW2027" s="10"/>
      <c r="AX2027" s="10"/>
      <c r="AY2027" s="10"/>
      <c r="AZ2027" s="10"/>
      <c r="BA2027" s="10"/>
      <c r="BB2027" s="10"/>
      <c r="BC2027" s="10"/>
      <c r="BD2027" s="10"/>
      <c r="BE2027" s="10"/>
      <c r="BF2027" s="10"/>
      <c r="BG2027" s="10"/>
      <c r="BH2027" s="10"/>
      <c r="BI2027" s="10"/>
      <c r="BJ2027" s="10"/>
      <c r="BK2027" s="10"/>
      <c r="BM2027" s="10"/>
    </row>
    <row r="2028" spans="1:65" ht="12.75">
      <c r="A2028" s="9"/>
      <c r="B2028" s="10"/>
      <c r="C2028" s="11"/>
      <c r="D2028" s="12"/>
      <c r="E2028" s="10"/>
      <c r="F2028" s="10"/>
      <c r="G2028" s="10"/>
      <c r="H2028" s="14"/>
      <c r="I2028" s="14"/>
      <c r="J2028" s="14"/>
      <c r="K2028" s="14"/>
      <c r="L2028" s="14"/>
      <c r="M2028" s="15"/>
      <c r="N2028" s="10"/>
      <c r="O2028" s="14"/>
      <c r="P2028" s="14"/>
      <c r="Q2028" s="14"/>
      <c r="R2028" s="14"/>
      <c r="S2028" s="14"/>
      <c r="T2028" s="14"/>
      <c r="U2028" s="14"/>
      <c r="V2028" s="14"/>
      <c r="W2028" s="14"/>
      <c r="X2028" s="14"/>
      <c r="Y2028" s="14"/>
      <c r="Z2028" s="14"/>
      <c r="AA2028" s="16" t="str">
        <f t="shared" ca="1" si="1659"/>
        <v>Johnson &amp; Johnson</v>
      </c>
      <c r="AB2028" s="16">
        <f t="shared" si="1659"/>
        <v>0</v>
      </c>
      <c r="AC2028" s="16">
        <f t="shared" si="1659"/>
        <v>0</v>
      </c>
      <c r="AD2028" s="16">
        <f t="shared" si="1659"/>
        <v>0</v>
      </c>
      <c r="AE2028" s="16">
        <f t="shared" si="1659"/>
        <v>0</v>
      </c>
      <c r="AF2028" s="16">
        <f t="shared" si="1659"/>
        <v>0</v>
      </c>
      <c r="AG2028" s="16">
        <f t="shared" si="1659"/>
        <v>0</v>
      </c>
      <c r="AH2028" s="16">
        <f t="shared" si="1659"/>
        <v>0</v>
      </c>
      <c r="AI2028" s="16">
        <f t="shared" si="1659"/>
        <v>0</v>
      </c>
      <c r="AJ2028" s="16">
        <f t="shared" si="1659"/>
        <v>0</v>
      </c>
      <c r="AK2028" s="16">
        <f t="shared" si="1659"/>
        <v>0</v>
      </c>
      <c r="AL2028" s="16">
        <f t="shared" si="1659"/>
        <v>0</v>
      </c>
      <c r="AM2028" s="16">
        <f t="shared" si="1659"/>
        <v>0</v>
      </c>
      <c r="AN2028" s="16">
        <f t="shared" si="1659"/>
        <v>0</v>
      </c>
      <c r="AO2028" s="16">
        <f t="shared" si="1659"/>
        <v>0</v>
      </c>
      <c r="AP2028" s="10"/>
      <c r="AQ2028" s="10"/>
      <c r="AR2028" s="10"/>
      <c r="AS2028" s="10" t="str">
        <f t="shared" ca="1" si="1658"/>
        <v>Johnson &amp; Johnson</v>
      </c>
      <c r="AT2028" s="10"/>
      <c r="AU2028" s="10"/>
      <c r="AV2028" s="10"/>
      <c r="AW2028" s="10"/>
      <c r="AX2028" s="10"/>
      <c r="AY2028" s="10"/>
      <c r="AZ2028" s="10"/>
      <c r="BA2028" s="10"/>
      <c r="BB2028" s="10"/>
      <c r="BC2028" s="10"/>
      <c r="BD2028" s="10"/>
      <c r="BE2028" s="10"/>
      <c r="BF2028" s="10"/>
      <c r="BG2028" s="10"/>
      <c r="BH2028" s="10"/>
      <c r="BI2028" s="10"/>
      <c r="BJ2028" s="10"/>
      <c r="BK2028" s="10"/>
      <c r="BM2028" s="10"/>
    </row>
    <row r="2029" spans="1:65" ht="12.75">
      <c r="A2029" s="9"/>
      <c r="B2029" s="10"/>
      <c r="C2029" s="11"/>
      <c r="D2029" s="12"/>
      <c r="E2029" s="10"/>
      <c r="F2029" s="10"/>
      <c r="G2029" s="10"/>
      <c r="H2029" s="14"/>
      <c r="I2029" s="14"/>
      <c r="J2029" s="14"/>
      <c r="K2029" s="14"/>
      <c r="L2029" s="14"/>
      <c r="M2029" s="15"/>
      <c r="N2029" s="10"/>
      <c r="O2029" s="14"/>
      <c r="P2029" s="14"/>
      <c r="Q2029" s="14"/>
      <c r="R2029" s="14"/>
      <c r="S2029" s="14"/>
      <c r="T2029" s="14"/>
      <c r="U2029" s="14"/>
      <c r="V2029" s="14"/>
      <c r="W2029" s="14"/>
      <c r="X2029" s="14"/>
      <c r="Y2029" s="14"/>
      <c r="Z2029" s="14"/>
      <c r="AA2029" s="16" t="str">
        <f t="shared" ca="1" si="1659"/>
        <v>Johnson &amp; Johnson</v>
      </c>
      <c r="AB2029" s="16">
        <f t="shared" si="1659"/>
        <v>0</v>
      </c>
      <c r="AC2029" s="16">
        <f t="shared" si="1659"/>
        <v>0</v>
      </c>
      <c r="AD2029" s="16">
        <f t="shared" si="1659"/>
        <v>0</v>
      </c>
      <c r="AE2029" s="16">
        <f t="shared" si="1659"/>
        <v>0</v>
      </c>
      <c r="AF2029" s="16">
        <f t="shared" si="1659"/>
        <v>0</v>
      </c>
      <c r="AG2029" s="16">
        <f t="shared" si="1659"/>
        <v>0</v>
      </c>
      <c r="AH2029" s="16">
        <f t="shared" si="1659"/>
        <v>0</v>
      </c>
      <c r="AI2029" s="16">
        <f t="shared" si="1659"/>
        <v>0</v>
      </c>
      <c r="AJ2029" s="16">
        <f t="shared" si="1659"/>
        <v>0</v>
      </c>
      <c r="AK2029" s="16">
        <f t="shared" si="1659"/>
        <v>0</v>
      </c>
      <c r="AL2029" s="16">
        <f t="shared" si="1659"/>
        <v>0</v>
      </c>
      <c r="AM2029" s="16">
        <f t="shared" si="1659"/>
        <v>0</v>
      </c>
      <c r="AN2029" s="16">
        <f t="shared" si="1659"/>
        <v>0</v>
      </c>
      <c r="AO2029" s="16">
        <f t="shared" si="1659"/>
        <v>0</v>
      </c>
      <c r="AP2029" s="10"/>
      <c r="AQ2029" s="10"/>
      <c r="AR2029" s="10"/>
      <c r="AS2029" s="10" t="str">
        <f t="shared" ca="1" si="1658"/>
        <v>Johnson &amp; Johnson</v>
      </c>
      <c r="AT2029" s="10"/>
      <c r="AU2029" s="10"/>
      <c r="AV2029" s="10"/>
      <c r="AW2029" s="10"/>
      <c r="AX2029" s="10"/>
      <c r="AY2029" s="10"/>
      <c r="AZ2029" s="10"/>
      <c r="BA2029" s="10"/>
      <c r="BB2029" s="10"/>
      <c r="BC2029" s="10"/>
      <c r="BD2029" s="10"/>
      <c r="BE2029" s="10"/>
      <c r="BF2029" s="10"/>
      <c r="BG2029" s="10"/>
      <c r="BH2029" s="10"/>
      <c r="BI2029" s="10"/>
      <c r="BJ2029" s="10"/>
      <c r="BK2029" s="10"/>
      <c r="BM2029" s="10"/>
    </row>
    <row r="2030" spans="1:65" ht="12.75">
      <c r="A2030" s="9"/>
      <c r="B2030" s="10"/>
      <c r="C2030" s="11"/>
      <c r="D2030" s="12"/>
      <c r="E2030" s="10"/>
      <c r="F2030" s="10"/>
      <c r="G2030" s="10"/>
      <c r="H2030" s="14"/>
      <c r="I2030" s="14"/>
      <c r="J2030" s="14"/>
      <c r="K2030" s="14"/>
      <c r="L2030" s="14"/>
      <c r="M2030" s="15"/>
      <c r="N2030" s="10"/>
      <c r="O2030" s="14"/>
      <c r="P2030" s="14"/>
      <c r="Q2030" s="14"/>
      <c r="R2030" s="14"/>
      <c r="S2030" s="14"/>
      <c r="T2030" s="14"/>
      <c r="U2030" s="14"/>
      <c r="V2030" s="14"/>
      <c r="W2030" s="14"/>
      <c r="X2030" s="14"/>
      <c r="Y2030" s="14"/>
      <c r="Z2030" s="14"/>
      <c r="AA2030" s="16" t="str">
        <f t="shared" ca="1" si="1659"/>
        <v>Johnson &amp; Johnson</v>
      </c>
      <c r="AB2030" s="16">
        <f t="shared" si="1659"/>
        <v>0</v>
      </c>
      <c r="AC2030" s="16">
        <f t="shared" si="1659"/>
        <v>0</v>
      </c>
      <c r="AD2030" s="16">
        <f t="shared" si="1659"/>
        <v>0</v>
      </c>
      <c r="AE2030" s="16">
        <f t="shared" si="1659"/>
        <v>0</v>
      </c>
      <c r="AF2030" s="16">
        <f t="shared" si="1659"/>
        <v>0</v>
      </c>
      <c r="AG2030" s="16">
        <f t="shared" si="1659"/>
        <v>0</v>
      </c>
      <c r="AH2030" s="16">
        <f t="shared" si="1659"/>
        <v>0</v>
      </c>
      <c r="AI2030" s="16">
        <f t="shared" si="1659"/>
        <v>0</v>
      </c>
      <c r="AJ2030" s="16">
        <f t="shared" si="1659"/>
        <v>0</v>
      </c>
      <c r="AK2030" s="16">
        <f t="shared" si="1659"/>
        <v>0</v>
      </c>
      <c r="AL2030" s="16">
        <f t="shared" si="1659"/>
        <v>0</v>
      </c>
      <c r="AM2030" s="16">
        <f t="shared" si="1659"/>
        <v>0</v>
      </c>
      <c r="AN2030" s="16">
        <f t="shared" si="1659"/>
        <v>0</v>
      </c>
      <c r="AO2030" s="16">
        <f t="shared" si="1659"/>
        <v>0</v>
      </c>
      <c r="AP2030" s="10"/>
      <c r="AQ2030" s="10"/>
      <c r="AR2030" s="10"/>
      <c r="AS2030" s="10" t="str">
        <f t="shared" ca="1" si="1658"/>
        <v>Johnson &amp; Johnson</v>
      </c>
      <c r="AT2030" s="10"/>
      <c r="AU2030" s="10"/>
      <c r="AV2030" s="10"/>
      <c r="AW2030" s="10"/>
      <c r="AX2030" s="10"/>
      <c r="AY2030" s="10"/>
      <c r="AZ2030" s="10"/>
      <c r="BA2030" s="10"/>
      <c r="BB2030" s="10"/>
      <c r="BC2030" s="10"/>
      <c r="BD2030" s="10"/>
      <c r="BE2030" s="10"/>
      <c r="BF2030" s="10"/>
      <c r="BG2030" s="10"/>
      <c r="BH2030" s="10"/>
      <c r="BI2030" s="10"/>
      <c r="BJ2030" s="10"/>
      <c r="BK2030" s="10"/>
      <c r="BM2030" s="10"/>
    </row>
    <row r="2031" spans="1:65" ht="12.75">
      <c r="A2031" s="9"/>
      <c r="B2031" s="10"/>
      <c r="C2031" s="11"/>
      <c r="D2031" s="12"/>
      <c r="E2031" s="10"/>
      <c r="F2031" s="10"/>
      <c r="G2031" s="10"/>
      <c r="H2031" s="14"/>
      <c r="I2031" s="14"/>
      <c r="J2031" s="14"/>
      <c r="K2031" s="14"/>
      <c r="L2031" s="14"/>
      <c r="M2031" s="15"/>
      <c r="N2031" s="10"/>
      <c r="O2031" s="14"/>
      <c r="P2031" s="14"/>
      <c r="Q2031" s="14"/>
      <c r="R2031" s="14"/>
      <c r="S2031" s="14"/>
      <c r="T2031" s="14"/>
      <c r="U2031" s="14"/>
      <c r="V2031" s="14"/>
      <c r="W2031" s="14"/>
      <c r="X2031" s="14"/>
      <c r="Y2031" s="14"/>
      <c r="Z2031" s="14"/>
      <c r="AA2031" s="16" t="str">
        <f t="shared" ca="1" si="1659"/>
        <v>Johnson &amp; Johnson</v>
      </c>
      <c r="AB2031" s="16">
        <f t="shared" si="1659"/>
        <v>0</v>
      </c>
      <c r="AC2031" s="16">
        <f t="shared" si="1659"/>
        <v>0</v>
      </c>
      <c r="AD2031" s="16">
        <f t="shared" si="1659"/>
        <v>0</v>
      </c>
      <c r="AE2031" s="16">
        <f t="shared" si="1659"/>
        <v>0</v>
      </c>
      <c r="AF2031" s="16">
        <f t="shared" si="1659"/>
        <v>0</v>
      </c>
      <c r="AG2031" s="16">
        <f t="shared" si="1659"/>
        <v>0</v>
      </c>
      <c r="AH2031" s="16">
        <f t="shared" si="1659"/>
        <v>0</v>
      </c>
      <c r="AI2031" s="16">
        <f t="shared" si="1659"/>
        <v>0</v>
      </c>
      <c r="AJ2031" s="16">
        <f t="shared" si="1659"/>
        <v>0</v>
      </c>
      <c r="AK2031" s="16">
        <f t="shared" si="1659"/>
        <v>0</v>
      </c>
      <c r="AL2031" s="16">
        <f t="shared" si="1659"/>
        <v>0</v>
      </c>
      <c r="AM2031" s="16">
        <f t="shared" si="1659"/>
        <v>0</v>
      </c>
      <c r="AN2031" s="16">
        <f t="shared" si="1659"/>
        <v>0</v>
      </c>
      <c r="AO2031" s="16">
        <f t="shared" si="1659"/>
        <v>0</v>
      </c>
      <c r="AP2031" s="10"/>
      <c r="AQ2031" s="10"/>
      <c r="AR2031" s="10"/>
      <c r="AS2031" s="10" t="str">
        <f t="shared" ca="1" si="1658"/>
        <v>Johnson &amp; Johnson</v>
      </c>
      <c r="AT2031" s="10"/>
      <c r="AU2031" s="10"/>
      <c r="AV2031" s="10"/>
      <c r="AW2031" s="10"/>
      <c r="AX2031" s="10"/>
      <c r="AY2031" s="10"/>
      <c r="AZ2031" s="10"/>
      <c r="BA2031" s="10"/>
      <c r="BB2031" s="10"/>
      <c r="BC2031" s="10"/>
      <c r="BD2031" s="10"/>
      <c r="BE2031" s="10"/>
      <c r="BF2031" s="10"/>
      <c r="BG2031" s="10"/>
      <c r="BH2031" s="10"/>
      <c r="BI2031" s="10"/>
      <c r="BJ2031" s="10"/>
      <c r="BK2031" s="10"/>
      <c r="BM2031" s="10"/>
    </row>
    <row r="2032" spans="1:65" ht="12.75">
      <c r="A2032" s="9"/>
      <c r="B2032" s="10"/>
      <c r="C2032" s="11"/>
      <c r="D2032" s="12"/>
      <c r="E2032" s="10"/>
      <c r="F2032" s="10"/>
      <c r="G2032" s="10"/>
      <c r="H2032" s="14"/>
      <c r="I2032" s="14"/>
      <c r="J2032" s="14"/>
      <c r="K2032" s="14"/>
      <c r="L2032" s="14"/>
      <c r="M2032" s="15"/>
      <c r="N2032" s="10"/>
      <c r="O2032" s="14"/>
      <c r="P2032" s="14"/>
      <c r="Q2032" s="14"/>
      <c r="R2032" s="14"/>
      <c r="S2032" s="14"/>
      <c r="T2032" s="14"/>
      <c r="U2032" s="14"/>
      <c r="V2032" s="14"/>
      <c r="W2032" s="14"/>
      <c r="X2032" s="14"/>
      <c r="Y2032" s="14"/>
      <c r="Z2032" s="14"/>
      <c r="AA2032" s="16" t="str">
        <f t="shared" ca="1" si="1659"/>
        <v>Johnson &amp; Johnson</v>
      </c>
      <c r="AB2032" s="16">
        <f t="shared" si="1659"/>
        <v>0</v>
      </c>
      <c r="AC2032" s="16">
        <f t="shared" si="1659"/>
        <v>0</v>
      </c>
      <c r="AD2032" s="16">
        <f t="shared" si="1659"/>
        <v>0</v>
      </c>
      <c r="AE2032" s="16">
        <f t="shared" si="1659"/>
        <v>0</v>
      </c>
      <c r="AF2032" s="16">
        <f t="shared" si="1659"/>
        <v>0</v>
      </c>
      <c r="AG2032" s="16">
        <f t="shared" si="1659"/>
        <v>0</v>
      </c>
      <c r="AH2032" s="16">
        <f t="shared" si="1659"/>
        <v>0</v>
      </c>
      <c r="AI2032" s="16">
        <f t="shared" si="1659"/>
        <v>0</v>
      </c>
      <c r="AJ2032" s="16">
        <f t="shared" si="1659"/>
        <v>0</v>
      </c>
      <c r="AK2032" s="16">
        <f t="shared" si="1659"/>
        <v>0</v>
      </c>
      <c r="AL2032" s="16">
        <f t="shared" si="1659"/>
        <v>0</v>
      </c>
      <c r="AM2032" s="16">
        <f t="shared" si="1659"/>
        <v>0</v>
      </c>
      <c r="AN2032" s="16">
        <f t="shared" si="1659"/>
        <v>0</v>
      </c>
      <c r="AO2032" s="16">
        <f t="shared" si="1659"/>
        <v>0</v>
      </c>
      <c r="AP2032" s="10"/>
      <c r="AQ2032" s="10"/>
      <c r="AR2032" s="10"/>
      <c r="AS2032" s="10" t="str">
        <f t="shared" ca="1" si="1658"/>
        <v>Johnson &amp; Johnson</v>
      </c>
      <c r="AT2032" s="10"/>
      <c r="AU2032" s="10"/>
      <c r="AV2032" s="10"/>
      <c r="AW2032" s="10"/>
      <c r="AX2032" s="10"/>
      <c r="AY2032" s="10"/>
      <c r="AZ2032" s="10"/>
      <c r="BA2032" s="10"/>
      <c r="BB2032" s="10"/>
      <c r="BC2032" s="10"/>
      <c r="BD2032" s="10"/>
      <c r="BE2032" s="10"/>
      <c r="BF2032" s="10"/>
      <c r="BG2032" s="10"/>
      <c r="BH2032" s="10"/>
      <c r="BI2032" s="10"/>
      <c r="BJ2032" s="10"/>
      <c r="BK2032" s="10"/>
      <c r="BM2032" s="10"/>
    </row>
    <row r="2033" spans="1:65" ht="12.75">
      <c r="A2033" s="9"/>
      <c r="B2033" s="10"/>
      <c r="C2033" s="11"/>
      <c r="D2033" s="12"/>
      <c r="E2033" s="10"/>
      <c r="F2033" s="10"/>
      <c r="G2033" s="10"/>
      <c r="H2033" s="14"/>
      <c r="I2033" s="14"/>
      <c r="J2033" s="14"/>
      <c r="K2033" s="14"/>
      <c r="L2033" s="14"/>
      <c r="M2033" s="15"/>
      <c r="N2033" s="10"/>
      <c r="O2033" s="14"/>
      <c r="P2033" s="14"/>
      <c r="Q2033" s="14"/>
      <c r="R2033" s="14"/>
      <c r="S2033" s="14"/>
      <c r="T2033" s="14"/>
      <c r="U2033" s="14"/>
      <c r="V2033" s="14"/>
      <c r="W2033" s="14"/>
      <c r="X2033" s="14"/>
      <c r="Y2033" s="14"/>
      <c r="Z2033" s="14"/>
      <c r="AA2033" s="16" t="str">
        <f t="shared" ca="1" si="1659"/>
        <v>Johnson &amp; Johnson</v>
      </c>
      <c r="AB2033" s="16">
        <f t="shared" si="1659"/>
        <v>0</v>
      </c>
      <c r="AC2033" s="16">
        <f t="shared" si="1659"/>
        <v>0</v>
      </c>
      <c r="AD2033" s="16">
        <f t="shared" si="1659"/>
        <v>0</v>
      </c>
      <c r="AE2033" s="16">
        <f t="shared" si="1659"/>
        <v>0</v>
      </c>
      <c r="AF2033" s="16">
        <f t="shared" si="1659"/>
        <v>0</v>
      </c>
      <c r="AG2033" s="16">
        <f t="shared" si="1659"/>
        <v>0</v>
      </c>
      <c r="AH2033" s="16">
        <f t="shared" si="1659"/>
        <v>0</v>
      </c>
      <c r="AI2033" s="16">
        <f t="shared" si="1659"/>
        <v>0</v>
      </c>
      <c r="AJ2033" s="16">
        <f t="shared" si="1659"/>
        <v>0</v>
      </c>
      <c r="AK2033" s="16">
        <f t="shared" si="1659"/>
        <v>0</v>
      </c>
      <c r="AL2033" s="16">
        <f t="shared" si="1659"/>
        <v>0</v>
      </c>
      <c r="AM2033" s="16">
        <f t="shared" si="1659"/>
        <v>0</v>
      </c>
      <c r="AN2033" s="16">
        <f t="shared" si="1659"/>
        <v>0</v>
      </c>
      <c r="AO2033" s="16">
        <f t="shared" si="1659"/>
        <v>0</v>
      </c>
      <c r="AP2033" s="10"/>
      <c r="AQ2033" s="10"/>
      <c r="AR2033" s="10"/>
      <c r="AS2033" s="10" t="str">
        <f t="shared" ca="1" si="1658"/>
        <v>Johnson &amp; Johnson</v>
      </c>
      <c r="AT2033" s="10"/>
      <c r="AU2033" s="10"/>
      <c r="AV2033" s="10"/>
      <c r="AW2033" s="10"/>
      <c r="AX2033" s="10"/>
      <c r="AY2033" s="10"/>
      <c r="AZ2033" s="10"/>
      <c r="BA2033" s="10"/>
      <c r="BB2033" s="10"/>
      <c r="BC2033" s="10"/>
      <c r="BD2033" s="10"/>
      <c r="BE2033" s="10"/>
      <c r="BF2033" s="10"/>
      <c r="BG2033" s="10"/>
      <c r="BH2033" s="10"/>
      <c r="BI2033" s="10"/>
      <c r="BJ2033" s="10"/>
      <c r="BK2033" s="10"/>
      <c r="BM2033" s="10"/>
    </row>
    <row r="2034" spans="1:65" ht="12.75">
      <c r="A2034" s="9"/>
      <c r="B2034" s="10"/>
      <c r="C2034" s="11"/>
      <c r="D2034" s="12"/>
      <c r="E2034" s="10"/>
      <c r="F2034" s="10"/>
      <c r="G2034" s="10"/>
      <c r="H2034" s="14"/>
      <c r="I2034" s="14"/>
      <c r="J2034" s="14"/>
      <c r="K2034" s="14"/>
      <c r="L2034" s="14"/>
      <c r="M2034" s="15"/>
      <c r="N2034" s="10"/>
      <c r="O2034" s="14"/>
      <c r="P2034" s="14"/>
      <c r="Q2034" s="14"/>
      <c r="R2034" s="14"/>
      <c r="S2034" s="14"/>
      <c r="T2034" s="14"/>
      <c r="U2034" s="14"/>
      <c r="V2034" s="14"/>
      <c r="W2034" s="14"/>
      <c r="X2034" s="14"/>
      <c r="Y2034" s="14"/>
      <c r="Z2034" s="14"/>
      <c r="AA2034" s="16" t="str">
        <f t="shared" ca="1" si="1659"/>
        <v>Johnson &amp; Johnson</v>
      </c>
      <c r="AB2034" s="16">
        <f t="shared" si="1659"/>
        <v>0</v>
      </c>
      <c r="AC2034" s="16">
        <f t="shared" si="1659"/>
        <v>0</v>
      </c>
      <c r="AD2034" s="16">
        <f t="shared" si="1659"/>
        <v>0</v>
      </c>
      <c r="AE2034" s="16">
        <f t="shared" si="1659"/>
        <v>0</v>
      </c>
      <c r="AF2034" s="16">
        <f t="shared" si="1659"/>
        <v>0</v>
      </c>
      <c r="AG2034" s="16">
        <f t="shared" si="1659"/>
        <v>0</v>
      </c>
      <c r="AH2034" s="16">
        <f t="shared" si="1659"/>
        <v>0</v>
      </c>
      <c r="AI2034" s="16">
        <f t="shared" si="1659"/>
        <v>0</v>
      </c>
      <c r="AJ2034" s="16">
        <f t="shared" si="1659"/>
        <v>0</v>
      </c>
      <c r="AK2034" s="16">
        <f t="shared" si="1659"/>
        <v>0</v>
      </c>
      <c r="AL2034" s="16">
        <f t="shared" si="1659"/>
        <v>0</v>
      </c>
      <c r="AM2034" s="16">
        <f t="shared" si="1659"/>
        <v>0</v>
      </c>
      <c r="AN2034" s="16">
        <f t="shared" si="1659"/>
        <v>0</v>
      </c>
      <c r="AO2034" s="16">
        <f t="shared" si="1659"/>
        <v>0</v>
      </c>
      <c r="AP2034" s="10"/>
      <c r="AQ2034" s="10"/>
      <c r="AR2034" s="10"/>
      <c r="AS2034" s="10" t="str">
        <f t="shared" ca="1" si="1658"/>
        <v>Johnson &amp; Johnson</v>
      </c>
      <c r="AT2034" s="10"/>
      <c r="AU2034" s="10"/>
      <c r="AV2034" s="10"/>
      <c r="AW2034" s="10"/>
      <c r="AX2034" s="10"/>
      <c r="AY2034" s="10"/>
      <c r="AZ2034" s="10"/>
      <c r="BA2034" s="10"/>
      <c r="BB2034" s="10"/>
      <c r="BC2034" s="10"/>
      <c r="BD2034" s="10"/>
      <c r="BE2034" s="10"/>
      <c r="BF2034" s="10"/>
      <c r="BG2034" s="10"/>
      <c r="BH2034" s="10"/>
      <c r="BI2034" s="10"/>
      <c r="BJ2034" s="10"/>
      <c r="BK2034" s="10"/>
      <c r="BM2034" s="10"/>
    </row>
    <row r="2035" spans="1:65" ht="12.75">
      <c r="A2035" s="9"/>
      <c r="B2035" s="10"/>
      <c r="C2035" s="11"/>
      <c r="D2035" s="12"/>
      <c r="E2035" s="10"/>
      <c r="F2035" s="10"/>
      <c r="G2035" s="10"/>
      <c r="H2035" s="14"/>
      <c r="I2035" s="14"/>
      <c r="J2035" s="14"/>
      <c r="K2035" s="14"/>
      <c r="L2035" s="14"/>
      <c r="M2035" s="15"/>
      <c r="N2035" s="10"/>
      <c r="O2035" s="14"/>
      <c r="P2035" s="14"/>
      <c r="Q2035" s="14"/>
      <c r="R2035" s="14"/>
      <c r="S2035" s="14"/>
      <c r="T2035" s="14"/>
      <c r="U2035" s="14"/>
      <c r="V2035" s="14"/>
      <c r="W2035" s="14"/>
      <c r="X2035" s="14"/>
      <c r="Y2035" s="14"/>
      <c r="Z2035" s="14"/>
      <c r="AA2035" s="16" t="str">
        <f t="shared" ca="1" si="1659"/>
        <v>Johnson &amp; Johnson</v>
      </c>
      <c r="AB2035" s="16">
        <f t="shared" si="1659"/>
        <v>0</v>
      </c>
      <c r="AC2035" s="16">
        <f t="shared" si="1659"/>
        <v>0</v>
      </c>
      <c r="AD2035" s="16">
        <f t="shared" si="1659"/>
        <v>0</v>
      </c>
      <c r="AE2035" s="16">
        <f t="shared" si="1659"/>
        <v>0</v>
      </c>
      <c r="AF2035" s="16">
        <f t="shared" si="1659"/>
        <v>0</v>
      </c>
      <c r="AG2035" s="16">
        <f t="shared" si="1659"/>
        <v>0</v>
      </c>
      <c r="AH2035" s="16">
        <f t="shared" si="1659"/>
        <v>0</v>
      </c>
      <c r="AI2035" s="16">
        <f t="shared" si="1659"/>
        <v>0</v>
      </c>
      <c r="AJ2035" s="16">
        <f t="shared" si="1659"/>
        <v>0</v>
      </c>
      <c r="AK2035" s="16">
        <f t="shared" si="1659"/>
        <v>0</v>
      </c>
      <c r="AL2035" s="16">
        <f t="shared" si="1659"/>
        <v>0</v>
      </c>
      <c r="AM2035" s="16">
        <f t="shared" si="1659"/>
        <v>0</v>
      </c>
      <c r="AN2035" s="16">
        <f t="shared" si="1659"/>
        <v>0</v>
      </c>
      <c r="AO2035" s="16">
        <f t="shared" si="1659"/>
        <v>0</v>
      </c>
      <c r="AP2035" s="10"/>
      <c r="AQ2035" s="10"/>
      <c r="AR2035" s="10"/>
      <c r="AS2035" s="10" t="str">
        <f t="shared" ca="1" si="1658"/>
        <v>Johnson &amp; Johnson</v>
      </c>
      <c r="AT2035" s="10"/>
      <c r="AU2035" s="10"/>
      <c r="AV2035" s="10"/>
      <c r="AW2035" s="10"/>
      <c r="AX2035" s="10"/>
      <c r="AY2035" s="10"/>
      <c r="AZ2035" s="10"/>
      <c r="BA2035" s="10"/>
      <c r="BB2035" s="10"/>
      <c r="BC2035" s="10"/>
      <c r="BD2035" s="10"/>
      <c r="BE2035" s="10"/>
      <c r="BF2035" s="10"/>
      <c r="BG2035" s="10"/>
      <c r="BH2035" s="10"/>
      <c r="BI2035" s="10"/>
      <c r="BJ2035" s="10"/>
      <c r="BK2035" s="10"/>
      <c r="BM2035" s="10"/>
    </row>
    <row r="2036" spans="1:65" ht="12.75">
      <c r="A2036" s="9"/>
      <c r="B2036" s="10"/>
      <c r="C2036" s="11"/>
      <c r="D2036" s="12"/>
      <c r="E2036" s="10"/>
      <c r="F2036" s="10"/>
      <c r="G2036" s="10"/>
      <c r="H2036" s="14"/>
      <c r="I2036" s="14"/>
      <c r="J2036" s="14"/>
      <c r="K2036" s="14"/>
      <c r="L2036" s="14"/>
      <c r="M2036" s="15"/>
      <c r="N2036" s="10"/>
      <c r="O2036" s="14"/>
      <c r="P2036" s="14"/>
      <c r="Q2036" s="14"/>
      <c r="R2036" s="14"/>
      <c r="S2036" s="14"/>
      <c r="T2036" s="14"/>
      <c r="U2036" s="14"/>
      <c r="V2036" s="14"/>
      <c r="W2036" s="14"/>
      <c r="X2036" s="14"/>
      <c r="Y2036" s="14"/>
      <c r="Z2036" s="14"/>
      <c r="AA2036" s="16" t="str">
        <f t="shared" ca="1" si="1659"/>
        <v>Johnson &amp; Johnson</v>
      </c>
      <c r="AB2036" s="16">
        <f t="shared" si="1659"/>
        <v>0</v>
      </c>
      <c r="AC2036" s="16">
        <f t="shared" si="1659"/>
        <v>0</v>
      </c>
      <c r="AD2036" s="16">
        <f t="shared" si="1659"/>
        <v>0</v>
      </c>
      <c r="AE2036" s="16">
        <f t="shared" si="1659"/>
        <v>0</v>
      </c>
      <c r="AF2036" s="16">
        <f t="shared" si="1659"/>
        <v>0</v>
      </c>
      <c r="AG2036" s="16">
        <f t="shared" si="1659"/>
        <v>0</v>
      </c>
      <c r="AH2036" s="16">
        <f t="shared" si="1659"/>
        <v>0</v>
      </c>
      <c r="AI2036" s="16">
        <f t="shared" si="1659"/>
        <v>0</v>
      </c>
      <c r="AJ2036" s="16">
        <f t="shared" si="1659"/>
        <v>0</v>
      </c>
      <c r="AK2036" s="16">
        <f t="shared" si="1659"/>
        <v>0</v>
      </c>
      <c r="AL2036" s="16">
        <f t="shared" si="1659"/>
        <v>0</v>
      </c>
      <c r="AM2036" s="16">
        <f t="shared" si="1659"/>
        <v>0</v>
      </c>
      <c r="AN2036" s="16">
        <f t="shared" si="1659"/>
        <v>0</v>
      </c>
      <c r="AO2036" s="16">
        <f t="shared" si="1659"/>
        <v>0</v>
      </c>
      <c r="AP2036" s="10"/>
      <c r="AQ2036" s="10"/>
      <c r="AR2036" s="10"/>
      <c r="AS2036" s="10" t="str">
        <f t="shared" ca="1" si="1658"/>
        <v>Johnson &amp; Johnson</v>
      </c>
      <c r="AT2036" s="10"/>
      <c r="AU2036" s="10"/>
      <c r="AV2036" s="10"/>
      <c r="AW2036" s="10"/>
      <c r="AX2036" s="10"/>
      <c r="AY2036" s="10"/>
      <c r="AZ2036" s="10"/>
      <c r="BA2036" s="10"/>
      <c r="BB2036" s="10"/>
      <c r="BC2036" s="10"/>
      <c r="BD2036" s="10"/>
      <c r="BE2036" s="10"/>
      <c r="BF2036" s="10"/>
      <c r="BG2036" s="10"/>
      <c r="BH2036" s="10"/>
      <c r="BI2036" s="10"/>
      <c r="BJ2036" s="10"/>
      <c r="BK2036" s="10"/>
      <c r="BM2036" s="10"/>
    </row>
    <row r="2037" spans="1:65" ht="12.75">
      <c r="A2037" s="9"/>
      <c r="B2037" s="10"/>
      <c r="C2037" s="11"/>
      <c r="D2037" s="12"/>
      <c r="E2037" s="10"/>
      <c r="F2037" s="10"/>
      <c r="G2037" s="10"/>
      <c r="H2037" s="14"/>
      <c r="I2037" s="14"/>
      <c r="J2037" s="14"/>
      <c r="K2037" s="14"/>
      <c r="L2037" s="14"/>
      <c r="M2037" s="15"/>
      <c r="N2037" s="10"/>
      <c r="O2037" s="14"/>
      <c r="P2037" s="14"/>
      <c r="Q2037" s="14"/>
      <c r="R2037" s="14"/>
      <c r="S2037" s="14"/>
      <c r="T2037" s="14"/>
      <c r="U2037" s="14"/>
      <c r="V2037" s="14"/>
      <c r="W2037" s="14"/>
      <c r="X2037" s="14"/>
      <c r="Y2037" s="14"/>
      <c r="Z2037" s="14"/>
      <c r="AA2037" s="16" t="str">
        <f t="shared" ca="1" si="1659"/>
        <v>Johnson &amp; Johnson</v>
      </c>
      <c r="AB2037" s="16">
        <f t="shared" si="1659"/>
        <v>0</v>
      </c>
      <c r="AC2037" s="16">
        <f t="shared" si="1659"/>
        <v>0</v>
      </c>
      <c r="AD2037" s="16">
        <f t="shared" si="1659"/>
        <v>0</v>
      </c>
      <c r="AE2037" s="16">
        <f t="shared" si="1659"/>
        <v>0</v>
      </c>
      <c r="AF2037" s="16">
        <f t="shared" si="1659"/>
        <v>0</v>
      </c>
      <c r="AG2037" s="16">
        <f t="shared" si="1659"/>
        <v>0</v>
      </c>
      <c r="AH2037" s="16">
        <f t="shared" si="1659"/>
        <v>0</v>
      </c>
      <c r="AI2037" s="16">
        <f t="shared" si="1659"/>
        <v>0</v>
      </c>
      <c r="AJ2037" s="16">
        <f t="shared" si="1659"/>
        <v>0</v>
      </c>
      <c r="AK2037" s="16">
        <f t="shared" si="1659"/>
        <v>0</v>
      </c>
      <c r="AL2037" s="16">
        <f t="shared" si="1659"/>
        <v>0</v>
      </c>
      <c r="AM2037" s="16">
        <f t="shared" si="1659"/>
        <v>0</v>
      </c>
      <c r="AN2037" s="16">
        <f t="shared" si="1659"/>
        <v>0</v>
      </c>
      <c r="AO2037" s="16">
        <f t="shared" si="1659"/>
        <v>0</v>
      </c>
      <c r="AP2037" s="10"/>
      <c r="AQ2037" s="10"/>
      <c r="AR2037" s="10"/>
      <c r="AS2037" s="10" t="str">
        <f t="shared" ca="1" si="1658"/>
        <v>Johnson &amp; Johnson</v>
      </c>
      <c r="AT2037" s="10"/>
      <c r="AU2037" s="10"/>
      <c r="AV2037" s="10"/>
      <c r="AW2037" s="10"/>
      <c r="AX2037" s="10"/>
      <c r="AY2037" s="10"/>
      <c r="AZ2037" s="10"/>
      <c r="BA2037" s="10"/>
      <c r="BB2037" s="10"/>
      <c r="BC2037" s="10"/>
      <c r="BD2037" s="10"/>
      <c r="BE2037" s="10"/>
      <c r="BF2037" s="10"/>
      <c r="BG2037" s="10"/>
      <c r="BH2037" s="10"/>
      <c r="BI2037" s="10"/>
      <c r="BJ2037" s="10"/>
      <c r="BK2037" s="10"/>
      <c r="BM2037" s="10"/>
    </row>
    <row r="2038" spans="1:65" ht="12.75">
      <c r="A2038" s="9"/>
      <c r="B2038" s="10"/>
      <c r="C2038" s="11"/>
      <c r="D2038" s="12"/>
      <c r="E2038" s="10"/>
      <c r="F2038" s="10"/>
      <c r="G2038" s="10"/>
      <c r="H2038" s="14"/>
      <c r="I2038" s="14"/>
      <c r="J2038" s="14"/>
      <c r="K2038" s="14"/>
      <c r="L2038" s="14"/>
      <c r="M2038" s="15"/>
      <c r="N2038" s="10"/>
      <c r="O2038" s="14"/>
      <c r="P2038" s="14"/>
      <c r="Q2038" s="14"/>
      <c r="R2038" s="14"/>
      <c r="S2038" s="14"/>
      <c r="T2038" s="14"/>
      <c r="U2038" s="14"/>
      <c r="V2038" s="14"/>
      <c r="W2038" s="14"/>
      <c r="X2038" s="14"/>
      <c r="Y2038" s="14"/>
      <c r="Z2038" s="14"/>
      <c r="AA2038" s="16" t="str">
        <f t="shared" ca="1" si="1659"/>
        <v>Johnson &amp; Johnson</v>
      </c>
      <c r="AB2038" s="16">
        <f t="shared" si="1659"/>
        <v>0</v>
      </c>
      <c r="AC2038" s="16">
        <f t="shared" si="1659"/>
        <v>0</v>
      </c>
      <c r="AD2038" s="16">
        <f t="shared" si="1659"/>
        <v>0</v>
      </c>
      <c r="AE2038" s="16">
        <f t="shared" si="1659"/>
        <v>0</v>
      </c>
      <c r="AF2038" s="16">
        <f t="shared" si="1659"/>
        <v>0</v>
      </c>
      <c r="AG2038" s="16">
        <f t="shared" si="1659"/>
        <v>0</v>
      </c>
      <c r="AH2038" s="16">
        <f t="shared" si="1659"/>
        <v>0</v>
      </c>
      <c r="AI2038" s="16">
        <f t="shared" si="1659"/>
        <v>0</v>
      </c>
      <c r="AJ2038" s="16">
        <f t="shared" si="1659"/>
        <v>0</v>
      </c>
      <c r="AK2038" s="16">
        <f t="shared" si="1659"/>
        <v>0</v>
      </c>
      <c r="AL2038" s="16">
        <f t="shared" si="1659"/>
        <v>0</v>
      </c>
      <c r="AM2038" s="16">
        <f t="shared" si="1659"/>
        <v>0</v>
      </c>
      <c r="AN2038" s="16">
        <f t="shared" si="1659"/>
        <v>0</v>
      </c>
      <c r="AO2038" s="16">
        <f t="shared" si="1659"/>
        <v>0</v>
      </c>
      <c r="AP2038" s="10"/>
      <c r="AQ2038" s="10"/>
      <c r="AR2038" s="10"/>
      <c r="AS2038" s="10" t="str">
        <f t="shared" ca="1" si="1658"/>
        <v>Johnson &amp; Johnson</v>
      </c>
      <c r="AT2038" s="10"/>
      <c r="AU2038" s="10"/>
      <c r="AV2038" s="10"/>
      <c r="AW2038" s="10"/>
      <c r="AX2038" s="10"/>
      <c r="AY2038" s="10"/>
      <c r="AZ2038" s="10"/>
      <c r="BA2038" s="10"/>
      <c r="BB2038" s="10"/>
      <c r="BC2038" s="10"/>
      <c r="BD2038" s="10"/>
      <c r="BE2038" s="10"/>
      <c r="BF2038" s="10"/>
      <c r="BG2038" s="10"/>
      <c r="BH2038" s="10"/>
      <c r="BI2038" s="10"/>
      <c r="BJ2038" s="10"/>
      <c r="BK2038" s="10"/>
      <c r="BM2038" s="10"/>
    </row>
    <row r="2039" spans="1:65" ht="12.75">
      <c r="A2039" s="9"/>
      <c r="B2039" s="10"/>
      <c r="C2039" s="11"/>
      <c r="D2039" s="12"/>
      <c r="E2039" s="10"/>
      <c r="F2039" s="10"/>
      <c r="G2039" s="10"/>
      <c r="H2039" s="14"/>
      <c r="I2039" s="14"/>
      <c r="J2039" s="14"/>
      <c r="K2039" s="14"/>
      <c r="L2039" s="14"/>
      <c r="M2039" s="15"/>
      <c r="N2039" s="10"/>
      <c r="O2039" s="14"/>
      <c r="P2039" s="14"/>
      <c r="Q2039" s="14"/>
      <c r="R2039" s="14"/>
      <c r="S2039" s="14"/>
      <c r="T2039" s="14"/>
      <c r="U2039" s="14"/>
      <c r="V2039" s="14"/>
      <c r="W2039" s="14"/>
      <c r="X2039" s="14"/>
      <c r="Y2039" s="14"/>
      <c r="Z2039" s="14"/>
      <c r="AA2039" s="16" t="str">
        <f t="shared" ca="1" si="1659"/>
        <v>Johnson &amp; Johnson</v>
      </c>
      <c r="AB2039" s="16">
        <f t="shared" si="1659"/>
        <v>0</v>
      </c>
      <c r="AC2039" s="16">
        <f t="shared" si="1659"/>
        <v>0</v>
      </c>
      <c r="AD2039" s="16">
        <f t="shared" si="1659"/>
        <v>0</v>
      </c>
      <c r="AE2039" s="16">
        <f t="shared" si="1659"/>
        <v>0</v>
      </c>
      <c r="AF2039" s="16">
        <f t="shared" si="1659"/>
        <v>0</v>
      </c>
      <c r="AG2039" s="16">
        <f t="shared" si="1659"/>
        <v>0</v>
      </c>
      <c r="AH2039" s="16">
        <f t="shared" si="1659"/>
        <v>0</v>
      </c>
      <c r="AI2039" s="16">
        <f t="shared" si="1659"/>
        <v>0</v>
      </c>
      <c r="AJ2039" s="16">
        <f t="shared" si="1659"/>
        <v>0</v>
      </c>
      <c r="AK2039" s="16">
        <f t="shared" si="1659"/>
        <v>0</v>
      </c>
      <c r="AL2039" s="16">
        <f t="shared" si="1659"/>
        <v>0</v>
      </c>
      <c r="AM2039" s="16">
        <f t="shared" si="1659"/>
        <v>0</v>
      </c>
      <c r="AN2039" s="16">
        <f t="shared" si="1659"/>
        <v>0</v>
      </c>
      <c r="AO2039" s="16">
        <f t="shared" si="1659"/>
        <v>0</v>
      </c>
      <c r="AP2039" s="10"/>
      <c r="AQ2039" s="10"/>
      <c r="AR2039" s="10"/>
      <c r="AS2039" s="10" t="str">
        <f t="shared" ca="1" si="1658"/>
        <v>Johnson &amp; Johnson</v>
      </c>
      <c r="AT2039" s="10"/>
      <c r="AU2039" s="10"/>
      <c r="AV2039" s="10"/>
      <c r="AW2039" s="10"/>
      <c r="AX2039" s="10"/>
      <c r="AY2039" s="10"/>
      <c r="AZ2039" s="10"/>
      <c r="BA2039" s="10"/>
      <c r="BB2039" s="10"/>
      <c r="BC2039" s="10"/>
      <c r="BD2039" s="10"/>
      <c r="BE2039" s="10"/>
      <c r="BF2039" s="10"/>
      <c r="BG2039" s="10"/>
      <c r="BH2039" s="10"/>
      <c r="BI2039" s="10"/>
      <c r="BJ2039" s="10"/>
      <c r="BK2039" s="10"/>
      <c r="BM2039" s="10"/>
    </row>
    <row r="2040" spans="1:65" ht="12.75">
      <c r="A2040" s="9"/>
      <c r="B2040" s="10"/>
      <c r="C2040" s="11"/>
      <c r="D2040" s="12"/>
      <c r="E2040" s="10"/>
      <c r="F2040" s="10"/>
      <c r="G2040" s="10"/>
      <c r="H2040" s="14"/>
      <c r="I2040" s="14"/>
      <c r="J2040" s="14"/>
      <c r="K2040" s="14"/>
      <c r="L2040" s="14"/>
      <c r="M2040" s="15"/>
      <c r="N2040" s="10"/>
      <c r="O2040" s="14"/>
      <c r="P2040" s="14"/>
      <c r="Q2040" s="14"/>
      <c r="R2040" s="14"/>
      <c r="S2040" s="14"/>
      <c r="T2040" s="14"/>
      <c r="U2040" s="14"/>
      <c r="V2040" s="14"/>
      <c r="W2040" s="14"/>
      <c r="X2040" s="14"/>
      <c r="Y2040" s="14"/>
      <c r="Z2040" s="14"/>
      <c r="AA2040" s="16" t="str">
        <f t="shared" ca="1" si="1659"/>
        <v>Johnson &amp; Johnson</v>
      </c>
      <c r="AB2040" s="16">
        <f t="shared" si="1659"/>
        <v>0</v>
      </c>
      <c r="AC2040" s="16">
        <f t="shared" si="1659"/>
        <v>0</v>
      </c>
      <c r="AD2040" s="16">
        <f t="shared" si="1659"/>
        <v>0</v>
      </c>
      <c r="AE2040" s="16">
        <f t="shared" si="1659"/>
        <v>0</v>
      </c>
      <c r="AF2040" s="16">
        <f t="shared" si="1659"/>
        <v>0</v>
      </c>
      <c r="AG2040" s="16">
        <f t="shared" si="1659"/>
        <v>0</v>
      </c>
      <c r="AH2040" s="16">
        <f t="shared" si="1659"/>
        <v>0</v>
      </c>
      <c r="AI2040" s="16">
        <f t="shared" si="1659"/>
        <v>0</v>
      </c>
      <c r="AJ2040" s="16">
        <f t="shared" si="1659"/>
        <v>0</v>
      </c>
      <c r="AK2040" s="16">
        <f t="shared" si="1659"/>
        <v>0</v>
      </c>
      <c r="AL2040" s="16">
        <f t="shared" si="1659"/>
        <v>0</v>
      </c>
      <c r="AM2040" s="16">
        <f t="shared" si="1659"/>
        <v>0</v>
      </c>
      <c r="AN2040" s="16">
        <f t="shared" si="1659"/>
        <v>0</v>
      </c>
      <c r="AO2040" s="16">
        <f t="shared" si="1659"/>
        <v>0</v>
      </c>
      <c r="AP2040" s="10"/>
      <c r="AQ2040" s="10"/>
      <c r="AR2040" s="10"/>
      <c r="AS2040" s="10" t="str">
        <f t="shared" ca="1" si="1658"/>
        <v>Johnson &amp; Johnson</v>
      </c>
      <c r="AT2040" s="10"/>
      <c r="AU2040" s="10"/>
      <c r="AV2040" s="10"/>
      <c r="AW2040" s="10"/>
      <c r="AX2040" s="10"/>
      <c r="AY2040" s="10"/>
      <c r="AZ2040" s="10"/>
      <c r="BA2040" s="10"/>
      <c r="BB2040" s="10"/>
      <c r="BC2040" s="10"/>
      <c r="BD2040" s="10"/>
      <c r="BE2040" s="10"/>
      <c r="BF2040" s="10"/>
      <c r="BG2040" s="10"/>
      <c r="BH2040" s="10"/>
      <c r="BI2040" s="10"/>
      <c r="BJ2040" s="10"/>
      <c r="BK2040" s="10"/>
      <c r="BM2040" s="10"/>
    </row>
    <row r="2041" spans="1:65" ht="12.75">
      <c r="A2041" s="9"/>
      <c r="B2041" s="10"/>
      <c r="C2041" s="11"/>
      <c r="D2041" s="12"/>
      <c r="E2041" s="10"/>
      <c r="F2041" s="10"/>
      <c r="G2041" s="10"/>
      <c r="H2041" s="14"/>
      <c r="I2041" s="14"/>
      <c r="J2041" s="14"/>
      <c r="K2041" s="14"/>
      <c r="L2041" s="14"/>
      <c r="M2041" s="15"/>
      <c r="N2041" s="10"/>
      <c r="O2041" s="14"/>
      <c r="P2041" s="14"/>
      <c r="Q2041" s="14"/>
      <c r="R2041" s="14"/>
      <c r="S2041" s="14"/>
      <c r="T2041" s="14"/>
      <c r="U2041" s="14"/>
      <c r="V2041" s="14"/>
      <c r="W2041" s="14"/>
      <c r="X2041" s="14"/>
      <c r="Y2041" s="14"/>
      <c r="Z2041" s="14"/>
      <c r="AA2041" s="16" t="str">
        <f t="shared" ref="AA2041:AO2056" ca="1" si="1660">AS2041</f>
        <v>Johnson &amp; Johnson</v>
      </c>
      <c r="AB2041" s="16">
        <f t="shared" si="1660"/>
        <v>0</v>
      </c>
      <c r="AC2041" s="16">
        <f t="shared" si="1660"/>
        <v>0</v>
      </c>
      <c r="AD2041" s="16">
        <f t="shared" si="1660"/>
        <v>0</v>
      </c>
      <c r="AE2041" s="16">
        <f t="shared" si="1660"/>
        <v>0</v>
      </c>
      <c r="AF2041" s="16">
        <f t="shared" si="1660"/>
        <v>0</v>
      </c>
      <c r="AG2041" s="16">
        <f t="shared" si="1660"/>
        <v>0</v>
      </c>
      <c r="AH2041" s="16">
        <f t="shared" si="1660"/>
        <v>0</v>
      </c>
      <c r="AI2041" s="16">
        <f t="shared" si="1660"/>
        <v>0</v>
      </c>
      <c r="AJ2041" s="16">
        <f t="shared" si="1660"/>
        <v>0</v>
      </c>
      <c r="AK2041" s="16">
        <f t="shared" si="1660"/>
        <v>0</v>
      </c>
      <c r="AL2041" s="16">
        <f t="shared" si="1660"/>
        <v>0</v>
      </c>
      <c r="AM2041" s="16">
        <f t="shared" si="1660"/>
        <v>0</v>
      </c>
      <c r="AN2041" s="16">
        <f t="shared" si="1660"/>
        <v>0</v>
      </c>
      <c r="AO2041" s="16">
        <f t="shared" si="1660"/>
        <v>0</v>
      </c>
      <c r="AP2041" s="10"/>
      <c r="AQ2041" s="10"/>
      <c r="AR2041" s="10"/>
      <c r="AS2041" s="10" t="str">
        <f t="shared" ca="1" si="1658"/>
        <v>Johnson &amp; Johnson</v>
      </c>
      <c r="AT2041" s="10"/>
      <c r="AU2041" s="10"/>
      <c r="AV2041" s="10"/>
      <c r="AW2041" s="10"/>
      <c r="AX2041" s="10"/>
      <c r="AY2041" s="10"/>
      <c r="AZ2041" s="10"/>
      <c r="BA2041" s="10"/>
      <c r="BB2041" s="10"/>
      <c r="BC2041" s="10"/>
      <c r="BD2041" s="10"/>
      <c r="BE2041" s="10"/>
      <c r="BF2041" s="10"/>
      <c r="BG2041" s="10"/>
      <c r="BH2041" s="10"/>
      <c r="BI2041" s="10"/>
      <c r="BJ2041" s="10"/>
      <c r="BK2041" s="10"/>
      <c r="BM2041" s="10"/>
    </row>
    <row r="2042" spans="1:65" ht="12.75">
      <c r="A2042" s="9"/>
      <c r="B2042" s="10"/>
      <c r="C2042" s="11"/>
      <c r="D2042" s="12"/>
      <c r="E2042" s="10"/>
      <c r="F2042" s="10"/>
      <c r="G2042" s="10"/>
      <c r="H2042" s="14"/>
      <c r="I2042" s="14"/>
      <c r="J2042" s="14"/>
      <c r="K2042" s="14"/>
      <c r="L2042" s="14"/>
      <c r="M2042" s="15"/>
      <c r="N2042" s="10"/>
      <c r="O2042" s="14"/>
      <c r="P2042" s="14"/>
      <c r="Q2042" s="14"/>
      <c r="R2042" s="14"/>
      <c r="S2042" s="14"/>
      <c r="T2042" s="14"/>
      <c r="U2042" s="14"/>
      <c r="V2042" s="14"/>
      <c r="W2042" s="14"/>
      <c r="X2042" s="14"/>
      <c r="Y2042" s="14"/>
      <c r="Z2042" s="14"/>
      <c r="AA2042" s="16" t="str">
        <f t="shared" ca="1" si="1660"/>
        <v>Johnson &amp; Johnson</v>
      </c>
      <c r="AB2042" s="16">
        <f t="shared" si="1660"/>
        <v>0</v>
      </c>
      <c r="AC2042" s="16">
        <f t="shared" si="1660"/>
        <v>0</v>
      </c>
      <c r="AD2042" s="16">
        <f t="shared" si="1660"/>
        <v>0</v>
      </c>
      <c r="AE2042" s="16">
        <f t="shared" si="1660"/>
        <v>0</v>
      </c>
      <c r="AF2042" s="16">
        <f t="shared" si="1660"/>
        <v>0</v>
      </c>
      <c r="AG2042" s="16">
        <f t="shared" si="1660"/>
        <v>0</v>
      </c>
      <c r="AH2042" s="16">
        <f t="shared" si="1660"/>
        <v>0</v>
      </c>
      <c r="AI2042" s="16">
        <f t="shared" si="1660"/>
        <v>0</v>
      </c>
      <c r="AJ2042" s="16">
        <f t="shared" si="1660"/>
        <v>0</v>
      </c>
      <c r="AK2042" s="16">
        <f t="shared" si="1660"/>
        <v>0</v>
      </c>
      <c r="AL2042" s="16">
        <f t="shared" si="1660"/>
        <v>0</v>
      </c>
      <c r="AM2042" s="16">
        <f t="shared" si="1660"/>
        <v>0</v>
      </c>
      <c r="AN2042" s="16">
        <f t="shared" si="1660"/>
        <v>0</v>
      </c>
      <c r="AO2042" s="16">
        <f t="shared" si="1660"/>
        <v>0</v>
      </c>
      <c r="AP2042" s="10"/>
      <c r="AQ2042" s="10"/>
      <c r="AR2042" s="10"/>
      <c r="AS2042" s="10" t="str">
        <f t="shared" ca="1" si="1658"/>
        <v>Johnson &amp; Johnson</v>
      </c>
      <c r="AT2042" s="10"/>
      <c r="AU2042" s="10"/>
      <c r="AV2042" s="10"/>
      <c r="AW2042" s="10"/>
      <c r="AX2042" s="10"/>
      <c r="AY2042" s="10"/>
      <c r="AZ2042" s="10"/>
      <c r="BA2042" s="10"/>
      <c r="BB2042" s="10"/>
      <c r="BC2042" s="10"/>
      <c r="BD2042" s="10"/>
      <c r="BE2042" s="10"/>
      <c r="BF2042" s="10"/>
      <c r="BG2042" s="10"/>
      <c r="BH2042" s="10"/>
      <c r="BI2042" s="10"/>
      <c r="BJ2042" s="10"/>
      <c r="BK2042" s="10"/>
      <c r="BM2042" s="10"/>
    </row>
    <row r="2043" spans="1:65" ht="12.75">
      <c r="A2043" s="9"/>
      <c r="B2043" s="10"/>
      <c r="C2043" s="11"/>
      <c r="D2043" s="12"/>
      <c r="E2043" s="10"/>
      <c r="F2043" s="10"/>
      <c r="G2043" s="10"/>
      <c r="H2043" s="14"/>
      <c r="I2043" s="14"/>
      <c r="J2043" s="14"/>
      <c r="K2043" s="14"/>
      <c r="L2043" s="14"/>
      <c r="M2043" s="15"/>
      <c r="N2043" s="10"/>
      <c r="O2043" s="14"/>
      <c r="P2043" s="14"/>
      <c r="Q2043" s="14"/>
      <c r="R2043" s="14"/>
      <c r="S2043" s="14"/>
      <c r="T2043" s="14"/>
      <c r="U2043" s="14"/>
      <c r="V2043" s="14"/>
      <c r="W2043" s="14"/>
      <c r="X2043" s="14"/>
      <c r="Y2043" s="14"/>
      <c r="Z2043" s="14"/>
      <c r="AA2043" s="16" t="str">
        <f t="shared" ca="1" si="1660"/>
        <v>Johnson &amp; Johnson</v>
      </c>
      <c r="AB2043" s="16">
        <f t="shared" si="1660"/>
        <v>0</v>
      </c>
      <c r="AC2043" s="16">
        <f t="shared" si="1660"/>
        <v>0</v>
      </c>
      <c r="AD2043" s="16">
        <f t="shared" si="1660"/>
        <v>0</v>
      </c>
      <c r="AE2043" s="16">
        <f t="shared" si="1660"/>
        <v>0</v>
      </c>
      <c r="AF2043" s="16">
        <f t="shared" si="1660"/>
        <v>0</v>
      </c>
      <c r="AG2043" s="16">
        <f t="shared" si="1660"/>
        <v>0</v>
      </c>
      <c r="AH2043" s="16">
        <f t="shared" si="1660"/>
        <v>0</v>
      </c>
      <c r="AI2043" s="16">
        <f t="shared" si="1660"/>
        <v>0</v>
      </c>
      <c r="AJ2043" s="16">
        <f t="shared" si="1660"/>
        <v>0</v>
      </c>
      <c r="AK2043" s="16">
        <f t="shared" si="1660"/>
        <v>0</v>
      </c>
      <c r="AL2043" s="16">
        <f t="shared" si="1660"/>
        <v>0</v>
      </c>
      <c r="AM2043" s="16">
        <f t="shared" si="1660"/>
        <v>0</v>
      </c>
      <c r="AN2043" s="16">
        <f t="shared" si="1660"/>
        <v>0</v>
      </c>
      <c r="AO2043" s="16">
        <f t="shared" si="1660"/>
        <v>0</v>
      </c>
      <c r="AP2043" s="10"/>
      <c r="AQ2043" s="10"/>
      <c r="AR2043" s="10"/>
      <c r="AS2043" s="10" t="str">
        <f t="shared" ca="1" si="1658"/>
        <v>Johnson &amp; Johnson</v>
      </c>
      <c r="AT2043" s="10"/>
      <c r="AU2043" s="10"/>
      <c r="AV2043" s="10"/>
      <c r="AW2043" s="10"/>
      <c r="AX2043" s="10"/>
      <c r="AY2043" s="10"/>
      <c r="AZ2043" s="10"/>
      <c r="BA2043" s="10"/>
      <c r="BB2043" s="10"/>
      <c r="BC2043" s="10"/>
      <c r="BD2043" s="10"/>
      <c r="BE2043" s="10"/>
      <c r="BF2043" s="10"/>
      <c r="BG2043" s="10"/>
      <c r="BH2043" s="10"/>
      <c r="BI2043" s="10"/>
      <c r="BJ2043" s="10"/>
      <c r="BK2043" s="10"/>
      <c r="BM2043" s="10"/>
    </row>
    <row r="2044" spans="1:65" ht="12.75">
      <c r="A2044" s="9"/>
      <c r="B2044" s="10"/>
      <c r="C2044" s="11"/>
      <c r="D2044" s="12"/>
      <c r="E2044" s="10"/>
      <c r="F2044" s="10"/>
      <c r="G2044" s="10"/>
      <c r="H2044" s="14"/>
      <c r="I2044" s="14"/>
      <c r="J2044" s="14"/>
      <c r="K2044" s="14"/>
      <c r="L2044" s="14"/>
      <c r="M2044" s="15"/>
      <c r="N2044" s="10"/>
      <c r="O2044" s="14"/>
      <c r="P2044" s="14"/>
      <c r="Q2044" s="14"/>
      <c r="R2044" s="14"/>
      <c r="S2044" s="14"/>
      <c r="T2044" s="14"/>
      <c r="U2044" s="14"/>
      <c r="V2044" s="14"/>
      <c r="W2044" s="14"/>
      <c r="X2044" s="14"/>
      <c r="Y2044" s="14"/>
      <c r="Z2044" s="14"/>
      <c r="AA2044" s="16" t="str">
        <f t="shared" ca="1" si="1660"/>
        <v>Johnson &amp; Johnson</v>
      </c>
      <c r="AB2044" s="16">
        <f t="shared" si="1660"/>
        <v>0</v>
      </c>
      <c r="AC2044" s="16">
        <f t="shared" si="1660"/>
        <v>0</v>
      </c>
      <c r="AD2044" s="16">
        <f t="shared" si="1660"/>
        <v>0</v>
      </c>
      <c r="AE2044" s="16">
        <f t="shared" si="1660"/>
        <v>0</v>
      </c>
      <c r="AF2044" s="16">
        <f t="shared" si="1660"/>
        <v>0</v>
      </c>
      <c r="AG2044" s="16">
        <f t="shared" si="1660"/>
        <v>0</v>
      </c>
      <c r="AH2044" s="16">
        <f t="shared" si="1660"/>
        <v>0</v>
      </c>
      <c r="AI2044" s="16">
        <f t="shared" si="1660"/>
        <v>0</v>
      </c>
      <c r="AJ2044" s="16">
        <f t="shared" si="1660"/>
        <v>0</v>
      </c>
      <c r="AK2044" s="16">
        <f t="shared" si="1660"/>
        <v>0</v>
      </c>
      <c r="AL2044" s="16">
        <f t="shared" si="1660"/>
        <v>0</v>
      </c>
      <c r="AM2044" s="16">
        <f t="shared" si="1660"/>
        <v>0</v>
      </c>
      <c r="AN2044" s="16">
        <f t="shared" si="1660"/>
        <v>0</v>
      </c>
      <c r="AO2044" s="16">
        <f t="shared" si="1660"/>
        <v>0</v>
      </c>
      <c r="AP2044" s="10"/>
      <c r="AQ2044" s="10"/>
      <c r="AR2044" s="10"/>
      <c r="AS2044" s="10" t="str">
        <f t="shared" ca="1" si="1658"/>
        <v>Johnson &amp; Johnson</v>
      </c>
      <c r="AT2044" s="10"/>
      <c r="AU2044" s="10"/>
      <c r="AV2044" s="10"/>
      <c r="AW2044" s="10"/>
      <c r="AX2044" s="10"/>
      <c r="AY2044" s="10"/>
      <c r="AZ2044" s="10"/>
      <c r="BA2044" s="10"/>
      <c r="BB2044" s="10"/>
      <c r="BC2044" s="10"/>
      <c r="BD2044" s="10"/>
      <c r="BE2044" s="10"/>
      <c r="BF2044" s="10"/>
      <c r="BG2044" s="10"/>
      <c r="BH2044" s="10"/>
      <c r="BI2044" s="10"/>
      <c r="BJ2044" s="10"/>
      <c r="BK2044" s="10"/>
      <c r="BM2044" s="10"/>
    </row>
    <row r="2045" spans="1:65" ht="12.75">
      <c r="A2045" s="9"/>
      <c r="B2045" s="10"/>
      <c r="C2045" s="11"/>
      <c r="D2045" s="12"/>
      <c r="E2045" s="10"/>
      <c r="F2045" s="10"/>
      <c r="G2045" s="10"/>
      <c r="H2045" s="14"/>
      <c r="I2045" s="14"/>
      <c r="J2045" s="14"/>
      <c r="K2045" s="14"/>
      <c r="L2045" s="14"/>
      <c r="M2045" s="15"/>
      <c r="N2045" s="10"/>
      <c r="O2045" s="14"/>
      <c r="P2045" s="14"/>
      <c r="Q2045" s="14"/>
      <c r="R2045" s="14"/>
      <c r="S2045" s="14"/>
      <c r="T2045" s="14"/>
      <c r="U2045" s="14"/>
      <c r="V2045" s="14"/>
      <c r="W2045" s="14"/>
      <c r="X2045" s="14"/>
      <c r="Y2045" s="14"/>
      <c r="Z2045" s="14"/>
      <c r="AA2045" s="16" t="str">
        <f t="shared" ca="1" si="1660"/>
        <v>Johnson &amp; Johnson</v>
      </c>
      <c r="AB2045" s="16">
        <f t="shared" si="1660"/>
        <v>0</v>
      </c>
      <c r="AC2045" s="16">
        <f t="shared" si="1660"/>
        <v>0</v>
      </c>
      <c r="AD2045" s="16">
        <f t="shared" si="1660"/>
        <v>0</v>
      </c>
      <c r="AE2045" s="16">
        <f t="shared" si="1660"/>
        <v>0</v>
      </c>
      <c r="AF2045" s="16">
        <f t="shared" si="1660"/>
        <v>0</v>
      </c>
      <c r="AG2045" s="16">
        <f t="shared" si="1660"/>
        <v>0</v>
      </c>
      <c r="AH2045" s="16">
        <f t="shared" si="1660"/>
        <v>0</v>
      </c>
      <c r="AI2045" s="16">
        <f t="shared" si="1660"/>
        <v>0</v>
      </c>
      <c r="AJ2045" s="16">
        <f t="shared" si="1660"/>
        <v>0</v>
      </c>
      <c r="AK2045" s="16">
        <f t="shared" si="1660"/>
        <v>0</v>
      </c>
      <c r="AL2045" s="16">
        <f t="shared" si="1660"/>
        <v>0</v>
      </c>
      <c r="AM2045" s="16">
        <f t="shared" si="1660"/>
        <v>0</v>
      </c>
      <c r="AN2045" s="16">
        <f t="shared" si="1660"/>
        <v>0</v>
      </c>
      <c r="AO2045" s="16">
        <f t="shared" si="1660"/>
        <v>0</v>
      </c>
      <c r="AP2045" s="10"/>
      <c r="AQ2045" s="10"/>
      <c r="AR2045" s="10"/>
      <c r="AS2045" s="10" t="str">
        <f t="shared" ca="1" si="1658"/>
        <v>Johnson &amp; Johnson</v>
      </c>
      <c r="AT2045" s="10"/>
      <c r="AU2045" s="10"/>
      <c r="AV2045" s="10"/>
      <c r="AW2045" s="10"/>
      <c r="AX2045" s="10"/>
      <c r="AY2045" s="10"/>
      <c r="AZ2045" s="10"/>
      <c r="BA2045" s="10"/>
      <c r="BB2045" s="10"/>
      <c r="BC2045" s="10"/>
      <c r="BD2045" s="10"/>
      <c r="BE2045" s="10"/>
      <c r="BF2045" s="10"/>
      <c r="BG2045" s="10"/>
      <c r="BH2045" s="10"/>
      <c r="BI2045" s="10"/>
      <c r="BJ2045" s="10"/>
      <c r="BK2045" s="10"/>
      <c r="BM2045" s="10"/>
    </row>
    <row r="2046" spans="1:65" ht="12.75">
      <c r="A2046" s="9"/>
      <c r="B2046" s="10"/>
      <c r="C2046" s="11"/>
      <c r="D2046" s="12"/>
      <c r="E2046" s="10"/>
      <c r="F2046" s="10"/>
      <c r="G2046" s="10"/>
      <c r="H2046" s="14"/>
      <c r="I2046" s="14"/>
      <c r="J2046" s="14"/>
      <c r="K2046" s="14"/>
      <c r="L2046" s="14"/>
      <c r="M2046" s="15"/>
      <c r="N2046" s="10"/>
      <c r="O2046" s="14"/>
      <c r="P2046" s="14"/>
      <c r="Q2046" s="14"/>
      <c r="R2046" s="14"/>
      <c r="S2046" s="14"/>
      <c r="T2046" s="14"/>
      <c r="U2046" s="14"/>
      <c r="V2046" s="14"/>
      <c r="W2046" s="14"/>
      <c r="X2046" s="14"/>
      <c r="Y2046" s="14"/>
      <c r="Z2046" s="14"/>
      <c r="AA2046" s="16" t="str">
        <f t="shared" ca="1" si="1660"/>
        <v>Johnson &amp; Johnson</v>
      </c>
      <c r="AB2046" s="16">
        <f t="shared" si="1660"/>
        <v>0</v>
      </c>
      <c r="AC2046" s="16">
        <f t="shared" si="1660"/>
        <v>0</v>
      </c>
      <c r="AD2046" s="16">
        <f t="shared" si="1660"/>
        <v>0</v>
      </c>
      <c r="AE2046" s="16">
        <f t="shared" si="1660"/>
        <v>0</v>
      </c>
      <c r="AF2046" s="16">
        <f t="shared" si="1660"/>
        <v>0</v>
      </c>
      <c r="AG2046" s="16">
        <f t="shared" si="1660"/>
        <v>0</v>
      </c>
      <c r="AH2046" s="16">
        <f t="shared" si="1660"/>
        <v>0</v>
      </c>
      <c r="AI2046" s="16">
        <f t="shared" si="1660"/>
        <v>0</v>
      </c>
      <c r="AJ2046" s="16">
        <f t="shared" si="1660"/>
        <v>0</v>
      </c>
      <c r="AK2046" s="16">
        <f t="shared" si="1660"/>
        <v>0</v>
      </c>
      <c r="AL2046" s="16">
        <f t="shared" si="1660"/>
        <v>0</v>
      </c>
      <c r="AM2046" s="16">
        <f t="shared" si="1660"/>
        <v>0</v>
      </c>
      <c r="AN2046" s="16">
        <f t="shared" si="1660"/>
        <v>0</v>
      </c>
      <c r="AO2046" s="16">
        <f t="shared" si="1660"/>
        <v>0</v>
      </c>
      <c r="AP2046" s="10"/>
      <c r="AQ2046" s="10"/>
      <c r="AR2046" s="10"/>
      <c r="AS2046" s="10" t="str">
        <f t="shared" ca="1" si="1658"/>
        <v>Johnson &amp; Johnson</v>
      </c>
      <c r="AT2046" s="10"/>
      <c r="AU2046" s="10"/>
      <c r="AV2046" s="10"/>
      <c r="AW2046" s="10"/>
      <c r="AX2046" s="10"/>
      <c r="AY2046" s="10"/>
      <c r="AZ2046" s="10"/>
      <c r="BA2046" s="10"/>
      <c r="BB2046" s="10"/>
      <c r="BC2046" s="10"/>
      <c r="BD2046" s="10"/>
      <c r="BE2046" s="10"/>
      <c r="BF2046" s="10"/>
      <c r="BG2046" s="10"/>
      <c r="BH2046" s="10"/>
      <c r="BI2046" s="10"/>
      <c r="BJ2046" s="10"/>
      <c r="BK2046" s="10"/>
      <c r="BM2046" s="10"/>
    </row>
    <row r="2047" spans="1:65" ht="12.75">
      <c r="A2047" s="9"/>
      <c r="B2047" s="10"/>
      <c r="C2047" s="11"/>
      <c r="D2047" s="12"/>
      <c r="E2047" s="10"/>
      <c r="F2047" s="10"/>
      <c r="G2047" s="10"/>
      <c r="H2047" s="14"/>
      <c r="I2047" s="14"/>
      <c r="J2047" s="14"/>
      <c r="K2047" s="14"/>
      <c r="L2047" s="14"/>
      <c r="M2047" s="15"/>
      <c r="N2047" s="10"/>
      <c r="O2047" s="14"/>
      <c r="P2047" s="14"/>
      <c r="Q2047" s="14"/>
      <c r="R2047" s="14"/>
      <c r="S2047" s="14"/>
      <c r="T2047" s="14"/>
      <c r="U2047" s="14"/>
      <c r="V2047" s="14"/>
      <c r="W2047" s="14"/>
      <c r="X2047" s="14"/>
      <c r="Y2047" s="14"/>
      <c r="Z2047" s="14"/>
      <c r="AA2047" s="16" t="str">
        <f t="shared" ca="1" si="1660"/>
        <v>Johnson &amp; Johnson</v>
      </c>
      <c r="AB2047" s="16">
        <f t="shared" si="1660"/>
        <v>0</v>
      </c>
      <c r="AC2047" s="16">
        <f t="shared" si="1660"/>
        <v>0</v>
      </c>
      <c r="AD2047" s="16">
        <f t="shared" si="1660"/>
        <v>0</v>
      </c>
      <c r="AE2047" s="16">
        <f t="shared" si="1660"/>
        <v>0</v>
      </c>
      <c r="AF2047" s="16">
        <f t="shared" si="1660"/>
        <v>0</v>
      </c>
      <c r="AG2047" s="16">
        <f t="shared" si="1660"/>
        <v>0</v>
      </c>
      <c r="AH2047" s="16">
        <f t="shared" si="1660"/>
        <v>0</v>
      </c>
      <c r="AI2047" s="16">
        <f t="shared" si="1660"/>
        <v>0</v>
      </c>
      <c r="AJ2047" s="16">
        <f t="shared" si="1660"/>
        <v>0</v>
      </c>
      <c r="AK2047" s="16">
        <f t="shared" si="1660"/>
        <v>0</v>
      </c>
      <c r="AL2047" s="16">
        <f t="shared" si="1660"/>
        <v>0</v>
      </c>
      <c r="AM2047" s="16">
        <f t="shared" si="1660"/>
        <v>0</v>
      </c>
      <c r="AN2047" s="16">
        <f t="shared" si="1660"/>
        <v>0</v>
      </c>
      <c r="AO2047" s="16">
        <f t="shared" si="1660"/>
        <v>0</v>
      </c>
      <c r="AP2047" s="10"/>
      <c r="AQ2047" s="10"/>
      <c r="AR2047" s="10"/>
      <c r="AS2047" s="10" t="str">
        <f t="shared" ca="1" si="1658"/>
        <v>Johnson &amp; Johnson</v>
      </c>
      <c r="AT2047" s="10"/>
      <c r="AU2047" s="10"/>
      <c r="AV2047" s="10"/>
      <c r="AW2047" s="10"/>
      <c r="AX2047" s="10"/>
      <c r="AY2047" s="10"/>
      <c r="AZ2047" s="10"/>
      <c r="BA2047" s="10"/>
      <c r="BB2047" s="10"/>
      <c r="BC2047" s="10"/>
      <c r="BD2047" s="10"/>
      <c r="BE2047" s="10"/>
      <c r="BF2047" s="10"/>
      <c r="BG2047" s="10"/>
      <c r="BH2047" s="10"/>
      <c r="BI2047" s="10"/>
      <c r="BJ2047" s="10"/>
      <c r="BK2047" s="10"/>
      <c r="BM2047" s="10"/>
    </row>
    <row r="2048" spans="1:65" ht="12.75">
      <c r="A2048" s="9"/>
      <c r="B2048" s="10"/>
      <c r="C2048" s="11"/>
      <c r="D2048" s="12"/>
      <c r="E2048" s="10"/>
      <c r="F2048" s="10"/>
      <c r="G2048" s="10"/>
      <c r="H2048" s="14"/>
      <c r="I2048" s="14"/>
      <c r="J2048" s="14"/>
      <c r="K2048" s="14"/>
      <c r="L2048" s="14"/>
      <c r="M2048" s="15"/>
      <c r="N2048" s="10"/>
      <c r="O2048" s="14"/>
      <c r="P2048" s="14"/>
      <c r="Q2048" s="14"/>
      <c r="R2048" s="14"/>
      <c r="S2048" s="14"/>
      <c r="T2048" s="14"/>
      <c r="U2048" s="14"/>
      <c r="V2048" s="14"/>
      <c r="W2048" s="14"/>
      <c r="X2048" s="14"/>
      <c r="Y2048" s="14"/>
      <c r="Z2048" s="14"/>
      <c r="AA2048" s="16" t="str">
        <f t="shared" ca="1" si="1660"/>
        <v>Johnson &amp; Johnson</v>
      </c>
      <c r="AB2048" s="16">
        <f t="shared" si="1660"/>
        <v>0</v>
      </c>
      <c r="AC2048" s="16">
        <f t="shared" si="1660"/>
        <v>0</v>
      </c>
      <c r="AD2048" s="16">
        <f t="shared" si="1660"/>
        <v>0</v>
      </c>
      <c r="AE2048" s="16">
        <f t="shared" si="1660"/>
        <v>0</v>
      </c>
      <c r="AF2048" s="16">
        <f t="shared" si="1660"/>
        <v>0</v>
      </c>
      <c r="AG2048" s="16">
        <f t="shared" si="1660"/>
        <v>0</v>
      </c>
      <c r="AH2048" s="16">
        <f t="shared" si="1660"/>
        <v>0</v>
      </c>
      <c r="AI2048" s="16">
        <f t="shared" si="1660"/>
        <v>0</v>
      </c>
      <c r="AJ2048" s="16">
        <f t="shared" si="1660"/>
        <v>0</v>
      </c>
      <c r="AK2048" s="16">
        <f t="shared" si="1660"/>
        <v>0</v>
      </c>
      <c r="AL2048" s="16">
        <f t="shared" si="1660"/>
        <v>0</v>
      </c>
      <c r="AM2048" s="16">
        <f t="shared" si="1660"/>
        <v>0</v>
      </c>
      <c r="AN2048" s="16">
        <f t="shared" si="1660"/>
        <v>0</v>
      </c>
      <c r="AO2048" s="16">
        <f t="shared" si="1660"/>
        <v>0</v>
      </c>
      <c r="AP2048" s="10"/>
      <c r="AQ2048" s="10"/>
      <c r="AR2048" s="10"/>
      <c r="AS2048" s="10" t="str">
        <f t="shared" ca="1" si="1658"/>
        <v>Johnson &amp; Johnson</v>
      </c>
      <c r="AT2048" s="10"/>
      <c r="AU2048" s="10"/>
      <c r="AV2048" s="10"/>
      <c r="AW2048" s="10"/>
      <c r="AX2048" s="10"/>
      <c r="AY2048" s="10"/>
      <c r="AZ2048" s="10"/>
      <c r="BA2048" s="10"/>
      <c r="BB2048" s="10"/>
      <c r="BC2048" s="10"/>
      <c r="BD2048" s="10"/>
      <c r="BE2048" s="10"/>
      <c r="BF2048" s="10"/>
      <c r="BG2048" s="10"/>
      <c r="BH2048" s="10"/>
      <c r="BI2048" s="10"/>
      <c r="BJ2048" s="10"/>
      <c r="BK2048" s="10"/>
      <c r="BM2048" s="10"/>
    </row>
    <row r="2049" spans="1:65" ht="12.75">
      <c r="A2049" s="9"/>
      <c r="B2049" s="10"/>
      <c r="C2049" s="11"/>
      <c r="D2049" s="12"/>
      <c r="E2049" s="10"/>
      <c r="F2049" s="10"/>
      <c r="G2049" s="10"/>
      <c r="H2049" s="14"/>
      <c r="I2049" s="14"/>
      <c r="J2049" s="14"/>
      <c r="K2049" s="14"/>
      <c r="L2049" s="14"/>
      <c r="M2049" s="15"/>
      <c r="N2049" s="10"/>
      <c r="O2049" s="14"/>
      <c r="P2049" s="14"/>
      <c r="Q2049" s="14"/>
      <c r="R2049" s="14"/>
      <c r="S2049" s="14"/>
      <c r="T2049" s="14"/>
      <c r="U2049" s="14"/>
      <c r="V2049" s="14"/>
      <c r="W2049" s="14"/>
      <c r="X2049" s="14"/>
      <c r="Y2049" s="14"/>
      <c r="Z2049" s="14"/>
      <c r="AA2049" s="16" t="str">
        <f t="shared" ca="1" si="1660"/>
        <v>Johnson &amp; Johnson</v>
      </c>
      <c r="AB2049" s="16">
        <f t="shared" si="1660"/>
        <v>0</v>
      </c>
      <c r="AC2049" s="16">
        <f t="shared" si="1660"/>
        <v>0</v>
      </c>
      <c r="AD2049" s="16">
        <f t="shared" si="1660"/>
        <v>0</v>
      </c>
      <c r="AE2049" s="16">
        <f t="shared" si="1660"/>
        <v>0</v>
      </c>
      <c r="AF2049" s="16">
        <f t="shared" si="1660"/>
        <v>0</v>
      </c>
      <c r="AG2049" s="16">
        <f t="shared" si="1660"/>
        <v>0</v>
      </c>
      <c r="AH2049" s="16">
        <f t="shared" si="1660"/>
        <v>0</v>
      </c>
      <c r="AI2049" s="16">
        <f t="shared" si="1660"/>
        <v>0</v>
      </c>
      <c r="AJ2049" s="16">
        <f t="shared" si="1660"/>
        <v>0</v>
      </c>
      <c r="AK2049" s="16">
        <f t="shared" si="1660"/>
        <v>0</v>
      </c>
      <c r="AL2049" s="16">
        <f t="shared" si="1660"/>
        <v>0</v>
      </c>
      <c r="AM2049" s="16">
        <f t="shared" si="1660"/>
        <v>0</v>
      </c>
      <c r="AN2049" s="16">
        <f t="shared" si="1660"/>
        <v>0</v>
      </c>
      <c r="AO2049" s="16">
        <f t="shared" si="1660"/>
        <v>0</v>
      </c>
      <c r="AP2049" s="10"/>
      <c r="AQ2049" s="10"/>
      <c r="AR2049" s="10"/>
      <c r="AS2049" s="10" t="str">
        <f t="shared" ca="1" si="1658"/>
        <v>Johnson &amp; Johnson</v>
      </c>
      <c r="AT2049" s="10"/>
      <c r="AU2049" s="10"/>
      <c r="AV2049" s="10"/>
      <c r="AW2049" s="10"/>
      <c r="AX2049" s="10"/>
      <c r="AY2049" s="10"/>
      <c r="AZ2049" s="10"/>
      <c r="BA2049" s="10"/>
      <c r="BB2049" s="10"/>
      <c r="BC2049" s="10"/>
      <c r="BD2049" s="10"/>
      <c r="BE2049" s="10"/>
      <c r="BF2049" s="10"/>
      <c r="BG2049" s="10"/>
      <c r="BH2049" s="10"/>
      <c r="BI2049" s="10"/>
      <c r="BJ2049" s="10"/>
      <c r="BK2049" s="10"/>
      <c r="BM2049" s="10"/>
    </row>
    <row r="2050" spans="1:65" ht="12.75">
      <c r="A2050" s="9"/>
      <c r="B2050" s="10"/>
      <c r="C2050" s="11"/>
      <c r="D2050" s="12"/>
      <c r="E2050" s="10"/>
      <c r="F2050" s="10"/>
      <c r="G2050" s="10"/>
      <c r="H2050" s="14"/>
      <c r="I2050" s="14"/>
      <c r="J2050" s="14"/>
      <c r="K2050" s="14"/>
      <c r="L2050" s="14"/>
      <c r="M2050" s="15"/>
      <c r="N2050" s="10"/>
      <c r="O2050" s="14"/>
      <c r="P2050" s="14"/>
      <c r="Q2050" s="14"/>
      <c r="R2050" s="14"/>
      <c r="S2050" s="14"/>
      <c r="T2050" s="14"/>
      <c r="U2050" s="14"/>
      <c r="V2050" s="14"/>
      <c r="W2050" s="14"/>
      <c r="X2050" s="14"/>
      <c r="Y2050" s="14"/>
      <c r="Z2050" s="14"/>
      <c r="AA2050" s="16" t="str">
        <f t="shared" ca="1" si="1660"/>
        <v>Johnson &amp; Johnson</v>
      </c>
      <c r="AB2050" s="16">
        <f t="shared" si="1660"/>
        <v>0</v>
      </c>
      <c r="AC2050" s="16">
        <f t="shared" si="1660"/>
        <v>0</v>
      </c>
      <c r="AD2050" s="16">
        <f t="shared" si="1660"/>
        <v>0</v>
      </c>
      <c r="AE2050" s="16">
        <f t="shared" si="1660"/>
        <v>0</v>
      </c>
      <c r="AF2050" s="16">
        <f t="shared" si="1660"/>
        <v>0</v>
      </c>
      <c r="AG2050" s="16">
        <f t="shared" si="1660"/>
        <v>0</v>
      </c>
      <c r="AH2050" s="16">
        <f t="shared" si="1660"/>
        <v>0</v>
      </c>
      <c r="AI2050" s="16">
        <f t="shared" si="1660"/>
        <v>0</v>
      </c>
      <c r="AJ2050" s="16">
        <f t="shared" si="1660"/>
        <v>0</v>
      </c>
      <c r="AK2050" s="16">
        <f t="shared" si="1660"/>
        <v>0</v>
      </c>
      <c r="AL2050" s="16">
        <f t="shared" si="1660"/>
        <v>0</v>
      </c>
      <c r="AM2050" s="16">
        <f t="shared" si="1660"/>
        <v>0</v>
      </c>
      <c r="AN2050" s="16">
        <f t="shared" si="1660"/>
        <v>0</v>
      </c>
      <c r="AO2050" s="16">
        <f t="shared" si="1660"/>
        <v>0</v>
      </c>
      <c r="AP2050" s="10"/>
      <c r="AQ2050" s="10"/>
      <c r="AR2050" s="10"/>
      <c r="AS2050" s="10" t="str">
        <f t="shared" ca="1" si="1658"/>
        <v>Johnson &amp; Johnson</v>
      </c>
      <c r="AT2050" s="10"/>
      <c r="AU2050" s="10"/>
      <c r="AV2050" s="10"/>
      <c r="AW2050" s="10"/>
      <c r="AX2050" s="10"/>
      <c r="AY2050" s="10"/>
      <c r="AZ2050" s="10"/>
      <c r="BA2050" s="10"/>
      <c r="BB2050" s="10"/>
      <c r="BC2050" s="10"/>
      <c r="BD2050" s="10"/>
      <c r="BE2050" s="10"/>
      <c r="BF2050" s="10"/>
      <c r="BG2050" s="10"/>
      <c r="BH2050" s="10"/>
      <c r="BI2050" s="10"/>
      <c r="BJ2050" s="10"/>
      <c r="BK2050" s="10"/>
      <c r="BM2050" s="10"/>
    </row>
    <row r="2051" spans="1:65" ht="12.75">
      <c r="A2051" s="9"/>
      <c r="B2051" s="10"/>
      <c r="C2051" s="11"/>
      <c r="D2051" s="12"/>
      <c r="E2051" s="10"/>
      <c r="F2051" s="10"/>
      <c r="G2051" s="10"/>
      <c r="H2051" s="14"/>
      <c r="I2051" s="14"/>
      <c r="J2051" s="14"/>
      <c r="K2051" s="14"/>
      <c r="L2051" s="14"/>
      <c r="M2051" s="15"/>
      <c r="N2051" s="10"/>
      <c r="O2051" s="14"/>
      <c r="P2051" s="14"/>
      <c r="Q2051" s="14"/>
      <c r="R2051" s="14"/>
      <c r="S2051" s="14"/>
      <c r="T2051" s="14"/>
      <c r="U2051" s="14"/>
      <c r="V2051" s="14"/>
      <c r="W2051" s="14"/>
      <c r="X2051" s="14"/>
      <c r="Y2051" s="14"/>
      <c r="Z2051" s="14"/>
      <c r="AA2051" s="16" t="str">
        <f t="shared" ca="1" si="1660"/>
        <v>Johnson &amp; Johnson</v>
      </c>
      <c r="AB2051" s="16">
        <f t="shared" si="1660"/>
        <v>0</v>
      </c>
      <c r="AC2051" s="16">
        <f t="shared" si="1660"/>
        <v>0</v>
      </c>
      <c r="AD2051" s="16">
        <f t="shared" si="1660"/>
        <v>0</v>
      </c>
      <c r="AE2051" s="16">
        <f t="shared" si="1660"/>
        <v>0</v>
      </c>
      <c r="AF2051" s="16">
        <f t="shared" si="1660"/>
        <v>0</v>
      </c>
      <c r="AG2051" s="16">
        <f t="shared" si="1660"/>
        <v>0</v>
      </c>
      <c r="AH2051" s="16">
        <f t="shared" si="1660"/>
        <v>0</v>
      </c>
      <c r="AI2051" s="16">
        <f t="shared" si="1660"/>
        <v>0</v>
      </c>
      <c r="AJ2051" s="16">
        <f t="shared" si="1660"/>
        <v>0</v>
      </c>
      <c r="AK2051" s="16">
        <f t="shared" si="1660"/>
        <v>0</v>
      </c>
      <c r="AL2051" s="16">
        <f t="shared" si="1660"/>
        <v>0</v>
      </c>
      <c r="AM2051" s="16">
        <f t="shared" si="1660"/>
        <v>0</v>
      </c>
      <c r="AN2051" s="16">
        <f t="shared" si="1660"/>
        <v>0</v>
      </c>
      <c r="AO2051" s="16">
        <f t="shared" si="1660"/>
        <v>0</v>
      </c>
      <c r="AP2051" s="10"/>
      <c r="AQ2051" s="10"/>
      <c r="AR2051" s="10"/>
      <c r="AS2051" s="10" t="str">
        <f t="shared" ca="1" si="1658"/>
        <v>Johnson &amp; Johnson</v>
      </c>
      <c r="AT2051" s="10"/>
      <c r="AU2051" s="10"/>
      <c r="AV2051" s="10"/>
      <c r="AW2051" s="10"/>
      <c r="AX2051" s="10"/>
      <c r="AY2051" s="10"/>
      <c r="AZ2051" s="10"/>
      <c r="BA2051" s="10"/>
      <c r="BB2051" s="10"/>
      <c r="BC2051" s="10"/>
      <c r="BD2051" s="10"/>
      <c r="BE2051" s="10"/>
      <c r="BF2051" s="10"/>
      <c r="BG2051" s="10"/>
      <c r="BH2051" s="10"/>
      <c r="BI2051" s="10"/>
      <c r="BJ2051" s="10"/>
      <c r="BK2051" s="10"/>
      <c r="BM2051" s="10"/>
    </row>
    <row r="2052" spans="1:65" ht="12.75">
      <c r="A2052" s="9"/>
      <c r="B2052" s="10"/>
      <c r="C2052" s="11"/>
      <c r="D2052" s="12"/>
      <c r="E2052" s="10"/>
      <c r="F2052" s="10"/>
      <c r="G2052" s="10"/>
      <c r="H2052" s="14"/>
      <c r="I2052" s="14"/>
      <c r="J2052" s="14"/>
      <c r="K2052" s="14"/>
      <c r="L2052" s="14"/>
      <c r="M2052" s="15"/>
      <c r="N2052" s="10"/>
      <c r="O2052" s="14"/>
      <c r="P2052" s="14"/>
      <c r="Q2052" s="14"/>
      <c r="R2052" s="14"/>
      <c r="S2052" s="14"/>
      <c r="T2052" s="14"/>
      <c r="U2052" s="14"/>
      <c r="V2052" s="14"/>
      <c r="W2052" s="14"/>
      <c r="X2052" s="14"/>
      <c r="Y2052" s="14"/>
      <c r="Z2052" s="14"/>
      <c r="AA2052" s="16" t="str">
        <f t="shared" ca="1" si="1660"/>
        <v>Johnson &amp; Johnson</v>
      </c>
      <c r="AB2052" s="16">
        <f t="shared" si="1660"/>
        <v>0</v>
      </c>
      <c r="AC2052" s="16">
        <f t="shared" si="1660"/>
        <v>0</v>
      </c>
      <c r="AD2052" s="16">
        <f t="shared" si="1660"/>
        <v>0</v>
      </c>
      <c r="AE2052" s="16">
        <f t="shared" si="1660"/>
        <v>0</v>
      </c>
      <c r="AF2052" s="16">
        <f t="shared" si="1660"/>
        <v>0</v>
      </c>
      <c r="AG2052" s="16">
        <f t="shared" si="1660"/>
        <v>0</v>
      </c>
      <c r="AH2052" s="16">
        <f t="shared" si="1660"/>
        <v>0</v>
      </c>
      <c r="AI2052" s="16">
        <f t="shared" si="1660"/>
        <v>0</v>
      </c>
      <c r="AJ2052" s="16">
        <f t="shared" si="1660"/>
        <v>0</v>
      </c>
      <c r="AK2052" s="16">
        <f t="shared" si="1660"/>
        <v>0</v>
      </c>
      <c r="AL2052" s="16">
        <f t="shared" si="1660"/>
        <v>0</v>
      </c>
      <c r="AM2052" s="16">
        <f t="shared" si="1660"/>
        <v>0</v>
      </c>
      <c r="AN2052" s="16">
        <f t="shared" si="1660"/>
        <v>0</v>
      </c>
      <c r="AO2052" s="16">
        <f t="shared" si="1660"/>
        <v>0</v>
      </c>
      <c r="AP2052" s="10"/>
      <c r="AQ2052" s="10"/>
      <c r="AR2052" s="10"/>
      <c r="AS2052" s="10" t="str">
        <f t="shared" ca="1" si="1658"/>
        <v>Johnson &amp; Johnson</v>
      </c>
      <c r="AT2052" s="10"/>
      <c r="AU2052" s="10"/>
      <c r="AV2052" s="10"/>
      <c r="AW2052" s="10"/>
      <c r="AX2052" s="10"/>
      <c r="AY2052" s="10"/>
      <c r="AZ2052" s="10"/>
      <c r="BA2052" s="10"/>
      <c r="BB2052" s="10"/>
      <c r="BC2052" s="10"/>
      <c r="BD2052" s="10"/>
      <c r="BE2052" s="10"/>
      <c r="BF2052" s="10"/>
      <c r="BG2052" s="10"/>
      <c r="BH2052" s="10"/>
      <c r="BI2052" s="10"/>
      <c r="BJ2052" s="10"/>
      <c r="BK2052" s="10"/>
      <c r="BM2052" s="10"/>
    </row>
    <row r="2053" spans="1:65" ht="12.75">
      <c r="A2053" s="9"/>
      <c r="B2053" s="10"/>
      <c r="C2053" s="11"/>
      <c r="D2053" s="12"/>
      <c r="E2053" s="10"/>
      <c r="F2053" s="10"/>
      <c r="G2053" s="10"/>
      <c r="H2053" s="14"/>
      <c r="I2053" s="14"/>
      <c r="J2053" s="14"/>
      <c r="K2053" s="14"/>
      <c r="L2053" s="14"/>
      <c r="M2053" s="15"/>
      <c r="N2053" s="10"/>
      <c r="O2053" s="14"/>
      <c r="P2053" s="14"/>
      <c r="Q2053" s="14"/>
      <c r="R2053" s="14"/>
      <c r="S2053" s="14"/>
      <c r="T2053" s="14"/>
      <c r="U2053" s="14"/>
      <c r="V2053" s="14"/>
      <c r="W2053" s="14"/>
      <c r="X2053" s="14"/>
      <c r="Y2053" s="14"/>
      <c r="Z2053" s="14"/>
      <c r="AA2053" s="16" t="str">
        <f t="shared" ca="1" si="1660"/>
        <v>Johnson &amp; Johnson</v>
      </c>
      <c r="AB2053" s="16">
        <f t="shared" si="1660"/>
        <v>0</v>
      </c>
      <c r="AC2053" s="16">
        <f t="shared" si="1660"/>
        <v>0</v>
      </c>
      <c r="AD2053" s="16">
        <f t="shared" si="1660"/>
        <v>0</v>
      </c>
      <c r="AE2053" s="16">
        <f t="shared" si="1660"/>
        <v>0</v>
      </c>
      <c r="AF2053" s="16">
        <f t="shared" si="1660"/>
        <v>0</v>
      </c>
      <c r="AG2053" s="16">
        <f t="shared" si="1660"/>
        <v>0</v>
      </c>
      <c r="AH2053" s="16">
        <f t="shared" si="1660"/>
        <v>0</v>
      </c>
      <c r="AI2053" s="16">
        <f t="shared" si="1660"/>
        <v>0</v>
      </c>
      <c r="AJ2053" s="16">
        <f t="shared" si="1660"/>
        <v>0</v>
      </c>
      <c r="AK2053" s="16">
        <f t="shared" si="1660"/>
        <v>0</v>
      </c>
      <c r="AL2053" s="16">
        <f t="shared" si="1660"/>
        <v>0</v>
      </c>
      <c r="AM2053" s="16">
        <f t="shared" si="1660"/>
        <v>0</v>
      </c>
      <c r="AN2053" s="16">
        <f t="shared" si="1660"/>
        <v>0</v>
      </c>
      <c r="AO2053" s="16">
        <f t="shared" si="1660"/>
        <v>0</v>
      </c>
      <c r="AP2053" s="10"/>
      <c r="AQ2053" s="10"/>
      <c r="AR2053" s="10"/>
      <c r="AS2053" s="10" t="str">
        <f t="shared" ca="1" si="1658"/>
        <v>Johnson &amp; Johnson</v>
      </c>
      <c r="AT2053" s="10"/>
      <c r="AU2053" s="10"/>
      <c r="AV2053" s="10"/>
      <c r="AW2053" s="10"/>
      <c r="AX2053" s="10"/>
      <c r="AY2053" s="10"/>
      <c r="AZ2053" s="10"/>
      <c r="BA2053" s="10"/>
      <c r="BB2053" s="10"/>
      <c r="BC2053" s="10"/>
      <c r="BD2053" s="10"/>
      <c r="BE2053" s="10"/>
      <c r="BF2053" s="10"/>
      <c r="BG2053" s="10"/>
      <c r="BH2053" s="10"/>
      <c r="BI2053" s="10"/>
      <c r="BJ2053" s="10"/>
      <c r="BK2053" s="10"/>
      <c r="BM2053" s="10"/>
    </row>
    <row r="2054" spans="1:65" ht="12.75">
      <c r="A2054" s="9"/>
      <c r="B2054" s="10"/>
      <c r="C2054" s="11"/>
      <c r="D2054" s="12"/>
      <c r="E2054" s="10"/>
      <c r="F2054" s="10"/>
      <c r="G2054" s="10"/>
      <c r="H2054" s="14"/>
      <c r="I2054" s="14"/>
      <c r="J2054" s="14"/>
      <c r="K2054" s="14"/>
      <c r="L2054" s="14"/>
      <c r="M2054" s="15"/>
      <c r="N2054" s="10"/>
      <c r="O2054" s="14"/>
      <c r="P2054" s="14"/>
      <c r="Q2054" s="14"/>
      <c r="R2054" s="14"/>
      <c r="S2054" s="14"/>
      <c r="T2054" s="14"/>
      <c r="U2054" s="14"/>
      <c r="V2054" s="14"/>
      <c r="W2054" s="14"/>
      <c r="X2054" s="14"/>
      <c r="Y2054" s="14"/>
      <c r="Z2054" s="14"/>
      <c r="AA2054" s="16" t="str">
        <f t="shared" ca="1" si="1660"/>
        <v>Johnson &amp; Johnson</v>
      </c>
      <c r="AB2054" s="16">
        <f t="shared" si="1660"/>
        <v>0</v>
      </c>
      <c r="AC2054" s="16">
        <f t="shared" si="1660"/>
        <v>0</v>
      </c>
      <c r="AD2054" s="16">
        <f t="shared" si="1660"/>
        <v>0</v>
      </c>
      <c r="AE2054" s="16">
        <f t="shared" si="1660"/>
        <v>0</v>
      </c>
      <c r="AF2054" s="16">
        <f t="shared" si="1660"/>
        <v>0</v>
      </c>
      <c r="AG2054" s="16">
        <f t="shared" si="1660"/>
        <v>0</v>
      </c>
      <c r="AH2054" s="16">
        <f t="shared" si="1660"/>
        <v>0</v>
      </c>
      <c r="AI2054" s="16">
        <f t="shared" si="1660"/>
        <v>0</v>
      </c>
      <c r="AJ2054" s="16">
        <f t="shared" si="1660"/>
        <v>0</v>
      </c>
      <c r="AK2054" s="16">
        <f t="shared" si="1660"/>
        <v>0</v>
      </c>
      <c r="AL2054" s="16">
        <f t="shared" si="1660"/>
        <v>0</v>
      </c>
      <c r="AM2054" s="16">
        <f t="shared" si="1660"/>
        <v>0</v>
      </c>
      <c r="AN2054" s="16">
        <f t="shared" si="1660"/>
        <v>0</v>
      </c>
      <c r="AO2054" s="16">
        <f t="shared" si="1660"/>
        <v>0</v>
      </c>
      <c r="AP2054" s="10"/>
      <c r="AQ2054" s="10"/>
      <c r="AR2054" s="10"/>
      <c r="AS2054" s="10" t="str">
        <f t="shared" ca="1" si="1658"/>
        <v>Johnson &amp; Johnson</v>
      </c>
      <c r="AT2054" s="10"/>
      <c r="AU2054" s="10"/>
      <c r="AV2054" s="10"/>
      <c r="AW2054" s="10"/>
      <c r="AX2054" s="10"/>
      <c r="AY2054" s="10"/>
      <c r="AZ2054" s="10"/>
      <c r="BA2054" s="10"/>
      <c r="BB2054" s="10"/>
      <c r="BC2054" s="10"/>
      <c r="BD2054" s="10"/>
      <c r="BE2054" s="10"/>
      <c r="BF2054" s="10"/>
      <c r="BG2054" s="10"/>
      <c r="BH2054" s="10"/>
      <c r="BI2054" s="10"/>
      <c r="BJ2054" s="10"/>
      <c r="BK2054" s="10"/>
      <c r="BM2054" s="10"/>
    </row>
    <row r="2055" spans="1:65" ht="12.75">
      <c r="A2055" s="9"/>
      <c r="B2055" s="10"/>
      <c r="C2055" s="11"/>
      <c r="D2055" s="12"/>
      <c r="E2055" s="10"/>
      <c r="F2055" s="10"/>
      <c r="G2055" s="10"/>
      <c r="H2055" s="14"/>
      <c r="I2055" s="14"/>
      <c r="J2055" s="14"/>
      <c r="K2055" s="14"/>
      <c r="L2055" s="14"/>
      <c r="M2055" s="15"/>
      <c r="N2055" s="10"/>
      <c r="O2055" s="14"/>
      <c r="P2055" s="14"/>
      <c r="Q2055" s="14"/>
      <c r="R2055" s="14"/>
      <c r="S2055" s="14"/>
      <c r="T2055" s="14"/>
      <c r="U2055" s="14"/>
      <c r="V2055" s="14"/>
      <c r="W2055" s="14"/>
      <c r="X2055" s="14"/>
      <c r="Y2055" s="14"/>
      <c r="Z2055" s="14"/>
      <c r="AA2055" s="16" t="str">
        <f t="shared" ca="1" si="1660"/>
        <v>Johnson &amp; Johnson</v>
      </c>
      <c r="AB2055" s="16">
        <f t="shared" si="1660"/>
        <v>0</v>
      </c>
      <c r="AC2055" s="16">
        <f t="shared" si="1660"/>
        <v>0</v>
      </c>
      <c r="AD2055" s="16">
        <f t="shared" si="1660"/>
        <v>0</v>
      </c>
      <c r="AE2055" s="16">
        <f t="shared" si="1660"/>
        <v>0</v>
      </c>
      <c r="AF2055" s="16">
        <f t="shared" si="1660"/>
        <v>0</v>
      </c>
      <c r="AG2055" s="16">
        <f t="shared" si="1660"/>
        <v>0</v>
      </c>
      <c r="AH2055" s="16">
        <f t="shared" si="1660"/>
        <v>0</v>
      </c>
      <c r="AI2055" s="16">
        <f t="shared" si="1660"/>
        <v>0</v>
      </c>
      <c r="AJ2055" s="16">
        <f t="shared" si="1660"/>
        <v>0</v>
      </c>
      <c r="AK2055" s="16">
        <f t="shared" si="1660"/>
        <v>0</v>
      </c>
      <c r="AL2055" s="16">
        <f t="shared" si="1660"/>
        <v>0</v>
      </c>
      <c r="AM2055" s="16">
        <f t="shared" si="1660"/>
        <v>0</v>
      </c>
      <c r="AN2055" s="16">
        <f t="shared" si="1660"/>
        <v>0</v>
      </c>
      <c r="AO2055" s="16">
        <f t="shared" si="1660"/>
        <v>0</v>
      </c>
      <c r="AP2055" s="10"/>
      <c r="AQ2055" s="10"/>
      <c r="AR2055" s="10"/>
      <c r="AS2055" s="10" t="str">
        <f t="shared" ca="1" si="1658"/>
        <v>Johnson &amp; Johnson</v>
      </c>
      <c r="AT2055" s="10"/>
      <c r="AU2055" s="10"/>
      <c r="AV2055" s="10"/>
      <c r="AW2055" s="10"/>
      <c r="AX2055" s="10"/>
      <c r="AY2055" s="10"/>
      <c r="AZ2055" s="10"/>
      <c r="BA2055" s="10"/>
      <c r="BB2055" s="10"/>
      <c r="BC2055" s="10"/>
      <c r="BD2055" s="10"/>
      <c r="BE2055" s="10"/>
      <c r="BF2055" s="10"/>
      <c r="BG2055" s="10"/>
      <c r="BH2055" s="10"/>
      <c r="BI2055" s="10"/>
      <c r="BJ2055" s="10"/>
      <c r="BK2055" s="10"/>
      <c r="BM2055" s="10"/>
    </row>
    <row r="2056" spans="1:65" ht="12.75">
      <c r="A2056" s="9"/>
      <c r="B2056" s="10"/>
      <c r="C2056" s="11"/>
      <c r="D2056" s="12"/>
      <c r="E2056" s="10"/>
      <c r="F2056" s="10"/>
      <c r="G2056" s="10"/>
      <c r="H2056" s="14"/>
      <c r="I2056" s="14"/>
      <c r="J2056" s="14"/>
      <c r="K2056" s="14"/>
      <c r="L2056" s="14"/>
      <c r="M2056" s="15"/>
      <c r="N2056" s="10"/>
      <c r="O2056" s="14"/>
      <c r="P2056" s="14"/>
      <c r="Q2056" s="14"/>
      <c r="R2056" s="14"/>
      <c r="S2056" s="14"/>
      <c r="T2056" s="14"/>
      <c r="U2056" s="14"/>
      <c r="V2056" s="14"/>
      <c r="W2056" s="14"/>
      <c r="X2056" s="14"/>
      <c r="Y2056" s="14"/>
      <c r="Z2056" s="14"/>
      <c r="AA2056" s="16" t="str">
        <f t="shared" ca="1" si="1660"/>
        <v>Johnson &amp; Johnson</v>
      </c>
      <c r="AB2056" s="16">
        <f t="shared" si="1660"/>
        <v>0</v>
      </c>
      <c r="AC2056" s="16">
        <f t="shared" si="1660"/>
        <v>0</v>
      </c>
      <c r="AD2056" s="16">
        <f t="shared" si="1660"/>
        <v>0</v>
      </c>
      <c r="AE2056" s="16">
        <f t="shared" si="1660"/>
        <v>0</v>
      </c>
      <c r="AF2056" s="16">
        <f t="shared" si="1660"/>
        <v>0</v>
      </c>
      <c r="AG2056" s="16">
        <f t="shared" si="1660"/>
        <v>0</v>
      </c>
      <c r="AH2056" s="16">
        <f t="shared" si="1660"/>
        <v>0</v>
      </c>
      <c r="AI2056" s="16">
        <f t="shared" si="1660"/>
        <v>0</v>
      </c>
      <c r="AJ2056" s="16">
        <f t="shared" si="1660"/>
        <v>0</v>
      </c>
      <c r="AK2056" s="16">
        <f t="shared" si="1660"/>
        <v>0</v>
      </c>
      <c r="AL2056" s="16">
        <f t="shared" si="1660"/>
        <v>0</v>
      </c>
      <c r="AM2056" s="16">
        <f t="shared" si="1660"/>
        <v>0</v>
      </c>
      <c r="AN2056" s="16">
        <f t="shared" si="1660"/>
        <v>0</v>
      </c>
      <c r="AO2056" s="16">
        <f t="shared" si="1660"/>
        <v>0</v>
      </c>
      <c r="AP2056" s="10"/>
      <c r="AQ2056" s="10"/>
      <c r="AR2056" s="10"/>
      <c r="AS2056" s="10" t="str">
        <f t="shared" ca="1" si="1658"/>
        <v>Johnson &amp; Johnson</v>
      </c>
      <c r="AT2056" s="10"/>
      <c r="AU2056" s="10"/>
      <c r="AV2056" s="10"/>
      <c r="AW2056" s="10"/>
      <c r="AX2056" s="10"/>
      <c r="AY2056" s="10"/>
      <c r="AZ2056" s="10"/>
      <c r="BA2056" s="10"/>
      <c r="BB2056" s="10"/>
      <c r="BC2056" s="10"/>
      <c r="BD2056" s="10"/>
      <c r="BE2056" s="10"/>
      <c r="BF2056" s="10"/>
      <c r="BG2056" s="10"/>
      <c r="BH2056" s="10"/>
      <c r="BI2056" s="10"/>
      <c r="BJ2056" s="10"/>
      <c r="BK2056" s="10"/>
      <c r="BM2056" s="10"/>
    </row>
    <row r="2057" spans="1:65" ht="12.75">
      <c r="A2057" s="9"/>
      <c r="B2057" s="10"/>
      <c r="C2057" s="11"/>
      <c r="D2057" s="12"/>
      <c r="E2057" s="10"/>
      <c r="F2057" s="10"/>
      <c r="G2057" s="10"/>
      <c r="H2057" s="14"/>
      <c r="I2057" s="14"/>
      <c r="J2057" s="14"/>
      <c r="K2057" s="14"/>
      <c r="L2057" s="14"/>
      <c r="M2057" s="15"/>
      <c r="N2057" s="10"/>
      <c r="O2057" s="14"/>
      <c r="P2057" s="14"/>
      <c r="Q2057" s="14"/>
      <c r="R2057" s="14"/>
      <c r="S2057" s="14"/>
      <c r="T2057" s="14"/>
      <c r="U2057" s="14"/>
      <c r="V2057" s="14"/>
      <c r="W2057" s="14"/>
      <c r="X2057" s="14"/>
      <c r="Y2057" s="14"/>
      <c r="Z2057" s="14"/>
      <c r="AA2057" s="16" t="str">
        <f t="shared" ref="AA2057:AO2060" ca="1" si="1661">AS2057</f>
        <v>Johnson &amp; Johnson</v>
      </c>
      <c r="AB2057" s="16">
        <f t="shared" si="1661"/>
        <v>0</v>
      </c>
      <c r="AC2057" s="16">
        <f t="shared" si="1661"/>
        <v>0</v>
      </c>
      <c r="AD2057" s="16">
        <f t="shared" si="1661"/>
        <v>0</v>
      </c>
      <c r="AE2057" s="16">
        <f t="shared" si="1661"/>
        <v>0</v>
      </c>
      <c r="AF2057" s="16">
        <f t="shared" si="1661"/>
        <v>0</v>
      </c>
      <c r="AG2057" s="16">
        <f t="shared" si="1661"/>
        <v>0</v>
      </c>
      <c r="AH2057" s="16">
        <f t="shared" si="1661"/>
        <v>0</v>
      </c>
      <c r="AI2057" s="16">
        <f t="shared" si="1661"/>
        <v>0</v>
      </c>
      <c r="AJ2057" s="16">
        <f t="shared" si="1661"/>
        <v>0</v>
      </c>
      <c r="AK2057" s="16">
        <f t="shared" si="1661"/>
        <v>0</v>
      </c>
      <c r="AL2057" s="16">
        <f t="shared" si="1661"/>
        <v>0</v>
      </c>
      <c r="AM2057" s="16">
        <f t="shared" si="1661"/>
        <v>0</v>
      </c>
      <c r="AN2057" s="16">
        <f t="shared" si="1661"/>
        <v>0</v>
      </c>
      <c r="AO2057" s="16">
        <f t="shared" si="1661"/>
        <v>0</v>
      </c>
      <c r="AP2057" s="10"/>
      <c r="AQ2057" s="10"/>
      <c r="AR2057" s="10"/>
      <c r="AS2057" s="10" t="str">
        <f t="shared" ca="1" si="1658"/>
        <v>Johnson &amp; Johnson</v>
      </c>
      <c r="AT2057" s="10"/>
      <c r="AU2057" s="10"/>
      <c r="AV2057" s="10"/>
      <c r="AW2057" s="10"/>
      <c r="AX2057" s="10"/>
      <c r="AY2057" s="10"/>
      <c r="AZ2057" s="10"/>
      <c r="BA2057" s="10"/>
      <c r="BB2057" s="10"/>
      <c r="BC2057" s="10"/>
      <c r="BD2057" s="10"/>
      <c r="BE2057" s="10"/>
      <c r="BF2057" s="10"/>
      <c r="BG2057" s="10"/>
      <c r="BH2057" s="10"/>
      <c r="BI2057" s="10"/>
      <c r="BJ2057" s="10"/>
      <c r="BK2057" s="10"/>
      <c r="BM2057" s="10"/>
    </row>
    <row r="2058" spans="1:65" ht="12.75">
      <c r="A2058" s="9"/>
      <c r="B2058" s="10"/>
      <c r="C2058" s="11"/>
      <c r="D2058" s="12"/>
      <c r="E2058" s="10"/>
      <c r="F2058" s="10"/>
      <c r="G2058" s="10"/>
      <c r="H2058" s="14"/>
      <c r="I2058" s="14"/>
      <c r="J2058" s="14"/>
      <c r="K2058" s="14"/>
      <c r="L2058" s="14"/>
      <c r="M2058" s="15"/>
      <c r="N2058" s="10"/>
      <c r="O2058" s="14"/>
      <c r="P2058" s="14"/>
      <c r="Q2058" s="14"/>
      <c r="R2058" s="14"/>
      <c r="S2058" s="14"/>
      <c r="T2058" s="14"/>
      <c r="U2058" s="14"/>
      <c r="V2058" s="14"/>
      <c r="W2058" s="14"/>
      <c r="X2058" s="14"/>
      <c r="Y2058" s="14"/>
      <c r="Z2058" s="14"/>
      <c r="AA2058" s="16" t="str">
        <f t="shared" ca="1" si="1661"/>
        <v>Johnson &amp; Johnson</v>
      </c>
      <c r="AB2058" s="16">
        <f t="shared" si="1661"/>
        <v>0</v>
      </c>
      <c r="AC2058" s="16">
        <f t="shared" si="1661"/>
        <v>0</v>
      </c>
      <c r="AD2058" s="16">
        <f t="shared" si="1661"/>
        <v>0</v>
      </c>
      <c r="AE2058" s="16">
        <f t="shared" si="1661"/>
        <v>0</v>
      </c>
      <c r="AF2058" s="16">
        <f t="shared" si="1661"/>
        <v>0</v>
      </c>
      <c r="AG2058" s="16">
        <f t="shared" si="1661"/>
        <v>0</v>
      </c>
      <c r="AH2058" s="16">
        <f t="shared" si="1661"/>
        <v>0</v>
      </c>
      <c r="AI2058" s="16">
        <f t="shared" si="1661"/>
        <v>0</v>
      </c>
      <c r="AJ2058" s="16">
        <f t="shared" si="1661"/>
        <v>0</v>
      </c>
      <c r="AK2058" s="16">
        <f t="shared" si="1661"/>
        <v>0</v>
      </c>
      <c r="AL2058" s="16">
        <f t="shared" si="1661"/>
        <v>0</v>
      </c>
      <c r="AM2058" s="16">
        <f t="shared" si="1661"/>
        <v>0</v>
      </c>
      <c r="AN2058" s="16">
        <f t="shared" si="1661"/>
        <v>0</v>
      </c>
      <c r="AO2058" s="16">
        <f t="shared" si="1661"/>
        <v>0</v>
      </c>
      <c r="AP2058" s="10"/>
      <c r="AQ2058" s="10"/>
      <c r="AR2058" s="10"/>
      <c r="AS2058" s="10" t="str">
        <f t="shared" ca="1" si="1658"/>
        <v>Johnson &amp; Johnson</v>
      </c>
      <c r="AT2058" s="10"/>
      <c r="AU2058" s="10"/>
      <c r="AV2058" s="10"/>
      <c r="AW2058" s="10"/>
      <c r="AX2058" s="10"/>
      <c r="AY2058" s="10"/>
      <c r="AZ2058" s="10"/>
      <c r="BA2058" s="10"/>
      <c r="BB2058" s="10"/>
      <c r="BC2058" s="10"/>
      <c r="BD2058" s="10"/>
      <c r="BE2058" s="10"/>
      <c r="BF2058" s="10"/>
      <c r="BG2058" s="10"/>
      <c r="BH2058" s="10"/>
      <c r="BI2058" s="10"/>
      <c r="BJ2058" s="10"/>
      <c r="BK2058" s="10"/>
      <c r="BM2058" s="10"/>
    </row>
    <row r="2059" spans="1:65" ht="12.75">
      <c r="A2059" s="9"/>
      <c r="B2059" s="10"/>
      <c r="C2059" s="11"/>
      <c r="D2059" s="12"/>
      <c r="E2059" s="10"/>
      <c r="F2059" s="10"/>
      <c r="G2059" s="10"/>
      <c r="H2059" s="14"/>
      <c r="I2059" s="14"/>
      <c r="J2059" s="14"/>
      <c r="K2059" s="14"/>
      <c r="L2059" s="14"/>
      <c r="M2059" s="15"/>
      <c r="N2059" s="10"/>
      <c r="O2059" s="14"/>
      <c r="P2059" s="14"/>
      <c r="Q2059" s="14"/>
      <c r="R2059" s="14"/>
      <c r="S2059" s="14"/>
      <c r="T2059" s="14"/>
      <c r="U2059" s="14"/>
      <c r="V2059" s="14"/>
      <c r="W2059" s="14"/>
      <c r="X2059" s="14"/>
      <c r="Y2059" s="14"/>
      <c r="Z2059" s="14"/>
      <c r="AA2059" s="16" t="str">
        <f t="shared" ca="1" si="1661"/>
        <v>Johnson &amp; Johnson</v>
      </c>
      <c r="AB2059" s="16">
        <f t="shared" si="1661"/>
        <v>0</v>
      </c>
      <c r="AC2059" s="16">
        <f t="shared" si="1661"/>
        <v>0</v>
      </c>
      <c r="AD2059" s="16">
        <f t="shared" si="1661"/>
        <v>0</v>
      </c>
      <c r="AE2059" s="16">
        <f t="shared" si="1661"/>
        <v>0</v>
      </c>
      <c r="AF2059" s="16">
        <f t="shared" si="1661"/>
        <v>0</v>
      </c>
      <c r="AG2059" s="16">
        <f t="shared" si="1661"/>
        <v>0</v>
      </c>
      <c r="AH2059" s="16">
        <f t="shared" si="1661"/>
        <v>0</v>
      </c>
      <c r="AI2059" s="16">
        <f t="shared" si="1661"/>
        <v>0</v>
      </c>
      <c r="AJ2059" s="16">
        <f t="shared" si="1661"/>
        <v>0</v>
      </c>
      <c r="AK2059" s="16">
        <f t="shared" si="1661"/>
        <v>0</v>
      </c>
      <c r="AL2059" s="16">
        <f t="shared" si="1661"/>
        <v>0</v>
      </c>
      <c r="AM2059" s="16">
        <f t="shared" si="1661"/>
        <v>0</v>
      </c>
      <c r="AN2059" s="16">
        <f t="shared" si="1661"/>
        <v>0</v>
      </c>
      <c r="AO2059" s="16">
        <f t="shared" si="1661"/>
        <v>0</v>
      </c>
      <c r="AP2059" s="10"/>
      <c r="AQ2059" s="10"/>
      <c r="AR2059" s="10"/>
      <c r="AS2059" s="10" t="str">
        <f t="shared" ca="1" si="1658"/>
        <v>Johnson &amp; Johnson</v>
      </c>
      <c r="AT2059" s="10"/>
      <c r="AU2059" s="10"/>
      <c r="AV2059" s="10"/>
      <c r="AW2059" s="10"/>
      <c r="AX2059" s="10"/>
      <c r="AY2059" s="10"/>
      <c r="AZ2059" s="10"/>
      <c r="BA2059" s="10"/>
      <c r="BB2059" s="10"/>
      <c r="BC2059" s="10"/>
      <c r="BD2059" s="10"/>
      <c r="BE2059" s="10"/>
      <c r="BF2059" s="10"/>
      <c r="BG2059" s="10"/>
      <c r="BH2059" s="10"/>
      <c r="BI2059" s="10"/>
      <c r="BJ2059" s="10"/>
      <c r="BK2059" s="10"/>
      <c r="BM2059" s="10"/>
    </row>
    <row r="2060" spans="1:65" ht="12.75">
      <c r="A2060" s="9"/>
      <c r="B2060" s="10"/>
      <c r="C2060" s="11"/>
      <c r="D2060" s="12"/>
      <c r="E2060" s="10"/>
      <c r="F2060" s="10"/>
      <c r="G2060" s="10"/>
      <c r="H2060" s="14"/>
      <c r="I2060" s="14"/>
      <c r="J2060" s="14"/>
      <c r="K2060" s="14"/>
      <c r="L2060" s="14"/>
      <c r="M2060" s="15"/>
      <c r="N2060" s="10"/>
      <c r="O2060" s="14"/>
      <c r="P2060" s="14"/>
      <c r="Q2060" s="14"/>
      <c r="R2060" s="14"/>
      <c r="S2060" s="14"/>
      <c r="T2060" s="14"/>
      <c r="U2060" s="14"/>
      <c r="V2060" s="14"/>
      <c r="W2060" s="14"/>
      <c r="X2060" s="14"/>
      <c r="Y2060" s="14"/>
      <c r="Z2060" s="14"/>
      <c r="AA2060" s="16" t="str">
        <f t="shared" ca="1" si="1661"/>
        <v>Johnson &amp; Johnson</v>
      </c>
      <c r="AB2060" s="16">
        <f t="shared" si="1661"/>
        <v>0</v>
      </c>
      <c r="AC2060" s="16">
        <f t="shared" si="1661"/>
        <v>0</v>
      </c>
      <c r="AD2060" s="16">
        <f t="shared" si="1661"/>
        <v>0</v>
      </c>
      <c r="AE2060" s="16">
        <f t="shared" si="1661"/>
        <v>0</v>
      </c>
      <c r="AF2060" s="16">
        <f t="shared" si="1661"/>
        <v>0</v>
      </c>
      <c r="AG2060" s="16">
        <f t="shared" si="1661"/>
        <v>0</v>
      </c>
      <c r="AH2060" s="16">
        <f t="shared" si="1661"/>
        <v>0</v>
      </c>
      <c r="AI2060" s="16">
        <f t="shared" si="1661"/>
        <v>0</v>
      </c>
      <c r="AJ2060" s="16">
        <f t="shared" si="1661"/>
        <v>0</v>
      </c>
      <c r="AK2060" s="16">
        <f t="shared" si="1661"/>
        <v>0</v>
      </c>
      <c r="AL2060" s="16">
        <f t="shared" si="1661"/>
        <v>0</v>
      </c>
      <c r="AM2060" s="16">
        <f t="shared" si="1661"/>
        <v>0</v>
      </c>
      <c r="AN2060" s="16">
        <f t="shared" si="1661"/>
        <v>0</v>
      </c>
      <c r="AO2060" s="16">
        <f t="shared" si="1661"/>
        <v>0</v>
      </c>
      <c r="AP2060" s="10"/>
      <c r="AQ2060" s="10"/>
      <c r="AR2060" s="10"/>
      <c r="AS2060" s="10" t="str">
        <f t="shared" ca="1" si="1658"/>
        <v>Johnson &amp; Johnson</v>
      </c>
      <c r="AT2060" s="10"/>
      <c r="AU2060" s="10"/>
      <c r="AV2060" s="10"/>
      <c r="AW2060" s="10"/>
      <c r="AX2060" s="10"/>
      <c r="AY2060" s="10"/>
      <c r="AZ2060" s="10"/>
      <c r="BA2060" s="10"/>
      <c r="BB2060" s="10"/>
      <c r="BC2060" s="10"/>
      <c r="BD2060" s="10"/>
      <c r="BE2060" s="10"/>
      <c r="BF2060" s="10"/>
      <c r="BG2060" s="10"/>
      <c r="BH2060" s="10"/>
      <c r="BI2060" s="10"/>
      <c r="BJ2060" s="10"/>
      <c r="BK2060" s="10"/>
      <c r="BM2060" s="10"/>
    </row>
    <row r="2061" spans="1:65" ht="12.75">
      <c r="H2061" s="14"/>
      <c r="I2061" s="14"/>
      <c r="J2061" s="14"/>
      <c r="K2061" s="14"/>
      <c r="L2061" s="14"/>
      <c r="M2061" s="15"/>
      <c r="N2061" s="10"/>
      <c r="O2061" s="14"/>
      <c r="P2061" s="14"/>
      <c r="Q2061" s="14"/>
      <c r="R2061" s="14"/>
      <c r="S2061" s="14"/>
      <c r="T2061" s="14"/>
      <c r="U2061" s="14"/>
      <c r="V2061" s="14"/>
      <c r="W2061" s="14"/>
      <c r="X2061" s="14"/>
      <c r="Y2061" s="14"/>
      <c r="Z2061" s="14"/>
      <c r="AA2061" s="16"/>
      <c r="AB2061" s="10"/>
      <c r="AC2061" s="10"/>
      <c r="AD2061" s="10"/>
      <c r="AE2061" s="10"/>
      <c r="AF2061" s="10"/>
      <c r="AG2061" s="10"/>
      <c r="AH2061" s="10"/>
      <c r="AI2061" s="10"/>
      <c r="AJ2061" s="10"/>
      <c r="AK2061" s="10"/>
      <c r="AL2061" s="10"/>
      <c r="AM2061" s="10"/>
      <c r="AN2061" s="10"/>
      <c r="AO2061" s="10"/>
      <c r="AP2061" s="10"/>
      <c r="AQ2061" s="10"/>
      <c r="AR2061" s="10"/>
      <c r="AS2061" s="10"/>
      <c r="AT2061" s="10"/>
      <c r="AU2061" s="10"/>
      <c r="AV2061" s="10"/>
      <c r="AW2061" s="10"/>
      <c r="AX2061" s="10"/>
      <c r="AY2061" s="10"/>
      <c r="AZ2061" s="10"/>
      <c r="BA2061" s="10"/>
      <c r="BB2061" s="10"/>
      <c r="BC2061" s="10"/>
      <c r="BD2061" s="10"/>
      <c r="BE2061" s="10"/>
      <c r="BF2061" s="10"/>
      <c r="BG2061" s="10"/>
      <c r="BH2061" s="10"/>
      <c r="BI2061" s="10"/>
      <c r="BJ2061" s="10"/>
      <c r="BK2061" s="10"/>
      <c r="BM2061" s="10"/>
    </row>
    <row r="2062" spans="1:65" ht="12.75">
      <c r="H2062" s="14"/>
      <c r="I2062" s="14"/>
      <c r="J2062" s="14"/>
      <c r="K2062" s="14"/>
      <c r="L2062" s="14"/>
      <c r="M2062" s="15"/>
      <c r="N2062" s="10"/>
      <c r="O2062" s="14"/>
      <c r="P2062" s="14"/>
      <c r="Q2062" s="14"/>
      <c r="R2062" s="14"/>
      <c r="S2062" s="14"/>
      <c r="T2062" s="14"/>
      <c r="U2062" s="14"/>
      <c r="V2062" s="14"/>
      <c r="W2062" s="14"/>
      <c r="X2062" s="14"/>
      <c r="Y2062" s="14"/>
      <c r="Z2062" s="14"/>
      <c r="AA2062" s="16"/>
      <c r="AB2062" s="10"/>
      <c r="AC2062" s="10"/>
      <c r="AD2062" s="10"/>
      <c r="AE2062" s="10"/>
      <c r="AF2062" s="10"/>
      <c r="AG2062" s="10"/>
      <c r="AH2062" s="10"/>
      <c r="AI2062" s="10"/>
      <c r="AJ2062" s="10"/>
      <c r="AK2062" s="10"/>
      <c r="AL2062" s="10"/>
      <c r="AM2062" s="10"/>
      <c r="AN2062" s="10"/>
      <c r="AO2062" s="10"/>
      <c r="AP2062" s="10"/>
      <c r="AQ2062" s="10"/>
      <c r="AR2062" s="10"/>
      <c r="AS2062" s="10"/>
      <c r="AT2062" s="10"/>
      <c r="AU2062" s="10"/>
      <c r="AV2062" s="10"/>
      <c r="AW2062" s="10"/>
      <c r="AX2062" s="10"/>
      <c r="AY2062" s="10"/>
      <c r="AZ2062" s="10"/>
      <c r="BA2062" s="10"/>
      <c r="BB2062" s="10"/>
      <c r="BC2062" s="10"/>
      <c r="BD2062" s="10"/>
      <c r="BE2062" s="10"/>
      <c r="BF2062" s="10"/>
      <c r="BG2062" s="10"/>
      <c r="BH2062" s="10"/>
      <c r="BI2062" s="10"/>
      <c r="BJ2062" s="10"/>
      <c r="BK2062" s="10"/>
      <c r="BM2062" s="10"/>
    </row>
    <row r="2063" spans="1:65" ht="12.75">
      <c r="H2063" s="14"/>
      <c r="I2063" s="14"/>
      <c r="J2063" s="14"/>
      <c r="K2063" s="14"/>
      <c r="L2063" s="14"/>
      <c r="M2063" s="15"/>
      <c r="N2063" s="10"/>
      <c r="O2063" s="14"/>
      <c r="P2063" s="14"/>
      <c r="Q2063" s="14"/>
      <c r="R2063" s="14"/>
      <c r="S2063" s="14"/>
      <c r="T2063" s="14"/>
      <c r="U2063" s="14"/>
      <c r="V2063" s="14"/>
      <c r="W2063" s="14"/>
      <c r="X2063" s="14"/>
      <c r="Y2063" s="14"/>
      <c r="Z2063" s="14"/>
      <c r="AA2063" s="16"/>
      <c r="AB2063" s="10"/>
      <c r="AC2063" s="10"/>
      <c r="AD2063" s="10"/>
      <c r="AE2063" s="10"/>
      <c r="AF2063" s="10"/>
      <c r="AG2063" s="10"/>
      <c r="AH2063" s="10"/>
      <c r="AI2063" s="10"/>
      <c r="AJ2063" s="10"/>
      <c r="AK2063" s="10"/>
      <c r="AL2063" s="10"/>
      <c r="AM2063" s="10"/>
      <c r="AN2063" s="10"/>
      <c r="AO2063" s="10"/>
      <c r="AP2063" s="10"/>
      <c r="AQ2063" s="10"/>
      <c r="AR2063" s="10"/>
      <c r="AS2063" s="10"/>
      <c r="AT2063" s="10"/>
      <c r="AU2063" s="10"/>
      <c r="AV2063" s="10"/>
      <c r="AW2063" s="10"/>
      <c r="AX2063" s="10"/>
      <c r="AY2063" s="10"/>
      <c r="AZ2063" s="10"/>
      <c r="BA2063" s="10"/>
      <c r="BB2063" s="10"/>
      <c r="BC2063" s="10"/>
      <c r="BD2063" s="10"/>
      <c r="BE2063" s="10"/>
      <c r="BF2063" s="10"/>
      <c r="BG2063" s="10"/>
      <c r="BH2063" s="10"/>
      <c r="BI2063" s="10"/>
      <c r="BJ2063" s="10"/>
      <c r="BK2063" s="10"/>
      <c r="BM2063" s="10"/>
    </row>
    <row r="2064" spans="1:65" ht="12.75">
      <c r="H2064" s="14"/>
      <c r="I2064" s="14"/>
      <c r="J2064" s="14"/>
      <c r="K2064" s="14"/>
      <c r="L2064" s="14"/>
      <c r="M2064" s="15"/>
      <c r="N2064" s="10"/>
      <c r="O2064" s="14"/>
      <c r="P2064" s="14"/>
      <c r="Q2064" s="14"/>
      <c r="R2064" s="14"/>
      <c r="S2064" s="14"/>
      <c r="T2064" s="14"/>
      <c r="U2064" s="14"/>
      <c r="V2064" s="14"/>
      <c r="W2064" s="14"/>
      <c r="X2064" s="14"/>
      <c r="Y2064" s="14"/>
      <c r="Z2064" s="14"/>
      <c r="AA2064" s="16"/>
      <c r="AB2064" s="10"/>
      <c r="AC2064" s="10"/>
      <c r="AD2064" s="10"/>
      <c r="AE2064" s="10"/>
      <c r="AF2064" s="10"/>
      <c r="AG2064" s="10"/>
      <c r="AH2064" s="10"/>
      <c r="AI2064" s="10"/>
      <c r="AJ2064" s="10"/>
      <c r="AK2064" s="10"/>
      <c r="AL2064" s="10"/>
      <c r="AM2064" s="10"/>
      <c r="AN2064" s="10"/>
      <c r="AO2064" s="10"/>
      <c r="AP2064" s="10"/>
      <c r="AQ2064" s="10"/>
      <c r="AR2064" s="10"/>
      <c r="AS2064" s="10"/>
      <c r="AT2064" s="10"/>
      <c r="AU2064" s="10"/>
      <c r="AV2064" s="10"/>
      <c r="AW2064" s="10"/>
      <c r="AX2064" s="10"/>
      <c r="AY2064" s="10"/>
      <c r="AZ2064" s="10"/>
      <c r="BA2064" s="10"/>
      <c r="BB2064" s="10"/>
      <c r="BC2064" s="10"/>
      <c r="BD2064" s="10"/>
      <c r="BE2064" s="10"/>
      <c r="BF2064" s="10"/>
      <c r="BG2064" s="10"/>
      <c r="BH2064" s="10"/>
      <c r="BI2064" s="10"/>
      <c r="BJ2064" s="10"/>
      <c r="BK2064" s="10"/>
      <c r="BM2064" s="10"/>
    </row>
    <row r="2065" spans="1:65" ht="12.75">
      <c r="H2065" s="14"/>
      <c r="I2065" s="14"/>
      <c r="J2065" s="14"/>
      <c r="K2065" s="14"/>
      <c r="L2065" s="14"/>
      <c r="M2065" s="15"/>
      <c r="N2065" s="10"/>
      <c r="O2065" s="14"/>
      <c r="P2065" s="14"/>
      <c r="Q2065" s="14"/>
      <c r="R2065" s="14"/>
      <c r="S2065" s="14"/>
      <c r="T2065" s="14"/>
      <c r="U2065" s="14"/>
      <c r="V2065" s="14"/>
      <c r="W2065" s="14"/>
      <c r="X2065" s="14"/>
      <c r="Y2065" s="14"/>
      <c r="Z2065" s="14"/>
      <c r="AA2065" s="16"/>
      <c r="AB2065" s="10"/>
      <c r="AC2065" s="10"/>
      <c r="AD2065" s="10"/>
      <c r="AE2065" s="10"/>
      <c r="AF2065" s="10"/>
      <c r="AG2065" s="10"/>
      <c r="AH2065" s="10"/>
      <c r="AI2065" s="10"/>
      <c r="AJ2065" s="10"/>
      <c r="AK2065" s="10"/>
      <c r="AL2065" s="10"/>
      <c r="AM2065" s="10"/>
      <c r="AN2065" s="10"/>
      <c r="AO2065" s="10"/>
      <c r="AP2065" s="10"/>
      <c r="AQ2065" s="10"/>
      <c r="AR2065" s="10"/>
      <c r="AS2065" s="10"/>
      <c r="AT2065" s="10"/>
      <c r="AU2065" s="10"/>
      <c r="AV2065" s="10"/>
      <c r="AW2065" s="10"/>
      <c r="AX2065" s="10"/>
      <c r="AY2065" s="10"/>
      <c r="AZ2065" s="10"/>
      <c r="BA2065" s="10"/>
      <c r="BB2065" s="10"/>
      <c r="BC2065" s="10"/>
      <c r="BD2065" s="10"/>
      <c r="BE2065" s="10"/>
      <c r="BF2065" s="10"/>
      <c r="BG2065" s="10"/>
      <c r="BH2065" s="10"/>
      <c r="BI2065" s="10"/>
      <c r="BJ2065" s="10"/>
      <c r="BK2065" s="10"/>
      <c r="BM2065" s="10"/>
    </row>
    <row r="2066" spans="1:65" ht="12.75">
      <c r="H2066" s="14"/>
      <c r="I2066" s="14"/>
      <c r="J2066" s="14"/>
      <c r="K2066" s="14"/>
      <c r="L2066" s="14"/>
      <c r="M2066" s="15"/>
      <c r="N2066" s="10"/>
      <c r="O2066" s="14"/>
      <c r="P2066" s="14"/>
      <c r="Q2066" s="14"/>
      <c r="R2066" s="14"/>
      <c r="S2066" s="14"/>
      <c r="T2066" s="14"/>
      <c r="U2066" s="14"/>
      <c r="V2066" s="14"/>
      <c r="W2066" s="14"/>
      <c r="X2066" s="14"/>
      <c r="Y2066" s="14"/>
      <c r="Z2066" s="14"/>
      <c r="AA2066" s="16"/>
      <c r="AB2066" s="10"/>
      <c r="AC2066" s="10"/>
      <c r="AD2066" s="10"/>
      <c r="AE2066" s="10"/>
      <c r="AF2066" s="10"/>
      <c r="AG2066" s="10"/>
      <c r="AH2066" s="10"/>
      <c r="AI2066" s="10"/>
      <c r="AJ2066" s="10"/>
      <c r="AK2066" s="10"/>
      <c r="AL2066" s="10"/>
      <c r="AM2066" s="10"/>
      <c r="AN2066" s="10"/>
      <c r="AO2066" s="10"/>
      <c r="AP2066" s="10"/>
      <c r="AQ2066" s="10"/>
      <c r="AR2066" s="10"/>
      <c r="AS2066" s="10"/>
      <c r="AT2066" s="10"/>
      <c r="AU2066" s="10"/>
      <c r="AV2066" s="10"/>
      <c r="AW2066" s="10"/>
      <c r="AX2066" s="10"/>
      <c r="AY2066" s="10"/>
      <c r="AZ2066" s="10"/>
      <c r="BA2066" s="10"/>
      <c r="BB2066" s="10"/>
      <c r="BC2066" s="10"/>
      <c r="BD2066" s="10"/>
      <c r="BE2066" s="10"/>
      <c r="BF2066" s="10"/>
      <c r="BG2066" s="10"/>
      <c r="BH2066" s="10"/>
      <c r="BI2066" s="10"/>
      <c r="BJ2066" s="10"/>
      <c r="BK2066" s="10"/>
      <c r="BM2066" s="10"/>
    </row>
    <row r="2067" spans="1:65" ht="12.75">
      <c r="H2067" s="14"/>
      <c r="I2067" s="14"/>
      <c r="J2067" s="14"/>
      <c r="K2067" s="14"/>
      <c r="L2067" s="14"/>
      <c r="M2067" s="15"/>
      <c r="N2067" s="10"/>
      <c r="O2067" s="14"/>
      <c r="P2067" s="14"/>
      <c r="Q2067" s="14"/>
      <c r="R2067" s="14"/>
      <c r="S2067" s="14"/>
      <c r="T2067" s="14"/>
      <c r="U2067" s="14"/>
      <c r="V2067" s="14"/>
      <c r="W2067" s="14"/>
      <c r="X2067" s="14"/>
      <c r="Y2067" s="14"/>
      <c r="Z2067" s="14"/>
      <c r="AA2067" s="16"/>
      <c r="AB2067" s="10"/>
      <c r="AC2067" s="10"/>
      <c r="AD2067" s="10"/>
      <c r="AE2067" s="10"/>
      <c r="AF2067" s="10"/>
      <c r="AG2067" s="10"/>
      <c r="AH2067" s="10"/>
      <c r="AI2067" s="10"/>
      <c r="AJ2067" s="10"/>
      <c r="AK2067" s="10"/>
      <c r="AL2067" s="10"/>
      <c r="AM2067" s="10"/>
      <c r="AN2067" s="10"/>
      <c r="AO2067" s="10"/>
      <c r="AP2067" s="10"/>
      <c r="AQ2067" s="10"/>
      <c r="AR2067" s="10"/>
      <c r="AS2067" s="10"/>
      <c r="AT2067" s="10"/>
      <c r="AU2067" s="10"/>
      <c r="AV2067" s="10"/>
      <c r="AW2067" s="10"/>
      <c r="AX2067" s="10"/>
      <c r="AY2067" s="10"/>
      <c r="AZ2067" s="10"/>
      <c r="BA2067" s="10"/>
      <c r="BB2067" s="10"/>
      <c r="BC2067" s="10"/>
      <c r="BD2067" s="10"/>
      <c r="BE2067" s="10"/>
      <c r="BF2067" s="10"/>
      <c r="BG2067" s="10"/>
      <c r="BH2067" s="10"/>
      <c r="BI2067" s="10"/>
      <c r="BJ2067" s="10"/>
      <c r="BK2067" s="10"/>
      <c r="BM2067" s="10"/>
    </row>
    <row r="2068" spans="1:65" ht="12.75">
      <c r="H2068" s="14"/>
      <c r="I2068" s="14"/>
      <c r="J2068" s="14"/>
      <c r="K2068" s="14"/>
      <c r="L2068" s="14"/>
      <c r="M2068" s="15"/>
      <c r="N2068" s="10"/>
      <c r="O2068" s="14"/>
      <c r="P2068" s="14"/>
      <c r="Q2068" s="14"/>
      <c r="R2068" s="14"/>
      <c r="S2068" s="14"/>
      <c r="T2068" s="14"/>
      <c r="U2068" s="14"/>
      <c r="V2068" s="14"/>
      <c r="W2068" s="14"/>
      <c r="X2068" s="14"/>
      <c r="Y2068" s="14"/>
      <c r="Z2068" s="14"/>
      <c r="AA2068" s="16"/>
      <c r="AB2068" s="10"/>
      <c r="AC2068" s="10"/>
      <c r="AD2068" s="10"/>
      <c r="AE2068" s="10"/>
      <c r="AF2068" s="10"/>
      <c r="AG2068" s="10"/>
      <c r="AH2068" s="10"/>
      <c r="AI2068" s="10"/>
      <c r="AJ2068" s="10"/>
      <c r="AK2068" s="10"/>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c r="BF2068" s="10"/>
      <c r="BG2068" s="10"/>
      <c r="BH2068" s="10"/>
      <c r="BI2068" s="10"/>
      <c r="BJ2068" s="10"/>
      <c r="BK2068" s="10"/>
      <c r="BM2068" s="10"/>
    </row>
    <row r="2069" spans="1:65" ht="12.75">
      <c r="H2069" s="14"/>
      <c r="I2069" s="14"/>
      <c r="J2069" s="14"/>
      <c r="K2069" s="14"/>
      <c r="L2069" s="14"/>
      <c r="M2069" s="15"/>
      <c r="N2069" s="10"/>
      <c r="O2069" s="14"/>
      <c r="P2069" s="14"/>
      <c r="Q2069" s="14"/>
      <c r="R2069" s="14"/>
      <c r="S2069" s="14"/>
      <c r="T2069" s="14"/>
      <c r="U2069" s="14"/>
      <c r="V2069" s="14"/>
      <c r="W2069" s="14"/>
      <c r="X2069" s="14"/>
      <c r="Y2069" s="14"/>
      <c r="Z2069" s="14"/>
      <c r="AA2069" s="16"/>
      <c r="AB2069" s="10"/>
      <c r="AC2069" s="10"/>
      <c r="AD2069" s="10"/>
      <c r="AE2069" s="10"/>
      <c r="AF2069" s="10"/>
      <c r="AG2069" s="10"/>
      <c r="AH2069" s="10"/>
      <c r="AI2069" s="10"/>
      <c r="AJ2069" s="10"/>
      <c r="AK2069" s="10"/>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c r="BF2069" s="10"/>
      <c r="BG2069" s="10"/>
      <c r="BH2069" s="10"/>
      <c r="BI2069" s="10"/>
      <c r="BJ2069" s="10"/>
      <c r="BK2069" s="10"/>
      <c r="BM2069" s="10"/>
    </row>
    <row r="2070" spans="1:65" ht="12.75">
      <c r="H2070" s="14"/>
      <c r="I2070" s="14"/>
      <c r="J2070" s="14"/>
      <c r="K2070" s="14"/>
      <c r="L2070" s="14"/>
      <c r="M2070" s="15"/>
      <c r="N2070" s="10"/>
      <c r="O2070" s="14"/>
      <c r="P2070" s="14"/>
      <c r="Q2070" s="14"/>
      <c r="R2070" s="14"/>
      <c r="S2070" s="14"/>
      <c r="T2070" s="14"/>
      <c r="U2070" s="14"/>
      <c r="V2070" s="14"/>
      <c r="W2070" s="14"/>
      <c r="X2070" s="14"/>
      <c r="Y2070" s="14"/>
      <c r="Z2070" s="14"/>
      <c r="AA2070" s="16"/>
      <c r="AB2070" s="10"/>
      <c r="AC2070" s="10"/>
      <c r="AD2070" s="10"/>
      <c r="AE2070" s="10"/>
      <c r="AF2070" s="10"/>
      <c r="AG2070" s="10"/>
      <c r="AH2070" s="10"/>
      <c r="AI2070" s="10"/>
      <c r="AJ2070" s="10"/>
      <c r="AK2070" s="10"/>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c r="BF2070" s="10"/>
      <c r="BG2070" s="10"/>
      <c r="BH2070" s="10"/>
      <c r="BI2070" s="10"/>
      <c r="BJ2070" s="10"/>
      <c r="BK2070" s="10"/>
      <c r="BM2070" s="10"/>
    </row>
    <row r="2071" spans="1:65" ht="12.75">
      <c r="H2071" s="14"/>
      <c r="I2071" s="14"/>
      <c r="J2071" s="14"/>
      <c r="K2071" s="14"/>
      <c r="L2071" s="14"/>
      <c r="M2071" s="15"/>
      <c r="N2071" s="10"/>
      <c r="O2071" s="14"/>
      <c r="P2071" s="14"/>
      <c r="Q2071" s="14"/>
      <c r="R2071" s="14"/>
      <c r="S2071" s="14"/>
      <c r="T2071" s="14"/>
      <c r="U2071" s="14"/>
      <c r="V2071" s="14"/>
      <c r="W2071" s="14"/>
      <c r="X2071" s="14"/>
      <c r="Y2071" s="14"/>
      <c r="Z2071" s="14"/>
      <c r="AA2071" s="16"/>
      <c r="AB2071" s="10"/>
      <c r="AC2071" s="10"/>
      <c r="AD2071" s="10"/>
      <c r="AE2071" s="10"/>
      <c r="AF2071" s="10"/>
      <c r="AG2071" s="10"/>
      <c r="AH2071" s="10"/>
      <c r="AI2071" s="10"/>
      <c r="AJ2071" s="10"/>
      <c r="AK2071" s="10"/>
      <c r="AL2071" s="10"/>
      <c r="AM2071" s="10"/>
      <c r="AN2071" s="10"/>
      <c r="AO2071" s="10"/>
      <c r="AP2071" s="10"/>
      <c r="AQ2071" s="10"/>
      <c r="AR2071" s="10"/>
      <c r="AS2071" s="10"/>
      <c r="AT2071" s="10"/>
      <c r="AU2071" s="10"/>
      <c r="AV2071" s="10"/>
      <c r="AW2071" s="10"/>
      <c r="AX2071" s="10"/>
      <c r="AY2071" s="10"/>
      <c r="AZ2071" s="10"/>
      <c r="BA2071" s="10"/>
      <c r="BB2071" s="10"/>
      <c r="BC2071" s="10"/>
      <c r="BD2071" s="10"/>
      <c r="BE2071" s="10"/>
      <c r="BF2071" s="10"/>
      <c r="BG2071" s="10"/>
      <c r="BH2071" s="10"/>
      <c r="BI2071" s="10"/>
      <c r="BJ2071" s="10"/>
      <c r="BK2071" s="10"/>
      <c r="BM2071" s="10"/>
    </row>
    <row r="2072" spans="1:65" ht="12.75">
      <c r="H2072" s="14"/>
      <c r="I2072" s="14"/>
      <c r="J2072" s="14"/>
      <c r="K2072" s="14"/>
      <c r="L2072" s="14"/>
      <c r="M2072" s="15"/>
      <c r="N2072" s="10"/>
      <c r="O2072" s="14"/>
      <c r="P2072" s="14"/>
      <c r="Q2072" s="14"/>
      <c r="R2072" s="14"/>
      <c r="S2072" s="14"/>
      <c r="T2072" s="14"/>
      <c r="U2072" s="14"/>
      <c r="V2072" s="14"/>
      <c r="W2072" s="14"/>
      <c r="X2072" s="14"/>
      <c r="Y2072" s="14"/>
      <c r="Z2072" s="14"/>
      <c r="AA2072" s="16"/>
      <c r="AB2072" s="10"/>
      <c r="AC2072" s="10"/>
      <c r="AD2072" s="10"/>
      <c r="AE2072" s="10"/>
      <c r="AF2072" s="10"/>
      <c r="AG2072" s="10"/>
      <c r="AH2072" s="10"/>
      <c r="AI2072" s="10"/>
      <c r="AJ2072" s="10"/>
      <c r="AK2072" s="10"/>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c r="BF2072" s="10"/>
      <c r="BG2072" s="10"/>
      <c r="BH2072" s="10"/>
      <c r="BI2072" s="10"/>
      <c r="BJ2072" s="10"/>
      <c r="BK2072" s="10"/>
      <c r="BM2072" s="10"/>
    </row>
    <row r="2073" spans="1:65" ht="12.75">
      <c r="H2073" s="14"/>
      <c r="I2073" s="14"/>
      <c r="J2073" s="14"/>
      <c r="K2073" s="14"/>
      <c r="L2073" s="14"/>
      <c r="M2073" s="15"/>
      <c r="N2073" s="10"/>
      <c r="O2073" s="14"/>
      <c r="P2073" s="14"/>
      <c r="Q2073" s="14"/>
      <c r="R2073" s="14"/>
      <c r="S2073" s="14"/>
      <c r="T2073" s="14"/>
      <c r="U2073" s="14"/>
      <c r="V2073" s="14"/>
      <c r="W2073" s="14"/>
      <c r="X2073" s="14"/>
      <c r="Y2073" s="14"/>
      <c r="Z2073" s="14"/>
      <c r="AA2073" s="16"/>
      <c r="AB2073" s="10"/>
      <c r="AC2073" s="10"/>
      <c r="AD2073" s="10"/>
      <c r="AE2073" s="10"/>
      <c r="AF2073" s="10"/>
      <c r="AG2073" s="10"/>
      <c r="AH2073" s="10"/>
      <c r="AI2073" s="10"/>
      <c r="AJ2073" s="10"/>
      <c r="AK2073" s="10"/>
      <c r="AL2073" s="10"/>
      <c r="AM2073" s="10"/>
      <c r="AN2073" s="10"/>
      <c r="AO2073" s="10"/>
      <c r="AP2073" s="10"/>
      <c r="AQ2073" s="10"/>
      <c r="AR2073" s="10"/>
      <c r="AS2073" s="10"/>
      <c r="AT2073" s="10"/>
      <c r="AU2073" s="10"/>
      <c r="AV2073" s="10"/>
      <c r="AW2073" s="10"/>
      <c r="AX2073" s="10"/>
      <c r="AY2073" s="10"/>
      <c r="AZ2073" s="10"/>
      <c r="BA2073" s="10"/>
      <c r="BB2073" s="10"/>
      <c r="BC2073" s="10"/>
      <c r="BD2073" s="10"/>
      <c r="BE2073" s="10"/>
      <c r="BF2073" s="10"/>
      <c r="BG2073" s="10"/>
      <c r="BH2073" s="10"/>
      <c r="BI2073" s="10"/>
      <c r="BJ2073" s="10"/>
      <c r="BK2073" s="10"/>
      <c r="BM2073" s="10"/>
    </row>
    <row r="2074" spans="1:65" ht="12.75">
      <c r="H2074" s="14"/>
      <c r="I2074" s="14"/>
      <c r="J2074" s="14"/>
      <c r="K2074" s="14"/>
      <c r="L2074" s="14"/>
      <c r="M2074" s="15"/>
      <c r="N2074" s="10"/>
      <c r="O2074" s="14"/>
      <c r="P2074" s="14"/>
      <c r="Q2074" s="14"/>
      <c r="R2074" s="14"/>
      <c r="S2074" s="14"/>
      <c r="T2074" s="14"/>
      <c r="U2074" s="14"/>
      <c r="V2074" s="14"/>
      <c r="W2074" s="14"/>
      <c r="X2074" s="14"/>
      <c r="Y2074" s="14"/>
      <c r="Z2074" s="14"/>
      <c r="AA2074" s="16"/>
      <c r="AB2074" s="10"/>
      <c r="AC2074" s="10"/>
      <c r="AD2074" s="10"/>
      <c r="AE2074" s="10"/>
      <c r="AF2074" s="10"/>
      <c r="AG2074" s="10"/>
      <c r="AH2074" s="10"/>
      <c r="AI2074" s="10"/>
      <c r="AJ2074" s="10"/>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10"/>
      <c r="BJ2074" s="10"/>
      <c r="BK2074" s="10"/>
      <c r="BM2074" s="10"/>
    </row>
    <row r="2075" spans="1:65" ht="12.75">
      <c r="H2075" s="14"/>
      <c r="I2075" s="14"/>
      <c r="J2075" s="14"/>
      <c r="K2075" s="14"/>
      <c r="L2075" s="14"/>
      <c r="M2075" s="15"/>
      <c r="N2075" s="10"/>
      <c r="O2075" s="14"/>
      <c r="P2075" s="14"/>
      <c r="Q2075" s="14"/>
      <c r="R2075" s="14"/>
      <c r="S2075" s="14"/>
      <c r="T2075" s="14"/>
      <c r="U2075" s="14"/>
      <c r="V2075" s="14"/>
      <c r="W2075" s="14"/>
      <c r="X2075" s="14"/>
      <c r="Y2075" s="14"/>
      <c r="Z2075" s="14"/>
      <c r="AA2075" s="16"/>
      <c r="AB2075" s="10"/>
      <c r="AC2075" s="10"/>
      <c r="AD2075" s="10"/>
      <c r="AE2075" s="10"/>
      <c r="AF2075" s="10"/>
      <c r="AG2075" s="10"/>
      <c r="AH2075" s="10"/>
      <c r="AI2075" s="10"/>
      <c r="AJ2075" s="10"/>
      <c r="AK2075" s="10"/>
      <c r="AL2075" s="10"/>
      <c r="AM2075" s="10"/>
      <c r="AN2075" s="10"/>
      <c r="AO2075" s="10"/>
      <c r="AP2075" s="10"/>
      <c r="AQ2075" s="10"/>
      <c r="AR2075" s="10"/>
      <c r="AS2075" s="10"/>
      <c r="AT2075" s="10"/>
      <c r="AU2075" s="10"/>
      <c r="AV2075" s="10"/>
      <c r="AW2075" s="10"/>
      <c r="AX2075" s="10"/>
      <c r="AY2075" s="10"/>
      <c r="AZ2075" s="10"/>
      <c r="BA2075" s="10"/>
      <c r="BB2075" s="10"/>
      <c r="BC2075" s="10"/>
      <c r="BD2075" s="10"/>
      <c r="BE2075" s="10"/>
      <c r="BF2075" s="10"/>
      <c r="BG2075" s="10"/>
      <c r="BH2075" s="10"/>
      <c r="BI2075" s="10"/>
      <c r="BJ2075" s="10"/>
      <c r="BK2075" s="10"/>
      <c r="BM2075" s="10"/>
    </row>
    <row r="2076" spans="1:65" ht="12.75">
      <c r="H2076" s="14"/>
      <c r="I2076" s="14"/>
      <c r="J2076" s="14"/>
      <c r="K2076" s="14"/>
      <c r="L2076" s="14"/>
      <c r="M2076" s="15"/>
      <c r="N2076" s="10"/>
      <c r="O2076" s="14"/>
      <c r="P2076" s="14"/>
      <c r="Q2076" s="14"/>
      <c r="R2076" s="14"/>
      <c r="S2076" s="14"/>
      <c r="T2076" s="14"/>
      <c r="U2076" s="14"/>
      <c r="V2076" s="14"/>
      <c r="W2076" s="14"/>
      <c r="X2076" s="14"/>
      <c r="Y2076" s="14"/>
      <c r="Z2076" s="14"/>
      <c r="AA2076" s="16"/>
      <c r="AB2076" s="10"/>
      <c r="AC2076" s="10"/>
      <c r="AD2076" s="10"/>
      <c r="AE2076" s="10"/>
      <c r="AF2076" s="10"/>
      <c r="AG2076" s="10"/>
      <c r="AH2076" s="10"/>
      <c r="AI2076" s="10"/>
      <c r="AJ2076" s="10"/>
      <c r="AK2076" s="10"/>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c r="BF2076" s="10"/>
      <c r="BG2076" s="10"/>
      <c r="BH2076" s="10"/>
      <c r="BI2076" s="10"/>
      <c r="BJ2076" s="10"/>
      <c r="BK2076" s="10"/>
      <c r="BM2076" s="10"/>
    </row>
    <row r="2077" spans="1:65" ht="12.75">
      <c r="H2077" s="14"/>
      <c r="I2077" s="14"/>
      <c r="J2077" s="14"/>
      <c r="K2077" s="14"/>
      <c r="L2077" s="14"/>
      <c r="M2077" s="15"/>
      <c r="N2077" s="10"/>
      <c r="O2077" s="14"/>
      <c r="P2077" s="14"/>
      <c r="Q2077" s="14"/>
      <c r="R2077" s="14"/>
      <c r="S2077" s="14"/>
      <c r="T2077" s="14"/>
      <c r="U2077" s="14"/>
      <c r="V2077" s="14"/>
      <c r="W2077" s="14"/>
      <c r="X2077" s="14"/>
      <c r="Y2077" s="14"/>
      <c r="Z2077" s="14"/>
      <c r="AA2077" s="16"/>
      <c r="AB2077" s="10"/>
      <c r="AC2077" s="10"/>
      <c r="AD2077" s="10"/>
      <c r="AE2077" s="10"/>
      <c r="AF2077" s="10"/>
      <c r="AG2077" s="10"/>
      <c r="AH2077" s="10"/>
      <c r="AI2077" s="10"/>
      <c r="AJ2077" s="10"/>
      <c r="AK2077" s="10"/>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c r="BF2077" s="10"/>
      <c r="BG2077" s="10"/>
      <c r="BH2077" s="10"/>
      <c r="BI2077" s="10"/>
      <c r="BJ2077" s="10"/>
      <c r="BK2077" s="10"/>
      <c r="BM2077" s="10"/>
    </row>
    <row r="2078" spans="1:65" ht="12.75">
      <c r="A2078" s="9"/>
      <c r="B2078" s="10"/>
      <c r="C2078" s="11"/>
      <c r="D2078" s="12"/>
      <c r="E2078" s="10"/>
      <c r="F2078" s="10"/>
      <c r="G2078" s="10"/>
      <c r="H2078" s="14"/>
      <c r="I2078" s="14"/>
      <c r="J2078" s="14"/>
      <c r="K2078" s="14"/>
      <c r="L2078" s="14"/>
      <c r="M2078" s="15"/>
      <c r="N2078" s="10"/>
      <c r="O2078" s="14"/>
      <c r="P2078" s="14"/>
      <c r="Q2078" s="14"/>
      <c r="R2078" s="14"/>
      <c r="S2078" s="14"/>
      <c r="T2078" s="14"/>
      <c r="U2078" s="14"/>
      <c r="V2078" s="14"/>
      <c r="W2078" s="14"/>
      <c r="X2078" s="14"/>
      <c r="Y2078" s="14"/>
      <c r="Z2078" s="14"/>
      <c r="AA2078" s="16"/>
      <c r="AB2078" s="10"/>
      <c r="AC2078" s="10"/>
      <c r="AD2078" s="10"/>
      <c r="AE2078" s="10"/>
      <c r="AF2078" s="10"/>
      <c r="AG2078" s="10"/>
      <c r="AH2078" s="10"/>
      <c r="AI2078" s="10"/>
      <c r="AJ2078" s="10"/>
      <c r="AK2078" s="10"/>
      <c r="AL2078" s="10"/>
      <c r="AM2078" s="10"/>
      <c r="AN2078" s="10"/>
      <c r="AO2078" s="10"/>
      <c r="AP2078" s="10"/>
      <c r="AQ2078" s="10"/>
      <c r="AR2078" s="10"/>
      <c r="AS2078" s="10"/>
      <c r="AT2078" s="10"/>
      <c r="AU2078" s="10"/>
      <c r="AV2078" s="10"/>
      <c r="AW2078" s="10"/>
      <c r="AX2078" s="10"/>
      <c r="AY2078" s="10"/>
      <c r="AZ2078" s="10"/>
      <c r="BA2078" s="10"/>
      <c r="BB2078" s="10"/>
      <c r="BC2078" s="10"/>
      <c r="BD2078" s="10"/>
      <c r="BE2078" s="10"/>
      <c r="BF2078" s="10"/>
      <c r="BG2078" s="10"/>
      <c r="BH2078" s="10"/>
      <c r="BI2078" s="10"/>
      <c r="BJ2078" s="10"/>
      <c r="BK2078" s="10"/>
      <c r="BM2078" s="10"/>
    </row>
    <row r="2079" spans="1:65" ht="12.75">
      <c r="A2079" s="9"/>
      <c r="B2079" s="10"/>
      <c r="C2079" s="11"/>
      <c r="D2079" s="12"/>
      <c r="E2079" s="10"/>
      <c r="F2079" s="10"/>
      <c r="G2079" s="10"/>
      <c r="H2079" s="14"/>
      <c r="I2079" s="14"/>
      <c r="J2079" s="14"/>
      <c r="K2079" s="14"/>
      <c r="L2079" s="14"/>
      <c r="M2079" s="15"/>
      <c r="N2079" s="10"/>
      <c r="O2079" s="14"/>
      <c r="P2079" s="14"/>
      <c r="Q2079" s="14"/>
      <c r="R2079" s="14"/>
      <c r="S2079" s="14"/>
      <c r="T2079" s="14"/>
      <c r="U2079" s="14"/>
      <c r="V2079" s="14"/>
      <c r="W2079" s="14"/>
      <c r="X2079" s="14"/>
      <c r="Y2079" s="14"/>
      <c r="Z2079" s="14"/>
      <c r="AA2079" s="16"/>
      <c r="AB2079" s="10"/>
      <c r="AC2079" s="10"/>
      <c r="AD2079" s="10"/>
      <c r="AE2079" s="10"/>
      <c r="AF2079" s="10"/>
      <c r="AG2079" s="10"/>
      <c r="AH2079" s="10"/>
      <c r="AI2079" s="10"/>
      <c r="AJ2079" s="10"/>
      <c r="AK2079" s="10"/>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c r="BF2079" s="10"/>
      <c r="BG2079" s="10"/>
      <c r="BH2079" s="10"/>
      <c r="BI2079" s="10"/>
      <c r="BJ2079" s="10"/>
      <c r="BK2079" s="10"/>
      <c r="BM2079" s="10"/>
    </row>
    <row r="2080" spans="1:65" ht="12.75">
      <c r="A2080" s="9"/>
      <c r="B2080" s="10"/>
      <c r="C2080" s="11"/>
      <c r="D2080" s="12"/>
      <c r="E2080" s="10"/>
      <c r="F2080" s="10"/>
      <c r="G2080" s="10"/>
      <c r="H2080" s="14"/>
      <c r="I2080" s="14"/>
      <c r="J2080" s="14"/>
      <c r="K2080" s="14"/>
      <c r="L2080" s="14"/>
      <c r="M2080" s="15"/>
      <c r="N2080" s="10"/>
      <c r="O2080" s="14"/>
      <c r="P2080" s="14"/>
      <c r="Q2080" s="14"/>
      <c r="R2080" s="14"/>
      <c r="S2080" s="14"/>
      <c r="T2080" s="14"/>
      <c r="U2080" s="14"/>
      <c r="V2080" s="14"/>
      <c r="W2080" s="14"/>
      <c r="X2080" s="14"/>
      <c r="Y2080" s="14"/>
      <c r="Z2080" s="14"/>
      <c r="AA2080" s="16"/>
      <c r="AB2080" s="10"/>
      <c r="AC2080" s="10"/>
      <c r="AD2080" s="10"/>
      <c r="AE2080" s="10"/>
      <c r="AF2080" s="10"/>
      <c r="AG2080" s="10"/>
      <c r="AH2080" s="10"/>
      <c r="AI2080" s="10"/>
      <c r="AJ2080" s="10"/>
      <c r="AK2080" s="10"/>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c r="BF2080" s="10"/>
      <c r="BG2080" s="10"/>
      <c r="BH2080" s="10"/>
      <c r="BI2080" s="10"/>
      <c r="BJ2080" s="10"/>
      <c r="BK2080" s="10"/>
      <c r="BM2080" s="10"/>
    </row>
    <row r="2081" spans="1:65" ht="12.75">
      <c r="A2081" s="9"/>
      <c r="B2081" s="10"/>
      <c r="C2081" s="11"/>
      <c r="D2081" s="12"/>
      <c r="E2081" s="10"/>
      <c r="F2081" s="10"/>
      <c r="G2081" s="10"/>
      <c r="H2081" s="14"/>
      <c r="I2081" s="14"/>
      <c r="J2081" s="14"/>
      <c r="K2081" s="14"/>
      <c r="L2081" s="14"/>
      <c r="M2081" s="15"/>
      <c r="N2081" s="10"/>
      <c r="O2081" s="14"/>
      <c r="P2081" s="14"/>
      <c r="Q2081" s="14"/>
      <c r="R2081" s="14"/>
      <c r="S2081" s="14"/>
      <c r="T2081" s="14"/>
      <c r="U2081" s="14"/>
      <c r="V2081" s="14"/>
      <c r="W2081" s="14"/>
      <c r="X2081" s="14"/>
      <c r="Y2081" s="14"/>
      <c r="Z2081" s="14"/>
      <c r="AA2081" s="16"/>
      <c r="AB2081" s="10"/>
      <c r="AC2081" s="10"/>
      <c r="AD2081" s="10"/>
      <c r="AE2081" s="10"/>
      <c r="AF2081" s="10"/>
      <c r="AG2081" s="10"/>
      <c r="AH2081" s="10"/>
      <c r="AI2081" s="10"/>
      <c r="AJ2081" s="10"/>
      <c r="AK2081" s="10"/>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c r="BF2081" s="10"/>
      <c r="BG2081" s="10"/>
      <c r="BH2081" s="10"/>
      <c r="BI2081" s="10"/>
      <c r="BJ2081" s="10"/>
      <c r="BK2081" s="10"/>
      <c r="BM2081" s="10"/>
    </row>
    <row r="2082" spans="1:65" ht="12.75">
      <c r="A2082" s="9"/>
      <c r="B2082" s="10"/>
      <c r="C2082" s="11"/>
      <c r="D2082" s="12"/>
      <c r="E2082" s="10"/>
      <c r="F2082" s="10"/>
      <c r="G2082" s="10"/>
      <c r="H2082" s="14"/>
      <c r="I2082" s="14"/>
      <c r="J2082" s="14"/>
      <c r="K2082" s="14"/>
      <c r="L2082" s="14"/>
      <c r="M2082" s="15"/>
      <c r="N2082" s="10"/>
      <c r="O2082" s="14"/>
      <c r="P2082" s="14"/>
      <c r="Q2082" s="14"/>
      <c r="R2082" s="14"/>
      <c r="S2082" s="14"/>
      <c r="T2082" s="14"/>
      <c r="U2082" s="14"/>
      <c r="V2082" s="14"/>
      <c r="W2082" s="14"/>
      <c r="X2082" s="14"/>
      <c r="Y2082" s="14"/>
      <c r="Z2082" s="14"/>
      <c r="AA2082" s="16"/>
      <c r="AB2082" s="10"/>
      <c r="AC2082" s="10"/>
      <c r="AD2082" s="10"/>
      <c r="AE2082" s="10"/>
      <c r="AF2082" s="10"/>
      <c r="AG2082" s="10"/>
      <c r="AH2082" s="10"/>
      <c r="AI2082" s="10"/>
      <c r="AJ2082" s="10"/>
      <c r="AK2082" s="10"/>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c r="BF2082" s="10"/>
      <c r="BG2082" s="10"/>
      <c r="BH2082" s="10"/>
      <c r="BI2082" s="10"/>
      <c r="BJ2082" s="10"/>
      <c r="BK2082" s="10"/>
      <c r="BM2082" s="10"/>
    </row>
    <row r="2083" spans="1:65" ht="12.75">
      <c r="A2083" s="9"/>
      <c r="B2083" s="10"/>
      <c r="C2083" s="11"/>
      <c r="D2083" s="12"/>
      <c r="E2083" s="10"/>
      <c r="F2083" s="10"/>
      <c r="G2083" s="10"/>
      <c r="H2083" s="14"/>
      <c r="I2083" s="14"/>
      <c r="J2083" s="14"/>
      <c r="K2083" s="14"/>
      <c r="L2083" s="14"/>
      <c r="M2083" s="15"/>
      <c r="N2083" s="10"/>
      <c r="O2083" s="14"/>
      <c r="P2083" s="14"/>
      <c r="Q2083" s="14"/>
      <c r="R2083" s="14"/>
      <c r="S2083" s="14"/>
      <c r="T2083" s="14"/>
      <c r="U2083" s="14"/>
      <c r="V2083" s="14"/>
      <c r="W2083" s="14"/>
      <c r="X2083" s="14"/>
      <c r="Y2083" s="14"/>
      <c r="Z2083" s="14"/>
      <c r="AA2083" s="16"/>
      <c r="AB2083" s="10"/>
      <c r="AC2083" s="10"/>
      <c r="AD2083" s="10"/>
      <c r="AE2083" s="10"/>
      <c r="AF2083" s="10"/>
      <c r="AG2083" s="10"/>
      <c r="AH2083" s="10"/>
      <c r="AI2083" s="10"/>
      <c r="AJ2083" s="10"/>
      <c r="AK2083" s="10"/>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c r="BF2083" s="10"/>
      <c r="BG2083" s="10"/>
      <c r="BH2083" s="10"/>
      <c r="BI2083" s="10"/>
      <c r="BJ2083" s="10"/>
      <c r="BK2083" s="10"/>
      <c r="BM2083" s="10"/>
    </row>
    <row r="2084" spans="1:65" ht="12.75">
      <c r="A2084" s="9"/>
      <c r="B2084" s="10"/>
      <c r="C2084" s="11"/>
      <c r="D2084" s="12"/>
      <c r="E2084" s="10"/>
      <c r="F2084" s="10"/>
      <c r="G2084" s="10"/>
      <c r="H2084" s="14"/>
      <c r="I2084" s="14"/>
      <c r="J2084" s="14"/>
      <c r="K2084" s="14"/>
      <c r="L2084" s="14"/>
      <c r="M2084" s="15"/>
      <c r="N2084" s="10"/>
      <c r="O2084" s="14"/>
      <c r="P2084" s="14"/>
      <c r="Q2084" s="14"/>
      <c r="R2084" s="14"/>
      <c r="S2084" s="14"/>
      <c r="T2084" s="14"/>
      <c r="U2084" s="14"/>
      <c r="V2084" s="14"/>
      <c r="W2084" s="14"/>
      <c r="X2084" s="14"/>
      <c r="Y2084" s="14"/>
      <c r="Z2084" s="14"/>
      <c r="AA2084" s="16"/>
      <c r="AB2084" s="10"/>
      <c r="AC2084" s="10"/>
      <c r="AD2084" s="10"/>
      <c r="AE2084" s="10"/>
      <c r="AF2084" s="10"/>
      <c r="AG2084" s="10"/>
      <c r="AH2084" s="10"/>
      <c r="AI2084" s="10"/>
      <c r="AJ2084" s="10"/>
      <c r="AK2084" s="10"/>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10"/>
      <c r="BJ2084" s="10"/>
      <c r="BK2084" s="10"/>
      <c r="BM2084" s="10"/>
    </row>
    <row r="2085" spans="1:65" ht="12.75">
      <c r="A2085" s="9"/>
      <c r="B2085" s="10"/>
      <c r="C2085" s="11"/>
      <c r="D2085" s="12"/>
      <c r="E2085" s="10"/>
      <c r="F2085" s="10"/>
      <c r="G2085" s="10"/>
      <c r="H2085" s="14"/>
      <c r="I2085" s="14"/>
      <c r="J2085" s="14"/>
      <c r="K2085" s="14"/>
      <c r="L2085" s="14"/>
      <c r="M2085" s="15"/>
      <c r="N2085" s="10"/>
      <c r="O2085" s="14"/>
      <c r="P2085" s="14"/>
      <c r="Q2085" s="14"/>
      <c r="R2085" s="14"/>
      <c r="S2085" s="14"/>
      <c r="T2085" s="14"/>
      <c r="U2085" s="14"/>
      <c r="V2085" s="14"/>
      <c r="W2085" s="14"/>
      <c r="X2085" s="14"/>
      <c r="Y2085" s="14"/>
      <c r="Z2085" s="14"/>
      <c r="AA2085" s="16"/>
      <c r="AB2085" s="10"/>
      <c r="AC2085" s="10"/>
      <c r="AD2085" s="10"/>
      <c r="AE2085" s="10"/>
      <c r="AF2085" s="10"/>
      <c r="AG2085" s="10"/>
      <c r="AH2085" s="10"/>
      <c r="AI2085" s="10"/>
      <c r="AJ2085" s="10"/>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0"/>
      <c r="BM2085" s="10"/>
    </row>
    <row r="2086" spans="1:65" ht="12.75">
      <c r="A2086" s="9"/>
      <c r="B2086" s="10"/>
      <c r="C2086" s="11"/>
      <c r="D2086" s="12"/>
      <c r="E2086" s="10"/>
      <c r="F2086" s="10"/>
      <c r="G2086" s="10"/>
      <c r="H2086" s="14"/>
      <c r="I2086" s="14"/>
      <c r="J2086" s="14"/>
      <c r="K2086" s="14"/>
      <c r="L2086" s="14"/>
      <c r="M2086" s="15"/>
      <c r="N2086" s="10"/>
      <c r="O2086" s="14"/>
      <c r="P2086" s="14"/>
      <c r="Q2086" s="14"/>
      <c r="R2086" s="14"/>
      <c r="S2086" s="14"/>
      <c r="T2086" s="14"/>
      <c r="U2086" s="14"/>
      <c r="V2086" s="14"/>
      <c r="W2086" s="14"/>
      <c r="X2086" s="14"/>
      <c r="Y2086" s="14"/>
      <c r="Z2086" s="14"/>
      <c r="AA2086" s="16"/>
      <c r="AB2086" s="10"/>
      <c r="AC2086" s="10"/>
      <c r="AD2086" s="10"/>
      <c r="AE2086" s="10"/>
      <c r="AF2086" s="10"/>
      <c r="AG2086" s="10"/>
      <c r="AH2086" s="10"/>
      <c r="AI2086" s="10"/>
      <c r="AJ2086" s="10"/>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10"/>
      <c r="BJ2086" s="10"/>
      <c r="BK2086" s="10"/>
      <c r="BM2086" s="10"/>
    </row>
    <row r="2087" spans="1:65" ht="12.75">
      <c r="A2087" s="9"/>
      <c r="B2087" s="10"/>
      <c r="C2087" s="11"/>
      <c r="D2087" s="12"/>
      <c r="E2087" s="10"/>
      <c r="F2087" s="10"/>
      <c r="G2087" s="10"/>
      <c r="H2087" s="14"/>
      <c r="I2087" s="14"/>
      <c r="J2087" s="14"/>
      <c r="K2087" s="14"/>
      <c r="L2087" s="14"/>
      <c r="M2087" s="15"/>
      <c r="N2087" s="10"/>
      <c r="O2087" s="14"/>
      <c r="P2087" s="14"/>
      <c r="Q2087" s="14"/>
      <c r="R2087" s="14"/>
      <c r="S2087" s="14"/>
      <c r="T2087" s="14"/>
      <c r="U2087" s="14"/>
      <c r="V2087" s="14"/>
      <c r="W2087" s="14"/>
      <c r="X2087" s="14"/>
      <c r="Y2087" s="14"/>
      <c r="Z2087" s="14"/>
      <c r="AA2087" s="16"/>
      <c r="AB2087" s="10"/>
      <c r="AC2087" s="10"/>
      <c r="AD2087" s="10"/>
      <c r="AE2087" s="10"/>
      <c r="AF2087" s="10"/>
      <c r="AG2087" s="10"/>
      <c r="AH2087" s="10"/>
      <c r="AI2087" s="10"/>
      <c r="AJ2087" s="10"/>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10"/>
      <c r="BJ2087" s="10"/>
      <c r="BK2087" s="10"/>
      <c r="BM2087" s="10"/>
    </row>
    <row r="2088" spans="1:65" ht="12.75">
      <c r="A2088" s="9"/>
      <c r="B2088" s="10"/>
      <c r="C2088" s="11"/>
      <c r="D2088" s="12"/>
      <c r="E2088" s="10"/>
      <c r="F2088" s="10"/>
      <c r="G2088" s="10"/>
      <c r="H2088" s="14"/>
      <c r="I2088" s="14"/>
      <c r="J2088" s="14"/>
      <c r="K2088" s="14"/>
      <c r="L2088" s="14"/>
      <c r="M2088" s="15"/>
      <c r="N2088" s="10"/>
      <c r="O2088" s="14"/>
      <c r="P2088" s="14"/>
      <c r="Q2088" s="14"/>
      <c r="R2088" s="14"/>
      <c r="S2088" s="14"/>
      <c r="T2088" s="14"/>
      <c r="U2088" s="14"/>
      <c r="V2088" s="14"/>
      <c r="W2088" s="14"/>
      <c r="X2088" s="14"/>
      <c r="Y2088" s="14"/>
      <c r="Z2088" s="14"/>
      <c r="AA2088" s="16"/>
      <c r="AB2088" s="10"/>
      <c r="AC2088" s="10"/>
      <c r="AD2088" s="10"/>
      <c r="AE2088" s="10"/>
      <c r="AF2088" s="10"/>
      <c r="AG2088" s="10"/>
      <c r="AH2088" s="10"/>
      <c r="AI2088" s="10"/>
      <c r="AJ2088" s="10"/>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10"/>
      <c r="BJ2088" s="10"/>
      <c r="BK2088" s="10"/>
      <c r="BM2088" s="10"/>
    </row>
    <row r="2089" spans="1:65" ht="12.75">
      <c r="A2089" s="9"/>
      <c r="B2089" s="10"/>
      <c r="C2089" s="11"/>
      <c r="D2089" s="12"/>
      <c r="E2089" s="10"/>
      <c r="F2089" s="10"/>
      <c r="G2089" s="10"/>
      <c r="H2089" s="14"/>
      <c r="I2089" s="14"/>
      <c r="J2089" s="14"/>
      <c r="K2089" s="14"/>
      <c r="L2089" s="14"/>
      <c r="M2089" s="15"/>
      <c r="N2089" s="10"/>
      <c r="O2089" s="14"/>
      <c r="P2089" s="14"/>
      <c r="Q2089" s="14"/>
      <c r="R2089" s="14"/>
      <c r="S2089" s="14"/>
      <c r="T2089" s="14"/>
      <c r="U2089" s="14"/>
      <c r="V2089" s="14"/>
      <c r="W2089" s="14"/>
      <c r="X2089" s="14"/>
      <c r="Y2089" s="14"/>
      <c r="Z2089" s="14"/>
      <c r="AA2089" s="16"/>
      <c r="AB2089" s="10"/>
      <c r="AC2089" s="10"/>
      <c r="AD2089" s="10"/>
      <c r="AE2089" s="10"/>
      <c r="AF2089" s="10"/>
      <c r="AG2089" s="10"/>
      <c r="AH2089" s="10"/>
      <c r="AI2089" s="10"/>
      <c r="AJ2089" s="10"/>
      <c r="AK2089" s="10"/>
      <c r="AL2089" s="10"/>
      <c r="AM2089" s="10"/>
      <c r="AN2089" s="10"/>
      <c r="AO2089" s="10"/>
      <c r="AP2089" s="10"/>
      <c r="AQ2089" s="10"/>
      <c r="AR2089" s="10"/>
      <c r="AS2089" s="10"/>
      <c r="AT2089" s="10"/>
      <c r="AU2089" s="10"/>
      <c r="AV2089" s="10"/>
      <c r="AW2089" s="10"/>
      <c r="AX2089" s="10"/>
      <c r="AY2089" s="10"/>
      <c r="AZ2089" s="10"/>
      <c r="BA2089" s="10"/>
      <c r="BB2089" s="10"/>
      <c r="BC2089" s="10"/>
      <c r="BD2089" s="10"/>
      <c r="BE2089" s="10"/>
      <c r="BF2089" s="10"/>
      <c r="BG2089" s="10"/>
      <c r="BH2089" s="10"/>
      <c r="BI2089" s="10"/>
      <c r="BJ2089" s="10"/>
      <c r="BK2089" s="10"/>
      <c r="BM2089" s="10"/>
    </row>
    <row r="2090" spans="1:65" ht="12.75">
      <c r="A2090" s="9"/>
      <c r="B2090" s="10"/>
      <c r="C2090" s="11"/>
      <c r="D2090" s="12"/>
      <c r="E2090" s="10"/>
      <c r="F2090" s="10"/>
      <c r="G2090" s="10"/>
      <c r="H2090" s="14"/>
      <c r="I2090" s="14"/>
      <c r="J2090" s="14"/>
      <c r="K2090" s="14"/>
      <c r="L2090" s="14"/>
      <c r="M2090" s="15"/>
      <c r="N2090" s="10"/>
      <c r="O2090" s="14"/>
      <c r="P2090" s="14"/>
      <c r="Q2090" s="14"/>
      <c r="R2090" s="14"/>
      <c r="S2090" s="14"/>
      <c r="T2090" s="14"/>
      <c r="U2090" s="14"/>
      <c r="V2090" s="14"/>
      <c r="W2090" s="14"/>
      <c r="X2090" s="14"/>
      <c r="Y2090" s="14"/>
      <c r="Z2090" s="14"/>
      <c r="AA2090" s="16"/>
      <c r="AB2090" s="10"/>
      <c r="AC2090" s="10"/>
      <c r="AD2090" s="10"/>
      <c r="AE2090" s="10"/>
      <c r="AF2090" s="10"/>
      <c r="AG2090" s="10"/>
      <c r="AH2090" s="10"/>
      <c r="AI2090" s="10"/>
      <c r="AJ2090" s="10"/>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10"/>
      <c r="BJ2090" s="10"/>
      <c r="BK2090" s="10"/>
      <c r="BM2090" s="10"/>
    </row>
    <row r="2091" spans="1:65" ht="12.75">
      <c r="A2091" s="9"/>
      <c r="B2091" s="10"/>
      <c r="C2091" s="11"/>
      <c r="D2091" s="12"/>
      <c r="E2091" s="10"/>
      <c r="F2091" s="10"/>
      <c r="G2091" s="10"/>
      <c r="H2091" s="14"/>
      <c r="I2091" s="14"/>
      <c r="J2091" s="14"/>
      <c r="K2091" s="14"/>
      <c r="L2091" s="14"/>
      <c r="M2091" s="15"/>
      <c r="N2091" s="10"/>
      <c r="O2091" s="14"/>
      <c r="P2091" s="14"/>
      <c r="Q2091" s="14"/>
      <c r="R2091" s="14"/>
      <c r="S2091" s="14"/>
      <c r="T2091" s="14"/>
      <c r="U2091" s="14"/>
      <c r="V2091" s="14"/>
      <c r="W2091" s="14"/>
      <c r="X2091" s="14"/>
      <c r="Y2091" s="14"/>
      <c r="Z2091" s="14"/>
      <c r="AA2091" s="16"/>
      <c r="AB2091" s="10"/>
      <c r="AC2091" s="10"/>
      <c r="AD2091" s="10"/>
      <c r="AE2091" s="10"/>
      <c r="AF2091" s="10"/>
      <c r="AG2091" s="10"/>
      <c r="AH2091" s="10"/>
      <c r="AI2091" s="10"/>
      <c r="AJ2091" s="10"/>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10"/>
      <c r="BJ2091" s="10"/>
      <c r="BK2091" s="10"/>
      <c r="BM2091" s="10"/>
    </row>
    <row r="2092" spans="1:65" ht="12.75">
      <c r="A2092" s="9"/>
      <c r="B2092" s="10"/>
      <c r="C2092" s="11"/>
      <c r="D2092" s="12"/>
      <c r="E2092" s="10"/>
      <c r="F2092" s="10"/>
      <c r="G2092" s="10"/>
      <c r="H2092" s="14"/>
      <c r="I2092" s="14"/>
      <c r="J2092" s="14"/>
      <c r="K2092" s="14"/>
      <c r="L2092" s="14"/>
      <c r="M2092" s="15"/>
      <c r="N2092" s="10"/>
      <c r="O2092" s="14"/>
      <c r="P2092" s="14"/>
      <c r="Q2092" s="14"/>
      <c r="R2092" s="14"/>
      <c r="S2092" s="14"/>
      <c r="T2092" s="14"/>
      <c r="U2092" s="14"/>
      <c r="V2092" s="14"/>
      <c r="W2092" s="14"/>
      <c r="X2092" s="14"/>
      <c r="Y2092" s="14"/>
      <c r="Z2092" s="14"/>
      <c r="AA2092" s="16"/>
      <c r="AB2092" s="10"/>
      <c r="AC2092" s="10"/>
      <c r="AD2092" s="10"/>
      <c r="AE2092" s="10"/>
      <c r="AF2092" s="10"/>
      <c r="AG2092" s="10"/>
      <c r="AH2092" s="10"/>
      <c r="AI2092" s="10"/>
      <c r="AJ2092" s="10"/>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0"/>
      <c r="BM2092" s="10"/>
    </row>
    <row r="2093" spans="1:65" ht="12.75">
      <c r="A2093" s="9"/>
      <c r="B2093" s="10"/>
      <c r="C2093" s="11"/>
      <c r="D2093" s="12"/>
      <c r="E2093" s="10"/>
      <c r="F2093" s="10"/>
      <c r="G2093" s="10"/>
      <c r="H2093" s="14"/>
      <c r="I2093" s="14"/>
      <c r="J2093" s="14"/>
      <c r="K2093" s="14"/>
      <c r="L2093" s="14"/>
      <c r="M2093" s="15"/>
      <c r="N2093" s="10"/>
      <c r="O2093" s="14"/>
      <c r="P2093" s="14"/>
      <c r="Q2093" s="14"/>
      <c r="R2093" s="14"/>
      <c r="S2093" s="14"/>
      <c r="T2093" s="14"/>
      <c r="U2093" s="14"/>
      <c r="V2093" s="14"/>
      <c r="W2093" s="14"/>
      <c r="X2093" s="14"/>
      <c r="Y2093" s="14"/>
      <c r="Z2093" s="14"/>
      <c r="AA2093" s="16"/>
      <c r="AB2093" s="10"/>
      <c r="AC2093" s="10"/>
      <c r="AD2093" s="10"/>
      <c r="AE2093" s="10"/>
      <c r="AF2093" s="10"/>
      <c r="AG2093" s="10"/>
      <c r="AH2093" s="10"/>
      <c r="AI2093" s="10"/>
      <c r="AJ2093" s="10"/>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c r="BI2093" s="10"/>
      <c r="BJ2093" s="10"/>
      <c r="BK2093" s="10"/>
      <c r="BM2093" s="10"/>
    </row>
    <row r="2094" spans="1:65" ht="12.75">
      <c r="A2094" s="9"/>
      <c r="B2094" s="10"/>
      <c r="C2094" s="11"/>
      <c r="D2094" s="12"/>
      <c r="E2094" s="10"/>
      <c r="F2094" s="10"/>
      <c r="G2094" s="10"/>
      <c r="H2094" s="14"/>
      <c r="I2094" s="14"/>
      <c r="J2094" s="14"/>
      <c r="K2094" s="14"/>
      <c r="L2094" s="14"/>
      <c r="M2094" s="15"/>
      <c r="N2094" s="10"/>
      <c r="O2094" s="14"/>
      <c r="P2094" s="14"/>
      <c r="Q2094" s="14"/>
      <c r="R2094" s="14"/>
      <c r="S2094" s="14"/>
      <c r="T2094" s="14"/>
      <c r="U2094" s="14"/>
      <c r="V2094" s="14"/>
      <c r="W2094" s="14"/>
      <c r="X2094" s="14"/>
      <c r="Y2094" s="14"/>
      <c r="Z2094" s="14"/>
      <c r="AA2094" s="16"/>
      <c r="AB2094" s="10"/>
      <c r="AC2094" s="10"/>
      <c r="AD2094" s="10"/>
      <c r="AE2094" s="10"/>
      <c r="AF2094" s="10"/>
      <c r="AG2094" s="10"/>
      <c r="AH2094" s="10"/>
      <c r="AI2094" s="10"/>
      <c r="AJ2094" s="10"/>
      <c r="AK2094" s="10"/>
      <c r="AL2094" s="10"/>
      <c r="AM2094" s="10"/>
      <c r="AN2094" s="10"/>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10"/>
      <c r="BK2094" s="10"/>
      <c r="BM2094" s="10"/>
    </row>
    <row r="2095" spans="1:65" ht="12.75">
      <c r="A2095" s="9"/>
      <c r="B2095" s="10"/>
      <c r="C2095" s="11"/>
      <c r="D2095" s="12"/>
      <c r="E2095" s="10"/>
      <c r="F2095" s="10"/>
      <c r="G2095" s="10"/>
      <c r="H2095" s="14"/>
      <c r="I2095" s="14"/>
      <c r="J2095" s="14"/>
      <c r="K2095" s="14"/>
      <c r="L2095" s="14"/>
      <c r="M2095" s="15"/>
      <c r="N2095" s="10"/>
      <c r="O2095" s="14"/>
      <c r="P2095" s="14"/>
      <c r="Q2095" s="14"/>
      <c r="R2095" s="14"/>
      <c r="S2095" s="14"/>
      <c r="T2095" s="14"/>
      <c r="U2095" s="14"/>
      <c r="V2095" s="14"/>
      <c r="W2095" s="14"/>
      <c r="X2095" s="14"/>
      <c r="Y2095" s="14"/>
      <c r="Z2095" s="14"/>
      <c r="AA2095" s="16"/>
      <c r="AB2095" s="10"/>
      <c r="AC2095" s="10"/>
      <c r="AD2095" s="10"/>
      <c r="AE2095" s="10"/>
      <c r="AF2095" s="10"/>
      <c r="AG2095" s="10"/>
      <c r="AH2095" s="10"/>
      <c r="AI2095" s="10"/>
      <c r="AJ2095" s="10"/>
      <c r="AK2095" s="10"/>
      <c r="AL2095" s="10"/>
      <c r="AM2095" s="10"/>
      <c r="AN2095" s="10"/>
      <c r="AO2095" s="10"/>
      <c r="AP2095" s="10"/>
      <c r="AQ2095" s="10"/>
      <c r="AR2095" s="10"/>
      <c r="AS2095" s="10"/>
      <c r="AT2095" s="10"/>
      <c r="AU2095" s="10"/>
      <c r="AV2095" s="10"/>
      <c r="AW2095" s="10"/>
      <c r="AX2095" s="10"/>
      <c r="AY2095" s="10"/>
      <c r="AZ2095" s="10"/>
      <c r="BA2095" s="10"/>
      <c r="BB2095" s="10"/>
      <c r="BC2095" s="10"/>
      <c r="BD2095" s="10"/>
      <c r="BE2095" s="10"/>
      <c r="BF2095" s="10"/>
      <c r="BG2095" s="10"/>
      <c r="BH2095" s="10"/>
      <c r="BI2095" s="10"/>
      <c r="BJ2095" s="10"/>
      <c r="BK2095" s="10"/>
      <c r="BM2095" s="10"/>
    </row>
    <row r="2096" spans="1:65" ht="12.75">
      <c r="A2096" s="9"/>
      <c r="B2096" s="10"/>
      <c r="C2096" s="11"/>
      <c r="D2096" s="12"/>
      <c r="E2096" s="10"/>
      <c r="F2096" s="10"/>
      <c r="G2096" s="10"/>
      <c r="H2096" s="14"/>
      <c r="I2096" s="14"/>
      <c r="J2096" s="14"/>
      <c r="K2096" s="14"/>
      <c r="L2096" s="14"/>
      <c r="M2096" s="15"/>
      <c r="N2096" s="10"/>
      <c r="O2096" s="14"/>
      <c r="P2096" s="14"/>
      <c r="Q2096" s="14"/>
      <c r="R2096" s="14"/>
      <c r="S2096" s="14"/>
      <c r="T2096" s="14"/>
      <c r="U2096" s="14"/>
      <c r="V2096" s="14"/>
      <c r="W2096" s="14"/>
      <c r="X2096" s="14"/>
      <c r="Y2096" s="14"/>
      <c r="Z2096" s="14"/>
      <c r="AA2096" s="16"/>
      <c r="AB2096" s="10"/>
      <c r="AC2096" s="10"/>
      <c r="AD2096" s="10"/>
      <c r="AE2096" s="10"/>
      <c r="AF2096" s="10"/>
      <c r="AG2096" s="10"/>
      <c r="AH2096" s="10"/>
      <c r="AI2096" s="10"/>
      <c r="AJ2096" s="10"/>
      <c r="AK2096" s="10"/>
      <c r="AL2096" s="10"/>
      <c r="AM2096" s="10"/>
      <c r="AN2096" s="10"/>
      <c r="AO2096" s="10"/>
      <c r="AP2096" s="10"/>
      <c r="AQ2096" s="10"/>
      <c r="AR2096" s="10"/>
      <c r="AS2096" s="10"/>
      <c r="AT2096" s="10"/>
      <c r="AU2096" s="10"/>
      <c r="AV2096" s="10"/>
      <c r="AW2096" s="10"/>
      <c r="AX2096" s="10"/>
      <c r="AY2096" s="10"/>
      <c r="AZ2096" s="10"/>
      <c r="BA2096" s="10"/>
      <c r="BB2096" s="10"/>
      <c r="BC2096" s="10"/>
      <c r="BD2096" s="10"/>
      <c r="BE2096" s="10"/>
      <c r="BF2096" s="10"/>
      <c r="BG2096" s="10"/>
      <c r="BH2096" s="10"/>
      <c r="BI2096" s="10"/>
      <c r="BJ2096" s="10"/>
      <c r="BK2096" s="10"/>
      <c r="BM2096" s="10"/>
    </row>
    <row r="2097" spans="1:65" ht="12.75">
      <c r="A2097" s="9"/>
      <c r="B2097" s="10"/>
      <c r="C2097" s="11"/>
      <c r="D2097" s="12"/>
      <c r="E2097" s="10"/>
      <c r="F2097" s="10"/>
      <c r="G2097" s="10"/>
      <c r="H2097" s="14"/>
      <c r="I2097" s="14"/>
      <c r="J2097" s="14"/>
      <c r="K2097" s="14"/>
      <c r="L2097" s="14"/>
      <c r="M2097" s="15"/>
      <c r="N2097" s="10"/>
      <c r="O2097" s="14"/>
      <c r="P2097" s="14"/>
      <c r="Q2097" s="14"/>
      <c r="R2097" s="14"/>
      <c r="S2097" s="14"/>
      <c r="T2097" s="14"/>
      <c r="U2097" s="14"/>
      <c r="V2097" s="14"/>
      <c r="W2097" s="14"/>
      <c r="X2097" s="14"/>
      <c r="Y2097" s="14"/>
      <c r="Z2097" s="14"/>
      <c r="AA2097" s="16"/>
      <c r="AB2097" s="10"/>
      <c r="AC2097" s="10"/>
      <c r="AD2097" s="10"/>
      <c r="AE2097" s="10"/>
      <c r="AF2097" s="10"/>
      <c r="AG2097" s="10"/>
      <c r="AH2097" s="10"/>
      <c r="AI2097" s="10"/>
      <c r="AJ2097" s="10"/>
      <c r="AK2097" s="10"/>
      <c r="AL2097" s="10"/>
      <c r="AM2097" s="10"/>
      <c r="AN2097" s="10"/>
      <c r="AO2097" s="10"/>
      <c r="AP2097" s="10"/>
      <c r="AQ2097" s="10"/>
      <c r="AR2097" s="10"/>
      <c r="AS2097" s="10"/>
      <c r="AT2097" s="10"/>
      <c r="AU2097" s="10"/>
      <c r="AV2097" s="10"/>
      <c r="AW2097" s="10"/>
      <c r="AX2097" s="10"/>
      <c r="AY2097" s="10"/>
      <c r="AZ2097" s="10"/>
      <c r="BA2097" s="10"/>
      <c r="BB2097" s="10"/>
      <c r="BC2097" s="10"/>
      <c r="BD2097" s="10"/>
      <c r="BE2097" s="10"/>
      <c r="BF2097" s="10"/>
      <c r="BG2097" s="10"/>
      <c r="BH2097" s="10"/>
      <c r="BI2097" s="10"/>
      <c r="BJ2097" s="10"/>
      <c r="BK2097" s="10"/>
      <c r="BM2097" s="10"/>
    </row>
    <row r="2098" spans="1:65" ht="12.75">
      <c r="A2098" s="9"/>
      <c r="B2098" s="10"/>
      <c r="C2098" s="11"/>
      <c r="D2098" s="12"/>
      <c r="E2098" s="10"/>
      <c r="F2098" s="10"/>
      <c r="G2098" s="10"/>
      <c r="H2098" s="14"/>
      <c r="I2098" s="14"/>
      <c r="J2098" s="14"/>
      <c r="K2098" s="14"/>
      <c r="L2098" s="14"/>
      <c r="M2098" s="15"/>
      <c r="N2098" s="10"/>
      <c r="O2098" s="14"/>
      <c r="P2098" s="14"/>
      <c r="Q2098" s="14"/>
      <c r="R2098" s="14"/>
      <c r="S2098" s="14"/>
      <c r="T2098" s="14"/>
      <c r="U2098" s="14"/>
      <c r="V2098" s="14"/>
      <c r="W2098" s="14"/>
      <c r="X2098" s="14"/>
      <c r="Y2098" s="14"/>
      <c r="Z2098" s="14"/>
      <c r="AA2098" s="16"/>
      <c r="AB2098" s="10"/>
      <c r="AC2098" s="10"/>
      <c r="AD2098" s="10"/>
      <c r="AE2098" s="10"/>
      <c r="AF2098" s="10"/>
      <c r="AG2098" s="10"/>
      <c r="AH2098" s="10"/>
      <c r="AI2098" s="10"/>
      <c r="AJ2098" s="10"/>
      <c r="AK2098" s="10"/>
      <c r="AL2098" s="10"/>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0"/>
      <c r="BM2098" s="10"/>
    </row>
    <row r="2099" spans="1:65" ht="12.75">
      <c r="A2099" s="9"/>
      <c r="B2099" s="10"/>
      <c r="C2099" s="11"/>
      <c r="D2099" s="12"/>
      <c r="E2099" s="10"/>
      <c r="F2099" s="10"/>
      <c r="G2099" s="10"/>
      <c r="H2099" s="14"/>
      <c r="I2099" s="14"/>
      <c r="J2099" s="14"/>
      <c r="K2099" s="14"/>
      <c r="L2099" s="14"/>
      <c r="M2099" s="15"/>
      <c r="N2099" s="10"/>
      <c r="O2099" s="14"/>
      <c r="P2099" s="14"/>
      <c r="Q2099" s="14"/>
      <c r="R2099" s="14"/>
      <c r="S2099" s="14"/>
      <c r="T2099" s="14"/>
      <c r="U2099" s="14"/>
      <c r="V2099" s="14"/>
      <c r="W2099" s="14"/>
      <c r="X2099" s="14"/>
      <c r="Y2099" s="14"/>
      <c r="Z2099" s="14"/>
      <c r="AA2099" s="16"/>
      <c r="AB2099" s="10"/>
      <c r="AC2099" s="10"/>
      <c r="AD2099" s="10"/>
      <c r="AE2099" s="10"/>
      <c r="AF2099" s="10"/>
      <c r="AG2099" s="10"/>
      <c r="AH2099" s="10"/>
      <c r="AI2099" s="10"/>
      <c r="AJ2099" s="10"/>
      <c r="AK2099" s="10"/>
      <c r="AL2099" s="10"/>
      <c r="AM2099" s="10"/>
      <c r="AN2099" s="10"/>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0"/>
      <c r="BM2099" s="10"/>
    </row>
    <row r="2100" spans="1:65" ht="12.75">
      <c r="A2100" s="9"/>
      <c r="B2100" s="10"/>
      <c r="C2100" s="11"/>
      <c r="D2100" s="12"/>
      <c r="E2100" s="10"/>
      <c r="F2100" s="10"/>
      <c r="G2100" s="10"/>
      <c r="H2100" s="14"/>
      <c r="I2100" s="14"/>
      <c r="J2100" s="14"/>
      <c r="K2100" s="14"/>
      <c r="L2100" s="14"/>
      <c r="M2100" s="15"/>
      <c r="N2100" s="10"/>
      <c r="O2100" s="14"/>
      <c r="P2100" s="14"/>
      <c r="Q2100" s="14"/>
      <c r="R2100" s="14"/>
      <c r="S2100" s="14"/>
      <c r="T2100" s="14"/>
      <c r="U2100" s="14"/>
      <c r="V2100" s="14"/>
      <c r="W2100" s="14"/>
      <c r="X2100" s="14"/>
      <c r="Y2100" s="14"/>
      <c r="Z2100" s="14"/>
      <c r="AA2100" s="16"/>
      <c r="AB2100" s="10"/>
      <c r="AC2100" s="10"/>
      <c r="AD2100" s="10"/>
      <c r="AE2100" s="10"/>
      <c r="AF2100" s="10"/>
      <c r="AG2100" s="10"/>
      <c r="AH2100" s="10"/>
      <c r="AI2100" s="10"/>
      <c r="AJ2100" s="10"/>
      <c r="AK2100" s="10"/>
      <c r="AL2100" s="10"/>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0"/>
      <c r="BM2100" s="10"/>
    </row>
    <row r="2101" spans="1:65" ht="12.75">
      <c r="A2101" s="9"/>
      <c r="B2101" s="10"/>
      <c r="C2101" s="11"/>
      <c r="D2101" s="12"/>
      <c r="E2101" s="10"/>
      <c r="F2101" s="10"/>
      <c r="G2101" s="10"/>
      <c r="H2101" s="14"/>
      <c r="I2101" s="14"/>
      <c r="J2101" s="14"/>
      <c r="K2101" s="14"/>
      <c r="L2101" s="14"/>
      <c r="M2101" s="15"/>
      <c r="N2101" s="10"/>
      <c r="O2101" s="14"/>
      <c r="P2101" s="14"/>
      <c r="Q2101" s="14"/>
      <c r="R2101" s="14"/>
      <c r="S2101" s="14"/>
      <c r="T2101" s="14"/>
      <c r="U2101" s="14"/>
      <c r="V2101" s="14"/>
      <c r="W2101" s="14"/>
      <c r="X2101" s="14"/>
      <c r="Y2101" s="14"/>
      <c r="Z2101" s="14"/>
      <c r="AA2101" s="16"/>
      <c r="AB2101" s="10"/>
      <c r="AC2101" s="10"/>
      <c r="AD2101" s="10"/>
      <c r="AE2101" s="10"/>
      <c r="AF2101" s="10"/>
      <c r="AG2101" s="10"/>
      <c r="AH2101" s="10"/>
      <c r="AI2101" s="10"/>
      <c r="AJ2101" s="10"/>
      <c r="AK2101" s="10"/>
      <c r="AL2101" s="10"/>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10"/>
      <c r="BK2101" s="10"/>
      <c r="BM2101" s="10"/>
    </row>
    <row r="2102" spans="1:65" ht="12.75">
      <c r="A2102" s="9"/>
      <c r="B2102" s="10"/>
      <c r="C2102" s="11"/>
      <c r="D2102" s="12"/>
      <c r="E2102" s="10"/>
      <c r="F2102" s="10"/>
      <c r="G2102" s="10"/>
      <c r="H2102" s="14"/>
      <c r="I2102" s="14"/>
      <c r="J2102" s="14"/>
      <c r="K2102" s="14"/>
      <c r="L2102" s="14"/>
      <c r="M2102" s="15"/>
      <c r="N2102" s="10"/>
      <c r="O2102" s="14"/>
      <c r="P2102" s="14"/>
      <c r="Q2102" s="14"/>
      <c r="R2102" s="14"/>
      <c r="S2102" s="14"/>
      <c r="T2102" s="14"/>
      <c r="U2102" s="14"/>
      <c r="V2102" s="14"/>
      <c r="W2102" s="14"/>
      <c r="X2102" s="14"/>
      <c r="Y2102" s="14"/>
      <c r="Z2102" s="14"/>
      <c r="AA2102" s="16"/>
      <c r="AB2102" s="10"/>
      <c r="AC2102" s="10"/>
      <c r="AD2102" s="10"/>
      <c r="AE2102" s="10"/>
      <c r="AF2102" s="10"/>
      <c r="AG2102" s="10"/>
      <c r="AH2102" s="10"/>
      <c r="AI2102" s="10"/>
      <c r="AJ2102" s="10"/>
      <c r="AK2102" s="10"/>
      <c r="AL2102" s="10"/>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0"/>
      <c r="BM2102" s="10"/>
    </row>
    <row r="2103" spans="1:65" ht="12.75">
      <c r="A2103" s="9"/>
      <c r="B2103" s="10"/>
      <c r="C2103" s="11"/>
      <c r="D2103" s="12"/>
      <c r="E2103" s="10"/>
      <c r="F2103" s="10"/>
      <c r="G2103" s="10"/>
      <c r="H2103" s="14"/>
      <c r="I2103" s="14"/>
      <c r="J2103" s="14"/>
      <c r="K2103" s="14"/>
      <c r="L2103" s="14"/>
      <c r="M2103" s="15"/>
      <c r="N2103" s="10"/>
      <c r="O2103" s="14"/>
      <c r="P2103" s="14"/>
      <c r="Q2103" s="14"/>
      <c r="R2103" s="14"/>
      <c r="S2103" s="14"/>
      <c r="T2103" s="14"/>
      <c r="U2103" s="14"/>
      <c r="V2103" s="14"/>
      <c r="W2103" s="14"/>
      <c r="X2103" s="14"/>
      <c r="Y2103" s="14"/>
      <c r="Z2103" s="14"/>
      <c r="AA2103" s="16"/>
      <c r="AB2103" s="10"/>
      <c r="AC2103" s="10"/>
      <c r="AD2103" s="10"/>
      <c r="AE2103" s="10"/>
      <c r="AF2103" s="10"/>
      <c r="AG2103" s="10"/>
      <c r="AH2103" s="10"/>
      <c r="AI2103" s="10"/>
      <c r="AJ2103" s="10"/>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10"/>
      <c r="BK2103" s="10"/>
      <c r="BM2103" s="10"/>
    </row>
    <row r="2104" spans="1:65" ht="12.75">
      <c r="A2104" s="9"/>
      <c r="B2104" s="10"/>
      <c r="C2104" s="11"/>
      <c r="D2104" s="12"/>
      <c r="E2104" s="10"/>
      <c r="F2104" s="10"/>
      <c r="G2104" s="10"/>
      <c r="H2104" s="14"/>
      <c r="I2104" s="14"/>
      <c r="J2104" s="14"/>
      <c r="K2104" s="14"/>
      <c r="L2104" s="14"/>
      <c r="M2104" s="15"/>
      <c r="N2104" s="10"/>
      <c r="O2104" s="14"/>
      <c r="P2104" s="14"/>
      <c r="Q2104" s="14"/>
      <c r="R2104" s="14"/>
      <c r="S2104" s="14"/>
      <c r="T2104" s="14"/>
      <c r="U2104" s="14"/>
      <c r="V2104" s="14"/>
      <c r="W2104" s="14"/>
      <c r="X2104" s="14"/>
      <c r="Y2104" s="14"/>
      <c r="Z2104" s="14"/>
      <c r="AA2104" s="16"/>
      <c r="AB2104" s="10"/>
      <c r="AC2104" s="10"/>
      <c r="AD2104" s="10"/>
      <c r="AE2104" s="10"/>
      <c r="AF2104" s="10"/>
      <c r="AG2104" s="10"/>
      <c r="AH2104" s="10"/>
      <c r="AI2104" s="10"/>
      <c r="AJ2104" s="10"/>
      <c r="AK2104" s="10"/>
      <c r="AL2104" s="10"/>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0"/>
      <c r="BM2104" s="10"/>
    </row>
    <row r="2105" spans="1:65" ht="12.75">
      <c r="A2105" s="9"/>
      <c r="B2105" s="10"/>
      <c r="C2105" s="11"/>
      <c r="D2105" s="12"/>
      <c r="E2105" s="10"/>
      <c r="F2105" s="10"/>
      <c r="G2105" s="10"/>
      <c r="H2105" s="14"/>
      <c r="I2105" s="14"/>
      <c r="J2105" s="14"/>
      <c r="K2105" s="14"/>
      <c r="L2105" s="14"/>
      <c r="M2105" s="15"/>
      <c r="N2105" s="10"/>
      <c r="O2105" s="14"/>
      <c r="P2105" s="14"/>
      <c r="Q2105" s="14"/>
      <c r="R2105" s="14"/>
      <c r="S2105" s="14"/>
      <c r="T2105" s="14"/>
      <c r="U2105" s="14"/>
      <c r="V2105" s="14"/>
      <c r="W2105" s="14"/>
      <c r="X2105" s="14"/>
      <c r="Y2105" s="14"/>
      <c r="Z2105" s="14"/>
      <c r="AA2105" s="16"/>
      <c r="AB2105" s="10"/>
      <c r="AC2105" s="10"/>
      <c r="AD2105" s="10"/>
      <c r="AE2105" s="10"/>
      <c r="AF2105" s="10"/>
      <c r="AG2105" s="10"/>
      <c r="AH2105" s="10"/>
      <c r="AI2105" s="10"/>
      <c r="AJ2105" s="10"/>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M2105" s="10"/>
    </row>
    <row r="2106" spans="1:65" ht="12.75">
      <c r="A2106" s="9"/>
      <c r="B2106" s="10"/>
      <c r="C2106" s="11"/>
      <c r="D2106" s="12"/>
      <c r="E2106" s="10"/>
      <c r="F2106" s="10"/>
      <c r="G2106" s="10"/>
      <c r="H2106" s="14"/>
      <c r="I2106" s="14"/>
      <c r="J2106" s="14"/>
      <c r="K2106" s="14"/>
      <c r="L2106" s="14"/>
      <c r="M2106" s="15"/>
      <c r="N2106" s="10"/>
      <c r="O2106" s="14"/>
      <c r="P2106" s="14"/>
      <c r="Q2106" s="14"/>
      <c r="R2106" s="14"/>
      <c r="S2106" s="14"/>
      <c r="T2106" s="14"/>
      <c r="U2106" s="14"/>
      <c r="V2106" s="14"/>
      <c r="W2106" s="14"/>
      <c r="X2106" s="14"/>
      <c r="Y2106" s="14"/>
      <c r="Z2106" s="14"/>
      <c r="AA2106" s="16"/>
      <c r="AB2106" s="10"/>
      <c r="AC2106" s="10"/>
      <c r="AD2106" s="10"/>
      <c r="AE2106" s="10"/>
      <c r="AF2106" s="10"/>
      <c r="AG2106" s="10"/>
      <c r="AH2106" s="10"/>
      <c r="AI2106" s="10"/>
      <c r="AJ2106" s="10"/>
      <c r="AK2106" s="10"/>
      <c r="AL2106" s="10"/>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10"/>
      <c r="BK2106" s="10"/>
      <c r="BM2106" s="10"/>
    </row>
    <row r="2107" spans="1:65" ht="12.75">
      <c r="A2107" s="9"/>
      <c r="B2107" s="10"/>
      <c r="C2107" s="11"/>
      <c r="D2107" s="12"/>
      <c r="E2107" s="10"/>
      <c r="F2107" s="10"/>
      <c r="G2107" s="10"/>
      <c r="H2107" s="14"/>
      <c r="I2107" s="14"/>
      <c r="J2107" s="14"/>
      <c r="K2107" s="14"/>
      <c r="L2107" s="14"/>
      <c r="M2107" s="15"/>
      <c r="N2107" s="10"/>
      <c r="O2107" s="14"/>
      <c r="P2107" s="14"/>
      <c r="Q2107" s="14"/>
      <c r="R2107" s="14"/>
      <c r="S2107" s="14"/>
      <c r="T2107" s="14"/>
      <c r="U2107" s="14"/>
      <c r="V2107" s="14"/>
      <c r="W2107" s="14"/>
      <c r="X2107" s="14"/>
      <c r="Y2107" s="14"/>
      <c r="Z2107" s="14"/>
      <c r="AA2107" s="16"/>
      <c r="AB2107" s="10"/>
      <c r="AC2107" s="10"/>
      <c r="AD2107" s="10"/>
      <c r="AE2107" s="10"/>
      <c r="AF2107" s="10"/>
      <c r="AG2107" s="10"/>
      <c r="AH2107" s="10"/>
      <c r="AI2107" s="10"/>
      <c r="AJ2107" s="10"/>
      <c r="AK2107" s="10"/>
      <c r="AL2107" s="10"/>
      <c r="AM2107" s="10"/>
      <c r="AN2107" s="10"/>
      <c r="AO2107" s="10"/>
      <c r="AP2107" s="10"/>
      <c r="AQ2107" s="10"/>
      <c r="AR2107" s="10"/>
      <c r="AS2107" s="10"/>
      <c r="AT2107" s="10"/>
      <c r="AU2107" s="10"/>
      <c r="AV2107" s="10"/>
      <c r="AW2107" s="10"/>
      <c r="AX2107" s="10"/>
      <c r="AY2107" s="10"/>
      <c r="AZ2107" s="10"/>
      <c r="BA2107" s="10"/>
      <c r="BB2107" s="10"/>
      <c r="BC2107" s="10"/>
      <c r="BD2107" s="10"/>
      <c r="BE2107" s="10"/>
      <c r="BF2107" s="10"/>
      <c r="BG2107" s="10"/>
      <c r="BH2107" s="10"/>
      <c r="BI2107" s="10"/>
      <c r="BJ2107" s="10"/>
      <c r="BK2107" s="10"/>
      <c r="BM2107" s="10"/>
    </row>
    <row r="2108" spans="1:65" ht="12.75">
      <c r="A2108" s="9"/>
      <c r="B2108" s="10"/>
      <c r="C2108" s="11"/>
      <c r="D2108" s="12"/>
      <c r="E2108" s="10"/>
      <c r="F2108" s="10"/>
      <c r="G2108" s="10"/>
      <c r="H2108" s="14"/>
      <c r="I2108" s="14"/>
      <c r="J2108" s="14"/>
      <c r="K2108" s="14"/>
      <c r="L2108" s="14"/>
      <c r="M2108" s="15"/>
      <c r="N2108" s="10"/>
      <c r="O2108" s="14"/>
      <c r="P2108" s="14"/>
      <c r="Q2108" s="14"/>
      <c r="R2108" s="14"/>
      <c r="S2108" s="14"/>
      <c r="T2108" s="14"/>
      <c r="U2108" s="14"/>
      <c r="V2108" s="14"/>
      <c r="W2108" s="14"/>
      <c r="X2108" s="14"/>
      <c r="Y2108" s="14"/>
      <c r="Z2108" s="14"/>
      <c r="AA2108" s="16"/>
      <c r="AB2108" s="10"/>
      <c r="AC2108" s="10"/>
      <c r="AD2108" s="10"/>
      <c r="AE2108" s="10"/>
      <c r="AF2108" s="10"/>
      <c r="AG2108" s="10"/>
      <c r="AH2108" s="10"/>
      <c r="AI2108" s="10"/>
      <c r="AJ2108" s="10"/>
      <c r="AK2108" s="10"/>
      <c r="AL2108" s="1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M2108" s="10"/>
    </row>
    <row r="2109" spans="1:65" ht="12.75">
      <c r="A2109" s="9"/>
      <c r="B2109" s="10"/>
      <c r="C2109" s="11"/>
      <c r="D2109" s="12"/>
      <c r="E2109" s="10"/>
      <c r="F2109" s="10"/>
      <c r="G2109" s="10"/>
      <c r="H2109" s="14"/>
      <c r="I2109" s="14"/>
      <c r="J2109" s="14"/>
      <c r="K2109" s="14"/>
      <c r="L2109" s="14"/>
      <c r="M2109" s="15"/>
      <c r="N2109" s="10"/>
      <c r="O2109" s="14"/>
      <c r="P2109" s="14"/>
      <c r="Q2109" s="14"/>
      <c r="R2109" s="14"/>
      <c r="S2109" s="14"/>
      <c r="T2109" s="14"/>
      <c r="U2109" s="14"/>
      <c r="V2109" s="14"/>
      <c r="W2109" s="14"/>
      <c r="X2109" s="14"/>
      <c r="Y2109" s="14"/>
      <c r="Z2109" s="14"/>
      <c r="AA2109" s="16"/>
      <c r="AB2109" s="10"/>
      <c r="AC2109" s="10"/>
      <c r="AD2109" s="10"/>
      <c r="AE2109" s="10"/>
      <c r="AF2109" s="10"/>
      <c r="AG2109" s="10"/>
      <c r="AH2109" s="10"/>
      <c r="AI2109" s="10"/>
      <c r="AJ2109" s="10"/>
      <c r="AK2109" s="10"/>
      <c r="AL2109" s="10"/>
      <c r="AM2109" s="10"/>
      <c r="AN2109" s="10"/>
      <c r="AO2109" s="10"/>
      <c r="AP2109" s="10"/>
      <c r="AQ2109" s="10"/>
      <c r="AR2109" s="10"/>
      <c r="AS2109" s="10"/>
      <c r="AT2109" s="10"/>
      <c r="AU2109" s="10"/>
      <c r="AV2109" s="10"/>
      <c r="AW2109" s="10"/>
      <c r="AX2109" s="10"/>
      <c r="AY2109" s="10"/>
      <c r="AZ2109" s="10"/>
      <c r="BA2109" s="10"/>
      <c r="BB2109" s="10"/>
      <c r="BC2109" s="10"/>
      <c r="BD2109" s="10"/>
      <c r="BE2109" s="10"/>
      <c r="BF2109" s="10"/>
      <c r="BG2109" s="10"/>
      <c r="BH2109" s="10"/>
      <c r="BI2109" s="10"/>
      <c r="BJ2109" s="10"/>
      <c r="BK2109" s="10"/>
      <c r="BM2109" s="10"/>
    </row>
    <row r="2110" spans="1:65" ht="12.75">
      <c r="A2110" s="9"/>
      <c r="B2110" s="10"/>
      <c r="C2110" s="11"/>
      <c r="D2110" s="12"/>
      <c r="E2110" s="10"/>
      <c r="F2110" s="10"/>
      <c r="G2110" s="10"/>
      <c r="H2110" s="14"/>
      <c r="I2110" s="14"/>
      <c r="J2110" s="14"/>
      <c r="K2110" s="14"/>
      <c r="L2110" s="14"/>
      <c r="M2110" s="15"/>
      <c r="N2110" s="10"/>
      <c r="O2110" s="14"/>
      <c r="P2110" s="14"/>
      <c r="Q2110" s="14"/>
      <c r="R2110" s="14"/>
      <c r="S2110" s="14"/>
      <c r="T2110" s="14"/>
      <c r="U2110" s="14"/>
      <c r="V2110" s="14"/>
      <c r="W2110" s="14"/>
      <c r="X2110" s="14"/>
      <c r="Y2110" s="14"/>
      <c r="Z2110" s="14"/>
      <c r="AA2110" s="16"/>
      <c r="AB2110" s="10"/>
      <c r="AC2110" s="10"/>
      <c r="AD2110" s="10"/>
      <c r="AE2110" s="10"/>
      <c r="AF2110" s="10"/>
      <c r="AG2110" s="10"/>
      <c r="AH2110" s="10"/>
      <c r="AI2110" s="10"/>
      <c r="AJ2110" s="10"/>
      <c r="AK2110" s="10"/>
      <c r="AL2110" s="10"/>
      <c r="AM2110" s="10"/>
      <c r="AN2110" s="10"/>
      <c r="AO2110" s="10"/>
      <c r="AP2110" s="10"/>
      <c r="AQ2110" s="10"/>
      <c r="AR2110" s="10"/>
      <c r="AS2110" s="10"/>
      <c r="AT2110" s="10"/>
      <c r="AU2110" s="10"/>
      <c r="AV2110" s="10"/>
      <c r="AW2110" s="10"/>
      <c r="AX2110" s="10"/>
      <c r="AY2110" s="10"/>
      <c r="AZ2110" s="10"/>
      <c r="BA2110" s="10"/>
      <c r="BB2110" s="10"/>
      <c r="BC2110" s="10"/>
      <c r="BD2110" s="10"/>
      <c r="BE2110" s="10"/>
      <c r="BF2110" s="10"/>
      <c r="BG2110" s="10"/>
      <c r="BH2110" s="10"/>
      <c r="BI2110" s="10"/>
      <c r="BJ2110" s="10"/>
      <c r="BK2110" s="10"/>
      <c r="BM2110" s="10"/>
    </row>
    <row r="2111" spans="1:65" ht="12.75">
      <c r="A2111" s="9"/>
      <c r="B2111" s="10"/>
      <c r="C2111" s="11"/>
      <c r="D2111" s="12"/>
      <c r="E2111" s="10"/>
      <c r="F2111" s="10"/>
      <c r="G2111" s="10"/>
      <c r="H2111" s="14"/>
      <c r="I2111" s="14"/>
      <c r="J2111" s="14"/>
      <c r="K2111" s="14"/>
      <c r="L2111" s="14"/>
      <c r="M2111" s="15"/>
      <c r="N2111" s="10"/>
      <c r="O2111" s="14"/>
      <c r="P2111" s="14"/>
      <c r="Q2111" s="14"/>
      <c r="R2111" s="14"/>
      <c r="S2111" s="14"/>
      <c r="T2111" s="14"/>
      <c r="U2111" s="14"/>
      <c r="V2111" s="14"/>
      <c r="W2111" s="14"/>
      <c r="X2111" s="14"/>
      <c r="Y2111" s="14"/>
      <c r="Z2111" s="14"/>
      <c r="AA2111" s="16"/>
      <c r="AB2111" s="10"/>
      <c r="AC2111" s="10"/>
      <c r="AD2111" s="10"/>
      <c r="AE2111" s="10"/>
      <c r="AF2111" s="10"/>
      <c r="AG2111" s="10"/>
      <c r="AH2111" s="10"/>
      <c r="AI2111" s="10"/>
      <c r="AJ2111" s="10"/>
      <c r="AK2111" s="10"/>
      <c r="AL2111" s="10"/>
      <c r="AM2111" s="10"/>
      <c r="AN2111" s="10"/>
      <c r="AO2111" s="10"/>
      <c r="AP2111" s="10"/>
      <c r="AQ2111" s="10"/>
      <c r="AR2111" s="10"/>
      <c r="AS2111" s="10"/>
      <c r="AT2111" s="10"/>
      <c r="AU2111" s="10"/>
      <c r="AV2111" s="10"/>
      <c r="AW2111" s="10"/>
      <c r="AX2111" s="10"/>
      <c r="AY2111" s="10"/>
      <c r="AZ2111" s="10"/>
      <c r="BA2111" s="10"/>
      <c r="BB2111" s="10"/>
      <c r="BC2111" s="10"/>
      <c r="BD2111" s="10"/>
      <c r="BE2111" s="10"/>
      <c r="BF2111" s="10"/>
      <c r="BG2111" s="10"/>
      <c r="BH2111" s="10"/>
      <c r="BI2111" s="10"/>
      <c r="BJ2111" s="10"/>
      <c r="BK2111" s="10"/>
      <c r="BM2111" s="10"/>
    </row>
    <row r="2112" spans="1:65" ht="12.75">
      <c r="A2112" s="9"/>
      <c r="B2112" s="10"/>
      <c r="C2112" s="11"/>
      <c r="D2112" s="12"/>
      <c r="E2112" s="10"/>
      <c r="F2112" s="10"/>
      <c r="G2112" s="10"/>
      <c r="H2112" s="14"/>
      <c r="I2112" s="14"/>
      <c r="J2112" s="14"/>
      <c r="K2112" s="14"/>
      <c r="L2112" s="14"/>
      <c r="M2112" s="15"/>
      <c r="N2112" s="10"/>
      <c r="O2112" s="14"/>
      <c r="P2112" s="14"/>
      <c r="Q2112" s="14"/>
      <c r="R2112" s="14"/>
      <c r="S2112" s="14"/>
      <c r="T2112" s="14"/>
      <c r="U2112" s="14"/>
      <c r="V2112" s="14"/>
      <c r="W2112" s="14"/>
      <c r="X2112" s="14"/>
      <c r="Y2112" s="14"/>
      <c r="Z2112" s="14"/>
      <c r="AA2112" s="16"/>
      <c r="AB2112" s="10"/>
      <c r="AC2112" s="10"/>
      <c r="AD2112" s="10"/>
      <c r="AE2112" s="10"/>
      <c r="AF2112" s="10"/>
      <c r="AG2112" s="10"/>
      <c r="AH2112" s="10"/>
      <c r="AI2112" s="10"/>
      <c r="AJ2112" s="10"/>
      <c r="AK2112" s="10"/>
      <c r="AL2112" s="10"/>
      <c r="AM2112" s="10"/>
      <c r="AN2112" s="10"/>
      <c r="AO2112" s="10"/>
      <c r="AP2112" s="10"/>
      <c r="AQ2112" s="10"/>
      <c r="AR2112" s="10"/>
      <c r="AS2112" s="10"/>
      <c r="AT2112" s="10"/>
      <c r="AU2112" s="10"/>
      <c r="AV2112" s="10"/>
      <c r="AW2112" s="10"/>
      <c r="AX2112" s="10"/>
      <c r="AY2112" s="10"/>
      <c r="AZ2112" s="10"/>
      <c r="BA2112" s="10"/>
      <c r="BB2112" s="10"/>
      <c r="BC2112" s="10"/>
      <c r="BD2112" s="10"/>
      <c r="BE2112" s="10"/>
      <c r="BF2112" s="10"/>
      <c r="BG2112" s="10"/>
      <c r="BH2112" s="10"/>
      <c r="BI2112" s="10"/>
      <c r="BJ2112" s="10"/>
      <c r="BK2112" s="10"/>
      <c r="BM2112" s="10"/>
    </row>
    <row r="2113" spans="1:65" ht="12.75">
      <c r="A2113" s="9"/>
      <c r="B2113" s="10"/>
      <c r="C2113" s="11"/>
      <c r="D2113" s="12"/>
      <c r="E2113" s="10"/>
      <c r="F2113" s="10"/>
      <c r="G2113" s="10"/>
      <c r="H2113" s="14"/>
      <c r="I2113" s="14"/>
      <c r="J2113" s="14"/>
      <c r="K2113" s="14"/>
      <c r="L2113" s="14"/>
      <c r="M2113" s="15"/>
      <c r="N2113" s="10"/>
      <c r="O2113" s="14"/>
      <c r="P2113" s="14"/>
      <c r="Q2113" s="14"/>
      <c r="R2113" s="14"/>
      <c r="S2113" s="14"/>
      <c r="T2113" s="14"/>
      <c r="U2113" s="14"/>
      <c r="V2113" s="14"/>
      <c r="W2113" s="14"/>
      <c r="X2113" s="14"/>
      <c r="Y2113" s="14"/>
      <c r="Z2113" s="14"/>
      <c r="AA2113" s="16"/>
      <c r="AB2113" s="10"/>
      <c r="AC2113" s="10"/>
      <c r="AD2113" s="10"/>
      <c r="AE2113" s="10"/>
      <c r="AF2113" s="10"/>
      <c r="AG2113" s="10"/>
      <c r="AH2113" s="10"/>
      <c r="AI2113" s="10"/>
      <c r="AJ2113" s="10"/>
      <c r="AK2113" s="10"/>
      <c r="AL2113" s="10"/>
      <c r="AM2113" s="10"/>
      <c r="AN2113" s="10"/>
      <c r="AO2113" s="10"/>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10"/>
      <c r="BK2113" s="10"/>
      <c r="BM2113" s="10"/>
    </row>
    <row r="2114" spans="1:65" ht="12.75">
      <c r="A2114" s="9"/>
      <c r="B2114" s="10"/>
      <c r="C2114" s="11"/>
      <c r="D2114" s="12"/>
      <c r="E2114" s="10"/>
      <c r="F2114" s="10"/>
      <c r="G2114" s="10"/>
      <c r="H2114" s="14"/>
      <c r="I2114" s="14"/>
      <c r="J2114" s="14"/>
      <c r="K2114" s="14"/>
      <c r="L2114" s="14"/>
      <c r="M2114" s="15"/>
      <c r="N2114" s="10"/>
      <c r="O2114" s="14"/>
      <c r="P2114" s="14"/>
      <c r="Q2114" s="14"/>
      <c r="R2114" s="14"/>
      <c r="S2114" s="14"/>
      <c r="T2114" s="14"/>
      <c r="U2114" s="14"/>
      <c r="V2114" s="14"/>
      <c r="W2114" s="14"/>
      <c r="X2114" s="14"/>
      <c r="Y2114" s="14"/>
      <c r="Z2114" s="14"/>
      <c r="AA2114" s="16"/>
      <c r="AB2114" s="10"/>
      <c r="AC2114" s="10"/>
      <c r="AD2114" s="10"/>
      <c r="AE2114" s="10"/>
      <c r="AF2114" s="10"/>
      <c r="AG2114" s="10"/>
      <c r="AH2114" s="10"/>
      <c r="AI2114" s="10"/>
      <c r="AJ2114" s="10"/>
      <c r="AK2114" s="10"/>
      <c r="AL2114" s="10"/>
      <c r="AM2114" s="10"/>
      <c r="AN2114" s="10"/>
      <c r="AO2114" s="10"/>
      <c r="AP2114" s="10"/>
      <c r="AQ2114" s="10"/>
      <c r="AR2114" s="10"/>
      <c r="AS2114" s="10"/>
      <c r="AT2114" s="10"/>
      <c r="AU2114" s="10"/>
      <c r="AV2114" s="10"/>
      <c r="AW2114" s="10"/>
      <c r="AX2114" s="10"/>
      <c r="AY2114" s="10"/>
      <c r="AZ2114" s="10"/>
      <c r="BA2114" s="10"/>
      <c r="BB2114" s="10"/>
      <c r="BC2114" s="10"/>
      <c r="BD2114" s="10"/>
      <c r="BE2114" s="10"/>
      <c r="BF2114" s="10"/>
      <c r="BG2114" s="10"/>
      <c r="BH2114" s="10"/>
      <c r="BI2114" s="10"/>
      <c r="BJ2114" s="10"/>
      <c r="BK2114" s="10"/>
      <c r="BM2114" s="10"/>
    </row>
    <row r="2115" spans="1:65" ht="12.75">
      <c r="A2115" s="9"/>
      <c r="B2115" s="10"/>
      <c r="C2115" s="11"/>
      <c r="D2115" s="12"/>
      <c r="E2115" s="10"/>
      <c r="F2115" s="10"/>
      <c r="G2115" s="10"/>
      <c r="H2115" s="14"/>
      <c r="I2115" s="14"/>
      <c r="J2115" s="14"/>
      <c r="K2115" s="14"/>
      <c r="L2115" s="14"/>
      <c r="M2115" s="15"/>
      <c r="N2115" s="10"/>
      <c r="O2115" s="14"/>
      <c r="P2115" s="14"/>
      <c r="Q2115" s="14"/>
      <c r="R2115" s="14"/>
      <c r="S2115" s="14"/>
      <c r="T2115" s="14"/>
      <c r="U2115" s="14"/>
      <c r="V2115" s="14"/>
      <c r="W2115" s="14"/>
      <c r="X2115" s="14"/>
      <c r="Y2115" s="14"/>
      <c r="Z2115" s="14"/>
      <c r="AA2115" s="16"/>
      <c r="AB2115" s="10"/>
      <c r="AC2115" s="10"/>
      <c r="AD2115" s="10"/>
      <c r="AE2115" s="10"/>
      <c r="AF2115" s="10"/>
      <c r="AG2115" s="10"/>
      <c r="AH2115" s="10"/>
      <c r="AI2115" s="10"/>
      <c r="AJ2115" s="10"/>
      <c r="AK2115" s="10"/>
      <c r="AL2115" s="10"/>
      <c r="AM2115" s="10"/>
      <c r="AN2115" s="10"/>
      <c r="AO2115" s="10"/>
      <c r="AP2115" s="10"/>
      <c r="AQ2115" s="10"/>
      <c r="AR2115" s="10"/>
      <c r="AS2115" s="10"/>
      <c r="AT2115" s="10"/>
      <c r="AU2115" s="10"/>
      <c r="AV2115" s="10"/>
      <c r="AW2115" s="10"/>
      <c r="AX2115" s="10"/>
      <c r="AY2115" s="10"/>
      <c r="AZ2115" s="10"/>
      <c r="BA2115" s="10"/>
      <c r="BB2115" s="10"/>
      <c r="BC2115" s="10"/>
      <c r="BD2115" s="10"/>
      <c r="BE2115" s="10"/>
      <c r="BF2115" s="10"/>
      <c r="BG2115" s="10"/>
      <c r="BH2115" s="10"/>
      <c r="BI2115" s="10"/>
      <c r="BJ2115" s="10"/>
      <c r="BK2115" s="10"/>
      <c r="BM2115" s="10"/>
    </row>
    <row r="2116" spans="1:65" ht="12.75">
      <c r="A2116" s="9"/>
      <c r="B2116" s="10"/>
      <c r="C2116" s="11"/>
      <c r="D2116" s="12"/>
      <c r="E2116" s="10"/>
      <c r="F2116" s="10"/>
      <c r="G2116" s="10"/>
      <c r="H2116" s="14"/>
      <c r="I2116" s="14"/>
      <c r="J2116" s="14"/>
      <c r="K2116" s="14"/>
      <c r="L2116" s="14"/>
      <c r="M2116" s="15"/>
      <c r="N2116" s="10"/>
      <c r="O2116" s="14"/>
      <c r="P2116" s="14"/>
      <c r="Q2116" s="14"/>
      <c r="R2116" s="14"/>
      <c r="S2116" s="14"/>
      <c r="T2116" s="14"/>
      <c r="U2116" s="14"/>
      <c r="V2116" s="14"/>
      <c r="W2116" s="14"/>
      <c r="X2116" s="14"/>
      <c r="Y2116" s="14"/>
      <c r="Z2116" s="14"/>
      <c r="AA2116" s="16"/>
      <c r="AB2116" s="10"/>
      <c r="AC2116" s="10"/>
      <c r="AD2116" s="10"/>
      <c r="AE2116" s="10"/>
      <c r="AF2116" s="10"/>
      <c r="AG2116" s="10"/>
      <c r="AH2116" s="10"/>
      <c r="AI2116" s="10"/>
      <c r="AJ2116" s="10"/>
      <c r="AK2116" s="10"/>
      <c r="AL2116" s="10"/>
      <c r="AM2116" s="10"/>
      <c r="AN2116" s="10"/>
      <c r="AO2116" s="10"/>
      <c r="AP2116" s="10"/>
      <c r="AQ2116" s="10"/>
      <c r="AR2116" s="10"/>
      <c r="AS2116" s="10"/>
      <c r="AT2116" s="10"/>
      <c r="AU2116" s="10"/>
      <c r="AV2116" s="10"/>
      <c r="AW2116" s="10"/>
      <c r="AX2116" s="10"/>
      <c r="AY2116" s="10"/>
      <c r="AZ2116" s="10"/>
      <c r="BA2116" s="10"/>
      <c r="BB2116" s="10"/>
      <c r="BC2116" s="10"/>
      <c r="BD2116" s="10"/>
      <c r="BE2116" s="10"/>
      <c r="BF2116" s="10"/>
      <c r="BG2116" s="10"/>
      <c r="BH2116" s="10"/>
      <c r="BI2116" s="10"/>
      <c r="BJ2116" s="10"/>
      <c r="BK2116" s="10"/>
      <c r="BM2116" s="10"/>
    </row>
    <row r="2117" spans="1:65" ht="12.75">
      <c r="A2117" s="9"/>
      <c r="B2117" s="10"/>
      <c r="C2117" s="11"/>
      <c r="D2117" s="12"/>
      <c r="E2117" s="10"/>
      <c r="F2117" s="10"/>
      <c r="G2117" s="10"/>
      <c r="H2117" s="14"/>
      <c r="I2117" s="14"/>
      <c r="J2117" s="14"/>
      <c r="K2117" s="14"/>
      <c r="L2117" s="14"/>
      <c r="M2117" s="15"/>
      <c r="N2117" s="10"/>
      <c r="O2117" s="14"/>
      <c r="P2117" s="14"/>
      <c r="Q2117" s="14"/>
      <c r="R2117" s="14"/>
      <c r="S2117" s="14"/>
      <c r="T2117" s="14"/>
      <c r="U2117" s="14"/>
      <c r="V2117" s="14"/>
      <c r="W2117" s="14"/>
      <c r="X2117" s="14"/>
      <c r="Y2117" s="14"/>
      <c r="Z2117" s="14"/>
      <c r="AA2117" s="16"/>
      <c r="AB2117" s="10"/>
      <c r="AC2117" s="10"/>
      <c r="AD2117" s="10"/>
      <c r="AE2117" s="10"/>
      <c r="AF2117" s="10"/>
      <c r="AG2117" s="10"/>
      <c r="AH2117" s="10"/>
      <c r="AI2117" s="10"/>
      <c r="AJ2117" s="10"/>
      <c r="AK2117" s="10"/>
      <c r="AL2117" s="10"/>
      <c r="AM2117" s="10"/>
      <c r="AN2117" s="10"/>
      <c r="AO2117" s="10"/>
      <c r="AP2117" s="10"/>
      <c r="AQ2117" s="10"/>
      <c r="AR2117" s="10"/>
      <c r="AS2117" s="10"/>
      <c r="AT2117" s="10"/>
      <c r="AU2117" s="10"/>
      <c r="AV2117" s="10"/>
      <c r="AW2117" s="10"/>
      <c r="AX2117" s="10"/>
      <c r="AY2117" s="10"/>
      <c r="AZ2117" s="10"/>
      <c r="BA2117" s="10"/>
      <c r="BB2117" s="10"/>
      <c r="BC2117" s="10"/>
      <c r="BD2117" s="10"/>
      <c r="BE2117" s="10"/>
      <c r="BF2117" s="10"/>
      <c r="BG2117" s="10"/>
      <c r="BH2117" s="10"/>
      <c r="BI2117" s="10"/>
      <c r="BJ2117" s="10"/>
      <c r="BK2117" s="10"/>
      <c r="BM2117" s="10"/>
    </row>
    <row r="2118" spans="1:65" ht="12.75">
      <c r="A2118" s="9"/>
      <c r="B2118" s="10"/>
      <c r="C2118" s="11"/>
      <c r="D2118" s="12"/>
      <c r="E2118" s="10"/>
      <c r="F2118" s="10"/>
      <c r="G2118" s="10"/>
      <c r="H2118" s="14"/>
      <c r="I2118" s="14"/>
      <c r="J2118" s="14"/>
      <c r="K2118" s="14"/>
      <c r="L2118" s="14"/>
      <c r="M2118" s="15"/>
      <c r="N2118" s="10"/>
      <c r="O2118" s="14"/>
      <c r="P2118" s="14"/>
      <c r="Q2118" s="14"/>
      <c r="R2118" s="14"/>
      <c r="S2118" s="14"/>
      <c r="T2118" s="14"/>
      <c r="U2118" s="14"/>
      <c r="V2118" s="14"/>
      <c r="W2118" s="14"/>
      <c r="X2118" s="14"/>
      <c r="Y2118" s="14"/>
      <c r="Z2118" s="14"/>
      <c r="AA2118" s="16"/>
      <c r="AB2118" s="10"/>
      <c r="AC2118" s="10"/>
      <c r="AD2118" s="10"/>
      <c r="AE2118" s="10"/>
      <c r="AF2118" s="10"/>
      <c r="AG2118" s="10"/>
      <c r="AH2118" s="10"/>
      <c r="AI2118" s="10"/>
      <c r="AJ2118" s="10"/>
      <c r="AK2118" s="10"/>
      <c r="AL2118" s="10"/>
      <c r="AM2118" s="10"/>
      <c r="AN2118" s="10"/>
      <c r="AO2118" s="10"/>
      <c r="AP2118" s="10"/>
      <c r="AQ2118" s="10"/>
      <c r="AR2118" s="10"/>
      <c r="AS2118" s="10"/>
      <c r="AT2118" s="10"/>
      <c r="AU2118" s="10"/>
      <c r="AV2118" s="10"/>
      <c r="AW2118" s="10"/>
      <c r="AX2118" s="10"/>
      <c r="AY2118" s="10"/>
      <c r="AZ2118" s="10"/>
      <c r="BA2118" s="10"/>
      <c r="BB2118" s="10"/>
      <c r="BC2118" s="10"/>
      <c r="BD2118" s="10"/>
      <c r="BE2118" s="10"/>
      <c r="BF2118" s="10"/>
      <c r="BG2118" s="10"/>
      <c r="BH2118" s="10"/>
      <c r="BI2118" s="10"/>
      <c r="BJ2118" s="10"/>
      <c r="BK2118" s="10"/>
      <c r="BM2118" s="10"/>
    </row>
    <row r="2119" spans="1:65" ht="12.75">
      <c r="A2119" s="9"/>
      <c r="B2119" s="10"/>
      <c r="C2119" s="11"/>
      <c r="D2119" s="12"/>
      <c r="E2119" s="10"/>
      <c r="F2119" s="10"/>
      <c r="G2119" s="10"/>
      <c r="H2119" s="14"/>
      <c r="I2119" s="14"/>
      <c r="J2119" s="14"/>
      <c r="K2119" s="14"/>
      <c r="L2119" s="14"/>
      <c r="M2119" s="15"/>
      <c r="N2119" s="10"/>
      <c r="O2119" s="14"/>
      <c r="P2119" s="14"/>
      <c r="Q2119" s="14"/>
      <c r="R2119" s="14"/>
      <c r="S2119" s="14"/>
      <c r="T2119" s="14"/>
      <c r="U2119" s="14"/>
      <c r="V2119" s="14"/>
      <c r="W2119" s="14"/>
      <c r="X2119" s="14"/>
      <c r="Y2119" s="14"/>
      <c r="Z2119" s="14"/>
      <c r="AA2119" s="16"/>
      <c r="AB2119" s="10"/>
      <c r="AC2119" s="10"/>
      <c r="AD2119" s="10"/>
      <c r="AE2119" s="10"/>
      <c r="AF2119" s="10"/>
      <c r="AG2119" s="10"/>
      <c r="AH2119" s="10"/>
      <c r="AI2119" s="10"/>
      <c r="AJ2119" s="10"/>
      <c r="AK2119" s="10"/>
      <c r="AL2119" s="10"/>
      <c r="AM2119" s="10"/>
      <c r="AN2119" s="10"/>
      <c r="AO2119" s="10"/>
      <c r="AP2119" s="10"/>
      <c r="AQ2119" s="10"/>
      <c r="AR2119" s="10"/>
      <c r="AS2119" s="10"/>
      <c r="AT2119" s="10"/>
      <c r="AU2119" s="10"/>
      <c r="AV2119" s="10"/>
      <c r="AW2119" s="10"/>
      <c r="AX2119" s="10"/>
      <c r="AY2119" s="10"/>
      <c r="AZ2119" s="10"/>
      <c r="BA2119" s="10"/>
      <c r="BB2119" s="10"/>
      <c r="BC2119" s="10"/>
      <c r="BD2119" s="10"/>
      <c r="BE2119" s="10"/>
      <c r="BF2119" s="10"/>
      <c r="BG2119" s="10"/>
      <c r="BH2119" s="10"/>
      <c r="BI2119" s="10"/>
      <c r="BJ2119" s="10"/>
      <c r="BK2119" s="10"/>
      <c r="BM2119" s="10"/>
    </row>
    <row r="2120" spans="1:65" ht="12.75">
      <c r="A2120" s="9"/>
      <c r="B2120" s="10"/>
      <c r="C2120" s="11"/>
      <c r="D2120" s="12"/>
      <c r="E2120" s="10"/>
      <c r="F2120" s="10"/>
      <c r="G2120" s="10"/>
      <c r="H2120" s="14"/>
      <c r="I2120" s="14"/>
      <c r="J2120" s="14"/>
      <c r="K2120" s="14"/>
      <c r="L2120" s="14"/>
      <c r="M2120" s="15"/>
      <c r="N2120" s="10"/>
      <c r="O2120" s="14"/>
      <c r="P2120" s="14"/>
      <c r="Q2120" s="14"/>
      <c r="R2120" s="14"/>
      <c r="S2120" s="14"/>
      <c r="T2120" s="14"/>
      <c r="U2120" s="14"/>
      <c r="V2120" s="14"/>
      <c r="W2120" s="14"/>
      <c r="X2120" s="14"/>
      <c r="Y2120" s="14"/>
      <c r="Z2120" s="14"/>
      <c r="AA2120" s="16"/>
      <c r="AB2120" s="10"/>
      <c r="AC2120" s="10"/>
      <c r="AD2120" s="10"/>
      <c r="AE2120" s="10"/>
      <c r="AF2120" s="10"/>
      <c r="AG2120" s="10"/>
      <c r="AH2120" s="10"/>
      <c r="AI2120" s="10"/>
      <c r="AJ2120" s="10"/>
      <c r="AK2120" s="10"/>
      <c r="AL2120" s="10"/>
      <c r="AM2120" s="10"/>
      <c r="AN2120" s="10"/>
      <c r="AO2120" s="10"/>
      <c r="AP2120" s="10"/>
      <c r="AQ2120" s="10"/>
      <c r="AR2120" s="10"/>
      <c r="AS2120" s="10"/>
      <c r="AT2120" s="10"/>
      <c r="AU2120" s="10"/>
      <c r="AV2120" s="10"/>
      <c r="AW2120" s="10"/>
      <c r="AX2120" s="10"/>
      <c r="AY2120" s="10"/>
      <c r="AZ2120" s="10"/>
      <c r="BA2120" s="10"/>
      <c r="BB2120" s="10"/>
      <c r="BC2120" s="10"/>
      <c r="BD2120" s="10"/>
      <c r="BE2120" s="10"/>
      <c r="BF2120" s="10"/>
      <c r="BG2120" s="10"/>
      <c r="BH2120" s="10"/>
      <c r="BI2120" s="10"/>
      <c r="BJ2120" s="10"/>
      <c r="BK2120" s="10"/>
      <c r="BM2120" s="10"/>
    </row>
    <row r="2121" spans="1:65" ht="12.75">
      <c r="A2121" s="9"/>
      <c r="B2121" s="10"/>
      <c r="C2121" s="11"/>
      <c r="D2121" s="12"/>
      <c r="E2121" s="10"/>
      <c r="F2121" s="10"/>
      <c r="G2121" s="10"/>
      <c r="H2121" s="14"/>
      <c r="I2121" s="14"/>
      <c r="J2121" s="14"/>
      <c r="K2121" s="14"/>
      <c r="L2121" s="14"/>
      <c r="M2121" s="15"/>
      <c r="N2121" s="10"/>
      <c r="O2121" s="14"/>
      <c r="P2121" s="14"/>
      <c r="Q2121" s="14"/>
      <c r="R2121" s="14"/>
      <c r="S2121" s="14"/>
      <c r="T2121" s="14"/>
      <c r="U2121" s="14"/>
      <c r="V2121" s="14"/>
      <c r="W2121" s="14"/>
      <c r="X2121" s="14"/>
      <c r="Y2121" s="14"/>
      <c r="Z2121" s="14"/>
      <c r="AA2121" s="16"/>
      <c r="AB2121" s="10"/>
      <c r="AC2121" s="10"/>
      <c r="AD2121" s="10"/>
      <c r="AE2121" s="10"/>
      <c r="AF2121" s="10"/>
      <c r="AG2121" s="10"/>
      <c r="AH2121" s="10"/>
      <c r="AI2121" s="10"/>
      <c r="AJ2121" s="10"/>
      <c r="AK2121" s="10"/>
      <c r="AL2121" s="10"/>
      <c r="AM2121" s="10"/>
      <c r="AN2121" s="10"/>
      <c r="AO2121" s="10"/>
      <c r="AP2121" s="10"/>
      <c r="AQ2121" s="10"/>
      <c r="AR2121" s="10"/>
      <c r="AS2121" s="10"/>
      <c r="AT2121" s="10"/>
      <c r="AU2121" s="10"/>
      <c r="AV2121" s="10"/>
      <c r="AW2121" s="10"/>
      <c r="AX2121" s="10"/>
      <c r="AY2121" s="10"/>
      <c r="AZ2121" s="10"/>
      <c r="BA2121" s="10"/>
      <c r="BB2121" s="10"/>
      <c r="BC2121" s="10"/>
      <c r="BD2121" s="10"/>
      <c r="BE2121" s="10"/>
      <c r="BF2121" s="10"/>
      <c r="BG2121" s="10"/>
      <c r="BH2121" s="10"/>
      <c r="BI2121" s="10"/>
      <c r="BJ2121" s="10"/>
      <c r="BK2121" s="10"/>
      <c r="BM2121" s="10"/>
    </row>
    <row r="2122" spans="1:65" ht="12.75">
      <c r="A2122" s="9"/>
      <c r="B2122" s="10"/>
      <c r="C2122" s="11"/>
      <c r="D2122" s="12"/>
      <c r="E2122" s="10"/>
      <c r="F2122" s="10"/>
      <c r="G2122" s="10"/>
      <c r="H2122" s="14"/>
      <c r="I2122" s="14"/>
      <c r="J2122" s="14"/>
      <c r="K2122" s="14"/>
      <c r="L2122" s="14"/>
      <c r="M2122" s="15"/>
      <c r="N2122" s="10"/>
      <c r="O2122" s="14"/>
      <c r="P2122" s="14"/>
      <c r="Q2122" s="14"/>
      <c r="R2122" s="14"/>
      <c r="S2122" s="14"/>
      <c r="T2122" s="14"/>
      <c r="U2122" s="14"/>
      <c r="V2122" s="14"/>
      <c r="W2122" s="14"/>
      <c r="X2122" s="14"/>
      <c r="Y2122" s="14"/>
      <c r="Z2122" s="14"/>
      <c r="AA2122" s="16"/>
      <c r="AB2122" s="10"/>
      <c r="AC2122" s="10"/>
      <c r="AD2122" s="10"/>
      <c r="AE2122" s="10"/>
      <c r="AF2122" s="10"/>
      <c r="AG2122" s="10"/>
      <c r="AH2122" s="10"/>
      <c r="AI2122" s="10"/>
      <c r="AJ2122" s="10"/>
      <c r="AK2122" s="10"/>
      <c r="AL2122" s="10"/>
      <c r="AM2122" s="10"/>
      <c r="AN2122" s="10"/>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10"/>
      <c r="BK2122" s="10"/>
      <c r="BM2122" s="10"/>
    </row>
    <row r="2123" spans="1:65" ht="12.75">
      <c r="A2123" s="9"/>
      <c r="B2123" s="10"/>
      <c r="C2123" s="11"/>
      <c r="D2123" s="12"/>
      <c r="E2123" s="10"/>
      <c r="F2123" s="10"/>
      <c r="G2123" s="10"/>
      <c r="H2123" s="14"/>
      <c r="I2123" s="14"/>
      <c r="J2123" s="14"/>
      <c r="K2123" s="14"/>
      <c r="L2123" s="14"/>
      <c r="M2123" s="15"/>
      <c r="N2123" s="10"/>
      <c r="O2123" s="14"/>
      <c r="P2123" s="14"/>
      <c r="Q2123" s="14"/>
      <c r="R2123" s="14"/>
      <c r="S2123" s="14"/>
      <c r="T2123" s="14"/>
      <c r="U2123" s="14"/>
      <c r="V2123" s="14"/>
      <c r="W2123" s="14"/>
      <c r="X2123" s="14"/>
      <c r="Y2123" s="14"/>
      <c r="Z2123" s="14"/>
      <c r="AA2123" s="16"/>
      <c r="AB2123" s="10"/>
      <c r="AC2123" s="10"/>
      <c r="AD2123" s="10"/>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M2123" s="10"/>
    </row>
    <row r="2124" spans="1:65" ht="12.75">
      <c r="A2124" s="9"/>
      <c r="B2124" s="10"/>
      <c r="C2124" s="11"/>
      <c r="D2124" s="12"/>
      <c r="E2124" s="10"/>
      <c r="F2124" s="10"/>
      <c r="G2124" s="10"/>
      <c r="H2124" s="14"/>
      <c r="I2124" s="14"/>
      <c r="J2124" s="14"/>
      <c r="K2124" s="14"/>
      <c r="L2124" s="14"/>
      <c r="M2124" s="15"/>
      <c r="N2124" s="10"/>
      <c r="O2124" s="14"/>
      <c r="P2124" s="14"/>
      <c r="Q2124" s="14"/>
      <c r="R2124" s="14"/>
      <c r="S2124" s="14"/>
      <c r="T2124" s="14"/>
      <c r="U2124" s="14"/>
      <c r="V2124" s="14"/>
      <c r="W2124" s="14"/>
      <c r="X2124" s="14"/>
      <c r="Y2124" s="14"/>
      <c r="Z2124" s="14"/>
      <c r="AA2124" s="16"/>
      <c r="AB2124" s="10"/>
      <c r="AC2124" s="10"/>
      <c r="AD2124" s="10"/>
      <c r="AE2124" s="10"/>
      <c r="AF2124" s="10"/>
      <c r="AG2124" s="10"/>
      <c r="AH2124" s="10"/>
      <c r="AI2124" s="10"/>
      <c r="AJ2124" s="10"/>
      <c r="AK2124" s="10"/>
      <c r="AL2124" s="10"/>
      <c r="AM2124" s="10"/>
      <c r="AN2124" s="10"/>
      <c r="AO2124" s="10"/>
      <c r="AP2124" s="10"/>
      <c r="AQ2124" s="10"/>
      <c r="AR2124" s="10"/>
      <c r="AS2124" s="10"/>
      <c r="AT2124" s="10"/>
      <c r="AU2124" s="10"/>
      <c r="AV2124" s="10"/>
      <c r="AW2124" s="10"/>
      <c r="AX2124" s="10"/>
      <c r="AY2124" s="10"/>
      <c r="AZ2124" s="10"/>
      <c r="BA2124" s="10"/>
      <c r="BB2124" s="10"/>
      <c r="BC2124" s="10"/>
      <c r="BD2124" s="10"/>
      <c r="BE2124" s="10"/>
      <c r="BF2124" s="10"/>
      <c r="BG2124" s="10"/>
      <c r="BH2124" s="10"/>
      <c r="BI2124" s="10"/>
      <c r="BJ2124" s="10"/>
      <c r="BK2124" s="10"/>
      <c r="BM2124" s="10"/>
    </row>
    <row r="2125" spans="1:65" ht="12.75">
      <c r="A2125" s="9"/>
      <c r="B2125" s="10"/>
      <c r="C2125" s="11"/>
      <c r="D2125" s="12"/>
      <c r="E2125" s="10"/>
      <c r="F2125" s="10"/>
      <c r="G2125" s="10"/>
      <c r="H2125" s="14"/>
      <c r="I2125" s="14"/>
      <c r="J2125" s="14"/>
      <c r="K2125" s="14"/>
      <c r="L2125" s="14"/>
      <c r="M2125" s="15"/>
      <c r="N2125" s="10"/>
      <c r="O2125" s="14"/>
      <c r="P2125" s="14"/>
      <c r="Q2125" s="14"/>
      <c r="R2125" s="14"/>
      <c r="S2125" s="14"/>
      <c r="T2125" s="14"/>
      <c r="U2125" s="14"/>
      <c r="V2125" s="14"/>
      <c r="W2125" s="14"/>
      <c r="X2125" s="14"/>
      <c r="Y2125" s="14"/>
      <c r="Z2125" s="14"/>
      <c r="AA2125" s="16"/>
      <c r="AB2125" s="10"/>
      <c r="AC2125" s="10"/>
      <c r="AD2125" s="10"/>
      <c r="AE2125" s="10"/>
      <c r="AF2125" s="10"/>
      <c r="AG2125" s="10"/>
      <c r="AH2125" s="10"/>
      <c r="AI2125" s="10"/>
      <c r="AJ2125" s="10"/>
      <c r="AK2125" s="10"/>
      <c r="AL2125" s="10"/>
      <c r="AM2125" s="10"/>
      <c r="AN2125" s="10"/>
      <c r="AO2125" s="10"/>
      <c r="AP2125" s="10"/>
      <c r="AQ2125" s="10"/>
      <c r="AR2125" s="10"/>
      <c r="AS2125" s="10"/>
      <c r="AT2125" s="10"/>
      <c r="AU2125" s="10"/>
      <c r="AV2125" s="10"/>
      <c r="AW2125" s="10"/>
      <c r="AX2125" s="10"/>
      <c r="AY2125" s="10"/>
      <c r="AZ2125" s="10"/>
      <c r="BA2125" s="10"/>
      <c r="BB2125" s="10"/>
      <c r="BC2125" s="10"/>
      <c r="BD2125" s="10"/>
      <c r="BE2125" s="10"/>
      <c r="BF2125" s="10"/>
      <c r="BG2125" s="10"/>
      <c r="BH2125" s="10"/>
      <c r="BI2125" s="10"/>
      <c r="BJ2125" s="10"/>
      <c r="BK2125" s="10"/>
      <c r="BM2125" s="10"/>
    </row>
    <row r="2126" spans="1:65" ht="12.75">
      <c r="A2126" s="9"/>
      <c r="B2126" s="10"/>
      <c r="C2126" s="11"/>
      <c r="D2126" s="12"/>
      <c r="E2126" s="10"/>
      <c r="F2126" s="10"/>
      <c r="G2126" s="10"/>
      <c r="H2126" s="14"/>
      <c r="I2126" s="14"/>
      <c r="J2126" s="14"/>
      <c r="K2126" s="14"/>
      <c r="L2126" s="14"/>
      <c r="M2126" s="15"/>
      <c r="N2126" s="10"/>
      <c r="O2126" s="14"/>
      <c r="P2126" s="14"/>
      <c r="Q2126" s="14"/>
      <c r="R2126" s="14"/>
      <c r="S2126" s="14"/>
      <c r="T2126" s="14"/>
      <c r="U2126" s="14"/>
      <c r="V2126" s="14"/>
      <c r="W2126" s="14"/>
      <c r="X2126" s="14"/>
      <c r="Y2126" s="14"/>
      <c r="Z2126" s="14"/>
      <c r="AA2126" s="16"/>
      <c r="AB2126" s="10"/>
      <c r="AC2126" s="10"/>
      <c r="AD2126" s="10"/>
      <c r="AE2126" s="10"/>
      <c r="AF2126" s="10"/>
      <c r="AG2126" s="10"/>
      <c r="AH2126" s="10"/>
      <c r="AI2126" s="10"/>
      <c r="AJ2126" s="10"/>
      <c r="AK2126" s="10"/>
      <c r="AL2126" s="10"/>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10"/>
      <c r="BK2126" s="10"/>
      <c r="BM2126" s="10"/>
    </row>
    <row r="2127" spans="1:65" ht="12.75">
      <c r="A2127" s="9"/>
      <c r="B2127" s="10"/>
      <c r="C2127" s="11"/>
      <c r="D2127" s="12"/>
      <c r="E2127" s="10"/>
      <c r="F2127" s="10"/>
      <c r="G2127" s="10"/>
      <c r="H2127" s="14"/>
      <c r="I2127" s="14"/>
      <c r="J2127" s="14"/>
      <c r="K2127" s="14"/>
      <c r="L2127" s="14"/>
      <c r="M2127" s="15"/>
      <c r="N2127" s="10"/>
      <c r="O2127" s="14"/>
      <c r="P2127" s="14"/>
      <c r="Q2127" s="14"/>
      <c r="R2127" s="14"/>
      <c r="S2127" s="14"/>
      <c r="T2127" s="14"/>
      <c r="U2127" s="14"/>
      <c r="V2127" s="14"/>
      <c r="W2127" s="14"/>
      <c r="X2127" s="14"/>
      <c r="Y2127" s="14"/>
      <c r="Z2127" s="14"/>
      <c r="AA2127" s="16"/>
      <c r="AB2127" s="10"/>
      <c r="AC2127" s="10"/>
      <c r="AD2127" s="10"/>
      <c r="AE2127" s="10"/>
      <c r="AF2127" s="10"/>
      <c r="AG2127" s="10"/>
      <c r="AH2127" s="10"/>
      <c r="AI2127" s="10"/>
      <c r="AJ2127" s="10"/>
      <c r="AK2127" s="10"/>
      <c r="AL2127" s="10"/>
      <c r="AM2127" s="10"/>
      <c r="AN2127" s="10"/>
      <c r="AO2127" s="10"/>
      <c r="AP2127" s="10"/>
      <c r="AQ2127" s="10"/>
      <c r="AR2127" s="10"/>
      <c r="AS2127" s="10"/>
      <c r="AT2127" s="10"/>
      <c r="AU2127" s="10"/>
      <c r="AV2127" s="10"/>
      <c r="AW2127" s="10"/>
      <c r="AX2127" s="10"/>
      <c r="AY2127" s="10"/>
      <c r="AZ2127" s="10"/>
      <c r="BA2127" s="10"/>
      <c r="BB2127" s="10"/>
      <c r="BC2127" s="10"/>
      <c r="BD2127" s="10"/>
      <c r="BE2127" s="10"/>
      <c r="BF2127" s="10"/>
      <c r="BG2127" s="10"/>
      <c r="BH2127" s="10"/>
      <c r="BI2127" s="10"/>
      <c r="BJ2127" s="10"/>
      <c r="BK2127" s="10"/>
      <c r="BM2127" s="10"/>
    </row>
    <row r="2128" spans="1:65" ht="12.75">
      <c r="A2128" s="9"/>
      <c r="B2128" s="10"/>
      <c r="C2128" s="11"/>
      <c r="D2128" s="12"/>
      <c r="E2128" s="10"/>
      <c r="F2128" s="10"/>
      <c r="G2128" s="10"/>
      <c r="H2128" s="14"/>
      <c r="I2128" s="14"/>
      <c r="J2128" s="14"/>
      <c r="K2128" s="14"/>
      <c r="L2128" s="14"/>
      <c r="M2128" s="15"/>
      <c r="N2128" s="10"/>
      <c r="O2128" s="14"/>
      <c r="P2128" s="14"/>
      <c r="Q2128" s="14"/>
      <c r="R2128" s="14"/>
      <c r="S2128" s="14"/>
      <c r="T2128" s="14"/>
      <c r="U2128" s="14"/>
      <c r="V2128" s="14"/>
      <c r="W2128" s="14"/>
      <c r="X2128" s="14"/>
      <c r="Y2128" s="14"/>
      <c r="Z2128" s="14"/>
      <c r="AA2128" s="16"/>
      <c r="AB2128" s="10"/>
      <c r="AC2128" s="10"/>
      <c r="AD2128" s="10"/>
      <c r="AE2128" s="10"/>
      <c r="AF2128" s="10"/>
      <c r="AG2128" s="10"/>
      <c r="AH2128" s="10"/>
      <c r="AI2128" s="10"/>
      <c r="AJ2128" s="10"/>
      <c r="AK2128" s="10"/>
      <c r="AL2128" s="10"/>
      <c r="AM2128" s="10"/>
      <c r="AN2128" s="10"/>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10"/>
      <c r="BK2128" s="10"/>
      <c r="BM2128" s="10"/>
    </row>
    <row r="2129" spans="1:65" ht="12.75">
      <c r="A2129" s="9"/>
      <c r="B2129" s="10"/>
      <c r="C2129" s="11"/>
      <c r="D2129" s="12"/>
      <c r="E2129" s="10"/>
      <c r="F2129" s="10"/>
      <c r="G2129" s="10"/>
      <c r="H2129" s="14"/>
      <c r="I2129" s="14"/>
      <c r="J2129" s="14"/>
      <c r="K2129" s="14"/>
      <c r="L2129" s="14"/>
      <c r="M2129" s="15"/>
      <c r="N2129" s="10"/>
      <c r="O2129" s="14"/>
      <c r="P2129" s="14"/>
      <c r="Q2129" s="14"/>
      <c r="R2129" s="14"/>
      <c r="S2129" s="14"/>
      <c r="T2129" s="14"/>
      <c r="U2129" s="14"/>
      <c r="V2129" s="14"/>
      <c r="W2129" s="14"/>
      <c r="X2129" s="14"/>
      <c r="Y2129" s="14"/>
      <c r="Z2129" s="14"/>
      <c r="AA2129" s="16"/>
      <c r="AB2129" s="10"/>
      <c r="AC2129" s="10"/>
      <c r="AD2129" s="10"/>
      <c r="AE2129" s="10"/>
      <c r="AF2129" s="10"/>
      <c r="AG2129" s="10"/>
      <c r="AH2129" s="10"/>
      <c r="AI2129" s="10"/>
      <c r="AJ2129" s="10"/>
      <c r="AK2129" s="10"/>
      <c r="AL2129" s="10"/>
      <c r="AM2129" s="10"/>
      <c r="AN2129" s="10"/>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10"/>
      <c r="BK2129" s="10"/>
      <c r="BM2129" s="10"/>
    </row>
    <row r="2130" spans="1:65" ht="12.75">
      <c r="A2130" s="9"/>
      <c r="B2130" s="10"/>
      <c r="C2130" s="11"/>
      <c r="D2130" s="12"/>
      <c r="E2130" s="10"/>
      <c r="F2130" s="10"/>
      <c r="G2130" s="10"/>
      <c r="H2130" s="14"/>
      <c r="I2130" s="14"/>
      <c r="J2130" s="14"/>
      <c r="K2130" s="14"/>
      <c r="L2130" s="14"/>
      <c r="M2130" s="15"/>
      <c r="N2130" s="10"/>
      <c r="O2130" s="14"/>
      <c r="P2130" s="14"/>
      <c r="Q2130" s="14"/>
      <c r="R2130" s="14"/>
      <c r="S2130" s="14"/>
      <c r="T2130" s="14"/>
      <c r="U2130" s="14"/>
      <c r="V2130" s="14"/>
      <c r="W2130" s="14"/>
      <c r="X2130" s="14"/>
      <c r="Y2130" s="14"/>
      <c r="Z2130" s="14"/>
      <c r="AA2130" s="16"/>
      <c r="AB2130" s="10"/>
      <c r="AC2130" s="10"/>
      <c r="AD2130" s="10"/>
      <c r="AE2130" s="10"/>
      <c r="AF2130" s="10"/>
      <c r="AG2130" s="10"/>
      <c r="AH2130" s="10"/>
      <c r="AI2130" s="10"/>
      <c r="AJ2130" s="10"/>
      <c r="AK2130" s="10"/>
      <c r="AL2130" s="10"/>
      <c r="AM2130" s="10"/>
      <c r="AN2130" s="10"/>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10"/>
      <c r="BK2130" s="10"/>
      <c r="BM2130" s="10"/>
    </row>
    <row r="2131" spans="1:65" ht="12.75">
      <c r="A2131" s="9"/>
      <c r="B2131" s="10"/>
      <c r="C2131" s="11"/>
      <c r="D2131" s="12"/>
      <c r="E2131" s="10"/>
      <c r="F2131" s="10"/>
      <c r="G2131" s="10"/>
      <c r="H2131" s="14"/>
      <c r="I2131" s="14"/>
      <c r="J2131" s="14"/>
      <c r="K2131" s="14"/>
      <c r="L2131" s="14"/>
      <c r="M2131" s="15"/>
      <c r="N2131" s="10"/>
      <c r="O2131" s="14"/>
      <c r="P2131" s="14"/>
      <c r="Q2131" s="14"/>
      <c r="R2131" s="14"/>
      <c r="S2131" s="14"/>
      <c r="T2131" s="14"/>
      <c r="U2131" s="14"/>
      <c r="V2131" s="14"/>
      <c r="W2131" s="14"/>
      <c r="X2131" s="14"/>
      <c r="Y2131" s="14"/>
      <c r="Z2131" s="14"/>
      <c r="AA2131" s="16"/>
      <c r="AB2131" s="10"/>
      <c r="AC2131" s="10"/>
      <c r="AD2131" s="10"/>
      <c r="AE2131" s="10"/>
      <c r="AF2131" s="10"/>
      <c r="AG2131" s="10"/>
      <c r="AH2131" s="10"/>
      <c r="AI2131" s="10"/>
      <c r="AJ2131" s="10"/>
      <c r="AK2131" s="10"/>
      <c r="AL2131" s="10"/>
      <c r="AM2131" s="10"/>
      <c r="AN2131" s="10"/>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0"/>
      <c r="BM2131" s="10"/>
    </row>
    <row r="2132" spans="1:65" ht="12.75">
      <c r="A2132" s="9"/>
      <c r="B2132" s="10"/>
      <c r="C2132" s="11"/>
      <c r="D2132" s="12"/>
      <c r="E2132" s="10"/>
      <c r="F2132" s="10"/>
      <c r="G2132" s="10"/>
      <c r="H2132" s="14"/>
      <c r="I2132" s="14"/>
      <c r="J2132" s="14"/>
      <c r="K2132" s="14"/>
      <c r="L2132" s="14"/>
      <c r="M2132" s="15"/>
      <c r="N2132" s="10"/>
      <c r="O2132" s="14"/>
      <c r="P2132" s="14"/>
      <c r="Q2132" s="14"/>
      <c r="R2132" s="14"/>
      <c r="S2132" s="14"/>
      <c r="T2132" s="14"/>
      <c r="U2132" s="14"/>
      <c r="V2132" s="14"/>
      <c r="W2132" s="14"/>
      <c r="X2132" s="14"/>
      <c r="Y2132" s="14"/>
      <c r="Z2132" s="14"/>
      <c r="AA2132" s="16"/>
      <c r="AB2132" s="10"/>
      <c r="AC2132" s="10"/>
      <c r="AD2132" s="10"/>
      <c r="AE2132" s="10"/>
      <c r="AF2132" s="10"/>
      <c r="AG2132" s="10"/>
      <c r="AH2132" s="10"/>
      <c r="AI2132" s="10"/>
      <c r="AJ2132" s="10"/>
      <c r="AK2132" s="10"/>
      <c r="AL2132" s="10"/>
      <c r="AM2132" s="10"/>
      <c r="AN2132" s="10"/>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10"/>
      <c r="BK2132" s="10"/>
      <c r="BM2132" s="10"/>
    </row>
    <row r="2133" spans="1:65" ht="12.75">
      <c r="A2133" s="9"/>
      <c r="B2133" s="10"/>
      <c r="C2133" s="11"/>
      <c r="D2133" s="12"/>
      <c r="E2133" s="10"/>
      <c r="F2133" s="10"/>
      <c r="G2133" s="10"/>
      <c r="H2133" s="14"/>
      <c r="I2133" s="14"/>
      <c r="J2133" s="14"/>
      <c r="K2133" s="14"/>
      <c r="L2133" s="14"/>
      <c r="M2133" s="15"/>
      <c r="N2133" s="10"/>
      <c r="O2133" s="14"/>
      <c r="P2133" s="14"/>
      <c r="Q2133" s="14"/>
      <c r="R2133" s="14"/>
      <c r="S2133" s="14"/>
      <c r="T2133" s="14"/>
      <c r="U2133" s="14"/>
      <c r="V2133" s="14"/>
      <c r="W2133" s="14"/>
      <c r="X2133" s="14"/>
      <c r="Y2133" s="14"/>
      <c r="Z2133" s="14"/>
      <c r="AA2133" s="16"/>
      <c r="AB2133" s="10"/>
      <c r="AC2133" s="10"/>
      <c r="AD2133" s="10"/>
      <c r="AE2133" s="10"/>
      <c r="AF2133" s="10"/>
      <c r="AG2133" s="10"/>
      <c r="AH2133" s="10"/>
      <c r="AI2133" s="10"/>
      <c r="AJ2133" s="10"/>
      <c r="AK2133" s="10"/>
      <c r="AL2133" s="10"/>
      <c r="AM2133" s="10"/>
      <c r="AN2133" s="10"/>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10"/>
      <c r="BK2133" s="10"/>
      <c r="BM2133" s="10"/>
    </row>
    <row r="2134" spans="1:65" ht="12.75">
      <c r="A2134" s="9"/>
      <c r="B2134" s="10"/>
      <c r="C2134" s="11"/>
      <c r="D2134" s="12"/>
      <c r="E2134" s="10"/>
      <c r="F2134" s="10"/>
      <c r="G2134" s="10"/>
      <c r="H2134" s="14"/>
      <c r="I2134" s="14"/>
      <c r="J2134" s="14"/>
      <c r="K2134" s="14"/>
      <c r="L2134" s="14"/>
      <c r="M2134" s="15"/>
      <c r="N2134" s="10"/>
      <c r="O2134" s="14"/>
      <c r="P2134" s="14"/>
      <c r="Q2134" s="14"/>
      <c r="R2134" s="14"/>
      <c r="S2134" s="14"/>
      <c r="T2134" s="14"/>
      <c r="U2134" s="14"/>
      <c r="V2134" s="14"/>
      <c r="W2134" s="14"/>
      <c r="X2134" s="14"/>
      <c r="Y2134" s="14"/>
      <c r="Z2134" s="14"/>
      <c r="AA2134" s="16"/>
      <c r="AB2134" s="10"/>
      <c r="AC2134" s="10"/>
      <c r="AD2134" s="10"/>
      <c r="AE2134" s="10"/>
      <c r="AF2134" s="10"/>
      <c r="AG2134" s="10"/>
      <c r="AH2134" s="10"/>
      <c r="AI2134" s="10"/>
      <c r="AJ2134" s="10"/>
      <c r="AK2134" s="10"/>
      <c r="AL2134" s="10"/>
      <c r="AM2134" s="10"/>
      <c r="AN2134" s="10"/>
      <c r="AO2134" s="10"/>
      <c r="AP2134" s="10"/>
      <c r="AQ2134" s="10"/>
      <c r="AR2134" s="10"/>
      <c r="AS2134" s="10"/>
      <c r="AT2134" s="10"/>
      <c r="AU2134" s="10"/>
      <c r="AV2134" s="10"/>
      <c r="AW2134" s="10"/>
      <c r="AX2134" s="10"/>
      <c r="AY2134" s="10"/>
      <c r="AZ2134" s="10"/>
      <c r="BA2134" s="10"/>
      <c r="BB2134" s="10"/>
      <c r="BC2134" s="10"/>
      <c r="BD2134" s="10"/>
      <c r="BE2134" s="10"/>
      <c r="BF2134" s="10"/>
      <c r="BG2134" s="10"/>
      <c r="BH2134" s="10"/>
      <c r="BI2134" s="10"/>
      <c r="BJ2134" s="10"/>
      <c r="BK2134" s="10"/>
      <c r="BM2134" s="10"/>
    </row>
    <row r="2135" spans="1:65" ht="12.75">
      <c r="A2135" s="9"/>
      <c r="B2135" s="10"/>
      <c r="C2135" s="11"/>
      <c r="D2135" s="12"/>
      <c r="E2135" s="10"/>
      <c r="F2135" s="10"/>
      <c r="G2135" s="10"/>
      <c r="H2135" s="14"/>
      <c r="I2135" s="14"/>
      <c r="J2135" s="14"/>
      <c r="K2135" s="14"/>
      <c r="L2135" s="14"/>
      <c r="M2135" s="15"/>
      <c r="N2135" s="10"/>
      <c r="O2135" s="14"/>
      <c r="P2135" s="14"/>
      <c r="Q2135" s="14"/>
      <c r="R2135" s="14"/>
      <c r="S2135" s="14"/>
      <c r="T2135" s="14"/>
      <c r="U2135" s="14"/>
      <c r="V2135" s="14"/>
      <c r="W2135" s="14"/>
      <c r="X2135" s="14"/>
      <c r="Y2135" s="14"/>
      <c r="Z2135" s="14"/>
      <c r="AA2135" s="16"/>
      <c r="AB2135" s="10"/>
      <c r="AC2135" s="10"/>
      <c r="AD2135" s="10"/>
      <c r="AE2135" s="10"/>
      <c r="AF2135" s="10"/>
      <c r="AG2135" s="10"/>
      <c r="AH2135" s="10"/>
      <c r="AI2135" s="10"/>
      <c r="AJ2135" s="10"/>
      <c r="AK2135" s="10"/>
      <c r="AL2135" s="10"/>
      <c r="AM2135" s="10"/>
      <c r="AN2135" s="10"/>
      <c r="AO2135" s="10"/>
      <c r="AP2135" s="10"/>
      <c r="AQ2135" s="10"/>
      <c r="AR2135" s="10"/>
      <c r="AS2135" s="10"/>
      <c r="AT2135" s="10"/>
      <c r="AU2135" s="10"/>
      <c r="AV2135" s="10"/>
      <c r="AW2135" s="10"/>
      <c r="AX2135" s="10"/>
      <c r="AY2135" s="10"/>
      <c r="AZ2135" s="10"/>
      <c r="BA2135" s="10"/>
      <c r="BB2135" s="10"/>
      <c r="BC2135" s="10"/>
      <c r="BD2135" s="10"/>
      <c r="BE2135" s="10"/>
      <c r="BF2135" s="10"/>
      <c r="BG2135" s="10"/>
      <c r="BH2135" s="10"/>
      <c r="BI2135" s="10"/>
      <c r="BJ2135" s="10"/>
      <c r="BK2135" s="10"/>
      <c r="BM2135" s="10"/>
    </row>
    <row r="2136" spans="1:65" ht="12.75">
      <c r="A2136" s="9"/>
      <c r="B2136" s="10"/>
      <c r="C2136" s="11"/>
      <c r="D2136" s="12"/>
      <c r="E2136" s="10"/>
      <c r="F2136" s="10"/>
      <c r="G2136" s="10"/>
      <c r="H2136" s="14"/>
      <c r="I2136" s="14"/>
      <c r="J2136" s="14"/>
      <c r="K2136" s="14"/>
      <c r="L2136" s="14"/>
      <c r="M2136" s="15"/>
      <c r="N2136" s="10"/>
      <c r="O2136" s="14"/>
      <c r="P2136" s="14"/>
      <c r="Q2136" s="14"/>
      <c r="R2136" s="14"/>
      <c r="S2136" s="14"/>
      <c r="T2136" s="14"/>
      <c r="U2136" s="14"/>
      <c r="V2136" s="14"/>
      <c r="W2136" s="14"/>
      <c r="X2136" s="14"/>
      <c r="Y2136" s="14"/>
      <c r="Z2136" s="14"/>
      <c r="AA2136" s="16"/>
      <c r="AB2136" s="10"/>
      <c r="AC2136" s="10"/>
      <c r="AD2136" s="10"/>
      <c r="AE2136" s="10"/>
      <c r="AF2136" s="10"/>
      <c r="AG2136" s="10"/>
      <c r="AH2136" s="10"/>
      <c r="AI2136" s="10"/>
      <c r="AJ2136" s="10"/>
      <c r="AK2136" s="10"/>
      <c r="AL2136" s="10"/>
      <c r="AM2136" s="10"/>
      <c r="AN2136" s="10"/>
      <c r="AO2136" s="10"/>
      <c r="AP2136" s="10"/>
      <c r="AQ2136" s="10"/>
      <c r="AR2136" s="10"/>
      <c r="AS2136" s="10"/>
      <c r="AT2136" s="10"/>
      <c r="AU2136" s="10"/>
      <c r="AV2136" s="10"/>
      <c r="AW2136" s="10"/>
      <c r="AX2136" s="10"/>
      <c r="AY2136" s="10"/>
      <c r="AZ2136" s="10"/>
      <c r="BA2136" s="10"/>
      <c r="BB2136" s="10"/>
      <c r="BC2136" s="10"/>
      <c r="BD2136" s="10"/>
      <c r="BE2136" s="10"/>
      <c r="BF2136" s="10"/>
      <c r="BG2136" s="10"/>
      <c r="BH2136" s="10"/>
      <c r="BI2136" s="10"/>
      <c r="BJ2136" s="10"/>
      <c r="BK2136" s="10"/>
      <c r="BM2136" s="10"/>
    </row>
    <row r="2137" spans="1:65" ht="12.75">
      <c r="A2137" s="9"/>
      <c r="B2137" s="10"/>
      <c r="C2137" s="11"/>
      <c r="D2137" s="12"/>
      <c r="E2137" s="10"/>
      <c r="F2137" s="10"/>
      <c r="G2137" s="10"/>
      <c r="H2137" s="14"/>
      <c r="I2137" s="14"/>
      <c r="J2137" s="14"/>
      <c r="K2137" s="14"/>
      <c r="L2137" s="14"/>
      <c r="M2137" s="15"/>
      <c r="N2137" s="10"/>
      <c r="O2137" s="14"/>
      <c r="P2137" s="14"/>
      <c r="Q2137" s="14"/>
      <c r="R2137" s="14"/>
      <c r="S2137" s="14"/>
      <c r="T2137" s="14"/>
      <c r="U2137" s="14"/>
      <c r="V2137" s="14"/>
      <c r="W2137" s="14"/>
      <c r="X2137" s="14"/>
      <c r="Y2137" s="14"/>
      <c r="Z2137" s="14"/>
      <c r="AA2137" s="16"/>
      <c r="AB2137" s="10"/>
      <c r="AC2137" s="10"/>
      <c r="AD2137" s="10"/>
      <c r="AE2137" s="10"/>
      <c r="AF2137" s="10"/>
      <c r="AG2137" s="10"/>
      <c r="AH2137" s="10"/>
      <c r="AI2137" s="10"/>
      <c r="AJ2137" s="10"/>
      <c r="AK2137" s="10"/>
      <c r="AL2137" s="10"/>
      <c r="AM2137" s="10"/>
      <c r="AN2137" s="10"/>
      <c r="AO2137" s="10"/>
      <c r="AP2137" s="10"/>
      <c r="AQ2137" s="10"/>
      <c r="AR2137" s="10"/>
      <c r="AS2137" s="10"/>
      <c r="AT2137" s="10"/>
      <c r="AU2137" s="10"/>
      <c r="AV2137" s="10"/>
      <c r="AW2137" s="10"/>
      <c r="AX2137" s="10"/>
      <c r="AY2137" s="10"/>
      <c r="AZ2137" s="10"/>
      <c r="BA2137" s="10"/>
      <c r="BB2137" s="10"/>
      <c r="BC2137" s="10"/>
      <c r="BD2137" s="10"/>
      <c r="BE2137" s="10"/>
      <c r="BF2137" s="10"/>
      <c r="BG2137" s="10"/>
      <c r="BH2137" s="10"/>
      <c r="BI2137" s="10"/>
      <c r="BJ2137" s="10"/>
      <c r="BK2137" s="10"/>
      <c r="BM2137" s="10"/>
    </row>
    <row r="2138" spans="1:65" ht="12.75">
      <c r="A2138" s="9"/>
      <c r="B2138" s="10"/>
      <c r="C2138" s="11"/>
      <c r="D2138" s="12"/>
      <c r="E2138" s="10"/>
      <c r="F2138" s="10"/>
      <c r="G2138" s="10"/>
      <c r="H2138" s="14"/>
      <c r="I2138" s="14"/>
      <c r="J2138" s="14"/>
      <c r="K2138" s="14"/>
      <c r="L2138" s="14"/>
      <c r="M2138" s="15"/>
      <c r="N2138" s="10"/>
      <c r="O2138" s="14"/>
      <c r="P2138" s="14"/>
      <c r="Q2138" s="14"/>
      <c r="R2138" s="14"/>
      <c r="S2138" s="14"/>
      <c r="T2138" s="14"/>
      <c r="U2138" s="14"/>
      <c r="V2138" s="14"/>
      <c r="W2138" s="14"/>
      <c r="X2138" s="14"/>
      <c r="Y2138" s="14"/>
      <c r="Z2138" s="14"/>
      <c r="AA2138" s="16"/>
      <c r="AB2138" s="10"/>
      <c r="AC2138" s="10"/>
      <c r="AD2138" s="10"/>
      <c r="AE2138" s="10"/>
      <c r="AF2138" s="10"/>
      <c r="AG2138" s="10"/>
      <c r="AH2138" s="10"/>
      <c r="AI2138" s="10"/>
      <c r="AJ2138" s="10"/>
      <c r="AK2138" s="10"/>
      <c r="AL2138" s="10"/>
      <c r="AM2138" s="10"/>
      <c r="AN2138" s="10"/>
      <c r="AO2138" s="10"/>
      <c r="AP2138" s="10"/>
      <c r="AQ2138" s="10"/>
      <c r="AR2138" s="10"/>
      <c r="AS2138" s="10"/>
      <c r="AT2138" s="10"/>
      <c r="AU2138" s="10"/>
      <c r="AV2138" s="10"/>
      <c r="AW2138" s="10"/>
      <c r="AX2138" s="10"/>
      <c r="AY2138" s="10"/>
      <c r="AZ2138" s="10"/>
      <c r="BA2138" s="10"/>
      <c r="BB2138" s="10"/>
      <c r="BC2138" s="10"/>
      <c r="BD2138" s="10"/>
      <c r="BE2138" s="10"/>
      <c r="BF2138" s="10"/>
      <c r="BG2138" s="10"/>
      <c r="BH2138" s="10"/>
      <c r="BI2138" s="10"/>
      <c r="BJ2138" s="10"/>
      <c r="BK2138" s="10"/>
      <c r="BM2138" s="10"/>
    </row>
    <row r="2139" spans="1:65" ht="12.75">
      <c r="A2139" s="9"/>
      <c r="B2139" s="10"/>
      <c r="C2139" s="11"/>
      <c r="D2139" s="12"/>
      <c r="E2139" s="10"/>
      <c r="F2139" s="10"/>
      <c r="G2139" s="10"/>
      <c r="H2139" s="14"/>
      <c r="I2139" s="14"/>
      <c r="J2139" s="14"/>
      <c r="K2139" s="14"/>
      <c r="L2139" s="14"/>
      <c r="M2139" s="15"/>
      <c r="N2139" s="10"/>
      <c r="O2139" s="14"/>
      <c r="P2139" s="14"/>
      <c r="Q2139" s="14"/>
      <c r="R2139" s="14"/>
      <c r="S2139" s="14"/>
      <c r="T2139" s="14"/>
      <c r="U2139" s="14"/>
      <c r="V2139" s="14"/>
      <c r="W2139" s="14"/>
      <c r="X2139" s="14"/>
      <c r="Y2139" s="14"/>
      <c r="Z2139" s="14"/>
      <c r="AA2139" s="16"/>
      <c r="AB2139" s="10"/>
      <c r="AC2139" s="10"/>
      <c r="AD2139" s="10"/>
      <c r="AE2139" s="10"/>
      <c r="AF2139" s="10"/>
      <c r="AG2139" s="10"/>
      <c r="AH2139" s="10"/>
      <c r="AI2139" s="10"/>
      <c r="AJ2139" s="10"/>
      <c r="AK2139" s="10"/>
      <c r="AL2139" s="10"/>
      <c r="AM2139" s="10"/>
      <c r="AN2139" s="10"/>
      <c r="AO2139" s="10"/>
      <c r="AP2139" s="10"/>
      <c r="AQ2139" s="10"/>
      <c r="AR2139" s="10"/>
      <c r="AS2139" s="10"/>
      <c r="AT2139" s="10"/>
      <c r="AU2139" s="10"/>
      <c r="AV2139" s="10"/>
      <c r="AW2139" s="10"/>
      <c r="AX2139" s="10"/>
      <c r="AY2139" s="10"/>
      <c r="AZ2139" s="10"/>
      <c r="BA2139" s="10"/>
      <c r="BB2139" s="10"/>
      <c r="BC2139" s="10"/>
      <c r="BD2139" s="10"/>
      <c r="BE2139" s="10"/>
      <c r="BF2139" s="10"/>
      <c r="BG2139" s="10"/>
      <c r="BH2139" s="10"/>
      <c r="BI2139" s="10"/>
      <c r="BJ2139" s="10"/>
      <c r="BK2139" s="10"/>
      <c r="BM2139" s="10"/>
    </row>
    <row r="2140" spans="1:65" ht="12.75">
      <c r="A2140" s="9"/>
      <c r="B2140" s="10"/>
      <c r="C2140" s="11"/>
      <c r="D2140" s="12"/>
      <c r="E2140" s="10"/>
      <c r="F2140" s="10"/>
      <c r="G2140" s="10"/>
      <c r="H2140" s="14"/>
      <c r="I2140" s="14"/>
      <c r="J2140" s="14"/>
      <c r="K2140" s="14"/>
      <c r="L2140" s="14"/>
      <c r="M2140" s="15"/>
      <c r="N2140" s="10"/>
      <c r="O2140" s="14"/>
      <c r="P2140" s="14"/>
      <c r="Q2140" s="14"/>
      <c r="R2140" s="14"/>
      <c r="S2140" s="14"/>
      <c r="T2140" s="14"/>
      <c r="U2140" s="14"/>
      <c r="V2140" s="14"/>
      <c r="W2140" s="14"/>
      <c r="X2140" s="14"/>
      <c r="Y2140" s="14"/>
      <c r="Z2140" s="14"/>
      <c r="AA2140" s="16"/>
      <c r="AB2140" s="10"/>
      <c r="AC2140" s="10"/>
      <c r="AD2140" s="10"/>
      <c r="AE2140" s="10"/>
      <c r="AF2140" s="10"/>
      <c r="AG2140" s="10"/>
      <c r="AH2140" s="10"/>
      <c r="AI2140" s="10"/>
      <c r="AJ2140" s="10"/>
      <c r="AK2140" s="10"/>
      <c r="AL2140" s="10"/>
      <c r="AM2140" s="10"/>
      <c r="AN2140" s="10"/>
      <c r="AO2140" s="10"/>
      <c r="AP2140" s="10"/>
      <c r="AQ2140" s="10"/>
      <c r="AR2140" s="10"/>
      <c r="AS2140" s="10"/>
      <c r="AT2140" s="10"/>
      <c r="AU2140" s="10"/>
      <c r="AV2140" s="10"/>
      <c r="AW2140" s="10"/>
      <c r="AX2140" s="10"/>
      <c r="AY2140" s="10"/>
      <c r="AZ2140" s="10"/>
      <c r="BA2140" s="10"/>
      <c r="BB2140" s="10"/>
      <c r="BC2140" s="10"/>
      <c r="BD2140" s="10"/>
      <c r="BE2140" s="10"/>
      <c r="BF2140" s="10"/>
      <c r="BG2140" s="10"/>
      <c r="BH2140" s="10"/>
      <c r="BI2140" s="10"/>
      <c r="BJ2140" s="10"/>
      <c r="BK2140" s="10"/>
      <c r="BM2140" s="10"/>
    </row>
    <row r="2141" spans="1:65" ht="12.75">
      <c r="A2141" s="9"/>
      <c r="B2141" s="10"/>
      <c r="C2141" s="11"/>
      <c r="D2141" s="12"/>
      <c r="E2141" s="10"/>
      <c r="F2141" s="10"/>
      <c r="G2141" s="10"/>
      <c r="H2141" s="14"/>
      <c r="I2141" s="14"/>
      <c r="J2141" s="14"/>
      <c r="K2141" s="14"/>
      <c r="L2141" s="14"/>
      <c r="M2141" s="15"/>
      <c r="N2141" s="10"/>
      <c r="O2141" s="14"/>
      <c r="P2141" s="14"/>
      <c r="Q2141" s="14"/>
      <c r="R2141" s="14"/>
      <c r="S2141" s="14"/>
      <c r="T2141" s="14"/>
      <c r="U2141" s="14"/>
      <c r="V2141" s="14"/>
      <c r="W2141" s="14"/>
      <c r="X2141" s="14"/>
      <c r="Y2141" s="14"/>
      <c r="Z2141" s="14"/>
      <c r="AA2141" s="16"/>
      <c r="AB2141" s="10"/>
      <c r="AC2141" s="10"/>
      <c r="AD2141" s="10"/>
      <c r="AE2141" s="10"/>
      <c r="AF2141" s="10"/>
      <c r="AG2141" s="10"/>
      <c r="AH2141" s="10"/>
      <c r="AI2141" s="10"/>
      <c r="AJ2141" s="10"/>
      <c r="AK2141" s="10"/>
      <c r="AL2141" s="10"/>
      <c r="AM2141" s="10"/>
      <c r="AN2141" s="10"/>
      <c r="AO2141" s="10"/>
      <c r="AP2141" s="10"/>
      <c r="AQ2141" s="10"/>
      <c r="AR2141" s="10"/>
      <c r="AS2141" s="10"/>
      <c r="AT2141" s="10"/>
      <c r="AU2141" s="10"/>
      <c r="AV2141" s="10"/>
      <c r="AW2141" s="10"/>
      <c r="AX2141" s="10"/>
      <c r="AY2141" s="10"/>
      <c r="AZ2141" s="10"/>
      <c r="BA2141" s="10"/>
      <c r="BB2141" s="10"/>
      <c r="BC2141" s="10"/>
      <c r="BD2141" s="10"/>
      <c r="BE2141" s="10"/>
      <c r="BF2141" s="10"/>
      <c r="BG2141" s="10"/>
      <c r="BH2141" s="10"/>
      <c r="BI2141" s="10"/>
      <c r="BJ2141" s="10"/>
      <c r="BK2141" s="10"/>
      <c r="BM2141" s="10"/>
    </row>
    <row r="2142" spans="1:65" ht="12.75">
      <c r="A2142" s="9"/>
      <c r="B2142" s="10"/>
      <c r="C2142" s="11"/>
      <c r="D2142" s="12"/>
      <c r="E2142" s="10"/>
      <c r="F2142" s="10"/>
      <c r="G2142" s="10"/>
      <c r="H2142" s="14"/>
      <c r="I2142" s="14"/>
      <c r="J2142" s="14"/>
      <c r="K2142" s="14"/>
      <c r="L2142" s="14"/>
      <c r="M2142" s="15"/>
      <c r="N2142" s="10"/>
      <c r="O2142" s="14"/>
      <c r="P2142" s="14"/>
      <c r="Q2142" s="14"/>
      <c r="R2142" s="14"/>
      <c r="S2142" s="14"/>
      <c r="T2142" s="14"/>
      <c r="U2142" s="14"/>
      <c r="V2142" s="14"/>
      <c r="W2142" s="14"/>
      <c r="X2142" s="14"/>
      <c r="Y2142" s="14"/>
      <c r="Z2142" s="14"/>
      <c r="AA2142" s="16"/>
      <c r="AB2142" s="10"/>
      <c r="AC2142" s="10"/>
      <c r="AD2142" s="10"/>
      <c r="AE2142" s="10"/>
      <c r="AF2142" s="10"/>
      <c r="AG2142" s="10"/>
      <c r="AH2142" s="10"/>
      <c r="AI2142" s="10"/>
      <c r="AJ2142" s="10"/>
      <c r="AK2142" s="10"/>
      <c r="AL2142" s="10"/>
      <c r="AM2142" s="10"/>
      <c r="AN2142" s="10"/>
      <c r="AO2142" s="10"/>
      <c r="AP2142" s="10"/>
      <c r="AQ2142" s="10"/>
      <c r="AR2142" s="10"/>
      <c r="AS2142" s="10"/>
      <c r="AT2142" s="10"/>
      <c r="AU2142" s="10"/>
      <c r="AV2142" s="10"/>
      <c r="AW2142" s="10"/>
      <c r="AX2142" s="10"/>
      <c r="AY2142" s="10"/>
      <c r="AZ2142" s="10"/>
      <c r="BA2142" s="10"/>
      <c r="BB2142" s="10"/>
      <c r="BC2142" s="10"/>
      <c r="BD2142" s="10"/>
      <c r="BE2142" s="10"/>
      <c r="BF2142" s="10"/>
      <c r="BG2142" s="10"/>
      <c r="BH2142" s="10"/>
      <c r="BI2142" s="10"/>
      <c r="BJ2142" s="10"/>
      <c r="BK2142" s="10"/>
      <c r="BM2142" s="10"/>
    </row>
    <row r="2143" spans="1:65" ht="12.75">
      <c r="A2143" s="9"/>
      <c r="B2143" s="10"/>
      <c r="C2143" s="11"/>
      <c r="D2143" s="12"/>
      <c r="E2143" s="10"/>
      <c r="F2143" s="10"/>
      <c r="G2143" s="10"/>
      <c r="H2143" s="14"/>
      <c r="I2143" s="14"/>
      <c r="J2143" s="14"/>
      <c r="K2143" s="14"/>
      <c r="L2143" s="14"/>
      <c r="M2143" s="15"/>
      <c r="N2143" s="10"/>
      <c r="O2143" s="14"/>
      <c r="P2143" s="14"/>
      <c r="Q2143" s="14"/>
      <c r="R2143" s="14"/>
      <c r="S2143" s="14"/>
      <c r="T2143" s="14"/>
      <c r="U2143" s="14"/>
      <c r="V2143" s="14"/>
      <c r="W2143" s="14"/>
      <c r="X2143" s="14"/>
      <c r="Y2143" s="14"/>
      <c r="Z2143" s="14"/>
      <c r="AA2143" s="16"/>
      <c r="AB2143" s="10"/>
      <c r="AC2143" s="10"/>
      <c r="AD2143" s="10"/>
      <c r="AE2143" s="10"/>
      <c r="AF2143" s="10"/>
      <c r="AG2143" s="10"/>
      <c r="AH2143" s="10"/>
      <c r="AI2143" s="10"/>
      <c r="AJ2143" s="10"/>
      <c r="AK2143" s="10"/>
      <c r="AL2143" s="10"/>
      <c r="AM2143" s="10"/>
      <c r="AN2143" s="10"/>
      <c r="AO2143" s="10"/>
      <c r="AP2143" s="10"/>
      <c r="AQ2143" s="10"/>
      <c r="AR2143" s="10"/>
      <c r="AS2143" s="10"/>
      <c r="AT2143" s="10"/>
      <c r="AU2143" s="10"/>
      <c r="AV2143" s="10"/>
      <c r="AW2143" s="10"/>
      <c r="AX2143" s="10"/>
      <c r="AY2143" s="10"/>
      <c r="AZ2143" s="10"/>
      <c r="BA2143" s="10"/>
      <c r="BB2143" s="10"/>
      <c r="BC2143" s="10"/>
      <c r="BD2143" s="10"/>
      <c r="BE2143" s="10"/>
      <c r="BF2143" s="10"/>
      <c r="BG2143" s="10"/>
      <c r="BH2143" s="10"/>
      <c r="BI2143" s="10"/>
      <c r="BJ2143" s="10"/>
      <c r="BK2143" s="10"/>
      <c r="BM2143" s="10"/>
    </row>
    <row r="2144" spans="1:65" ht="12.75">
      <c r="A2144" s="9"/>
      <c r="B2144" s="10"/>
      <c r="C2144" s="11"/>
      <c r="D2144" s="12"/>
      <c r="E2144" s="10"/>
      <c r="F2144" s="10"/>
      <c r="G2144" s="10"/>
      <c r="H2144" s="14"/>
      <c r="I2144" s="14"/>
      <c r="J2144" s="14"/>
      <c r="K2144" s="14"/>
      <c r="L2144" s="14"/>
      <c r="M2144" s="15"/>
      <c r="N2144" s="10"/>
      <c r="O2144" s="14"/>
      <c r="P2144" s="14"/>
      <c r="Q2144" s="14"/>
      <c r="R2144" s="14"/>
      <c r="S2144" s="14"/>
      <c r="T2144" s="14"/>
      <c r="U2144" s="14"/>
      <c r="V2144" s="14"/>
      <c r="W2144" s="14"/>
      <c r="X2144" s="14"/>
      <c r="Y2144" s="14"/>
      <c r="Z2144" s="14"/>
      <c r="AA2144" s="16"/>
      <c r="AB2144" s="10"/>
      <c r="AC2144" s="10"/>
      <c r="AD2144" s="10"/>
      <c r="AE2144" s="10"/>
      <c r="AF2144" s="10"/>
      <c r="AG2144" s="10"/>
      <c r="AH2144" s="10"/>
      <c r="AI2144" s="10"/>
      <c r="AJ2144" s="10"/>
      <c r="AK2144" s="10"/>
      <c r="AL2144" s="10"/>
      <c r="AM2144" s="10"/>
      <c r="AN2144" s="10"/>
      <c r="AO2144" s="10"/>
      <c r="AP2144" s="10"/>
      <c r="AQ2144" s="10"/>
      <c r="AR2144" s="10"/>
      <c r="AS2144" s="10"/>
      <c r="AT2144" s="10"/>
      <c r="AU2144" s="10"/>
      <c r="AV2144" s="10"/>
      <c r="AW2144" s="10"/>
      <c r="AX2144" s="10"/>
      <c r="AY2144" s="10"/>
      <c r="AZ2144" s="10"/>
      <c r="BA2144" s="10"/>
      <c r="BB2144" s="10"/>
      <c r="BC2144" s="10"/>
      <c r="BD2144" s="10"/>
      <c r="BE2144" s="10"/>
      <c r="BF2144" s="10"/>
      <c r="BG2144" s="10"/>
      <c r="BH2144" s="10"/>
      <c r="BI2144" s="10"/>
      <c r="BJ2144" s="10"/>
      <c r="BK2144" s="10"/>
      <c r="BM2144" s="10"/>
    </row>
    <row r="2145" spans="1:65" ht="12.75">
      <c r="A2145" s="9"/>
      <c r="B2145" s="10"/>
      <c r="C2145" s="11"/>
      <c r="D2145" s="12"/>
      <c r="E2145" s="10"/>
      <c r="F2145" s="10"/>
      <c r="G2145" s="10"/>
      <c r="H2145" s="14"/>
      <c r="I2145" s="14"/>
      <c r="J2145" s="14"/>
      <c r="K2145" s="14"/>
      <c r="L2145" s="14"/>
      <c r="M2145" s="15"/>
      <c r="N2145" s="10"/>
      <c r="O2145" s="14"/>
      <c r="P2145" s="14"/>
      <c r="Q2145" s="14"/>
      <c r="R2145" s="14"/>
      <c r="S2145" s="14"/>
      <c r="T2145" s="14"/>
      <c r="U2145" s="14"/>
      <c r="V2145" s="14"/>
      <c r="W2145" s="14"/>
      <c r="X2145" s="14"/>
      <c r="Y2145" s="14"/>
      <c r="Z2145" s="14"/>
      <c r="AA2145" s="16"/>
      <c r="AB2145" s="10"/>
      <c r="AC2145" s="10"/>
      <c r="AD2145" s="10"/>
      <c r="AE2145" s="10"/>
      <c r="AF2145" s="10"/>
      <c r="AG2145" s="10"/>
      <c r="AH2145" s="10"/>
      <c r="AI2145" s="10"/>
      <c r="AJ2145" s="10"/>
      <c r="AK2145" s="10"/>
      <c r="AL2145" s="10"/>
      <c r="AM2145" s="10"/>
      <c r="AN2145" s="10"/>
      <c r="AO2145" s="10"/>
      <c r="AP2145" s="10"/>
      <c r="AQ2145" s="10"/>
      <c r="AR2145" s="10"/>
      <c r="AS2145" s="10"/>
      <c r="AT2145" s="10"/>
      <c r="AU2145" s="10"/>
      <c r="AV2145" s="10"/>
      <c r="AW2145" s="10"/>
      <c r="AX2145" s="10"/>
      <c r="AY2145" s="10"/>
      <c r="AZ2145" s="10"/>
      <c r="BA2145" s="10"/>
      <c r="BB2145" s="10"/>
      <c r="BC2145" s="10"/>
      <c r="BD2145" s="10"/>
      <c r="BE2145" s="10"/>
      <c r="BF2145" s="10"/>
      <c r="BG2145" s="10"/>
      <c r="BH2145" s="10"/>
      <c r="BI2145" s="10"/>
      <c r="BJ2145" s="10"/>
      <c r="BK2145" s="10"/>
      <c r="BM2145" s="10"/>
    </row>
    <row r="2146" spans="1:65" ht="12.75">
      <c r="A2146" s="9"/>
      <c r="B2146" s="10"/>
      <c r="C2146" s="11"/>
      <c r="D2146" s="12"/>
      <c r="E2146" s="10"/>
      <c r="F2146" s="10"/>
      <c r="G2146" s="10"/>
      <c r="H2146" s="14"/>
      <c r="I2146" s="14"/>
      <c r="J2146" s="14"/>
      <c r="K2146" s="14"/>
      <c r="L2146" s="14"/>
      <c r="M2146" s="15"/>
      <c r="N2146" s="10"/>
      <c r="O2146" s="14"/>
      <c r="P2146" s="14"/>
      <c r="Q2146" s="14"/>
      <c r="R2146" s="14"/>
      <c r="S2146" s="14"/>
      <c r="T2146" s="14"/>
      <c r="U2146" s="14"/>
      <c r="V2146" s="14"/>
      <c r="W2146" s="14"/>
      <c r="X2146" s="14"/>
      <c r="Y2146" s="14"/>
      <c r="Z2146" s="14"/>
      <c r="AA2146" s="16"/>
      <c r="AB2146" s="10"/>
      <c r="AC2146" s="10"/>
      <c r="AD2146" s="10"/>
      <c r="AE2146" s="10"/>
      <c r="AF2146" s="10"/>
      <c r="AG2146" s="10"/>
      <c r="AH2146" s="10"/>
      <c r="AI2146" s="10"/>
      <c r="AJ2146" s="10"/>
      <c r="AK2146" s="10"/>
      <c r="AL2146" s="10"/>
      <c r="AM2146" s="10"/>
      <c r="AN2146" s="10"/>
      <c r="AO2146" s="10"/>
      <c r="AP2146" s="10"/>
      <c r="AQ2146" s="10"/>
      <c r="AR2146" s="10"/>
      <c r="AS2146" s="10"/>
      <c r="AT2146" s="10"/>
      <c r="AU2146" s="10"/>
      <c r="AV2146" s="10"/>
      <c r="AW2146" s="10"/>
      <c r="AX2146" s="10"/>
      <c r="AY2146" s="10"/>
      <c r="AZ2146" s="10"/>
      <c r="BA2146" s="10"/>
      <c r="BB2146" s="10"/>
      <c r="BC2146" s="10"/>
      <c r="BD2146" s="10"/>
      <c r="BE2146" s="10"/>
      <c r="BF2146" s="10"/>
      <c r="BG2146" s="10"/>
      <c r="BH2146" s="10"/>
      <c r="BI2146" s="10"/>
      <c r="BJ2146" s="10"/>
      <c r="BK2146" s="10"/>
      <c r="BM2146" s="10"/>
    </row>
    <row r="2147" spans="1:65" ht="12.75">
      <c r="A2147" s="9"/>
      <c r="B2147" s="10"/>
      <c r="C2147" s="11"/>
      <c r="D2147" s="12"/>
      <c r="E2147" s="10"/>
      <c r="F2147" s="10"/>
      <c r="G2147" s="10"/>
      <c r="H2147" s="14"/>
      <c r="I2147" s="14"/>
      <c r="J2147" s="14"/>
      <c r="K2147" s="14"/>
      <c r="L2147" s="14"/>
      <c r="M2147" s="15"/>
      <c r="N2147" s="10"/>
      <c r="O2147" s="14"/>
      <c r="P2147" s="14"/>
      <c r="Q2147" s="14"/>
      <c r="R2147" s="14"/>
      <c r="S2147" s="14"/>
      <c r="T2147" s="14"/>
      <c r="U2147" s="14"/>
      <c r="V2147" s="14"/>
      <c r="W2147" s="14"/>
      <c r="X2147" s="14"/>
      <c r="Y2147" s="14"/>
      <c r="Z2147" s="14"/>
      <c r="AA2147" s="16"/>
      <c r="AB2147" s="10"/>
      <c r="AC2147" s="10"/>
      <c r="AD2147" s="10"/>
      <c r="AE2147" s="10"/>
      <c r="AF2147" s="10"/>
      <c r="AG2147" s="10"/>
      <c r="AH2147" s="10"/>
      <c r="AI2147" s="10"/>
      <c r="AJ2147" s="10"/>
      <c r="AK2147" s="10"/>
      <c r="AL2147" s="10"/>
      <c r="AM2147" s="10"/>
      <c r="AN2147" s="10"/>
      <c r="AO2147" s="10"/>
      <c r="AP2147" s="10"/>
      <c r="AQ2147" s="10"/>
      <c r="AR2147" s="10"/>
      <c r="AS2147" s="10"/>
      <c r="AT2147" s="10"/>
      <c r="AU2147" s="10"/>
      <c r="AV2147" s="10"/>
      <c r="AW2147" s="10"/>
      <c r="AX2147" s="10"/>
      <c r="AY2147" s="10"/>
      <c r="AZ2147" s="10"/>
      <c r="BA2147" s="10"/>
      <c r="BB2147" s="10"/>
      <c r="BC2147" s="10"/>
      <c r="BD2147" s="10"/>
      <c r="BE2147" s="10"/>
      <c r="BF2147" s="10"/>
      <c r="BG2147" s="10"/>
      <c r="BH2147" s="10"/>
      <c r="BI2147" s="10"/>
      <c r="BJ2147" s="10"/>
      <c r="BK2147" s="10"/>
      <c r="BM2147" s="10"/>
    </row>
    <row r="2148" spans="1:65" ht="12.75">
      <c r="A2148" s="9"/>
      <c r="B2148" s="10"/>
      <c r="C2148" s="11"/>
      <c r="D2148" s="12"/>
      <c r="E2148" s="10"/>
      <c r="F2148" s="10"/>
      <c r="G2148" s="10"/>
      <c r="H2148" s="14"/>
      <c r="I2148" s="14"/>
      <c r="J2148" s="14"/>
      <c r="K2148" s="14"/>
      <c r="L2148" s="14"/>
      <c r="M2148" s="15"/>
      <c r="N2148" s="10"/>
      <c r="O2148" s="14"/>
      <c r="P2148" s="14"/>
      <c r="Q2148" s="14"/>
      <c r="R2148" s="14"/>
      <c r="S2148" s="14"/>
      <c r="T2148" s="14"/>
      <c r="U2148" s="14"/>
      <c r="V2148" s="14"/>
      <c r="W2148" s="14"/>
      <c r="X2148" s="14"/>
      <c r="Y2148" s="14"/>
      <c r="Z2148" s="14"/>
      <c r="AA2148" s="16"/>
      <c r="AB2148" s="10"/>
      <c r="AC2148" s="10"/>
      <c r="AD2148" s="10"/>
      <c r="AE2148" s="10"/>
      <c r="AF2148" s="10"/>
      <c r="AG2148" s="10"/>
      <c r="AH2148" s="10"/>
      <c r="AI2148" s="10"/>
      <c r="AJ2148" s="10"/>
      <c r="AK2148" s="10"/>
      <c r="AL2148" s="10"/>
      <c r="AM2148" s="10"/>
      <c r="AN2148" s="10"/>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10"/>
      <c r="BK2148" s="10"/>
      <c r="BM2148" s="10"/>
    </row>
    <row r="2149" spans="1:65" ht="12.75">
      <c r="A2149" s="9"/>
      <c r="B2149" s="10"/>
      <c r="C2149" s="11"/>
      <c r="D2149" s="12"/>
      <c r="E2149" s="10"/>
      <c r="F2149" s="10"/>
      <c r="G2149" s="10"/>
      <c r="H2149" s="14"/>
      <c r="I2149" s="14"/>
      <c r="J2149" s="14"/>
      <c r="K2149" s="14"/>
      <c r="L2149" s="14"/>
      <c r="M2149" s="15"/>
      <c r="N2149" s="10"/>
      <c r="O2149" s="14"/>
      <c r="P2149" s="14"/>
      <c r="Q2149" s="14"/>
      <c r="R2149" s="14"/>
      <c r="S2149" s="14"/>
      <c r="T2149" s="14"/>
      <c r="U2149" s="14"/>
      <c r="V2149" s="14"/>
      <c r="W2149" s="14"/>
      <c r="X2149" s="14"/>
      <c r="Y2149" s="14"/>
      <c r="Z2149" s="14"/>
      <c r="AA2149" s="16"/>
      <c r="AB2149" s="10"/>
      <c r="AC2149" s="10"/>
      <c r="AD2149" s="10"/>
      <c r="AE2149" s="10"/>
      <c r="AF2149" s="10"/>
      <c r="AG2149" s="10"/>
      <c r="AH2149" s="10"/>
      <c r="AI2149" s="10"/>
      <c r="AJ2149" s="10"/>
      <c r="AK2149" s="10"/>
      <c r="AL2149" s="10"/>
      <c r="AM2149" s="10"/>
      <c r="AN2149" s="10"/>
      <c r="AO2149" s="10"/>
      <c r="AP2149" s="10"/>
      <c r="AQ2149" s="10"/>
      <c r="AR2149" s="10"/>
      <c r="AS2149" s="10"/>
      <c r="AT2149" s="10"/>
      <c r="AU2149" s="10"/>
      <c r="AV2149" s="10"/>
      <c r="AW2149" s="10"/>
      <c r="AX2149" s="10"/>
      <c r="AY2149" s="10"/>
      <c r="AZ2149" s="10"/>
      <c r="BA2149" s="10"/>
      <c r="BB2149" s="10"/>
      <c r="BC2149" s="10"/>
      <c r="BD2149" s="10"/>
      <c r="BE2149" s="10"/>
      <c r="BF2149" s="10"/>
      <c r="BG2149" s="10"/>
      <c r="BH2149" s="10"/>
      <c r="BI2149" s="10"/>
      <c r="BJ2149" s="10"/>
      <c r="BK2149" s="10"/>
      <c r="BM2149" s="10"/>
    </row>
    <row r="2150" spans="1:65" ht="12.75">
      <c r="A2150" s="9"/>
      <c r="B2150" s="10"/>
      <c r="C2150" s="11"/>
      <c r="D2150" s="12"/>
      <c r="E2150" s="10"/>
      <c r="F2150" s="10"/>
      <c r="G2150" s="10"/>
      <c r="H2150" s="14"/>
      <c r="I2150" s="14"/>
      <c r="J2150" s="14"/>
      <c r="K2150" s="14"/>
      <c r="L2150" s="14"/>
      <c r="M2150" s="15"/>
      <c r="N2150" s="10"/>
      <c r="O2150" s="14"/>
      <c r="P2150" s="14"/>
      <c r="Q2150" s="14"/>
      <c r="R2150" s="14"/>
      <c r="S2150" s="14"/>
      <c r="T2150" s="14"/>
      <c r="U2150" s="14"/>
      <c r="V2150" s="14"/>
      <c r="W2150" s="14"/>
      <c r="X2150" s="14"/>
      <c r="Y2150" s="14"/>
      <c r="Z2150" s="14"/>
      <c r="AA2150" s="16"/>
      <c r="AB2150" s="10"/>
      <c r="AC2150" s="10"/>
      <c r="AD2150" s="10"/>
      <c r="AE2150" s="10"/>
      <c r="AF2150" s="10"/>
      <c r="AG2150" s="10"/>
      <c r="AH2150" s="10"/>
      <c r="AI2150" s="10"/>
      <c r="AJ2150" s="10"/>
      <c r="AK2150" s="10"/>
      <c r="AL2150" s="10"/>
      <c r="AM2150" s="10"/>
      <c r="AN2150" s="10"/>
      <c r="AO2150" s="10"/>
      <c r="AP2150" s="10"/>
      <c r="AQ2150" s="10"/>
      <c r="AR2150" s="10"/>
      <c r="AS2150" s="10"/>
      <c r="AT2150" s="10"/>
      <c r="AU2150" s="10"/>
      <c r="AV2150" s="10"/>
      <c r="AW2150" s="10"/>
      <c r="AX2150" s="10"/>
      <c r="AY2150" s="10"/>
      <c r="AZ2150" s="10"/>
      <c r="BA2150" s="10"/>
      <c r="BB2150" s="10"/>
      <c r="BC2150" s="10"/>
      <c r="BD2150" s="10"/>
      <c r="BE2150" s="10"/>
      <c r="BF2150" s="10"/>
      <c r="BG2150" s="10"/>
      <c r="BH2150" s="10"/>
      <c r="BI2150" s="10"/>
      <c r="BJ2150" s="10"/>
      <c r="BK2150" s="10"/>
      <c r="BM2150" s="10"/>
    </row>
    <row r="2151" spans="1:65" ht="12.75">
      <c r="A2151" s="9"/>
      <c r="B2151" s="10"/>
      <c r="C2151" s="11"/>
      <c r="D2151" s="12"/>
      <c r="E2151" s="10"/>
      <c r="F2151" s="10"/>
      <c r="G2151" s="10"/>
      <c r="H2151" s="14"/>
      <c r="I2151" s="14"/>
      <c r="J2151" s="14"/>
      <c r="K2151" s="14"/>
      <c r="L2151" s="14"/>
      <c r="M2151" s="15"/>
      <c r="N2151" s="10"/>
      <c r="O2151" s="14"/>
      <c r="P2151" s="14"/>
      <c r="Q2151" s="14"/>
      <c r="R2151" s="14"/>
      <c r="S2151" s="14"/>
      <c r="T2151" s="14"/>
      <c r="U2151" s="14"/>
      <c r="V2151" s="14"/>
      <c r="W2151" s="14"/>
      <c r="X2151" s="14"/>
      <c r="Y2151" s="14"/>
      <c r="Z2151" s="14"/>
      <c r="AA2151" s="16"/>
      <c r="AB2151" s="10"/>
      <c r="AC2151" s="10"/>
      <c r="AD2151" s="10"/>
      <c r="AE2151" s="10"/>
      <c r="AF2151" s="10"/>
      <c r="AG2151" s="10"/>
      <c r="AH2151" s="10"/>
      <c r="AI2151" s="10"/>
      <c r="AJ2151" s="10"/>
      <c r="AK2151" s="10"/>
      <c r="AL2151" s="10"/>
      <c r="AM2151" s="10"/>
      <c r="AN2151" s="10"/>
      <c r="AO2151" s="10"/>
      <c r="AP2151" s="10"/>
      <c r="AQ2151" s="10"/>
      <c r="AR2151" s="10"/>
      <c r="AS2151" s="10"/>
      <c r="AT2151" s="10"/>
      <c r="AU2151" s="10"/>
      <c r="AV2151" s="10"/>
      <c r="AW2151" s="10"/>
      <c r="AX2151" s="10"/>
      <c r="AY2151" s="10"/>
      <c r="AZ2151" s="10"/>
      <c r="BA2151" s="10"/>
      <c r="BB2151" s="10"/>
      <c r="BC2151" s="10"/>
      <c r="BD2151" s="10"/>
      <c r="BE2151" s="10"/>
      <c r="BF2151" s="10"/>
      <c r="BG2151" s="10"/>
      <c r="BH2151" s="10"/>
      <c r="BI2151" s="10"/>
      <c r="BJ2151" s="10"/>
      <c r="BK2151" s="10"/>
      <c r="BM2151" s="10"/>
    </row>
    <row r="2152" spans="1:65" ht="12.75">
      <c r="A2152" s="9"/>
      <c r="B2152" s="10"/>
      <c r="C2152" s="11"/>
      <c r="D2152" s="12"/>
      <c r="E2152" s="10"/>
      <c r="F2152" s="10"/>
      <c r="G2152" s="10"/>
      <c r="H2152" s="14"/>
      <c r="I2152" s="14"/>
      <c r="J2152" s="14"/>
      <c r="K2152" s="14"/>
      <c r="L2152" s="14"/>
      <c r="M2152" s="15"/>
      <c r="N2152" s="10"/>
      <c r="O2152" s="14"/>
      <c r="P2152" s="14"/>
      <c r="Q2152" s="14"/>
      <c r="R2152" s="14"/>
      <c r="S2152" s="14"/>
      <c r="T2152" s="14"/>
      <c r="U2152" s="14"/>
      <c r="V2152" s="14"/>
      <c r="W2152" s="14"/>
      <c r="X2152" s="14"/>
      <c r="Y2152" s="14"/>
      <c r="Z2152" s="14"/>
      <c r="AA2152" s="16"/>
      <c r="AB2152" s="10"/>
      <c r="AC2152" s="10"/>
      <c r="AD2152" s="10"/>
      <c r="AE2152" s="10"/>
      <c r="AF2152" s="10"/>
      <c r="AG2152" s="10"/>
      <c r="AH2152" s="10"/>
      <c r="AI2152" s="10"/>
      <c r="AJ2152" s="10"/>
      <c r="AK2152" s="10"/>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10"/>
      <c r="BJ2152" s="10"/>
      <c r="BK2152" s="10"/>
      <c r="BM2152" s="10"/>
    </row>
    <row r="2153" spans="1:65" ht="12.75">
      <c r="A2153" s="9"/>
      <c r="B2153" s="10"/>
      <c r="C2153" s="11"/>
      <c r="D2153" s="12"/>
      <c r="E2153" s="10"/>
      <c r="F2153" s="10"/>
      <c r="G2153" s="10"/>
      <c r="H2153" s="14"/>
      <c r="I2153" s="14"/>
      <c r="J2153" s="14"/>
      <c r="K2153" s="14"/>
      <c r="L2153" s="14"/>
      <c r="M2153" s="15"/>
      <c r="N2153" s="10"/>
      <c r="O2153" s="14"/>
      <c r="P2153" s="14"/>
      <c r="Q2153" s="14"/>
      <c r="R2153" s="14"/>
      <c r="S2153" s="14"/>
      <c r="T2153" s="14"/>
      <c r="U2153" s="14"/>
      <c r="V2153" s="14"/>
      <c r="W2153" s="14"/>
      <c r="X2153" s="14"/>
      <c r="Y2153" s="14"/>
      <c r="Z2153" s="14"/>
      <c r="AA2153" s="16"/>
      <c r="AB2153" s="10"/>
      <c r="AC2153" s="10"/>
      <c r="AD2153" s="10"/>
      <c r="AE2153" s="10"/>
      <c r="AF2153" s="10"/>
      <c r="AG2153" s="10"/>
      <c r="AH2153" s="10"/>
      <c r="AI2153" s="10"/>
      <c r="AJ2153" s="10"/>
      <c r="AK2153" s="10"/>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10"/>
      <c r="BJ2153" s="10"/>
      <c r="BK2153" s="10"/>
      <c r="BM2153" s="10"/>
    </row>
    <row r="2154" spans="1:65" ht="12.75">
      <c r="A2154" s="9"/>
      <c r="B2154" s="10"/>
      <c r="C2154" s="11"/>
      <c r="D2154" s="12"/>
      <c r="E2154" s="10"/>
      <c r="F2154" s="10"/>
      <c r="G2154" s="10"/>
      <c r="H2154" s="14"/>
      <c r="I2154" s="14"/>
      <c r="J2154" s="14"/>
      <c r="K2154" s="14"/>
      <c r="L2154" s="14"/>
      <c r="M2154" s="15"/>
      <c r="N2154" s="10"/>
      <c r="O2154" s="14"/>
      <c r="P2154" s="14"/>
      <c r="Q2154" s="14"/>
      <c r="R2154" s="14"/>
      <c r="S2154" s="14"/>
      <c r="T2154" s="14"/>
      <c r="U2154" s="14"/>
      <c r="V2154" s="14"/>
      <c r="W2154" s="14"/>
      <c r="X2154" s="14"/>
      <c r="Y2154" s="14"/>
      <c r="Z2154" s="14"/>
      <c r="AA2154" s="16"/>
      <c r="AB2154" s="10"/>
      <c r="AC2154" s="10"/>
      <c r="AD2154" s="10"/>
      <c r="AE2154" s="10"/>
      <c r="AF2154" s="10"/>
      <c r="AG2154" s="10"/>
      <c r="AH2154" s="10"/>
      <c r="AI2154" s="10"/>
      <c r="AJ2154" s="10"/>
      <c r="AK2154" s="10"/>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10"/>
      <c r="BJ2154" s="10"/>
      <c r="BK2154" s="10"/>
      <c r="BM2154" s="10"/>
    </row>
    <row r="2155" spans="1:65" ht="12.75">
      <c r="A2155" s="9"/>
      <c r="B2155" s="10"/>
      <c r="C2155" s="11"/>
      <c r="D2155" s="12"/>
      <c r="E2155" s="10"/>
      <c r="F2155" s="10"/>
      <c r="G2155" s="10"/>
      <c r="H2155" s="14"/>
      <c r="I2155" s="14"/>
      <c r="J2155" s="14"/>
      <c r="K2155" s="14"/>
      <c r="L2155" s="14"/>
      <c r="M2155" s="15"/>
      <c r="N2155" s="10"/>
      <c r="O2155" s="14"/>
      <c r="P2155" s="14"/>
      <c r="Q2155" s="14"/>
      <c r="R2155" s="14"/>
      <c r="S2155" s="14"/>
      <c r="T2155" s="14"/>
      <c r="U2155" s="14"/>
      <c r="V2155" s="14"/>
      <c r="W2155" s="14"/>
      <c r="X2155" s="14"/>
      <c r="Y2155" s="14"/>
      <c r="Z2155" s="14"/>
      <c r="AA2155" s="16"/>
      <c r="AB2155" s="10"/>
      <c r="AC2155" s="10"/>
      <c r="AD2155" s="10"/>
      <c r="AE2155" s="10"/>
      <c r="AF2155" s="10"/>
      <c r="AG2155" s="10"/>
      <c r="AH2155" s="10"/>
      <c r="AI2155" s="10"/>
      <c r="AJ2155" s="10"/>
      <c r="AK2155" s="10"/>
      <c r="AL2155" s="10"/>
      <c r="AM2155" s="10"/>
      <c r="AN2155" s="10"/>
      <c r="AO2155" s="10"/>
      <c r="AP2155" s="10"/>
      <c r="AQ2155" s="10"/>
      <c r="AR2155" s="10"/>
      <c r="AS2155" s="10"/>
      <c r="AT2155" s="10"/>
      <c r="AU2155" s="10"/>
      <c r="AV2155" s="10"/>
      <c r="AW2155" s="10"/>
      <c r="AX2155" s="10"/>
      <c r="AY2155" s="10"/>
      <c r="AZ2155" s="10"/>
      <c r="BA2155" s="10"/>
      <c r="BB2155" s="10"/>
      <c r="BC2155" s="10"/>
      <c r="BD2155" s="10"/>
      <c r="BE2155" s="10"/>
      <c r="BF2155" s="10"/>
      <c r="BG2155" s="10"/>
      <c r="BH2155" s="10"/>
      <c r="BI2155" s="10"/>
      <c r="BJ2155" s="10"/>
      <c r="BK2155" s="10"/>
      <c r="BM2155" s="10"/>
    </row>
    <row r="2156" spans="1:65" ht="12.75">
      <c r="A2156" s="9"/>
      <c r="B2156" s="10"/>
      <c r="C2156" s="11"/>
      <c r="D2156" s="12"/>
      <c r="E2156" s="10"/>
      <c r="F2156" s="10"/>
      <c r="G2156" s="10"/>
      <c r="H2156" s="14"/>
      <c r="I2156" s="14"/>
      <c r="J2156" s="14"/>
      <c r="K2156" s="14"/>
      <c r="L2156" s="14"/>
      <c r="M2156" s="15"/>
      <c r="N2156" s="10"/>
      <c r="O2156" s="14"/>
      <c r="P2156" s="14"/>
      <c r="Q2156" s="14"/>
      <c r="R2156" s="14"/>
      <c r="S2156" s="14"/>
      <c r="T2156" s="14"/>
      <c r="U2156" s="14"/>
      <c r="V2156" s="14"/>
      <c r="W2156" s="14"/>
      <c r="X2156" s="14"/>
      <c r="Y2156" s="14"/>
      <c r="Z2156" s="14"/>
      <c r="AA2156" s="16"/>
      <c r="AB2156" s="10"/>
      <c r="AC2156" s="10"/>
      <c r="AD2156" s="10"/>
      <c r="AE2156" s="10"/>
      <c r="AF2156" s="10"/>
      <c r="AG2156" s="10"/>
      <c r="AH2156" s="10"/>
      <c r="AI2156" s="10"/>
      <c r="AJ2156" s="10"/>
      <c r="AK2156" s="10"/>
      <c r="AL2156" s="10"/>
      <c r="AM2156" s="10"/>
      <c r="AN2156" s="10"/>
      <c r="AO2156" s="10"/>
      <c r="AP2156" s="10"/>
      <c r="AQ2156" s="10"/>
      <c r="AR2156" s="10"/>
      <c r="AS2156" s="10"/>
      <c r="AT2156" s="10"/>
      <c r="AU2156" s="10"/>
      <c r="AV2156" s="10"/>
      <c r="AW2156" s="10"/>
      <c r="AX2156" s="10"/>
      <c r="AY2156" s="10"/>
      <c r="AZ2156" s="10"/>
      <c r="BA2156" s="10"/>
      <c r="BB2156" s="10"/>
      <c r="BC2156" s="10"/>
      <c r="BD2156" s="10"/>
      <c r="BE2156" s="10"/>
      <c r="BF2156" s="10"/>
      <c r="BG2156" s="10"/>
      <c r="BH2156" s="10"/>
      <c r="BI2156" s="10"/>
      <c r="BJ2156" s="10"/>
      <c r="BK2156" s="10"/>
      <c r="BM2156" s="10"/>
    </row>
    <row r="2157" spans="1:65" ht="12.75">
      <c r="A2157" s="9"/>
      <c r="B2157" s="10"/>
      <c r="C2157" s="11"/>
      <c r="D2157" s="12"/>
      <c r="E2157" s="10"/>
      <c r="F2157" s="10"/>
      <c r="G2157" s="10"/>
      <c r="H2157" s="14"/>
      <c r="I2157" s="14"/>
      <c r="J2157" s="14"/>
      <c r="K2157" s="14"/>
      <c r="L2157" s="14"/>
      <c r="M2157" s="15"/>
      <c r="N2157" s="10"/>
      <c r="O2157" s="14"/>
      <c r="P2157" s="14"/>
      <c r="Q2157" s="14"/>
      <c r="R2157" s="14"/>
      <c r="S2157" s="14"/>
      <c r="T2157" s="14"/>
      <c r="U2157" s="14"/>
      <c r="V2157" s="14"/>
      <c r="W2157" s="14"/>
      <c r="X2157" s="14"/>
      <c r="Y2157" s="14"/>
      <c r="Z2157" s="14"/>
      <c r="AA2157" s="16"/>
      <c r="AB2157" s="10"/>
      <c r="AC2157" s="10"/>
      <c r="AD2157" s="10"/>
      <c r="AE2157" s="10"/>
      <c r="AF2157" s="10"/>
      <c r="AG2157" s="10"/>
      <c r="AH2157" s="10"/>
      <c r="AI2157" s="10"/>
      <c r="AJ2157" s="10"/>
      <c r="AK2157" s="10"/>
      <c r="AL2157" s="10"/>
      <c r="AM2157" s="10"/>
      <c r="AN2157" s="10"/>
      <c r="AO2157" s="10"/>
      <c r="AP2157" s="10"/>
      <c r="AQ2157" s="10"/>
      <c r="AR2157" s="10"/>
      <c r="AS2157" s="10"/>
      <c r="AT2157" s="10"/>
      <c r="AU2157" s="10"/>
      <c r="AV2157" s="10"/>
      <c r="AW2157" s="10"/>
      <c r="AX2157" s="10"/>
      <c r="AY2157" s="10"/>
      <c r="AZ2157" s="10"/>
      <c r="BA2157" s="10"/>
      <c r="BB2157" s="10"/>
      <c r="BC2157" s="10"/>
      <c r="BD2157" s="10"/>
      <c r="BE2157" s="10"/>
      <c r="BF2157" s="10"/>
      <c r="BG2157" s="10"/>
      <c r="BH2157" s="10"/>
      <c r="BI2157" s="10"/>
      <c r="BJ2157" s="10"/>
      <c r="BK2157" s="10"/>
      <c r="BM2157" s="10"/>
    </row>
    <row r="2158" spans="1:65" ht="12.75">
      <c r="A2158" s="9"/>
      <c r="B2158" s="10"/>
      <c r="C2158" s="11"/>
      <c r="D2158" s="12"/>
      <c r="E2158" s="10"/>
      <c r="F2158" s="10"/>
      <c r="G2158" s="10"/>
      <c r="H2158" s="14"/>
      <c r="I2158" s="14"/>
      <c r="J2158" s="14"/>
      <c r="K2158" s="14"/>
      <c r="L2158" s="14"/>
      <c r="M2158" s="15"/>
      <c r="N2158" s="10"/>
      <c r="O2158" s="14"/>
      <c r="P2158" s="14"/>
      <c r="Q2158" s="14"/>
      <c r="R2158" s="14"/>
      <c r="S2158" s="14"/>
      <c r="T2158" s="14"/>
      <c r="U2158" s="14"/>
      <c r="V2158" s="14"/>
      <c r="W2158" s="14"/>
      <c r="X2158" s="14"/>
      <c r="Y2158" s="14"/>
      <c r="Z2158" s="14"/>
      <c r="AA2158" s="16"/>
      <c r="AB2158" s="10"/>
      <c r="AC2158" s="10"/>
      <c r="AD2158" s="10"/>
      <c r="AE2158" s="10"/>
      <c r="AF2158" s="10"/>
      <c r="AG2158" s="10"/>
      <c r="AH2158" s="10"/>
      <c r="AI2158" s="10"/>
      <c r="AJ2158" s="10"/>
      <c r="AK2158" s="10"/>
      <c r="AL2158" s="10"/>
      <c r="AM2158" s="10"/>
      <c r="AN2158" s="10"/>
      <c r="AO2158" s="10"/>
      <c r="AP2158" s="10"/>
      <c r="AQ2158" s="10"/>
      <c r="AR2158" s="10"/>
      <c r="AS2158" s="10"/>
      <c r="AT2158" s="10"/>
      <c r="AU2158" s="10"/>
      <c r="AV2158" s="10"/>
      <c r="AW2158" s="10"/>
      <c r="AX2158" s="10"/>
      <c r="AY2158" s="10"/>
      <c r="AZ2158" s="10"/>
      <c r="BA2158" s="10"/>
      <c r="BB2158" s="10"/>
      <c r="BC2158" s="10"/>
      <c r="BD2158" s="10"/>
      <c r="BE2158" s="10"/>
      <c r="BF2158" s="10"/>
      <c r="BG2158" s="10"/>
      <c r="BH2158" s="10"/>
      <c r="BI2158" s="10"/>
      <c r="BJ2158" s="10"/>
      <c r="BK2158" s="10"/>
      <c r="BM2158" s="10"/>
    </row>
    <row r="2159" spans="1:65" ht="12.75">
      <c r="A2159" s="9"/>
      <c r="B2159" s="10"/>
      <c r="C2159" s="11"/>
      <c r="D2159" s="12"/>
      <c r="E2159" s="10"/>
      <c r="F2159" s="10"/>
      <c r="G2159" s="10"/>
      <c r="H2159" s="14"/>
      <c r="I2159" s="14"/>
      <c r="J2159" s="14"/>
      <c r="K2159" s="14"/>
      <c r="L2159" s="14"/>
      <c r="M2159" s="15"/>
      <c r="N2159" s="10"/>
      <c r="O2159" s="14"/>
      <c r="P2159" s="14"/>
      <c r="Q2159" s="14"/>
      <c r="R2159" s="14"/>
      <c r="S2159" s="14"/>
      <c r="T2159" s="14"/>
      <c r="U2159" s="14"/>
      <c r="V2159" s="14"/>
      <c r="W2159" s="14"/>
      <c r="X2159" s="14"/>
      <c r="Y2159" s="14"/>
      <c r="Z2159" s="14"/>
      <c r="AA2159" s="16"/>
      <c r="AB2159" s="10"/>
      <c r="AC2159" s="10"/>
      <c r="AD2159" s="10"/>
      <c r="AE2159" s="10"/>
      <c r="AF2159" s="10"/>
      <c r="AG2159" s="10"/>
      <c r="AH2159" s="10"/>
      <c r="AI2159" s="10"/>
      <c r="AJ2159" s="10"/>
      <c r="AK2159" s="10"/>
      <c r="AL2159" s="10"/>
      <c r="AM2159" s="10"/>
      <c r="AN2159" s="10"/>
      <c r="AO2159" s="10"/>
      <c r="AP2159" s="10"/>
      <c r="AQ2159" s="10"/>
      <c r="AR2159" s="10"/>
      <c r="AS2159" s="10"/>
      <c r="AT2159" s="10"/>
      <c r="AU2159" s="10"/>
      <c r="AV2159" s="10"/>
      <c r="AW2159" s="10"/>
      <c r="AX2159" s="10"/>
      <c r="AY2159" s="10"/>
      <c r="AZ2159" s="10"/>
      <c r="BA2159" s="10"/>
      <c r="BB2159" s="10"/>
      <c r="BC2159" s="10"/>
      <c r="BD2159" s="10"/>
      <c r="BE2159" s="10"/>
      <c r="BF2159" s="10"/>
      <c r="BG2159" s="10"/>
      <c r="BH2159" s="10"/>
      <c r="BI2159" s="10"/>
      <c r="BJ2159" s="10"/>
      <c r="BK2159" s="10"/>
      <c r="BM2159" s="10"/>
    </row>
    <row r="2160" spans="1:65" ht="12.75">
      <c r="A2160" s="9"/>
      <c r="B2160" s="10"/>
      <c r="C2160" s="11"/>
      <c r="D2160" s="12"/>
      <c r="E2160" s="10"/>
      <c r="F2160" s="10"/>
      <c r="G2160" s="10"/>
      <c r="H2160" s="14"/>
      <c r="I2160" s="14"/>
      <c r="J2160" s="14"/>
      <c r="K2160" s="14"/>
      <c r="L2160" s="14"/>
      <c r="M2160" s="15"/>
      <c r="N2160" s="10"/>
      <c r="O2160" s="14"/>
      <c r="P2160" s="14"/>
      <c r="Q2160" s="14"/>
      <c r="R2160" s="14"/>
      <c r="S2160" s="14"/>
      <c r="T2160" s="14"/>
      <c r="U2160" s="14"/>
      <c r="V2160" s="14"/>
      <c r="W2160" s="14"/>
      <c r="X2160" s="14"/>
      <c r="Y2160" s="14"/>
      <c r="Z2160" s="14"/>
      <c r="AA2160" s="16"/>
      <c r="AB2160" s="10"/>
      <c r="AC2160" s="10"/>
      <c r="AD2160" s="10"/>
      <c r="AE2160" s="10"/>
      <c r="AF2160" s="10"/>
      <c r="AG2160" s="10"/>
      <c r="AH2160" s="10"/>
      <c r="AI2160" s="10"/>
      <c r="AJ2160" s="10"/>
      <c r="AK2160" s="10"/>
      <c r="AL2160" s="10"/>
      <c r="AM2160" s="10"/>
      <c r="AN2160" s="10"/>
      <c r="AO2160" s="10"/>
      <c r="AP2160" s="10"/>
      <c r="AQ2160" s="10"/>
      <c r="AR2160" s="10"/>
      <c r="AS2160" s="10"/>
      <c r="AT2160" s="10"/>
      <c r="AU2160" s="10"/>
      <c r="AV2160" s="10"/>
      <c r="AW2160" s="10"/>
      <c r="AX2160" s="10"/>
      <c r="AY2160" s="10"/>
      <c r="AZ2160" s="10"/>
      <c r="BA2160" s="10"/>
      <c r="BB2160" s="10"/>
      <c r="BC2160" s="10"/>
      <c r="BD2160" s="10"/>
      <c r="BE2160" s="10"/>
      <c r="BF2160" s="10"/>
      <c r="BG2160" s="10"/>
      <c r="BH2160" s="10"/>
      <c r="BI2160" s="10"/>
      <c r="BJ2160" s="10"/>
      <c r="BK2160" s="10"/>
      <c r="BM2160" s="10"/>
    </row>
    <row r="2161" spans="1:65" ht="12.75">
      <c r="A2161" s="9"/>
      <c r="B2161" s="10"/>
      <c r="C2161" s="11"/>
      <c r="D2161" s="12"/>
      <c r="E2161" s="10"/>
      <c r="F2161" s="10"/>
      <c r="G2161" s="10"/>
      <c r="H2161" s="14"/>
      <c r="I2161" s="14"/>
      <c r="J2161" s="14"/>
      <c r="K2161" s="14"/>
      <c r="L2161" s="14"/>
      <c r="M2161" s="15"/>
      <c r="N2161" s="10"/>
      <c r="O2161" s="14"/>
      <c r="P2161" s="14"/>
      <c r="Q2161" s="14"/>
      <c r="R2161" s="14"/>
      <c r="S2161" s="14"/>
      <c r="T2161" s="14"/>
      <c r="U2161" s="14"/>
      <c r="V2161" s="14"/>
      <c r="W2161" s="14"/>
      <c r="X2161" s="14"/>
      <c r="Y2161" s="14"/>
      <c r="Z2161" s="14"/>
      <c r="AA2161" s="16"/>
      <c r="AB2161" s="10"/>
      <c r="AC2161" s="10"/>
      <c r="AD2161" s="10"/>
      <c r="AE2161" s="10"/>
      <c r="AF2161" s="10"/>
      <c r="AG2161" s="10"/>
      <c r="AH2161" s="10"/>
      <c r="AI2161" s="10"/>
      <c r="AJ2161" s="10"/>
      <c r="AK2161" s="10"/>
      <c r="AL2161" s="10"/>
      <c r="AM2161" s="10"/>
      <c r="AN2161" s="10"/>
      <c r="AO2161" s="10"/>
      <c r="AP2161" s="10"/>
      <c r="AQ2161" s="10"/>
      <c r="AR2161" s="10"/>
      <c r="AS2161" s="10"/>
      <c r="AT2161" s="10"/>
      <c r="AU2161" s="10"/>
      <c r="AV2161" s="10"/>
      <c r="AW2161" s="10"/>
      <c r="AX2161" s="10"/>
      <c r="AY2161" s="10"/>
      <c r="AZ2161" s="10"/>
      <c r="BA2161" s="10"/>
      <c r="BB2161" s="10"/>
      <c r="BC2161" s="10"/>
      <c r="BD2161" s="10"/>
      <c r="BE2161" s="10"/>
      <c r="BF2161" s="10"/>
      <c r="BG2161" s="10"/>
      <c r="BH2161" s="10"/>
      <c r="BI2161" s="10"/>
      <c r="BJ2161" s="10"/>
      <c r="BK2161" s="10"/>
      <c r="BM2161" s="10"/>
    </row>
    <row r="2162" spans="1:65" ht="12.75">
      <c r="A2162" s="9"/>
      <c r="B2162" s="10"/>
      <c r="C2162" s="11"/>
      <c r="D2162" s="12"/>
      <c r="E2162" s="10"/>
      <c r="F2162" s="10"/>
      <c r="G2162" s="10"/>
      <c r="H2162" s="14"/>
      <c r="I2162" s="14"/>
      <c r="J2162" s="14"/>
      <c r="K2162" s="14"/>
      <c r="L2162" s="14"/>
      <c r="M2162" s="15"/>
      <c r="N2162" s="10"/>
      <c r="O2162" s="14"/>
      <c r="P2162" s="14"/>
      <c r="Q2162" s="14"/>
      <c r="R2162" s="14"/>
      <c r="S2162" s="14"/>
      <c r="T2162" s="14"/>
      <c r="U2162" s="14"/>
      <c r="V2162" s="14"/>
      <c r="W2162" s="14"/>
      <c r="X2162" s="14"/>
      <c r="Y2162" s="14"/>
      <c r="Z2162" s="14"/>
      <c r="AA2162" s="16"/>
      <c r="AB2162" s="10"/>
      <c r="AC2162" s="10"/>
      <c r="AD2162" s="10"/>
      <c r="AE2162" s="10"/>
      <c r="AF2162" s="10"/>
      <c r="AG2162" s="10"/>
      <c r="AH2162" s="10"/>
      <c r="AI2162" s="10"/>
      <c r="AJ2162" s="10"/>
      <c r="AK2162" s="10"/>
      <c r="AL2162" s="10"/>
      <c r="AM2162" s="10"/>
      <c r="AN2162" s="10"/>
      <c r="AO2162" s="10"/>
      <c r="AP2162" s="10"/>
      <c r="AQ2162" s="10"/>
      <c r="AR2162" s="10"/>
      <c r="AS2162" s="10"/>
      <c r="AT2162" s="10"/>
      <c r="AU2162" s="10"/>
      <c r="AV2162" s="10"/>
      <c r="AW2162" s="10"/>
      <c r="AX2162" s="10"/>
      <c r="AY2162" s="10"/>
      <c r="AZ2162" s="10"/>
      <c r="BA2162" s="10"/>
      <c r="BB2162" s="10"/>
      <c r="BC2162" s="10"/>
      <c r="BD2162" s="10"/>
      <c r="BE2162" s="10"/>
      <c r="BF2162" s="10"/>
      <c r="BG2162" s="10"/>
      <c r="BH2162" s="10"/>
      <c r="BI2162" s="10"/>
      <c r="BJ2162" s="10"/>
      <c r="BK2162" s="10"/>
      <c r="BM2162" s="10"/>
    </row>
    <row r="2163" spans="1:65" ht="12.75">
      <c r="A2163" s="9"/>
      <c r="B2163" s="10"/>
      <c r="C2163" s="11"/>
      <c r="D2163" s="12"/>
      <c r="E2163" s="10"/>
      <c r="F2163" s="10"/>
      <c r="G2163" s="10"/>
      <c r="H2163" s="14"/>
      <c r="I2163" s="14"/>
      <c r="J2163" s="14"/>
      <c r="K2163" s="14"/>
      <c r="L2163" s="14"/>
      <c r="M2163" s="15"/>
      <c r="N2163" s="10"/>
      <c r="O2163" s="14"/>
      <c r="P2163" s="14"/>
      <c r="Q2163" s="14"/>
      <c r="R2163" s="14"/>
      <c r="S2163" s="14"/>
      <c r="T2163" s="14"/>
      <c r="U2163" s="14"/>
      <c r="V2163" s="14"/>
      <c r="W2163" s="14"/>
      <c r="X2163" s="14"/>
      <c r="Y2163" s="14"/>
      <c r="Z2163" s="14"/>
      <c r="AA2163" s="16"/>
      <c r="AB2163" s="10"/>
      <c r="AC2163" s="10"/>
      <c r="AD2163" s="10"/>
      <c r="AE2163" s="10"/>
      <c r="AF2163" s="10"/>
      <c r="AG2163" s="10"/>
      <c r="AH2163" s="10"/>
      <c r="AI2163" s="10"/>
      <c r="AJ2163" s="10"/>
      <c r="AK2163" s="10"/>
      <c r="AL2163" s="10"/>
      <c r="AM2163" s="10"/>
      <c r="AN2163" s="10"/>
      <c r="AO2163" s="10"/>
      <c r="AP2163" s="10"/>
      <c r="AQ2163" s="10"/>
      <c r="AR2163" s="10"/>
      <c r="AS2163" s="10"/>
      <c r="AT2163" s="10"/>
      <c r="AU2163" s="10"/>
      <c r="AV2163" s="10"/>
      <c r="AW2163" s="10"/>
      <c r="AX2163" s="10"/>
      <c r="AY2163" s="10"/>
      <c r="AZ2163" s="10"/>
      <c r="BA2163" s="10"/>
      <c r="BB2163" s="10"/>
      <c r="BC2163" s="10"/>
      <c r="BD2163" s="10"/>
      <c r="BE2163" s="10"/>
      <c r="BF2163" s="10"/>
      <c r="BG2163" s="10"/>
      <c r="BH2163" s="10"/>
      <c r="BI2163" s="10"/>
      <c r="BJ2163" s="10"/>
      <c r="BK2163" s="10"/>
      <c r="BM2163" s="10"/>
    </row>
    <row r="2164" spans="1:65" ht="12.75">
      <c r="A2164" s="9"/>
      <c r="B2164" s="10"/>
      <c r="C2164" s="11"/>
      <c r="D2164" s="12"/>
      <c r="E2164" s="10"/>
      <c r="F2164" s="10"/>
      <c r="G2164" s="10"/>
      <c r="H2164" s="14"/>
      <c r="I2164" s="14"/>
      <c r="J2164" s="14"/>
      <c r="K2164" s="14"/>
      <c r="L2164" s="14"/>
      <c r="M2164" s="15"/>
      <c r="N2164" s="10"/>
      <c r="O2164" s="14"/>
      <c r="P2164" s="14"/>
      <c r="Q2164" s="14"/>
      <c r="R2164" s="14"/>
      <c r="S2164" s="14"/>
      <c r="T2164" s="14"/>
      <c r="U2164" s="14"/>
      <c r="V2164" s="14"/>
      <c r="W2164" s="14"/>
      <c r="X2164" s="14"/>
      <c r="Y2164" s="14"/>
      <c r="Z2164" s="14"/>
      <c r="AA2164" s="16"/>
      <c r="AB2164" s="10"/>
      <c r="AC2164" s="10"/>
      <c r="AD2164" s="10"/>
      <c r="AE2164" s="10"/>
      <c r="AF2164" s="10"/>
      <c r="AG2164" s="10"/>
      <c r="AH2164" s="10"/>
      <c r="AI2164" s="10"/>
      <c r="AJ2164" s="10"/>
      <c r="AK2164" s="10"/>
      <c r="AL2164" s="10"/>
      <c r="AM2164" s="10"/>
      <c r="AN2164" s="10"/>
      <c r="AO2164" s="10"/>
      <c r="AP2164" s="10"/>
      <c r="AQ2164" s="10"/>
      <c r="AR2164" s="10"/>
      <c r="AS2164" s="10"/>
      <c r="AT2164" s="10"/>
      <c r="AU2164" s="10"/>
      <c r="AV2164" s="10"/>
      <c r="AW2164" s="10"/>
      <c r="AX2164" s="10"/>
      <c r="AY2164" s="10"/>
      <c r="AZ2164" s="10"/>
      <c r="BA2164" s="10"/>
      <c r="BB2164" s="10"/>
      <c r="BC2164" s="10"/>
      <c r="BD2164" s="10"/>
      <c r="BE2164" s="10"/>
      <c r="BF2164" s="10"/>
      <c r="BG2164" s="10"/>
      <c r="BH2164" s="10"/>
      <c r="BI2164" s="10"/>
      <c r="BJ2164" s="10"/>
      <c r="BK2164" s="10"/>
      <c r="BM2164" s="10"/>
    </row>
    <row r="2165" spans="1:65" ht="12.75">
      <c r="A2165" s="9"/>
      <c r="B2165" s="10"/>
      <c r="C2165" s="11"/>
      <c r="D2165" s="12"/>
      <c r="E2165" s="10"/>
      <c r="F2165" s="10"/>
      <c r="G2165" s="10"/>
      <c r="H2165" s="14"/>
      <c r="I2165" s="14"/>
      <c r="J2165" s="14"/>
      <c r="K2165" s="14"/>
      <c r="L2165" s="14"/>
      <c r="M2165" s="15"/>
      <c r="N2165" s="10"/>
      <c r="O2165" s="14"/>
      <c r="P2165" s="14"/>
      <c r="Q2165" s="14"/>
      <c r="R2165" s="14"/>
      <c r="S2165" s="14"/>
      <c r="T2165" s="14"/>
      <c r="U2165" s="14"/>
      <c r="V2165" s="14"/>
      <c r="W2165" s="14"/>
      <c r="X2165" s="14"/>
      <c r="Y2165" s="14"/>
      <c r="Z2165" s="14"/>
      <c r="AA2165" s="16"/>
      <c r="AB2165" s="10"/>
      <c r="AC2165" s="10"/>
      <c r="AD2165" s="10"/>
      <c r="AE2165" s="10"/>
      <c r="AF2165" s="10"/>
      <c r="AG2165" s="10"/>
      <c r="AH2165" s="10"/>
      <c r="AI2165" s="10"/>
      <c r="AJ2165" s="10"/>
      <c r="AK2165" s="10"/>
      <c r="AL2165" s="10"/>
      <c r="AM2165" s="10"/>
      <c r="AN2165" s="10"/>
      <c r="AO2165" s="10"/>
      <c r="AP2165" s="10"/>
      <c r="AQ2165" s="10"/>
      <c r="AR2165" s="10"/>
      <c r="AS2165" s="10"/>
      <c r="AT2165" s="10"/>
      <c r="AU2165" s="10"/>
      <c r="AV2165" s="10"/>
      <c r="AW2165" s="10"/>
      <c r="AX2165" s="10"/>
      <c r="AY2165" s="10"/>
      <c r="AZ2165" s="10"/>
      <c r="BA2165" s="10"/>
      <c r="BB2165" s="10"/>
      <c r="BC2165" s="10"/>
      <c r="BD2165" s="10"/>
      <c r="BE2165" s="10"/>
      <c r="BF2165" s="10"/>
      <c r="BG2165" s="10"/>
      <c r="BH2165" s="10"/>
      <c r="BI2165" s="10"/>
      <c r="BJ2165" s="10"/>
      <c r="BK2165" s="10"/>
      <c r="BM2165" s="10"/>
    </row>
    <row r="2166" spans="1:65" ht="12.75">
      <c r="A2166" s="9"/>
      <c r="B2166" s="10"/>
      <c r="C2166" s="11"/>
      <c r="D2166" s="12"/>
      <c r="E2166" s="10"/>
      <c r="F2166" s="10"/>
      <c r="G2166" s="10"/>
      <c r="H2166" s="14"/>
      <c r="I2166" s="14"/>
      <c r="J2166" s="14"/>
      <c r="K2166" s="14"/>
      <c r="L2166" s="14"/>
      <c r="M2166" s="15"/>
      <c r="N2166" s="10"/>
      <c r="O2166" s="14"/>
      <c r="P2166" s="14"/>
      <c r="Q2166" s="14"/>
      <c r="R2166" s="14"/>
      <c r="S2166" s="14"/>
      <c r="T2166" s="14"/>
      <c r="U2166" s="14"/>
      <c r="V2166" s="14"/>
      <c r="W2166" s="14"/>
      <c r="X2166" s="14"/>
      <c r="Y2166" s="14"/>
      <c r="Z2166" s="14"/>
      <c r="AA2166" s="16"/>
      <c r="AB2166" s="10"/>
      <c r="AC2166" s="10"/>
      <c r="AD2166" s="10"/>
      <c r="AE2166" s="10"/>
      <c r="AF2166" s="10"/>
      <c r="AG2166" s="10"/>
      <c r="AH2166" s="10"/>
      <c r="AI2166" s="10"/>
      <c r="AJ2166" s="10"/>
      <c r="AK2166" s="10"/>
      <c r="AL2166" s="10"/>
      <c r="AM2166" s="10"/>
      <c r="AN2166" s="10"/>
      <c r="AO2166" s="10"/>
      <c r="AP2166" s="10"/>
      <c r="AQ2166" s="10"/>
      <c r="AR2166" s="10"/>
      <c r="AS2166" s="10"/>
      <c r="AT2166" s="10"/>
      <c r="AU2166" s="10"/>
      <c r="AV2166" s="10"/>
      <c r="AW2166" s="10"/>
      <c r="AX2166" s="10"/>
      <c r="AY2166" s="10"/>
      <c r="AZ2166" s="10"/>
      <c r="BA2166" s="10"/>
      <c r="BB2166" s="10"/>
      <c r="BC2166" s="10"/>
      <c r="BD2166" s="10"/>
      <c r="BE2166" s="10"/>
      <c r="BF2166" s="10"/>
      <c r="BG2166" s="10"/>
      <c r="BH2166" s="10"/>
      <c r="BI2166" s="10"/>
      <c r="BJ2166" s="10"/>
      <c r="BK2166" s="10"/>
      <c r="BM2166" s="10"/>
    </row>
    <row r="2167" spans="1:65" ht="12.75">
      <c r="A2167" s="9"/>
      <c r="B2167" s="10"/>
      <c r="C2167" s="11"/>
      <c r="D2167" s="12"/>
      <c r="E2167" s="10"/>
      <c r="F2167" s="10"/>
      <c r="G2167" s="10"/>
      <c r="H2167" s="14"/>
      <c r="I2167" s="14"/>
      <c r="J2167" s="14"/>
      <c r="K2167" s="14"/>
      <c r="L2167" s="14"/>
      <c r="M2167" s="15"/>
      <c r="N2167" s="10"/>
      <c r="O2167" s="14"/>
      <c r="P2167" s="14"/>
      <c r="Q2167" s="14"/>
      <c r="R2167" s="14"/>
      <c r="S2167" s="14"/>
      <c r="T2167" s="14"/>
      <c r="U2167" s="14"/>
      <c r="V2167" s="14"/>
      <c r="W2167" s="14"/>
      <c r="X2167" s="14"/>
      <c r="Y2167" s="14"/>
      <c r="Z2167" s="14"/>
      <c r="AA2167" s="16"/>
      <c r="AB2167" s="10"/>
      <c r="AC2167" s="10"/>
      <c r="AD2167" s="10"/>
      <c r="AE2167" s="10"/>
      <c r="AF2167" s="10"/>
      <c r="AG2167" s="10"/>
      <c r="AH2167" s="10"/>
      <c r="AI2167" s="10"/>
      <c r="AJ2167" s="10"/>
      <c r="AK2167" s="10"/>
      <c r="AL2167" s="10"/>
      <c r="AM2167" s="10"/>
      <c r="AN2167" s="10"/>
      <c r="AO2167" s="10"/>
      <c r="AP2167" s="10"/>
      <c r="AQ2167" s="10"/>
      <c r="AR2167" s="10"/>
      <c r="AS2167" s="10"/>
      <c r="AT2167" s="10"/>
      <c r="AU2167" s="10"/>
      <c r="AV2167" s="10"/>
      <c r="AW2167" s="10"/>
      <c r="AX2167" s="10"/>
      <c r="AY2167" s="10"/>
      <c r="AZ2167" s="10"/>
      <c r="BA2167" s="10"/>
      <c r="BB2167" s="10"/>
      <c r="BC2167" s="10"/>
      <c r="BD2167" s="10"/>
      <c r="BE2167" s="10"/>
      <c r="BF2167" s="10"/>
      <c r="BG2167" s="10"/>
      <c r="BH2167" s="10"/>
      <c r="BI2167" s="10"/>
      <c r="BJ2167" s="10"/>
      <c r="BK2167" s="10"/>
      <c r="BM2167" s="10"/>
    </row>
    <row r="2168" spans="1:65" ht="12.75">
      <c r="A2168" s="9"/>
      <c r="B2168" s="10"/>
      <c r="C2168" s="11"/>
      <c r="D2168" s="12"/>
      <c r="E2168" s="10"/>
      <c r="F2168" s="10"/>
      <c r="G2168" s="10"/>
      <c r="H2168" s="14"/>
      <c r="I2168" s="14"/>
      <c r="J2168" s="14"/>
      <c r="K2168" s="14"/>
      <c r="L2168" s="14"/>
      <c r="M2168" s="15"/>
      <c r="N2168" s="10"/>
      <c r="O2168" s="14"/>
      <c r="P2168" s="14"/>
      <c r="Q2168" s="14"/>
      <c r="R2168" s="14"/>
      <c r="S2168" s="14"/>
      <c r="T2168" s="14"/>
      <c r="U2168" s="14"/>
      <c r="V2168" s="14"/>
      <c r="W2168" s="14"/>
      <c r="X2168" s="14"/>
      <c r="Y2168" s="14"/>
      <c r="Z2168" s="14"/>
      <c r="AA2168" s="16"/>
      <c r="AB2168" s="10"/>
      <c r="AC2168" s="10"/>
      <c r="AD2168" s="10"/>
      <c r="AE2168" s="10"/>
      <c r="AF2168" s="10"/>
      <c r="AG2168" s="10"/>
      <c r="AH2168" s="10"/>
      <c r="AI2168" s="10"/>
      <c r="AJ2168" s="10"/>
      <c r="AK2168" s="10"/>
      <c r="AL2168" s="10"/>
      <c r="AM2168" s="10"/>
      <c r="AN2168" s="10"/>
      <c r="AO2168" s="10"/>
      <c r="AP2168" s="10"/>
      <c r="AQ2168" s="10"/>
      <c r="AR2168" s="10"/>
      <c r="AS2168" s="10"/>
      <c r="AT2168" s="10"/>
      <c r="AU2168" s="10"/>
      <c r="AV2168" s="10"/>
      <c r="AW2168" s="10"/>
      <c r="AX2168" s="10"/>
      <c r="AY2168" s="10"/>
      <c r="AZ2168" s="10"/>
      <c r="BA2168" s="10"/>
      <c r="BB2168" s="10"/>
      <c r="BC2168" s="10"/>
      <c r="BD2168" s="10"/>
      <c r="BE2168" s="10"/>
      <c r="BF2168" s="10"/>
      <c r="BG2168" s="10"/>
      <c r="BH2168" s="10"/>
      <c r="BI2168" s="10"/>
      <c r="BJ2168" s="10"/>
      <c r="BK2168" s="10"/>
      <c r="BM2168" s="10"/>
    </row>
    <row r="2169" spans="1:65" ht="12.75">
      <c r="A2169" s="9"/>
      <c r="B2169" s="10"/>
      <c r="C2169" s="11"/>
      <c r="D2169" s="12"/>
      <c r="E2169" s="10"/>
      <c r="F2169" s="10"/>
      <c r="G2169" s="10"/>
      <c r="H2169" s="14"/>
      <c r="I2169" s="14"/>
      <c r="J2169" s="14"/>
      <c r="K2169" s="14"/>
      <c r="L2169" s="14"/>
      <c r="M2169" s="15"/>
      <c r="N2169" s="10"/>
      <c r="O2169" s="14"/>
      <c r="P2169" s="14"/>
      <c r="Q2169" s="14"/>
      <c r="R2169" s="14"/>
      <c r="S2169" s="14"/>
      <c r="T2169" s="14"/>
      <c r="U2169" s="14"/>
      <c r="V2169" s="14"/>
      <c r="W2169" s="14"/>
      <c r="X2169" s="14"/>
      <c r="Y2169" s="14"/>
      <c r="Z2169" s="14"/>
      <c r="AA2169" s="16"/>
      <c r="AB2169" s="10"/>
      <c r="AC2169" s="10"/>
      <c r="AD2169" s="10"/>
      <c r="AE2169" s="10"/>
      <c r="AF2169" s="10"/>
      <c r="AG2169" s="10"/>
      <c r="AH2169" s="10"/>
      <c r="AI2169" s="10"/>
      <c r="AJ2169" s="10"/>
      <c r="AK2169" s="10"/>
      <c r="AL2169" s="10"/>
      <c r="AM2169" s="10"/>
      <c r="AN2169" s="10"/>
      <c r="AO2169" s="10"/>
      <c r="AP2169" s="10"/>
      <c r="AQ2169" s="10"/>
      <c r="AR2169" s="10"/>
      <c r="AS2169" s="10"/>
      <c r="AT2169" s="10"/>
      <c r="AU2169" s="10"/>
      <c r="AV2169" s="10"/>
      <c r="AW2169" s="10"/>
      <c r="AX2169" s="10"/>
      <c r="AY2169" s="10"/>
      <c r="AZ2169" s="10"/>
      <c r="BA2169" s="10"/>
      <c r="BB2169" s="10"/>
      <c r="BC2169" s="10"/>
      <c r="BD2169" s="10"/>
      <c r="BE2169" s="10"/>
      <c r="BF2169" s="10"/>
      <c r="BG2169" s="10"/>
      <c r="BH2169" s="10"/>
      <c r="BI2169" s="10"/>
      <c r="BJ2169" s="10"/>
      <c r="BK2169" s="10"/>
      <c r="BM2169" s="10"/>
    </row>
    <row r="2170" spans="1:65" ht="12.75">
      <c r="A2170" s="9"/>
      <c r="B2170" s="10"/>
      <c r="C2170" s="11"/>
      <c r="D2170" s="12"/>
      <c r="E2170" s="10"/>
      <c r="F2170" s="10"/>
      <c r="G2170" s="10"/>
      <c r="H2170" s="14"/>
      <c r="I2170" s="14"/>
      <c r="J2170" s="14"/>
      <c r="K2170" s="14"/>
      <c r="L2170" s="14"/>
      <c r="M2170" s="15"/>
      <c r="N2170" s="10"/>
      <c r="O2170" s="14"/>
      <c r="P2170" s="14"/>
      <c r="Q2170" s="14"/>
      <c r="R2170" s="14"/>
      <c r="S2170" s="14"/>
      <c r="T2170" s="14"/>
      <c r="U2170" s="14"/>
      <c r="V2170" s="14"/>
      <c r="W2170" s="14"/>
      <c r="X2170" s="14"/>
      <c r="Y2170" s="14"/>
      <c r="Z2170" s="14"/>
      <c r="AA2170" s="16"/>
      <c r="AB2170" s="10"/>
      <c r="AC2170" s="10"/>
      <c r="AD2170" s="10"/>
      <c r="AE2170" s="10"/>
      <c r="AF2170" s="10"/>
      <c r="AG2170" s="10"/>
      <c r="AH2170" s="10"/>
      <c r="AI2170" s="10"/>
      <c r="AJ2170" s="10"/>
      <c r="AK2170" s="10"/>
      <c r="AL2170" s="10"/>
      <c r="AM2170" s="10"/>
      <c r="AN2170" s="10"/>
      <c r="AO2170" s="10"/>
      <c r="AP2170" s="10"/>
      <c r="AQ2170" s="10"/>
      <c r="AR2170" s="10"/>
      <c r="AS2170" s="10"/>
      <c r="AT2170" s="10"/>
      <c r="AU2170" s="10"/>
      <c r="AV2170" s="10"/>
      <c r="AW2170" s="10"/>
      <c r="AX2170" s="10"/>
      <c r="AY2170" s="10"/>
      <c r="AZ2170" s="10"/>
      <c r="BA2170" s="10"/>
      <c r="BB2170" s="10"/>
      <c r="BC2170" s="10"/>
      <c r="BD2170" s="10"/>
      <c r="BE2170" s="10"/>
      <c r="BF2170" s="10"/>
      <c r="BG2170" s="10"/>
      <c r="BH2170" s="10"/>
      <c r="BI2170" s="10"/>
      <c r="BJ2170" s="10"/>
      <c r="BK2170" s="10"/>
      <c r="BM2170" s="10"/>
    </row>
    <row r="2171" spans="1:65" ht="12.75">
      <c r="A2171" s="9"/>
      <c r="B2171" s="10"/>
      <c r="C2171" s="11"/>
      <c r="D2171" s="12"/>
      <c r="E2171" s="10"/>
      <c r="F2171" s="10"/>
      <c r="G2171" s="10"/>
      <c r="H2171" s="14"/>
      <c r="I2171" s="14"/>
      <c r="J2171" s="14"/>
      <c r="K2171" s="14"/>
      <c r="L2171" s="14"/>
      <c r="M2171" s="15"/>
      <c r="N2171" s="10"/>
      <c r="O2171" s="14"/>
      <c r="P2171" s="14"/>
      <c r="Q2171" s="14"/>
      <c r="R2171" s="14"/>
      <c r="S2171" s="14"/>
      <c r="T2171" s="14"/>
      <c r="U2171" s="14"/>
      <c r="V2171" s="14"/>
      <c r="W2171" s="14"/>
      <c r="X2171" s="14"/>
      <c r="Y2171" s="14"/>
      <c r="Z2171" s="14"/>
      <c r="AA2171" s="16"/>
      <c r="AB2171" s="10"/>
      <c r="AC2171" s="10"/>
      <c r="AD2171" s="10"/>
      <c r="AE2171" s="10"/>
      <c r="AF2171" s="10"/>
      <c r="AG2171" s="10"/>
      <c r="AH2171" s="10"/>
      <c r="AI2171" s="10"/>
      <c r="AJ2171" s="10"/>
      <c r="AK2171" s="10"/>
      <c r="AL2171" s="10"/>
      <c r="AM2171" s="10"/>
      <c r="AN2171" s="10"/>
      <c r="AO2171" s="10"/>
      <c r="AP2171" s="10"/>
      <c r="AQ2171" s="10"/>
      <c r="AR2171" s="10"/>
      <c r="AS2171" s="10"/>
      <c r="AT2171" s="10"/>
      <c r="AU2171" s="10"/>
      <c r="AV2171" s="10"/>
      <c r="AW2171" s="10"/>
      <c r="AX2171" s="10"/>
      <c r="AY2171" s="10"/>
      <c r="AZ2171" s="10"/>
      <c r="BA2171" s="10"/>
      <c r="BB2171" s="10"/>
      <c r="BC2171" s="10"/>
      <c r="BD2171" s="10"/>
      <c r="BE2171" s="10"/>
      <c r="BF2171" s="10"/>
      <c r="BG2171" s="10"/>
      <c r="BH2171" s="10"/>
      <c r="BI2171" s="10"/>
      <c r="BJ2171" s="10"/>
      <c r="BK2171" s="10"/>
      <c r="BM2171" s="10"/>
    </row>
    <row r="2172" spans="1:65" ht="12.75">
      <c r="A2172" s="9"/>
      <c r="B2172" s="10"/>
      <c r="C2172" s="11"/>
      <c r="D2172" s="12"/>
      <c r="E2172" s="10"/>
      <c r="F2172" s="10"/>
      <c r="G2172" s="10"/>
      <c r="H2172" s="14"/>
      <c r="I2172" s="14"/>
      <c r="J2172" s="14"/>
      <c r="K2172" s="14"/>
      <c r="L2172" s="14"/>
      <c r="M2172" s="15"/>
      <c r="N2172" s="10"/>
      <c r="O2172" s="14"/>
      <c r="P2172" s="14"/>
      <c r="Q2172" s="14"/>
      <c r="R2172" s="14"/>
      <c r="S2172" s="14"/>
      <c r="T2172" s="14"/>
      <c r="U2172" s="14"/>
      <c r="V2172" s="14"/>
      <c r="W2172" s="14"/>
      <c r="X2172" s="14"/>
      <c r="Y2172" s="14"/>
      <c r="Z2172" s="14"/>
      <c r="AA2172" s="16"/>
      <c r="AB2172" s="10"/>
      <c r="AC2172" s="10"/>
      <c r="AD2172" s="10"/>
      <c r="AE2172" s="10"/>
      <c r="AF2172" s="10"/>
      <c r="AG2172" s="10"/>
      <c r="AH2172" s="10"/>
      <c r="AI2172" s="10"/>
      <c r="AJ2172" s="10"/>
      <c r="AK2172" s="10"/>
      <c r="AL2172" s="10"/>
      <c r="AM2172" s="10"/>
      <c r="AN2172" s="10"/>
      <c r="AO2172" s="10"/>
      <c r="AP2172" s="10"/>
      <c r="AQ2172" s="10"/>
      <c r="AR2172" s="10"/>
      <c r="AS2172" s="10"/>
      <c r="AT2172" s="10"/>
      <c r="AU2172" s="10"/>
      <c r="AV2172" s="10"/>
      <c r="AW2172" s="10"/>
      <c r="AX2172" s="10"/>
      <c r="AY2172" s="10"/>
      <c r="AZ2172" s="10"/>
      <c r="BA2172" s="10"/>
      <c r="BB2172" s="10"/>
      <c r="BC2172" s="10"/>
      <c r="BD2172" s="10"/>
      <c r="BE2172" s="10"/>
      <c r="BF2172" s="10"/>
      <c r="BG2172" s="10"/>
      <c r="BH2172" s="10"/>
      <c r="BI2172" s="10"/>
      <c r="BJ2172" s="10"/>
      <c r="BK2172" s="10"/>
      <c r="BM2172" s="10"/>
    </row>
    <row r="2173" spans="1:65" ht="12.75">
      <c r="A2173" s="9"/>
      <c r="B2173" s="10"/>
      <c r="C2173" s="11"/>
      <c r="D2173" s="12"/>
      <c r="E2173" s="10"/>
      <c r="F2173" s="10"/>
      <c r="G2173" s="10"/>
      <c r="H2173" s="14"/>
      <c r="I2173" s="14"/>
      <c r="J2173" s="14"/>
      <c r="K2173" s="14"/>
      <c r="L2173" s="14"/>
      <c r="M2173" s="15"/>
      <c r="N2173" s="10"/>
      <c r="O2173" s="14"/>
      <c r="P2173" s="14"/>
      <c r="Q2173" s="14"/>
      <c r="R2173" s="14"/>
      <c r="S2173" s="14"/>
      <c r="T2173" s="14"/>
      <c r="U2173" s="14"/>
      <c r="V2173" s="14"/>
      <c r="W2173" s="14"/>
      <c r="X2173" s="14"/>
      <c r="Y2173" s="14"/>
      <c r="Z2173" s="14"/>
      <c r="AA2173" s="16"/>
      <c r="AB2173" s="10"/>
      <c r="AC2173" s="10"/>
      <c r="AD2173" s="10"/>
      <c r="AE2173" s="10"/>
      <c r="AF2173" s="10"/>
      <c r="AG2173" s="10"/>
      <c r="AH2173" s="10"/>
      <c r="AI2173" s="10"/>
      <c r="AJ2173" s="10"/>
      <c r="AK2173" s="10"/>
      <c r="AL2173" s="10"/>
      <c r="AM2173" s="10"/>
      <c r="AN2173" s="10"/>
      <c r="AO2173" s="10"/>
      <c r="AP2173" s="10"/>
      <c r="AQ2173" s="10"/>
      <c r="AR2173" s="10"/>
      <c r="AS2173" s="10"/>
      <c r="AT2173" s="10"/>
      <c r="AU2173" s="10"/>
      <c r="AV2173" s="10"/>
      <c r="AW2173" s="10"/>
      <c r="AX2173" s="10"/>
      <c r="AY2173" s="10"/>
      <c r="AZ2173" s="10"/>
      <c r="BA2173" s="10"/>
      <c r="BB2173" s="10"/>
      <c r="BC2173" s="10"/>
      <c r="BD2173" s="10"/>
      <c r="BE2173" s="10"/>
      <c r="BF2173" s="10"/>
      <c r="BG2173" s="10"/>
      <c r="BH2173" s="10"/>
      <c r="BI2173" s="10"/>
      <c r="BJ2173" s="10"/>
      <c r="BK2173" s="10"/>
      <c r="BM2173" s="10"/>
    </row>
    <row r="2174" spans="1:65" ht="12.75">
      <c r="A2174" s="9"/>
      <c r="B2174" s="10"/>
      <c r="C2174" s="11"/>
      <c r="D2174" s="12"/>
      <c r="E2174" s="10"/>
      <c r="F2174" s="10"/>
      <c r="G2174" s="10"/>
      <c r="H2174" s="14"/>
      <c r="I2174" s="14"/>
      <c r="J2174" s="14"/>
      <c r="K2174" s="14"/>
      <c r="L2174" s="14"/>
      <c r="M2174" s="15"/>
      <c r="N2174" s="10"/>
      <c r="O2174" s="14"/>
      <c r="P2174" s="14"/>
      <c r="Q2174" s="14"/>
      <c r="R2174" s="14"/>
      <c r="S2174" s="14"/>
      <c r="T2174" s="14"/>
      <c r="U2174" s="14"/>
      <c r="V2174" s="14"/>
      <c r="W2174" s="14"/>
      <c r="X2174" s="14"/>
      <c r="Y2174" s="14"/>
      <c r="Z2174" s="14"/>
      <c r="AA2174" s="16"/>
      <c r="AB2174" s="10"/>
      <c r="AC2174" s="10"/>
      <c r="AD2174" s="10"/>
      <c r="AE2174" s="10"/>
      <c r="AF2174" s="10"/>
      <c r="AG2174" s="10"/>
      <c r="AH2174" s="10"/>
      <c r="AI2174" s="10"/>
      <c r="AJ2174" s="10"/>
      <c r="AK2174" s="10"/>
      <c r="AL2174" s="10"/>
      <c r="AM2174" s="10"/>
      <c r="AN2174" s="10"/>
      <c r="AO2174" s="10"/>
      <c r="AP2174" s="10"/>
      <c r="AQ2174" s="10"/>
      <c r="AR2174" s="10"/>
      <c r="AS2174" s="10"/>
      <c r="AT2174" s="10"/>
      <c r="AU2174" s="10"/>
      <c r="AV2174" s="10"/>
      <c r="AW2174" s="10"/>
      <c r="AX2174" s="10"/>
      <c r="AY2174" s="10"/>
      <c r="AZ2174" s="10"/>
      <c r="BA2174" s="10"/>
      <c r="BB2174" s="10"/>
      <c r="BC2174" s="10"/>
      <c r="BD2174" s="10"/>
      <c r="BE2174" s="10"/>
      <c r="BF2174" s="10"/>
      <c r="BG2174" s="10"/>
      <c r="BH2174" s="10"/>
      <c r="BI2174" s="10"/>
      <c r="BJ2174" s="10"/>
      <c r="BK2174" s="10"/>
      <c r="BM2174" s="10"/>
    </row>
    <row r="2175" spans="1:65" ht="12.75">
      <c r="A2175" s="9"/>
      <c r="B2175" s="10"/>
      <c r="C2175" s="11"/>
      <c r="D2175" s="12"/>
      <c r="E2175" s="10"/>
      <c r="F2175" s="10"/>
      <c r="G2175" s="10"/>
      <c r="H2175" s="14"/>
      <c r="I2175" s="14"/>
      <c r="J2175" s="14"/>
      <c r="K2175" s="14"/>
      <c r="L2175" s="14"/>
      <c r="M2175" s="15"/>
      <c r="N2175" s="10"/>
      <c r="O2175" s="14"/>
      <c r="P2175" s="14"/>
      <c r="Q2175" s="14"/>
      <c r="R2175" s="14"/>
      <c r="S2175" s="14"/>
      <c r="T2175" s="14"/>
      <c r="U2175" s="14"/>
      <c r="V2175" s="14"/>
      <c r="W2175" s="14"/>
      <c r="X2175" s="14"/>
      <c r="Y2175" s="14"/>
      <c r="Z2175" s="14"/>
      <c r="AA2175" s="16"/>
      <c r="AB2175" s="10"/>
      <c r="AC2175" s="10"/>
      <c r="AD2175" s="10"/>
      <c r="AE2175" s="10"/>
      <c r="AF2175" s="10"/>
      <c r="AG2175" s="10"/>
      <c r="AH2175" s="10"/>
      <c r="AI2175" s="10"/>
      <c r="AJ2175" s="10"/>
      <c r="AK2175" s="10"/>
      <c r="AL2175" s="10"/>
      <c r="AM2175" s="10"/>
      <c r="AN2175" s="10"/>
      <c r="AO2175" s="10"/>
      <c r="AP2175" s="10"/>
      <c r="AQ2175" s="10"/>
      <c r="AR2175" s="10"/>
      <c r="AS2175" s="10"/>
      <c r="AT2175" s="10"/>
      <c r="AU2175" s="10"/>
      <c r="AV2175" s="10"/>
      <c r="AW2175" s="10"/>
      <c r="AX2175" s="10"/>
      <c r="AY2175" s="10"/>
      <c r="AZ2175" s="10"/>
      <c r="BA2175" s="10"/>
      <c r="BB2175" s="10"/>
      <c r="BC2175" s="10"/>
      <c r="BD2175" s="10"/>
      <c r="BE2175" s="10"/>
      <c r="BF2175" s="10"/>
      <c r="BG2175" s="10"/>
      <c r="BH2175" s="10"/>
      <c r="BI2175" s="10"/>
      <c r="BJ2175" s="10"/>
      <c r="BK2175" s="10"/>
      <c r="BM2175" s="10"/>
    </row>
    <row r="2176" spans="1:65" ht="12.75">
      <c r="A2176" s="9"/>
      <c r="B2176" s="10"/>
      <c r="C2176" s="11"/>
      <c r="D2176" s="12"/>
      <c r="E2176" s="10"/>
      <c r="F2176" s="10"/>
      <c r="G2176" s="10"/>
      <c r="H2176" s="14"/>
      <c r="I2176" s="14"/>
      <c r="J2176" s="14"/>
      <c r="K2176" s="14"/>
      <c r="L2176" s="14"/>
      <c r="M2176" s="15"/>
      <c r="N2176" s="10"/>
      <c r="O2176" s="14"/>
      <c r="P2176" s="14"/>
      <c r="Q2176" s="14"/>
      <c r="R2176" s="14"/>
      <c r="S2176" s="14"/>
      <c r="T2176" s="14"/>
      <c r="U2176" s="14"/>
      <c r="V2176" s="14"/>
      <c r="W2176" s="14"/>
      <c r="X2176" s="14"/>
      <c r="Y2176" s="14"/>
      <c r="Z2176" s="14"/>
      <c r="AA2176" s="16"/>
      <c r="AB2176" s="10"/>
      <c r="AC2176" s="10"/>
      <c r="AD2176" s="10"/>
      <c r="AE2176" s="10"/>
      <c r="AF2176" s="10"/>
      <c r="AG2176" s="10"/>
      <c r="AH2176" s="10"/>
      <c r="AI2176" s="10"/>
      <c r="AJ2176" s="10"/>
      <c r="AK2176" s="10"/>
      <c r="AL2176" s="10"/>
      <c r="AM2176" s="10"/>
      <c r="AN2176" s="10"/>
      <c r="AO2176" s="10"/>
      <c r="AP2176" s="10"/>
      <c r="AQ2176" s="10"/>
      <c r="AR2176" s="10"/>
      <c r="AS2176" s="10"/>
      <c r="AT2176" s="10"/>
      <c r="AU2176" s="10"/>
      <c r="AV2176" s="10"/>
      <c r="AW2176" s="10"/>
      <c r="AX2176" s="10"/>
      <c r="AY2176" s="10"/>
      <c r="AZ2176" s="10"/>
      <c r="BA2176" s="10"/>
      <c r="BB2176" s="10"/>
      <c r="BC2176" s="10"/>
      <c r="BD2176" s="10"/>
      <c r="BE2176" s="10"/>
      <c r="BF2176" s="10"/>
      <c r="BG2176" s="10"/>
      <c r="BH2176" s="10"/>
      <c r="BI2176" s="10"/>
      <c r="BJ2176" s="10"/>
      <c r="BK2176" s="10"/>
      <c r="BM2176" s="10"/>
    </row>
    <row r="2177" spans="1:65" ht="12.75">
      <c r="A2177" s="9"/>
      <c r="B2177" s="10"/>
      <c r="C2177" s="11"/>
      <c r="D2177" s="12"/>
      <c r="E2177" s="10"/>
      <c r="F2177" s="10"/>
      <c r="G2177" s="10"/>
      <c r="H2177" s="14"/>
      <c r="I2177" s="14"/>
      <c r="J2177" s="14"/>
      <c r="K2177" s="14"/>
      <c r="L2177" s="14"/>
      <c r="M2177" s="15"/>
      <c r="N2177" s="10"/>
      <c r="O2177" s="14"/>
      <c r="P2177" s="14"/>
      <c r="Q2177" s="14"/>
      <c r="R2177" s="14"/>
      <c r="S2177" s="14"/>
      <c r="T2177" s="14"/>
      <c r="U2177" s="14"/>
      <c r="V2177" s="14"/>
      <c r="W2177" s="14"/>
      <c r="X2177" s="14"/>
      <c r="Y2177" s="14"/>
      <c r="Z2177" s="14"/>
      <c r="AA2177" s="16"/>
      <c r="AB2177" s="10"/>
      <c r="AC2177" s="10"/>
      <c r="AD2177" s="10"/>
      <c r="AE2177" s="10"/>
      <c r="AF2177" s="10"/>
      <c r="AG2177" s="10"/>
      <c r="AH2177" s="10"/>
      <c r="AI2177" s="10"/>
      <c r="AJ2177" s="10"/>
      <c r="AK2177" s="10"/>
      <c r="AL2177" s="10"/>
      <c r="AM2177" s="10"/>
      <c r="AN2177" s="10"/>
      <c r="AO2177" s="10"/>
      <c r="AP2177" s="10"/>
      <c r="AQ2177" s="10"/>
      <c r="AR2177" s="10"/>
      <c r="AS2177" s="10"/>
      <c r="AT2177" s="10"/>
      <c r="AU2177" s="10"/>
      <c r="AV2177" s="10"/>
      <c r="AW2177" s="10"/>
      <c r="AX2177" s="10"/>
      <c r="AY2177" s="10"/>
      <c r="AZ2177" s="10"/>
      <c r="BA2177" s="10"/>
      <c r="BB2177" s="10"/>
      <c r="BC2177" s="10"/>
      <c r="BD2177" s="10"/>
      <c r="BE2177" s="10"/>
      <c r="BF2177" s="10"/>
      <c r="BG2177" s="10"/>
      <c r="BH2177" s="10"/>
      <c r="BI2177" s="10"/>
      <c r="BJ2177" s="10"/>
      <c r="BK2177" s="10"/>
      <c r="BM2177" s="10"/>
    </row>
    <row r="2178" spans="1:65" ht="12.75">
      <c r="A2178" s="9"/>
      <c r="B2178" s="10"/>
      <c r="C2178" s="11"/>
      <c r="D2178" s="12"/>
      <c r="E2178" s="10"/>
      <c r="F2178" s="10"/>
      <c r="G2178" s="10"/>
      <c r="H2178" s="14"/>
      <c r="I2178" s="14"/>
      <c r="J2178" s="14"/>
      <c r="K2178" s="14"/>
      <c r="L2178" s="14"/>
      <c r="M2178" s="15"/>
      <c r="N2178" s="10"/>
      <c r="O2178" s="14"/>
      <c r="P2178" s="14"/>
      <c r="Q2178" s="14"/>
      <c r="R2178" s="14"/>
      <c r="S2178" s="14"/>
      <c r="T2178" s="14"/>
      <c r="U2178" s="14"/>
      <c r="V2178" s="14"/>
      <c r="W2178" s="14"/>
      <c r="X2178" s="14"/>
      <c r="Y2178" s="14"/>
      <c r="Z2178" s="14"/>
      <c r="AA2178" s="16"/>
      <c r="AB2178" s="10"/>
      <c r="AC2178" s="10"/>
      <c r="AD2178" s="10"/>
      <c r="AE2178" s="10"/>
      <c r="AF2178" s="10"/>
      <c r="AG2178" s="10"/>
      <c r="AH2178" s="10"/>
      <c r="AI2178" s="10"/>
      <c r="AJ2178" s="10"/>
      <c r="AK2178" s="10"/>
      <c r="AL2178" s="10"/>
      <c r="AM2178" s="10"/>
      <c r="AN2178" s="10"/>
      <c r="AO2178" s="10"/>
      <c r="AP2178" s="10"/>
      <c r="AQ2178" s="10"/>
      <c r="AR2178" s="10"/>
      <c r="AS2178" s="10"/>
      <c r="AT2178" s="10"/>
      <c r="AU2178" s="10"/>
      <c r="AV2178" s="10"/>
      <c r="AW2178" s="10"/>
      <c r="AX2178" s="10"/>
      <c r="AY2178" s="10"/>
      <c r="AZ2178" s="10"/>
      <c r="BA2178" s="10"/>
      <c r="BB2178" s="10"/>
      <c r="BC2178" s="10"/>
      <c r="BD2178" s="10"/>
      <c r="BE2178" s="10"/>
      <c r="BF2178" s="10"/>
      <c r="BG2178" s="10"/>
      <c r="BH2178" s="10"/>
      <c r="BI2178" s="10"/>
      <c r="BJ2178" s="10"/>
      <c r="BK2178" s="10"/>
      <c r="BM2178" s="10"/>
    </row>
    <row r="2179" spans="1:65" ht="12.75">
      <c r="A2179" s="9"/>
      <c r="B2179" s="10"/>
      <c r="C2179" s="11"/>
      <c r="D2179" s="12"/>
      <c r="E2179" s="10"/>
      <c r="F2179" s="10"/>
      <c r="G2179" s="10"/>
      <c r="H2179" s="14"/>
      <c r="I2179" s="14"/>
      <c r="J2179" s="14"/>
      <c r="K2179" s="14"/>
      <c r="L2179" s="14"/>
      <c r="M2179" s="15"/>
      <c r="N2179" s="10"/>
      <c r="O2179" s="14"/>
      <c r="P2179" s="14"/>
      <c r="Q2179" s="14"/>
      <c r="R2179" s="14"/>
      <c r="S2179" s="14"/>
      <c r="T2179" s="14"/>
      <c r="U2179" s="14"/>
      <c r="V2179" s="14"/>
      <c r="W2179" s="14"/>
      <c r="X2179" s="14"/>
      <c r="Y2179" s="14"/>
      <c r="Z2179" s="14"/>
      <c r="AA2179" s="16"/>
      <c r="AB2179" s="10"/>
      <c r="AC2179" s="10"/>
      <c r="AD2179" s="10"/>
      <c r="AE2179" s="10"/>
      <c r="AF2179" s="10"/>
      <c r="AG2179" s="10"/>
      <c r="AH2179" s="10"/>
      <c r="AI2179" s="10"/>
      <c r="AJ2179" s="10"/>
      <c r="AK2179" s="10"/>
      <c r="AL2179" s="10"/>
      <c r="AM2179" s="10"/>
      <c r="AN2179" s="10"/>
      <c r="AO2179" s="10"/>
      <c r="AP2179" s="10"/>
      <c r="AQ2179" s="10"/>
      <c r="AR2179" s="10"/>
      <c r="AS2179" s="10"/>
      <c r="AT2179" s="10"/>
      <c r="AU2179" s="10"/>
      <c r="AV2179" s="10"/>
      <c r="AW2179" s="10"/>
      <c r="AX2179" s="10"/>
      <c r="AY2179" s="10"/>
      <c r="AZ2179" s="10"/>
      <c r="BA2179" s="10"/>
      <c r="BB2179" s="10"/>
      <c r="BC2179" s="10"/>
      <c r="BD2179" s="10"/>
      <c r="BE2179" s="10"/>
      <c r="BF2179" s="10"/>
      <c r="BG2179" s="10"/>
      <c r="BH2179" s="10"/>
      <c r="BI2179" s="10"/>
      <c r="BJ2179" s="10"/>
      <c r="BK2179" s="10"/>
      <c r="BM2179" s="10"/>
    </row>
    <row r="2180" spans="1:65" ht="12.75">
      <c r="A2180" s="9"/>
      <c r="B2180" s="10"/>
      <c r="C2180" s="11"/>
      <c r="D2180" s="12"/>
      <c r="E2180" s="10"/>
      <c r="F2180" s="10"/>
      <c r="G2180" s="10"/>
      <c r="H2180" s="14"/>
      <c r="I2180" s="14"/>
      <c r="J2180" s="14"/>
      <c r="K2180" s="14"/>
      <c r="L2180" s="14"/>
      <c r="M2180" s="15"/>
      <c r="N2180" s="10"/>
      <c r="O2180" s="14"/>
      <c r="P2180" s="14"/>
      <c r="Q2180" s="14"/>
      <c r="R2180" s="14"/>
      <c r="S2180" s="14"/>
      <c r="T2180" s="14"/>
      <c r="U2180" s="14"/>
      <c r="V2180" s="14"/>
      <c r="W2180" s="14"/>
      <c r="X2180" s="14"/>
      <c r="Y2180" s="14"/>
      <c r="Z2180" s="14"/>
      <c r="AA2180" s="16"/>
      <c r="AB2180" s="10"/>
      <c r="AC2180" s="10"/>
      <c r="AD2180" s="10"/>
      <c r="AE2180" s="10"/>
      <c r="AF2180" s="10"/>
      <c r="AG2180" s="10"/>
      <c r="AH2180" s="10"/>
      <c r="AI2180" s="10"/>
      <c r="AJ2180" s="10"/>
      <c r="AK2180" s="10"/>
      <c r="AL2180" s="10"/>
      <c r="AM2180" s="10"/>
      <c r="AN2180" s="10"/>
      <c r="AO2180" s="10"/>
      <c r="AP2180" s="10"/>
      <c r="AQ2180" s="10"/>
      <c r="AR2180" s="10"/>
      <c r="AS2180" s="10"/>
      <c r="AT2180" s="10"/>
      <c r="AU2180" s="10"/>
      <c r="AV2180" s="10"/>
      <c r="AW2180" s="10"/>
      <c r="AX2180" s="10"/>
      <c r="AY2180" s="10"/>
      <c r="AZ2180" s="10"/>
      <c r="BA2180" s="10"/>
      <c r="BB2180" s="10"/>
      <c r="BC2180" s="10"/>
      <c r="BD2180" s="10"/>
      <c r="BE2180" s="10"/>
      <c r="BF2180" s="10"/>
      <c r="BG2180" s="10"/>
      <c r="BH2180" s="10"/>
      <c r="BI2180" s="10"/>
      <c r="BJ2180" s="10"/>
      <c r="BK2180" s="10"/>
      <c r="BM2180" s="10"/>
    </row>
    <row r="2181" spans="1:65" ht="12.75">
      <c r="A2181" s="9"/>
      <c r="B2181" s="10"/>
      <c r="C2181" s="11"/>
      <c r="D2181" s="12"/>
      <c r="E2181" s="10"/>
      <c r="F2181" s="10"/>
      <c r="G2181" s="10"/>
      <c r="H2181" s="14"/>
      <c r="I2181" s="14"/>
      <c r="J2181" s="14"/>
      <c r="K2181" s="14"/>
      <c r="L2181" s="14"/>
      <c r="M2181" s="15"/>
      <c r="N2181" s="10"/>
      <c r="O2181" s="14"/>
      <c r="P2181" s="14"/>
      <c r="Q2181" s="14"/>
      <c r="R2181" s="14"/>
      <c r="S2181" s="14"/>
      <c r="T2181" s="14"/>
      <c r="U2181" s="14"/>
      <c r="V2181" s="14"/>
      <c r="W2181" s="14"/>
      <c r="X2181" s="14"/>
      <c r="Y2181" s="14"/>
      <c r="Z2181" s="14"/>
      <c r="AA2181" s="16"/>
      <c r="AB2181" s="10"/>
      <c r="AC2181" s="10"/>
      <c r="AD2181" s="10"/>
      <c r="AE2181" s="10"/>
      <c r="AF2181" s="10"/>
      <c r="AG2181" s="10"/>
      <c r="AH2181" s="10"/>
      <c r="AI2181" s="10"/>
      <c r="AJ2181" s="10"/>
      <c r="AK2181" s="10"/>
      <c r="AL2181" s="10"/>
      <c r="AM2181" s="10"/>
      <c r="AN2181" s="10"/>
      <c r="AO2181" s="10"/>
      <c r="AP2181" s="10"/>
      <c r="AQ2181" s="10"/>
      <c r="AR2181" s="10"/>
      <c r="AS2181" s="10"/>
      <c r="AT2181" s="10"/>
      <c r="AU2181" s="10"/>
      <c r="AV2181" s="10"/>
      <c r="AW2181" s="10"/>
      <c r="AX2181" s="10"/>
      <c r="AY2181" s="10"/>
      <c r="AZ2181" s="10"/>
      <c r="BA2181" s="10"/>
      <c r="BB2181" s="10"/>
      <c r="BC2181" s="10"/>
      <c r="BD2181" s="10"/>
      <c r="BE2181" s="10"/>
      <c r="BF2181" s="10"/>
      <c r="BG2181" s="10"/>
      <c r="BH2181" s="10"/>
      <c r="BI2181" s="10"/>
      <c r="BJ2181" s="10"/>
      <c r="BK2181" s="10"/>
      <c r="BM2181" s="10"/>
    </row>
    <row r="2182" spans="1:65" ht="12.75">
      <c r="A2182" s="9"/>
      <c r="B2182" s="10"/>
      <c r="C2182" s="11"/>
      <c r="D2182" s="12"/>
      <c r="E2182" s="10"/>
      <c r="F2182" s="10"/>
      <c r="G2182" s="10"/>
      <c r="H2182" s="14"/>
      <c r="I2182" s="14"/>
      <c r="J2182" s="14"/>
      <c r="K2182" s="14"/>
      <c r="L2182" s="14"/>
      <c r="M2182" s="15"/>
      <c r="N2182" s="10"/>
      <c r="O2182" s="14"/>
      <c r="P2182" s="14"/>
      <c r="Q2182" s="14"/>
      <c r="R2182" s="14"/>
      <c r="S2182" s="14"/>
      <c r="T2182" s="14"/>
      <c r="U2182" s="14"/>
      <c r="V2182" s="14"/>
      <c r="W2182" s="14"/>
      <c r="X2182" s="14"/>
      <c r="Y2182" s="14"/>
      <c r="Z2182" s="14"/>
      <c r="AA2182" s="16"/>
      <c r="AB2182" s="10"/>
      <c r="AC2182" s="10"/>
      <c r="AD2182" s="10"/>
      <c r="AE2182" s="10"/>
      <c r="AF2182" s="10"/>
      <c r="AG2182" s="10"/>
      <c r="AH2182" s="10"/>
      <c r="AI2182" s="10"/>
      <c r="AJ2182" s="10"/>
      <c r="AK2182" s="10"/>
      <c r="AL2182" s="10"/>
      <c r="AM2182" s="10"/>
      <c r="AN2182" s="10"/>
      <c r="AO2182" s="10"/>
      <c r="AP2182" s="10"/>
      <c r="AQ2182" s="10"/>
      <c r="AR2182" s="10"/>
      <c r="AS2182" s="10"/>
      <c r="AT2182" s="10"/>
      <c r="AU2182" s="10"/>
      <c r="AV2182" s="10"/>
      <c r="AW2182" s="10"/>
      <c r="AX2182" s="10"/>
      <c r="AY2182" s="10"/>
      <c r="AZ2182" s="10"/>
      <c r="BA2182" s="10"/>
      <c r="BB2182" s="10"/>
      <c r="BC2182" s="10"/>
      <c r="BD2182" s="10"/>
      <c r="BE2182" s="10"/>
      <c r="BF2182" s="10"/>
      <c r="BG2182" s="10"/>
      <c r="BH2182" s="10"/>
      <c r="BI2182" s="10"/>
      <c r="BJ2182" s="10"/>
      <c r="BK2182" s="10"/>
      <c r="BM2182" s="10"/>
    </row>
    <row r="2183" spans="1:65" ht="12.75">
      <c r="A2183" s="9"/>
      <c r="B2183" s="10"/>
      <c r="C2183" s="11"/>
      <c r="D2183" s="12"/>
      <c r="E2183" s="10"/>
      <c r="F2183" s="10"/>
      <c r="G2183" s="10"/>
      <c r="H2183" s="14"/>
      <c r="I2183" s="14"/>
      <c r="J2183" s="14"/>
      <c r="K2183" s="14"/>
      <c r="L2183" s="14"/>
      <c r="M2183" s="15"/>
      <c r="N2183" s="10"/>
      <c r="O2183" s="14"/>
      <c r="P2183" s="14"/>
      <c r="Q2183" s="14"/>
      <c r="R2183" s="14"/>
      <c r="S2183" s="14"/>
      <c r="T2183" s="14"/>
      <c r="U2183" s="14"/>
      <c r="V2183" s="14"/>
      <c r="W2183" s="14"/>
      <c r="X2183" s="14"/>
      <c r="Y2183" s="14"/>
      <c r="Z2183" s="14"/>
      <c r="AA2183" s="16"/>
      <c r="AB2183" s="10"/>
      <c r="AC2183" s="10"/>
      <c r="AD2183" s="10"/>
      <c r="AE2183" s="10"/>
      <c r="AF2183" s="10"/>
      <c r="AG2183" s="10"/>
      <c r="AH2183" s="10"/>
      <c r="AI2183" s="10"/>
      <c r="AJ2183" s="10"/>
      <c r="AK2183" s="10"/>
      <c r="AL2183" s="10"/>
      <c r="AM2183" s="10"/>
      <c r="AN2183" s="10"/>
      <c r="AO2183" s="10"/>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10"/>
      <c r="BK2183" s="10"/>
      <c r="BM2183" s="10"/>
    </row>
    <row r="2184" spans="1:65" ht="12.75">
      <c r="A2184" s="9"/>
      <c r="B2184" s="10"/>
      <c r="C2184" s="11"/>
      <c r="D2184" s="12"/>
      <c r="E2184" s="10"/>
      <c r="F2184" s="10"/>
      <c r="G2184" s="10"/>
      <c r="H2184" s="14"/>
      <c r="I2184" s="14"/>
      <c r="J2184" s="14"/>
      <c r="K2184" s="14"/>
      <c r="L2184" s="14"/>
      <c r="M2184" s="15"/>
      <c r="N2184" s="10"/>
      <c r="O2184" s="14"/>
      <c r="P2184" s="14"/>
      <c r="Q2184" s="14"/>
      <c r="R2184" s="14"/>
      <c r="S2184" s="14"/>
      <c r="T2184" s="14"/>
      <c r="U2184" s="14"/>
      <c r="V2184" s="14"/>
      <c r="W2184" s="14"/>
      <c r="X2184" s="14"/>
      <c r="Y2184" s="14"/>
      <c r="Z2184" s="14"/>
      <c r="AA2184" s="16"/>
      <c r="AB2184" s="10"/>
      <c r="AC2184" s="10"/>
      <c r="AD2184" s="10"/>
      <c r="AE2184" s="10"/>
      <c r="AF2184" s="10"/>
      <c r="AG2184" s="10"/>
      <c r="AH2184" s="10"/>
      <c r="AI2184" s="10"/>
      <c r="AJ2184" s="10"/>
      <c r="AK2184" s="10"/>
      <c r="AL2184" s="10"/>
      <c r="AM2184" s="10"/>
      <c r="AN2184" s="10"/>
      <c r="AO2184" s="10"/>
      <c r="AP2184" s="10"/>
      <c r="AQ2184" s="10"/>
      <c r="AR2184" s="10"/>
      <c r="AS2184" s="10"/>
      <c r="AT2184" s="10"/>
      <c r="AU2184" s="10"/>
      <c r="AV2184" s="10"/>
      <c r="AW2184" s="10"/>
      <c r="AX2184" s="10"/>
      <c r="AY2184" s="10"/>
      <c r="AZ2184" s="10"/>
      <c r="BA2184" s="10"/>
      <c r="BB2184" s="10"/>
      <c r="BC2184" s="10"/>
      <c r="BD2184" s="10"/>
      <c r="BE2184" s="10"/>
      <c r="BF2184" s="10"/>
      <c r="BG2184" s="10"/>
      <c r="BH2184" s="10"/>
      <c r="BI2184" s="10"/>
      <c r="BJ2184" s="10"/>
      <c r="BK2184" s="10"/>
      <c r="BM2184" s="10"/>
    </row>
    <row r="2185" spans="1:65" ht="12.75">
      <c r="A2185" s="9"/>
      <c r="B2185" s="10"/>
      <c r="C2185" s="11"/>
      <c r="D2185" s="12"/>
      <c r="E2185" s="10"/>
      <c r="F2185" s="10"/>
      <c r="G2185" s="10"/>
      <c r="H2185" s="14"/>
      <c r="I2185" s="14"/>
      <c r="J2185" s="14"/>
      <c r="K2185" s="14"/>
      <c r="L2185" s="14"/>
      <c r="M2185" s="15"/>
      <c r="N2185" s="10"/>
      <c r="O2185" s="14"/>
      <c r="P2185" s="14"/>
      <c r="Q2185" s="14"/>
      <c r="R2185" s="14"/>
      <c r="S2185" s="14"/>
      <c r="T2185" s="14"/>
      <c r="U2185" s="14"/>
      <c r="V2185" s="14"/>
      <c r="W2185" s="14"/>
      <c r="X2185" s="14"/>
      <c r="Y2185" s="14"/>
      <c r="Z2185" s="14"/>
      <c r="AA2185" s="16"/>
      <c r="AB2185" s="10"/>
      <c r="AC2185" s="10"/>
      <c r="AD2185" s="10"/>
      <c r="AE2185" s="10"/>
      <c r="AF2185" s="10"/>
      <c r="AG2185" s="10"/>
      <c r="AH2185" s="10"/>
      <c r="AI2185" s="10"/>
      <c r="AJ2185" s="10"/>
      <c r="AK2185" s="10"/>
      <c r="AL2185" s="10"/>
      <c r="AM2185" s="10"/>
      <c r="AN2185" s="10"/>
      <c r="AO2185" s="10"/>
      <c r="AP2185" s="10"/>
      <c r="AQ2185" s="10"/>
      <c r="AR2185" s="10"/>
      <c r="AS2185" s="10"/>
      <c r="AT2185" s="10"/>
      <c r="AU2185" s="10"/>
      <c r="AV2185" s="10"/>
      <c r="AW2185" s="10"/>
      <c r="AX2185" s="10"/>
      <c r="AY2185" s="10"/>
      <c r="AZ2185" s="10"/>
      <c r="BA2185" s="10"/>
      <c r="BB2185" s="10"/>
      <c r="BC2185" s="10"/>
      <c r="BD2185" s="10"/>
      <c r="BE2185" s="10"/>
      <c r="BF2185" s="10"/>
      <c r="BG2185" s="10"/>
      <c r="BH2185" s="10"/>
      <c r="BI2185" s="10"/>
      <c r="BJ2185" s="10"/>
      <c r="BK2185" s="10"/>
      <c r="BM2185" s="10"/>
    </row>
    <row r="2186" spans="1:65" ht="12.75">
      <c r="A2186" s="9"/>
      <c r="B2186" s="10"/>
      <c r="C2186" s="11"/>
      <c r="D2186" s="12"/>
      <c r="E2186" s="10"/>
      <c r="F2186" s="10"/>
      <c r="G2186" s="10"/>
      <c r="H2186" s="14"/>
      <c r="I2186" s="14"/>
      <c r="J2186" s="14"/>
      <c r="K2186" s="14"/>
      <c r="L2186" s="14"/>
      <c r="M2186" s="15"/>
      <c r="N2186" s="10"/>
      <c r="O2186" s="14"/>
      <c r="P2186" s="14"/>
      <c r="Q2186" s="14"/>
      <c r="R2186" s="14"/>
      <c r="S2186" s="14"/>
      <c r="T2186" s="14"/>
      <c r="U2186" s="14"/>
      <c r="V2186" s="14"/>
      <c r="W2186" s="14"/>
      <c r="X2186" s="14"/>
      <c r="Y2186" s="14"/>
      <c r="Z2186" s="14"/>
      <c r="AA2186" s="16"/>
      <c r="AB2186" s="10"/>
      <c r="AC2186" s="10"/>
      <c r="AD2186" s="10"/>
      <c r="AE2186" s="10"/>
      <c r="AF2186" s="10"/>
      <c r="AG2186" s="10"/>
      <c r="AH2186" s="10"/>
      <c r="AI2186" s="10"/>
      <c r="AJ2186" s="10"/>
      <c r="AK2186" s="10"/>
      <c r="AL2186" s="10"/>
      <c r="AM2186" s="10"/>
      <c r="AN2186" s="10"/>
      <c r="AO2186" s="10"/>
      <c r="AP2186" s="10"/>
      <c r="AQ2186" s="10"/>
      <c r="AR2186" s="10"/>
      <c r="AS2186" s="10"/>
      <c r="AT2186" s="10"/>
      <c r="AU2186" s="10"/>
      <c r="AV2186" s="10"/>
      <c r="AW2186" s="10"/>
      <c r="AX2186" s="10"/>
      <c r="AY2186" s="10"/>
      <c r="AZ2186" s="10"/>
      <c r="BA2186" s="10"/>
      <c r="BB2186" s="10"/>
      <c r="BC2186" s="10"/>
      <c r="BD2186" s="10"/>
      <c r="BE2186" s="10"/>
      <c r="BF2186" s="10"/>
      <c r="BG2186" s="10"/>
      <c r="BH2186" s="10"/>
      <c r="BI2186" s="10"/>
      <c r="BJ2186" s="10"/>
      <c r="BK2186" s="10"/>
      <c r="BM2186" s="10"/>
    </row>
    <row r="2187" spans="1:65" ht="12.75">
      <c r="A2187" s="9"/>
      <c r="B2187" s="10"/>
      <c r="C2187" s="11"/>
      <c r="D2187" s="12"/>
      <c r="E2187" s="10"/>
      <c r="F2187" s="10"/>
      <c r="G2187" s="10"/>
      <c r="H2187" s="14"/>
      <c r="I2187" s="14"/>
      <c r="J2187" s="14"/>
      <c r="K2187" s="14"/>
      <c r="L2187" s="14"/>
      <c r="M2187" s="15"/>
      <c r="N2187" s="10"/>
      <c r="O2187" s="14"/>
      <c r="P2187" s="14"/>
      <c r="Q2187" s="14"/>
      <c r="R2187" s="14"/>
      <c r="S2187" s="14"/>
      <c r="T2187" s="14"/>
      <c r="U2187" s="14"/>
      <c r="V2187" s="14"/>
      <c r="W2187" s="14"/>
      <c r="X2187" s="14"/>
      <c r="Y2187" s="14"/>
      <c r="Z2187" s="14"/>
      <c r="AA2187" s="16"/>
      <c r="AB2187" s="10"/>
      <c r="AC2187" s="10"/>
      <c r="AD2187" s="10"/>
      <c r="AE2187" s="10"/>
      <c r="AF2187" s="10"/>
      <c r="AG2187" s="10"/>
      <c r="AH2187" s="10"/>
      <c r="AI2187" s="10"/>
      <c r="AJ2187" s="10"/>
      <c r="AK2187" s="10"/>
      <c r="AL2187" s="10"/>
      <c r="AM2187" s="10"/>
      <c r="AN2187" s="10"/>
      <c r="AO2187" s="10"/>
      <c r="AP2187" s="10"/>
      <c r="AQ2187" s="10"/>
      <c r="AR2187" s="10"/>
      <c r="AS2187" s="10"/>
      <c r="AT2187" s="10"/>
      <c r="AU2187" s="10"/>
      <c r="AV2187" s="10"/>
      <c r="AW2187" s="10"/>
      <c r="AX2187" s="10"/>
      <c r="AY2187" s="10"/>
      <c r="AZ2187" s="10"/>
      <c r="BA2187" s="10"/>
      <c r="BB2187" s="10"/>
      <c r="BC2187" s="10"/>
      <c r="BD2187" s="10"/>
      <c r="BE2187" s="10"/>
      <c r="BF2187" s="10"/>
      <c r="BG2187" s="10"/>
      <c r="BH2187" s="10"/>
      <c r="BI2187" s="10"/>
      <c r="BJ2187" s="10"/>
      <c r="BK2187" s="10"/>
      <c r="BM2187" s="10"/>
    </row>
    <row r="2188" spans="1:65" ht="12.75">
      <c r="A2188" s="9"/>
      <c r="B2188" s="10"/>
      <c r="C2188" s="11"/>
      <c r="D2188" s="12"/>
      <c r="E2188" s="10"/>
      <c r="F2188" s="10"/>
      <c r="G2188" s="10"/>
      <c r="H2188" s="14"/>
      <c r="I2188" s="14"/>
      <c r="J2188" s="14"/>
      <c r="K2188" s="14"/>
      <c r="L2188" s="14"/>
      <c r="M2188" s="15"/>
      <c r="N2188" s="10"/>
      <c r="O2188" s="14"/>
      <c r="P2188" s="14"/>
      <c r="Q2188" s="14"/>
      <c r="R2188" s="14"/>
      <c r="S2188" s="14"/>
      <c r="T2188" s="14"/>
      <c r="U2188" s="14"/>
      <c r="V2188" s="14"/>
      <c r="W2188" s="14"/>
      <c r="X2188" s="14"/>
      <c r="Y2188" s="14"/>
      <c r="Z2188" s="14"/>
      <c r="AA2188" s="16"/>
      <c r="AB2188" s="10"/>
      <c r="AC2188" s="10"/>
      <c r="AD2188" s="10"/>
      <c r="AE2188" s="10"/>
      <c r="AF2188" s="10"/>
      <c r="AG2188" s="10"/>
      <c r="AH2188" s="10"/>
      <c r="AI2188" s="10"/>
      <c r="AJ2188" s="10"/>
      <c r="AK2188" s="10"/>
      <c r="AL2188" s="10"/>
      <c r="AM2188" s="10"/>
      <c r="AN2188" s="10"/>
      <c r="AO2188" s="10"/>
      <c r="AP2188" s="10"/>
      <c r="AQ2188" s="10"/>
      <c r="AR2188" s="10"/>
      <c r="AS2188" s="10"/>
      <c r="AT2188" s="10"/>
      <c r="AU2188" s="10"/>
      <c r="AV2188" s="10"/>
      <c r="AW2188" s="10"/>
      <c r="AX2188" s="10"/>
      <c r="AY2188" s="10"/>
      <c r="AZ2188" s="10"/>
      <c r="BA2188" s="10"/>
      <c r="BB2188" s="10"/>
      <c r="BC2188" s="10"/>
      <c r="BD2188" s="10"/>
      <c r="BE2188" s="10"/>
      <c r="BF2188" s="10"/>
      <c r="BG2188" s="10"/>
      <c r="BH2188" s="10"/>
      <c r="BI2188" s="10"/>
      <c r="BJ2188" s="10"/>
      <c r="BK2188" s="10"/>
      <c r="BM2188" s="10"/>
    </row>
    <row r="2189" spans="1:65" ht="12.75">
      <c r="A2189" s="9"/>
      <c r="B2189" s="10"/>
      <c r="C2189" s="11"/>
      <c r="D2189" s="12"/>
      <c r="E2189" s="10"/>
      <c r="F2189" s="10"/>
      <c r="G2189" s="10"/>
      <c r="H2189" s="14"/>
      <c r="I2189" s="14"/>
      <c r="J2189" s="14"/>
      <c r="K2189" s="14"/>
      <c r="L2189" s="14"/>
      <c r="M2189" s="15"/>
      <c r="N2189" s="10"/>
      <c r="O2189" s="14"/>
      <c r="P2189" s="14"/>
      <c r="Q2189" s="14"/>
      <c r="R2189" s="14"/>
      <c r="S2189" s="14"/>
      <c r="T2189" s="14"/>
      <c r="U2189" s="14"/>
      <c r="V2189" s="14"/>
      <c r="W2189" s="14"/>
      <c r="X2189" s="14"/>
      <c r="Y2189" s="14"/>
      <c r="Z2189" s="14"/>
      <c r="AA2189" s="16"/>
      <c r="AB2189" s="10"/>
      <c r="AC2189" s="10"/>
      <c r="AD2189" s="10"/>
      <c r="AE2189" s="10"/>
      <c r="AF2189" s="10"/>
      <c r="AG2189" s="10"/>
      <c r="AH2189" s="10"/>
      <c r="AI2189" s="10"/>
      <c r="AJ2189" s="10"/>
      <c r="AK2189" s="10"/>
      <c r="AL2189" s="10"/>
      <c r="AM2189" s="10"/>
      <c r="AN2189" s="10"/>
      <c r="AO2189" s="10"/>
      <c r="AP2189" s="10"/>
      <c r="AQ2189" s="10"/>
      <c r="AR2189" s="10"/>
      <c r="AS2189" s="10"/>
      <c r="AT2189" s="10"/>
      <c r="AU2189" s="10"/>
      <c r="AV2189" s="10"/>
      <c r="AW2189" s="10"/>
      <c r="AX2189" s="10"/>
      <c r="AY2189" s="10"/>
      <c r="AZ2189" s="10"/>
      <c r="BA2189" s="10"/>
      <c r="BB2189" s="10"/>
      <c r="BC2189" s="10"/>
      <c r="BD2189" s="10"/>
      <c r="BE2189" s="10"/>
      <c r="BF2189" s="10"/>
      <c r="BG2189" s="10"/>
      <c r="BH2189" s="10"/>
      <c r="BI2189" s="10"/>
      <c r="BJ2189" s="10"/>
      <c r="BK2189" s="10"/>
      <c r="BM2189" s="10"/>
    </row>
    <row r="2190" spans="1:65" ht="12.75">
      <c r="A2190" s="9"/>
      <c r="B2190" s="10"/>
      <c r="C2190" s="11"/>
      <c r="D2190" s="12"/>
      <c r="E2190" s="10"/>
      <c r="F2190" s="10"/>
      <c r="G2190" s="10"/>
      <c r="H2190" s="14"/>
      <c r="I2190" s="14"/>
      <c r="J2190" s="14"/>
      <c r="K2190" s="14"/>
      <c r="L2190" s="14"/>
      <c r="M2190" s="15"/>
      <c r="N2190" s="10"/>
      <c r="O2190" s="14"/>
      <c r="P2190" s="14"/>
      <c r="Q2190" s="14"/>
      <c r="R2190" s="14"/>
      <c r="S2190" s="14"/>
      <c r="T2190" s="14"/>
      <c r="U2190" s="14"/>
      <c r="V2190" s="14"/>
      <c r="W2190" s="14"/>
      <c r="X2190" s="14"/>
      <c r="Y2190" s="14"/>
      <c r="Z2190" s="14"/>
      <c r="AA2190" s="16"/>
      <c r="AB2190" s="10"/>
      <c r="AC2190" s="10"/>
      <c r="AD2190" s="10"/>
      <c r="AE2190" s="10"/>
      <c r="AF2190" s="10"/>
      <c r="AG2190" s="10"/>
      <c r="AH2190" s="10"/>
      <c r="AI2190" s="10"/>
      <c r="AJ2190" s="10"/>
      <c r="AK2190" s="10"/>
      <c r="AL2190" s="10"/>
      <c r="AM2190" s="10"/>
      <c r="AN2190" s="10"/>
      <c r="AO2190" s="10"/>
      <c r="AP2190" s="10"/>
      <c r="AQ2190" s="10"/>
      <c r="AR2190" s="10"/>
      <c r="AS2190" s="10"/>
      <c r="AT2190" s="10"/>
      <c r="AU2190" s="10"/>
      <c r="AV2190" s="10"/>
      <c r="AW2190" s="10"/>
      <c r="AX2190" s="10"/>
      <c r="AY2190" s="10"/>
      <c r="AZ2190" s="10"/>
      <c r="BA2190" s="10"/>
      <c r="BB2190" s="10"/>
      <c r="BC2190" s="10"/>
      <c r="BD2190" s="10"/>
      <c r="BE2190" s="10"/>
      <c r="BF2190" s="10"/>
      <c r="BG2190" s="10"/>
      <c r="BH2190" s="10"/>
      <c r="BI2190" s="10"/>
      <c r="BJ2190" s="10"/>
      <c r="BK2190" s="10"/>
      <c r="BM2190" s="10"/>
    </row>
    <row r="2191" spans="1:65" ht="12.75">
      <c r="A2191" s="9"/>
      <c r="B2191" s="10"/>
      <c r="C2191" s="11"/>
      <c r="D2191" s="12"/>
      <c r="E2191" s="10"/>
      <c r="F2191" s="10"/>
      <c r="G2191" s="10"/>
      <c r="H2191" s="14"/>
      <c r="I2191" s="14"/>
      <c r="J2191" s="14"/>
      <c r="K2191" s="14"/>
      <c r="L2191" s="14"/>
      <c r="M2191" s="15"/>
      <c r="N2191" s="10"/>
      <c r="O2191" s="14"/>
      <c r="P2191" s="14"/>
      <c r="Q2191" s="14"/>
      <c r="R2191" s="14"/>
      <c r="S2191" s="14"/>
      <c r="T2191" s="14"/>
      <c r="U2191" s="14"/>
      <c r="V2191" s="14"/>
      <c r="W2191" s="14"/>
      <c r="X2191" s="14"/>
      <c r="Y2191" s="14"/>
      <c r="Z2191" s="14"/>
      <c r="AA2191" s="16"/>
      <c r="AB2191" s="10"/>
      <c r="AC2191" s="10"/>
      <c r="AD2191" s="10"/>
      <c r="AE2191" s="10"/>
      <c r="AF2191" s="10"/>
      <c r="AG2191" s="10"/>
      <c r="AH2191" s="10"/>
      <c r="AI2191" s="10"/>
      <c r="AJ2191" s="10"/>
      <c r="AK2191" s="10"/>
      <c r="AL2191" s="10"/>
      <c r="AM2191" s="10"/>
      <c r="AN2191" s="10"/>
      <c r="AO2191" s="10"/>
      <c r="AP2191" s="10"/>
      <c r="AQ2191" s="10"/>
      <c r="AR2191" s="10"/>
      <c r="AS2191" s="10"/>
      <c r="AT2191" s="10"/>
      <c r="AU2191" s="10"/>
      <c r="AV2191" s="10"/>
      <c r="AW2191" s="10"/>
      <c r="AX2191" s="10"/>
      <c r="AY2191" s="10"/>
      <c r="AZ2191" s="10"/>
      <c r="BA2191" s="10"/>
      <c r="BB2191" s="10"/>
      <c r="BC2191" s="10"/>
      <c r="BD2191" s="10"/>
      <c r="BE2191" s="10"/>
      <c r="BF2191" s="10"/>
      <c r="BG2191" s="10"/>
      <c r="BH2191" s="10"/>
      <c r="BI2191" s="10"/>
      <c r="BJ2191" s="10"/>
      <c r="BK2191" s="10"/>
      <c r="BM2191" s="10"/>
    </row>
    <row r="2192" spans="1:65" ht="12.75">
      <c r="A2192" s="9"/>
      <c r="B2192" s="10"/>
      <c r="C2192" s="11"/>
      <c r="D2192" s="12"/>
      <c r="E2192" s="10"/>
      <c r="F2192" s="10"/>
      <c r="G2192" s="10"/>
      <c r="H2192" s="14"/>
      <c r="I2192" s="14"/>
      <c r="J2192" s="14"/>
      <c r="K2192" s="14"/>
      <c r="L2192" s="14"/>
      <c r="M2192" s="15"/>
      <c r="N2192" s="10"/>
      <c r="O2192" s="14"/>
      <c r="P2192" s="14"/>
      <c r="Q2192" s="14"/>
      <c r="R2192" s="14"/>
      <c r="S2192" s="14"/>
      <c r="T2192" s="14"/>
      <c r="U2192" s="14"/>
      <c r="V2192" s="14"/>
      <c r="W2192" s="14"/>
      <c r="X2192" s="14"/>
      <c r="Y2192" s="14"/>
      <c r="Z2192" s="14"/>
      <c r="AA2192" s="16"/>
      <c r="AB2192" s="10"/>
      <c r="AC2192" s="10"/>
      <c r="AD2192" s="10"/>
      <c r="AE2192" s="10"/>
      <c r="AF2192" s="10"/>
      <c r="AG2192" s="10"/>
      <c r="AH2192" s="10"/>
      <c r="AI2192" s="10"/>
      <c r="AJ2192" s="10"/>
      <c r="AK2192" s="10"/>
      <c r="AL2192" s="1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10"/>
      <c r="BK2192" s="10"/>
      <c r="BM2192" s="10"/>
    </row>
    <row r="2193" spans="1:65" ht="12.75">
      <c r="A2193" s="9"/>
      <c r="B2193" s="10"/>
      <c r="C2193" s="11"/>
      <c r="D2193" s="12"/>
      <c r="E2193" s="10"/>
      <c r="F2193" s="10"/>
      <c r="G2193" s="10"/>
      <c r="H2193" s="14"/>
      <c r="I2193" s="14"/>
      <c r="J2193" s="14"/>
      <c r="K2193" s="14"/>
      <c r="L2193" s="14"/>
      <c r="M2193" s="15"/>
      <c r="N2193" s="10"/>
      <c r="O2193" s="14"/>
      <c r="P2193" s="14"/>
      <c r="Q2193" s="14"/>
      <c r="R2193" s="14"/>
      <c r="S2193" s="14"/>
      <c r="T2193" s="14"/>
      <c r="U2193" s="14"/>
      <c r="V2193" s="14"/>
      <c r="W2193" s="14"/>
      <c r="X2193" s="14"/>
      <c r="Y2193" s="14"/>
      <c r="Z2193" s="14"/>
      <c r="AA2193" s="16"/>
      <c r="AB2193" s="10"/>
      <c r="AC2193" s="10"/>
      <c r="AD2193" s="10"/>
      <c r="AE2193" s="10"/>
      <c r="AF2193" s="10"/>
      <c r="AG2193" s="10"/>
      <c r="AH2193" s="10"/>
      <c r="AI2193" s="10"/>
      <c r="AJ2193" s="10"/>
      <c r="AK2193" s="10"/>
      <c r="AL2193" s="1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10"/>
      <c r="BK2193" s="10"/>
      <c r="BM2193" s="10"/>
    </row>
    <row r="2194" spans="1:65" ht="12.75">
      <c r="A2194" s="9"/>
      <c r="B2194" s="10"/>
      <c r="C2194" s="11"/>
      <c r="D2194" s="12"/>
      <c r="E2194" s="10"/>
      <c r="F2194" s="10"/>
      <c r="G2194" s="10"/>
      <c r="H2194" s="14"/>
      <c r="I2194" s="14"/>
      <c r="J2194" s="14"/>
      <c r="K2194" s="14"/>
      <c r="L2194" s="14"/>
      <c r="M2194" s="15"/>
      <c r="N2194" s="10"/>
      <c r="O2194" s="14"/>
      <c r="P2194" s="14"/>
      <c r="Q2194" s="14"/>
      <c r="R2194" s="14"/>
      <c r="S2194" s="14"/>
      <c r="T2194" s="14"/>
      <c r="U2194" s="14"/>
      <c r="V2194" s="14"/>
      <c r="W2194" s="14"/>
      <c r="X2194" s="14"/>
      <c r="Y2194" s="14"/>
      <c r="Z2194" s="14"/>
      <c r="AA2194" s="16"/>
      <c r="AB2194" s="10"/>
      <c r="AC2194" s="10"/>
      <c r="AD2194" s="10"/>
      <c r="AE2194" s="10"/>
      <c r="AF2194" s="10"/>
      <c r="AG2194" s="10"/>
      <c r="AH2194" s="10"/>
      <c r="AI2194" s="10"/>
      <c r="AJ2194" s="10"/>
      <c r="AK2194" s="10"/>
      <c r="AL2194" s="10"/>
      <c r="AM2194" s="10"/>
      <c r="AN2194" s="10"/>
      <c r="AO2194" s="10"/>
      <c r="AP2194" s="10"/>
      <c r="AQ2194" s="10"/>
      <c r="AR2194" s="10"/>
      <c r="AS2194" s="10"/>
      <c r="AT2194" s="10"/>
      <c r="AU2194" s="10"/>
      <c r="AV2194" s="10"/>
      <c r="AW2194" s="10"/>
      <c r="AX2194" s="10"/>
      <c r="AY2194" s="10"/>
      <c r="AZ2194" s="10"/>
      <c r="BA2194" s="10"/>
      <c r="BB2194" s="10"/>
      <c r="BC2194" s="10"/>
      <c r="BD2194" s="10"/>
      <c r="BE2194" s="10"/>
      <c r="BF2194" s="10"/>
      <c r="BG2194" s="10"/>
      <c r="BH2194" s="10"/>
      <c r="BI2194" s="10"/>
      <c r="BJ2194" s="10"/>
      <c r="BK2194" s="10"/>
      <c r="BM2194" s="10"/>
    </row>
    <row r="2195" spans="1:65" ht="12.75">
      <c r="A2195" s="9"/>
      <c r="B2195" s="10"/>
      <c r="C2195" s="11"/>
      <c r="D2195" s="12"/>
      <c r="E2195" s="10"/>
      <c r="F2195" s="10"/>
      <c r="G2195" s="10"/>
      <c r="H2195" s="14"/>
      <c r="I2195" s="14"/>
      <c r="J2195" s="14"/>
      <c r="K2195" s="14"/>
      <c r="L2195" s="14"/>
      <c r="M2195" s="15"/>
      <c r="N2195" s="10"/>
      <c r="O2195" s="14"/>
      <c r="P2195" s="14"/>
      <c r="Q2195" s="14"/>
      <c r="R2195" s="14"/>
      <c r="S2195" s="14"/>
      <c r="T2195" s="14"/>
      <c r="U2195" s="14"/>
      <c r="V2195" s="14"/>
      <c r="W2195" s="14"/>
      <c r="X2195" s="14"/>
      <c r="Y2195" s="14"/>
      <c r="Z2195" s="14"/>
      <c r="AA2195" s="16"/>
      <c r="AB2195" s="10"/>
      <c r="AC2195" s="10"/>
      <c r="AD2195" s="10"/>
      <c r="AE2195" s="10"/>
      <c r="AF2195" s="10"/>
      <c r="AG2195" s="10"/>
      <c r="AH2195" s="10"/>
      <c r="AI2195" s="10"/>
      <c r="AJ2195" s="10"/>
      <c r="AK2195" s="10"/>
      <c r="AL2195" s="10"/>
      <c r="AM2195" s="10"/>
      <c r="AN2195" s="10"/>
      <c r="AO2195" s="10"/>
      <c r="AP2195" s="10"/>
      <c r="AQ2195" s="10"/>
      <c r="AR2195" s="10"/>
      <c r="AS2195" s="10"/>
      <c r="AT2195" s="10"/>
      <c r="AU2195" s="10"/>
      <c r="AV2195" s="10"/>
      <c r="AW2195" s="10"/>
      <c r="AX2195" s="10"/>
      <c r="AY2195" s="10"/>
      <c r="AZ2195" s="10"/>
      <c r="BA2195" s="10"/>
      <c r="BB2195" s="10"/>
      <c r="BC2195" s="10"/>
      <c r="BD2195" s="10"/>
      <c r="BE2195" s="10"/>
      <c r="BF2195" s="10"/>
      <c r="BG2195" s="10"/>
      <c r="BH2195" s="10"/>
      <c r="BI2195" s="10"/>
      <c r="BJ2195" s="10"/>
      <c r="BK2195" s="10"/>
      <c r="BM2195" s="10"/>
    </row>
    <row r="2196" spans="1:65" ht="12.75">
      <c r="A2196" s="9"/>
      <c r="B2196" s="10"/>
      <c r="C2196" s="11"/>
      <c r="D2196" s="12"/>
      <c r="E2196" s="10"/>
      <c r="F2196" s="10"/>
      <c r="G2196" s="10"/>
      <c r="H2196" s="14"/>
      <c r="I2196" s="14"/>
      <c r="J2196" s="14"/>
      <c r="K2196" s="14"/>
      <c r="L2196" s="14"/>
      <c r="M2196" s="15"/>
      <c r="N2196" s="10"/>
      <c r="O2196" s="14"/>
      <c r="P2196" s="14"/>
      <c r="Q2196" s="14"/>
      <c r="R2196" s="14"/>
      <c r="S2196" s="14"/>
      <c r="T2196" s="14"/>
      <c r="U2196" s="14"/>
      <c r="V2196" s="14"/>
      <c r="W2196" s="14"/>
      <c r="X2196" s="14"/>
      <c r="Y2196" s="14"/>
      <c r="Z2196" s="14"/>
      <c r="AA2196" s="16"/>
      <c r="AB2196" s="10"/>
      <c r="AC2196" s="10"/>
      <c r="AD2196" s="10"/>
      <c r="AE2196" s="10"/>
      <c r="AF2196" s="10"/>
      <c r="AG2196" s="10"/>
      <c r="AH2196" s="10"/>
      <c r="AI2196" s="10"/>
      <c r="AJ2196" s="10"/>
      <c r="AK2196" s="10"/>
      <c r="AL2196" s="10"/>
      <c r="AM2196" s="10"/>
      <c r="AN2196" s="10"/>
      <c r="AO2196" s="10"/>
      <c r="AP2196" s="10"/>
      <c r="AQ2196" s="10"/>
      <c r="AR2196" s="10"/>
      <c r="AS2196" s="10"/>
      <c r="AT2196" s="10"/>
      <c r="AU2196" s="10"/>
      <c r="AV2196" s="10"/>
      <c r="AW2196" s="10"/>
      <c r="AX2196" s="10"/>
      <c r="AY2196" s="10"/>
      <c r="AZ2196" s="10"/>
      <c r="BA2196" s="10"/>
      <c r="BB2196" s="10"/>
      <c r="BC2196" s="10"/>
      <c r="BD2196" s="10"/>
      <c r="BE2196" s="10"/>
      <c r="BF2196" s="10"/>
      <c r="BG2196" s="10"/>
      <c r="BH2196" s="10"/>
      <c r="BI2196" s="10"/>
      <c r="BJ2196" s="10"/>
      <c r="BK2196" s="10"/>
      <c r="BM2196" s="10"/>
    </row>
    <row r="2197" spans="1:65" ht="12.75">
      <c r="A2197" s="9"/>
      <c r="B2197" s="10"/>
      <c r="C2197" s="11"/>
      <c r="D2197" s="12"/>
      <c r="E2197" s="10"/>
      <c r="F2197" s="10"/>
      <c r="G2197" s="10"/>
      <c r="H2197" s="14"/>
      <c r="I2197" s="14"/>
      <c r="J2197" s="14"/>
      <c r="K2197" s="14"/>
      <c r="L2197" s="14"/>
      <c r="M2197" s="15"/>
      <c r="N2197" s="10"/>
      <c r="O2197" s="14"/>
      <c r="P2197" s="14"/>
      <c r="Q2197" s="14"/>
      <c r="R2197" s="14"/>
      <c r="S2197" s="14"/>
      <c r="T2197" s="14"/>
      <c r="U2197" s="14"/>
      <c r="V2197" s="14"/>
      <c r="W2197" s="14"/>
      <c r="X2197" s="14"/>
      <c r="Y2197" s="14"/>
      <c r="Z2197" s="14"/>
      <c r="AA2197" s="16"/>
      <c r="AB2197" s="10"/>
      <c r="AC2197" s="10"/>
      <c r="AD2197" s="10"/>
      <c r="AE2197" s="10"/>
      <c r="AF2197" s="10"/>
      <c r="AG2197" s="10"/>
      <c r="AH2197" s="10"/>
      <c r="AI2197" s="10"/>
      <c r="AJ2197" s="10"/>
      <c r="AK2197" s="10"/>
      <c r="AL2197" s="10"/>
      <c r="AM2197" s="10"/>
      <c r="AN2197" s="10"/>
      <c r="AO2197" s="10"/>
      <c r="AP2197" s="10"/>
      <c r="AQ2197" s="10"/>
      <c r="AR2197" s="10"/>
      <c r="AS2197" s="10"/>
      <c r="AT2197" s="10"/>
      <c r="AU2197" s="10"/>
      <c r="AV2197" s="10"/>
      <c r="AW2197" s="10"/>
      <c r="AX2197" s="10"/>
      <c r="AY2197" s="10"/>
      <c r="AZ2197" s="10"/>
      <c r="BA2197" s="10"/>
      <c r="BB2197" s="10"/>
      <c r="BC2197" s="10"/>
      <c r="BD2197" s="10"/>
      <c r="BE2197" s="10"/>
      <c r="BF2197" s="10"/>
      <c r="BG2197" s="10"/>
      <c r="BH2197" s="10"/>
      <c r="BI2197" s="10"/>
      <c r="BJ2197" s="10"/>
      <c r="BK2197" s="10"/>
      <c r="BM2197" s="10"/>
    </row>
    <row r="2198" spans="1:65" ht="12.75">
      <c r="A2198" s="9"/>
      <c r="B2198" s="10"/>
      <c r="C2198" s="11"/>
      <c r="D2198" s="12"/>
      <c r="E2198" s="10"/>
      <c r="F2198" s="10"/>
      <c r="G2198" s="10"/>
      <c r="H2198" s="14"/>
      <c r="I2198" s="14"/>
      <c r="J2198" s="14"/>
      <c r="K2198" s="14"/>
      <c r="L2198" s="14"/>
      <c r="M2198" s="15"/>
      <c r="N2198" s="10"/>
      <c r="O2198" s="14"/>
      <c r="P2198" s="14"/>
      <c r="Q2198" s="14"/>
      <c r="R2198" s="14"/>
      <c r="S2198" s="14"/>
      <c r="T2198" s="14"/>
      <c r="U2198" s="14"/>
      <c r="V2198" s="14"/>
      <c r="W2198" s="14"/>
      <c r="X2198" s="14"/>
      <c r="Y2198" s="14"/>
      <c r="Z2198" s="14"/>
      <c r="AA2198" s="16"/>
      <c r="AB2198" s="10"/>
      <c r="AC2198" s="10"/>
      <c r="AD2198" s="10"/>
      <c r="AE2198" s="10"/>
      <c r="AF2198" s="10"/>
      <c r="AG2198" s="10"/>
      <c r="AH2198" s="10"/>
      <c r="AI2198" s="10"/>
      <c r="AJ2198" s="10"/>
      <c r="AK2198" s="10"/>
      <c r="AL2198" s="10"/>
      <c r="AM2198" s="10"/>
      <c r="AN2198" s="10"/>
      <c r="AO2198" s="10"/>
      <c r="AP2198" s="10"/>
      <c r="AQ2198" s="10"/>
      <c r="AR2198" s="10"/>
      <c r="AS2198" s="10"/>
      <c r="AT2198" s="10"/>
      <c r="AU2198" s="10"/>
      <c r="AV2198" s="10"/>
      <c r="AW2198" s="10"/>
      <c r="AX2198" s="10"/>
      <c r="AY2198" s="10"/>
      <c r="AZ2198" s="10"/>
      <c r="BA2198" s="10"/>
      <c r="BB2198" s="10"/>
      <c r="BC2198" s="10"/>
      <c r="BD2198" s="10"/>
      <c r="BE2198" s="10"/>
      <c r="BF2198" s="10"/>
      <c r="BG2198" s="10"/>
      <c r="BH2198" s="10"/>
      <c r="BI2198" s="10"/>
      <c r="BJ2198" s="10"/>
      <c r="BK2198" s="10"/>
      <c r="BM2198" s="10"/>
    </row>
    <row r="2199" spans="1:65" ht="12.75">
      <c r="A2199" s="9"/>
      <c r="B2199" s="10"/>
      <c r="C2199" s="11"/>
      <c r="D2199" s="12"/>
      <c r="E2199" s="10"/>
      <c r="F2199" s="10"/>
      <c r="G2199" s="10"/>
      <c r="H2199" s="14"/>
      <c r="I2199" s="14"/>
      <c r="J2199" s="14"/>
      <c r="K2199" s="14"/>
      <c r="L2199" s="14"/>
      <c r="M2199" s="15"/>
      <c r="N2199" s="10"/>
      <c r="O2199" s="14"/>
      <c r="P2199" s="14"/>
      <c r="Q2199" s="14"/>
      <c r="R2199" s="14"/>
      <c r="S2199" s="14"/>
      <c r="T2199" s="14"/>
      <c r="U2199" s="14"/>
      <c r="V2199" s="14"/>
      <c r="W2199" s="14"/>
      <c r="X2199" s="14"/>
      <c r="Y2199" s="14"/>
      <c r="Z2199" s="14"/>
      <c r="AA2199" s="16"/>
      <c r="AB2199" s="10"/>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c r="BB2199" s="10"/>
      <c r="BC2199" s="10"/>
      <c r="BD2199" s="10"/>
      <c r="BE2199" s="10"/>
      <c r="BF2199" s="10"/>
      <c r="BG2199" s="10"/>
      <c r="BH2199" s="10"/>
      <c r="BI2199" s="10"/>
      <c r="BJ2199" s="10"/>
      <c r="BK2199" s="10"/>
      <c r="BM2199" s="10"/>
    </row>
    <row r="2200" spans="1:65" ht="12.75">
      <c r="A2200" s="9"/>
      <c r="B2200" s="10"/>
      <c r="C2200" s="11"/>
      <c r="D2200" s="12"/>
      <c r="E2200" s="10"/>
      <c r="F2200" s="10"/>
      <c r="G2200" s="10"/>
      <c r="H2200" s="14"/>
      <c r="I2200" s="14"/>
      <c r="J2200" s="14"/>
      <c r="K2200" s="14"/>
      <c r="L2200" s="14"/>
      <c r="M2200" s="15"/>
      <c r="N2200" s="10"/>
      <c r="O2200" s="14"/>
      <c r="P2200" s="14"/>
      <c r="Q2200" s="14"/>
      <c r="R2200" s="14"/>
      <c r="S2200" s="14"/>
      <c r="T2200" s="14"/>
      <c r="U2200" s="14"/>
      <c r="V2200" s="14"/>
      <c r="W2200" s="14"/>
      <c r="X2200" s="14"/>
      <c r="Y2200" s="14"/>
      <c r="Z2200" s="14"/>
      <c r="AA2200" s="16"/>
      <c r="AB2200" s="10"/>
      <c r="AC2200" s="10"/>
      <c r="AD2200" s="10"/>
      <c r="AE2200" s="10"/>
      <c r="AF2200" s="10"/>
      <c r="AG2200" s="10"/>
      <c r="AH2200" s="10"/>
      <c r="AI2200" s="10"/>
      <c r="AJ2200" s="10"/>
      <c r="AK2200" s="10"/>
      <c r="AL2200" s="10"/>
      <c r="AM2200" s="10"/>
      <c r="AN2200" s="10"/>
      <c r="AO2200" s="10"/>
      <c r="AP2200" s="10"/>
      <c r="AQ2200" s="10"/>
      <c r="AR2200" s="10"/>
      <c r="AS2200" s="10"/>
      <c r="AT2200" s="10"/>
      <c r="AU2200" s="10"/>
      <c r="AV2200" s="10"/>
      <c r="AW2200" s="10"/>
      <c r="AX2200" s="10"/>
      <c r="AY2200" s="10"/>
      <c r="AZ2200" s="10"/>
      <c r="BA2200" s="10"/>
      <c r="BB2200" s="10"/>
      <c r="BC2200" s="10"/>
      <c r="BD2200" s="10"/>
      <c r="BE2200" s="10"/>
      <c r="BF2200" s="10"/>
      <c r="BG2200" s="10"/>
      <c r="BH2200" s="10"/>
      <c r="BI2200" s="10"/>
      <c r="BJ2200" s="10"/>
      <c r="BK2200" s="10"/>
      <c r="BM2200" s="10"/>
    </row>
    <row r="2201" spans="1:65" ht="12.75">
      <c r="A2201" s="9"/>
      <c r="B2201" s="10"/>
      <c r="C2201" s="11"/>
      <c r="D2201" s="12"/>
      <c r="E2201" s="10"/>
      <c r="F2201" s="10"/>
      <c r="G2201" s="10"/>
      <c r="H2201" s="14"/>
      <c r="I2201" s="14"/>
      <c r="J2201" s="14"/>
      <c r="K2201" s="14"/>
      <c r="L2201" s="14"/>
      <c r="M2201" s="15"/>
      <c r="N2201" s="10"/>
      <c r="O2201" s="14"/>
      <c r="P2201" s="14"/>
      <c r="Q2201" s="14"/>
      <c r="R2201" s="14"/>
      <c r="S2201" s="14"/>
      <c r="T2201" s="14"/>
      <c r="U2201" s="14"/>
      <c r="V2201" s="14"/>
      <c r="W2201" s="14"/>
      <c r="X2201" s="14"/>
      <c r="Y2201" s="14"/>
      <c r="Z2201" s="14"/>
      <c r="AA2201" s="16"/>
      <c r="AB2201" s="10"/>
      <c r="AC2201" s="10"/>
      <c r="AD2201" s="10"/>
      <c r="AE2201" s="10"/>
      <c r="AF2201" s="10"/>
      <c r="AG2201" s="10"/>
      <c r="AH2201" s="10"/>
      <c r="AI2201" s="10"/>
      <c r="AJ2201" s="10"/>
      <c r="AK2201" s="10"/>
      <c r="AL2201" s="10"/>
      <c r="AM2201" s="10"/>
      <c r="AN2201" s="10"/>
      <c r="AO2201" s="10"/>
      <c r="AP2201" s="10"/>
      <c r="AQ2201" s="10"/>
      <c r="AR2201" s="10"/>
      <c r="AS2201" s="10"/>
      <c r="AT2201" s="10"/>
      <c r="AU2201" s="10"/>
      <c r="AV2201" s="10"/>
      <c r="AW2201" s="10"/>
      <c r="AX2201" s="10"/>
      <c r="AY2201" s="10"/>
      <c r="AZ2201" s="10"/>
      <c r="BA2201" s="10"/>
      <c r="BB2201" s="10"/>
      <c r="BC2201" s="10"/>
      <c r="BD2201" s="10"/>
      <c r="BE2201" s="10"/>
      <c r="BF2201" s="10"/>
      <c r="BG2201" s="10"/>
      <c r="BH2201" s="10"/>
      <c r="BI2201" s="10"/>
      <c r="BJ2201" s="10"/>
      <c r="BK2201" s="10"/>
      <c r="BM2201" s="10"/>
    </row>
    <row r="2202" spans="1:65" ht="12.75">
      <c r="A2202" s="9"/>
      <c r="B2202" s="10"/>
      <c r="C2202" s="11"/>
      <c r="D2202" s="12"/>
      <c r="E2202" s="10"/>
      <c r="F2202" s="10"/>
      <c r="G2202" s="10"/>
      <c r="H2202" s="14"/>
      <c r="I2202" s="14"/>
      <c r="J2202" s="14"/>
      <c r="K2202" s="14"/>
      <c r="L2202" s="14"/>
      <c r="M2202" s="15"/>
      <c r="N2202" s="10"/>
      <c r="O2202" s="14"/>
      <c r="P2202" s="14"/>
      <c r="Q2202" s="14"/>
      <c r="R2202" s="14"/>
      <c r="S2202" s="14"/>
      <c r="T2202" s="14"/>
      <c r="U2202" s="14"/>
      <c r="V2202" s="14"/>
      <c r="W2202" s="14"/>
      <c r="X2202" s="14"/>
      <c r="Y2202" s="14"/>
      <c r="Z2202" s="14"/>
      <c r="AA2202" s="16"/>
      <c r="AB2202" s="10"/>
      <c r="AC2202" s="10"/>
      <c r="AD2202" s="10"/>
      <c r="AE2202" s="10"/>
      <c r="AF2202" s="10"/>
      <c r="AG2202" s="10"/>
      <c r="AH2202" s="10"/>
      <c r="AI2202" s="10"/>
      <c r="AJ2202" s="10"/>
      <c r="AK2202" s="10"/>
      <c r="AL2202" s="10"/>
      <c r="AM2202" s="10"/>
      <c r="AN2202" s="10"/>
      <c r="AO2202" s="10"/>
      <c r="AP2202" s="10"/>
      <c r="AQ2202" s="10"/>
      <c r="AR2202" s="10"/>
      <c r="AS2202" s="10"/>
      <c r="AT2202" s="10"/>
      <c r="AU2202" s="10"/>
      <c r="AV2202" s="10"/>
      <c r="AW2202" s="10"/>
      <c r="AX2202" s="10"/>
      <c r="AY2202" s="10"/>
      <c r="AZ2202" s="10"/>
      <c r="BA2202" s="10"/>
      <c r="BB2202" s="10"/>
      <c r="BC2202" s="10"/>
      <c r="BD2202" s="10"/>
      <c r="BE2202" s="10"/>
      <c r="BF2202" s="10"/>
      <c r="BG2202" s="10"/>
      <c r="BH2202" s="10"/>
      <c r="BI2202" s="10"/>
      <c r="BJ2202" s="10"/>
      <c r="BK2202" s="10"/>
      <c r="BM2202" s="10"/>
    </row>
    <row r="2203" spans="1:65" ht="12.75">
      <c r="A2203" s="9"/>
      <c r="B2203" s="10"/>
      <c r="C2203" s="11"/>
      <c r="D2203" s="12"/>
      <c r="E2203" s="10"/>
      <c r="F2203" s="10"/>
      <c r="G2203" s="10"/>
      <c r="H2203" s="14"/>
      <c r="I2203" s="14"/>
      <c r="J2203" s="14"/>
      <c r="K2203" s="14"/>
      <c r="L2203" s="14"/>
      <c r="M2203" s="15"/>
      <c r="N2203" s="10"/>
      <c r="O2203" s="14"/>
      <c r="P2203" s="14"/>
      <c r="Q2203" s="14"/>
      <c r="R2203" s="14"/>
      <c r="S2203" s="14"/>
      <c r="T2203" s="14"/>
      <c r="U2203" s="14"/>
      <c r="V2203" s="14"/>
      <c r="W2203" s="14"/>
      <c r="X2203" s="14"/>
      <c r="Y2203" s="14"/>
      <c r="Z2203" s="14"/>
      <c r="AA2203" s="16"/>
      <c r="AB2203" s="10"/>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0"/>
      <c r="BC2203" s="10"/>
      <c r="BD2203" s="10"/>
      <c r="BE2203" s="10"/>
      <c r="BF2203" s="10"/>
      <c r="BG2203" s="10"/>
      <c r="BH2203" s="10"/>
      <c r="BI2203" s="10"/>
      <c r="BJ2203" s="10"/>
      <c r="BK2203" s="10"/>
      <c r="BM2203" s="10"/>
    </row>
    <row r="2204" spans="1:65" ht="12.75">
      <c r="A2204" s="9"/>
      <c r="B2204" s="10"/>
      <c r="C2204" s="11"/>
      <c r="D2204" s="12"/>
      <c r="E2204" s="10"/>
      <c r="F2204" s="10"/>
      <c r="G2204" s="10"/>
      <c r="H2204" s="14"/>
      <c r="I2204" s="14"/>
      <c r="J2204" s="14"/>
      <c r="K2204" s="14"/>
      <c r="L2204" s="14"/>
      <c r="M2204" s="15"/>
      <c r="N2204" s="10"/>
      <c r="O2204" s="14"/>
      <c r="P2204" s="14"/>
      <c r="Q2204" s="14"/>
      <c r="R2204" s="14"/>
      <c r="S2204" s="14"/>
      <c r="T2204" s="14"/>
      <c r="U2204" s="14"/>
      <c r="V2204" s="14"/>
      <c r="W2204" s="14"/>
      <c r="X2204" s="14"/>
      <c r="Y2204" s="14"/>
      <c r="Z2204" s="14"/>
      <c r="AA2204" s="16"/>
      <c r="AB2204" s="10"/>
      <c r="AC2204" s="10"/>
      <c r="AD2204" s="10"/>
      <c r="AE2204" s="10"/>
      <c r="AF2204" s="10"/>
      <c r="AG2204" s="10"/>
      <c r="AH2204" s="10"/>
      <c r="AI2204" s="10"/>
      <c r="AJ2204" s="10"/>
      <c r="AK2204" s="10"/>
      <c r="AL2204" s="10"/>
      <c r="AM2204" s="10"/>
      <c r="AN2204" s="10"/>
      <c r="AO2204" s="10"/>
      <c r="AP2204" s="10"/>
      <c r="AQ2204" s="10"/>
      <c r="AR2204" s="10"/>
      <c r="AS2204" s="10"/>
      <c r="AT2204" s="10"/>
      <c r="AU2204" s="10"/>
      <c r="AV2204" s="10"/>
      <c r="AW2204" s="10"/>
      <c r="AX2204" s="10"/>
      <c r="AY2204" s="10"/>
      <c r="AZ2204" s="10"/>
      <c r="BA2204" s="10"/>
      <c r="BB2204" s="10"/>
      <c r="BC2204" s="10"/>
      <c r="BD2204" s="10"/>
      <c r="BE2204" s="10"/>
      <c r="BF2204" s="10"/>
      <c r="BG2204" s="10"/>
      <c r="BH2204" s="10"/>
      <c r="BI2204" s="10"/>
      <c r="BJ2204" s="10"/>
      <c r="BK2204" s="10"/>
      <c r="BM2204" s="10"/>
    </row>
    <row r="2205" spans="1:65" ht="12.75">
      <c r="A2205" s="9"/>
      <c r="B2205" s="10"/>
      <c r="C2205" s="11"/>
      <c r="D2205" s="12"/>
      <c r="E2205" s="10"/>
      <c r="F2205" s="10"/>
      <c r="G2205" s="10"/>
      <c r="H2205" s="14"/>
      <c r="I2205" s="14"/>
      <c r="J2205" s="14"/>
      <c r="K2205" s="14"/>
      <c r="L2205" s="14"/>
      <c r="M2205" s="15"/>
      <c r="N2205" s="10"/>
      <c r="O2205" s="14"/>
      <c r="P2205" s="14"/>
      <c r="Q2205" s="14"/>
      <c r="R2205" s="14"/>
      <c r="S2205" s="14"/>
      <c r="T2205" s="14"/>
      <c r="U2205" s="14"/>
      <c r="V2205" s="14"/>
      <c r="W2205" s="14"/>
      <c r="X2205" s="14"/>
      <c r="Y2205" s="14"/>
      <c r="Z2205" s="14"/>
      <c r="AA2205" s="16"/>
      <c r="AB2205" s="10"/>
      <c r="AC2205" s="10"/>
      <c r="AD2205" s="10"/>
      <c r="AE2205" s="10"/>
      <c r="AF2205" s="10"/>
      <c r="AG2205" s="10"/>
      <c r="AH2205" s="10"/>
      <c r="AI2205" s="10"/>
      <c r="AJ2205" s="10"/>
      <c r="AK2205" s="10"/>
      <c r="AL2205" s="10"/>
      <c r="AM2205" s="10"/>
      <c r="AN2205" s="10"/>
      <c r="AO2205" s="10"/>
      <c r="AP2205" s="10"/>
      <c r="AQ2205" s="10"/>
      <c r="AR2205" s="10"/>
      <c r="AS2205" s="10"/>
      <c r="AT2205" s="10"/>
      <c r="AU2205" s="10"/>
      <c r="AV2205" s="10"/>
      <c r="AW2205" s="10"/>
      <c r="AX2205" s="10"/>
      <c r="AY2205" s="10"/>
      <c r="AZ2205" s="10"/>
      <c r="BA2205" s="10"/>
      <c r="BB2205" s="10"/>
      <c r="BC2205" s="10"/>
      <c r="BD2205" s="10"/>
      <c r="BE2205" s="10"/>
      <c r="BF2205" s="10"/>
      <c r="BG2205" s="10"/>
      <c r="BH2205" s="10"/>
      <c r="BI2205" s="10"/>
      <c r="BJ2205" s="10"/>
      <c r="BK2205" s="10"/>
      <c r="BM2205" s="10"/>
    </row>
    <row r="2206" spans="1:65" ht="12.75">
      <c r="A2206" s="9"/>
      <c r="B2206" s="10"/>
      <c r="C2206" s="11"/>
      <c r="D2206" s="12"/>
      <c r="E2206" s="10"/>
      <c r="F2206" s="10"/>
      <c r="G2206" s="10"/>
      <c r="H2206" s="14"/>
      <c r="I2206" s="14"/>
      <c r="J2206" s="14"/>
      <c r="K2206" s="14"/>
      <c r="L2206" s="14"/>
      <c r="M2206" s="15"/>
      <c r="N2206" s="10"/>
      <c r="O2206" s="14"/>
      <c r="P2206" s="14"/>
      <c r="Q2206" s="14"/>
      <c r="R2206" s="14"/>
      <c r="S2206" s="14"/>
      <c r="T2206" s="14"/>
      <c r="U2206" s="14"/>
      <c r="V2206" s="14"/>
      <c r="W2206" s="14"/>
      <c r="X2206" s="14"/>
      <c r="Y2206" s="14"/>
      <c r="Z2206" s="14"/>
      <c r="AA2206" s="16"/>
      <c r="AB2206" s="10"/>
      <c r="AC2206" s="10"/>
      <c r="AD2206" s="10"/>
      <c r="AE2206" s="10"/>
      <c r="AF2206" s="10"/>
      <c r="AG2206" s="10"/>
      <c r="AH2206" s="10"/>
      <c r="AI2206" s="10"/>
      <c r="AJ2206" s="10"/>
      <c r="AK2206" s="10"/>
      <c r="AL2206" s="10"/>
      <c r="AM2206" s="10"/>
      <c r="AN2206" s="10"/>
      <c r="AO2206" s="10"/>
      <c r="AP2206" s="10"/>
      <c r="AQ2206" s="10"/>
      <c r="AR2206" s="10"/>
      <c r="AS2206" s="10"/>
      <c r="AT2206" s="10"/>
      <c r="AU2206" s="10"/>
      <c r="AV2206" s="10"/>
      <c r="AW2206" s="10"/>
      <c r="AX2206" s="10"/>
      <c r="AY2206" s="10"/>
      <c r="AZ2206" s="10"/>
      <c r="BA2206" s="10"/>
      <c r="BB2206" s="10"/>
      <c r="BC2206" s="10"/>
      <c r="BD2206" s="10"/>
      <c r="BE2206" s="10"/>
      <c r="BF2206" s="10"/>
      <c r="BG2206" s="10"/>
      <c r="BH2206" s="10"/>
      <c r="BI2206" s="10"/>
      <c r="BJ2206" s="10"/>
      <c r="BK2206" s="10"/>
      <c r="BM2206" s="10"/>
    </row>
    <row r="2207" spans="1:65" ht="12.75">
      <c r="A2207" s="9"/>
      <c r="B2207" s="10"/>
      <c r="C2207" s="11"/>
      <c r="D2207" s="12"/>
      <c r="E2207" s="10"/>
      <c r="F2207" s="10"/>
      <c r="G2207" s="10"/>
      <c r="H2207" s="14"/>
      <c r="I2207" s="14"/>
      <c r="J2207" s="14"/>
      <c r="K2207" s="14"/>
      <c r="L2207" s="14"/>
      <c r="M2207" s="15"/>
      <c r="N2207" s="10"/>
      <c r="O2207" s="14"/>
      <c r="P2207" s="14"/>
      <c r="Q2207" s="14"/>
      <c r="R2207" s="14"/>
      <c r="S2207" s="14"/>
      <c r="T2207" s="14"/>
      <c r="U2207" s="14"/>
      <c r="V2207" s="14"/>
      <c r="W2207" s="14"/>
      <c r="X2207" s="14"/>
      <c r="Y2207" s="14"/>
      <c r="Z2207" s="14"/>
      <c r="AA2207" s="16"/>
      <c r="AB2207" s="10"/>
      <c r="AC2207" s="10"/>
      <c r="AD2207" s="10"/>
      <c r="AE2207" s="10"/>
      <c r="AF2207" s="10"/>
      <c r="AG2207" s="10"/>
      <c r="AH2207" s="10"/>
      <c r="AI2207" s="10"/>
      <c r="AJ2207" s="10"/>
      <c r="AK2207" s="10"/>
      <c r="AL2207" s="10"/>
      <c r="AM2207" s="10"/>
      <c r="AN2207" s="10"/>
      <c r="AO2207" s="10"/>
      <c r="AP2207" s="10"/>
      <c r="AQ2207" s="10"/>
      <c r="AR2207" s="10"/>
      <c r="AS2207" s="10"/>
      <c r="AT2207" s="10"/>
      <c r="AU2207" s="10"/>
      <c r="AV2207" s="10"/>
      <c r="AW2207" s="10"/>
      <c r="AX2207" s="10"/>
      <c r="AY2207" s="10"/>
      <c r="AZ2207" s="10"/>
      <c r="BA2207" s="10"/>
      <c r="BB2207" s="10"/>
      <c r="BC2207" s="10"/>
      <c r="BD2207" s="10"/>
      <c r="BE2207" s="10"/>
      <c r="BF2207" s="10"/>
      <c r="BG2207" s="10"/>
      <c r="BH2207" s="10"/>
      <c r="BI2207" s="10"/>
      <c r="BJ2207" s="10"/>
      <c r="BK2207" s="10"/>
      <c r="BM2207" s="10"/>
    </row>
    <row r="2208" spans="1:65" ht="12.75">
      <c r="A2208" s="9"/>
      <c r="B2208" s="10"/>
      <c r="C2208" s="11"/>
      <c r="D2208" s="12"/>
      <c r="E2208" s="10"/>
      <c r="F2208" s="10"/>
      <c r="G2208" s="10"/>
      <c r="H2208" s="14"/>
      <c r="I2208" s="14"/>
      <c r="J2208" s="14"/>
      <c r="K2208" s="14"/>
      <c r="L2208" s="14"/>
      <c r="M2208" s="15"/>
      <c r="N2208" s="10"/>
      <c r="O2208" s="14"/>
      <c r="P2208" s="14"/>
      <c r="Q2208" s="14"/>
      <c r="R2208" s="14"/>
      <c r="S2208" s="14"/>
      <c r="T2208" s="14"/>
      <c r="U2208" s="14"/>
      <c r="V2208" s="14"/>
      <c r="W2208" s="14"/>
      <c r="X2208" s="14"/>
      <c r="Y2208" s="14"/>
      <c r="Z2208" s="14"/>
      <c r="AA2208" s="16"/>
      <c r="AB2208" s="10"/>
      <c r="AC2208" s="10"/>
      <c r="AD2208" s="10"/>
      <c r="AE2208" s="10"/>
      <c r="AF2208" s="10"/>
      <c r="AG2208" s="10"/>
      <c r="AH2208" s="10"/>
      <c r="AI2208" s="10"/>
      <c r="AJ2208" s="10"/>
      <c r="AK2208" s="10"/>
      <c r="AL2208" s="10"/>
      <c r="AM2208" s="10"/>
      <c r="AN2208" s="10"/>
      <c r="AO2208" s="10"/>
      <c r="AP2208" s="10"/>
      <c r="AQ2208" s="10"/>
      <c r="AR2208" s="10"/>
      <c r="AS2208" s="10"/>
      <c r="AT2208" s="10"/>
      <c r="AU2208" s="10"/>
      <c r="AV2208" s="10"/>
      <c r="AW2208" s="10"/>
      <c r="AX2208" s="10"/>
      <c r="AY2208" s="10"/>
      <c r="AZ2208" s="10"/>
      <c r="BA2208" s="10"/>
      <c r="BB2208" s="10"/>
      <c r="BC2208" s="10"/>
      <c r="BD2208" s="10"/>
      <c r="BE2208" s="10"/>
      <c r="BF2208" s="10"/>
      <c r="BG2208" s="10"/>
      <c r="BH2208" s="10"/>
      <c r="BI2208" s="10"/>
      <c r="BJ2208" s="10"/>
      <c r="BK2208" s="10"/>
      <c r="BM2208" s="10"/>
    </row>
    <row r="2209" spans="1:65" ht="12.75">
      <c r="A2209" s="9"/>
      <c r="B2209" s="10"/>
      <c r="C2209" s="11"/>
      <c r="D2209" s="12"/>
      <c r="E2209" s="10"/>
      <c r="F2209" s="10"/>
      <c r="G2209" s="10"/>
      <c r="H2209" s="14"/>
      <c r="I2209" s="14"/>
      <c r="J2209" s="14"/>
      <c r="K2209" s="14"/>
      <c r="L2209" s="14"/>
      <c r="M2209" s="15"/>
      <c r="N2209" s="10"/>
      <c r="O2209" s="14"/>
      <c r="P2209" s="14"/>
      <c r="Q2209" s="14"/>
      <c r="R2209" s="14"/>
      <c r="S2209" s="14"/>
      <c r="T2209" s="14"/>
      <c r="U2209" s="14"/>
      <c r="V2209" s="14"/>
      <c r="W2209" s="14"/>
      <c r="X2209" s="14"/>
      <c r="Y2209" s="14"/>
      <c r="Z2209" s="14"/>
      <c r="AA2209" s="16"/>
      <c r="AB2209" s="10"/>
      <c r="AC2209" s="10"/>
      <c r="AD2209" s="10"/>
      <c r="AE2209" s="10"/>
      <c r="AF2209" s="10"/>
      <c r="AG2209" s="10"/>
      <c r="AH2209" s="10"/>
      <c r="AI2209" s="10"/>
      <c r="AJ2209" s="10"/>
      <c r="AK2209" s="10"/>
      <c r="AL2209" s="10"/>
      <c r="AM2209" s="10"/>
      <c r="AN2209" s="10"/>
      <c r="AO2209" s="10"/>
      <c r="AP2209" s="10"/>
      <c r="AQ2209" s="10"/>
      <c r="AR2209" s="10"/>
      <c r="AS2209" s="10"/>
      <c r="AT2209" s="10"/>
      <c r="AU2209" s="10"/>
      <c r="AV2209" s="10"/>
      <c r="AW2209" s="10"/>
      <c r="AX2209" s="10"/>
      <c r="AY2209" s="10"/>
      <c r="AZ2209" s="10"/>
      <c r="BA2209" s="10"/>
      <c r="BB2209" s="10"/>
      <c r="BC2209" s="10"/>
      <c r="BD2209" s="10"/>
      <c r="BE2209" s="10"/>
      <c r="BF2209" s="10"/>
      <c r="BG2209" s="10"/>
      <c r="BH2209" s="10"/>
      <c r="BI2209" s="10"/>
      <c r="BJ2209" s="10"/>
      <c r="BK2209" s="10"/>
      <c r="BM2209" s="10"/>
    </row>
    <row r="2210" spans="1:65" ht="12.75">
      <c r="A2210" s="9"/>
      <c r="B2210" s="10"/>
      <c r="C2210" s="11"/>
      <c r="D2210" s="12"/>
      <c r="E2210" s="10"/>
      <c r="F2210" s="10"/>
      <c r="G2210" s="10"/>
      <c r="H2210" s="14"/>
      <c r="I2210" s="14"/>
      <c r="J2210" s="14"/>
      <c r="K2210" s="14"/>
      <c r="L2210" s="14"/>
      <c r="M2210" s="15"/>
      <c r="N2210" s="10"/>
      <c r="O2210" s="14"/>
      <c r="P2210" s="14"/>
      <c r="Q2210" s="14"/>
      <c r="R2210" s="14"/>
      <c r="S2210" s="14"/>
      <c r="T2210" s="14"/>
      <c r="U2210" s="14"/>
      <c r="V2210" s="14"/>
      <c r="W2210" s="14"/>
      <c r="X2210" s="14"/>
      <c r="Y2210" s="14"/>
      <c r="Z2210" s="14"/>
      <c r="AA2210" s="16"/>
      <c r="AB2210" s="10"/>
      <c r="AC2210" s="10"/>
      <c r="AD2210" s="10"/>
      <c r="AE2210" s="10"/>
      <c r="AF2210" s="10"/>
      <c r="AG2210" s="10"/>
      <c r="AH2210" s="10"/>
      <c r="AI2210" s="10"/>
      <c r="AJ2210" s="10"/>
      <c r="AK2210" s="10"/>
      <c r="AL2210" s="10"/>
      <c r="AM2210" s="10"/>
      <c r="AN2210" s="10"/>
      <c r="AO2210" s="10"/>
      <c r="AP2210" s="10"/>
      <c r="AQ2210" s="10"/>
      <c r="AR2210" s="10"/>
      <c r="AS2210" s="10"/>
      <c r="AT2210" s="10"/>
      <c r="AU2210" s="10"/>
      <c r="AV2210" s="10"/>
      <c r="AW2210" s="10"/>
      <c r="AX2210" s="10"/>
      <c r="AY2210" s="10"/>
      <c r="AZ2210" s="10"/>
      <c r="BA2210" s="10"/>
      <c r="BB2210" s="10"/>
      <c r="BC2210" s="10"/>
      <c r="BD2210" s="10"/>
      <c r="BE2210" s="10"/>
      <c r="BF2210" s="10"/>
      <c r="BG2210" s="10"/>
      <c r="BH2210" s="10"/>
      <c r="BI2210" s="10"/>
      <c r="BJ2210" s="10"/>
      <c r="BK2210" s="10"/>
      <c r="BM2210" s="10"/>
    </row>
    <row r="2211" spans="1:65" ht="12.75">
      <c r="A2211" s="9"/>
      <c r="B2211" s="10"/>
      <c r="C2211" s="11"/>
      <c r="D2211" s="12"/>
      <c r="E2211" s="10"/>
      <c r="F2211" s="10"/>
      <c r="G2211" s="10"/>
      <c r="H2211" s="14"/>
      <c r="I2211" s="14"/>
      <c r="J2211" s="14"/>
      <c r="K2211" s="14"/>
      <c r="L2211" s="14"/>
      <c r="M2211" s="15"/>
      <c r="N2211" s="10"/>
      <c r="O2211" s="14"/>
      <c r="P2211" s="14"/>
      <c r="Q2211" s="14"/>
      <c r="R2211" s="14"/>
      <c r="S2211" s="14"/>
      <c r="T2211" s="14"/>
      <c r="U2211" s="14"/>
      <c r="V2211" s="14"/>
      <c r="W2211" s="14"/>
      <c r="X2211" s="14"/>
      <c r="Y2211" s="14"/>
      <c r="Z2211" s="14"/>
      <c r="AA2211" s="16"/>
      <c r="AB2211" s="10"/>
      <c r="AC2211" s="10"/>
      <c r="AD2211" s="10"/>
      <c r="AE2211" s="10"/>
      <c r="AF2211" s="10"/>
      <c r="AG2211" s="10"/>
      <c r="AH2211" s="10"/>
      <c r="AI2211" s="10"/>
      <c r="AJ2211" s="10"/>
      <c r="AK2211" s="10"/>
      <c r="AL2211" s="10"/>
      <c r="AM2211" s="10"/>
      <c r="AN2211" s="10"/>
      <c r="AO2211" s="10"/>
      <c r="AP2211" s="10"/>
      <c r="AQ2211" s="10"/>
      <c r="AR2211" s="10"/>
      <c r="AS2211" s="10"/>
      <c r="AT2211" s="10"/>
      <c r="AU2211" s="10"/>
      <c r="AV2211" s="10"/>
      <c r="AW2211" s="10"/>
      <c r="AX2211" s="10"/>
      <c r="AY2211" s="10"/>
      <c r="AZ2211" s="10"/>
      <c r="BA2211" s="10"/>
      <c r="BB2211" s="10"/>
      <c r="BC2211" s="10"/>
      <c r="BD2211" s="10"/>
      <c r="BE2211" s="10"/>
      <c r="BF2211" s="10"/>
      <c r="BG2211" s="10"/>
      <c r="BH2211" s="10"/>
      <c r="BI2211" s="10"/>
      <c r="BJ2211" s="10"/>
      <c r="BK2211" s="10"/>
      <c r="BM2211" s="10"/>
    </row>
    <row r="2212" spans="1:65" ht="12.75">
      <c r="A2212" s="9"/>
      <c r="B2212" s="10"/>
      <c r="C2212" s="11"/>
      <c r="D2212" s="12"/>
      <c r="E2212" s="10"/>
      <c r="F2212" s="10"/>
      <c r="G2212" s="10"/>
      <c r="H2212" s="14"/>
      <c r="I2212" s="14"/>
      <c r="J2212" s="14"/>
      <c r="K2212" s="14"/>
      <c r="L2212" s="14"/>
      <c r="M2212" s="15"/>
      <c r="N2212" s="10"/>
      <c r="O2212" s="14"/>
      <c r="P2212" s="14"/>
      <c r="Q2212" s="14"/>
      <c r="R2212" s="14"/>
      <c r="S2212" s="14"/>
      <c r="T2212" s="14"/>
      <c r="U2212" s="14"/>
      <c r="V2212" s="14"/>
      <c r="W2212" s="14"/>
      <c r="X2212" s="14"/>
      <c r="Y2212" s="14"/>
      <c r="Z2212" s="14"/>
      <c r="AA2212" s="16"/>
      <c r="AB2212" s="10"/>
      <c r="AC2212" s="10"/>
      <c r="AD2212" s="10"/>
      <c r="AE2212" s="10"/>
      <c r="AF2212" s="10"/>
      <c r="AG2212" s="10"/>
      <c r="AH2212" s="10"/>
      <c r="AI2212" s="10"/>
      <c r="AJ2212" s="10"/>
      <c r="AK2212" s="10"/>
      <c r="AL2212" s="10"/>
      <c r="AM2212" s="10"/>
      <c r="AN2212" s="10"/>
      <c r="AO2212" s="10"/>
      <c r="AP2212" s="10"/>
      <c r="AQ2212" s="10"/>
      <c r="AR2212" s="10"/>
      <c r="AS2212" s="10"/>
      <c r="AT2212" s="10"/>
      <c r="AU2212" s="10"/>
      <c r="AV2212" s="10"/>
      <c r="AW2212" s="10"/>
      <c r="AX2212" s="10"/>
      <c r="AY2212" s="10"/>
      <c r="AZ2212" s="10"/>
      <c r="BA2212" s="10"/>
      <c r="BB2212" s="10"/>
      <c r="BC2212" s="10"/>
      <c r="BD2212" s="10"/>
      <c r="BE2212" s="10"/>
      <c r="BF2212" s="10"/>
      <c r="BG2212" s="10"/>
      <c r="BH2212" s="10"/>
      <c r="BI2212" s="10"/>
      <c r="BJ2212" s="10"/>
      <c r="BK2212" s="10"/>
      <c r="BM2212" s="10"/>
    </row>
    <row r="2213" spans="1:65" ht="12.75">
      <c r="A2213" s="9"/>
      <c r="B2213" s="10"/>
      <c r="C2213" s="11"/>
      <c r="D2213" s="12"/>
      <c r="E2213" s="10"/>
      <c r="F2213" s="10"/>
      <c r="G2213" s="10"/>
      <c r="H2213" s="14"/>
      <c r="I2213" s="14"/>
      <c r="J2213" s="14"/>
      <c r="K2213" s="14"/>
      <c r="L2213" s="14"/>
      <c r="M2213" s="15"/>
      <c r="N2213" s="10"/>
      <c r="O2213" s="14"/>
      <c r="P2213" s="14"/>
      <c r="Q2213" s="14"/>
      <c r="R2213" s="14"/>
      <c r="S2213" s="14"/>
      <c r="T2213" s="14"/>
      <c r="U2213" s="14"/>
      <c r="V2213" s="14"/>
      <c r="W2213" s="14"/>
      <c r="X2213" s="14"/>
      <c r="Y2213" s="14"/>
      <c r="Z2213" s="14"/>
      <c r="AA2213" s="16"/>
      <c r="AB2213" s="10"/>
      <c r="AC2213" s="10"/>
      <c r="AD2213" s="10"/>
      <c r="AE2213" s="10"/>
      <c r="AF2213" s="10"/>
      <c r="AG2213" s="10"/>
      <c r="AH2213" s="10"/>
      <c r="AI2213" s="10"/>
      <c r="AJ2213" s="10"/>
      <c r="AK2213" s="10"/>
      <c r="AL2213" s="10"/>
      <c r="AM2213" s="10"/>
      <c r="AN2213" s="10"/>
      <c r="AO2213" s="10"/>
      <c r="AP2213" s="10"/>
      <c r="AQ2213" s="10"/>
      <c r="AR2213" s="10"/>
      <c r="AS2213" s="10"/>
      <c r="AT2213" s="10"/>
      <c r="AU2213" s="10"/>
      <c r="AV2213" s="10"/>
      <c r="AW2213" s="10"/>
      <c r="AX2213" s="10"/>
      <c r="AY2213" s="10"/>
      <c r="AZ2213" s="10"/>
      <c r="BA2213" s="10"/>
      <c r="BB2213" s="10"/>
      <c r="BC2213" s="10"/>
      <c r="BD2213" s="10"/>
      <c r="BE2213" s="10"/>
      <c r="BF2213" s="10"/>
      <c r="BG2213" s="10"/>
      <c r="BH2213" s="10"/>
      <c r="BI2213" s="10"/>
      <c r="BJ2213" s="10"/>
      <c r="BK2213" s="10"/>
      <c r="BM2213" s="10"/>
    </row>
    <row r="2214" spans="1:65" ht="12.75">
      <c r="A2214" s="9"/>
      <c r="B2214" s="10"/>
      <c r="C2214" s="11"/>
      <c r="D2214" s="12"/>
      <c r="E2214" s="10"/>
      <c r="F2214" s="10"/>
      <c r="G2214" s="10"/>
      <c r="H2214" s="14"/>
      <c r="I2214" s="14"/>
      <c r="J2214" s="14"/>
      <c r="K2214" s="14"/>
      <c r="L2214" s="14"/>
      <c r="M2214" s="15"/>
      <c r="N2214" s="10"/>
      <c r="O2214" s="14"/>
      <c r="P2214" s="14"/>
      <c r="Q2214" s="14"/>
      <c r="R2214" s="14"/>
      <c r="S2214" s="14"/>
      <c r="T2214" s="14"/>
      <c r="U2214" s="14"/>
      <c r="V2214" s="14"/>
      <c r="W2214" s="14"/>
      <c r="X2214" s="14"/>
      <c r="Y2214" s="14"/>
      <c r="Z2214" s="14"/>
      <c r="AA2214" s="16"/>
      <c r="AB2214" s="10"/>
      <c r="AC2214" s="10"/>
      <c r="AD2214" s="10"/>
      <c r="AE2214" s="10"/>
      <c r="AF2214" s="10"/>
      <c r="AG2214" s="10"/>
      <c r="AH2214" s="10"/>
      <c r="AI2214" s="10"/>
      <c r="AJ2214" s="10"/>
      <c r="AK2214" s="10"/>
      <c r="AL2214" s="10"/>
      <c r="AM2214" s="10"/>
      <c r="AN2214" s="10"/>
      <c r="AO2214" s="10"/>
      <c r="AP2214" s="10"/>
      <c r="AQ2214" s="10"/>
      <c r="AR2214" s="10"/>
      <c r="AS2214" s="10"/>
      <c r="AT2214" s="10"/>
      <c r="AU2214" s="10"/>
      <c r="AV2214" s="10"/>
      <c r="AW2214" s="10"/>
      <c r="AX2214" s="10"/>
      <c r="AY2214" s="10"/>
      <c r="AZ2214" s="10"/>
      <c r="BA2214" s="10"/>
      <c r="BB2214" s="10"/>
      <c r="BC2214" s="10"/>
      <c r="BD2214" s="10"/>
      <c r="BE2214" s="10"/>
      <c r="BF2214" s="10"/>
      <c r="BG2214" s="10"/>
      <c r="BH2214" s="10"/>
      <c r="BI2214" s="10"/>
      <c r="BJ2214" s="10"/>
      <c r="BK2214" s="10"/>
      <c r="BM2214" s="10"/>
    </row>
    <row r="2215" spans="1:65" ht="12.75">
      <c r="A2215" s="9"/>
      <c r="B2215" s="10"/>
      <c r="C2215" s="11"/>
      <c r="D2215" s="12"/>
      <c r="E2215" s="10"/>
      <c r="F2215" s="10"/>
      <c r="G2215" s="10"/>
      <c r="H2215" s="14"/>
      <c r="I2215" s="14"/>
      <c r="J2215" s="14"/>
      <c r="K2215" s="14"/>
      <c r="L2215" s="14"/>
      <c r="M2215" s="15"/>
      <c r="N2215" s="10"/>
      <c r="O2215" s="14"/>
      <c r="P2215" s="14"/>
      <c r="Q2215" s="14"/>
      <c r="R2215" s="14"/>
      <c r="S2215" s="14"/>
      <c r="T2215" s="14"/>
      <c r="U2215" s="14"/>
      <c r="V2215" s="14"/>
      <c r="W2215" s="14"/>
      <c r="X2215" s="14"/>
      <c r="Y2215" s="14"/>
      <c r="Z2215" s="14"/>
      <c r="AA2215" s="16"/>
      <c r="AB2215" s="10"/>
      <c r="AC2215" s="10"/>
      <c r="AD2215" s="10"/>
      <c r="AE2215" s="10"/>
      <c r="AF2215" s="10"/>
      <c r="AG2215" s="10"/>
      <c r="AH2215" s="10"/>
      <c r="AI2215" s="10"/>
      <c r="AJ2215" s="10"/>
      <c r="AK2215" s="10"/>
      <c r="AL2215" s="10"/>
      <c r="AM2215" s="10"/>
      <c r="AN2215" s="10"/>
      <c r="AO2215" s="10"/>
      <c r="AP2215" s="10"/>
      <c r="AQ2215" s="10"/>
      <c r="AR2215" s="10"/>
      <c r="AS2215" s="10"/>
      <c r="AT2215" s="10"/>
      <c r="AU2215" s="10"/>
      <c r="AV2215" s="10"/>
      <c r="AW2215" s="10"/>
      <c r="AX2215" s="10"/>
      <c r="AY2215" s="10"/>
      <c r="AZ2215" s="10"/>
      <c r="BA2215" s="10"/>
      <c r="BB2215" s="10"/>
      <c r="BC2215" s="10"/>
      <c r="BD2215" s="10"/>
      <c r="BE2215" s="10"/>
      <c r="BF2215" s="10"/>
      <c r="BG2215" s="10"/>
      <c r="BH2215" s="10"/>
      <c r="BI2215" s="10"/>
      <c r="BJ2215" s="10"/>
      <c r="BK2215" s="10"/>
      <c r="BM2215" s="10"/>
    </row>
    <row r="2216" spans="1:65" ht="12.75">
      <c r="A2216" s="9"/>
      <c r="B2216" s="10"/>
      <c r="C2216" s="11"/>
      <c r="D2216" s="12"/>
      <c r="E2216" s="10"/>
      <c r="F2216" s="10"/>
      <c r="G2216" s="10"/>
      <c r="H2216" s="14"/>
      <c r="I2216" s="14"/>
      <c r="J2216" s="14"/>
      <c r="K2216" s="14"/>
      <c r="L2216" s="14"/>
      <c r="M2216" s="15"/>
      <c r="N2216" s="10"/>
      <c r="O2216" s="14"/>
      <c r="P2216" s="14"/>
      <c r="Q2216" s="14"/>
      <c r="R2216" s="14"/>
      <c r="S2216" s="14"/>
      <c r="T2216" s="14"/>
      <c r="U2216" s="14"/>
      <c r="V2216" s="14"/>
      <c r="W2216" s="14"/>
      <c r="X2216" s="14"/>
      <c r="Y2216" s="14"/>
      <c r="Z2216" s="14"/>
      <c r="AA2216" s="16"/>
      <c r="AB2216" s="10"/>
      <c r="AC2216" s="10"/>
      <c r="AD2216" s="10"/>
      <c r="AE2216" s="10"/>
      <c r="AF2216" s="10"/>
      <c r="AG2216" s="10"/>
      <c r="AH2216" s="10"/>
      <c r="AI2216" s="10"/>
      <c r="AJ2216" s="10"/>
      <c r="AK2216" s="10"/>
      <c r="AL2216" s="10"/>
      <c r="AM2216" s="10"/>
      <c r="AN2216" s="10"/>
      <c r="AO2216" s="10"/>
      <c r="AP2216" s="10"/>
      <c r="AQ2216" s="10"/>
      <c r="AR2216" s="10"/>
      <c r="AS2216" s="10"/>
      <c r="AT2216" s="10"/>
      <c r="AU2216" s="10"/>
      <c r="AV2216" s="10"/>
      <c r="AW2216" s="10"/>
      <c r="AX2216" s="10"/>
      <c r="AY2216" s="10"/>
      <c r="AZ2216" s="10"/>
      <c r="BA2216" s="10"/>
      <c r="BB2216" s="10"/>
      <c r="BC2216" s="10"/>
      <c r="BD2216" s="10"/>
      <c r="BE2216" s="10"/>
      <c r="BF2216" s="10"/>
      <c r="BG2216" s="10"/>
      <c r="BH2216" s="10"/>
      <c r="BI2216" s="10"/>
      <c r="BJ2216" s="10"/>
      <c r="BK2216" s="10"/>
      <c r="BM2216" s="10"/>
    </row>
    <row r="2217" spans="1:65" ht="12.75">
      <c r="A2217" s="9"/>
      <c r="B2217" s="10"/>
      <c r="C2217" s="11"/>
      <c r="D2217" s="12"/>
      <c r="E2217" s="10"/>
      <c r="F2217" s="10"/>
      <c r="G2217" s="10"/>
      <c r="H2217" s="14"/>
      <c r="I2217" s="14"/>
      <c r="J2217" s="14"/>
      <c r="K2217" s="14"/>
      <c r="L2217" s="14"/>
      <c r="M2217" s="15"/>
      <c r="N2217" s="10"/>
      <c r="O2217" s="14"/>
      <c r="P2217" s="14"/>
      <c r="Q2217" s="14"/>
      <c r="R2217" s="14"/>
      <c r="S2217" s="14"/>
      <c r="T2217" s="14"/>
      <c r="U2217" s="14"/>
      <c r="V2217" s="14"/>
      <c r="W2217" s="14"/>
      <c r="X2217" s="14"/>
      <c r="Y2217" s="14"/>
      <c r="Z2217" s="14"/>
      <c r="AA2217" s="16"/>
      <c r="AB2217" s="10"/>
      <c r="AC2217" s="10"/>
      <c r="AD2217" s="10"/>
      <c r="AE2217" s="10"/>
      <c r="AF2217" s="10"/>
      <c r="AG2217" s="10"/>
      <c r="AH2217" s="10"/>
      <c r="AI2217" s="10"/>
      <c r="AJ2217" s="10"/>
      <c r="AK2217" s="10"/>
      <c r="AL2217" s="10"/>
      <c r="AM2217" s="10"/>
      <c r="AN2217" s="10"/>
      <c r="AO2217" s="10"/>
      <c r="AP2217" s="10"/>
      <c r="AQ2217" s="10"/>
      <c r="AR2217" s="10"/>
      <c r="AS2217" s="10"/>
      <c r="AT2217" s="10"/>
      <c r="AU2217" s="10"/>
      <c r="AV2217" s="10"/>
      <c r="AW2217" s="10"/>
      <c r="AX2217" s="10"/>
      <c r="AY2217" s="10"/>
      <c r="AZ2217" s="10"/>
      <c r="BA2217" s="10"/>
      <c r="BB2217" s="10"/>
      <c r="BC2217" s="10"/>
      <c r="BD2217" s="10"/>
      <c r="BE2217" s="10"/>
      <c r="BF2217" s="10"/>
      <c r="BG2217" s="10"/>
      <c r="BH2217" s="10"/>
      <c r="BI2217" s="10"/>
      <c r="BJ2217" s="10"/>
      <c r="BK2217" s="10"/>
      <c r="BM2217" s="10"/>
    </row>
    <row r="2218" spans="1:65" ht="12.75">
      <c r="A2218" s="9"/>
      <c r="B2218" s="10"/>
      <c r="C2218" s="11"/>
      <c r="D2218" s="12"/>
      <c r="E2218" s="10"/>
      <c r="F2218" s="10"/>
      <c r="G2218" s="10"/>
      <c r="H2218" s="14"/>
      <c r="I2218" s="14"/>
      <c r="J2218" s="14"/>
      <c r="K2218" s="14"/>
      <c r="L2218" s="14"/>
      <c r="M2218" s="15"/>
      <c r="N2218" s="10"/>
      <c r="O2218" s="14"/>
      <c r="P2218" s="14"/>
      <c r="Q2218" s="14"/>
      <c r="R2218" s="14"/>
      <c r="S2218" s="14"/>
      <c r="T2218" s="14"/>
      <c r="U2218" s="14"/>
      <c r="V2218" s="14"/>
      <c r="W2218" s="14"/>
      <c r="X2218" s="14"/>
      <c r="Y2218" s="14"/>
      <c r="Z2218" s="14"/>
      <c r="AA2218" s="16"/>
      <c r="AB2218" s="10"/>
      <c r="AC2218" s="10"/>
      <c r="AD2218" s="10"/>
      <c r="AE2218" s="10"/>
      <c r="AF2218" s="10"/>
      <c r="AG2218" s="10"/>
      <c r="AH2218" s="10"/>
      <c r="AI2218" s="10"/>
      <c r="AJ2218" s="10"/>
      <c r="AK2218" s="10"/>
      <c r="AL2218" s="10"/>
      <c r="AM2218" s="10"/>
      <c r="AN2218" s="10"/>
      <c r="AO2218" s="10"/>
      <c r="AP2218" s="10"/>
      <c r="AQ2218" s="10"/>
      <c r="AR2218" s="10"/>
      <c r="AS2218" s="10"/>
      <c r="AT2218" s="10"/>
      <c r="AU2218" s="10"/>
      <c r="AV2218" s="10"/>
      <c r="AW2218" s="10"/>
      <c r="AX2218" s="10"/>
      <c r="AY2218" s="10"/>
      <c r="AZ2218" s="10"/>
      <c r="BA2218" s="10"/>
      <c r="BB2218" s="10"/>
      <c r="BC2218" s="10"/>
      <c r="BD2218" s="10"/>
      <c r="BE2218" s="10"/>
      <c r="BF2218" s="10"/>
      <c r="BG2218" s="10"/>
      <c r="BH2218" s="10"/>
      <c r="BI2218" s="10"/>
      <c r="BJ2218" s="10"/>
      <c r="BK2218" s="10"/>
      <c r="BM2218" s="10"/>
    </row>
    <row r="2219" spans="1:65" ht="12.75">
      <c r="A2219" s="9"/>
      <c r="B2219" s="10"/>
      <c r="C2219" s="11"/>
      <c r="D2219" s="12"/>
      <c r="E2219" s="10"/>
      <c r="F2219" s="10"/>
      <c r="G2219" s="10"/>
      <c r="H2219" s="14"/>
      <c r="I2219" s="14"/>
      <c r="J2219" s="14"/>
      <c r="K2219" s="14"/>
      <c r="L2219" s="14"/>
      <c r="M2219" s="15"/>
      <c r="N2219" s="10"/>
      <c r="O2219" s="14"/>
      <c r="P2219" s="14"/>
      <c r="Q2219" s="14"/>
      <c r="R2219" s="14"/>
      <c r="S2219" s="14"/>
      <c r="T2219" s="14"/>
      <c r="U2219" s="14"/>
      <c r="V2219" s="14"/>
      <c r="W2219" s="14"/>
      <c r="X2219" s="14"/>
      <c r="Y2219" s="14"/>
      <c r="Z2219" s="14"/>
      <c r="AA2219" s="16"/>
      <c r="AB2219" s="10"/>
      <c r="AC2219" s="10"/>
      <c r="AD2219" s="10"/>
      <c r="AE2219" s="10"/>
      <c r="AF2219" s="10"/>
      <c r="AG2219" s="10"/>
      <c r="AH2219" s="10"/>
      <c r="AI2219" s="10"/>
      <c r="AJ2219" s="10"/>
      <c r="AK2219" s="10"/>
      <c r="AL2219" s="10"/>
      <c r="AM2219" s="10"/>
      <c r="AN2219" s="10"/>
      <c r="AO2219" s="10"/>
      <c r="AP2219" s="10"/>
      <c r="AQ2219" s="10"/>
      <c r="AR2219" s="10"/>
      <c r="AS2219" s="10"/>
      <c r="AT2219" s="10"/>
      <c r="AU2219" s="10"/>
      <c r="AV2219" s="10"/>
      <c r="AW2219" s="10"/>
      <c r="AX2219" s="10"/>
      <c r="AY2219" s="10"/>
      <c r="AZ2219" s="10"/>
      <c r="BA2219" s="10"/>
      <c r="BB2219" s="10"/>
      <c r="BC2219" s="10"/>
      <c r="BD2219" s="10"/>
      <c r="BE2219" s="10"/>
      <c r="BF2219" s="10"/>
      <c r="BG2219" s="10"/>
      <c r="BH2219" s="10"/>
      <c r="BI2219" s="10"/>
      <c r="BJ2219" s="10"/>
      <c r="BK2219" s="10"/>
      <c r="BM2219" s="10"/>
    </row>
    <row r="2220" spans="1:65" ht="12.75">
      <c r="A2220" s="9"/>
      <c r="B2220" s="10"/>
      <c r="C2220" s="11"/>
      <c r="D2220" s="12"/>
      <c r="E2220" s="10"/>
      <c r="F2220" s="10"/>
      <c r="G2220" s="10"/>
      <c r="H2220" s="14"/>
      <c r="I2220" s="14"/>
      <c r="J2220" s="14"/>
      <c r="K2220" s="14"/>
      <c r="L2220" s="14"/>
      <c r="M2220" s="15"/>
      <c r="N2220" s="10"/>
      <c r="O2220" s="14"/>
      <c r="P2220" s="14"/>
      <c r="Q2220" s="14"/>
      <c r="R2220" s="14"/>
      <c r="S2220" s="14"/>
      <c r="T2220" s="14"/>
      <c r="U2220" s="14"/>
      <c r="V2220" s="14"/>
      <c r="W2220" s="14"/>
      <c r="X2220" s="14"/>
      <c r="Y2220" s="14"/>
      <c r="Z2220" s="14"/>
      <c r="AA2220" s="16"/>
      <c r="AB2220" s="10"/>
      <c r="AC2220" s="10"/>
      <c r="AD2220" s="10"/>
      <c r="AE2220" s="10"/>
      <c r="AF2220" s="10"/>
      <c r="AG2220" s="10"/>
      <c r="AH2220" s="10"/>
      <c r="AI2220" s="10"/>
      <c r="AJ2220" s="10"/>
      <c r="AK2220" s="10"/>
      <c r="AL2220" s="10"/>
      <c r="AM2220" s="10"/>
      <c r="AN2220" s="10"/>
      <c r="AO2220" s="10"/>
      <c r="AP2220" s="10"/>
      <c r="AQ2220" s="10"/>
      <c r="AR2220" s="10"/>
      <c r="AS2220" s="10"/>
      <c r="AT2220" s="10"/>
      <c r="AU2220" s="10"/>
      <c r="AV2220" s="10"/>
      <c r="AW2220" s="10"/>
      <c r="AX2220" s="10"/>
      <c r="AY2220" s="10"/>
      <c r="AZ2220" s="10"/>
      <c r="BA2220" s="10"/>
      <c r="BB2220" s="10"/>
      <c r="BC2220" s="10"/>
      <c r="BD2220" s="10"/>
      <c r="BE2220" s="10"/>
      <c r="BF2220" s="10"/>
      <c r="BG2220" s="10"/>
      <c r="BH2220" s="10"/>
      <c r="BI2220" s="10"/>
      <c r="BJ2220" s="10"/>
      <c r="BK2220" s="10"/>
      <c r="BM2220" s="10"/>
    </row>
    <row r="2221" spans="1:65" ht="12.75">
      <c r="A2221" s="9"/>
      <c r="B2221" s="10"/>
      <c r="C2221" s="11"/>
      <c r="D2221" s="12"/>
      <c r="E2221" s="10"/>
      <c r="F2221" s="10"/>
      <c r="G2221" s="10"/>
      <c r="H2221" s="14"/>
      <c r="I2221" s="14"/>
      <c r="J2221" s="14"/>
      <c r="K2221" s="14"/>
      <c r="L2221" s="14"/>
      <c r="M2221" s="15"/>
      <c r="N2221" s="10"/>
      <c r="O2221" s="14"/>
      <c r="P2221" s="14"/>
      <c r="Q2221" s="14"/>
      <c r="R2221" s="14"/>
      <c r="S2221" s="14"/>
      <c r="T2221" s="14"/>
      <c r="U2221" s="14"/>
      <c r="V2221" s="14"/>
      <c r="W2221" s="14"/>
      <c r="X2221" s="14"/>
      <c r="Y2221" s="14"/>
      <c r="Z2221" s="14"/>
      <c r="AA2221" s="16"/>
      <c r="AB2221" s="10"/>
      <c r="AC2221" s="10"/>
      <c r="AD2221" s="10"/>
      <c r="AE2221" s="10"/>
      <c r="AF2221" s="10"/>
      <c r="AG2221" s="10"/>
      <c r="AH2221" s="10"/>
      <c r="AI2221" s="10"/>
      <c r="AJ2221" s="10"/>
      <c r="AK2221" s="10"/>
      <c r="AL2221" s="10"/>
      <c r="AM2221" s="10"/>
      <c r="AN2221" s="10"/>
      <c r="AO2221" s="10"/>
      <c r="AP2221" s="10"/>
      <c r="AQ2221" s="10"/>
      <c r="AR2221" s="10"/>
      <c r="AS2221" s="10"/>
      <c r="AT2221" s="10"/>
      <c r="AU2221" s="10"/>
      <c r="AV2221" s="10"/>
      <c r="AW2221" s="10"/>
      <c r="AX2221" s="10"/>
      <c r="AY2221" s="10"/>
      <c r="AZ2221" s="10"/>
      <c r="BA2221" s="10"/>
      <c r="BB2221" s="10"/>
      <c r="BC2221" s="10"/>
      <c r="BD2221" s="10"/>
      <c r="BE2221" s="10"/>
      <c r="BF2221" s="10"/>
      <c r="BG2221" s="10"/>
      <c r="BH2221" s="10"/>
      <c r="BI2221" s="10"/>
      <c r="BJ2221" s="10"/>
      <c r="BK2221" s="10"/>
      <c r="BM2221" s="10"/>
    </row>
    <row r="2222" spans="1:65" ht="12.75">
      <c r="A2222" s="9"/>
      <c r="B2222" s="10"/>
      <c r="C2222" s="11"/>
      <c r="D2222" s="12"/>
      <c r="E2222" s="10"/>
      <c r="F2222" s="10"/>
      <c r="G2222" s="10"/>
      <c r="H2222" s="14"/>
      <c r="I2222" s="14"/>
      <c r="J2222" s="14"/>
      <c r="K2222" s="14"/>
      <c r="L2222" s="14"/>
      <c r="M2222" s="15"/>
      <c r="N2222" s="10"/>
      <c r="O2222" s="14"/>
      <c r="P2222" s="14"/>
      <c r="Q2222" s="14"/>
      <c r="R2222" s="14"/>
      <c r="S2222" s="14"/>
      <c r="T2222" s="14"/>
      <c r="U2222" s="14"/>
      <c r="V2222" s="14"/>
      <c r="W2222" s="14"/>
      <c r="X2222" s="14"/>
      <c r="Y2222" s="14"/>
      <c r="Z2222" s="14"/>
      <c r="AA2222" s="16"/>
      <c r="AB2222" s="10"/>
      <c r="AC2222" s="10"/>
      <c r="AD2222" s="10"/>
      <c r="AE2222" s="10"/>
      <c r="AF2222" s="10"/>
      <c r="AG2222" s="10"/>
      <c r="AH2222" s="10"/>
      <c r="AI2222" s="10"/>
      <c r="AJ2222" s="10"/>
      <c r="AK2222" s="10"/>
      <c r="AL2222" s="10"/>
      <c r="AM2222" s="10"/>
      <c r="AN2222" s="10"/>
      <c r="AO2222" s="10"/>
      <c r="AP2222" s="10"/>
      <c r="AQ2222" s="10"/>
      <c r="AR2222" s="10"/>
      <c r="AS2222" s="10"/>
      <c r="AT2222" s="10"/>
      <c r="AU2222" s="10"/>
      <c r="AV2222" s="10"/>
      <c r="AW2222" s="10"/>
      <c r="AX2222" s="10"/>
      <c r="AY2222" s="10"/>
      <c r="AZ2222" s="10"/>
      <c r="BA2222" s="10"/>
      <c r="BB2222" s="10"/>
      <c r="BC2222" s="10"/>
      <c r="BD2222" s="10"/>
      <c r="BE2222" s="10"/>
      <c r="BF2222" s="10"/>
      <c r="BG2222" s="10"/>
      <c r="BH2222" s="10"/>
      <c r="BI2222" s="10"/>
      <c r="BJ2222" s="10"/>
      <c r="BK2222" s="10"/>
      <c r="BM2222" s="10"/>
    </row>
    <row r="2223" spans="1:65" ht="12.75">
      <c r="A2223" s="9"/>
      <c r="B2223" s="10"/>
      <c r="C2223" s="11"/>
      <c r="D2223" s="12"/>
      <c r="E2223" s="10"/>
      <c r="F2223" s="10"/>
      <c r="G2223" s="10"/>
      <c r="H2223" s="14"/>
      <c r="I2223" s="14"/>
      <c r="J2223" s="14"/>
      <c r="K2223" s="14"/>
      <c r="L2223" s="14"/>
      <c r="M2223" s="15"/>
      <c r="N2223" s="10"/>
      <c r="O2223" s="14"/>
      <c r="P2223" s="14"/>
      <c r="Q2223" s="14"/>
      <c r="R2223" s="14"/>
      <c r="S2223" s="14"/>
      <c r="T2223" s="14"/>
      <c r="U2223" s="14"/>
      <c r="V2223" s="14"/>
      <c r="W2223" s="14"/>
      <c r="X2223" s="14"/>
      <c r="Y2223" s="14"/>
      <c r="Z2223" s="14"/>
      <c r="AA2223" s="16"/>
      <c r="AB2223" s="10"/>
      <c r="AC2223" s="10"/>
      <c r="AD2223" s="10"/>
      <c r="AE2223" s="10"/>
      <c r="AF2223" s="10"/>
      <c r="AG2223" s="10"/>
      <c r="AH2223" s="10"/>
      <c r="AI2223" s="10"/>
      <c r="AJ2223" s="10"/>
      <c r="AK2223" s="10"/>
      <c r="AL2223" s="10"/>
      <c r="AM2223" s="10"/>
      <c r="AN2223" s="10"/>
      <c r="AO2223" s="10"/>
      <c r="AP2223" s="10"/>
      <c r="AQ2223" s="10"/>
      <c r="AR2223" s="10"/>
      <c r="AS2223" s="10"/>
      <c r="AT2223" s="10"/>
      <c r="AU2223" s="10"/>
      <c r="AV2223" s="10"/>
      <c r="AW2223" s="10"/>
      <c r="AX2223" s="10"/>
      <c r="AY2223" s="10"/>
      <c r="AZ2223" s="10"/>
      <c r="BA2223" s="10"/>
      <c r="BB2223" s="10"/>
      <c r="BC2223" s="10"/>
      <c r="BD2223" s="10"/>
      <c r="BE2223" s="10"/>
      <c r="BF2223" s="10"/>
      <c r="BG2223" s="10"/>
      <c r="BH2223" s="10"/>
      <c r="BI2223" s="10"/>
      <c r="BJ2223" s="10"/>
      <c r="BK2223" s="10"/>
      <c r="BM2223" s="10"/>
    </row>
    <row r="2224" spans="1:65" ht="12.75">
      <c r="A2224" s="9"/>
      <c r="B2224" s="10"/>
      <c r="C2224" s="11"/>
      <c r="D2224" s="12"/>
      <c r="E2224" s="10"/>
      <c r="F2224" s="10"/>
      <c r="G2224" s="10"/>
      <c r="H2224" s="14"/>
      <c r="I2224" s="14"/>
      <c r="J2224" s="14"/>
      <c r="K2224" s="14"/>
      <c r="L2224" s="14"/>
      <c r="M2224" s="15"/>
      <c r="N2224" s="10"/>
      <c r="O2224" s="14"/>
      <c r="P2224" s="14"/>
      <c r="Q2224" s="14"/>
      <c r="R2224" s="14"/>
      <c r="S2224" s="14"/>
      <c r="T2224" s="14"/>
      <c r="U2224" s="14"/>
      <c r="V2224" s="14"/>
      <c r="W2224" s="14"/>
      <c r="X2224" s="14"/>
      <c r="Y2224" s="14"/>
      <c r="Z2224" s="14"/>
      <c r="AA2224" s="16"/>
      <c r="AB2224" s="10"/>
      <c r="AC2224" s="10"/>
      <c r="AD2224" s="10"/>
      <c r="AE2224" s="10"/>
      <c r="AF2224" s="10"/>
      <c r="AG2224" s="10"/>
      <c r="AH2224" s="10"/>
      <c r="AI2224" s="10"/>
      <c r="AJ2224" s="10"/>
      <c r="AK2224" s="10"/>
      <c r="AL2224" s="10"/>
      <c r="AM2224" s="10"/>
      <c r="AN2224" s="10"/>
      <c r="AO2224" s="10"/>
      <c r="AP2224" s="10"/>
      <c r="AQ2224" s="10"/>
      <c r="AR2224" s="10"/>
      <c r="AS2224" s="10"/>
      <c r="AT2224" s="10"/>
      <c r="AU2224" s="10"/>
      <c r="AV2224" s="10"/>
      <c r="AW2224" s="10"/>
      <c r="AX2224" s="10"/>
      <c r="AY2224" s="10"/>
      <c r="AZ2224" s="10"/>
      <c r="BA2224" s="10"/>
      <c r="BB2224" s="10"/>
      <c r="BC2224" s="10"/>
      <c r="BD2224" s="10"/>
      <c r="BE2224" s="10"/>
      <c r="BF2224" s="10"/>
      <c r="BG2224" s="10"/>
      <c r="BH2224" s="10"/>
      <c r="BI2224" s="10"/>
      <c r="BJ2224" s="10"/>
      <c r="BK2224" s="10"/>
      <c r="BM2224" s="10"/>
    </row>
    <row r="2225" spans="1:65" ht="12.75">
      <c r="A2225" s="9"/>
      <c r="B2225" s="10"/>
      <c r="C2225" s="11"/>
      <c r="D2225" s="12"/>
      <c r="E2225" s="10"/>
      <c r="F2225" s="10"/>
      <c r="G2225" s="10"/>
      <c r="H2225" s="14"/>
      <c r="I2225" s="14"/>
      <c r="J2225" s="14"/>
      <c r="K2225" s="14"/>
      <c r="L2225" s="14"/>
      <c r="M2225" s="15"/>
      <c r="N2225" s="10"/>
      <c r="O2225" s="14"/>
      <c r="P2225" s="14"/>
      <c r="Q2225" s="14"/>
      <c r="R2225" s="14"/>
      <c r="S2225" s="14"/>
      <c r="T2225" s="14"/>
      <c r="U2225" s="14"/>
      <c r="V2225" s="14"/>
      <c r="W2225" s="14"/>
      <c r="X2225" s="14"/>
      <c r="Y2225" s="14"/>
      <c r="Z2225" s="14"/>
      <c r="AA2225" s="16"/>
      <c r="AB2225" s="10"/>
      <c r="AC2225" s="10"/>
      <c r="AD2225" s="10"/>
      <c r="AE2225" s="10"/>
      <c r="AF2225" s="10"/>
      <c r="AG2225" s="10"/>
      <c r="AH2225" s="10"/>
      <c r="AI2225" s="10"/>
      <c r="AJ2225" s="10"/>
      <c r="AK2225" s="10"/>
      <c r="AL2225" s="10"/>
      <c r="AM2225" s="10"/>
      <c r="AN2225" s="10"/>
      <c r="AO2225" s="10"/>
      <c r="AP2225" s="10"/>
      <c r="AQ2225" s="10"/>
      <c r="AR2225" s="10"/>
      <c r="AS2225" s="10"/>
      <c r="AT2225" s="10"/>
      <c r="AU2225" s="10"/>
      <c r="AV2225" s="10"/>
      <c r="AW2225" s="10"/>
      <c r="AX2225" s="10"/>
      <c r="AY2225" s="10"/>
      <c r="AZ2225" s="10"/>
      <c r="BA2225" s="10"/>
      <c r="BB2225" s="10"/>
      <c r="BC2225" s="10"/>
      <c r="BD2225" s="10"/>
      <c r="BE2225" s="10"/>
      <c r="BF2225" s="10"/>
      <c r="BG2225" s="10"/>
      <c r="BH2225" s="10"/>
      <c r="BI2225" s="10"/>
      <c r="BJ2225" s="10"/>
      <c r="BK2225" s="10"/>
      <c r="BM2225" s="10"/>
    </row>
    <row r="2226" spans="1:65" ht="12.75">
      <c r="A2226" s="9"/>
      <c r="B2226" s="10"/>
      <c r="C2226" s="11"/>
      <c r="D2226" s="12"/>
      <c r="E2226" s="10"/>
      <c r="F2226" s="10"/>
      <c r="G2226" s="10"/>
      <c r="H2226" s="14"/>
      <c r="I2226" s="14"/>
      <c r="J2226" s="14"/>
      <c r="K2226" s="14"/>
      <c r="L2226" s="14"/>
      <c r="M2226" s="15"/>
      <c r="N2226" s="10"/>
      <c r="O2226" s="14"/>
      <c r="P2226" s="14"/>
      <c r="Q2226" s="14"/>
      <c r="R2226" s="14"/>
      <c r="S2226" s="14"/>
      <c r="T2226" s="14"/>
      <c r="U2226" s="14"/>
      <c r="V2226" s="14"/>
      <c r="W2226" s="14"/>
      <c r="X2226" s="14"/>
      <c r="Y2226" s="14"/>
      <c r="Z2226" s="14"/>
      <c r="AA2226" s="16"/>
      <c r="AB2226" s="10"/>
      <c r="AC2226" s="10"/>
      <c r="AD2226" s="10"/>
      <c r="AE2226" s="10"/>
      <c r="AF2226" s="10"/>
      <c r="AG2226" s="10"/>
      <c r="AH2226" s="10"/>
      <c r="AI2226" s="10"/>
      <c r="AJ2226" s="10"/>
      <c r="AK2226" s="10"/>
      <c r="AL2226" s="10"/>
      <c r="AM2226" s="10"/>
      <c r="AN2226" s="10"/>
      <c r="AO2226" s="10"/>
      <c r="AP2226" s="10"/>
      <c r="AQ2226" s="10"/>
      <c r="AR2226" s="10"/>
      <c r="AS2226" s="10"/>
      <c r="AT2226" s="10"/>
      <c r="AU2226" s="10"/>
      <c r="AV2226" s="10"/>
      <c r="AW2226" s="10"/>
      <c r="AX2226" s="10"/>
      <c r="AY2226" s="10"/>
      <c r="AZ2226" s="10"/>
      <c r="BA2226" s="10"/>
      <c r="BB2226" s="10"/>
      <c r="BC2226" s="10"/>
      <c r="BD2226" s="10"/>
      <c r="BE2226" s="10"/>
      <c r="BF2226" s="10"/>
      <c r="BG2226" s="10"/>
      <c r="BH2226" s="10"/>
      <c r="BI2226" s="10"/>
      <c r="BJ2226" s="10"/>
      <c r="BK2226" s="10"/>
      <c r="BM2226" s="10"/>
    </row>
    <row r="2227" spans="1:65" ht="12.75">
      <c r="A2227" s="9"/>
      <c r="B2227" s="10"/>
      <c r="C2227" s="11"/>
      <c r="D2227" s="12"/>
      <c r="E2227" s="10"/>
      <c r="F2227" s="10"/>
      <c r="G2227" s="10"/>
      <c r="H2227" s="14"/>
      <c r="I2227" s="14"/>
      <c r="J2227" s="14"/>
      <c r="K2227" s="14"/>
      <c r="L2227" s="14"/>
      <c r="M2227" s="15"/>
      <c r="N2227" s="10"/>
      <c r="O2227" s="14"/>
      <c r="P2227" s="14"/>
      <c r="Q2227" s="14"/>
      <c r="R2227" s="14"/>
      <c r="S2227" s="14"/>
      <c r="T2227" s="14"/>
      <c r="U2227" s="14"/>
      <c r="V2227" s="14"/>
      <c r="W2227" s="14"/>
      <c r="X2227" s="14"/>
      <c r="Y2227" s="14"/>
      <c r="Z2227" s="14"/>
      <c r="AA2227" s="16"/>
      <c r="AB2227" s="10"/>
      <c r="AC2227" s="10"/>
      <c r="AD2227" s="10"/>
      <c r="AE2227" s="10"/>
      <c r="AF2227" s="10"/>
      <c r="AG2227" s="10"/>
      <c r="AH2227" s="10"/>
      <c r="AI2227" s="10"/>
      <c r="AJ2227" s="10"/>
      <c r="AK2227" s="10"/>
      <c r="AL2227" s="10"/>
      <c r="AM2227" s="10"/>
      <c r="AN2227" s="10"/>
      <c r="AO2227" s="10"/>
      <c r="AP2227" s="10"/>
      <c r="AQ2227" s="10"/>
      <c r="AR2227" s="10"/>
      <c r="AS2227" s="10"/>
      <c r="AT2227" s="10"/>
      <c r="AU2227" s="10"/>
      <c r="AV2227" s="10"/>
      <c r="AW2227" s="10"/>
      <c r="AX2227" s="10"/>
      <c r="AY2227" s="10"/>
      <c r="AZ2227" s="10"/>
      <c r="BA2227" s="10"/>
      <c r="BB2227" s="10"/>
      <c r="BC2227" s="10"/>
      <c r="BD2227" s="10"/>
      <c r="BE2227" s="10"/>
      <c r="BF2227" s="10"/>
      <c r="BG2227" s="10"/>
      <c r="BH2227" s="10"/>
      <c r="BI2227" s="10"/>
      <c r="BJ2227" s="10"/>
      <c r="BK2227" s="10"/>
      <c r="BM2227" s="10"/>
    </row>
    <row r="2228" spans="1:65" ht="12.75">
      <c r="A2228" s="9"/>
      <c r="B2228" s="10"/>
      <c r="C2228" s="11"/>
      <c r="D2228" s="12"/>
      <c r="E2228" s="10"/>
      <c r="F2228" s="10"/>
      <c r="G2228" s="10"/>
      <c r="H2228" s="14"/>
      <c r="I2228" s="14"/>
      <c r="J2228" s="14"/>
      <c r="K2228" s="14"/>
      <c r="L2228" s="14"/>
      <c r="M2228" s="15"/>
      <c r="N2228" s="10"/>
      <c r="O2228" s="14"/>
      <c r="P2228" s="14"/>
      <c r="Q2228" s="14"/>
      <c r="R2228" s="14"/>
      <c r="S2228" s="14"/>
      <c r="T2228" s="14"/>
      <c r="U2228" s="14"/>
      <c r="V2228" s="14"/>
      <c r="W2228" s="14"/>
      <c r="X2228" s="14"/>
      <c r="Y2228" s="14"/>
      <c r="Z2228" s="14"/>
      <c r="AA2228" s="16"/>
      <c r="AB2228" s="10"/>
      <c r="AC2228" s="10"/>
      <c r="AD2228" s="10"/>
      <c r="AE2228" s="10"/>
      <c r="AF2228" s="10"/>
      <c r="AG2228" s="10"/>
      <c r="AH2228" s="10"/>
      <c r="AI2228" s="10"/>
      <c r="AJ2228" s="10"/>
      <c r="AK2228" s="10"/>
      <c r="AL2228" s="10"/>
      <c r="AM2228" s="10"/>
      <c r="AN2228" s="10"/>
      <c r="AO2228" s="10"/>
      <c r="AP2228" s="10"/>
      <c r="AQ2228" s="10"/>
      <c r="AR2228" s="10"/>
      <c r="AS2228" s="10"/>
      <c r="AT2228" s="10"/>
      <c r="AU2228" s="10"/>
      <c r="AV2228" s="10"/>
      <c r="AW2228" s="10"/>
      <c r="AX2228" s="10"/>
      <c r="AY2228" s="10"/>
      <c r="AZ2228" s="10"/>
      <c r="BA2228" s="10"/>
      <c r="BB2228" s="10"/>
      <c r="BC2228" s="10"/>
      <c r="BD2228" s="10"/>
      <c r="BE2228" s="10"/>
      <c r="BF2228" s="10"/>
      <c r="BG2228" s="10"/>
      <c r="BH2228" s="10"/>
      <c r="BI2228" s="10"/>
      <c r="BJ2228" s="10"/>
      <c r="BK2228" s="10"/>
      <c r="BM2228" s="10"/>
    </row>
    <row r="2229" spans="1:65" ht="12.75">
      <c r="A2229" s="9"/>
      <c r="B2229" s="10"/>
      <c r="C2229" s="11"/>
      <c r="D2229" s="12"/>
      <c r="E2229" s="10"/>
      <c r="F2229" s="10"/>
      <c r="G2229" s="10"/>
      <c r="H2229" s="14"/>
      <c r="I2229" s="14"/>
      <c r="J2229" s="14"/>
      <c r="K2229" s="14"/>
      <c r="L2229" s="14"/>
      <c r="M2229" s="15"/>
      <c r="N2229" s="10"/>
      <c r="O2229" s="14"/>
      <c r="P2229" s="14"/>
      <c r="Q2229" s="14"/>
      <c r="R2229" s="14"/>
      <c r="S2229" s="14"/>
      <c r="T2229" s="14"/>
      <c r="U2229" s="14"/>
      <c r="V2229" s="14"/>
      <c r="W2229" s="14"/>
      <c r="X2229" s="14"/>
      <c r="Y2229" s="14"/>
      <c r="Z2229" s="14"/>
      <c r="AA2229" s="16"/>
      <c r="AB2229" s="10"/>
      <c r="AC2229" s="10"/>
      <c r="AD2229" s="10"/>
      <c r="AE2229" s="10"/>
      <c r="AF2229" s="10"/>
      <c r="AG2229" s="10"/>
      <c r="AH2229" s="10"/>
      <c r="AI2229" s="10"/>
      <c r="AJ2229" s="10"/>
      <c r="AK2229" s="10"/>
      <c r="AL2229" s="10"/>
      <c r="AM2229" s="10"/>
      <c r="AN2229" s="10"/>
      <c r="AO2229" s="10"/>
      <c r="AP2229" s="10"/>
      <c r="AQ2229" s="10"/>
      <c r="AR2229" s="10"/>
      <c r="AS2229" s="10"/>
      <c r="AT2229" s="10"/>
      <c r="AU2229" s="10"/>
      <c r="AV2229" s="10"/>
      <c r="AW2229" s="10"/>
      <c r="AX2229" s="10"/>
      <c r="AY2229" s="10"/>
      <c r="AZ2229" s="10"/>
      <c r="BA2229" s="10"/>
      <c r="BB2229" s="10"/>
      <c r="BC2229" s="10"/>
      <c r="BD2229" s="10"/>
      <c r="BE2229" s="10"/>
      <c r="BF2229" s="10"/>
      <c r="BG2229" s="10"/>
      <c r="BH2229" s="10"/>
      <c r="BI2229" s="10"/>
      <c r="BJ2229" s="10"/>
      <c r="BK2229" s="10"/>
      <c r="BM2229" s="10"/>
    </row>
    <row r="2230" spans="1:65" ht="12.75">
      <c r="A2230" s="9"/>
      <c r="B2230" s="10"/>
      <c r="C2230" s="11"/>
      <c r="D2230" s="12"/>
      <c r="E2230" s="10"/>
      <c r="F2230" s="10"/>
      <c r="G2230" s="10"/>
      <c r="H2230" s="14"/>
      <c r="I2230" s="14"/>
      <c r="J2230" s="14"/>
      <c r="K2230" s="14"/>
      <c r="L2230" s="14"/>
      <c r="M2230" s="15"/>
      <c r="N2230" s="10"/>
      <c r="O2230" s="14"/>
      <c r="P2230" s="14"/>
      <c r="Q2230" s="14"/>
      <c r="R2230" s="14"/>
      <c r="S2230" s="14"/>
      <c r="T2230" s="14"/>
      <c r="U2230" s="14"/>
      <c r="V2230" s="14"/>
      <c r="W2230" s="14"/>
      <c r="X2230" s="14"/>
      <c r="Y2230" s="14"/>
      <c r="Z2230" s="14"/>
      <c r="AA2230" s="16"/>
      <c r="AB2230" s="10"/>
      <c r="AC2230" s="10"/>
      <c r="AD2230" s="10"/>
      <c r="AE2230" s="10"/>
      <c r="AF2230" s="10"/>
      <c r="AG2230" s="10"/>
      <c r="AH2230" s="10"/>
      <c r="AI2230" s="10"/>
      <c r="AJ2230" s="10"/>
      <c r="AK2230" s="10"/>
      <c r="AL2230" s="10"/>
      <c r="AM2230" s="10"/>
      <c r="AN2230" s="10"/>
      <c r="AO2230" s="10"/>
      <c r="AP2230" s="10"/>
      <c r="AQ2230" s="10"/>
      <c r="AR2230" s="10"/>
      <c r="AS2230" s="10"/>
      <c r="AT2230" s="10"/>
      <c r="AU2230" s="10"/>
      <c r="AV2230" s="10"/>
      <c r="AW2230" s="10"/>
      <c r="AX2230" s="10"/>
      <c r="AY2230" s="10"/>
      <c r="AZ2230" s="10"/>
      <c r="BA2230" s="10"/>
      <c r="BB2230" s="10"/>
      <c r="BC2230" s="10"/>
      <c r="BD2230" s="10"/>
      <c r="BE2230" s="10"/>
      <c r="BF2230" s="10"/>
      <c r="BG2230" s="10"/>
      <c r="BH2230" s="10"/>
      <c r="BI2230" s="10"/>
      <c r="BJ2230" s="10"/>
      <c r="BK2230" s="10"/>
      <c r="BM2230" s="10"/>
    </row>
    <row r="2231" spans="1:65" ht="12.75">
      <c r="A2231" s="9"/>
      <c r="B2231" s="10"/>
      <c r="C2231" s="11"/>
      <c r="D2231" s="12"/>
      <c r="E2231" s="10"/>
      <c r="F2231" s="10"/>
      <c r="G2231" s="10"/>
      <c r="H2231" s="14"/>
      <c r="I2231" s="14"/>
      <c r="J2231" s="14"/>
      <c r="K2231" s="14"/>
      <c r="L2231" s="14"/>
      <c r="M2231" s="15"/>
      <c r="N2231" s="10"/>
      <c r="O2231" s="14"/>
      <c r="P2231" s="14"/>
      <c r="Q2231" s="14"/>
      <c r="R2231" s="14"/>
      <c r="S2231" s="14"/>
      <c r="T2231" s="14"/>
      <c r="U2231" s="14"/>
      <c r="V2231" s="14"/>
      <c r="W2231" s="14"/>
      <c r="X2231" s="14"/>
      <c r="Y2231" s="14"/>
      <c r="Z2231" s="14"/>
      <c r="AA2231" s="16"/>
      <c r="AB2231" s="10"/>
      <c r="AC2231" s="10"/>
      <c r="AD2231" s="10"/>
      <c r="AE2231" s="10"/>
      <c r="AF2231" s="10"/>
      <c r="AG2231" s="10"/>
      <c r="AH2231" s="10"/>
      <c r="AI2231" s="10"/>
      <c r="AJ2231" s="10"/>
      <c r="AK2231" s="10"/>
      <c r="AL2231" s="10"/>
      <c r="AM2231" s="10"/>
      <c r="AN2231" s="10"/>
      <c r="AO2231" s="10"/>
      <c r="AP2231" s="10"/>
      <c r="AQ2231" s="10"/>
      <c r="AR2231" s="10"/>
      <c r="AS2231" s="10"/>
      <c r="AT2231" s="10"/>
      <c r="AU2231" s="10"/>
      <c r="AV2231" s="10"/>
      <c r="AW2231" s="10"/>
      <c r="AX2231" s="10"/>
      <c r="AY2231" s="10"/>
      <c r="AZ2231" s="10"/>
      <c r="BA2231" s="10"/>
      <c r="BB2231" s="10"/>
      <c r="BC2231" s="10"/>
      <c r="BD2231" s="10"/>
      <c r="BE2231" s="10"/>
      <c r="BF2231" s="10"/>
      <c r="BG2231" s="10"/>
      <c r="BH2231" s="10"/>
      <c r="BI2231" s="10"/>
      <c r="BJ2231" s="10"/>
      <c r="BK2231" s="10"/>
      <c r="BM2231" s="10"/>
    </row>
    <row r="2232" spans="1:65" ht="12.75">
      <c r="A2232" s="9"/>
      <c r="B2232" s="10"/>
      <c r="C2232" s="11"/>
      <c r="D2232" s="12"/>
      <c r="E2232" s="10"/>
      <c r="F2232" s="10"/>
      <c r="G2232" s="10"/>
      <c r="H2232" s="14"/>
      <c r="I2232" s="14"/>
      <c r="J2232" s="14"/>
      <c r="K2232" s="14"/>
      <c r="L2232" s="14"/>
      <c r="M2232" s="15"/>
      <c r="N2232" s="10"/>
      <c r="O2232" s="14"/>
      <c r="P2232" s="14"/>
      <c r="Q2232" s="14"/>
      <c r="R2232" s="14"/>
      <c r="S2232" s="14"/>
      <c r="T2232" s="14"/>
      <c r="U2232" s="14"/>
      <c r="V2232" s="14"/>
      <c r="W2232" s="14"/>
      <c r="X2232" s="14"/>
      <c r="Y2232" s="14"/>
      <c r="Z2232" s="14"/>
      <c r="AA2232" s="16"/>
      <c r="AB2232" s="10"/>
      <c r="AC2232" s="10"/>
      <c r="AD2232" s="10"/>
      <c r="AE2232" s="10"/>
      <c r="AF2232" s="10"/>
      <c r="AG2232" s="10"/>
      <c r="AH2232" s="10"/>
      <c r="AI2232" s="10"/>
      <c r="AJ2232" s="10"/>
      <c r="AK2232" s="10"/>
      <c r="AL2232" s="10"/>
      <c r="AM2232" s="10"/>
      <c r="AN2232" s="10"/>
      <c r="AO2232" s="10"/>
      <c r="AP2232" s="10"/>
      <c r="AQ2232" s="10"/>
      <c r="AR2232" s="10"/>
      <c r="AS2232" s="10"/>
      <c r="AT2232" s="10"/>
      <c r="AU2232" s="10"/>
      <c r="AV2232" s="10"/>
      <c r="AW2232" s="10"/>
      <c r="AX2232" s="10"/>
      <c r="AY2232" s="10"/>
      <c r="AZ2232" s="10"/>
      <c r="BA2232" s="10"/>
      <c r="BB2232" s="10"/>
      <c r="BC2232" s="10"/>
      <c r="BD2232" s="10"/>
      <c r="BE2232" s="10"/>
      <c r="BF2232" s="10"/>
      <c r="BG2232" s="10"/>
      <c r="BH2232" s="10"/>
      <c r="BI2232" s="10"/>
      <c r="BJ2232" s="10"/>
      <c r="BK2232" s="10"/>
      <c r="BM2232" s="10"/>
    </row>
    <row r="2233" spans="1:65" ht="12.75">
      <c r="A2233" s="9"/>
      <c r="B2233" s="10"/>
      <c r="C2233" s="11"/>
      <c r="D2233" s="12"/>
      <c r="E2233" s="10"/>
      <c r="F2233" s="10"/>
      <c r="G2233" s="10"/>
      <c r="H2233" s="14"/>
      <c r="I2233" s="14"/>
      <c r="J2233" s="14"/>
      <c r="K2233" s="14"/>
      <c r="L2233" s="14"/>
      <c r="M2233" s="15"/>
      <c r="N2233" s="10"/>
      <c r="O2233" s="14"/>
      <c r="P2233" s="14"/>
      <c r="Q2233" s="14"/>
      <c r="R2233" s="14"/>
      <c r="S2233" s="14"/>
      <c r="T2233" s="14"/>
      <c r="U2233" s="14"/>
      <c r="V2233" s="14"/>
      <c r="W2233" s="14"/>
      <c r="X2233" s="14"/>
      <c r="Y2233" s="14"/>
      <c r="Z2233" s="14"/>
      <c r="AA2233" s="16"/>
      <c r="AB2233" s="10"/>
      <c r="AC2233" s="10"/>
      <c r="AD2233" s="10"/>
      <c r="AE2233" s="10"/>
      <c r="AF2233" s="10"/>
      <c r="AG2233" s="10"/>
      <c r="AH2233" s="10"/>
      <c r="AI2233" s="10"/>
      <c r="AJ2233" s="10"/>
      <c r="AK2233" s="10"/>
      <c r="AL2233" s="10"/>
      <c r="AM2233" s="10"/>
      <c r="AN2233" s="10"/>
      <c r="AO2233" s="10"/>
      <c r="AP2233" s="10"/>
      <c r="AQ2233" s="10"/>
      <c r="AR2233" s="10"/>
      <c r="AS2233" s="10"/>
      <c r="AT2233" s="10"/>
      <c r="AU2233" s="10"/>
      <c r="AV2233" s="10"/>
      <c r="AW2233" s="10"/>
      <c r="AX2233" s="10"/>
      <c r="AY2233" s="10"/>
      <c r="AZ2233" s="10"/>
      <c r="BA2233" s="10"/>
      <c r="BB2233" s="10"/>
      <c r="BC2233" s="10"/>
      <c r="BD2233" s="10"/>
      <c r="BE2233" s="10"/>
      <c r="BF2233" s="10"/>
      <c r="BG2233" s="10"/>
      <c r="BH2233" s="10"/>
      <c r="BI2233" s="10"/>
      <c r="BJ2233" s="10"/>
      <c r="BK2233" s="10"/>
      <c r="BM2233" s="10"/>
    </row>
    <row r="2234" spans="1:65" ht="12.75">
      <c r="A2234" s="9"/>
      <c r="B2234" s="10"/>
      <c r="C2234" s="11"/>
      <c r="D2234" s="12"/>
      <c r="E2234" s="10"/>
      <c r="F2234" s="10"/>
      <c r="G2234" s="10"/>
      <c r="H2234" s="14"/>
      <c r="I2234" s="14"/>
      <c r="J2234" s="14"/>
      <c r="K2234" s="14"/>
      <c r="L2234" s="14"/>
      <c r="M2234" s="15"/>
      <c r="N2234" s="10"/>
      <c r="O2234" s="14"/>
      <c r="P2234" s="14"/>
      <c r="Q2234" s="14"/>
      <c r="R2234" s="14"/>
      <c r="S2234" s="14"/>
      <c r="T2234" s="14"/>
      <c r="U2234" s="14"/>
      <c r="V2234" s="14"/>
      <c r="W2234" s="14"/>
      <c r="X2234" s="14"/>
      <c r="Y2234" s="14"/>
      <c r="Z2234" s="14"/>
      <c r="AA2234" s="16"/>
      <c r="AB2234" s="10"/>
      <c r="AC2234" s="10"/>
      <c r="AD2234" s="10"/>
      <c r="AE2234" s="10"/>
      <c r="AF2234" s="10"/>
      <c r="AG2234" s="10"/>
      <c r="AH2234" s="10"/>
      <c r="AI2234" s="10"/>
      <c r="AJ2234" s="10"/>
      <c r="AK2234" s="10"/>
      <c r="AL2234" s="10"/>
      <c r="AM2234" s="10"/>
      <c r="AN2234" s="10"/>
      <c r="AO2234" s="10"/>
      <c r="AP2234" s="10"/>
      <c r="AQ2234" s="10"/>
      <c r="AR2234" s="10"/>
      <c r="AS2234" s="10"/>
      <c r="AT2234" s="10"/>
      <c r="AU2234" s="10"/>
      <c r="AV2234" s="10"/>
      <c r="AW2234" s="10"/>
      <c r="AX2234" s="10"/>
      <c r="AY2234" s="10"/>
      <c r="AZ2234" s="10"/>
      <c r="BA2234" s="10"/>
      <c r="BB2234" s="10"/>
      <c r="BC2234" s="10"/>
      <c r="BD2234" s="10"/>
      <c r="BE2234" s="10"/>
      <c r="BF2234" s="10"/>
      <c r="BG2234" s="10"/>
      <c r="BH2234" s="10"/>
      <c r="BI2234" s="10"/>
      <c r="BJ2234" s="10"/>
      <c r="BK2234" s="10"/>
      <c r="BM2234" s="10"/>
    </row>
    <row r="2235" spans="1:65" ht="12.75">
      <c r="A2235" s="9"/>
      <c r="B2235" s="10"/>
      <c r="C2235" s="11"/>
      <c r="D2235" s="12"/>
      <c r="E2235" s="10"/>
      <c r="F2235" s="10"/>
      <c r="G2235" s="10"/>
      <c r="H2235" s="14"/>
      <c r="I2235" s="14"/>
      <c r="J2235" s="14"/>
      <c r="K2235" s="14"/>
      <c r="L2235" s="14"/>
      <c r="M2235" s="15"/>
      <c r="N2235" s="10"/>
      <c r="O2235" s="14"/>
      <c r="P2235" s="14"/>
      <c r="Q2235" s="14"/>
      <c r="R2235" s="14"/>
      <c r="S2235" s="14"/>
      <c r="T2235" s="14"/>
      <c r="U2235" s="14"/>
      <c r="V2235" s="14"/>
      <c r="W2235" s="14"/>
      <c r="X2235" s="14"/>
      <c r="Y2235" s="14"/>
      <c r="Z2235" s="14"/>
      <c r="AA2235" s="16"/>
      <c r="AB2235" s="10"/>
      <c r="AC2235" s="10"/>
      <c r="AD2235" s="10"/>
      <c r="AE2235" s="10"/>
      <c r="AF2235" s="10"/>
      <c r="AG2235" s="10"/>
      <c r="AH2235" s="10"/>
      <c r="AI2235" s="10"/>
      <c r="AJ2235" s="10"/>
      <c r="AK2235" s="10"/>
      <c r="AL2235" s="10"/>
      <c r="AM2235" s="10"/>
      <c r="AN2235" s="10"/>
      <c r="AO2235" s="10"/>
      <c r="AP2235" s="10"/>
      <c r="AQ2235" s="10"/>
      <c r="AR2235" s="10"/>
      <c r="AS2235" s="10"/>
      <c r="AT2235" s="10"/>
      <c r="AU2235" s="10"/>
      <c r="AV2235" s="10"/>
      <c r="AW2235" s="10"/>
      <c r="AX2235" s="10"/>
      <c r="AY2235" s="10"/>
      <c r="AZ2235" s="10"/>
      <c r="BA2235" s="10"/>
      <c r="BB2235" s="10"/>
      <c r="BC2235" s="10"/>
      <c r="BD2235" s="10"/>
      <c r="BE2235" s="10"/>
      <c r="BF2235" s="10"/>
      <c r="BG2235" s="10"/>
      <c r="BH2235" s="10"/>
      <c r="BI2235" s="10"/>
      <c r="BJ2235" s="10"/>
      <c r="BK2235" s="10"/>
      <c r="BM2235" s="10"/>
    </row>
    <row r="2236" spans="1:65" ht="12.75">
      <c r="A2236" s="9"/>
      <c r="B2236" s="10"/>
      <c r="C2236" s="11"/>
      <c r="D2236" s="12"/>
      <c r="E2236" s="10"/>
      <c r="F2236" s="10"/>
      <c r="G2236" s="10"/>
      <c r="H2236" s="14"/>
      <c r="I2236" s="14"/>
      <c r="J2236" s="14"/>
      <c r="K2236" s="14"/>
      <c r="L2236" s="14"/>
      <c r="M2236" s="15"/>
      <c r="N2236" s="10"/>
      <c r="O2236" s="14"/>
      <c r="P2236" s="14"/>
      <c r="Q2236" s="14"/>
      <c r="R2236" s="14"/>
      <c r="S2236" s="14"/>
      <c r="T2236" s="14"/>
      <c r="U2236" s="14"/>
      <c r="V2236" s="14"/>
      <c r="W2236" s="14"/>
      <c r="X2236" s="14"/>
      <c r="Y2236" s="14"/>
      <c r="Z2236" s="14"/>
      <c r="AA2236" s="16"/>
      <c r="AB2236" s="10"/>
      <c r="AC2236" s="10"/>
      <c r="AD2236" s="10"/>
      <c r="AE2236" s="10"/>
      <c r="AF2236" s="10"/>
      <c r="AG2236" s="10"/>
      <c r="AH2236" s="10"/>
      <c r="AI2236" s="10"/>
      <c r="AJ2236" s="10"/>
      <c r="AK2236" s="10"/>
      <c r="AL2236" s="10"/>
      <c r="AM2236" s="10"/>
      <c r="AN2236" s="10"/>
      <c r="AO2236" s="10"/>
      <c r="AP2236" s="10"/>
      <c r="AQ2236" s="10"/>
      <c r="AR2236" s="10"/>
      <c r="AS2236" s="10"/>
      <c r="AT2236" s="10"/>
      <c r="AU2236" s="10"/>
      <c r="AV2236" s="10"/>
      <c r="AW2236" s="10"/>
      <c r="AX2236" s="10"/>
      <c r="AY2236" s="10"/>
      <c r="AZ2236" s="10"/>
      <c r="BA2236" s="10"/>
      <c r="BB2236" s="10"/>
      <c r="BC2236" s="10"/>
      <c r="BD2236" s="10"/>
      <c r="BE2236" s="10"/>
      <c r="BF2236" s="10"/>
      <c r="BG2236" s="10"/>
      <c r="BH2236" s="10"/>
      <c r="BI2236" s="10"/>
      <c r="BJ2236" s="10"/>
      <c r="BK2236" s="10"/>
      <c r="BM2236" s="10"/>
    </row>
    <row r="2237" spans="1:65" ht="12.75">
      <c r="A2237" s="9"/>
      <c r="B2237" s="10"/>
      <c r="C2237" s="11"/>
      <c r="D2237" s="12"/>
      <c r="E2237" s="10"/>
      <c r="F2237" s="10"/>
      <c r="G2237" s="10"/>
      <c r="H2237" s="14"/>
      <c r="I2237" s="14"/>
      <c r="J2237" s="14"/>
      <c r="K2237" s="14"/>
      <c r="L2237" s="14"/>
      <c r="M2237" s="15"/>
      <c r="N2237" s="10"/>
      <c r="O2237" s="14"/>
      <c r="P2237" s="14"/>
      <c r="Q2237" s="14"/>
      <c r="R2237" s="14"/>
      <c r="S2237" s="14"/>
      <c r="T2237" s="14"/>
      <c r="U2237" s="14"/>
      <c r="V2237" s="14"/>
      <c r="W2237" s="14"/>
      <c r="X2237" s="14"/>
      <c r="Y2237" s="14"/>
      <c r="Z2237" s="14"/>
      <c r="AA2237" s="16"/>
      <c r="AB2237" s="10"/>
      <c r="AC2237" s="10"/>
      <c r="AD2237" s="10"/>
      <c r="AE2237" s="10"/>
      <c r="AF2237" s="10"/>
      <c r="AG2237" s="10"/>
      <c r="AH2237" s="10"/>
      <c r="AI2237" s="10"/>
      <c r="AJ2237" s="10"/>
      <c r="AK2237" s="10"/>
      <c r="AL2237" s="10"/>
      <c r="AM2237" s="10"/>
      <c r="AN2237" s="10"/>
      <c r="AO2237" s="10"/>
      <c r="AP2237" s="10"/>
      <c r="AQ2237" s="10"/>
      <c r="AR2237" s="10"/>
      <c r="AS2237" s="10"/>
      <c r="AT2237" s="10"/>
      <c r="AU2237" s="10"/>
      <c r="AV2237" s="10"/>
      <c r="AW2237" s="10"/>
      <c r="AX2237" s="10"/>
      <c r="AY2237" s="10"/>
      <c r="AZ2237" s="10"/>
      <c r="BA2237" s="10"/>
      <c r="BB2237" s="10"/>
      <c r="BC2237" s="10"/>
      <c r="BD2237" s="10"/>
      <c r="BE2237" s="10"/>
      <c r="BF2237" s="10"/>
      <c r="BG2237" s="10"/>
      <c r="BH2237" s="10"/>
      <c r="BI2237" s="10"/>
      <c r="BJ2237" s="10"/>
      <c r="BK2237" s="10"/>
      <c r="BM2237" s="10"/>
    </row>
    <row r="2238" spans="1:65" ht="12.75">
      <c r="A2238" s="9"/>
      <c r="B2238" s="10"/>
      <c r="C2238" s="11"/>
      <c r="D2238" s="12"/>
      <c r="E2238" s="10"/>
      <c r="F2238" s="10"/>
      <c r="G2238" s="10"/>
      <c r="H2238" s="14"/>
      <c r="I2238" s="14"/>
      <c r="J2238" s="14"/>
      <c r="K2238" s="14"/>
      <c r="L2238" s="14"/>
      <c r="M2238" s="15"/>
      <c r="N2238" s="10"/>
      <c r="O2238" s="14"/>
      <c r="P2238" s="14"/>
      <c r="Q2238" s="14"/>
      <c r="R2238" s="14"/>
      <c r="S2238" s="14"/>
      <c r="T2238" s="14"/>
      <c r="U2238" s="14"/>
      <c r="V2238" s="14"/>
      <c r="W2238" s="14"/>
      <c r="X2238" s="14"/>
      <c r="Y2238" s="14"/>
      <c r="Z2238" s="14"/>
      <c r="AA2238" s="16"/>
      <c r="AB2238" s="10"/>
      <c r="AC2238" s="10"/>
      <c r="AD2238" s="10"/>
      <c r="AE2238" s="10"/>
      <c r="AF2238" s="10"/>
      <c r="AG2238" s="10"/>
      <c r="AH2238" s="10"/>
      <c r="AI2238" s="10"/>
      <c r="AJ2238" s="10"/>
      <c r="AK2238" s="10"/>
      <c r="AL2238" s="10"/>
      <c r="AM2238" s="10"/>
      <c r="AN2238" s="10"/>
      <c r="AO2238" s="10"/>
      <c r="AP2238" s="10"/>
      <c r="AQ2238" s="10"/>
      <c r="AR2238" s="10"/>
      <c r="AS2238" s="10"/>
      <c r="AT2238" s="10"/>
      <c r="AU2238" s="10"/>
      <c r="AV2238" s="10"/>
      <c r="AW2238" s="10"/>
      <c r="AX2238" s="10"/>
      <c r="AY2238" s="10"/>
      <c r="AZ2238" s="10"/>
      <c r="BA2238" s="10"/>
      <c r="BB2238" s="10"/>
      <c r="BC2238" s="10"/>
      <c r="BD2238" s="10"/>
      <c r="BE2238" s="10"/>
      <c r="BF2238" s="10"/>
      <c r="BG2238" s="10"/>
      <c r="BH2238" s="10"/>
      <c r="BI2238" s="10"/>
      <c r="BJ2238" s="10"/>
      <c r="BK2238" s="10"/>
      <c r="BM2238" s="10"/>
    </row>
    <row r="2239" spans="1:65" ht="12.75">
      <c r="A2239" s="9"/>
      <c r="B2239" s="10"/>
      <c r="C2239" s="11"/>
      <c r="D2239" s="12"/>
      <c r="E2239" s="10"/>
      <c r="F2239" s="10"/>
      <c r="G2239" s="10"/>
      <c r="H2239" s="14"/>
      <c r="I2239" s="14"/>
      <c r="J2239" s="14"/>
      <c r="K2239" s="14"/>
      <c r="L2239" s="14"/>
      <c r="M2239" s="15"/>
      <c r="N2239" s="10"/>
      <c r="O2239" s="14"/>
      <c r="P2239" s="14"/>
      <c r="Q2239" s="14"/>
      <c r="R2239" s="14"/>
      <c r="S2239" s="14"/>
      <c r="T2239" s="14"/>
      <c r="U2239" s="14"/>
      <c r="V2239" s="14"/>
      <c r="W2239" s="14"/>
      <c r="X2239" s="14"/>
      <c r="Y2239" s="14"/>
      <c r="Z2239" s="14"/>
      <c r="AA2239" s="16"/>
      <c r="AB2239" s="10"/>
      <c r="AC2239" s="10"/>
      <c r="AD2239" s="10"/>
      <c r="AE2239" s="10"/>
      <c r="AF2239" s="10"/>
      <c r="AG2239" s="10"/>
      <c r="AH2239" s="10"/>
      <c r="AI2239" s="10"/>
      <c r="AJ2239" s="10"/>
      <c r="AK2239" s="10"/>
      <c r="AL2239" s="10"/>
      <c r="AM2239" s="10"/>
      <c r="AN2239" s="10"/>
      <c r="AO2239" s="10"/>
      <c r="AP2239" s="10"/>
      <c r="AQ2239" s="10"/>
      <c r="AR2239" s="10"/>
      <c r="AS2239" s="10"/>
      <c r="AT2239" s="10"/>
      <c r="AU2239" s="10"/>
      <c r="AV2239" s="10"/>
      <c r="AW2239" s="10"/>
      <c r="AX2239" s="10"/>
      <c r="AY2239" s="10"/>
      <c r="AZ2239" s="10"/>
      <c r="BA2239" s="10"/>
      <c r="BB2239" s="10"/>
      <c r="BC2239" s="10"/>
      <c r="BD2239" s="10"/>
      <c r="BE2239" s="10"/>
      <c r="BF2239" s="10"/>
      <c r="BG2239" s="10"/>
      <c r="BH2239" s="10"/>
      <c r="BI2239" s="10"/>
      <c r="BJ2239" s="10"/>
      <c r="BK2239" s="10"/>
      <c r="BM2239" s="10"/>
    </row>
    <row r="2240" spans="1:65" ht="12.75">
      <c r="A2240" s="9"/>
      <c r="B2240" s="10"/>
      <c r="C2240" s="11"/>
      <c r="D2240" s="12"/>
      <c r="E2240" s="10"/>
      <c r="F2240" s="10"/>
      <c r="G2240" s="10"/>
      <c r="H2240" s="14"/>
      <c r="I2240" s="14"/>
      <c r="J2240" s="14"/>
      <c r="K2240" s="14"/>
      <c r="L2240" s="14"/>
      <c r="M2240" s="15"/>
      <c r="N2240" s="10"/>
      <c r="O2240" s="14"/>
      <c r="P2240" s="14"/>
      <c r="Q2240" s="14"/>
      <c r="R2240" s="14"/>
      <c r="S2240" s="14"/>
      <c r="T2240" s="14"/>
      <c r="U2240" s="14"/>
      <c r="V2240" s="14"/>
      <c r="W2240" s="14"/>
      <c r="X2240" s="14"/>
      <c r="Y2240" s="14"/>
      <c r="Z2240" s="14"/>
      <c r="AA2240" s="16"/>
      <c r="AB2240" s="10"/>
      <c r="AC2240" s="10"/>
      <c r="AD2240" s="10"/>
      <c r="AE2240" s="10"/>
      <c r="AF2240" s="10"/>
      <c r="AG2240" s="10"/>
      <c r="AH2240" s="10"/>
      <c r="AI2240" s="10"/>
      <c r="AJ2240" s="10"/>
      <c r="AK2240" s="10"/>
      <c r="AL2240" s="10"/>
      <c r="AM2240" s="10"/>
      <c r="AN2240" s="10"/>
      <c r="AO2240" s="10"/>
      <c r="AP2240" s="10"/>
      <c r="AQ2240" s="10"/>
      <c r="AR2240" s="10"/>
      <c r="AS2240" s="10"/>
      <c r="AT2240" s="10"/>
      <c r="AU2240" s="10"/>
      <c r="AV2240" s="10"/>
      <c r="AW2240" s="10"/>
      <c r="AX2240" s="10"/>
      <c r="AY2240" s="10"/>
      <c r="AZ2240" s="10"/>
      <c r="BA2240" s="10"/>
      <c r="BB2240" s="10"/>
      <c r="BC2240" s="10"/>
      <c r="BD2240" s="10"/>
      <c r="BE2240" s="10"/>
      <c r="BF2240" s="10"/>
      <c r="BG2240" s="10"/>
      <c r="BH2240" s="10"/>
      <c r="BI2240" s="10"/>
      <c r="BJ2240" s="10"/>
      <c r="BK2240" s="10"/>
      <c r="BM2240" s="10"/>
    </row>
    <row r="2241" spans="1:65" ht="12.75">
      <c r="A2241" s="9"/>
      <c r="B2241" s="10"/>
      <c r="C2241" s="11"/>
      <c r="D2241" s="12"/>
      <c r="E2241" s="10"/>
      <c r="F2241" s="10"/>
      <c r="G2241" s="10"/>
      <c r="H2241" s="14"/>
      <c r="I2241" s="14"/>
      <c r="J2241" s="14"/>
      <c r="K2241" s="14"/>
      <c r="L2241" s="14"/>
      <c r="M2241" s="15"/>
      <c r="N2241" s="10"/>
      <c r="O2241" s="14"/>
      <c r="P2241" s="14"/>
      <c r="Q2241" s="14"/>
      <c r="R2241" s="14"/>
      <c r="S2241" s="14"/>
      <c r="T2241" s="14"/>
      <c r="U2241" s="14"/>
      <c r="V2241" s="14"/>
      <c r="W2241" s="14"/>
      <c r="X2241" s="14"/>
      <c r="Y2241" s="14"/>
      <c r="Z2241" s="14"/>
      <c r="AA2241" s="16"/>
      <c r="AB2241" s="10"/>
      <c r="AC2241" s="10"/>
      <c r="AD2241" s="10"/>
      <c r="AE2241" s="10"/>
      <c r="AF2241" s="10"/>
      <c r="AG2241" s="10"/>
      <c r="AH2241" s="10"/>
      <c r="AI2241" s="10"/>
      <c r="AJ2241" s="10"/>
      <c r="AK2241" s="10"/>
      <c r="AL2241" s="10"/>
      <c r="AM2241" s="10"/>
      <c r="AN2241" s="10"/>
      <c r="AO2241" s="10"/>
      <c r="AP2241" s="10"/>
      <c r="AQ2241" s="10"/>
      <c r="AR2241" s="10"/>
      <c r="AS2241" s="10"/>
      <c r="AT2241" s="10"/>
      <c r="AU2241" s="10"/>
      <c r="AV2241" s="10"/>
      <c r="AW2241" s="10"/>
      <c r="AX2241" s="10"/>
      <c r="AY2241" s="10"/>
      <c r="AZ2241" s="10"/>
      <c r="BA2241" s="10"/>
      <c r="BB2241" s="10"/>
      <c r="BC2241" s="10"/>
      <c r="BD2241" s="10"/>
      <c r="BE2241" s="10"/>
      <c r="BF2241" s="10"/>
      <c r="BG2241" s="10"/>
      <c r="BH2241" s="10"/>
      <c r="BI2241" s="10"/>
      <c r="BJ2241" s="10"/>
      <c r="BK2241" s="10"/>
      <c r="BM2241" s="10"/>
    </row>
    <row r="2242" spans="1:65" ht="12.75">
      <c r="A2242" s="9"/>
      <c r="B2242" s="10"/>
      <c r="C2242" s="11"/>
      <c r="D2242" s="12"/>
      <c r="E2242" s="10"/>
      <c r="F2242" s="10"/>
      <c r="G2242" s="10"/>
      <c r="H2242" s="14"/>
      <c r="I2242" s="14"/>
      <c r="J2242" s="14"/>
      <c r="K2242" s="14"/>
      <c r="L2242" s="14"/>
      <c r="M2242" s="15"/>
      <c r="N2242" s="10"/>
      <c r="O2242" s="14"/>
      <c r="P2242" s="14"/>
      <c r="Q2242" s="14"/>
      <c r="R2242" s="14"/>
      <c r="S2242" s="14"/>
      <c r="T2242" s="14"/>
      <c r="U2242" s="14"/>
      <c r="V2242" s="14"/>
      <c r="W2242" s="14"/>
      <c r="X2242" s="14"/>
      <c r="Y2242" s="14"/>
      <c r="Z2242" s="14"/>
      <c r="AA2242" s="16"/>
      <c r="AB2242" s="10"/>
      <c r="AC2242" s="10"/>
      <c r="AD2242" s="10"/>
      <c r="AE2242" s="10"/>
      <c r="AF2242" s="10"/>
      <c r="AG2242" s="10"/>
      <c r="AH2242" s="10"/>
      <c r="AI2242" s="10"/>
      <c r="AJ2242" s="10"/>
      <c r="AK2242" s="10"/>
      <c r="AL2242" s="10"/>
      <c r="AM2242" s="10"/>
      <c r="AN2242" s="10"/>
      <c r="AO2242" s="10"/>
      <c r="AP2242" s="10"/>
      <c r="AQ2242" s="10"/>
      <c r="AR2242" s="10"/>
      <c r="AS2242" s="10"/>
      <c r="AT2242" s="10"/>
      <c r="AU2242" s="10"/>
      <c r="AV2242" s="10"/>
      <c r="AW2242" s="10"/>
      <c r="AX2242" s="10"/>
      <c r="AY2242" s="10"/>
      <c r="AZ2242" s="10"/>
      <c r="BA2242" s="10"/>
      <c r="BB2242" s="10"/>
      <c r="BC2242" s="10"/>
      <c r="BD2242" s="10"/>
      <c r="BE2242" s="10"/>
      <c r="BF2242" s="10"/>
      <c r="BG2242" s="10"/>
      <c r="BH2242" s="10"/>
      <c r="BI2242" s="10"/>
      <c r="BJ2242" s="10"/>
      <c r="BK2242" s="10"/>
      <c r="BM2242" s="10"/>
    </row>
    <row r="2243" spans="1:65" ht="12.75">
      <c r="A2243" s="9"/>
      <c r="B2243" s="10"/>
      <c r="C2243" s="11"/>
      <c r="D2243" s="12"/>
      <c r="E2243" s="10"/>
      <c r="F2243" s="10"/>
      <c r="G2243" s="10"/>
      <c r="H2243" s="14"/>
      <c r="I2243" s="14"/>
      <c r="J2243" s="14"/>
      <c r="K2243" s="14"/>
      <c r="L2243" s="14"/>
      <c r="M2243" s="15"/>
      <c r="N2243" s="10"/>
      <c r="O2243" s="14"/>
      <c r="P2243" s="14"/>
      <c r="Q2243" s="14"/>
      <c r="R2243" s="14"/>
      <c r="S2243" s="14"/>
      <c r="T2243" s="14"/>
      <c r="U2243" s="14"/>
      <c r="V2243" s="14"/>
      <c r="W2243" s="14"/>
      <c r="X2243" s="14"/>
      <c r="Y2243" s="14"/>
      <c r="Z2243" s="14"/>
      <c r="AA2243" s="16"/>
      <c r="AB2243" s="10"/>
      <c r="AC2243" s="10"/>
      <c r="AD2243" s="10"/>
      <c r="AE2243" s="10"/>
      <c r="AF2243" s="10"/>
      <c r="AG2243" s="10"/>
      <c r="AH2243" s="10"/>
      <c r="AI2243" s="10"/>
      <c r="AJ2243" s="10"/>
      <c r="AK2243" s="10"/>
      <c r="AL2243" s="10"/>
      <c r="AM2243" s="10"/>
      <c r="AN2243" s="10"/>
      <c r="AO2243" s="10"/>
      <c r="AP2243" s="10"/>
      <c r="AQ2243" s="10"/>
      <c r="AR2243" s="10"/>
      <c r="AS2243" s="10"/>
      <c r="AT2243" s="10"/>
      <c r="AU2243" s="10"/>
      <c r="AV2243" s="10"/>
      <c r="AW2243" s="10"/>
      <c r="AX2243" s="10"/>
      <c r="AY2243" s="10"/>
      <c r="AZ2243" s="10"/>
      <c r="BA2243" s="10"/>
      <c r="BB2243" s="10"/>
      <c r="BC2243" s="10"/>
      <c r="BD2243" s="10"/>
      <c r="BE2243" s="10"/>
      <c r="BF2243" s="10"/>
      <c r="BG2243" s="10"/>
      <c r="BH2243" s="10"/>
      <c r="BI2243" s="10"/>
      <c r="BJ2243" s="10"/>
      <c r="BK2243" s="10"/>
      <c r="BM2243" s="10"/>
    </row>
    <row r="2244" spans="1:65" ht="12.75">
      <c r="A2244" s="9"/>
      <c r="B2244" s="10"/>
      <c r="C2244" s="11"/>
      <c r="D2244" s="12"/>
      <c r="E2244" s="10"/>
      <c r="F2244" s="10"/>
      <c r="G2244" s="10"/>
      <c r="H2244" s="14"/>
      <c r="I2244" s="14"/>
      <c r="J2244" s="14"/>
      <c r="K2244" s="14"/>
      <c r="L2244" s="14"/>
      <c r="M2244" s="15"/>
      <c r="N2244" s="10"/>
      <c r="O2244" s="14"/>
      <c r="P2244" s="14"/>
      <c r="Q2244" s="14"/>
      <c r="R2244" s="14"/>
      <c r="S2244" s="14"/>
      <c r="T2244" s="14"/>
      <c r="U2244" s="14"/>
      <c r="V2244" s="14"/>
      <c r="W2244" s="14"/>
      <c r="X2244" s="14"/>
      <c r="Y2244" s="14"/>
      <c r="Z2244" s="14"/>
      <c r="AA2244" s="16"/>
      <c r="AB2244" s="10"/>
      <c r="AC2244" s="10"/>
      <c r="AD2244" s="10"/>
      <c r="AE2244" s="10"/>
      <c r="AF2244" s="10"/>
      <c r="AG2244" s="10"/>
      <c r="AH2244" s="10"/>
      <c r="AI2244" s="10"/>
      <c r="AJ2244" s="10"/>
      <c r="AK2244" s="10"/>
      <c r="AL2244" s="10"/>
      <c r="AM2244" s="10"/>
      <c r="AN2244" s="10"/>
      <c r="AO2244" s="10"/>
      <c r="AP2244" s="10"/>
      <c r="AQ2244" s="10"/>
      <c r="AR2244" s="10"/>
      <c r="AS2244" s="10"/>
      <c r="AT2244" s="10"/>
      <c r="AU2244" s="10"/>
      <c r="AV2244" s="10"/>
      <c r="AW2244" s="10"/>
      <c r="AX2244" s="10"/>
      <c r="AY2244" s="10"/>
      <c r="AZ2244" s="10"/>
      <c r="BA2244" s="10"/>
      <c r="BB2244" s="10"/>
      <c r="BC2244" s="10"/>
      <c r="BD2244" s="10"/>
      <c r="BE2244" s="10"/>
      <c r="BF2244" s="10"/>
      <c r="BG2244" s="10"/>
      <c r="BH2244" s="10"/>
      <c r="BI2244" s="10"/>
      <c r="BJ2244" s="10"/>
      <c r="BK2244" s="10"/>
      <c r="BM2244" s="10"/>
    </row>
    <row r="2245" spans="1:65" ht="12.75">
      <c r="A2245" s="9"/>
      <c r="B2245" s="10"/>
      <c r="C2245" s="11"/>
      <c r="D2245" s="12"/>
      <c r="E2245" s="10"/>
      <c r="F2245" s="10"/>
      <c r="G2245" s="10"/>
      <c r="H2245" s="14"/>
      <c r="I2245" s="14"/>
      <c r="J2245" s="14"/>
      <c r="K2245" s="14"/>
      <c r="L2245" s="14"/>
      <c r="M2245" s="15"/>
      <c r="N2245" s="10"/>
      <c r="O2245" s="14"/>
      <c r="P2245" s="14"/>
      <c r="Q2245" s="14"/>
      <c r="R2245" s="14"/>
      <c r="S2245" s="14"/>
      <c r="T2245" s="14"/>
      <c r="U2245" s="14"/>
      <c r="V2245" s="14"/>
      <c r="W2245" s="14"/>
      <c r="X2245" s="14"/>
      <c r="Y2245" s="14"/>
      <c r="Z2245" s="14"/>
      <c r="AA2245" s="16"/>
      <c r="AB2245" s="10"/>
      <c r="AC2245" s="10"/>
      <c r="AD2245" s="10"/>
      <c r="AE2245" s="10"/>
      <c r="AF2245" s="10"/>
      <c r="AG2245" s="10"/>
      <c r="AH2245" s="10"/>
      <c r="AI2245" s="10"/>
      <c r="AJ2245" s="10"/>
      <c r="AK2245" s="10"/>
      <c r="AL2245" s="10"/>
      <c r="AM2245" s="10"/>
      <c r="AN2245" s="10"/>
      <c r="AO2245" s="10"/>
      <c r="AP2245" s="10"/>
      <c r="AQ2245" s="10"/>
      <c r="AR2245" s="10"/>
      <c r="AS2245" s="10"/>
      <c r="AT2245" s="10"/>
      <c r="AU2245" s="10"/>
      <c r="AV2245" s="10"/>
      <c r="AW2245" s="10"/>
      <c r="AX2245" s="10"/>
      <c r="AY2245" s="10"/>
      <c r="AZ2245" s="10"/>
      <c r="BA2245" s="10"/>
      <c r="BB2245" s="10"/>
      <c r="BC2245" s="10"/>
      <c r="BD2245" s="10"/>
      <c r="BE2245" s="10"/>
      <c r="BF2245" s="10"/>
      <c r="BG2245" s="10"/>
      <c r="BH2245" s="10"/>
      <c r="BI2245" s="10"/>
      <c r="BJ2245" s="10"/>
      <c r="BK2245" s="10"/>
      <c r="BM2245" s="10"/>
    </row>
    <row r="2246" spans="1:65" ht="12.75">
      <c r="A2246" s="9"/>
      <c r="B2246" s="10"/>
      <c r="C2246" s="11"/>
      <c r="D2246" s="12"/>
      <c r="E2246" s="10"/>
      <c r="F2246" s="10"/>
      <c r="G2246" s="10"/>
      <c r="H2246" s="14"/>
      <c r="I2246" s="14"/>
      <c r="J2246" s="14"/>
      <c r="K2246" s="14"/>
      <c r="L2246" s="14"/>
      <c r="M2246" s="15"/>
      <c r="N2246" s="10"/>
      <c r="O2246" s="14"/>
      <c r="P2246" s="14"/>
      <c r="Q2246" s="14"/>
      <c r="R2246" s="14"/>
      <c r="S2246" s="14"/>
      <c r="T2246" s="14"/>
      <c r="U2246" s="14"/>
      <c r="V2246" s="14"/>
      <c r="W2246" s="14"/>
      <c r="X2246" s="14"/>
      <c r="Y2246" s="14"/>
      <c r="Z2246" s="14"/>
      <c r="AA2246" s="16"/>
      <c r="AB2246" s="10"/>
      <c r="AC2246" s="10"/>
      <c r="AD2246" s="10"/>
      <c r="AE2246" s="10"/>
      <c r="AF2246" s="10"/>
      <c r="AG2246" s="10"/>
      <c r="AH2246" s="10"/>
      <c r="AI2246" s="10"/>
      <c r="AJ2246" s="10"/>
      <c r="AK2246" s="10"/>
      <c r="AL2246" s="10"/>
      <c r="AM2246" s="10"/>
      <c r="AN2246" s="10"/>
      <c r="AO2246" s="10"/>
      <c r="AP2246" s="10"/>
      <c r="AQ2246" s="10"/>
      <c r="AR2246" s="10"/>
      <c r="AS2246" s="10"/>
      <c r="AT2246" s="10"/>
      <c r="AU2246" s="10"/>
      <c r="AV2246" s="10"/>
      <c r="AW2246" s="10"/>
      <c r="AX2246" s="10"/>
      <c r="AY2246" s="10"/>
      <c r="AZ2246" s="10"/>
      <c r="BA2246" s="10"/>
      <c r="BB2246" s="10"/>
      <c r="BC2246" s="10"/>
      <c r="BD2246" s="10"/>
      <c r="BE2246" s="10"/>
      <c r="BF2246" s="10"/>
      <c r="BG2246" s="10"/>
      <c r="BH2246" s="10"/>
      <c r="BI2246" s="10"/>
      <c r="BJ2246" s="10"/>
      <c r="BK2246" s="10"/>
      <c r="BM2246" s="10"/>
    </row>
    <row r="2247" spans="1:65" ht="12.75">
      <c r="A2247" s="9"/>
      <c r="B2247" s="10"/>
      <c r="C2247" s="11"/>
      <c r="D2247" s="12"/>
      <c r="E2247" s="10"/>
      <c r="F2247" s="10"/>
      <c r="G2247" s="10"/>
      <c r="H2247" s="14"/>
      <c r="I2247" s="14"/>
      <c r="J2247" s="14"/>
      <c r="K2247" s="14"/>
      <c r="L2247" s="14"/>
      <c r="M2247" s="15"/>
      <c r="N2247" s="10"/>
      <c r="O2247" s="14"/>
      <c r="P2247" s="14"/>
      <c r="Q2247" s="14"/>
      <c r="R2247" s="14"/>
      <c r="S2247" s="14"/>
      <c r="T2247" s="14"/>
      <c r="U2247" s="14"/>
      <c r="V2247" s="14"/>
      <c r="W2247" s="14"/>
      <c r="X2247" s="14"/>
      <c r="Y2247" s="14"/>
      <c r="Z2247" s="14"/>
      <c r="AA2247" s="16"/>
      <c r="AB2247" s="10"/>
      <c r="AC2247" s="10"/>
      <c r="AD2247" s="10"/>
      <c r="AE2247" s="10"/>
      <c r="AF2247" s="10"/>
      <c r="AG2247" s="10"/>
      <c r="AH2247" s="10"/>
      <c r="AI2247" s="10"/>
      <c r="AJ2247" s="10"/>
      <c r="AK2247" s="10"/>
      <c r="AL2247" s="10"/>
      <c r="AM2247" s="10"/>
      <c r="AN2247" s="10"/>
      <c r="AO2247" s="10"/>
      <c r="AP2247" s="10"/>
      <c r="AQ2247" s="10"/>
      <c r="AR2247" s="10"/>
      <c r="AS2247" s="10"/>
      <c r="AT2247" s="10"/>
      <c r="AU2247" s="10"/>
      <c r="AV2247" s="10"/>
      <c r="AW2247" s="10"/>
      <c r="AX2247" s="10"/>
      <c r="AY2247" s="10"/>
      <c r="AZ2247" s="10"/>
      <c r="BA2247" s="10"/>
      <c r="BB2247" s="10"/>
      <c r="BC2247" s="10"/>
      <c r="BD2247" s="10"/>
      <c r="BE2247" s="10"/>
      <c r="BF2247" s="10"/>
      <c r="BG2247" s="10"/>
      <c r="BH2247" s="10"/>
      <c r="BI2247" s="10"/>
      <c r="BJ2247" s="10"/>
      <c r="BK2247" s="10"/>
      <c r="BM2247" s="10"/>
    </row>
    <row r="2248" spans="1:65" ht="12.75">
      <c r="A2248" s="9"/>
      <c r="B2248" s="10"/>
      <c r="C2248" s="11"/>
      <c r="D2248" s="12"/>
      <c r="E2248" s="10"/>
      <c r="F2248" s="10"/>
      <c r="G2248" s="10"/>
      <c r="H2248" s="14"/>
      <c r="I2248" s="14"/>
      <c r="J2248" s="14"/>
      <c r="K2248" s="14"/>
      <c r="L2248" s="14"/>
      <c r="M2248" s="15"/>
      <c r="N2248" s="10"/>
      <c r="O2248" s="14"/>
      <c r="P2248" s="14"/>
      <c r="Q2248" s="14"/>
      <c r="R2248" s="14"/>
      <c r="S2248" s="14"/>
      <c r="T2248" s="14"/>
      <c r="U2248" s="14"/>
      <c r="V2248" s="14"/>
      <c r="W2248" s="14"/>
      <c r="X2248" s="14"/>
      <c r="Y2248" s="14"/>
      <c r="Z2248" s="14"/>
      <c r="AA2248" s="16"/>
      <c r="AB2248" s="10"/>
      <c r="AC2248" s="10"/>
      <c r="AD2248" s="10"/>
      <c r="AE2248" s="10"/>
      <c r="AF2248" s="10"/>
      <c r="AG2248" s="10"/>
      <c r="AH2248" s="10"/>
      <c r="AI2248" s="10"/>
      <c r="AJ2248" s="10"/>
      <c r="AK2248" s="10"/>
      <c r="AL2248" s="10"/>
      <c r="AM2248" s="10"/>
      <c r="AN2248" s="10"/>
      <c r="AO2248" s="10"/>
      <c r="AP2248" s="10"/>
      <c r="AQ2248" s="10"/>
      <c r="AR2248" s="10"/>
      <c r="AS2248" s="10"/>
      <c r="AT2248" s="10"/>
      <c r="AU2248" s="10"/>
      <c r="AV2248" s="10"/>
      <c r="AW2248" s="10"/>
      <c r="AX2248" s="10"/>
      <c r="AY2248" s="10"/>
      <c r="AZ2248" s="10"/>
      <c r="BA2248" s="10"/>
      <c r="BB2248" s="10"/>
      <c r="BC2248" s="10"/>
      <c r="BD2248" s="10"/>
      <c r="BE2248" s="10"/>
      <c r="BF2248" s="10"/>
      <c r="BG2248" s="10"/>
      <c r="BH2248" s="10"/>
      <c r="BI2248" s="10"/>
      <c r="BJ2248" s="10"/>
      <c r="BK2248" s="10"/>
      <c r="BM2248" s="10"/>
    </row>
    <row r="2249" spans="1:65" ht="12.75">
      <c r="A2249" s="9"/>
      <c r="B2249" s="10"/>
      <c r="C2249" s="11"/>
      <c r="D2249" s="12"/>
      <c r="E2249" s="10"/>
      <c r="F2249" s="10"/>
      <c r="G2249" s="10"/>
      <c r="H2249" s="14"/>
      <c r="I2249" s="14"/>
      <c r="J2249" s="14"/>
      <c r="K2249" s="14"/>
      <c r="L2249" s="14"/>
      <c r="M2249" s="15"/>
      <c r="N2249" s="10"/>
      <c r="O2249" s="14"/>
      <c r="P2249" s="14"/>
      <c r="Q2249" s="14"/>
      <c r="R2249" s="14"/>
      <c r="S2249" s="14"/>
      <c r="T2249" s="14"/>
      <c r="U2249" s="14"/>
      <c r="V2249" s="14"/>
      <c r="W2249" s="14"/>
      <c r="X2249" s="14"/>
      <c r="Y2249" s="14"/>
      <c r="Z2249" s="14"/>
      <c r="AA2249" s="16"/>
      <c r="AB2249" s="10"/>
      <c r="AC2249" s="10"/>
      <c r="AD2249" s="10"/>
      <c r="AE2249" s="10"/>
      <c r="AF2249" s="10"/>
      <c r="AG2249" s="10"/>
      <c r="AH2249" s="10"/>
      <c r="AI2249" s="10"/>
      <c r="AJ2249" s="10"/>
      <c r="AK2249" s="10"/>
      <c r="AL2249" s="10"/>
      <c r="AM2249" s="10"/>
      <c r="AN2249" s="10"/>
      <c r="AO2249" s="10"/>
      <c r="AP2249" s="10"/>
      <c r="AQ2249" s="10"/>
      <c r="AR2249" s="10"/>
      <c r="AS2249" s="10"/>
      <c r="AT2249" s="10"/>
      <c r="AU2249" s="10"/>
      <c r="AV2249" s="10"/>
      <c r="AW2249" s="10"/>
      <c r="AX2249" s="10"/>
      <c r="AY2249" s="10"/>
      <c r="AZ2249" s="10"/>
      <c r="BA2249" s="10"/>
      <c r="BB2249" s="10"/>
      <c r="BC2249" s="10"/>
      <c r="BD2249" s="10"/>
      <c r="BE2249" s="10"/>
      <c r="BF2249" s="10"/>
      <c r="BG2249" s="10"/>
      <c r="BH2249" s="10"/>
      <c r="BI2249" s="10"/>
      <c r="BJ2249" s="10"/>
      <c r="BK2249" s="10"/>
      <c r="BM2249" s="10"/>
    </row>
    <row r="2250" spans="1:65" ht="12.75">
      <c r="A2250" s="9"/>
      <c r="B2250" s="10"/>
      <c r="C2250" s="11"/>
      <c r="D2250" s="12"/>
      <c r="E2250" s="10"/>
      <c r="F2250" s="10"/>
      <c r="G2250" s="10"/>
      <c r="H2250" s="14"/>
      <c r="I2250" s="14"/>
      <c r="J2250" s="14"/>
      <c r="K2250" s="14"/>
      <c r="L2250" s="14"/>
      <c r="M2250" s="15"/>
      <c r="N2250" s="10"/>
      <c r="O2250" s="14"/>
      <c r="P2250" s="14"/>
      <c r="Q2250" s="14"/>
      <c r="R2250" s="14"/>
      <c r="S2250" s="14"/>
      <c r="T2250" s="14"/>
      <c r="U2250" s="14"/>
      <c r="V2250" s="14"/>
      <c r="W2250" s="14"/>
      <c r="X2250" s="14"/>
      <c r="Y2250" s="14"/>
      <c r="Z2250" s="14"/>
      <c r="AA2250" s="16"/>
      <c r="AB2250" s="10"/>
      <c r="AC2250" s="10"/>
      <c r="AD2250" s="10"/>
      <c r="AE2250" s="10"/>
      <c r="AF2250" s="10"/>
      <c r="AG2250" s="10"/>
      <c r="AH2250" s="10"/>
      <c r="AI2250" s="10"/>
      <c r="AJ2250" s="10"/>
      <c r="AK2250" s="10"/>
      <c r="AL2250" s="10"/>
      <c r="AM2250" s="10"/>
      <c r="AN2250" s="10"/>
      <c r="AO2250" s="10"/>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10"/>
      <c r="BK2250" s="10"/>
      <c r="BM2250" s="10"/>
    </row>
    <row r="2251" spans="1:65" ht="12.75">
      <c r="A2251" s="9"/>
      <c r="B2251" s="10"/>
      <c r="C2251" s="11"/>
      <c r="D2251" s="12"/>
      <c r="E2251" s="10"/>
      <c r="F2251" s="10"/>
      <c r="G2251" s="10"/>
      <c r="H2251" s="14"/>
      <c r="I2251" s="14"/>
      <c r="J2251" s="14"/>
      <c r="K2251" s="14"/>
      <c r="L2251" s="14"/>
      <c r="M2251" s="15"/>
      <c r="N2251" s="10"/>
      <c r="O2251" s="14"/>
      <c r="P2251" s="14"/>
      <c r="Q2251" s="14"/>
      <c r="R2251" s="14"/>
      <c r="S2251" s="14"/>
      <c r="T2251" s="14"/>
      <c r="U2251" s="14"/>
      <c r="V2251" s="14"/>
      <c r="W2251" s="14"/>
      <c r="X2251" s="14"/>
      <c r="Y2251" s="14"/>
      <c r="Z2251" s="14"/>
      <c r="AA2251" s="16"/>
      <c r="AB2251" s="10"/>
      <c r="AC2251" s="10"/>
      <c r="AD2251" s="10"/>
      <c r="AE2251" s="10"/>
      <c r="AF2251" s="10"/>
      <c r="AG2251" s="10"/>
      <c r="AH2251" s="10"/>
      <c r="AI2251" s="10"/>
      <c r="AJ2251" s="10"/>
      <c r="AK2251" s="10"/>
      <c r="AL2251" s="10"/>
      <c r="AM2251" s="10"/>
      <c r="AN2251" s="10"/>
      <c r="AO2251" s="10"/>
      <c r="AP2251" s="10"/>
      <c r="AQ2251" s="10"/>
      <c r="AR2251" s="10"/>
      <c r="AS2251" s="10"/>
      <c r="AT2251" s="10"/>
      <c r="AU2251" s="10"/>
      <c r="AV2251" s="10"/>
      <c r="AW2251" s="10"/>
      <c r="AX2251" s="10"/>
      <c r="AY2251" s="10"/>
      <c r="AZ2251" s="10"/>
      <c r="BA2251" s="10"/>
      <c r="BB2251" s="10"/>
      <c r="BC2251" s="10"/>
      <c r="BD2251" s="10"/>
      <c r="BE2251" s="10"/>
      <c r="BF2251" s="10"/>
      <c r="BG2251" s="10"/>
      <c r="BH2251" s="10"/>
      <c r="BI2251" s="10"/>
      <c r="BJ2251" s="10"/>
      <c r="BK2251" s="10"/>
      <c r="BM2251" s="10"/>
    </row>
    <row r="2252" spans="1:65" ht="12.75">
      <c r="A2252" s="9"/>
      <c r="B2252" s="10"/>
      <c r="C2252" s="11"/>
      <c r="D2252" s="12"/>
      <c r="E2252" s="10"/>
      <c r="F2252" s="10"/>
      <c r="G2252" s="10"/>
      <c r="H2252" s="14"/>
      <c r="I2252" s="14"/>
      <c r="J2252" s="14"/>
      <c r="K2252" s="14"/>
      <c r="L2252" s="14"/>
      <c r="M2252" s="15"/>
      <c r="N2252" s="10"/>
      <c r="O2252" s="14"/>
      <c r="P2252" s="14"/>
      <c r="Q2252" s="14"/>
      <c r="R2252" s="14"/>
      <c r="S2252" s="14"/>
      <c r="T2252" s="14"/>
      <c r="U2252" s="14"/>
      <c r="V2252" s="14"/>
      <c r="W2252" s="14"/>
      <c r="X2252" s="14"/>
      <c r="Y2252" s="14"/>
      <c r="Z2252" s="14"/>
      <c r="AA2252" s="16"/>
      <c r="AB2252" s="10"/>
      <c r="AC2252" s="10"/>
      <c r="AD2252" s="10"/>
      <c r="AE2252" s="10"/>
      <c r="AF2252" s="10"/>
      <c r="AG2252" s="10"/>
      <c r="AH2252" s="10"/>
      <c r="AI2252" s="10"/>
      <c r="AJ2252" s="10"/>
      <c r="AK2252" s="10"/>
      <c r="AL2252" s="10"/>
      <c r="AM2252" s="10"/>
      <c r="AN2252" s="10"/>
      <c r="AO2252" s="10"/>
      <c r="AP2252" s="10"/>
      <c r="AQ2252" s="10"/>
      <c r="AR2252" s="10"/>
      <c r="AS2252" s="10"/>
      <c r="AT2252" s="10"/>
      <c r="AU2252" s="10"/>
      <c r="AV2252" s="10"/>
      <c r="AW2252" s="10"/>
      <c r="AX2252" s="10"/>
      <c r="AY2252" s="10"/>
      <c r="AZ2252" s="10"/>
      <c r="BA2252" s="10"/>
      <c r="BB2252" s="10"/>
      <c r="BC2252" s="10"/>
      <c r="BD2252" s="10"/>
      <c r="BE2252" s="10"/>
      <c r="BF2252" s="10"/>
      <c r="BG2252" s="10"/>
      <c r="BH2252" s="10"/>
      <c r="BI2252" s="10"/>
      <c r="BJ2252" s="10"/>
      <c r="BK2252" s="10"/>
      <c r="BM2252" s="10"/>
    </row>
    <row r="2253" spans="1:65" ht="12.75">
      <c r="A2253" s="9"/>
      <c r="B2253" s="10"/>
      <c r="C2253" s="11"/>
      <c r="D2253" s="12"/>
      <c r="E2253" s="10"/>
      <c r="F2253" s="10"/>
      <c r="G2253" s="10"/>
      <c r="H2253" s="14"/>
      <c r="I2253" s="14"/>
      <c r="J2253" s="14"/>
      <c r="K2253" s="14"/>
      <c r="L2253" s="14"/>
      <c r="M2253" s="15"/>
      <c r="N2253" s="10"/>
      <c r="O2253" s="14"/>
      <c r="P2253" s="14"/>
      <c r="Q2253" s="14"/>
      <c r="R2253" s="14"/>
      <c r="S2253" s="14"/>
      <c r="T2253" s="14"/>
      <c r="U2253" s="14"/>
      <c r="V2253" s="14"/>
      <c r="W2253" s="14"/>
      <c r="X2253" s="14"/>
      <c r="Y2253" s="14"/>
      <c r="Z2253" s="14"/>
      <c r="AA2253" s="16"/>
      <c r="AB2253" s="10"/>
      <c r="AC2253" s="10"/>
      <c r="AD2253" s="10"/>
      <c r="AE2253" s="10"/>
      <c r="AF2253" s="10"/>
      <c r="AG2253" s="10"/>
      <c r="AH2253" s="10"/>
      <c r="AI2253" s="10"/>
      <c r="AJ2253" s="10"/>
      <c r="AK2253" s="10"/>
      <c r="AL2253" s="10"/>
      <c r="AM2253" s="10"/>
      <c r="AN2253" s="10"/>
      <c r="AO2253" s="10"/>
      <c r="AP2253" s="10"/>
      <c r="AQ2253" s="10"/>
      <c r="AR2253" s="10"/>
      <c r="AS2253" s="10"/>
      <c r="AT2253" s="10"/>
      <c r="AU2253" s="10"/>
      <c r="AV2253" s="10"/>
      <c r="AW2253" s="10"/>
      <c r="AX2253" s="10"/>
      <c r="AY2253" s="10"/>
      <c r="AZ2253" s="10"/>
      <c r="BA2253" s="10"/>
      <c r="BB2253" s="10"/>
      <c r="BC2253" s="10"/>
      <c r="BD2253" s="10"/>
      <c r="BE2253" s="10"/>
      <c r="BF2253" s="10"/>
      <c r="BG2253" s="10"/>
      <c r="BH2253" s="10"/>
      <c r="BI2253" s="10"/>
      <c r="BJ2253" s="10"/>
      <c r="BK2253" s="10"/>
      <c r="BM2253" s="10"/>
    </row>
    <row r="2254" spans="1:65" ht="12.75">
      <c r="A2254" s="9"/>
      <c r="B2254" s="10"/>
      <c r="C2254" s="11"/>
      <c r="D2254" s="12"/>
      <c r="E2254" s="10"/>
      <c r="F2254" s="10"/>
      <c r="G2254" s="10"/>
      <c r="H2254" s="14"/>
      <c r="I2254" s="14"/>
      <c r="J2254" s="14"/>
      <c r="K2254" s="14"/>
      <c r="L2254" s="14"/>
      <c r="M2254" s="15"/>
      <c r="N2254" s="10"/>
      <c r="O2254" s="14"/>
      <c r="P2254" s="14"/>
      <c r="Q2254" s="14"/>
      <c r="R2254" s="14"/>
      <c r="S2254" s="14"/>
      <c r="T2254" s="14"/>
      <c r="U2254" s="14"/>
      <c r="V2254" s="14"/>
      <c r="W2254" s="14"/>
      <c r="X2254" s="14"/>
      <c r="Y2254" s="14"/>
      <c r="Z2254" s="14"/>
      <c r="AA2254" s="16"/>
      <c r="AB2254" s="10"/>
      <c r="AC2254" s="10"/>
      <c r="AD2254" s="10"/>
      <c r="AE2254" s="10"/>
      <c r="AF2254" s="10"/>
      <c r="AG2254" s="10"/>
      <c r="AH2254" s="10"/>
      <c r="AI2254" s="10"/>
      <c r="AJ2254" s="10"/>
      <c r="AK2254" s="10"/>
      <c r="AL2254" s="10"/>
      <c r="AM2254" s="10"/>
      <c r="AN2254" s="10"/>
      <c r="AO2254" s="10"/>
      <c r="AP2254" s="10"/>
      <c r="AQ2254" s="10"/>
      <c r="AR2254" s="10"/>
      <c r="AS2254" s="10"/>
      <c r="AT2254" s="10"/>
      <c r="AU2254" s="10"/>
      <c r="AV2254" s="10"/>
      <c r="AW2254" s="10"/>
      <c r="AX2254" s="10"/>
      <c r="AY2254" s="10"/>
      <c r="AZ2254" s="10"/>
      <c r="BA2254" s="10"/>
      <c r="BB2254" s="10"/>
      <c r="BC2254" s="10"/>
      <c r="BD2254" s="10"/>
      <c r="BE2254" s="10"/>
      <c r="BF2254" s="10"/>
      <c r="BG2254" s="10"/>
      <c r="BH2254" s="10"/>
      <c r="BI2254" s="10"/>
      <c r="BJ2254" s="10"/>
      <c r="BK2254" s="10"/>
      <c r="BM2254" s="10"/>
    </row>
    <row r="2255" spans="1:65" ht="12.75">
      <c r="A2255" s="9"/>
      <c r="B2255" s="10"/>
      <c r="C2255" s="11"/>
      <c r="D2255" s="12"/>
      <c r="E2255" s="10"/>
      <c r="F2255" s="10"/>
      <c r="G2255" s="10"/>
      <c r="H2255" s="14"/>
      <c r="I2255" s="14"/>
      <c r="J2255" s="14"/>
      <c r="K2255" s="14"/>
      <c r="L2255" s="14"/>
      <c r="M2255" s="15"/>
      <c r="N2255" s="10"/>
      <c r="O2255" s="14"/>
      <c r="P2255" s="14"/>
      <c r="Q2255" s="14"/>
      <c r="R2255" s="14"/>
      <c r="S2255" s="14"/>
      <c r="T2255" s="14"/>
      <c r="U2255" s="14"/>
      <c r="V2255" s="14"/>
      <c r="W2255" s="14"/>
      <c r="X2255" s="14"/>
      <c r="Y2255" s="14"/>
      <c r="Z2255" s="14"/>
      <c r="AA2255" s="16"/>
      <c r="AB2255" s="10"/>
      <c r="AC2255" s="10"/>
      <c r="AD2255" s="10"/>
      <c r="AE2255" s="10"/>
      <c r="AF2255" s="10"/>
      <c r="AG2255" s="10"/>
      <c r="AH2255" s="10"/>
      <c r="AI2255" s="10"/>
      <c r="AJ2255" s="10"/>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c r="BF2255" s="10"/>
      <c r="BG2255" s="10"/>
      <c r="BH2255" s="10"/>
      <c r="BI2255" s="10"/>
      <c r="BJ2255" s="10"/>
      <c r="BK2255" s="10"/>
      <c r="BM2255" s="10"/>
    </row>
    <row r="2256" spans="1:65" ht="12.75">
      <c r="A2256" s="9"/>
      <c r="B2256" s="10"/>
      <c r="C2256" s="11"/>
      <c r="D2256" s="12"/>
      <c r="E2256" s="10"/>
      <c r="F2256" s="10"/>
      <c r="G2256" s="10"/>
      <c r="H2256" s="14"/>
      <c r="I2256" s="14"/>
      <c r="J2256" s="14"/>
      <c r="K2256" s="14"/>
      <c r="L2256" s="14"/>
      <c r="M2256" s="15"/>
      <c r="N2256" s="10"/>
      <c r="O2256" s="14"/>
      <c r="P2256" s="14"/>
      <c r="Q2256" s="14"/>
      <c r="R2256" s="14"/>
      <c r="S2256" s="14"/>
      <c r="T2256" s="14"/>
      <c r="U2256" s="14"/>
      <c r="V2256" s="14"/>
      <c r="W2256" s="14"/>
      <c r="X2256" s="14"/>
      <c r="Y2256" s="14"/>
      <c r="Z2256" s="14"/>
      <c r="AA2256" s="16"/>
      <c r="AB2256" s="10"/>
      <c r="AC2256" s="10"/>
      <c r="AD2256" s="10"/>
      <c r="AE2256" s="10"/>
      <c r="AF2256" s="10"/>
      <c r="AG2256" s="10"/>
      <c r="AH2256" s="10"/>
      <c r="AI2256" s="10"/>
      <c r="AJ2256" s="10"/>
      <c r="AK2256" s="10"/>
      <c r="AL2256" s="10"/>
      <c r="AM2256" s="10"/>
      <c r="AN2256" s="10"/>
      <c r="AO2256" s="10"/>
      <c r="AP2256" s="10"/>
      <c r="AQ2256" s="10"/>
      <c r="AR2256" s="10"/>
      <c r="AS2256" s="10"/>
      <c r="AT2256" s="10"/>
      <c r="AU2256" s="10"/>
      <c r="AV2256" s="10"/>
      <c r="AW2256" s="10"/>
      <c r="AX2256" s="10"/>
      <c r="AY2256" s="10"/>
      <c r="AZ2256" s="10"/>
      <c r="BA2256" s="10"/>
      <c r="BB2256" s="10"/>
      <c r="BC2256" s="10"/>
      <c r="BD2256" s="10"/>
      <c r="BE2256" s="10"/>
      <c r="BF2256" s="10"/>
      <c r="BG2256" s="10"/>
      <c r="BH2256" s="10"/>
      <c r="BI2256" s="10"/>
      <c r="BJ2256" s="10"/>
      <c r="BK2256" s="10"/>
      <c r="BM2256" s="10"/>
    </row>
    <row r="2257" spans="1:65" ht="12.75">
      <c r="A2257" s="9"/>
      <c r="B2257" s="10"/>
      <c r="C2257" s="11"/>
      <c r="D2257" s="12"/>
      <c r="E2257" s="10"/>
      <c r="F2257" s="10"/>
      <c r="G2257" s="10"/>
      <c r="H2257" s="14"/>
      <c r="I2257" s="14"/>
      <c r="J2257" s="14"/>
      <c r="K2257" s="14"/>
      <c r="L2257" s="14"/>
      <c r="M2257" s="15"/>
      <c r="N2257" s="10"/>
      <c r="O2257" s="14"/>
      <c r="P2257" s="14"/>
      <c r="Q2257" s="14"/>
      <c r="R2257" s="14"/>
      <c r="S2257" s="14"/>
      <c r="T2257" s="14"/>
      <c r="U2257" s="14"/>
      <c r="V2257" s="14"/>
      <c r="W2257" s="14"/>
      <c r="X2257" s="14"/>
      <c r="Y2257" s="14"/>
      <c r="Z2257" s="14"/>
      <c r="AA2257" s="16"/>
      <c r="AB2257" s="10"/>
      <c r="AC2257" s="10"/>
      <c r="AD2257" s="10"/>
      <c r="AE2257" s="10"/>
      <c r="AF2257" s="10"/>
      <c r="AG2257" s="10"/>
      <c r="AH2257" s="10"/>
      <c r="AI2257" s="10"/>
      <c r="AJ2257" s="10"/>
      <c r="AK2257" s="10"/>
      <c r="AL2257" s="10"/>
      <c r="AM2257" s="10"/>
      <c r="AN2257" s="10"/>
      <c r="AO2257" s="10"/>
      <c r="AP2257" s="10"/>
      <c r="AQ2257" s="10"/>
      <c r="AR2257" s="10"/>
      <c r="AS2257" s="10"/>
      <c r="AT2257" s="10"/>
      <c r="AU2257" s="10"/>
      <c r="AV2257" s="10"/>
      <c r="AW2257" s="10"/>
      <c r="AX2257" s="10"/>
      <c r="AY2257" s="10"/>
      <c r="AZ2257" s="10"/>
      <c r="BA2257" s="10"/>
      <c r="BB2257" s="10"/>
      <c r="BC2257" s="10"/>
      <c r="BD2257" s="10"/>
      <c r="BE2257" s="10"/>
      <c r="BF2257" s="10"/>
      <c r="BG2257" s="10"/>
      <c r="BH2257" s="10"/>
      <c r="BI2257" s="10"/>
      <c r="BJ2257" s="10"/>
      <c r="BK2257" s="10"/>
      <c r="BM2257" s="10"/>
    </row>
    <row r="2258" spans="1:65" ht="12.75">
      <c r="A2258" s="9"/>
      <c r="B2258" s="10"/>
      <c r="C2258" s="11"/>
      <c r="D2258" s="12"/>
      <c r="E2258" s="10"/>
      <c r="F2258" s="10"/>
      <c r="G2258" s="10"/>
      <c r="H2258" s="14"/>
      <c r="I2258" s="14"/>
      <c r="J2258" s="14"/>
      <c r="K2258" s="14"/>
      <c r="L2258" s="14"/>
      <c r="M2258" s="15"/>
      <c r="N2258" s="10"/>
      <c r="O2258" s="14"/>
      <c r="P2258" s="14"/>
      <c r="Q2258" s="14"/>
      <c r="R2258" s="14"/>
      <c r="S2258" s="14"/>
      <c r="T2258" s="14"/>
      <c r="U2258" s="14"/>
      <c r="V2258" s="14"/>
      <c r="W2258" s="14"/>
      <c r="X2258" s="14"/>
      <c r="Y2258" s="14"/>
      <c r="Z2258" s="14"/>
      <c r="AA2258" s="16"/>
      <c r="AB2258" s="10"/>
      <c r="AC2258" s="10"/>
      <c r="AD2258" s="10"/>
      <c r="AE2258" s="10"/>
      <c r="AF2258" s="10"/>
      <c r="AG2258" s="10"/>
      <c r="AH2258" s="10"/>
      <c r="AI2258" s="10"/>
      <c r="AJ2258" s="10"/>
      <c r="AK2258" s="10"/>
      <c r="AL2258" s="10"/>
      <c r="AM2258" s="10"/>
      <c r="AN2258" s="10"/>
      <c r="AO2258" s="10"/>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10"/>
      <c r="BK2258" s="10"/>
      <c r="BM2258" s="10"/>
    </row>
    <row r="2259" spans="1:65" ht="12.75">
      <c r="A2259" s="9"/>
      <c r="B2259" s="10"/>
      <c r="C2259" s="11"/>
      <c r="D2259" s="12"/>
      <c r="E2259" s="10"/>
      <c r="F2259" s="10"/>
      <c r="G2259" s="10"/>
      <c r="H2259" s="14"/>
      <c r="I2259" s="14"/>
      <c r="J2259" s="14"/>
      <c r="K2259" s="14"/>
      <c r="L2259" s="14"/>
      <c r="M2259" s="15"/>
      <c r="N2259" s="10"/>
      <c r="O2259" s="14"/>
      <c r="P2259" s="14"/>
      <c r="Q2259" s="14"/>
      <c r="R2259" s="14"/>
      <c r="S2259" s="14"/>
      <c r="T2259" s="14"/>
      <c r="U2259" s="14"/>
      <c r="V2259" s="14"/>
      <c r="W2259" s="14"/>
      <c r="X2259" s="14"/>
      <c r="Y2259" s="14"/>
      <c r="Z2259" s="14"/>
      <c r="AA2259" s="16"/>
      <c r="AB2259" s="10"/>
      <c r="AC2259" s="10"/>
      <c r="AD2259" s="10"/>
      <c r="AE2259" s="10"/>
      <c r="AF2259" s="10"/>
      <c r="AG2259" s="10"/>
      <c r="AH2259" s="10"/>
      <c r="AI2259" s="10"/>
      <c r="AJ2259" s="10"/>
      <c r="AK2259" s="10"/>
      <c r="AL2259" s="10"/>
      <c r="AM2259" s="10"/>
      <c r="AN2259" s="10"/>
      <c r="AO2259" s="10"/>
      <c r="AP2259" s="10"/>
      <c r="AQ2259" s="10"/>
      <c r="AR2259" s="10"/>
      <c r="AS2259" s="10"/>
      <c r="AT2259" s="10"/>
      <c r="AU2259" s="10"/>
      <c r="AV2259" s="10"/>
      <c r="AW2259" s="10"/>
      <c r="AX2259" s="10"/>
      <c r="AY2259" s="10"/>
      <c r="AZ2259" s="10"/>
      <c r="BA2259" s="10"/>
      <c r="BB2259" s="10"/>
      <c r="BC2259" s="10"/>
      <c r="BD2259" s="10"/>
      <c r="BE2259" s="10"/>
      <c r="BF2259" s="10"/>
      <c r="BG2259" s="10"/>
      <c r="BH2259" s="10"/>
      <c r="BI2259" s="10"/>
      <c r="BJ2259" s="10"/>
      <c r="BK2259" s="10"/>
      <c r="BM2259" s="10"/>
    </row>
    <row r="2260" spans="1:65" ht="12.75">
      <c r="A2260" s="9"/>
      <c r="B2260" s="10"/>
      <c r="C2260" s="11"/>
      <c r="D2260" s="12"/>
      <c r="E2260" s="10"/>
      <c r="F2260" s="10"/>
      <c r="G2260" s="10"/>
      <c r="H2260" s="14"/>
      <c r="I2260" s="14"/>
      <c r="J2260" s="14"/>
      <c r="K2260" s="14"/>
      <c r="L2260" s="14"/>
      <c r="M2260" s="15"/>
      <c r="N2260" s="10"/>
      <c r="O2260" s="14"/>
      <c r="P2260" s="14"/>
      <c r="Q2260" s="14"/>
      <c r="R2260" s="14"/>
      <c r="S2260" s="14"/>
      <c r="T2260" s="14"/>
      <c r="U2260" s="14"/>
      <c r="V2260" s="14"/>
      <c r="W2260" s="14"/>
      <c r="X2260" s="14"/>
      <c r="Y2260" s="14"/>
      <c r="Z2260" s="14"/>
      <c r="AA2260" s="16"/>
      <c r="AB2260" s="10"/>
      <c r="AC2260" s="10"/>
      <c r="AD2260" s="10"/>
      <c r="AE2260" s="10"/>
      <c r="AF2260" s="10"/>
      <c r="AG2260" s="10"/>
      <c r="AH2260" s="10"/>
      <c r="AI2260" s="10"/>
      <c r="AJ2260" s="10"/>
      <c r="AK2260" s="10"/>
      <c r="AL2260" s="10"/>
      <c r="AM2260" s="10"/>
      <c r="AN2260" s="10"/>
      <c r="AO2260" s="10"/>
      <c r="AP2260" s="10"/>
      <c r="AQ2260" s="10"/>
      <c r="AR2260" s="10"/>
      <c r="AS2260" s="10"/>
      <c r="AT2260" s="10"/>
      <c r="AU2260" s="10"/>
      <c r="AV2260" s="10"/>
      <c r="AW2260" s="10"/>
      <c r="AX2260" s="10"/>
      <c r="AY2260" s="10"/>
      <c r="AZ2260" s="10"/>
      <c r="BA2260" s="10"/>
      <c r="BB2260" s="10"/>
      <c r="BC2260" s="10"/>
      <c r="BD2260" s="10"/>
      <c r="BE2260" s="10"/>
      <c r="BF2260" s="10"/>
      <c r="BG2260" s="10"/>
      <c r="BH2260" s="10"/>
      <c r="BI2260" s="10"/>
      <c r="BJ2260" s="10"/>
      <c r="BK2260" s="10"/>
      <c r="BM2260" s="10"/>
    </row>
    <row r="2261" spans="1:65" ht="12.75">
      <c r="A2261" s="9"/>
      <c r="B2261" s="10"/>
      <c r="C2261" s="11"/>
      <c r="D2261" s="12"/>
      <c r="E2261" s="10"/>
      <c r="F2261" s="10"/>
      <c r="G2261" s="10"/>
      <c r="H2261" s="14"/>
      <c r="I2261" s="14"/>
      <c r="J2261" s="14"/>
      <c r="K2261" s="14"/>
      <c r="L2261" s="14"/>
      <c r="M2261" s="15"/>
      <c r="N2261" s="10"/>
      <c r="O2261" s="14"/>
      <c r="P2261" s="14"/>
      <c r="Q2261" s="14"/>
      <c r="R2261" s="14"/>
      <c r="S2261" s="14"/>
      <c r="T2261" s="14"/>
      <c r="U2261" s="14"/>
      <c r="V2261" s="14"/>
      <c r="W2261" s="14"/>
      <c r="X2261" s="14"/>
      <c r="Y2261" s="14"/>
      <c r="Z2261" s="14"/>
      <c r="AA2261" s="16"/>
      <c r="AB2261" s="10"/>
      <c r="AC2261" s="10"/>
      <c r="AD2261" s="10"/>
      <c r="AE2261" s="10"/>
      <c r="AF2261" s="10"/>
      <c r="AG2261" s="10"/>
      <c r="AH2261" s="10"/>
      <c r="AI2261" s="10"/>
      <c r="AJ2261" s="10"/>
      <c r="AK2261" s="10"/>
      <c r="AL2261" s="10"/>
      <c r="AM2261" s="10"/>
      <c r="AN2261" s="10"/>
      <c r="AO2261" s="10"/>
      <c r="AP2261" s="10"/>
      <c r="AQ2261" s="10"/>
      <c r="AR2261" s="10"/>
      <c r="AS2261" s="10"/>
      <c r="AT2261" s="10"/>
      <c r="AU2261" s="10"/>
      <c r="AV2261" s="10"/>
      <c r="AW2261" s="10"/>
      <c r="AX2261" s="10"/>
      <c r="AY2261" s="10"/>
      <c r="AZ2261" s="10"/>
      <c r="BA2261" s="10"/>
      <c r="BB2261" s="10"/>
      <c r="BC2261" s="10"/>
      <c r="BD2261" s="10"/>
      <c r="BE2261" s="10"/>
      <c r="BF2261" s="10"/>
      <c r="BG2261" s="10"/>
      <c r="BH2261" s="10"/>
      <c r="BI2261" s="10"/>
      <c r="BJ2261" s="10"/>
      <c r="BK2261" s="10"/>
      <c r="BM2261" s="10"/>
    </row>
    <row r="2262" spans="1:65" ht="12.75">
      <c r="A2262" s="9"/>
      <c r="B2262" s="10"/>
      <c r="C2262" s="11"/>
      <c r="D2262" s="12"/>
      <c r="E2262" s="10"/>
      <c r="F2262" s="10"/>
      <c r="G2262" s="10"/>
      <c r="H2262" s="14"/>
      <c r="I2262" s="14"/>
      <c r="J2262" s="14"/>
      <c r="K2262" s="14"/>
      <c r="L2262" s="14"/>
      <c r="M2262" s="15"/>
      <c r="N2262" s="10"/>
      <c r="O2262" s="14"/>
      <c r="P2262" s="14"/>
      <c r="Q2262" s="14"/>
      <c r="R2262" s="14"/>
      <c r="S2262" s="14"/>
      <c r="T2262" s="14"/>
      <c r="U2262" s="14"/>
      <c r="V2262" s="14"/>
      <c r="W2262" s="14"/>
      <c r="X2262" s="14"/>
      <c r="Y2262" s="14"/>
      <c r="Z2262" s="14"/>
      <c r="AA2262" s="16"/>
      <c r="AB2262" s="10"/>
      <c r="AC2262" s="10"/>
      <c r="AD2262" s="10"/>
      <c r="AE2262" s="10"/>
      <c r="AF2262" s="10"/>
      <c r="AG2262" s="10"/>
      <c r="AH2262" s="10"/>
      <c r="AI2262" s="10"/>
      <c r="AJ2262" s="10"/>
      <c r="AK2262" s="10"/>
      <c r="AL2262" s="10"/>
      <c r="AM2262" s="10"/>
      <c r="AN2262" s="10"/>
      <c r="AO2262" s="10"/>
      <c r="AP2262" s="10"/>
      <c r="AQ2262" s="10"/>
      <c r="AR2262" s="10"/>
      <c r="AS2262" s="10"/>
      <c r="AT2262" s="10"/>
      <c r="AU2262" s="10"/>
      <c r="AV2262" s="10"/>
      <c r="AW2262" s="10"/>
      <c r="AX2262" s="10"/>
      <c r="AY2262" s="10"/>
      <c r="AZ2262" s="10"/>
      <c r="BA2262" s="10"/>
      <c r="BB2262" s="10"/>
      <c r="BC2262" s="10"/>
      <c r="BD2262" s="10"/>
      <c r="BE2262" s="10"/>
      <c r="BF2262" s="10"/>
      <c r="BG2262" s="10"/>
      <c r="BH2262" s="10"/>
      <c r="BI2262" s="10"/>
      <c r="BJ2262" s="10"/>
      <c r="BK2262" s="10"/>
      <c r="BM2262" s="10"/>
    </row>
    <row r="2263" spans="1:65" ht="12.75">
      <c r="A2263" s="9"/>
      <c r="B2263" s="10"/>
      <c r="C2263" s="11"/>
      <c r="D2263" s="12"/>
      <c r="E2263" s="10"/>
      <c r="F2263" s="10"/>
      <c r="G2263" s="10"/>
      <c r="H2263" s="14"/>
      <c r="I2263" s="14"/>
      <c r="J2263" s="14"/>
      <c r="K2263" s="14"/>
      <c r="L2263" s="14"/>
      <c r="M2263" s="15"/>
      <c r="N2263" s="10"/>
      <c r="O2263" s="14"/>
      <c r="P2263" s="14"/>
      <c r="Q2263" s="14"/>
      <c r="R2263" s="14"/>
      <c r="S2263" s="14"/>
      <c r="T2263" s="14"/>
      <c r="U2263" s="14"/>
      <c r="V2263" s="14"/>
      <c r="W2263" s="14"/>
      <c r="X2263" s="14"/>
      <c r="Y2263" s="14"/>
      <c r="Z2263" s="14"/>
      <c r="AA2263" s="16"/>
      <c r="AB2263" s="10"/>
      <c r="AC2263" s="10"/>
      <c r="AD2263" s="10"/>
      <c r="AE2263" s="10"/>
      <c r="AF2263" s="10"/>
      <c r="AG2263" s="10"/>
      <c r="AH2263" s="10"/>
      <c r="AI2263" s="10"/>
      <c r="AJ2263" s="10"/>
      <c r="AK2263" s="10"/>
      <c r="AL2263" s="10"/>
      <c r="AM2263" s="10"/>
      <c r="AN2263" s="10"/>
      <c r="AO2263" s="10"/>
      <c r="AP2263" s="10"/>
      <c r="AQ2263" s="10"/>
      <c r="AR2263" s="10"/>
      <c r="AS2263" s="10"/>
      <c r="AT2263" s="10"/>
      <c r="AU2263" s="10"/>
      <c r="AV2263" s="10"/>
      <c r="AW2263" s="10"/>
      <c r="AX2263" s="10"/>
      <c r="AY2263" s="10"/>
      <c r="AZ2263" s="10"/>
      <c r="BA2263" s="10"/>
      <c r="BB2263" s="10"/>
      <c r="BC2263" s="10"/>
      <c r="BD2263" s="10"/>
      <c r="BE2263" s="10"/>
      <c r="BF2263" s="10"/>
      <c r="BG2263" s="10"/>
      <c r="BH2263" s="10"/>
      <c r="BI2263" s="10"/>
      <c r="BJ2263" s="10"/>
      <c r="BK2263" s="10"/>
      <c r="BM2263" s="10"/>
    </row>
    <row r="2264" spans="1:65" ht="12.75">
      <c r="A2264" s="9"/>
      <c r="B2264" s="10"/>
      <c r="C2264" s="11"/>
      <c r="D2264" s="12"/>
      <c r="E2264" s="10"/>
      <c r="F2264" s="10"/>
      <c r="G2264" s="10"/>
      <c r="H2264" s="14"/>
      <c r="I2264" s="14"/>
      <c r="J2264" s="14"/>
      <c r="K2264" s="14"/>
      <c r="L2264" s="14"/>
      <c r="M2264" s="15"/>
      <c r="N2264" s="10"/>
      <c r="O2264" s="14"/>
      <c r="P2264" s="14"/>
      <c r="Q2264" s="14"/>
      <c r="R2264" s="14"/>
      <c r="S2264" s="14"/>
      <c r="T2264" s="14"/>
      <c r="U2264" s="14"/>
      <c r="V2264" s="14"/>
      <c r="W2264" s="14"/>
      <c r="X2264" s="14"/>
      <c r="Y2264" s="14"/>
      <c r="Z2264" s="14"/>
      <c r="AA2264" s="16"/>
      <c r="AB2264" s="10"/>
      <c r="AC2264" s="10"/>
      <c r="AD2264" s="10"/>
      <c r="AE2264" s="10"/>
      <c r="AF2264" s="10"/>
      <c r="AG2264" s="10"/>
      <c r="AH2264" s="10"/>
      <c r="AI2264" s="10"/>
      <c r="AJ2264" s="10"/>
      <c r="AK2264" s="10"/>
      <c r="AL2264" s="10"/>
      <c r="AM2264" s="10"/>
      <c r="AN2264" s="10"/>
      <c r="AO2264" s="10"/>
      <c r="AP2264" s="10"/>
      <c r="AQ2264" s="10"/>
      <c r="AR2264" s="10"/>
      <c r="AS2264" s="10"/>
      <c r="AT2264" s="10"/>
      <c r="AU2264" s="10"/>
      <c r="AV2264" s="10"/>
      <c r="AW2264" s="10"/>
      <c r="AX2264" s="10"/>
      <c r="AY2264" s="10"/>
      <c r="AZ2264" s="10"/>
      <c r="BA2264" s="10"/>
      <c r="BB2264" s="10"/>
      <c r="BC2264" s="10"/>
      <c r="BD2264" s="10"/>
      <c r="BE2264" s="10"/>
      <c r="BF2264" s="10"/>
      <c r="BG2264" s="10"/>
      <c r="BH2264" s="10"/>
      <c r="BI2264" s="10"/>
      <c r="BJ2264" s="10"/>
      <c r="BK2264" s="10"/>
      <c r="BM2264" s="10"/>
    </row>
    <row r="2265" spans="1:65" ht="12.75">
      <c r="A2265" s="9"/>
      <c r="B2265" s="10"/>
      <c r="C2265" s="11"/>
      <c r="D2265" s="12"/>
      <c r="E2265" s="10"/>
      <c r="F2265" s="10"/>
      <c r="G2265" s="10"/>
      <c r="H2265" s="14"/>
      <c r="I2265" s="14"/>
      <c r="J2265" s="14"/>
      <c r="K2265" s="14"/>
      <c r="L2265" s="14"/>
      <c r="M2265" s="15"/>
      <c r="N2265" s="10"/>
      <c r="O2265" s="14"/>
      <c r="P2265" s="14"/>
      <c r="Q2265" s="14"/>
      <c r="R2265" s="14"/>
      <c r="S2265" s="14"/>
      <c r="T2265" s="14"/>
      <c r="U2265" s="14"/>
      <c r="V2265" s="14"/>
      <c r="W2265" s="14"/>
      <c r="X2265" s="14"/>
      <c r="Y2265" s="14"/>
      <c r="Z2265" s="14"/>
      <c r="AA2265" s="16"/>
      <c r="AB2265" s="10"/>
      <c r="AC2265" s="10"/>
      <c r="AD2265" s="10"/>
      <c r="AE2265" s="10"/>
      <c r="AF2265" s="10"/>
      <c r="AG2265" s="10"/>
      <c r="AH2265" s="10"/>
      <c r="AI2265" s="10"/>
      <c r="AJ2265" s="10"/>
      <c r="AK2265" s="10"/>
      <c r="AL2265" s="10"/>
      <c r="AM2265" s="10"/>
      <c r="AN2265" s="10"/>
      <c r="AO2265" s="10"/>
      <c r="AP2265" s="10"/>
      <c r="AQ2265" s="10"/>
      <c r="AR2265" s="10"/>
      <c r="AS2265" s="10"/>
      <c r="AT2265" s="10"/>
      <c r="AU2265" s="10"/>
      <c r="AV2265" s="10"/>
      <c r="AW2265" s="10"/>
      <c r="AX2265" s="10"/>
      <c r="AY2265" s="10"/>
      <c r="AZ2265" s="10"/>
      <c r="BA2265" s="10"/>
      <c r="BB2265" s="10"/>
      <c r="BC2265" s="10"/>
      <c r="BD2265" s="10"/>
      <c r="BE2265" s="10"/>
      <c r="BF2265" s="10"/>
      <c r="BG2265" s="10"/>
      <c r="BH2265" s="10"/>
      <c r="BI2265" s="10"/>
      <c r="BJ2265" s="10"/>
      <c r="BK2265" s="10"/>
      <c r="BM2265" s="10"/>
    </row>
    <row r="2266" spans="1:65" ht="12.75">
      <c r="A2266" s="9"/>
      <c r="B2266" s="10"/>
      <c r="C2266" s="11"/>
      <c r="D2266" s="12"/>
      <c r="E2266" s="10"/>
      <c r="F2266" s="10"/>
      <c r="G2266" s="10"/>
      <c r="H2266" s="14"/>
      <c r="I2266" s="14"/>
      <c r="J2266" s="14"/>
      <c r="K2266" s="14"/>
      <c r="L2266" s="14"/>
      <c r="M2266" s="15"/>
      <c r="N2266" s="10"/>
      <c r="O2266" s="14"/>
      <c r="P2266" s="14"/>
      <c r="Q2266" s="14"/>
      <c r="R2266" s="14"/>
      <c r="S2266" s="14"/>
      <c r="T2266" s="14"/>
      <c r="U2266" s="14"/>
      <c r="V2266" s="14"/>
      <c r="W2266" s="14"/>
      <c r="X2266" s="14"/>
      <c r="Y2266" s="14"/>
      <c r="Z2266" s="14"/>
      <c r="AA2266" s="16"/>
      <c r="AB2266" s="10"/>
      <c r="AC2266" s="10"/>
      <c r="AD2266" s="10"/>
      <c r="AE2266" s="10"/>
      <c r="AF2266" s="10"/>
      <c r="AG2266" s="10"/>
      <c r="AH2266" s="10"/>
      <c r="AI2266" s="10"/>
      <c r="AJ2266" s="10"/>
      <c r="AK2266" s="10"/>
      <c r="AL2266" s="10"/>
      <c r="AM2266" s="10"/>
      <c r="AN2266" s="10"/>
      <c r="AO2266" s="10"/>
      <c r="AP2266" s="10"/>
      <c r="AQ2266" s="10"/>
      <c r="AR2266" s="10"/>
      <c r="AS2266" s="10"/>
      <c r="AT2266" s="10"/>
      <c r="AU2266" s="10"/>
      <c r="AV2266" s="10"/>
      <c r="AW2266" s="10"/>
      <c r="AX2266" s="10"/>
      <c r="AY2266" s="10"/>
      <c r="AZ2266" s="10"/>
      <c r="BA2266" s="10"/>
      <c r="BB2266" s="10"/>
      <c r="BC2266" s="10"/>
      <c r="BD2266" s="10"/>
      <c r="BE2266" s="10"/>
      <c r="BF2266" s="10"/>
      <c r="BG2266" s="10"/>
      <c r="BH2266" s="10"/>
      <c r="BI2266" s="10"/>
      <c r="BJ2266" s="10"/>
      <c r="BK2266" s="10"/>
      <c r="BM2266" s="10"/>
    </row>
    <row r="2267" spans="1:65" ht="12.75">
      <c r="A2267" s="9"/>
      <c r="B2267" s="10"/>
      <c r="C2267" s="11"/>
      <c r="D2267" s="12"/>
      <c r="E2267" s="10"/>
      <c r="F2267" s="10"/>
      <c r="G2267" s="10"/>
      <c r="H2267" s="14"/>
      <c r="I2267" s="14"/>
      <c r="J2267" s="14"/>
      <c r="K2267" s="14"/>
      <c r="L2267" s="14"/>
      <c r="M2267" s="15"/>
      <c r="N2267" s="10"/>
      <c r="O2267" s="14"/>
      <c r="P2267" s="14"/>
      <c r="Q2267" s="14"/>
      <c r="R2267" s="14"/>
      <c r="S2267" s="14"/>
      <c r="T2267" s="14"/>
      <c r="U2267" s="14"/>
      <c r="V2267" s="14"/>
      <c r="W2267" s="14"/>
      <c r="X2267" s="14"/>
      <c r="Y2267" s="14"/>
      <c r="Z2267" s="14"/>
      <c r="AA2267" s="16"/>
      <c r="AB2267" s="10"/>
      <c r="AC2267" s="10"/>
      <c r="AD2267" s="10"/>
      <c r="AE2267" s="10"/>
      <c r="AF2267" s="10"/>
      <c r="AG2267" s="10"/>
      <c r="AH2267" s="10"/>
      <c r="AI2267" s="10"/>
      <c r="AJ2267" s="10"/>
      <c r="AK2267" s="10"/>
      <c r="AL2267" s="10"/>
      <c r="AM2267" s="10"/>
      <c r="AN2267" s="10"/>
      <c r="AO2267" s="10"/>
      <c r="AP2267" s="10"/>
      <c r="AQ2267" s="10"/>
      <c r="AR2267" s="10"/>
      <c r="AS2267" s="10"/>
      <c r="AT2267" s="10"/>
      <c r="AU2267" s="10"/>
      <c r="AV2267" s="10"/>
      <c r="AW2267" s="10"/>
      <c r="AX2267" s="10"/>
      <c r="AY2267" s="10"/>
      <c r="AZ2267" s="10"/>
      <c r="BA2267" s="10"/>
      <c r="BB2267" s="10"/>
      <c r="BC2267" s="10"/>
      <c r="BD2267" s="10"/>
      <c r="BE2267" s="10"/>
      <c r="BF2267" s="10"/>
      <c r="BG2267" s="10"/>
      <c r="BH2267" s="10"/>
      <c r="BI2267" s="10"/>
      <c r="BJ2267" s="10"/>
      <c r="BK2267" s="10"/>
      <c r="BM2267" s="10"/>
    </row>
    <row r="2268" spans="1:65" ht="12.75">
      <c r="A2268" s="9"/>
      <c r="B2268" s="10"/>
      <c r="C2268" s="11"/>
      <c r="D2268" s="12"/>
      <c r="E2268" s="10"/>
      <c r="F2268" s="10"/>
      <c r="G2268" s="10"/>
      <c r="H2268" s="14"/>
      <c r="I2268" s="14"/>
      <c r="J2268" s="14"/>
      <c r="K2268" s="14"/>
      <c r="L2268" s="14"/>
      <c r="M2268" s="15"/>
      <c r="N2268" s="10"/>
      <c r="O2268" s="14"/>
      <c r="P2268" s="14"/>
      <c r="Q2268" s="14"/>
      <c r="R2268" s="14"/>
      <c r="S2268" s="14"/>
      <c r="T2268" s="14"/>
      <c r="U2268" s="14"/>
      <c r="V2268" s="14"/>
      <c r="W2268" s="14"/>
      <c r="X2268" s="14"/>
      <c r="Y2268" s="14"/>
      <c r="Z2268" s="14"/>
      <c r="AA2268" s="16"/>
      <c r="AB2268" s="10"/>
      <c r="AC2268" s="10"/>
      <c r="AD2268" s="10"/>
      <c r="AE2268" s="10"/>
      <c r="AF2268" s="10"/>
      <c r="AG2268" s="10"/>
      <c r="AH2268" s="10"/>
      <c r="AI2268" s="10"/>
      <c r="AJ2268" s="10"/>
      <c r="AK2268" s="10"/>
      <c r="AL2268" s="10"/>
      <c r="AM2268" s="10"/>
      <c r="AN2268" s="10"/>
      <c r="AO2268" s="10"/>
      <c r="AP2268" s="10"/>
      <c r="AQ2268" s="10"/>
      <c r="AR2268" s="10"/>
      <c r="AS2268" s="10"/>
      <c r="AT2268" s="10"/>
      <c r="AU2268" s="10"/>
      <c r="AV2268" s="10"/>
      <c r="AW2268" s="10"/>
      <c r="AX2268" s="10"/>
      <c r="AY2268" s="10"/>
      <c r="AZ2268" s="10"/>
      <c r="BA2268" s="10"/>
      <c r="BB2268" s="10"/>
      <c r="BC2268" s="10"/>
      <c r="BD2268" s="10"/>
      <c r="BE2268" s="10"/>
      <c r="BF2268" s="10"/>
      <c r="BG2268" s="10"/>
      <c r="BH2268" s="10"/>
      <c r="BI2268" s="10"/>
      <c r="BJ2268" s="10"/>
      <c r="BK2268" s="10"/>
      <c r="BM2268" s="10"/>
    </row>
    <row r="2269" spans="1:65" ht="12.75">
      <c r="A2269" s="9"/>
      <c r="B2269" s="10"/>
      <c r="C2269" s="11"/>
      <c r="D2269" s="12"/>
      <c r="E2269" s="10"/>
      <c r="F2269" s="10"/>
      <c r="G2269" s="10"/>
      <c r="H2269" s="14"/>
      <c r="I2269" s="14"/>
      <c r="J2269" s="14"/>
      <c r="K2269" s="14"/>
      <c r="L2269" s="14"/>
      <c r="M2269" s="15"/>
      <c r="N2269" s="10"/>
      <c r="O2269" s="14"/>
      <c r="P2269" s="14"/>
      <c r="Q2269" s="14"/>
      <c r="R2269" s="14"/>
      <c r="S2269" s="14"/>
      <c r="T2269" s="14"/>
      <c r="U2269" s="14"/>
      <c r="V2269" s="14"/>
      <c r="W2269" s="14"/>
      <c r="X2269" s="14"/>
      <c r="Y2269" s="14"/>
      <c r="Z2269" s="14"/>
      <c r="AA2269" s="16"/>
      <c r="AB2269" s="10"/>
      <c r="AC2269" s="10"/>
      <c r="AD2269" s="10"/>
      <c r="AE2269" s="10"/>
      <c r="AF2269" s="10"/>
      <c r="AG2269" s="10"/>
      <c r="AH2269" s="10"/>
      <c r="AI2269" s="10"/>
      <c r="AJ2269" s="10"/>
      <c r="AK2269" s="10"/>
      <c r="AL2269" s="10"/>
      <c r="AM2269" s="10"/>
      <c r="AN2269" s="10"/>
      <c r="AO2269" s="10"/>
      <c r="AP2269" s="10"/>
      <c r="AQ2269" s="10"/>
      <c r="AR2269" s="10"/>
      <c r="AS2269" s="10"/>
      <c r="AT2269" s="10"/>
      <c r="AU2269" s="10"/>
      <c r="AV2269" s="10"/>
      <c r="AW2269" s="10"/>
      <c r="AX2269" s="10"/>
      <c r="AY2269" s="10"/>
      <c r="AZ2269" s="10"/>
      <c r="BA2269" s="10"/>
      <c r="BB2269" s="10"/>
      <c r="BC2269" s="10"/>
      <c r="BD2269" s="10"/>
      <c r="BE2269" s="10"/>
      <c r="BF2269" s="10"/>
      <c r="BG2269" s="10"/>
      <c r="BH2269" s="10"/>
      <c r="BI2269" s="10"/>
      <c r="BJ2269" s="10"/>
      <c r="BK2269" s="10"/>
      <c r="BM2269" s="10"/>
    </row>
    <row r="2270" spans="1:65" ht="12.75">
      <c r="A2270" s="9"/>
      <c r="B2270" s="10"/>
      <c r="C2270" s="11"/>
      <c r="D2270" s="12"/>
      <c r="E2270" s="10"/>
      <c r="F2270" s="10"/>
      <c r="G2270" s="10"/>
      <c r="H2270" s="14"/>
      <c r="I2270" s="14"/>
      <c r="J2270" s="14"/>
      <c r="K2270" s="14"/>
      <c r="L2270" s="14"/>
      <c r="M2270" s="15"/>
      <c r="N2270" s="10"/>
      <c r="O2270" s="14"/>
      <c r="P2270" s="14"/>
      <c r="Q2270" s="14"/>
      <c r="R2270" s="14"/>
      <c r="S2270" s="14"/>
      <c r="T2270" s="14"/>
      <c r="U2270" s="14"/>
      <c r="V2270" s="14"/>
      <c r="W2270" s="14"/>
      <c r="X2270" s="14"/>
      <c r="Y2270" s="14"/>
      <c r="Z2270" s="14"/>
      <c r="AA2270" s="16"/>
      <c r="AB2270" s="10"/>
      <c r="AC2270" s="10"/>
      <c r="AD2270" s="10"/>
      <c r="AE2270" s="10"/>
      <c r="AF2270" s="10"/>
      <c r="AG2270" s="10"/>
      <c r="AH2270" s="10"/>
      <c r="AI2270" s="10"/>
      <c r="AJ2270" s="10"/>
      <c r="AK2270" s="10"/>
      <c r="AL2270" s="10"/>
      <c r="AM2270" s="10"/>
      <c r="AN2270" s="10"/>
      <c r="AO2270" s="10"/>
      <c r="AP2270" s="10"/>
      <c r="AQ2270" s="10"/>
      <c r="AR2270" s="10"/>
      <c r="AS2270" s="10"/>
      <c r="AT2270" s="10"/>
      <c r="AU2270" s="10"/>
      <c r="AV2270" s="10"/>
      <c r="AW2270" s="10"/>
      <c r="AX2270" s="10"/>
      <c r="AY2270" s="10"/>
      <c r="AZ2270" s="10"/>
      <c r="BA2270" s="10"/>
      <c r="BB2270" s="10"/>
      <c r="BC2270" s="10"/>
      <c r="BD2270" s="10"/>
      <c r="BE2270" s="10"/>
      <c r="BF2270" s="10"/>
      <c r="BG2270" s="10"/>
      <c r="BH2270" s="10"/>
      <c r="BI2270" s="10"/>
      <c r="BJ2270" s="10"/>
      <c r="BK2270" s="10"/>
      <c r="BM2270" s="10"/>
    </row>
    <row r="2271" spans="1:65" ht="12.75">
      <c r="A2271" s="9"/>
      <c r="B2271" s="10"/>
      <c r="C2271" s="11"/>
      <c r="D2271" s="12"/>
      <c r="E2271" s="10"/>
      <c r="F2271" s="10"/>
      <c r="G2271" s="10"/>
      <c r="H2271" s="14"/>
      <c r="I2271" s="14"/>
      <c r="J2271" s="14"/>
      <c r="K2271" s="14"/>
      <c r="L2271" s="14"/>
      <c r="M2271" s="15"/>
      <c r="N2271" s="10"/>
      <c r="O2271" s="14"/>
      <c r="P2271" s="14"/>
      <c r="Q2271" s="14"/>
      <c r="R2271" s="14"/>
      <c r="S2271" s="14"/>
      <c r="T2271" s="14"/>
      <c r="U2271" s="14"/>
      <c r="V2271" s="14"/>
      <c r="W2271" s="14"/>
      <c r="X2271" s="14"/>
      <c r="Y2271" s="14"/>
      <c r="Z2271" s="14"/>
      <c r="AA2271" s="16"/>
      <c r="AB2271" s="10"/>
      <c r="AC2271" s="10"/>
      <c r="AD2271" s="10"/>
      <c r="AE2271" s="10"/>
      <c r="AF2271" s="10"/>
      <c r="AG2271" s="10"/>
      <c r="AH2271" s="10"/>
      <c r="AI2271" s="10"/>
      <c r="AJ2271" s="10"/>
      <c r="AK2271" s="10"/>
      <c r="AL2271" s="10"/>
      <c r="AM2271" s="10"/>
      <c r="AN2271" s="10"/>
      <c r="AO2271" s="10"/>
      <c r="AP2271" s="10"/>
      <c r="AQ2271" s="10"/>
      <c r="AR2271" s="10"/>
      <c r="AS2271" s="10"/>
      <c r="AT2271" s="10"/>
      <c r="AU2271" s="10"/>
      <c r="AV2271" s="10"/>
      <c r="AW2271" s="10"/>
      <c r="AX2271" s="10"/>
      <c r="AY2271" s="10"/>
      <c r="AZ2271" s="10"/>
      <c r="BA2271" s="10"/>
      <c r="BB2271" s="10"/>
      <c r="BC2271" s="10"/>
      <c r="BD2271" s="10"/>
      <c r="BE2271" s="10"/>
      <c r="BF2271" s="10"/>
      <c r="BG2271" s="10"/>
      <c r="BH2271" s="10"/>
      <c r="BI2271" s="10"/>
      <c r="BJ2271" s="10"/>
      <c r="BK2271" s="10"/>
      <c r="BM2271" s="10"/>
    </row>
    <row r="2272" spans="1:65" ht="12.75">
      <c r="A2272" s="9"/>
      <c r="B2272" s="10"/>
      <c r="C2272" s="11"/>
      <c r="D2272" s="12"/>
      <c r="E2272" s="10"/>
      <c r="F2272" s="10"/>
      <c r="G2272" s="10"/>
      <c r="H2272" s="14"/>
      <c r="I2272" s="14"/>
      <c r="J2272" s="14"/>
      <c r="K2272" s="14"/>
      <c r="L2272" s="14"/>
      <c r="M2272" s="15"/>
      <c r="N2272" s="10"/>
      <c r="O2272" s="14"/>
      <c r="P2272" s="14"/>
      <c r="Q2272" s="14"/>
      <c r="R2272" s="14"/>
      <c r="S2272" s="14"/>
      <c r="T2272" s="14"/>
      <c r="U2272" s="14"/>
      <c r="V2272" s="14"/>
      <c r="W2272" s="14"/>
      <c r="X2272" s="14"/>
      <c r="Y2272" s="14"/>
      <c r="Z2272" s="14"/>
      <c r="AA2272" s="16"/>
      <c r="AB2272" s="10"/>
      <c r="AC2272" s="10"/>
      <c r="AD2272" s="10"/>
      <c r="AE2272" s="10"/>
      <c r="AF2272" s="10"/>
      <c r="AG2272" s="10"/>
      <c r="AH2272" s="10"/>
      <c r="AI2272" s="10"/>
      <c r="AJ2272" s="10"/>
      <c r="AK2272" s="10"/>
      <c r="AL2272" s="10"/>
      <c r="AM2272" s="10"/>
      <c r="AN2272" s="10"/>
      <c r="AO2272" s="10"/>
      <c r="AP2272" s="10"/>
      <c r="AQ2272" s="10"/>
      <c r="AR2272" s="10"/>
      <c r="AS2272" s="10"/>
      <c r="AT2272" s="10"/>
      <c r="AU2272" s="10"/>
      <c r="AV2272" s="10"/>
      <c r="AW2272" s="10"/>
      <c r="AX2272" s="10"/>
      <c r="AY2272" s="10"/>
      <c r="AZ2272" s="10"/>
      <c r="BA2272" s="10"/>
      <c r="BB2272" s="10"/>
      <c r="BC2272" s="10"/>
      <c r="BD2272" s="10"/>
      <c r="BE2272" s="10"/>
      <c r="BF2272" s="10"/>
      <c r="BG2272" s="10"/>
      <c r="BH2272" s="10"/>
      <c r="BI2272" s="10"/>
      <c r="BJ2272" s="10"/>
      <c r="BK2272" s="10"/>
      <c r="BM2272" s="10"/>
    </row>
    <row r="2273" spans="1:65" ht="12.75">
      <c r="A2273" s="9"/>
      <c r="B2273" s="10"/>
      <c r="C2273" s="11"/>
      <c r="D2273" s="12"/>
      <c r="E2273" s="10"/>
      <c r="F2273" s="10"/>
      <c r="G2273" s="10"/>
      <c r="H2273" s="14"/>
      <c r="I2273" s="14"/>
      <c r="J2273" s="14"/>
      <c r="K2273" s="14"/>
      <c r="L2273" s="14"/>
      <c r="M2273" s="15"/>
      <c r="N2273" s="10"/>
      <c r="O2273" s="14"/>
      <c r="P2273" s="14"/>
      <c r="Q2273" s="14"/>
      <c r="R2273" s="14"/>
      <c r="S2273" s="14"/>
      <c r="T2273" s="14"/>
      <c r="U2273" s="14"/>
      <c r="V2273" s="14"/>
      <c r="W2273" s="14"/>
      <c r="X2273" s="14"/>
      <c r="Y2273" s="14"/>
      <c r="Z2273" s="14"/>
      <c r="AA2273" s="16"/>
      <c r="AB2273" s="10"/>
      <c r="AC2273" s="10"/>
      <c r="AD2273" s="10"/>
      <c r="AE2273" s="10"/>
      <c r="AF2273" s="10"/>
      <c r="AG2273" s="10"/>
      <c r="AH2273" s="10"/>
      <c r="AI2273" s="10"/>
      <c r="AJ2273" s="10"/>
      <c r="AK2273" s="10"/>
      <c r="AL2273" s="10"/>
      <c r="AM2273" s="10"/>
      <c r="AN2273" s="10"/>
      <c r="AO2273" s="10"/>
      <c r="AP2273" s="10"/>
      <c r="AQ2273" s="10"/>
      <c r="AR2273" s="10"/>
      <c r="AS2273" s="10"/>
      <c r="AT2273" s="10"/>
      <c r="AU2273" s="10"/>
      <c r="AV2273" s="10"/>
      <c r="AW2273" s="10"/>
      <c r="AX2273" s="10"/>
      <c r="AY2273" s="10"/>
      <c r="AZ2273" s="10"/>
      <c r="BA2273" s="10"/>
      <c r="BB2273" s="10"/>
      <c r="BC2273" s="10"/>
      <c r="BD2273" s="10"/>
      <c r="BE2273" s="10"/>
      <c r="BF2273" s="10"/>
      <c r="BG2273" s="10"/>
      <c r="BH2273" s="10"/>
      <c r="BI2273" s="10"/>
      <c r="BJ2273" s="10"/>
      <c r="BK2273" s="10"/>
      <c r="BM2273" s="10"/>
    </row>
    <row r="2274" spans="1:65" ht="12.75">
      <c r="A2274" s="9"/>
      <c r="B2274" s="10"/>
      <c r="C2274" s="11"/>
      <c r="D2274" s="12"/>
      <c r="E2274" s="10"/>
      <c r="F2274" s="10"/>
      <c r="G2274" s="10"/>
      <c r="H2274" s="14"/>
      <c r="I2274" s="14"/>
      <c r="J2274" s="14"/>
      <c r="K2274" s="14"/>
      <c r="L2274" s="14"/>
      <c r="M2274" s="15"/>
      <c r="N2274" s="10"/>
      <c r="O2274" s="14"/>
      <c r="P2274" s="14"/>
      <c r="Q2274" s="14"/>
      <c r="R2274" s="14"/>
      <c r="S2274" s="14"/>
      <c r="T2274" s="14"/>
      <c r="U2274" s="14"/>
      <c r="V2274" s="14"/>
      <c r="W2274" s="14"/>
      <c r="X2274" s="14"/>
      <c r="Y2274" s="14"/>
      <c r="Z2274" s="14"/>
      <c r="AA2274" s="16"/>
      <c r="AB2274" s="10"/>
      <c r="AC2274" s="10"/>
      <c r="AD2274" s="10"/>
      <c r="AE2274" s="10"/>
      <c r="AF2274" s="10"/>
      <c r="AG2274" s="10"/>
      <c r="AH2274" s="10"/>
      <c r="AI2274" s="10"/>
      <c r="AJ2274" s="10"/>
      <c r="AK2274" s="10"/>
      <c r="AL2274" s="10"/>
      <c r="AM2274" s="10"/>
      <c r="AN2274" s="10"/>
      <c r="AO2274" s="10"/>
      <c r="AP2274" s="10"/>
      <c r="AQ2274" s="10"/>
      <c r="AR2274" s="10"/>
      <c r="AS2274" s="10"/>
      <c r="AT2274" s="10"/>
      <c r="AU2274" s="10"/>
      <c r="AV2274" s="10"/>
      <c r="AW2274" s="10"/>
      <c r="AX2274" s="10"/>
      <c r="AY2274" s="10"/>
      <c r="AZ2274" s="10"/>
      <c r="BA2274" s="10"/>
      <c r="BB2274" s="10"/>
      <c r="BC2274" s="10"/>
      <c r="BD2274" s="10"/>
      <c r="BE2274" s="10"/>
      <c r="BF2274" s="10"/>
      <c r="BG2274" s="10"/>
      <c r="BH2274" s="10"/>
      <c r="BI2274" s="10"/>
      <c r="BJ2274" s="10"/>
      <c r="BK2274" s="10"/>
      <c r="BM2274" s="10"/>
    </row>
    <row r="2275" spans="1:65" ht="12.75">
      <c r="A2275" s="9"/>
      <c r="B2275" s="10"/>
      <c r="C2275" s="11"/>
      <c r="D2275" s="12"/>
      <c r="E2275" s="10"/>
      <c r="F2275" s="10"/>
      <c r="G2275" s="10"/>
      <c r="H2275" s="14"/>
      <c r="I2275" s="14"/>
      <c r="J2275" s="14"/>
      <c r="K2275" s="14"/>
      <c r="L2275" s="14"/>
      <c r="M2275" s="15"/>
      <c r="N2275" s="10"/>
      <c r="O2275" s="14"/>
      <c r="P2275" s="14"/>
      <c r="Q2275" s="14"/>
      <c r="R2275" s="14"/>
      <c r="S2275" s="14"/>
      <c r="T2275" s="14"/>
      <c r="U2275" s="14"/>
      <c r="V2275" s="14"/>
      <c r="W2275" s="14"/>
      <c r="X2275" s="14"/>
      <c r="Y2275" s="14"/>
      <c r="Z2275" s="14"/>
      <c r="AA2275" s="16"/>
      <c r="AB2275" s="10"/>
      <c r="AC2275" s="10"/>
      <c r="AD2275" s="10"/>
      <c r="AE2275" s="10"/>
      <c r="AF2275" s="10"/>
      <c r="AG2275" s="10"/>
      <c r="AH2275" s="10"/>
      <c r="AI2275" s="10"/>
      <c r="AJ2275" s="10"/>
      <c r="AK2275" s="10"/>
      <c r="AL2275" s="10"/>
      <c r="AM2275" s="10"/>
      <c r="AN2275" s="10"/>
      <c r="AO2275" s="10"/>
      <c r="AP2275" s="10"/>
      <c r="AQ2275" s="10"/>
      <c r="AR2275" s="10"/>
      <c r="AS2275" s="10"/>
      <c r="AT2275" s="10"/>
      <c r="AU2275" s="10"/>
      <c r="AV2275" s="10"/>
      <c r="AW2275" s="10"/>
      <c r="AX2275" s="10"/>
      <c r="AY2275" s="10"/>
      <c r="AZ2275" s="10"/>
      <c r="BA2275" s="10"/>
      <c r="BB2275" s="10"/>
      <c r="BC2275" s="10"/>
      <c r="BD2275" s="10"/>
      <c r="BE2275" s="10"/>
      <c r="BF2275" s="10"/>
      <c r="BG2275" s="10"/>
      <c r="BH2275" s="10"/>
      <c r="BI2275" s="10"/>
      <c r="BJ2275" s="10"/>
      <c r="BK2275" s="10"/>
      <c r="BM2275" s="10"/>
    </row>
    <row r="2276" spans="1:65" ht="12.75">
      <c r="A2276" s="9"/>
      <c r="B2276" s="10"/>
      <c r="C2276" s="11"/>
      <c r="D2276" s="12"/>
      <c r="E2276" s="10"/>
      <c r="F2276" s="10"/>
      <c r="G2276" s="10"/>
      <c r="H2276" s="14"/>
      <c r="I2276" s="14"/>
      <c r="J2276" s="14"/>
      <c r="K2276" s="14"/>
      <c r="L2276" s="14"/>
      <c r="M2276" s="15"/>
      <c r="N2276" s="10"/>
      <c r="O2276" s="14"/>
      <c r="P2276" s="14"/>
      <c r="Q2276" s="14"/>
      <c r="R2276" s="14"/>
      <c r="S2276" s="14"/>
      <c r="T2276" s="14"/>
      <c r="U2276" s="14"/>
      <c r="V2276" s="14"/>
      <c r="W2276" s="14"/>
      <c r="X2276" s="14"/>
      <c r="Y2276" s="14"/>
      <c r="Z2276" s="14"/>
      <c r="AA2276" s="16"/>
      <c r="AB2276" s="10"/>
      <c r="AC2276" s="10"/>
      <c r="AD2276" s="10"/>
      <c r="AE2276" s="10"/>
      <c r="AF2276" s="10"/>
      <c r="AG2276" s="10"/>
      <c r="AH2276" s="10"/>
      <c r="AI2276" s="10"/>
      <c r="AJ2276" s="10"/>
      <c r="AK2276" s="10"/>
      <c r="AL2276" s="10"/>
      <c r="AM2276" s="10"/>
      <c r="AN2276" s="10"/>
      <c r="AO2276" s="10"/>
      <c r="AP2276" s="10"/>
      <c r="AQ2276" s="10"/>
      <c r="AR2276" s="10"/>
      <c r="AS2276" s="10"/>
      <c r="AT2276" s="10"/>
      <c r="AU2276" s="10"/>
      <c r="AV2276" s="10"/>
      <c r="AW2276" s="10"/>
      <c r="AX2276" s="10"/>
      <c r="AY2276" s="10"/>
      <c r="AZ2276" s="10"/>
      <c r="BA2276" s="10"/>
      <c r="BB2276" s="10"/>
      <c r="BC2276" s="10"/>
      <c r="BD2276" s="10"/>
      <c r="BE2276" s="10"/>
      <c r="BF2276" s="10"/>
      <c r="BG2276" s="10"/>
      <c r="BH2276" s="10"/>
      <c r="BI2276" s="10"/>
      <c r="BJ2276" s="10"/>
      <c r="BK2276" s="10"/>
      <c r="BM2276" s="10"/>
    </row>
    <row r="2277" spans="1:65" ht="12.75">
      <c r="A2277" s="9"/>
      <c r="B2277" s="10"/>
      <c r="C2277" s="11"/>
      <c r="D2277" s="12"/>
      <c r="E2277" s="10"/>
      <c r="F2277" s="10"/>
      <c r="G2277" s="10"/>
      <c r="H2277" s="14"/>
      <c r="I2277" s="14"/>
      <c r="J2277" s="14"/>
      <c r="K2277" s="14"/>
      <c r="L2277" s="14"/>
      <c r="M2277" s="15"/>
      <c r="N2277" s="10"/>
      <c r="O2277" s="14"/>
      <c r="P2277" s="14"/>
      <c r="Q2277" s="14"/>
      <c r="R2277" s="14"/>
      <c r="S2277" s="14"/>
      <c r="T2277" s="14"/>
      <c r="U2277" s="14"/>
      <c r="V2277" s="14"/>
      <c r="W2277" s="14"/>
      <c r="X2277" s="14"/>
      <c r="Y2277" s="14"/>
      <c r="Z2277" s="14"/>
      <c r="AA2277" s="16"/>
      <c r="AB2277" s="10"/>
      <c r="AC2277" s="10"/>
      <c r="AD2277" s="10"/>
      <c r="AE2277" s="10"/>
      <c r="AF2277" s="10"/>
      <c r="AG2277" s="10"/>
      <c r="AH2277" s="10"/>
      <c r="AI2277" s="10"/>
      <c r="AJ2277" s="10"/>
      <c r="AK2277" s="10"/>
      <c r="AL2277" s="10"/>
      <c r="AM2277" s="10"/>
      <c r="AN2277" s="10"/>
      <c r="AO2277" s="10"/>
      <c r="AP2277" s="10"/>
      <c r="AQ2277" s="10"/>
      <c r="AR2277" s="10"/>
      <c r="AS2277" s="10"/>
      <c r="AT2277" s="10"/>
      <c r="AU2277" s="10"/>
      <c r="AV2277" s="10"/>
      <c r="AW2277" s="10"/>
      <c r="AX2277" s="10"/>
      <c r="AY2277" s="10"/>
      <c r="AZ2277" s="10"/>
      <c r="BA2277" s="10"/>
      <c r="BB2277" s="10"/>
      <c r="BC2277" s="10"/>
      <c r="BD2277" s="10"/>
      <c r="BE2277" s="10"/>
      <c r="BF2277" s="10"/>
      <c r="BG2277" s="10"/>
      <c r="BH2277" s="10"/>
      <c r="BI2277" s="10"/>
      <c r="BJ2277" s="10"/>
      <c r="BK2277" s="10"/>
      <c r="BM2277" s="10"/>
    </row>
    <row r="2278" spans="1:65" ht="12.75">
      <c r="A2278" s="9"/>
      <c r="B2278" s="10"/>
      <c r="C2278" s="11"/>
      <c r="D2278" s="12"/>
      <c r="E2278" s="10"/>
      <c r="F2278" s="10"/>
      <c r="G2278" s="10"/>
      <c r="H2278" s="14"/>
      <c r="I2278" s="14"/>
      <c r="J2278" s="14"/>
      <c r="K2278" s="14"/>
      <c r="L2278" s="14"/>
      <c r="M2278" s="15"/>
      <c r="N2278" s="10"/>
      <c r="O2278" s="14"/>
      <c r="P2278" s="14"/>
      <c r="Q2278" s="14"/>
      <c r="R2278" s="14"/>
      <c r="S2278" s="14"/>
      <c r="T2278" s="14"/>
      <c r="U2278" s="14"/>
      <c r="V2278" s="14"/>
      <c r="W2278" s="14"/>
      <c r="X2278" s="14"/>
      <c r="Y2278" s="14"/>
      <c r="Z2278" s="14"/>
      <c r="AA2278" s="16"/>
      <c r="AB2278" s="10"/>
      <c r="AC2278" s="10"/>
      <c r="AD2278" s="10"/>
      <c r="AE2278" s="10"/>
      <c r="AF2278" s="10"/>
      <c r="AG2278" s="10"/>
      <c r="AH2278" s="10"/>
      <c r="AI2278" s="10"/>
      <c r="AJ2278" s="10"/>
      <c r="AK2278" s="10"/>
      <c r="AL2278" s="10"/>
      <c r="AM2278" s="10"/>
      <c r="AN2278" s="10"/>
      <c r="AO2278" s="10"/>
      <c r="AP2278" s="10"/>
      <c r="AQ2278" s="10"/>
      <c r="AR2278" s="10"/>
      <c r="AS2278" s="10"/>
      <c r="AT2278" s="10"/>
      <c r="AU2278" s="10"/>
      <c r="AV2278" s="10"/>
      <c r="AW2278" s="10"/>
      <c r="AX2278" s="10"/>
      <c r="AY2278" s="10"/>
      <c r="AZ2278" s="10"/>
      <c r="BA2278" s="10"/>
      <c r="BB2278" s="10"/>
      <c r="BC2278" s="10"/>
      <c r="BD2278" s="10"/>
      <c r="BE2278" s="10"/>
      <c r="BF2278" s="10"/>
      <c r="BG2278" s="10"/>
      <c r="BH2278" s="10"/>
      <c r="BI2278" s="10"/>
      <c r="BJ2278" s="10"/>
      <c r="BK2278" s="10"/>
      <c r="BM2278" s="10"/>
    </row>
    <row r="2279" spans="1:65" ht="12.75">
      <c r="A2279" s="9"/>
      <c r="B2279" s="10"/>
      <c r="C2279" s="11"/>
      <c r="D2279" s="12"/>
      <c r="E2279" s="10"/>
      <c r="F2279" s="10"/>
      <c r="G2279" s="10"/>
      <c r="H2279" s="14"/>
      <c r="I2279" s="14"/>
      <c r="J2279" s="14"/>
      <c r="K2279" s="14"/>
      <c r="L2279" s="14"/>
      <c r="M2279" s="15"/>
      <c r="N2279" s="10"/>
      <c r="O2279" s="14"/>
      <c r="P2279" s="14"/>
      <c r="Q2279" s="14"/>
      <c r="R2279" s="14"/>
      <c r="S2279" s="14"/>
      <c r="T2279" s="14"/>
      <c r="U2279" s="14"/>
      <c r="V2279" s="14"/>
      <c r="W2279" s="14"/>
      <c r="X2279" s="14"/>
      <c r="Y2279" s="14"/>
      <c r="Z2279" s="14"/>
      <c r="AA2279" s="16"/>
      <c r="AB2279" s="10"/>
      <c r="AC2279" s="10"/>
      <c r="AD2279" s="10"/>
      <c r="AE2279" s="10"/>
      <c r="AF2279" s="10"/>
      <c r="AG2279" s="10"/>
      <c r="AH2279" s="10"/>
      <c r="AI2279" s="10"/>
      <c r="AJ2279" s="10"/>
      <c r="AK2279" s="10"/>
      <c r="AL2279" s="10"/>
      <c r="AM2279" s="10"/>
      <c r="AN2279" s="10"/>
      <c r="AO2279" s="10"/>
      <c r="AP2279" s="10"/>
      <c r="AQ2279" s="10"/>
      <c r="AR2279" s="10"/>
      <c r="AS2279" s="10"/>
      <c r="AT2279" s="10"/>
      <c r="AU2279" s="10"/>
      <c r="AV2279" s="10"/>
      <c r="AW2279" s="10"/>
      <c r="AX2279" s="10"/>
      <c r="AY2279" s="10"/>
      <c r="AZ2279" s="10"/>
      <c r="BA2279" s="10"/>
      <c r="BB2279" s="10"/>
      <c r="BC2279" s="10"/>
      <c r="BD2279" s="10"/>
      <c r="BE2279" s="10"/>
      <c r="BF2279" s="10"/>
      <c r="BG2279" s="10"/>
      <c r="BH2279" s="10"/>
      <c r="BI2279" s="10"/>
      <c r="BJ2279" s="10"/>
      <c r="BK2279" s="10"/>
      <c r="BM2279" s="10"/>
    </row>
    <row r="2280" spans="1:65" ht="12.75">
      <c r="A2280" s="9"/>
      <c r="B2280" s="10"/>
      <c r="C2280" s="11"/>
      <c r="D2280" s="12"/>
      <c r="E2280" s="10"/>
      <c r="F2280" s="10"/>
      <c r="G2280" s="10"/>
      <c r="H2280" s="14"/>
      <c r="I2280" s="14"/>
      <c r="J2280" s="14"/>
      <c r="K2280" s="14"/>
      <c r="L2280" s="14"/>
      <c r="M2280" s="15"/>
      <c r="N2280" s="10"/>
      <c r="O2280" s="14"/>
      <c r="P2280" s="14"/>
      <c r="Q2280" s="14"/>
      <c r="R2280" s="14"/>
      <c r="S2280" s="14"/>
      <c r="T2280" s="14"/>
      <c r="U2280" s="14"/>
      <c r="V2280" s="14"/>
      <c r="W2280" s="14"/>
      <c r="X2280" s="14"/>
      <c r="Y2280" s="14"/>
      <c r="Z2280" s="14"/>
      <c r="AA2280" s="16"/>
      <c r="AB2280" s="10"/>
      <c r="AC2280" s="10"/>
      <c r="AD2280" s="10"/>
      <c r="AE2280" s="10"/>
      <c r="AF2280" s="10"/>
      <c r="AG2280" s="10"/>
      <c r="AH2280" s="10"/>
      <c r="AI2280" s="10"/>
      <c r="AJ2280" s="10"/>
      <c r="AK2280" s="10"/>
      <c r="AL2280" s="10"/>
      <c r="AM2280" s="10"/>
      <c r="AN2280" s="10"/>
      <c r="AO2280" s="10"/>
      <c r="AP2280" s="10"/>
      <c r="AQ2280" s="10"/>
      <c r="AR2280" s="10"/>
      <c r="AS2280" s="10"/>
      <c r="AT2280" s="10"/>
      <c r="AU2280" s="10"/>
      <c r="AV2280" s="10"/>
      <c r="AW2280" s="10"/>
      <c r="AX2280" s="10"/>
      <c r="AY2280" s="10"/>
      <c r="AZ2280" s="10"/>
      <c r="BA2280" s="10"/>
      <c r="BB2280" s="10"/>
      <c r="BC2280" s="10"/>
      <c r="BD2280" s="10"/>
      <c r="BE2280" s="10"/>
      <c r="BF2280" s="10"/>
      <c r="BG2280" s="10"/>
      <c r="BH2280" s="10"/>
      <c r="BI2280" s="10"/>
      <c r="BJ2280" s="10"/>
      <c r="BK2280" s="10"/>
      <c r="BM2280" s="10"/>
    </row>
    <row r="2281" spans="1:65" ht="12.75">
      <c r="A2281" s="9"/>
      <c r="B2281" s="10"/>
      <c r="C2281" s="11"/>
      <c r="D2281" s="12"/>
      <c r="E2281" s="10"/>
      <c r="F2281" s="10"/>
      <c r="G2281" s="10"/>
      <c r="H2281" s="14"/>
      <c r="I2281" s="14"/>
      <c r="J2281" s="14"/>
      <c r="K2281" s="14"/>
      <c r="L2281" s="14"/>
      <c r="M2281" s="15"/>
      <c r="N2281" s="10"/>
      <c r="O2281" s="14"/>
      <c r="P2281" s="14"/>
      <c r="Q2281" s="14"/>
      <c r="R2281" s="14"/>
      <c r="S2281" s="14"/>
      <c r="T2281" s="14"/>
      <c r="U2281" s="14"/>
      <c r="V2281" s="14"/>
      <c r="W2281" s="14"/>
      <c r="X2281" s="14"/>
      <c r="Y2281" s="14"/>
      <c r="Z2281" s="14"/>
      <c r="AA2281" s="16"/>
      <c r="AB2281" s="10"/>
      <c r="AC2281" s="10"/>
      <c r="AD2281" s="10"/>
      <c r="AE2281" s="10"/>
      <c r="AF2281" s="10"/>
      <c r="AG2281" s="10"/>
      <c r="AH2281" s="10"/>
      <c r="AI2281" s="10"/>
      <c r="AJ2281" s="10"/>
      <c r="AK2281" s="10"/>
      <c r="AL2281" s="10"/>
      <c r="AM2281" s="10"/>
      <c r="AN2281" s="10"/>
      <c r="AO2281" s="10"/>
      <c r="AP2281" s="10"/>
      <c r="AQ2281" s="10"/>
      <c r="AR2281" s="10"/>
      <c r="AS2281" s="10"/>
      <c r="AT2281" s="10"/>
      <c r="AU2281" s="10"/>
      <c r="AV2281" s="10"/>
      <c r="AW2281" s="10"/>
      <c r="AX2281" s="10"/>
      <c r="AY2281" s="10"/>
      <c r="AZ2281" s="10"/>
      <c r="BA2281" s="10"/>
      <c r="BB2281" s="10"/>
      <c r="BC2281" s="10"/>
      <c r="BD2281" s="10"/>
      <c r="BE2281" s="10"/>
      <c r="BF2281" s="10"/>
      <c r="BG2281" s="10"/>
      <c r="BH2281" s="10"/>
      <c r="BI2281" s="10"/>
      <c r="BJ2281" s="10"/>
      <c r="BK2281" s="10"/>
      <c r="BM2281" s="10"/>
    </row>
    <row r="2282" spans="1:65" ht="12.75">
      <c r="A2282" s="9"/>
      <c r="B2282" s="10"/>
      <c r="C2282" s="11"/>
      <c r="D2282" s="12"/>
      <c r="E2282" s="10"/>
      <c r="F2282" s="10"/>
      <c r="G2282" s="10"/>
      <c r="H2282" s="14"/>
      <c r="I2282" s="14"/>
      <c r="J2282" s="14"/>
      <c r="K2282" s="14"/>
      <c r="L2282" s="14"/>
      <c r="M2282" s="15"/>
      <c r="N2282" s="10"/>
      <c r="O2282" s="14"/>
      <c r="P2282" s="14"/>
      <c r="Q2282" s="14"/>
      <c r="R2282" s="14"/>
      <c r="S2282" s="14"/>
      <c r="T2282" s="14"/>
      <c r="U2282" s="14"/>
      <c r="V2282" s="14"/>
      <c r="W2282" s="14"/>
      <c r="X2282" s="14"/>
      <c r="Y2282" s="14"/>
      <c r="Z2282" s="14"/>
      <c r="AA2282" s="16"/>
      <c r="AB2282" s="10"/>
      <c r="AC2282" s="10"/>
      <c r="AD2282" s="10"/>
      <c r="AE2282" s="10"/>
      <c r="AF2282" s="10"/>
      <c r="AG2282" s="10"/>
      <c r="AH2282" s="10"/>
      <c r="AI2282" s="10"/>
      <c r="AJ2282" s="10"/>
      <c r="AK2282" s="10"/>
      <c r="AL2282" s="10"/>
      <c r="AM2282" s="10"/>
      <c r="AN2282" s="10"/>
      <c r="AO2282" s="10"/>
      <c r="AP2282" s="10"/>
      <c r="AQ2282" s="10"/>
      <c r="AR2282" s="10"/>
      <c r="AS2282" s="10"/>
      <c r="AT2282" s="10"/>
      <c r="AU2282" s="10"/>
      <c r="AV2282" s="10"/>
      <c r="AW2282" s="10"/>
      <c r="AX2282" s="10"/>
      <c r="AY2282" s="10"/>
      <c r="AZ2282" s="10"/>
      <c r="BA2282" s="10"/>
      <c r="BB2282" s="10"/>
      <c r="BC2282" s="10"/>
      <c r="BD2282" s="10"/>
      <c r="BE2282" s="10"/>
      <c r="BF2282" s="10"/>
      <c r="BG2282" s="10"/>
      <c r="BH2282" s="10"/>
      <c r="BI2282" s="10"/>
      <c r="BJ2282" s="10"/>
      <c r="BK2282" s="10"/>
      <c r="BM2282" s="10"/>
    </row>
    <row r="2283" spans="1:65" ht="12.75">
      <c r="A2283" s="9"/>
      <c r="B2283" s="10"/>
      <c r="C2283" s="11"/>
      <c r="D2283" s="12"/>
      <c r="E2283" s="10"/>
      <c r="F2283" s="10"/>
      <c r="G2283" s="10"/>
      <c r="H2283" s="14"/>
      <c r="I2283" s="14"/>
      <c r="J2283" s="14"/>
      <c r="K2283" s="14"/>
      <c r="L2283" s="14"/>
      <c r="M2283" s="15"/>
      <c r="N2283" s="10"/>
      <c r="O2283" s="14"/>
      <c r="P2283" s="14"/>
      <c r="Q2283" s="14"/>
      <c r="R2283" s="14"/>
      <c r="S2283" s="14"/>
      <c r="T2283" s="14"/>
      <c r="U2283" s="14"/>
      <c r="V2283" s="14"/>
      <c r="W2283" s="14"/>
      <c r="X2283" s="14"/>
      <c r="Y2283" s="14"/>
      <c r="Z2283" s="14"/>
      <c r="AA2283" s="16"/>
      <c r="AB2283" s="10"/>
      <c r="AC2283" s="10"/>
      <c r="AD2283" s="10"/>
      <c r="AE2283" s="10"/>
      <c r="AF2283" s="10"/>
      <c r="AG2283" s="10"/>
      <c r="AH2283" s="10"/>
      <c r="AI2283" s="10"/>
      <c r="AJ2283" s="10"/>
      <c r="AK2283" s="10"/>
      <c r="AL2283" s="10"/>
      <c r="AM2283" s="10"/>
      <c r="AN2283" s="10"/>
      <c r="AO2283" s="10"/>
      <c r="AP2283" s="10"/>
      <c r="AQ2283" s="10"/>
      <c r="AR2283" s="10"/>
      <c r="AS2283" s="10"/>
      <c r="AT2283" s="10"/>
      <c r="AU2283" s="10"/>
      <c r="AV2283" s="10"/>
      <c r="AW2283" s="10"/>
      <c r="AX2283" s="10"/>
      <c r="AY2283" s="10"/>
      <c r="AZ2283" s="10"/>
      <c r="BA2283" s="10"/>
      <c r="BB2283" s="10"/>
      <c r="BC2283" s="10"/>
      <c r="BD2283" s="10"/>
      <c r="BE2283" s="10"/>
      <c r="BF2283" s="10"/>
      <c r="BG2283" s="10"/>
      <c r="BH2283" s="10"/>
      <c r="BI2283" s="10"/>
      <c r="BJ2283" s="10"/>
      <c r="BK2283" s="10"/>
      <c r="BM2283" s="10"/>
    </row>
    <row r="2284" spans="1:65" ht="12.75">
      <c r="A2284" s="9"/>
      <c r="B2284" s="10"/>
      <c r="C2284" s="11"/>
      <c r="D2284" s="12"/>
      <c r="E2284" s="10"/>
      <c r="F2284" s="10"/>
      <c r="G2284" s="10"/>
      <c r="H2284" s="14"/>
      <c r="I2284" s="14"/>
      <c r="J2284" s="14"/>
      <c r="K2284" s="14"/>
      <c r="L2284" s="14"/>
      <c r="M2284" s="15"/>
      <c r="N2284" s="10"/>
      <c r="O2284" s="14"/>
      <c r="P2284" s="14"/>
      <c r="Q2284" s="14"/>
      <c r="R2284" s="14"/>
      <c r="S2284" s="14"/>
      <c r="T2284" s="14"/>
      <c r="U2284" s="14"/>
      <c r="V2284" s="14"/>
      <c r="W2284" s="14"/>
      <c r="X2284" s="14"/>
      <c r="Y2284" s="14"/>
      <c r="Z2284" s="14"/>
      <c r="AA2284" s="16"/>
      <c r="AB2284" s="10"/>
      <c r="AC2284" s="10"/>
      <c r="AD2284" s="10"/>
      <c r="AE2284" s="10"/>
      <c r="AF2284" s="10"/>
      <c r="AG2284" s="10"/>
      <c r="AH2284" s="10"/>
      <c r="AI2284" s="10"/>
      <c r="AJ2284" s="10"/>
      <c r="AK2284" s="10"/>
      <c r="AL2284" s="10"/>
      <c r="AM2284" s="10"/>
      <c r="AN2284" s="10"/>
      <c r="AO2284" s="10"/>
      <c r="AP2284" s="10"/>
      <c r="AQ2284" s="10"/>
      <c r="AR2284" s="10"/>
      <c r="AS2284" s="10"/>
      <c r="AT2284" s="10"/>
      <c r="AU2284" s="10"/>
      <c r="AV2284" s="10"/>
      <c r="AW2284" s="10"/>
      <c r="AX2284" s="10"/>
      <c r="AY2284" s="10"/>
      <c r="AZ2284" s="10"/>
      <c r="BA2284" s="10"/>
      <c r="BB2284" s="10"/>
      <c r="BC2284" s="10"/>
      <c r="BD2284" s="10"/>
      <c r="BE2284" s="10"/>
      <c r="BF2284" s="10"/>
      <c r="BG2284" s="10"/>
      <c r="BH2284" s="10"/>
      <c r="BI2284" s="10"/>
      <c r="BJ2284" s="10"/>
      <c r="BK2284" s="10"/>
      <c r="BM2284" s="10"/>
    </row>
    <row r="2285" spans="1:65" ht="12.75">
      <c r="A2285" s="9"/>
      <c r="B2285" s="10"/>
      <c r="C2285" s="11"/>
      <c r="D2285" s="12"/>
      <c r="E2285" s="10"/>
      <c r="F2285" s="10"/>
      <c r="G2285" s="10"/>
      <c r="H2285" s="14"/>
      <c r="I2285" s="14"/>
      <c r="J2285" s="14"/>
      <c r="K2285" s="14"/>
      <c r="L2285" s="14"/>
      <c r="M2285" s="15"/>
      <c r="N2285" s="10"/>
      <c r="O2285" s="14"/>
      <c r="P2285" s="14"/>
      <c r="Q2285" s="14"/>
      <c r="R2285" s="14"/>
      <c r="S2285" s="14"/>
      <c r="T2285" s="14"/>
      <c r="U2285" s="14"/>
      <c r="V2285" s="14"/>
      <c r="W2285" s="14"/>
      <c r="X2285" s="14"/>
      <c r="Y2285" s="14"/>
      <c r="Z2285" s="14"/>
      <c r="AA2285" s="16"/>
      <c r="AB2285" s="10"/>
      <c r="AC2285" s="10"/>
      <c r="AD2285" s="10"/>
      <c r="AE2285" s="10"/>
      <c r="AF2285" s="10"/>
      <c r="AG2285" s="10"/>
      <c r="AH2285" s="10"/>
      <c r="AI2285" s="10"/>
      <c r="AJ2285" s="10"/>
      <c r="AK2285" s="10"/>
      <c r="AL2285" s="10"/>
      <c r="AM2285" s="10"/>
      <c r="AN2285" s="10"/>
      <c r="AO2285" s="10"/>
      <c r="AP2285" s="10"/>
      <c r="AQ2285" s="10"/>
      <c r="AR2285" s="10"/>
      <c r="AS2285" s="10"/>
      <c r="AT2285" s="10"/>
      <c r="AU2285" s="10"/>
      <c r="AV2285" s="10"/>
      <c r="AW2285" s="10"/>
      <c r="AX2285" s="10"/>
      <c r="AY2285" s="10"/>
      <c r="AZ2285" s="10"/>
      <c r="BA2285" s="10"/>
      <c r="BB2285" s="10"/>
      <c r="BC2285" s="10"/>
      <c r="BD2285" s="10"/>
      <c r="BE2285" s="10"/>
      <c r="BF2285" s="10"/>
      <c r="BG2285" s="10"/>
      <c r="BH2285" s="10"/>
      <c r="BI2285" s="10"/>
      <c r="BJ2285" s="10"/>
      <c r="BK2285" s="10"/>
      <c r="BM2285" s="10"/>
    </row>
    <row r="2286" spans="1:65" ht="12.75">
      <c r="A2286" s="9"/>
      <c r="B2286" s="10"/>
      <c r="C2286" s="11"/>
      <c r="D2286" s="12"/>
      <c r="E2286" s="10"/>
      <c r="F2286" s="10"/>
      <c r="G2286" s="10"/>
      <c r="H2286" s="14"/>
      <c r="I2286" s="14"/>
      <c r="J2286" s="14"/>
      <c r="K2286" s="14"/>
      <c r="L2286" s="14"/>
      <c r="M2286" s="15"/>
      <c r="N2286" s="10"/>
      <c r="O2286" s="14"/>
      <c r="P2286" s="14"/>
      <c r="Q2286" s="14"/>
      <c r="R2286" s="14"/>
      <c r="S2286" s="14"/>
      <c r="T2286" s="14"/>
      <c r="U2286" s="14"/>
      <c r="V2286" s="14"/>
      <c r="W2286" s="14"/>
      <c r="X2286" s="14"/>
      <c r="Y2286" s="14"/>
      <c r="Z2286" s="14"/>
      <c r="AA2286" s="16"/>
      <c r="AB2286" s="10"/>
      <c r="AC2286" s="10"/>
      <c r="AD2286" s="10"/>
      <c r="AE2286" s="10"/>
      <c r="AF2286" s="10"/>
      <c r="AG2286" s="10"/>
      <c r="AH2286" s="10"/>
      <c r="AI2286" s="10"/>
      <c r="AJ2286" s="10"/>
      <c r="AK2286" s="10"/>
      <c r="AL2286" s="10"/>
      <c r="AM2286" s="10"/>
      <c r="AN2286" s="10"/>
      <c r="AO2286" s="10"/>
      <c r="AP2286" s="10"/>
      <c r="AQ2286" s="10"/>
      <c r="AR2286" s="10"/>
      <c r="AS2286" s="10"/>
      <c r="AT2286" s="10"/>
      <c r="AU2286" s="10"/>
      <c r="AV2286" s="10"/>
      <c r="AW2286" s="10"/>
      <c r="AX2286" s="10"/>
      <c r="AY2286" s="10"/>
      <c r="AZ2286" s="10"/>
      <c r="BA2286" s="10"/>
      <c r="BB2286" s="10"/>
      <c r="BC2286" s="10"/>
      <c r="BD2286" s="10"/>
      <c r="BE2286" s="10"/>
      <c r="BF2286" s="10"/>
      <c r="BG2286" s="10"/>
      <c r="BH2286" s="10"/>
      <c r="BI2286" s="10"/>
      <c r="BJ2286" s="10"/>
      <c r="BK2286" s="10"/>
      <c r="BM2286" s="10"/>
    </row>
    <row r="2287" spans="1:65" ht="12.75">
      <c r="A2287" s="9"/>
      <c r="B2287" s="10"/>
      <c r="C2287" s="11"/>
      <c r="D2287" s="12"/>
      <c r="E2287" s="10"/>
      <c r="F2287" s="10"/>
      <c r="G2287" s="10"/>
      <c r="H2287" s="14"/>
      <c r="I2287" s="14"/>
      <c r="J2287" s="14"/>
      <c r="K2287" s="14"/>
      <c r="L2287" s="14"/>
      <c r="M2287" s="15"/>
      <c r="N2287" s="10"/>
      <c r="O2287" s="14"/>
      <c r="P2287" s="14"/>
      <c r="Q2287" s="14"/>
      <c r="R2287" s="14"/>
      <c r="S2287" s="14"/>
      <c r="T2287" s="14"/>
      <c r="U2287" s="14"/>
      <c r="V2287" s="14"/>
      <c r="W2287" s="14"/>
      <c r="X2287" s="14"/>
      <c r="Y2287" s="14"/>
      <c r="Z2287" s="14"/>
      <c r="AA2287" s="16"/>
      <c r="AB2287" s="10"/>
      <c r="AC2287" s="10"/>
      <c r="AD2287" s="10"/>
      <c r="AE2287" s="10"/>
      <c r="AF2287" s="10"/>
      <c r="AG2287" s="10"/>
      <c r="AH2287" s="10"/>
      <c r="AI2287" s="10"/>
      <c r="AJ2287" s="10"/>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c r="BI2287" s="10"/>
      <c r="BJ2287" s="10"/>
      <c r="BK2287" s="10"/>
      <c r="BM2287" s="10"/>
    </row>
    <row r="2288" spans="1:65" ht="12.75">
      <c r="A2288" s="9"/>
      <c r="B2288" s="10"/>
      <c r="C2288" s="11"/>
      <c r="D2288" s="12"/>
      <c r="E2288" s="10"/>
      <c r="F2288" s="10"/>
      <c r="G2288" s="10"/>
      <c r="H2288" s="14"/>
      <c r="I2288" s="14"/>
      <c r="J2288" s="14"/>
      <c r="K2288" s="14"/>
      <c r="L2288" s="14"/>
      <c r="M2288" s="15"/>
      <c r="N2288" s="10"/>
      <c r="O2288" s="14"/>
      <c r="P2288" s="14"/>
      <c r="Q2288" s="14"/>
      <c r="R2288" s="14"/>
      <c r="S2288" s="14"/>
      <c r="T2288" s="14"/>
      <c r="U2288" s="14"/>
      <c r="V2288" s="14"/>
      <c r="W2288" s="14"/>
      <c r="X2288" s="14"/>
      <c r="Y2288" s="14"/>
      <c r="Z2288" s="14"/>
      <c r="AA2288" s="16"/>
      <c r="AB2288" s="10"/>
      <c r="AC2288" s="10"/>
      <c r="AD2288" s="10"/>
      <c r="AE2288" s="10"/>
      <c r="AF2288" s="10"/>
      <c r="AG2288" s="10"/>
      <c r="AH2288" s="10"/>
      <c r="AI2288" s="10"/>
      <c r="AJ2288" s="10"/>
      <c r="AK2288" s="10"/>
      <c r="AL2288" s="10"/>
      <c r="AM2288" s="10"/>
      <c r="AN2288" s="10"/>
      <c r="AO2288" s="10"/>
      <c r="AP2288" s="10"/>
      <c r="AQ2288" s="10"/>
      <c r="AR2288" s="10"/>
      <c r="AS2288" s="10"/>
      <c r="AT2288" s="10"/>
      <c r="AU2288" s="10"/>
      <c r="AV2288" s="10"/>
      <c r="AW2288" s="10"/>
      <c r="AX2288" s="10"/>
      <c r="AY2288" s="10"/>
      <c r="AZ2288" s="10"/>
      <c r="BA2288" s="10"/>
      <c r="BB2288" s="10"/>
      <c r="BC2288" s="10"/>
      <c r="BD2288" s="10"/>
      <c r="BE2288" s="10"/>
      <c r="BF2288" s="10"/>
      <c r="BG2288" s="10"/>
      <c r="BH2288" s="10"/>
      <c r="BI2288" s="10"/>
      <c r="BJ2288" s="10"/>
      <c r="BK2288" s="10"/>
      <c r="BM2288" s="10"/>
    </row>
    <row r="2289" spans="1:65" ht="12.75">
      <c r="A2289" s="9"/>
      <c r="B2289" s="10"/>
      <c r="C2289" s="11"/>
      <c r="D2289" s="12"/>
      <c r="E2289" s="10"/>
      <c r="F2289" s="10"/>
      <c r="G2289" s="10"/>
      <c r="H2289" s="14"/>
      <c r="I2289" s="14"/>
      <c r="J2289" s="14"/>
      <c r="K2289" s="14"/>
      <c r="L2289" s="14"/>
      <c r="M2289" s="15"/>
      <c r="N2289" s="10"/>
      <c r="O2289" s="14"/>
      <c r="P2289" s="14"/>
      <c r="Q2289" s="14"/>
      <c r="R2289" s="14"/>
      <c r="S2289" s="14"/>
      <c r="T2289" s="14"/>
      <c r="U2289" s="14"/>
      <c r="V2289" s="14"/>
      <c r="W2289" s="14"/>
      <c r="X2289" s="14"/>
      <c r="Y2289" s="14"/>
      <c r="Z2289" s="14"/>
      <c r="AA2289" s="16"/>
      <c r="AB2289" s="10"/>
      <c r="AC2289" s="10"/>
      <c r="AD2289" s="10"/>
      <c r="AE2289" s="10"/>
      <c r="AF2289" s="10"/>
      <c r="AG2289" s="10"/>
      <c r="AH2289" s="10"/>
      <c r="AI2289" s="10"/>
      <c r="AJ2289" s="10"/>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10"/>
      <c r="BJ2289" s="10"/>
      <c r="BK2289" s="10"/>
      <c r="BM2289" s="10"/>
    </row>
    <row r="2290" spans="1:65" ht="12.75">
      <c r="A2290" s="9"/>
      <c r="B2290" s="10"/>
      <c r="C2290" s="11"/>
      <c r="D2290" s="12"/>
      <c r="E2290" s="10"/>
      <c r="F2290" s="10"/>
      <c r="G2290" s="10"/>
      <c r="H2290" s="14"/>
      <c r="I2290" s="14"/>
      <c r="J2290" s="14"/>
      <c r="K2290" s="14"/>
      <c r="L2290" s="14"/>
      <c r="M2290" s="15"/>
      <c r="N2290" s="10"/>
      <c r="O2290" s="14"/>
      <c r="P2290" s="14"/>
      <c r="Q2290" s="14"/>
      <c r="R2290" s="14"/>
      <c r="S2290" s="14"/>
      <c r="T2290" s="14"/>
      <c r="U2290" s="14"/>
      <c r="V2290" s="14"/>
      <c r="W2290" s="14"/>
      <c r="X2290" s="14"/>
      <c r="Y2290" s="14"/>
      <c r="Z2290" s="14"/>
      <c r="AA2290" s="16"/>
      <c r="AB2290" s="10"/>
      <c r="AC2290" s="10"/>
      <c r="AD2290" s="10"/>
      <c r="AE2290" s="10"/>
      <c r="AF2290" s="10"/>
      <c r="AG2290" s="10"/>
      <c r="AH2290" s="10"/>
      <c r="AI2290" s="10"/>
      <c r="AJ2290" s="10"/>
      <c r="AK2290" s="10"/>
      <c r="AL2290" s="10"/>
      <c r="AM2290" s="10"/>
      <c r="AN2290" s="10"/>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10"/>
      <c r="BK2290" s="10"/>
      <c r="BM2290" s="10"/>
    </row>
    <row r="2291" spans="1:65" ht="12.75">
      <c r="A2291" s="9"/>
      <c r="B2291" s="10"/>
      <c r="C2291" s="11"/>
      <c r="D2291" s="12"/>
      <c r="E2291" s="10"/>
      <c r="F2291" s="10"/>
      <c r="G2291" s="10"/>
      <c r="H2291" s="14"/>
      <c r="I2291" s="14"/>
      <c r="J2291" s="14"/>
      <c r="K2291" s="14"/>
      <c r="L2291" s="14"/>
      <c r="M2291" s="15"/>
      <c r="N2291" s="10"/>
      <c r="O2291" s="14"/>
      <c r="P2291" s="14"/>
      <c r="Q2291" s="14"/>
      <c r="R2291" s="14"/>
      <c r="S2291" s="14"/>
      <c r="T2291" s="14"/>
      <c r="U2291" s="14"/>
      <c r="V2291" s="14"/>
      <c r="W2291" s="14"/>
      <c r="X2291" s="14"/>
      <c r="Y2291" s="14"/>
      <c r="Z2291" s="14"/>
      <c r="AA2291" s="16"/>
      <c r="AB2291" s="10"/>
      <c r="AC2291" s="10"/>
      <c r="AD2291" s="10"/>
      <c r="AE2291" s="10"/>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10"/>
      <c r="BK2291" s="10"/>
      <c r="BM2291" s="10"/>
    </row>
    <row r="2292" spans="1:65" ht="12.75">
      <c r="A2292" s="9"/>
      <c r="B2292" s="10"/>
      <c r="C2292" s="11"/>
      <c r="D2292" s="12"/>
      <c r="E2292" s="10"/>
      <c r="F2292" s="10"/>
      <c r="G2292" s="10"/>
      <c r="H2292" s="14"/>
      <c r="I2292" s="14"/>
      <c r="J2292" s="14"/>
      <c r="K2292" s="14"/>
      <c r="L2292" s="14"/>
      <c r="M2292" s="15"/>
      <c r="N2292" s="10"/>
      <c r="O2292" s="14"/>
      <c r="P2292" s="14"/>
      <c r="Q2292" s="14"/>
      <c r="R2292" s="14"/>
      <c r="S2292" s="14"/>
      <c r="T2292" s="14"/>
      <c r="U2292" s="14"/>
      <c r="V2292" s="14"/>
      <c r="W2292" s="14"/>
      <c r="X2292" s="14"/>
      <c r="Y2292" s="14"/>
      <c r="Z2292" s="14"/>
      <c r="AA2292" s="16"/>
      <c r="AB2292" s="10"/>
      <c r="AC2292" s="10"/>
      <c r="AD2292" s="10"/>
      <c r="AE2292" s="10"/>
      <c r="AF2292" s="10"/>
      <c r="AG2292" s="10"/>
      <c r="AH2292" s="10"/>
      <c r="AI2292" s="10"/>
      <c r="AJ2292" s="10"/>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10"/>
      <c r="BK2292" s="10"/>
      <c r="BM2292" s="10"/>
    </row>
    <row r="2293" spans="1:65" ht="12.75">
      <c r="A2293" s="9"/>
      <c r="B2293" s="10"/>
      <c r="C2293" s="11"/>
      <c r="D2293" s="12"/>
      <c r="E2293" s="10"/>
      <c r="F2293" s="10"/>
      <c r="G2293" s="10"/>
      <c r="H2293" s="14"/>
      <c r="I2293" s="14"/>
      <c r="J2293" s="14"/>
      <c r="K2293" s="14"/>
      <c r="L2293" s="14"/>
      <c r="M2293" s="15"/>
      <c r="N2293" s="10"/>
      <c r="O2293" s="14"/>
      <c r="P2293" s="14"/>
      <c r="Q2293" s="14"/>
      <c r="R2293" s="14"/>
      <c r="S2293" s="14"/>
      <c r="T2293" s="14"/>
      <c r="U2293" s="14"/>
      <c r="V2293" s="14"/>
      <c r="W2293" s="14"/>
      <c r="X2293" s="14"/>
      <c r="Y2293" s="14"/>
      <c r="Z2293" s="14"/>
      <c r="AA2293" s="16"/>
      <c r="AB2293" s="10"/>
      <c r="AC2293" s="10"/>
      <c r="AD2293" s="10"/>
      <c r="AE2293" s="10"/>
      <c r="AF2293" s="10"/>
      <c r="AG2293" s="10"/>
      <c r="AH2293" s="10"/>
      <c r="AI2293" s="10"/>
      <c r="AJ2293" s="10"/>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c r="BJ2293" s="10"/>
      <c r="BK2293" s="10"/>
      <c r="BM2293" s="10"/>
    </row>
    <row r="2294" spans="1:65" ht="12.75">
      <c r="A2294" s="9"/>
      <c r="B2294" s="10"/>
      <c r="C2294" s="11"/>
      <c r="D2294" s="12"/>
      <c r="E2294" s="10"/>
      <c r="F2294" s="10"/>
      <c r="G2294" s="10"/>
      <c r="H2294" s="14"/>
      <c r="I2294" s="14"/>
      <c r="J2294" s="14"/>
      <c r="K2294" s="14"/>
      <c r="L2294" s="14"/>
      <c r="M2294" s="15"/>
      <c r="N2294" s="10"/>
      <c r="O2294" s="14"/>
      <c r="P2294" s="14"/>
      <c r="Q2294" s="14"/>
      <c r="R2294" s="14"/>
      <c r="S2294" s="14"/>
      <c r="T2294" s="14"/>
      <c r="U2294" s="14"/>
      <c r="V2294" s="14"/>
      <c r="W2294" s="14"/>
      <c r="X2294" s="14"/>
      <c r="Y2294" s="14"/>
      <c r="Z2294" s="14"/>
      <c r="AA2294" s="16"/>
      <c r="AB2294" s="10"/>
      <c r="AC2294" s="10"/>
      <c r="AD2294" s="10"/>
      <c r="AE2294" s="10"/>
      <c r="AF2294" s="10"/>
      <c r="AG2294" s="10"/>
      <c r="AH2294" s="10"/>
      <c r="AI2294" s="10"/>
      <c r="AJ2294" s="10"/>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10"/>
      <c r="BK2294" s="10"/>
      <c r="BM2294" s="10"/>
    </row>
    <row r="2295" spans="1:65" ht="12.75">
      <c r="A2295" s="9"/>
      <c r="B2295" s="10"/>
      <c r="C2295" s="11"/>
      <c r="D2295" s="12"/>
      <c r="E2295" s="10"/>
      <c r="F2295" s="10"/>
      <c r="G2295" s="10"/>
      <c r="H2295" s="14"/>
      <c r="I2295" s="14"/>
      <c r="J2295" s="14"/>
      <c r="K2295" s="14"/>
      <c r="L2295" s="14"/>
      <c r="M2295" s="15"/>
      <c r="N2295" s="10"/>
      <c r="O2295" s="14"/>
      <c r="P2295" s="14"/>
      <c r="Q2295" s="14"/>
      <c r="R2295" s="14"/>
      <c r="S2295" s="14"/>
      <c r="T2295" s="14"/>
      <c r="U2295" s="14"/>
      <c r="V2295" s="14"/>
      <c r="W2295" s="14"/>
      <c r="X2295" s="14"/>
      <c r="Y2295" s="14"/>
      <c r="Z2295" s="14"/>
      <c r="AA2295" s="16"/>
      <c r="AB2295" s="10"/>
      <c r="AC2295" s="10"/>
      <c r="AD2295" s="10"/>
      <c r="AE2295" s="10"/>
      <c r="AF2295" s="10"/>
      <c r="AG2295" s="10"/>
      <c r="AH2295" s="10"/>
      <c r="AI2295" s="10"/>
      <c r="AJ2295" s="10"/>
      <c r="AK2295" s="10"/>
      <c r="AL2295" s="10"/>
      <c r="AM2295" s="10"/>
      <c r="AN2295" s="10"/>
      <c r="AO2295" s="10"/>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10"/>
      <c r="BK2295" s="10"/>
      <c r="BM2295" s="10"/>
    </row>
    <row r="2296" spans="1:65" ht="12.75">
      <c r="A2296" s="9"/>
      <c r="B2296" s="10"/>
      <c r="C2296" s="11"/>
      <c r="D2296" s="12"/>
      <c r="E2296" s="10"/>
      <c r="F2296" s="10"/>
      <c r="G2296" s="10"/>
      <c r="H2296" s="14"/>
      <c r="I2296" s="14"/>
      <c r="J2296" s="14"/>
      <c r="K2296" s="14"/>
      <c r="L2296" s="14"/>
      <c r="M2296" s="15"/>
      <c r="N2296" s="10"/>
      <c r="O2296" s="14"/>
      <c r="P2296" s="14"/>
      <c r="Q2296" s="14"/>
      <c r="R2296" s="14"/>
      <c r="S2296" s="14"/>
      <c r="T2296" s="14"/>
      <c r="U2296" s="14"/>
      <c r="V2296" s="14"/>
      <c r="W2296" s="14"/>
      <c r="X2296" s="14"/>
      <c r="Y2296" s="14"/>
      <c r="Z2296" s="14"/>
      <c r="AA2296" s="16"/>
      <c r="AB2296" s="10"/>
      <c r="AC2296" s="10"/>
      <c r="AD2296" s="10"/>
      <c r="AE2296" s="10"/>
      <c r="AF2296" s="10"/>
      <c r="AG2296" s="10"/>
      <c r="AH2296" s="10"/>
      <c r="AI2296" s="10"/>
      <c r="AJ2296" s="10"/>
      <c r="AK2296" s="10"/>
      <c r="AL2296" s="10"/>
      <c r="AM2296" s="10"/>
      <c r="AN2296" s="10"/>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10"/>
      <c r="BJ2296" s="10"/>
      <c r="BK2296" s="10"/>
      <c r="BM2296" s="10"/>
    </row>
    <row r="2297" spans="1:65" ht="12.75">
      <c r="A2297" s="9"/>
      <c r="B2297" s="10"/>
      <c r="C2297" s="11"/>
      <c r="D2297" s="12"/>
      <c r="E2297" s="10"/>
      <c r="F2297" s="10"/>
      <c r="G2297" s="10"/>
      <c r="H2297" s="14"/>
      <c r="I2297" s="14"/>
      <c r="J2297" s="14"/>
      <c r="K2297" s="14"/>
      <c r="L2297" s="14"/>
      <c r="M2297" s="15"/>
      <c r="N2297" s="10"/>
      <c r="O2297" s="14"/>
      <c r="P2297" s="14"/>
      <c r="Q2297" s="14"/>
      <c r="R2297" s="14"/>
      <c r="S2297" s="14"/>
      <c r="T2297" s="14"/>
      <c r="U2297" s="14"/>
      <c r="V2297" s="14"/>
      <c r="W2297" s="14"/>
      <c r="X2297" s="14"/>
      <c r="Y2297" s="14"/>
      <c r="Z2297" s="14"/>
      <c r="AA2297" s="16"/>
      <c r="AB2297" s="10"/>
      <c r="AC2297" s="10"/>
      <c r="AD2297" s="10"/>
      <c r="AE2297" s="10"/>
      <c r="AF2297" s="10"/>
      <c r="AG2297" s="10"/>
      <c r="AH2297" s="10"/>
      <c r="AI2297" s="10"/>
      <c r="AJ2297" s="10"/>
      <c r="AK2297" s="10"/>
      <c r="AL2297" s="10"/>
      <c r="AM2297" s="10"/>
      <c r="AN2297" s="10"/>
      <c r="AO2297" s="10"/>
      <c r="AP2297" s="10"/>
      <c r="AQ2297" s="10"/>
      <c r="AR2297" s="10"/>
      <c r="AS2297" s="10"/>
      <c r="AT2297" s="10"/>
      <c r="AU2297" s="10"/>
      <c r="AV2297" s="10"/>
      <c r="AW2297" s="10"/>
      <c r="AX2297" s="10"/>
      <c r="AY2297" s="10"/>
      <c r="AZ2297" s="10"/>
      <c r="BA2297" s="10"/>
      <c r="BB2297" s="10"/>
      <c r="BC2297" s="10"/>
      <c r="BD2297" s="10"/>
      <c r="BE2297" s="10"/>
      <c r="BF2297" s="10"/>
      <c r="BG2297" s="10"/>
      <c r="BH2297" s="10"/>
      <c r="BI2297" s="10"/>
      <c r="BJ2297" s="10"/>
      <c r="BK2297" s="10"/>
      <c r="BM2297" s="10"/>
    </row>
    <row r="2298" spans="1:65" ht="12.75">
      <c r="A2298" s="9"/>
      <c r="B2298" s="10"/>
      <c r="C2298" s="11"/>
      <c r="D2298" s="12"/>
      <c r="E2298" s="10"/>
      <c r="F2298" s="10"/>
      <c r="G2298" s="10"/>
      <c r="H2298" s="14"/>
      <c r="I2298" s="14"/>
      <c r="J2298" s="14"/>
      <c r="K2298" s="14"/>
      <c r="L2298" s="14"/>
      <c r="M2298" s="15"/>
      <c r="N2298" s="10"/>
      <c r="O2298" s="14"/>
      <c r="P2298" s="14"/>
      <c r="Q2298" s="14"/>
      <c r="R2298" s="14"/>
      <c r="S2298" s="14"/>
      <c r="T2298" s="14"/>
      <c r="U2298" s="14"/>
      <c r="V2298" s="14"/>
      <c r="W2298" s="14"/>
      <c r="X2298" s="14"/>
      <c r="Y2298" s="14"/>
      <c r="Z2298" s="14"/>
      <c r="AA2298" s="16"/>
      <c r="AB2298" s="10"/>
      <c r="AC2298" s="10"/>
      <c r="AD2298" s="10"/>
      <c r="AE2298" s="10"/>
      <c r="AF2298" s="10"/>
      <c r="AG2298" s="10"/>
      <c r="AH2298" s="10"/>
      <c r="AI2298" s="10"/>
      <c r="AJ2298" s="10"/>
      <c r="AK2298" s="10"/>
      <c r="AL2298" s="10"/>
      <c r="AM2298" s="10"/>
      <c r="AN2298" s="10"/>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10"/>
      <c r="BK2298" s="10"/>
      <c r="BM2298" s="10"/>
    </row>
    <row r="2299" spans="1:65" ht="12.75">
      <c r="A2299" s="9"/>
      <c r="B2299" s="10"/>
      <c r="C2299" s="11"/>
      <c r="D2299" s="12"/>
      <c r="E2299" s="10"/>
      <c r="F2299" s="10"/>
      <c r="G2299" s="10"/>
      <c r="H2299" s="14"/>
      <c r="I2299" s="14"/>
      <c r="J2299" s="14"/>
      <c r="K2299" s="14"/>
      <c r="L2299" s="14"/>
      <c r="M2299" s="15"/>
      <c r="N2299" s="10"/>
      <c r="O2299" s="14"/>
      <c r="P2299" s="14"/>
      <c r="Q2299" s="14"/>
      <c r="R2299" s="14"/>
      <c r="S2299" s="14"/>
      <c r="T2299" s="14"/>
      <c r="U2299" s="14"/>
      <c r="V2299" s="14"/>
      <c r="W2299" s="14"/>
      <c r="X2299" s="14"/>
      <c r="Y2299" s="14"/>
      <c r="Z2299" s="14"/>
      <c r="AA2299" s="16"/>
      <c r="AB2299" s="10"/>
      <c r="AC2299" s="10"/>
      <c r="AD2299" s="10"/>
      <c r="AE2299" s="10"/>
      <c r="AF2299" s="10"/>
      <c r="AG2299" s="10"/>
      <c r="AH2299" s="10"/>
      <c r="AI2299" s="10"/>
      <c r="AJ2299" s="10"/>
      <c r="AK2299" s="10"/>
      <c r="AL2299" s="10"/>
      <c r="AM2299" s="10"/>
      <c r="AN2299" s="10"/>
      <c r="AO2299" s="10"/>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10"/>
      <c r="BK2299" s="10"/>
      <c r="BM2299" s="10"/>
    </row>
    <row r="2300" spans="1:65" ht="12.75">
      <c r="A2300" s="9"/>
      <c r="B2300" s="10"/>
      <c r="C2300" s="11"/>
      <c r="D2300" s="12"/>
      <c r="E2300" s="10"/>
      <c r="F2300" s="10"/>
      <c r="G2300" s="10"/>
      <c r="H2300" s="14"/>
      <c r="I2300" s="14"/>
      <c r="J2300" s="14"/>
      <c r="K2300" s="14"/>
      <c r="L2300" s="14"/>
      <c r="M2300" s="15"/>
      <c r="N2300" s="10"/>
      <c r="O2300" s="14"/>
      <c r="P2300" s="14"/>
      <c r="Q2300" s="14"/>
      <c r="R2300" s="14"/>
      <c r="S2300" s="14"/>
      <c r="T2300" s="14"/>
      <c r="U2300" s="14"/>
      <c r="V2300" s="14"/>
      <c r="W2300" s="14"/>
      <c r="X2300" s="14"/>
      <c r="Y2300" s="14"/>
      <c r="Z2300" s="14"/>
      <c r="AA2300" s="16"/>
      <c r="AB2300" s="10"/>
      <c r="AC2300" s="10"/>
      <c r="AD2300" s="10"/>
      <c r="AE2300" s="10"/>
      <c r="AF2300" s="10"/>
      <c r="AG2300" s="10"/>
      <c r="AH2300" s="10"/>
      <c r="AI2300" s="10"/>
      <c r="AJ2300" s="10"/>
      <c r="AK2300" s="10"/>
      <c r="AL2300" s="10"/>
      <c r="AM2300" s="10"/>
      <c r="AN2300" s="10"/>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10"/>
      <c r="BK2300" s="10"/>
      <c r="BM2300" s="10"/>
    </row>
    <row r="2301" spans="1:65" ht="12.75">
      <c r="A2301" s="9"/>
      <c r="B2301" s="10"/>
      <c r="C2301" s="11"/>
      <c r="D2301" s="12"/>
      <c r="E2301" s="10"/>
      <c r="F2301" s="10"/>
      <c r="G2301" s="10"/>
      <c r="H2301" s="14"/>
      <c r="I2301" s="14"/>
      <c r="J2301" s="14"/>
      <c r="K2301" s="14"/>
      <c r="L2301" s="14"/>
      <c r="M2301" s="15"/>
      <c r="N2301" s="10"/>
      <c r="O2301" s="14"/>
      <c r="P2301" s="14"/>
      <c r="Q2301" s="14"/>
      <c r="R2301" s="14"/>
      <c r="S2301" s="14"/>
      <c r="T2301" s="14"/>
      <c r="U2301" s="14"/>
      <c r="V2301" s="14"/>
      <c r="W2301" s="14"/>
      <c r="X2301" s="14"/>
      <c r="Y2301" s="14"/>
      <c r="Z2301" s="14"/>
      <c r="AA2301" s="16"/>
      <c r="AB2301" s="10"/>
      <c r="AC2301" s="10"/>
      <c r="AD2301" s="10"/>
      <c r="AE2301" s="10"/>
      <c r="AF2301" s="10"/>
      <c r="AG2301" s="10"/>
      <c r="AH2301" s="10"/>
      <c r="AI2301" s="10"/>
      <c r="AJ2301" s="10"/>
      <c r="AK2301" s="10"/>
      <c r="AL2301" s="10"/>
      <c r="AM2301" s="10"/>
      <c r="AN2301" s="10"/>
      <c r="AO2301" s="10"/>
      <c r="AP2301" s="10"/>
      <c r="AQ2301" s="10"/>
      <c r="AR2301" s="10"/>
      <c r="AS2301" s="10"/>
      <c r="AT2301" s="10"/>
      <c r="AU2301" s="10"/>
      <c r="AV2301" s="10"/>
      <c r="AW2301" s="10"/>
      <c r="AX2301" s="10"/>
      <c r="AY2301" s="10"/>
      <c r="AZ2301" s="10"/>
      <c r="BA2301" s="10"/>
      <c r="BB2301" s="10"/>
      <c r="BC2301" s="10"/>
      <c r="BD2301" s="10"/>
      <c r="BE2301" s="10"/>
      <c r="BF2301" s="10"/>
      <c r="BG2301" s="10"/>
      <c r="BH2301" s="10"/>
      <c r="BI2301" s="10"/>
      <c r="BJ2301" s="10"/>
      <c r="BK2301" s="10"/>
      <c r="BM2301" s="10"/>
    </row>
    <row r="2302" spans="1:65" ht="12.75">
      <c r="A2302" s="9"/>
      <c r="B2302" s="10"/>
      <c r="C2302" s="11"/>
      <c r="D2302" s="12"/>
      <c r="E2302" s="10"/>
      <c r="F2302" s="10"/>
      <c r="G2302" s="10"/>
      <c r="H2302" s="14"/>
      <c r="I2302" s="14"/>
      <c r="J2302" s="14"/>
      <c r="K2302" s="14"/>
      <c r="L2302" s="14"/>
      <c r="M2302" s="15"/>
      <c r="N2302" s="10"/>
      <c r="O2302" s="14"/>
      <c r="P2302" s="14"/>
      <c r="Q2302" s="14"/>
      <c r="R2302" s="14"/>
      <c r="S2302" s="14"/>
      <c r="T2302" s="14"/>
      <c r="U2302" s="14"/>
      <c r="V2302" s="14"/>
      <c r="W2302" s="14"/>
      <c r="X2302" s="14"/>
      <c r="Y2302" s="14"/>
      <c r="Z2302" s="14"/>
      <c r="AA2302" s="16"/>
      <c r="AB2302" s="10"/>
      <c r="AC2302" s="10"/>
      <c r="AD2302" s="10"/>
      <c r="AE2302" s="10"/>
      <c r="AF2302" s="10"/>
      <c r="AG2302" s="10"/>
      <c r="AH2302" s="10"/>
      <c r="AI2302" s="10"/>
      <c r="AJ2302" s="10"/>
      <c r="AK2302" s="10"/>
      <c r="AL2302" s="10"/>
      <c r="AM2302" s="10"/>
      <c r="AN2302" s="10"/>
      <c r="AO2302" s="10"/>
      <c r="AP2302" s="10"/>
      <c r="AQ2302" s="10"/>
      <c r="AR2302" s="10"/>
      <c r="AS2302" s="10"/>
      <c r="AT2302" s="10"/>
      <c r="AU2302" s="10"/>
      <c r="AV2302" s="10"/>
      <c r="AW2302" s="10"/>
      <c r="AX2302" s="10"/>
      <c r="AY2302" s="10"/>
      <c r="AZ2302" s="10"/>
      <c r="BA2302" s="10"/>
      <c r="BB2302" s="10"/>
      <c r="BC2302" s="10"/>
      <c r="BD2302" s="10"/>
      <c r="BE2302" s="10"/>
      <c r="BF2302" s="10"/>
      <c r="BG2302" s="10"/>
      <c r="BH2302" s="10"/>
      <c r="BI2302" s="10"/>
      <c r="BJ2302" s="10"/>
      <c r="BK2302" s="10"/>
      <c r="BM2302" s="10"/>
    </row>
    <row r="2303" spans="1:65" ht="12.75">
      <c r="A2303" s="9"/>
      <c r="B2303" s="10"/>
      <c r="C2303" s="11"/>
      <c r="D2303" s="12"/>
      <c r="E2303" s="10"/>
      <c r="F2303" s="10"/>
      <c r="G2303" s="10"/>
      <c r="H2303" s="14"/>
      <c r="I2303" s="14"/>
      <c r="J2303" s="14"/>
      <c r="K2303" s="14"/>
      <c r="L2303" s="14"/>
      <c r="M2303" s="15"/>
      <c r="N2303" s="10"/>
      <c r="O2303" s="14"/>
      <c r="P2303" s="14"/>
      <c r="Q2303" s="14"/>
      <c r="R2303" s="14"/>
      <c r="S2303" s="14"/>
      <c r="T2303" s="14"/>
      <c r="U2303" s="14"/>
      <c r="V2303" s="14"/>
      <c r="W2303" s="14"/>
      <c r="X2303" s="14"/>
      <c r="Y2303" s="14"/>
      <c r="Z2303" s="14"/>
      <c r="AA2303" s="16"/>
      <c r="AB2303" s="10"/>
      <c r="AC2303" s="10"/>
      <c r="AD2303" s="10"/>
      <c r="AE2303" s="10"/>
      <c r="AF2303" s="10"/>
      <c r="AG2303" s="10"/>
      <c r="AH2303" s="10"/>
      <c r="AI2303" s="10"/>
      <c r="AJ2303" s="10"/>
      <c r="AK2303" s="10"/>
      <c r="AL2303" s="10"/>
      <c r="AM2303" s="10"/>
      <c r="AN2303" s="10"/>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10"/>
      <c r="BK2303" s="10"/>
      <c r="BM2303" s="10"/>
    </row>
    <row r="2304" spans="1:65" ht="12.75">
      <c r="A2304" s="9"/>
      <c r="B2304" s="10"/>
      <c r="C2304" s="11"/>
      <c r="D2304" s="12"/>
      <c r="E2304" s="10"/>
      <c r="F2304" s="10"/>
      <c r="G2304" s="10"/>
      <c r="H2304" s="14"/>
      <c r="I2304" s="14"/>
      <c r="J2304" s="14"/>
      <c r="K2304" s="14"/>
      <c r="L2304" s="14"/>
      <c r="M2304" s="15"/>
      <c r="N2304" s="10"/>
      <c r="O2304" s="14"/>
      <c r="P2304" s="14"/>
      <c r="Q2304" s="14"/>
      <c r="R2304" s="14"/>
      <c r="S2304" s="14"/>
      <c r="T2304" s="14"/>
      <c r="U2304" s="14"/>
      <c r="V2304" s="14"/>
      <c r="W2304" s="14"/>
      <c r="X2304" s="14"/>
      <c r="Y2304" s="14"/>
      <c r="Z2304" s="14"/>
      <c r="AA2304" s="16"/>
      <c r="AB2304" s="10"/>
      <c r="AC2304" s="10"/>
      <c r="AD2304" s="10"/>
      <c r="AE2304" s="10"/>
      <c r="AF2304" s="10"/>
      <c r="AG2304" s="10"/>
      <c r="AH2304" s="10"/>
      <c r="AI2304" s="10"/>
      <c r="AJ2304" s="10"/>
      <c r="AK2304" s="10"/>
      <c r="AL2304" s="10"/>
      <c r="AM2304" s="10"/>
      <c r="AN2304" s="10"/>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10"/>
      <c r="BK2304" s="10"/>
      <c r="BM2304" s="10"/>
    </row>
    <row r="2305" spans="1:65" ht="12.75">
      <c r="A2305" s="9"/>
      <c r="B2305" s="10"/>
      <c r="C2305" s="11"/>
      <c r="D2305" s="12"/>
      <c r="E2305" s="10"/>
      <c r="F2305" s="10"/>
      <c r="G2305" s="10"/>
      <c r="H2305" s="14"/>
      <c r="I2305" s="14"/>
      <c r="J2305" s="14"/>
      <c r="K2305" s="14"/>
      <c r="L2305" s="14"/>
      <c r="M2305" s="15"/>
      <c r="N2305" s="10"/>
      <c r="O2305" s="14"/>
      <c r="P2305" s="14"/>
      <c r="Q2305" s="14"/>
      <c r="R2305" s="14"/>
      <c r="S2305" s="14"/>
      <c r="T2305" s="14"/>
      <c r="U2305" s="14"/>
      <c r="V2305" s="14"/>
      <c r="W2305" s="14"/>
      <c r="X2305" s="14"/>
      <c r="Y2305" s="14"/>
      <c r="Z2305" s="14"/>
      <c r="AA2305" s="16"/>
      <c r="AB2305" s="10"/>
      <c r="AC2305" s="10"/>
      <c r="AD2305" s="10"/>
      <c r="AE2305" s="10"/>
      <c r="AF2305" s="10"/>
      <c r="AG2305" s="10"/>
      <c r="AH2305" s="10"/>
      <c r="AI2305" s="10"/>
      <c r="AJ2305" s="10"/>
      <c r="AK2305" s="10"/>
      <c r="AL2305" s="10"/>
      <c r="AM2305" s="10"/>
      <c r="AN2305" s="10"/>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10"/>
      <c r="BJ2305" s="10"/>
      <c r="BK2305" s="10"/>
      <c r="BM2305" s="10"/>
    </row>
    <row r="2306" spans="1:65" ht="12.75">
      <c r="A2306" s="9"/>
      <c r="B2306" s="10"/>
      <c r="C2306" s="11"/>
      <c r="D2306" s="12"/>
      <c r="E2306" s="10"/>
      <c r="F2306" s="10"/>
      <c r="G2306" s="10"/>
      <c r="H2306" s="14"/>
      <c r="I2306" s="14"/>
      <c r="J2306" s="14"/>
      <c r="K2306" s="14"/>
      <c r="L2306" s="14"/>
      <c r="M2306" s="15"/>
      <c r="N2306" s="10"/>
      <c r="O2306" s="14"/>
      <c r="P2306" s="14"/>
      <c r="Q2306" s="14"/>
      <c r="R2306" s="14"/>
      <c r="S2306" s="14"/>
      <c r="T2306" s="14"/>
      <c r="U2306" s="14"/>
      <c r="V2306" s="14"/>
      <c r="W2306" s="14"/>
      <c r="X2306" s="14"/>
      <c r="Y2306" s="14"/>
      <c r="Z2306" s="14"/>
      <c r="AA2306" s="16"/>
      <c r="AB2306" s="10"/>
      <c r="AC2306" s="10"/>
      <c r="AD2306" s="10"/>
      <c r="AE2306" s="10"/>
      <c r="AF2306" s="10"/>
      <c r="AG2306" s="10"/>
      <c r="AH2306" s="10"/>
      <c r="AI2306" s="10"/>
      <c r="AJ2306" s="10"/>
      <c r="AK2306" s="10"/>
      <c r="AL2306" s="10"/>
      <c r="AM2306" s="10"/>
      <c r="AN2306" s="10"/>
      <c r="AO2306" s="10"/>
      <c r="AP2306" s="10"/>
      <c r="AQ2306" s="10"/>
      <c r="AR2306" s="10"/>
      <c r="AS2306" s="10"/>
      <c r="AT2306" s="10"/>
      <c r="AU2306" s="10"/>
      <c r="AV2306" s="10"/>
      <c r="AW2306" s="10"/>
      <c r="AX2306" s="10"/>
      <c r="AY2306" s="10"/>
      <c r="AZ2306" s="10"/>
      <c r="BA2306" s="10"/>
      <c r="BB2306" s="10"/>
      <c r="BC2306" s="10"/>
      <c r="BD2306" s="10"/>
      <c r="BE2306" s="10"/>
      <c r="BF2306" s="10"/>
      <c r="BG2306" s="10"/>
      <c r="BH2306" s="10"/>
      <c r="BI2306" s="10"/>
      <c r="BJ2306" s="10"/>
      <c r="BK2306" s="10"/>
      <c r="BM2306" s="10"/>
    </row>
    <row r="2307" spans="1:65" ht="12.75">
      <c r="A2307" s="9"/>
      <c r="B2307" s="10"/>
      <c r="C2307" s="11"/>
      <c r="D2307" s="12"/>
      <c r="E2307" s="10"/>
      <c r="F2307" s="10"/>
      <c r="G2307" s="10"/>
      <c r="H2307" s="14"/>
      <c r="I2307" s="14"/>
      <c r="J2307" s="14"/>
      <c r="K2307" s="14"/>
      <c r="L2307" s="14"/>
      <c r="M2307" s="15"/>
      <c r="N2307" s="10"/>
      <c r="O2307" s="14"/>
      <c r="P2307" s="14"/>
      <c r="Q2307" s="14"/>
      <c r="R2307" s="14"/>
      <c r="S2307" s="14"/>
      <c r="T2307" s="14"/>
      <c r="U2307" s="14"/>
      <c r="V2307" s="14"/>
      <c r="W2307" s="14"/>
      <c r="X2307" s="14"/>
      <c r="Y2307" s="14"/>
      <c r="Z2307" s="14"/>
      <c r="AA2307" s="16"/>
      <c r="AB2307" s="10"/>
      <c r="AC2307" s="10"/>
      <c r="AD2307" s="10"/>
      <c r="AE2307" s="10"/>
      <c r="AF2307" s="10"/>
      <c r="AG2307" s="10"/>
      <c r="AH2307" s="10"/>
      <c r="AI2307" s="10"/>
      <c r="AJ2307" s="10"/>
      <c r="AK2307" s="10"/>
      <c r="AL2307" s="10"/>
      <c r="AM2307" s="10"/>
      <c r="AN2307" s="10"/>
      <c r="AO2307" s="10"/>
      <c r="AP2307" s="10"/>
      <c r="AQ2307" s="10"/>
      <c r="AR2307" s="10"/>
      <c r="AS2307" s="10"/>
      <c r="AT2307" s="10"/>
      <c r="AU2307" s="10"/>
      <c r="AV2307" s="10"/>
      <c r="AW2307" s="10"/>
      <c r="AX2307" s="10"/>
      <c r="AY2307" s="10"/>
      <c r="AZ2307" s="10"/>
      <c r="BA2307" s="10"/>
      <c r="BB2307" s="10"/>
      <c r="BC2307" s="10"/>
      <c r="BD2307" s="10"/>
      <c r="BE2307" s="10"/>
      <c r="BF2307" s="10"/>
      <c r="BG2307" s="10"/>
      <c r="BH2307" s="10"/>
      <c r="BI2307" s="10"/>
      <c r="BJ2307" s="10"/>
      <c r="BK2307" s="10"/>
      <c r="BM2307" s="10"/>
    </row>
    <row r="2308" spans="1:65" ht="12.75">
      <c r="A2308" s="9"/>
      <c r="B2308" s="10"/>
      <c r="C2308" s="11"/>
      <c r="D2308" s="12"/>
      <c r="E2308" s="10"/>
      <c r="F2308" s="10"/>
      <c r="G2308" s="10"/>
      <c r="H2308" s="14"/>
      <c r="I2308" s="14"/>
      <c r="J2308" s="14"/>
      <c r="K2308" s="14"/>
      <c r="L2308" s="14"/>
      <c r="M2308" s="15"/>
      <c r="N2308" s="10"/>
      <c r="O2308" s="14"/>
      <c r="P2308" s="14"/>
      <c r="Q2308" s="14"/>
      <c r="R2308" s="14"/>
      <c r="S2308" s="14"/>
      <c r="T2308" s="14"/>
      <c r="U2308" s="14"/>
      <c r="V2308" s="14"/>
      <c r="W2308" s="14"/>
      <c r="X2308" s="14"/>
      <c r="Y2308" s="14"/>
      <c r="Z2308" s="14"/>
      <c r="AA2308" s="16"/>
      <c r="AB2308" s="10"/>
      <c r="AC2308" s="10"/>
      <c r="AD2308" s="10"/>
      <c r="AE2308" s="10"/>
      <c r="AF2308" s="10"/>
      <c r="AG2308" s="10"/>
      <c r="AH2308" s="10"/>
      <c r="AI2308" s="10"/>
      <c r="AJ2308" s="10"/>
      <c r="AK2308" s="10"/>
      <c r="AL2308" s="10"/>
      <c r="AM2308" s="10"/>
      <c r="AN2308" s="10"/>
      <c r="AO2308" s="10"/>
      <c r="AP2308" s="10"/>
      <c r="AQ2308" s="10"/>
      <c r="AR2308" s="10"/>
      <c r="AS2308" s="10"/>
      <c r="AT2308" s="10"/>
      <c r="AU2308" s="10"/>
      <c r="AV2308" s="10"/>
      <c r="AW2308" s="10"/>
      <c r="AX2308" s="10"/>
      <c r="AY2308" s="10"/>
      <c r="AZ2308" s="10"/>
      <c r="BA2308" s="10"/>
      <c r="BB2308" s="10"/>
      <c r="BC2308" s="10"/>
      <c r="BD2308" s="10"/>
      <c r="BE2308" s="10"/>
      <c r="BF2308" s="10"/>
      <c r="BG2308" s="10"/>
      <c r="BH2308" s="10"/>
      <c r="BI2308" s="10"/>
      <c r="BJ2308" s="10"/>
      <c r="BK2308" s="10"/>
      <c r="BM2308" s="10"/>
    </row>
    <row r="2309" spans="1:65" ht="12.75">
      <c r="A2309" s="9"/>
      <c r="B2309" s="10"/>
      <c r="C2309" s="11"/>
      <c r="D2309" s="12"/>
      <c r="E2309" s="10"/>
      <c r="F2309" s="10"/>
      <c r="G2309" s="10"/>
      <c r="H2309" s="14"/>
      <c r="I2309" s="14"/>
      <c r="J2309" s="14"/>
      <c r="K2309" s="14"/>
      <c r="L2309" s="14"/>
      <c r="M2309" s="15"/>
      <c r="N2309" s="10"/>
      <c r="O2309" s="14"/>
      <c r="P2309" s="14"/>
      <c r="Q2309" s="14"/>
      <c r="R2309" s="14"/>
      <c r="S2309" s="14"/>
      <c r="T2309" s="14"/>
      <c r="U2309" s="14"/>
      <c r="V2309" s="14"/>
      <c r="W2309" s="14"/>
      <c r="X2309" s="14"/>
      <c r="Y2309" s="14"/>
      <c r="Z2309" s="14"/>
      <c r="AA2309" s="16"/>
      <c r="AB2309" s="10"/>
      <c r="AC2309" s="10"/>
      <c r="AD2309" s="10"/>
      <c r="AE2309" s="10"/>
      <c r="AF2309" s="10"/>
      <c r="AG2309" s="10"/>
      <c r="AH2309" s="10"/>
      <c r="AI2309" s="10"/>
      <c r="AJ2309" s="10"/>
      <c r="AK2309" s="10"/>
      <c r="AL2309" s="10"/>
      <c r="AM2309" s="10"/>
      <c r="AN2309" s="10"/>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10"/>
      <c r="BJ2309" s="10"/>
      <c r="BK2309" s="10"/>
      <c r="BM2309" s="10"/>
    </row>
    <row r="2310" spans="1:65" ht="12.75">
      <c r="A2310" s="9"/>
      <c r="B2310" s="10"/>
      <c r="C2310" s="11"/>
      <c r="D2310" s="12"/>
      <c r="E2310" s="10"/>
      <c r="F2310" s="10"/>
      <c r="G2310" s="10"/>
      <c r="H2310" s="14"/>
      <c r="I2310" s="14"/>
      <c r="J2310" s="14"/>
      <c r="K2310" s="14"/>
      <c r="L2310" s="14"/>
      <c r="M2310" s="15"/>
      <c r="N2310" s="10"/>
      <c r="O2310" s="14"/>
      <c r="P2310" s="14"/>
      <c r="Q2310" s="14"/>
      <c r="R2310" s="14"/>
      <c r="S2310" s="14"/>
      <c r="T2310" s="14"/>
      <c r="U2310" s="14"/>
      <c r="V2310" s="14"/>
      <c r="W2310" s="14"/>
      <c r="X2310" s="14"/>
      <c r="Y2310" s="14"/>
      <c r="Z2310" s="14"/>
      <c r="AA2310" s="16"/>
      <c r="AB2310" s="10"/>
      <c r="AC2310" s="10"/>
      <c r="AD2310" s="10"/>
      <c r="AE2310" s="10"/>
      <c r="AF2310" s="10"/>
      <c r="AG2310" s="10"/>
      <c r="AH2310" s="10"/>
      <c r="AI2310" s="10"/>
      <c r="AJ2310" s="10"/>
      <c r="AK2310" s="10"/>
      <c r="AL2310" s="10"/>
      <c r="AM2310" s="10"/>
      <c r="AN2310" s="10"/>
      <c r="AO2310" s="10"/>
      <c r="AP2310" s="10"/>
      <c r="AQ2310" s="10"/>
      <c r="AR2310" s="10"/>
      <c r="AS2310" s="10"/>
      <c r="AT2310" s="10"/>
      <c r="AU2310" s="10"/>
      <c r="AV2310" s="10"/>
      <c r="AW2310" s="10"/>
      <c r="AX2310" s="10"/>
      <c r="AY2310" s="10"/>
      <c r="AZ2310" s="10"/>
      <c r="BA2310" s="10"/>
      <c r="BB2310" s="10"/>
      <c r="BC2310" s="10"/>
      <c r="BD2310" s="10"/>
      <c r="BE2310" s="10"/>
      <c r="BF2310" s="10"/>
      <c r="BG2310" s="10"/>
      <c r="BH2310" s="10"/>
      <c r="BI2310" s="10"/>
      <c r="BJ2310" s="10"/>
      <c r="BK2310" s="10"/>
      <c r="BM2310" s="10"/>
    </row>
    <row r="2311" spans="1:65" ht="12.75">
      <c r="A2311" s="9"/>
      <c r="B2311" s="10"/>
      <c r="C2311" s="11"/>
      <c r="D2311" s="12"/>
      <c r="E2311" s="10"/>
      <c r="F2311" s="10"/>
      <c r="G2311" s="10"/>
      <c r="H2311" s="14"/>
      <c r="I2311" s="14"/>
      <c r="J2311" s="14"/>
      <c r="K2311" s="14"/>
      <c r="L2311" s="14"/>
      <c r="M2311" s="15"/>
      <c r="N2311" s="10"/>
      <c r="O2311" s="14"/>
      <c r="P2311" s="14"/>
      <c r="Q2311" s="14"/>
      <c r="R2311" s="14"/>
      <c r="S2311" s="14"/>
      <c r="T2311" s="14"/>
      <c r="U2311" s="14"/>
      <c r="V2311" s="14"/>
      <c r="W2311" s="14"/>
      <c r="X2311" s="14"/>
      <c r="Y2311" s="14"/>
      <c r="Z2311" s="14"/>
      <c r="AA2311" s="16"/>
      <c r="AB2311" s="10"/>
      <c r="AC2311" s="10"/>
      <c r="AD2311" s="10"/>
      <c r="AE2311" s="10"/>
      <c r="AF2311" s="10"/>
      <c r="AG2311" s="10"/>
      <c r="AH2311" s="10"/>
      <c r="AI2311" s="10"/>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M2311" s="10"/>
    </row>
    <row r="2312" spans="1:65" ht="12.75">
      <c r="A2312" s="9"/>
      <c r="B2312" s="10"/>
      <c r="C2312" s="11"/>
      <c r="D2312" s="12"/>
      <c r="E2312" s="10"/>
      <c r="F2312" s="10"/>
      <c r="G2312" s="10"/>
      <c r="H2312" s="14"/>
      <c r="I2312" s="14"/>
      <c r="J2312" s="14"/>
      <c r="K2312" s="14"/>
      <c r="L2312" s="14"/>
      <c r="M2312" s="15"/>
      <c r="N2312" s="10"/>
      <c r="O2312" s="14"/>
      <c r="P2312" s="14"/>
      <c r="Q2312" s="14"/>
      <c r="R2312" s="14"/>
      <c r="S2312" s="14"/>
      <c r="T2312" s="14"/>
      <c r="U2312" s="14"/>
      <c r="V2312" s="14"/>
      <c r="W2312" s="14"/>
      <c r="X2312" s="14"/>
      <c r="Y2312" s="14"/>
      <c r="Z2312" s="14"/>
      <c r="AA2312" s="16"/>
      <c r="AB2312" s="10"/>
      <c r="AC2312" s="10"/>
      <c r="AD2312" s="10"/>
      <c r="AE2312" s="10"/>
      <c r="AF2312" s="10"/>
      <c r="AG2312" s="10"/>
      <c r="AH2312" s="10"/>
      <c r="AI2312" s="10"/>
      <c r="AJ2312" s="10"/>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c r="BI2312" s="10"/>
      <c r="BJ2312" s="10"/>
      <c r="BK2312" s="10"/>
      <c r="BM2312" s="10"/>
    </row>
    <row r="2313" spans="1:65" ht="12.75">
      <c r="A2313" s="9"/>
      <c r="B2313" s="10"/>
      <c r="C2313" s="11"/>
      <c r="D2313" s="12"/>
      <c r="E2313" s="10"/>
      <c r="F2313" s="10"/>
      <c r="G2313" s="10"/>
      <c r="H2313" s="14"/>
      <c r="I2313" s="14"/>
      <c r="J2313" s="14"/>
      <c r="K2313" s="14"/>
      <c r="L2313" s="14"/>
      <c r="M2313" s="15"/>
      <c r="N2313" s="10"/>
      <c r="O2313" s="14"/>
      <c r="P2313" s="14"/>
      <c r="Q2313" s="14"/>
      <c r="R2313" s="14"/>
      <c r="S2313" s="14"/>
      <c r="T2313" s="14"/>
      <c r="U2313" s="14"/>
      <c r="V2313" s="14"/>
      <c r="W2313" s="14"/>
      <c r="X2313" s="14"/>
      <c r="Y2313" s="14"/>
      <c r="Z2313" s="14"/>
      <c r="AA2313" s="16"/>
      <c r="AB2313" s="10"/>
      <c r="AC2313" s="10"/>
      <c r="AD2313" s="10"/>
      <c r="AE2313" s="10"/>
      <c r="AF2313" s="10"/>
      <c r="AG2313" s="10"/>
      <c r="AH2313" s="10"/>
      <c r="AI2313" s="10"/>
      <c r="AJ2313" s="10"/>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c r="BI2313" s="10"/>
      <c r="BJ2313" s="10"/>
      <c r="BK2313" s="10"/>
      <c r="BM2313" s="10"/>
    </row>
    <row r="2314" spans="1:65" ht="12.75">
      <c r="A2314" s="9"/>
      <c r="B2314" s="10"/>
      <c r="C2314" s="11"/>
      <c r="D2314" s="12"/>
      <c r="E2314" s="10"/>
      <c r="F2314" s="10"/>
      <c r="G2314" s="10"/>
      <c r="H2314" s="14"/>
      <c r="I2314" s="14"/>
      <c r="J2314" s="14"/>
      <c r="K2314" s="14"/>
      <c r="L2314" s="14"/>
      <c r="M2314" s="15"/>
      <c r="N2314" s="10"/>
      <c r="O2314" s="14"/>
      <c r="P2314" s="14"/>
      <c r="Q2314" s="14"/>
      <c r="R2314" s="14"/>
      <c r="S2314" s="14"/>
      <c r="T2314" s="14"/>
      <c r="U2314" s="14"/>
      <c r="V2314" s="14"/>
      <c r="W2314" s="14"/>
      <c r="X2314" s="14"/>
      <c r="Y2314" s="14"/>
      <c r="Z2314" s="14"/>
      <c r="AA2314" s="16"/>
      <c r="AB2314" s="10"/>
      <c r="AC2314" s="10"/>
      <c r="AD2314" s="10"/>
      <c r="AE2314" s="10"/>
      <c r="AF2314" s="10"/>
      <c r="AG2314" s="10"/>
      <c r="AH2314" s="10"/>
      <c r="AI2314" s="10"/>
      <c r="AJ2314" s="10"/>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10"/>
      <c r="BJ2314" s="10"/>
      <c r="BK2314" s="10"/>
      <c r="BM2314" s="10"/>
    </row>
    <row r="2315" spans="1:65" ht="12.75">
      <c r="A2315" s="9"/>
      <c r="B2315" s="10"/>
      <c r="C2315" s="11"/>
      <c r="D2315" s="12"/>
      <c r="E2315" s="10"/>
      <c r="F2315" s="10"/>
      <c r="G2315" s="10"/>
      <c r="H2315" s="14"/>
      <c r="I2315" s="14"/>
      <c r="J2315" s="14"/>
      <c r="K2315" s="14"/>
      <c r="L2315" s="14"/>
      <c r="M2315" s="15"/>
      <c r="N2315" s="10"/>
      <c r="O2315" s="14"/>
      <c r="P2315" s="14"/>
      <c r="Q2315" s="14"/>
      <c r="R2315" s="14"/>
      <c r="S2315" s="14"/>
      <c r="T2315" s="14"/>
      <c r="U2315" s="14"/>
      <c r="V2315" s="14"/>
      <c r="W2315" s="14"/>
      <c r="X2315" s="14"/>
      <c r="Y2315" s="14"/>
      <c r="Z2315" s="14"/>
      <c r="AA2315" s="16"/>
      <c r="AB2315" s="10"/>
      <c r="AC2315" s="10"/>
      <c r="AD2315" s="10"/>
      <c r="AE2315" s="10"/>
      <c r="AF2315" s="10"/>
      <c r="AG2315" s="10"/>
      <c r="AH2315" s="10"/>
      <c r="AI2315" s="10"/>
      <c r="AJ2315" s="10"/>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M2315" s="10"/>
    </row>
    <row r="2316" spans="1:65" ht="12.75">
      <c r="A2316" s="9"/>
      <c r="B2316" s="10"/>
      <c r="C2316" s="11"/>
      <c r="D2316" s="12"/>
      <c r="E2316" s="10"/>
      <c r="F2316" s="10"/>
      <c r="G2316" s="10"/>
      <c r="H2316" s="14"/>
      <c r="I2316" s="14"/>
      <c r="J2316" s="14"/>
      <c r="K2316" s="14"/>
      <c r="L2316" s="14"/>
      <c r="M2316" s="15"/>
      <c r="N2316" s="10"/>
      <c r="O2316" s="14"/>
      <c r="P2316" s="14"/>
      <c r="Q2316" s="14"/>
      <c r="R2316" s="14"/>
      <c r="S2316" s="14"/>
      <c r="T2316" s="14"/>
      <c r="U2316" s="14"/>
      <c r="V2316" s="14"/>
      <c r="W2316" s="14"/>
      <c r="X2316" s="14"/>
      <c r="Y2316" s="14"/>
      <c r="Z2316" s="14"/>
      <c r="AA2316" s="16"/>
      <c r="AB2316" s="10"/>
      <c r="AC2316" s="10"/>
      <c r="AD2316" s="10"/>
      <c r="AE2316" s="10"/>
      <c r="AF2316" s="10"/>
      <c r="AG2316" s="10"/>
      <c r="AH2316" s="10"/>
      <c r="AI2316" s="10"/>
      <c r="AJ2316" s="10"/>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10"/>
      <c r="BJ2316" s="10"/>
      <c r="BK2316" s="10"/>
      <c r="BM2316" s="10"/>
    </row>
    <row r="2317" spans="1:65" ht="12.75">
      <c r="A2317" s="9"/>
      <c r="B2317" s="10"/>
      <c r="C2317" s="11"/>
      <c r="D2317" s="12"/>
      <c r="E2317" s="10"/>
      <c r="F2317" s="10"/>
      <c r="G2317" s="10"/>
      <c r="H2317" s="14"/>
      <c r="I2317" s="14"/>
      <c r="J2317" s="14"/>
      <c r="K2317" s="14"/>
      <c r="L2317" s="14"/>
      <c r="M2317" s="15"/>
      <c r="N2317" s="10"/>
      <c r="O2317" s="14"/>
      <c r="P2317" s="14"/>
      <c r="Q2317" s="14"/>
      <c r="R2317" s="14"/>
      <c r="S2317" s="14"/>
      <c r="T2317" s="14"/>
      <c r="U2317" s="14"/>
      <c r="V2317" s="14"/>
      <c r="W2317" s="14"/>
      <c r="X2317" s="14"/>
      <c r="Y2317" s="14"/>
      <c r="Z2317" s="14"/>
      <c r="AA2317" s="16"/>
      <c r="AB2317" s="10"/>
      <c r="AC2317" s="10"/>
      <c r="AD2317" s="10"/>
      <c r="AE2317" s="10"/>
      <c r="AF2317" s="10"/>
      <c r="AG2317" s="10"/>
      <c r="AH2317" s="10"/>
      <c r="AI2317" s="10"/>
      <c r="AJ2317" s="10"/>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10"/>
      <c r="BJ2317" s="10"/>
      <c r="BK2317" s="10"/>
      <c r="BM2317" s="10"/>
    </row>
    <row r="2318" spans="1:65" ht="12.75">
      <c r="A2318" s="9"/>
      <c r="B2318" s="10"/>
      <c r="C2318" s="11"/>
      <c r="D2318" s="12"/>
      <c r="E2318" s="10"/>
      <c r="F2318" s="10"/>
      <c r="G2318" s="10"/>
      <c r="H2318" s="14"/>
      <c r="I2318" s="14"/>
      <c r="J2318" s="14"/>
      <c r="K2318" s="14"/>
      <c r="L2318" s="14"/>
      <c r="M2318" s="15"/>
      <c r="N2318" s="10"/>
      <c r="O2318" s="14"/>
      <c r="P2318" s="14"/>
      <c r="Q2318" s="14"/>
      <c r="R2318" s="14"/>
      <c r="S2318" s="14"/>
      <c r="T2318" s="14"/>
      <c r="U2318" s="14"/>
      <c r="V2318" s="14"/>
      <c r="W2318" s="14"/>
      <c r="X2318" s="14"/>
      <c r="Y2318" s="14"/>
      <c r="Z2318" s="14"/>
      <c r="AA2318" s="16"/>
      <c r="AB2318" s="10"/>
      <c r="AC2318" s="10"/>
      <c r="AD2318" s="10"/>
      <c r="AE2318" s="10"/>
      <c r="AF2318" s="10"/>
      <c r="AG2318" s="10"/>
      <c r="AH2318" s="10"/>
      <c r="AI2318" s="10"/>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10"/>
      <c r="BJ2318" s="10"/>
      <c r="BK2318" s="10"/>
      <c r="BM2318" s="10"/>
    </row>
    <row r="2319" spans="1:65" ht="12.75">
      <c r="A2319" s="9"/>
      <c r="B2319" s="10"/>
      <c r="C2319" s="11"/>
      <c r="D2319" s="12"/>
      <c r="E2319" s="10"/>
      <c r="F2319" s="10"/>
      <c r="G2319" s="10"/>
      <c r="H2319" s="14"/>
      <c r="I2319" s="14"/>
      <c r="J2319" s="14"/>
      <c r="K2319" s="14"/>
      <c r="L2319" s="14"/>
      <c r="M2319" s="15"/>
      <c r="N2319" s="10"/>
      <c r="O2319" s="14"/>
      <c r="P2319" s="14"/>
      <c r="Q2319" s="14"/>
      <c r="R2319" s="14"/>
      <c r="S2319" s="14"/>
      <c r="T2319" s="14"/>
      <c r="U2319" s="14"/>
      <c r="V2319" s="14"/>
      <c r="W2319" s="14"/>
      <c r="X2319" s="14"/>
      <c r="Y2319" s="14"/>
      <c r="Z2319" s="14"/>
      <c r="AA2319" s="16"/>
      <c r="AB2319" s="10"/>
      <c r="AC2319" s="10"/>
      <c r="AD2319" s="10"/>
      <c r="AE2319" s="10"/>
      <c r="AF2319" s="10"/>
      <c r="AG2319" s="10"/>
      <c r="AH2319" s="10"/>
      <c r="AI2319" s="10"/>
      <c r="AJ2319" s="10"/>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10"/>
      <c r="BJ2319" s="10"/>
      <c r="BK2319" s="10"/>
      <c r="BM2319" s="10"/>
    </row>
    <row r="2320" spans="1:65" ht="12.75">
      <c r="A2320" s="9"/>
      <c r="B2320" s="10"/>
      <c r="C2320" s="11"/>
      <c r="D2320" s="12"/>
      <c r="E2320" s="10"/>
      <c r="F2320" s="10"/>
      <c r="G2320" s="10"/>
      <c r="H2320" s="14"/>
      <c r="I2320" s="14"/>
      <c r="J2320" s="14"/>
      <c r="K2320" s="14"/>
      <c r="L2320" s="14"/>
      <c r="M2320" s="15"/>
      <c r="N2320" s="10"/>
      <c r="O2320" s="14"/>
      <c r="P2320" s="14"/>
      <c r="Q2320" s="14"/>
      <c r="R2320" s="14"/>
      <c r="S2320" s="14"/>
      <c r="T2320" s="14"/>
      <c r="U2320" s="14"/>
      <c r="V2320" s="14"/>
      <c r="W2320" s="14"/>
      <c r="X2320" s="14"/>
      <c r="Y2320" s="14"/>
      <c r="Z2320" s="14"/>
      <c r="AA2320" s="16"/>
      <c r="AB2320" s="10"/>
      <c r="AC2320" s="10"/>
      <c r="AD2320" s="10"/>
      <c r="AE2320" s="10"/>
      <c r="AF2320" s="10"/>
      <c r="AG2320" s="10"/>
      <c r="AH2320" s="10"/>
      <c r="AI2320" s="10"/>
      <c r="AJ2320" s="10"/>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M2320" s="10"/>
    </row>
    <row r="2321" spans="1:65" ht="12.75">
      <c r="A2321" s="9"/>
      <c r="B2321" s="10"/>
      <c r="C2321" s="11"/>
      <c r="D2321" s="12"/>
      <c r="E2321" s="10"/>
      <c r="F2321" s="10"/>
      <c r="G2321" s="10"/>
      <c r="H2321" s="14"/>
      <c r="I2321" s="14"/>
      <c r="J2321" s="14"/>
      <c r="K2321" s="14"/>
      <c r="L2321" s="14"/>
      <c r="M2321" s="15"/>
      <c r="N2321" s="10"/>
      <c r="O2321" s="14"/>
      <c r="P2321" s="14"/>
      <c r="Q2321" s="14"/>
      <c r="R2321" s="14"/>
      <c r="S2321" s="14"/>
      <c r="T2321" s="14"/>
      <c r="U2321" s="14"/>
      <c r="V2321" s="14"/>
      <c r="W2321" s="14"/>
      <c r="X2321" s="14"/>
      <c r="Y2321" s="14"/>
      <c r="Z2321" s="14"/>
      <c r="AA2321" s="16"/>
      <c r="AB2321" s="10"/>
      <c r="AC2321" s="10"/>
      <c r="AD2321" s="10"/>
      <c r="AE2321" s="10"/>
      <c r="AF2321" s="10"/>
      <c r="AG2321" s="10"/>
      <c r="AH2321" s="10"/>
      <c r="AI2321" s="10"/>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M2321" s="10"/>
    </row>
    <row r="2322" spans="1:65" ht="12.75">
      <c r="A2322" s="9"/>
      <c r="B2322" s="10"/>
      <c r="C2322" s="11"/>
      <c r="D2322" s="12"/>
      <c r="E2322" s="10"/>
      <c r="F2322" s="10"/>
      <c r="G2322" s="10"/>
      <c r="H2322" s="14"/>
      <c r="I2322" s="14"/>
      <c r="J2322" s="14"/>
      <c r="K2322" s="14"/>
      <c r="L2322" s="14"/>
      <c r="M2322" s="15"/>
      <c r="N2322" s="10"/>
      <c r="O2322" s="14"/>
      <c r="P2322" s="14"/>
      <c r="Q2322" s="14"/>
      <c r="R2322" s="14"/>
      <c r="S2322" s="14"/>
      <c r="T2322" s="14"/>
      <c r="U2322" s="14"/>
      <c r="V2322" s="14"/>
      <c r="W2322" s="14"/>
      <c r="X2322" s="14"/>
      <c r="Y2322" s="14"/>
      <c r="Z2322" s="14"/>
      <c r="AA2322" s="16"/>
      <c r="AB2322" s="10"/>
      <c r="AC2322" s="10"/>
      <c r="AD2322" s="10"/>
      <c r="AE2322" s="10"/>
      <c r="AF2322" s="10"/>
      <c r="AG2322" s="10"/>
      <c r="AH2322" s="10"/>
      <c r="AI2322" s="10"/>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M2322" s="10"/>
    </row>
    <row r="2323" spans="1:65" ht="12.75">
      <c r="A2323" s="9"/>
      <c r="B2323" s="10"/>
      <c r="C2323" s="11"/>
      <c r="D2323" s="12"/>
      <c r="E2323" s="10"/>
      <c r="F2323" s="10"/>
      <c r="G2323" s="10"/>
      <c r="H2323" s="14"/>
      <c r="I2323" s="14"/>
      <c r="J2323" s="14"/>
      <c r="K2323" s="14"/>
      <c r="L2323" s="14"/>
      <c r="M2323" s="15"/>
      <c r="N2323" s="10"/>
      <c r="O2323" s="14"/>
      <c r="P2323" s="14"/>
      <c r="Q2323" s="14"/>
      <c r="R2323" s="14"/>
      <c r="S2323" s="14"/>
      <c r="T2323" s="14"/>
      <c r="U2323" s="14"/>
      <c r="V2323" s="14"/>
      <c r="W2323" s="14"/>
      <c r="X2323" s="14"/>
      <c r="Y2323" s="14"/>
      <c r="Z2323" s="14"/>
      <c r="AA2323" s="16"/>
      <c r="AB2323" s="10"/>
      <c r="AC2323" s="10"/>
      <c r="AD2323" s="10"/>
      <c r="AE2323" s="10"/>
      <c r="AF2323" s="10"/>
      <c r="AG2323" s="10"/>
      <c r="AH2323" s="10"/>
      <c r="AI2323" s="10"/>
      <c r="AJ2323" s="10"/>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10"/>
      <c r="BJ2323" s="10"/>
      <c r="BK2323" s="10"/>
      <c r="BM2323" s="10"/>
    </row>
    <row r="2324" spans="1:65" ht="12.75">
      <c r="A2324" s="9"/>
      <c r="B2324" s="10"/>
      <c r="C2324" s="11"/>
      <c r="D2324" s="12"/>
      <c r="E2324" s="10"/>
      <c r="F2324" s="10"/>
      <c r="G2324" s="10"/>
      <c r="H2324" s="14"/>
      <c r="I2324" s="14"/>
      <c r="J2324" s="14"/>
      <c r="K2324" s="14"/>
      <c r="L2324" s="14"/>
      <c r="M2324" s="15"/>
      <c r="N2324" s="10"/>
      <c r="O2324" s="14"/>
      <c r="P2324" s="14"/>
      <c r="Q2324" s="14"/>
      <c r="R2324" s="14"/>
      <c r="S2324" s="14"/>
      <c r="T2324" s="14"/>
      <c r="U2324" s="14"/>
      <c r="V2324" s="14"/>
      <c r="W2324" s="14"/>
      <c r="X2324" s="14"/>
      <c r="Y2324" s="14"/>
      <c r="Z2324" s="14"/>
      <c r="AA2324" s="16"/>
      <c r="AB2324" s="10"/>
      <c r="AC2324" s="10"/>
      <c r="AD2324" s="10"/>
      <c r="AE2324" s="10"/>
      <c r="AF2324" s="10"/>
      <c r="AG2324" s="10"/>
      <c r="AH2324" s="10"/>
      <c r="AI2324" s="10"/>
      <c r="AJ2324" s="10"/>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M2324" s="10"/>
    </row>
    <row r="2325" spans="1:65" ht="12.75">
      <c r="A2325" s="9"/>
      <c r="B2325" s="10"/>
      <c r="C2325" s="11"/>
      <c r="D2325" s="12"/>
      <c r="E2325" s="10"/>
      <c r="F2325" s="10"/>
      <c r="G2325" s="10"/>
      <c r="H2325" s="14"/>
      <c r="I2325" s="14"/>
      <c r="J2325" s="14"/>
      <c r="K2325" s="14"/>
      <c r="L2325" s="14"/>
      <c r="M2325" s="15"/>
      <c r="N2325" s="10"/>
      <c r="O2325" s="14"/>
      <c r="P2325" s="14"/>
      <c r="Q2325" s="14"/>
      <c r="R2325" s="14"/>
      <c r="S2325" s="14"/>
      <c r="T2325" s="14"/>
      <c r="U2325" s="14"/>
      <c r="V2325" s="14"/>
      <c r="W2325" s="14"/>
      <c r="X2325" s="14"/>
      <c r="Y2325" s="14"/>
      <c r="Z2325" s="14"/>
      <c r="AA2325" s="16"/>
      <c r="AB2325" s="10"/>
      <c r="AC2325" s="10"/>
      <c r="AD2325" s="10"/>
      <c r="AE2325" s="10"/>
      <c r="AF2325" s="10"/>
      <c r="AG2325" s="10"/>
      <c r="AH2325" s="10"/>
      <c r="AI2325" s="10"/>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M2325" s="10"/>
    </row>
    <row r="2326" spans="1:65" ht="12.75">
      <c r="A2326" s="9"/>
      <c r="B2326" s="10"/>
      <c r="C2326" s="11"/>
      <c r="D2326" s="12"/>
      <c r="E2326" s="10"/>
      <c r="F2326" s="10"/>
      <c r="G2326" s="10"/>
      <c r="H2326" s="14"/>
      <c r="I2326" s="14"/>
      <c r="J2326" s="14"/>
      <c r="K2326" s="14"/>
      <c r="L2326" s="14"/>
      <c r="M2326" s="15"/>
      <c r="N2326" s="10"/>
      <c r="O2326" s="14"/>
      <c r="P2326" s="14"/>
      <c r="Q2326" s="14"/>
      <c r="R2326" s="14"/>
      <c r="S2326" s="14"/>
      <c r="T2326" s="14"/>
      <c r="U2326" s="14"/>
      <c r="V2326" s="14"/>
      <c r="W2326" s="14"/>
      <c r="X2326" s="14"/>
      <c r="Y2326" s="14"/>
      <c r="Z2326" s="14"/>
      <c r="AA2326" s="16"/>
      <c r="AB2326" s="10"/>
      <c r="AC2326" s="10"/>
      <c r="AD2326" s="10"/>
      <c r="AE2326" s="10"/>
      <c r="AF2326" s="10"/>
      <c r="AG2326" s="10"/>
      <c r="AH2326" s="10"/>
      <c r="AI2326" s="10"/>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M2326" s="10"/>
    </row>
    <row r="2327" spans="1:65" ht="12.75">
      <c r="A2327" s="9"/>
      <c r="B2327" s="10"/>
      <c r="C2327" s="11"/>
      <c r="D2327" s="12"/>
      <c r="E2327" s="10"/>
      <c r="F2327" s="10"/>
      <c r="G2327" s="10"/>
      <c r="H2327" s="14"/>
      <c r="I2327" s="14"/>
      <c r="J2327" s="14"/>
      <c r="K2327" s="14"/>
      <c r="L2327" s="14"/>
      <c r="M2327" s="15"/>
      <c r="N2327" s="10"/>
      <c r="O2327" s="14"/>
      <c r="P2327" s="14"/>
      <c r="Q2327" s="14"/>
      <c r="R2327" s="14"/>
      <c r="S2327" s="14"/>
      <c r="T2327" s="14"/>
      <c r="U2327" s="14"/>
      <c r="V2327" s="14"/>
      <c r="W2327" s="14"/>
      <c r="X2327" s="14"/>
      <c r="Y2327" s="14"/>
      <c r="Z2327" s="14"/>
      <c r="AA2327" s="16"/>
      <c r="AB2327" s="10"/>
      <c r="AC2327" s="10"/>
      <c r="AD2327" s="10"/>
      <c r="AE2327" s="10"/>
      <c r="AF2327" s="10"/>
      <c r="AG2327" s="10"/>
      <c r="AH2327" s="10"/>
      <c r="AI2327" s="10"/>
      <c r="AJ2327" s="10"/>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10"/>
      <c r="BJ2327" s="10"/>
      <c r="BK2327" s="10"/>
      <c r="BM2327" s="10"/>
    </row>
    <row r="2328" spans="1:65" ht="12.75">
      <c r="A2328" s="9"/>
      <c r="B2328" s="10"/>
      <c r="C2328" s="11"/>
      <c r="D2328" s="12"/>
      <c r="E2328" s="10"/>
      <c r="F2328" s="10"/>
      <c r="G2328" s="10"/>
      <c r="H2328" s="14"/>
      <c r="I2328" s="14"/>
      <c r="J2328" s="14"/>
      <c r="K2328" s="14"/>
      <c r="L2328" s="14"/>
      <c r="M2328" s="15"/>
      <c r="N2328" s="10"/>
      <c r="O2328" s="14"/>
      <c r="P2328" s="14"/>
      <c r="Q2328" s="14"/>
      <c r="R2328" s="14"/>
      <c r="S2328" s="14"/>
      <c r="T2328" s="14"/>
      <c r="U2328" s="14"/>
      <c r="V2328" s="14"/>
      <c r="W2328" s="14"/>
      <c r="X2328" s="14"/>
      <c r="Y2328" s="14"/>
      <c r="Z2328" s="14"/>
      <c r="AA2328" s="16"/>
      <c r="AB2328" s="10"/>
      <c r="AC2328" s="10"/>
      <c r="AD2328" s="10"/>
      <c r="AE2328" s="10"/>
      <c r="AF2328" s="10"/>
      <c r="AG2328" s="10"/>
      <c r="AH2328" s="10"/>
      <c r="AI2328" s="10"/>
      <c r="AJ2328" s="10"/>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10"/>
      <c r="BJ2328" s="10"/>
      <c r="BK2328" s="10"/>
      <c r="BM2328" s="10"/>
    </row>
    <row r="2329" spans="1:65" ht="12.75">
      <c r="A2329" s="9"/>
      <c r="B2329" s="10"/>
      <c r="C2329" s="11"/>
      <c r="D2329" s="12"/>
      <c r="E2329" s="10"/>
      <c r="F2329" s="10"/>
      <c r="G2329" s="10"/>
      <c r="H2329" s="14"/>
      <c r="I2329" s="14"/>
      <c r="J2329" s="14"/>
      <c r="K2329" s="14"/>
      <c r="L2329" s="14"/>
      <c r="M2329" s="15"/>
      <c r="N2329" s="10"/>
      <c r="O2329" s="14"/>
      <c r="P2329" s="14"/>
      <c r="Q2329" s="14"/>
      <c r="R2329" s="14"/>
      <c r="S2329" s="14"/>
      <c r="T2329" s="14"/>
      <c r="U2329" s="14"/>
      <c r="V2329" s="14"/>
      <c r="W2329" s="14"/>
      <c r="X2329" s="14"/>
      <c r="Y2329" s="14"/>
      <c r="Z2329" s="14"/>
      <c r="AA2329" s="16"/>
      <c r="AB2329" s="10"/>
      <c r="AC2329" s="10"/>
      <c r="AD2329" s="10"/>
      <c r="AE2329" s="10"/>
      <c r="AF2329" s="10"/>
      <c r="AG2329" s="10"/>
      <c r="AH2329" s="10"/>
      <c r="AI2329" s="10"/>
      <c r="AJ2329" s="10"/>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M2329" s="10"/>
    </row>
    <row r="2330" spans="1:65" ht="12.75">
      <c r="A2330" s="9"/>
      <c r="B2330" s="10"/>
      <c r="C2330" s="11"/>
      <c r="D2330" s="12"/>
      <c r="E2330" s="10"/>
      <c r="F2330" s="10"/>
      <c r="G2330" s="10"/>
      <c r="H2330" s="14"/>
      <c r="I2330" s="14"/>
      <c r="J2330" s="14"/>
      <c r="K2330" s="14"/>
      <c r="L2330" s="14"/>
      <c r="M2330" s="15"/>
      <c r="N2330" s="10"/>
      <c r="O2330" s="14"/>
      <c r="P2330" s="14"/>
      <c r="Q2330" s="14"/>
      <c r="R2330" s="14"/>
      <c r="S2330" s="14"/>
      <c r="T2330" s="14"/>
      <c r="U2330" s="14"/>
      <c r="V2330" s="14"/>
      <c r="W2330" s="14"/>
      <c r="X2330" s="14"/>
      <c r="Y2330" s="14"/>
      <c r="Z2330" s="14"/>
      <c r="AA2330" s="16"/>
      <c r="AB2330" s="10"/>
      <c r="AC2330" s="10"/>
      <c r="AD2330" s="10"/>
      <c r="AE2330" s="10"/>
      <c r="AF2330" s="10"/>
      <c r="AG2330" s="10"/>
      <c r="AH2330" s="10"/>
      <c r="AI2330" s="10"/>
      <c r="AJ2330" s="10"/>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10"/>
      <c r="BJ2330" s="10"/>
      <c r="BK2330" s="10"/>
      <c r="BM2330" s="10"/>
    </row>
    <row r="2331" spans="1:65" ht="12.75">
      <c r="A2331" s="9"/>
      <c r="B2331" s="10"/>
      <c r="C2331" s="11"/>
      <c r="D2331" s="12"/>
      <c r="E2331" s="10"/>
      <c r="F2331" s="10"/>
      <c r="G2331" s="10"/>
      <c r="H2331" s="14"/>
      <c r="I2331" s="14"/>
      <c r="J2331" s="14"/>
      <c r="K2331" s="14"/>
      <c r="L2331" s="14"/>
      <c r="M2331" s="15"/>
      <c r="N2331" s="10"/>
      <c r="O2331" s="14"/>
      <c r="P2331" s="14"/>
      <c r="Q2331" s="14"/>
      <c r="R2331" s="14"/>
      <c r="S2331" s="14"/>
      <c r="T2331" s="14"/>
      <c r="U2331" s="14"/>
      <c r="V2331" s="14"/>
      <c r="W2331" s="14"/>
      <c r="X2331" s="14"/>
      <c r="Y2331" s="14"/>
      <c r="Z2331" s="14"/>
      <c r="AA2331" s="16"/>
      <c r="AB2331" s="10"/>
      <c r="AC2331" s="10"/>
      <c r="AD2331" s="10"/>
      <c r="AE2331" s="10"/>
      <c r="AF2331" s="10"/>
      <c r="AG2331" s="10"/>
      <c r="AH2331" s="10"/>
      <c r="AI2331" s="10"/>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M2331" s="10"/>
    </row>
    <row r="2332" spans="1:65" ht="12.75">
      <c r="A2332" s="9"/>
      <c r="B2332" s="10"/>
      <c r="C2332" s="11"/>
      <c r="D2332" s="12"/>
      <c r="E2332" s="10"/>
      <c r="F2332" s="10"/>
      <c r="G2332" s="10"/>
      <c r="H2332" s="14"/>
      <c r="I2332" s="14"/>
      <c r="J2332" s="14"/>
      <c r="K2332" s="14"/>
      <c r="L2332" s="14"/>
      <c r="M2332" s="15"/>
      <c r="N2332" s="10"/>
      <c r="O2332" s="14"/>
      <c r="P2332" s="14"/>
      <c r="Q2332" s="14"/>
      <c r="R2332" s="14"/>
      <c r="S2332" s="14"/>
      <c r="T2332" s="14"/>
      <c r="U2332" s="14"/>
      <c r="V2332" s="14"/>
      <c r="W2332" s="14"/>
      <c r="X2332" s="14"/>
      <c r="Y2332" s="14"/>
      <c r="Z2332" s="14"/>
      <c r="AA2332" s="16"/>
      <c r="AB2332" s="10"/>
      <c r="AC2332" s="10"/>
      <c r="AD2332" s="10"/>
      <c r="AE2332" s="10"/>
      <c r="AF2332" s="10"/>
      <c r="AG2332" s="10"/>
      <c r="AH2332" s="10"/>
      <c r="AI2332" s="10"/>
      <c r="AJ2332" s="10"/>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M2332" s="10"/>
    </row>
    <row r="2333" spans="1:65" ht="12.75">
      <c r="A2333" s="9"/>
      <c r="B2333" s="10"/>
      <c r="C2333" s="11"/>
      <c r="D2333" s="12"/>
      <c r="E2333" s="10"/>
      <c r="F2333" s="10"/>
      <c r="G2333" s="10"/>
      <c r="H2333" s="14"/>
      <c r="I2333" s="14"/>
      <c r="J2333" s="14"/>
      <c r="K2333" s="14"/>
      <c r="L2333" s="14"/>
      <c r="M2333" s="15"/>
      <c r="N2333" s="10"/>
      <c r="O2333" s="14"/>
      <c r="P2333" s="14"/>
      <c r="Q2333" s="14"/>
      <c r="R2333" s="14"/>
      <c r="S2333" s="14"/>
      <c r="T2333" s="14"/>
      <c r="U2333" s="14"/>
      <c r="V2333" s="14"/>
      <c r="W2333" s="14"/>
      <c r="X2333" s="14"/>
      <c r="Y2333" s="14"/>
      <c r="Z2333" s="14"/>
      <c r="AA2333" s="16"/>
      <c r="AB2333" s="10"/>
      <c r="AC2333" s="10"/>
      <c r="AD2333" s="10"/>
      <c r="AE2333" s="10"/>
      <c r="AF2333" s="10"/>
      <c r="AG2333" s="10"/>
      <c r="AH2333" s="10"/>
      <c r="AI2333" s="10"/>
      <c r="AJ2333" s="10"/>
      <c r="AK2333" s="10"/>
      <c r="AL2333" s="1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10"/>
      <c r="BJ2333" s="10"/>
      <c r="BK2333" s="10"/>
      <c r="BM2333" s="10"/>
    </row>
    <row r="2334" spans="1:65" ht="12.75">
      <c r="A2334" s="9"/>
      <c r="B2334" s="10"/>
      <c r="C2334" s="11"/>
      <c r="D2334" s="12"/>
      <c r="E2334" s="10"/>
      <c r="F2334" s="10"/>
      <c r="G2334" s="10"/>
      <c r="H2334" s="14"/>
      <c r="I2334" s="14"/>
      <c r="J2334" s="14"/>
      <c r="K2334" s="14"/>
      <c r="L2334" s="14"/>
      <c r="M2334" s="15"/>
      <c r="N2334" s="10"/>
      <c r="O2334" s="14"/>
      <c r="P2334" s="14"/>
      <c r="Q2334" s="14"/>
      <c r="R2334" s="14"/>
      <c r="S2334" s="14"/>
      <c r="T2334" s="14"/>
      <c r="U2334" s="14"/>
      <c r="V2334" s="14"/>
      <c r="W2334" s="14"/>
      <c r="X2334" s="14"/>
      <c r="Y2334" s="14"/>
      <c r="Z2334" s="14"/>
      <c r="AA2334" s="16"/>
      <c r="AB2334" s="10"/>
      <c r="AC2334" s="10"/>
      <c r="AD2334" s="10"/>
      <c r="AE2334" s="10"/>
      <c r="AF2334" s="10"/>
      <c r="AG2334" s="10"/>
      <c r="AH2334" s="10"/>
      <c r="AI2334" s="10"/>
      <c r="AJ2334" s="10"/>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M2334" s="10"/>
    </row>
    <row r="2335" spans="1:65" ht="12.75">
      <c r="A2335" s="9"/>
      <c r="B2335" s="10"/>
      <c r="C2335" s="11"/>
      <c r="D2335" s="12"/>
      <c r="E2335" s="10"/>
      <c r="F2335" s="10"/>
      <c r="G2335" s="10"/>
      <c r="H2335" s="14"/>
      <c r="I2335" s="14"/>
      <c r="J2335" s="14"/>
      <c r="K2335" s="14"/>
      <c r="L2335" s="14"/>
      <c r="M2335" s="15"/>
      <c r="N2335" s="10"/>
      <c r="O2335" s="14"/>
      <c r="P2335" s="14"/>
      <c r="Q2335" s="14"/>
      <c r="R2335" s="14"/>
      <c r="S2335" s="14"/>
      <c r="T2335" s="14"/>
      <c r="U2335" s="14"/>
      <c r="V2335" s="14"/>
      <c r="W2335" s="14"/>
      <c r="X2335" s="14"/>
      <c r="Y2335" s="14"/>
      <c r="Z2335" s="14"/>
      <c r="AA2335" s="16"/>
      <c r="AB2335" s="10"/>
      <c r="AC2335" s="10"/>
      <c r="AD2335" s="10"/>
      <c r="AE2335" s="10"/>
      <c r="AF2335" s="10"/>
      <c r="AG2335" s="10"/>
      <c r="AH2335" s="10"/>
      <c r="AI2335" s="10"/>
      <c r="AJ2335" s="10"/>
      <c r="AK2335" s="10"/>
      <c r="AL2335" s="10"/>
      <c r="AM2335" s="10"/>
      <c r="AN2335" s="10"/>
      <c r="AO2335" s="10"/>
      <c r="AP2335" s="10"/>
      <c r="AQ2335" s="10"/>
      <c r="AR2335" s="10"/>
      <c r="AS2335" s="10"/>
      <c r="AT2335" s="10"/>
      <c r="AU2335" s="10"/>
      <c r="AV2335" s="10"/>
      <c r="AW2335" s="10"/>
      <c r="AX2335" s="10"/>
      <c r="AY2335" s="10"/>
      <c r="AZ2335" s="10"/>
      <c r="BA2335" s="10"/>
      <c r="BB2335" s="10"/>
      <c r="BC2335" s="10"/>
      <c r="BD2335" s="10"/>
      <c r="BE2335" s="10"/>
      <c r="BF2335" s="10"/>
      <c r="BG2335" s="10"/>
      <c r="BH2335" s="10"/>
      <c r="BI2335" s="10"/>
      <c r="BJ2335" s="10"/>
      <c r="BK2335" s="10"/>
      <c r="BM2335" s="10"/>
    </row>
    <row r="2336" spans="1:65" ht="12.75">
      <c r="A2336" s="9"/>
      <c r="B2336" s="10"/>
      <c r="C2336" s="11"/>
      <c r="D2336" s="12"/>
      <c r="E2336" s="10"/>
      <c r="F2336" s="10"/>
      <c r="G2336" s="10"/>
      <c r="H2336" s="14"/>
      <c r="I2336" s="14"/>
      <c r="J2336" s="14"/>
      <c r="K2336" s="14"/>
      <c r="L2336" s="14"/>
      <c r="M2336" s="15"/>
      <c r="N2336" s="10"/>
      <c r="O2336" s="14"/>
      <c r="P2336" s="14"/>
      <c r="Q2336" s="14"/>
      <c r="R2336" s="14"/>
      <c r="S2336" s="14"/>
      <c r="T2336" s="14"/>
      <c r="U2336" s="14"/>
      <c r="V2336" s="14"/>
      <c r="W2336" s="14"/>
      <c r="X2336" s="14"/>
      <c r="Y2336" s="14"/>
      <c r="Z2336" s="14"/>
      <c r="AA2336" s="16"/>
      <c r="AB2336" s="10"/>
      <c r="AC2336" s="10"/>
      <c r="AD2336" s="10"/>
      <c r="AE2336" s="10"/>
      <c r="AF2336" s="10"/>
      <c r="AG2336" s="10"/>
      <c r="AH2336" s="10"/>
      <c r="AI2336" s="10"/>
      <c r="AJ2336" s="10"/>
      <c r="AK2336" s="10"/>
      <c r="AL2336" s="10"/>
      <c r="AM2336" s="10"/>
      <c r="AN2336" s="10"/>
      <c r="AO2336" s="10"/>
      <c r="AP2336" s="10"/>
      <c r="AQ2336" s="10"/>
      <c r="AR2336" s="10"/>
      <c r="AS2336" s="10"/>
      <c r="AT2336" s="10"/>
      <c r="AU2336" s="10"/>
      <c r="AV2336" s="10"/>
      <c r="AW2336" s="10"/>
      <c r="AX2336" s="10"/>
      <c r="AY2336" s="10"/>
      <c r="AZ2336" s="10"/>
      <c r="BA2336" s="10"/>
      <c r="BB2336" s="10"/>
      <c r="BC2336" s="10"/>
      <c r="BD2336" s="10"/>
      <c r="BE2336" s="10"/>
      <c r="BF2336" s="10"/>
      <c r="BG2336" s="10"/>
      <c r="BH2336" s="10"/>
      <c r="BI2336" s="10"/>
      <c r="BJ2336" s="10"/>
      <c r="BK2336" s="10"/>
      <c r="BM2336" s="10"/>
    </row>
    <row r="2337" spans="1:65" ht="12.75">
      <c r="A2337" s="9"/>
      <c r="B2337" s="10"/>
      <c r="C2337" s="11"/>
      <c r="D2337" s="12"/>
      <c r="E2337" s="10"/>
      <c r="F2337" s="10"/>
      <c r="G2337" s="10"/>
      <c r="H2337" s="14"/>
      <c r="I2337" s="14"/>
      <c r="J2337" s="14"/>
      <c r="K2337" s="14"/>
      <c r="L2337" s="14"/>
      <c r="M2337" s="15"/>
      <c r="N2337" s="10"/>
      <c r="O2337" s="14"/>
      <c r="P2337" s="14"/>
      <c r="Q2337" s="14"/>
      <c r="R2337" s="14"/>
      <c r="S2337" s="14"/>
      <c r="T2337" s="14"/>
      <c r="U2337" s="14"/>
      <c r="V2337" s="14"/>
      <c r="W2337" s="14"/>
      <c r="X2337" s="14"/>
      <c r="Y2337" s="14"/>
      <c r="Z2337" s="14"/>
      <c r="AA2337" s="16"/>
      <c r="AB2337" s="10"/>
      <c r="AC2337" s="10"/>
      <c r="AD2337" s="10"/>
      <c r="AE2337" s="10"/>
      <c r="AF2337" s="10"/>
      <c r="AG2337" s="10"/>
      <c r="AH2337" s="10"/>
      <c r="AI2337" s="10"/>
      <c r="AJ2337" s="10"/>
      <c r="AK2337" s="10"/>
      <c r="AL2337" s="10"/>
      <c r="AM2337" s="10"/>
      <c r="AN2337" s="10"/>
      <c r="AO2337" s="10"/>
      <c r="AP2337" s="10"/>
      <c r="AQ2337" s="10"/>
      <c r="AR2337" s="10"/>
      <c r="AS2337" s="10"/>
      <c r="AT2337" s="10"/>
      <c r="AU2337" s="10"/>
      <c r="AV2337" s="10"/>
      <c r="AW2337" s="10"/>
      <c r="AX2337" s="10"/>
      <c r="AY2337" s="10"/>
      <c r="AZ2337" s="10"/>
      <c r="BA2337" s="10"/>
      <c r="BB2337" s="10"/>
      <c r="BC2337" s="10"/>
      <c r="BD2337" s="10"/>
      <c r="BE2337" s="10"/>
      <c r="BF2337" s="10"/>
      <c r="BG2337" s="10"/>
      <c r="BH2337" s="10"/>
      <c r="BI2337" s="10"/>
      <c r="BJ2337" s="10"/>
      <c r="BK2337" s="10"/>
      <c r="BM2337" s="10"/>
    </row>
    <row r="2338" spans="1:65" ht="12.75">
      <c r="A2338" s="9"/>
      <c r="B2338" s="10"/>
      <c r="C2338" s="11"/>
      <c r="D2338" s="12"/>
      <c r="E2338" s="10"/>
      <c r="F2338" s="10"/>
      <c r="G2338" s="10"/>
      <c r="H2338" s="14"/>
      <c r="I2338" s="14"/>
      <c r="J2338" s="14"/>
      <c r="K2338" s="14"/>
      <c r="L2338" s="14"/>
      <c r="M2338" s="15"/>
      <c r="N2338" s="10"/>
      <c r="O2338" s="14"/>
      <c r="P2338" s="14"/>
      <c r="Q2338" s="14"/>
      <c r="R2338" s="14"/>
      <c r="S2338" s="14"/>
      <c r="T2338" s="14"/>
      <c r="U2338" s="14"/>
      <c r="V2338" s="14"/>
      <c r="W2338" s="14"/>
      <c r="X2338" s="14"/>
      <c r="Y2338" s="14"/>
      <c r="Z2338" s="14"/>
      <c r="AA2338" s="16"/>
      <c r="AB2338" s="10"/>
      <c r="AC2338" s="10"/>
      <c r="AD2338" s="10"/>
      <c r="AE2338" s="10"/>
      <c r="AF2338" s="10"/>
      <c r="AG2338" s="10"/>
      <c r="AH2338" s="10"/>
      <c r="AI2338" s="10"/>
      <c r="AJ2338" s="10"/>
      <c r="AK2338" s="10"/>
      <c r="AL2338" s="10"/>
      <c r="AM2338" s="10"/>
      <c r="AN2338" s="10"/>
      <c r="AO2338" s="10"/>
      <c r="AP2338" s="10"/>
      <c r="AQ2338" s="10"/>
      <c r="AR2338" s="10"/>
      <c r="AS2338" s="10"/>
      <c r="AT2338" s="10"/>
      <c r="AU2338" s="10"/>
      <c r="AV2338" s="10"/>
      <c r="AW2338" s="10"/>
      <c r="AX2338" s="10"/>
      <c r="AY2338" s="10"/>
      <c r="AZ2338" s="10"/>
      <c r="BA2338" s="10"/>
      <c r="BB2338" s="10"/>
      <c r="BC2338" s="10"/>
      <c r="BD2338" s="10"/>
      <c r="BE2338" s="10"/>
      <c r="BF2338" s="10"/>
      <c r="BG2338" s="10"/>
      <c r="BH2338" s="10"/>
      <c r="BI2338" s="10"/>
      <c r="BJ2338" s="10"/>
      <c r="BK2338" s="10"/>
      <c r="BM2338" s="10"/>
    </row>
    <row r="2339" spans="1:65" ht="12.75">
      <c r="A2339" s="9"/>
      <c r="B2339" s="10"/>
      <c r="C2339" s="11"/>
      <c r="D2339" s="12"/>
      <c r="E2339" s="10"/>
      <c r="F2339" s="10"/>
      <c r="G2339" s="10"/>
      <c r="H2339" s="14"/>
      <c r="I2339" s="14"/>
      <c r="J2339" s="14"/>
      <c r="K2339" s="14"/>
      <c r="L2339" s="14"/>
      <c r="M2339" s="15"/>
      <c r="N2339" s="10"/>
      <c r="O2339" s="14"/>
      <c r="P2339" s="14"/>
      <c r="Q2339" s="14"/>
      <c r="R2339" s="14"/>
      <c r="S2339" s="14"/>
      <c r="T2339" s="14"/>
      <c r="U2339" s="14"/>
      <c r="V2339" s="14"/>
      <c r="W2339" s="14"/>
      <c r="X2339" s="14"/>
      <c r="Y2339" s="14"/>
      <c r="Z2339" s="14"/>
      <c r="AA2339" s="16"/>
      <c r="AB2339" s="10"/>
      <c r="AC2339" s="10"/>
      <c r="AD2339" s="10"/>
      <c r="AE2339" s="10"/>
      <c r="AF2339" s="10"/>
      <c r="AG2339" s="10"/>
      <c r="AH2339" s="10"/>
      <c r="AI2339" s="10"/>
      <c r="AJ2339" s="10"/>
      <c r="AK2339" s="10"/>
      <c r="AL2339" s="10"/>
      <c r="AM2339" s="10"/>
      <c r="AN2339" s="10"/>
      <c r="AO2339" s="10"/>
      <c r="AP2339" s="10"/>
      <c r="AQ2339" s="10"/>
      <c r="AR2339" s="10"/>
      <c r="AS2339" s="10"/>
      <c r="AT2339" s="10"/>
      <c r="AU2339" s="10"/>
      <c r="AV2339" s="10"/>
      <c r="AW2339" s="10"/>
      <c r="AX2339" s="10"/>
      <c r="AY2339" s="10"/>
      <c r="AZ2339" s="10"/>
      <c r="BA2339" s="10"/>
      <c r="BB2339" s="10"/>
      <c r="BC2339" s="10"/>
      <c r="BD2339" s="10"/>
      <c r="BE2339" s="10"/>
      <c r="BF2339" s="10"/>
      <c r="BG2339" s="10"/>
      <c r="BH2339" s="10"/>
      <c r="BI2339" s="10"/>
      <c r="BJ2339" s="10"/>
      <c r="BK2339" s="10"/>
      <c r="BM2339" s="10"/>
    </row>
    <row r="2340" spans="1:65" ht="12.75">
      <c r="A2340" s="9"/>
      <c r="B2340" s="10"/>
      <c r="C2340" s="11"/>
      <c r="D2340" s="12"/>
      <c r="E2340" s="10"/>
      <c r="F2340" s="10"/>
      <c r="G2340" s="10"/>
      <c r="H2340" s="14"/>
      <c r="I2340" s="14"/>
      <c r="J2340" s="14"/>
      <c r="K2340" s="14"/>
      <c r="L2340" s="14"/>
      <c r="M2340" s="15"/>
      <c r="N2340" s="10"/>
      <c r="O2340" s="14"/>
      <c r="P2340" s="14"/>
      <c r="Q2340" s="14"/>
      <c r="R2340" s="14"/>
      <c r="S2340" s="14"/>
      <c r="T2340" s="14"/>
      <c r="U2340" s="14"/>
      <c r="V2340" s="14"/>
      <c r="W2340" s="14"/>
      <c r="X2340" s="14"/>
      <c r="Y2340" s="14"/>
      <c r="Z2340" s="14"/>
      <c r="AA2340" s="16"/>
      <c r="AB2340" s="10"/>
      <c r="AC2340" s="10"/>
      <c r="AD2340" s="10"/>
      <c r="AE2340" s="10"/>
      <c r="AF2340" s="10"/>
      <c r="AG2340" s="10"/>
      <c r="AH2340" s="10"/>
      <c r="AI2340" s="10"/>
      <c r="AJ2340" s="10"/>
      <c r="AK2340" s="10"/>
      <c r="AL2340" s="10"/>
      <c r="AM2340" s="10"/>
      <c r="AN2340" s="10"/>
      <c r="AO2340" s="10"/>
      <c r="AP2340" s="10"/>
      <c r="AQ2340" s="10"/>
      <c r="AR2340" s="10"/>
      <c r="AS2340" s="10"/>
      <c r="AT2340" s="10"/>
      <c r="AU2340" s="10"/>
      <c r="AV2340" s="10"/>
      <c r="AW2340" s="10"/>
      <c r="AX2340" s="10"/>
      <c r="AY2340" s="10"/>
      <c r="AZ2340" s="10"/>
      <c r="BA2340" s="10"/>
      <c r="BB2340" s="10"/>
      <c r="BC2340" s="10"/>
      <c r="BD2340" s="10"/>
      <c r="BE2340" s="10"/>
      <c r="BF2340" s="10"/>
      <c r="BG2340" s="10"/>
      <c r="BH2340" s="10"/>
      <c r="BI2340" s="10"/>
      <c r="BJ2340" s="10"/>
      <c r="BK2340" s="10"/>
      <c r="BM2340" s="10"/>
    </row>
    <row r="2341" spans="1:65" ht="12.75">
      <c r="A2341" s="9"/>
      <c r="B2341" s="10"/>
      <c r="C2341" s="11"/>
      <c r="D2341" s="12"/>
      <c r="E2341" s="10"/>
      <c r="F2341" s="10"/>
      <c r="G2341" s="10"/>
      <c r="H2341" s="14"/>
      <c r="I2341" s="14"/>
      <c r="J2341" s="14"/>
      <c r="K2341" s="14"/>
      <c r="L2341" s="14"/>
      <c r="M2341" s="15"/>
      <c r="N2341" s="10"/>
      <c r="O2341" s="14"/>
      <c r="P2341" s="14"/>
      <c r="Q2341" s="14"/>
      <c r="R2341" s="14"/>
      <c r="S2341" s="14"/>
      <c r="T2341" s="14"/>
      <c r="U2341" s="14"/>
      <c r="V2341" s="14"/>
      <c r="W2341" s="14"/>
      <c r="X2341" s="14"/>
      <c r="Y2341" s="14"/>
      <c r="Z2341" s="14"/>
      <c r="AA2341" s="16"/>
      <c r="AB2341" s="10"/>
      <c r="AC2341" s="10"/>
      <c r="AD2341" s="10"/>
      <c r="AE2341" s="10"/>
      <c r="AF2341" s="10"/>
      <c r="AG2341" s="10"/>
      <c r="AH2341" s="10"/>
      <c r="AI2341" s="10"/>
      <c r="AJ2341" s="10"/>
      <c r="AK2341" s="10"/>
      <c r="AL2341" s="10"/>
      <c r="AM2341" s="10"/>
      <c r="AN2341" s="10"/>
      <c r="AO2341" s="10"/>
      <c r="AP2341" s="10"/>
      <c r="AQ2341" s="10"/>
      <c r="AR2341" s="10"/>
      <c r="AS2341" s="10"/>
      <c r="AT2341" s="10"/>
      <c r="AU2341" s="10"/>
      <c r="AV2341" s="10"/>
      <c r="AW2341" s="10"/>
      <c r="AX2341" s="10"/>
      <c r="AY2341" s="10"/>
      <c r="AZ2341" s="10"/>
      <c r="BA2341" s="10"/>
      <c r="BB2341" s="10"/>
      <c r="BC2341" s="10"/>
      <c r="BD2341" s="10"/>
      <c r="BE2341" s="10"/>
      <c r="BF2341" s="10"/>
      <c r="BG2341" s="10"/>
      <c r="BH2341" s="10"/>
      <c r="BI2341" s="10"/>
      <c r="BJ2341" s="10"/>
      <c r="BK2341" s="10"/>
      <c r="BM2341" s="10"/>
    </row>
    <row r="2342" spans="1:65" ht="12.75">
      <c r="A2342" s="9"/>
      <c r="B2342" s="10"/>
      <c r="C2342" s="11"/>
      <c r="D2342" s="12"/>
      <c r="E2342" s="10"/>
      <c r="F2342" s="10"/>
      <c r="G2342" s="10"/>
      <c r="H2342" s="14"/>
      <c r="I2342" s="14"/>
      <c r="J2342" s="14"/>
      <c r="K2342" s="14"/>
      <c r="L2342" s="14"/>
      <c r="M2342" s="15"/>
      <c r="N2342" s="10"/>
      <c r="O2342" s="14"/>
      <c r="P2342" s="14"/>
      <c r="Q2342" s="14"/>
      <c r="R2342" s="14"/>
      <c r="S2342" s="14"/>
      <c r="T2342" s="14"/>
      <c r="U2342" s="14"/>
      <c r="V2342" s="14"/>
      <c r="W2342" s="14"/>
      <c r="X2342" s="14"/>
      <c r="Y2342" s="14"/>
      <c r="Z2342" s="14"/>
      <c r="AA2342" s="16"/>
      <c r="AB2342" s="10"/>
      <c r="AC2342" s="10"/>
      <c r="AD2342" s="10"/>
      <c r="AE2342" s="10"/>
      <c r="AF2342" s="10"/>
      <c r="AG2342" s="10"/>
      <c r="AH2342" s="10"/>
      <c r="AI2342" s="10"/>
      <c r="AJ2342" s="10"/>
      <c r="AK2342" s="10"/>
      <c r="AL2342" s="10"/>
      <c r="AM2342" s="10"/>
      <c r="AN2342" s="10"/>
      <c r="AO2342" s="10"/>
      <c r="AP2342" s="10"/>
      <c r="AQ2342" s="10"/>
      <c r="AR2342" s="10"/>
      <c r="AS2342" s="10"/>
      <c r="AT2342" s="10"/>
      <c r="AU2342" s="10"/>
      <c r="AV2342" s="10"/>
      <c r="AW2342" s="10"/>
      <c r="AX2342" s="10"/>
      <c r="AY2342" s="10"/>
      <c r="AZ2342" s="10"/>
      <c r="BA2342" s="10"/>
      <c r="BB2342" s="10"/>
      <c r="BC2342" s="10"/>
      <c r="BD2342" s="10"/>
      <c r="BE2342" s="10"/>
      <c r="BF2342" s="10"/>
      <c r="BG2342" s="10"/>
      <c r="BH2342" s="10"/>
      <c r="BI2342" s="10"/>
      <c r="BJ2342" s="10"/>
      <c r="BK2342" s="10"/>
      <c r="BM2342" s="10"/>
    </row>
    <row r="2343" spans="1:65" ht="12.75">
      <c r="A2343" s="9"/>
      <c r="B2343" s="10"/>
      <c r="C2343" s="11"/>
      <c r="D2343" s="12"/>
      <c r="E2343" s="10"/>
      <c r="F2343" s="10"/>
      <c r="G2343" s="10"/>
      <c r="H2343" s="14"/>
      <c r="I2343" s="14"/>
      <c r="J2343" s="14"/>
      <c r="K2343" s="14"/>
      <c r="L2343" s="14"/>
      <c r="M2343" s="15"/>
      <c r="N2343" s="10"/>
      <c r="O2343" s="14"/>
      <c r="P2343" s="14"/>
      <c r="Q2343" s="14"/>
      <c r="R2343" s="14"/>
      <c r="S2343" s="14"/>
      <c r="T2343" s="14"/>
      <c r="U2343" s="14"/>
      <c r="V2343" s="14"/>
      <c r="W2343" s="14"/>
      <c r="X2343" s="14"/>
      <c r="Y2343" s="14"/>
      <c r="Z2343" s="14"/>
      <c r="AA2343" s="16"/>
      <c r="AB2343" s="10"/>
      <c r="AC2343" s="10"/>
      <c r="AD2343" s="10"/>
      <c r="AE2343" s="10"/>
      <c r="AF2343" s="10"/>
      <c r="AG2343" s="10"/>
      <c r="AH2343" s="10"/>
      <c r="AI2343" s="10"/>
      <c r="AJ2343" s="10"/>
      <c r="AK2343" s="10"/>
      <c r="AL2343" s="10"/>
      <c r="AM2343" s="10"/>
      <c r="AN2343" s="10"/>
      <c r="AO2343" s="10"/>
      <c r="AP2343" s="10"/>
      <c r="AQ2343" s="10"/>
      <c r="AR2343" s="10"/>
      <c r="AS2343" s="10"/>
      <c r="AT2343" s="10"/>
      <c r="AU2343" s="10"/>
      <c r="AV2343" s="10"/>
      <c r="AW2343" s="10"/>
      <c r="AX2343" s="10"/>
      <c r="AY2343" s="10"/>
      <c r="AZ2343" s="10"/>
      <c r="BA2343" s="10"/>
      <c r="BB2343" s="10"/>
      <c r="BC2343" s="10"/>
      <c r="BD2343" s="10"/>
      <c r="BE2343" s="10"/>
      <c r="BF2343" s="10"/>
      <c r="BG2343" s="10"/>
      <c r="BH2343" s="10"/>
      <c r="BI2343" s="10"/>
      <c r="BJ2343" s="10"/>
      <c r="BK2343" s="10"/>
      <c r="BM2343" s="10"/>
    </row>
    <row r="2344" spans="1:65" ht="12.75">
      <c r="A2344" s="9"/>
      <c r="B2344" s="10"/>
      <c r="C2344" s="11"/>
      <c r="D2344" s="12"/>
      <c r="E2344" s="10"/>
      <c r="F2344" s="10"/>
      <c r="G2344" s="10"/>
      <c r="H2344" s="14"/>
      <c r="I2344" s="14"/>
      <c r="J2344" s="14"/>
      <c r="K2344" s="14"/>
      <c r="L2344" s="14"/>
      <c r="M2344" s="15"/>
      <c r="N2344" s="10"/>
      <c r="O2344" s="14"/>
      <c r="P2344" s="14"/>
      <c r="Q2344" s="14"/>
      <c r="R2344" s="14"/>
      <c r="S2344" s="14"/>
      <c r="T2344" s="14"/>
      <c r="U2344" s="14"/>
      <c r="V2344" s="14"/>
      <c r="W2344" s="14"/>
      <c r="X2344" s="14"/>
      <c r="Y2344" s="14"/>
      <c r="Z2344" s="14"/>
      <c r="AA2344" s="16"/>
      <c r="AB2344" s="10"/>
      <c r="AC2344" s="10"/>
      <c r="AD2344" s="10"/>
      <c r="AE2344" s="10"/>
      <c r="AF2344" s="10"/>
      <c r="AG2344" s="10"/>
      <c r="AH2344" s="10"/>
      <c r="AI2344" s="10"/>
      <c r="AJ2344" s="10"/>
      <c r="AK2344" s="10"/>
      <c r="AL2344" s="10"/>
      <c r="AM2344" s="10"/>
      <c r="AN2344" s="10"/>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c r="BI2344" s="10"/>
      <c r="BJ2344" s="10"/>
      <c r="BK2344" s="10"/>
      <c r="BM2344" s="10"/>
    </row>
    <row r="2345" spans="1:65" ht="12.75">
      <c r="A2345" s="9"/>
      <c r="B2345" s="10"/>
      <c r="C2345" s="11"/>
      <c r="D2345" s="12"/>
      <c r="E2345" s="10"/>
      <c r="F2345" s="10"/>
      <c r="G2345" s="10"/>
      <c r="H2345" s="14"/>
      <c r="I2345" s="14"/>
      <c r="J2345" s="14"/>
      <c r="K2345" s="14"/>
      <c r="L2345" s="14"/>
      <c r="M2345" s="15"/>
      <c r="N2345" s="10"/>
      <c r="O2345" s="14"/>
      <c r="P2345" s="14"/>
      <c r="Q2345" s="14"/>
      <c r="R2345" s="14"/>
      <c r="S2345" s="14"/>
      <c r="T2345" s="14"/>
      <c r="U2345" s="14"/>
      <c r="V2345" s="14"/>
      <c r="W2345" s="14"/>
      <c r="X2345" s="14"/>
      <c r="Y2345" s="14"/>
      <c r="Z2345" s="14"/>
      <c r="AA2345" s="16"/>
      <c r="AB2345" s="10"/>
      <c r="AC2345" s="10"/>
      <c r="AD2345" s="10"/>
      <c r="AE2345" s="10"/>
      <c r="AF2345" s="10"/>
      <c r="AG2345" s="10"/>
      <c r="AH2345" s="10"/>
      <c r="AI2345" s="10"/>
      <c r="AJ2345" s="10"/>
      <c r="AK2345" s="10"/>
      <c r="AL2345" s="10"/>
      <c r="AM2345" s="10"/>
      <c r="AN2345" s="10"/>
      <c r="AO2345" s="10"/>
      <c r="AP2345" s="10"/>
      <c r="AQ2345" s="10"/>
      <c r="AR2345" s="10"/>
      <c r="AS2345" s="10"/>
      <c r="AT2345" s="10"/>
      <c r="AU2345" s="10"/>
      <c r="AV2345" s="10"/>
      <c r="AW2345" s="10"/>
      <c r="AX2345" s="10"/>
      <c r="AY2345" s="10"/>
      <c r="AZ2345" s="10"/>
      <c r="BA2345" s="10"/>
      <c r="BB2345" s="10"/>
      <c r="BC2345" s="10"/>
      <c r="BD2345" s="10"/>
      <c r="BE2345" s="10"/>
      <c r="BF2345" s="10"/>
      <c r="BG2345" s="10"/>
      <c r="BH2345" s="10"/>
      <c r="BI2345" s="10"/>
      <c r="BJ2345" s="10"/>
      <c r="BK2345" s="10"/>
      <c r="BM2345" s="10"/>
    </row>
    <row r="2346" spans="1:65" ht="12.75">
      <c r="A2346" s="9"/>
      <c r="B2346" s="10"/>
      <c r="C2346" s="11"/>
      <c r="D2346" s="12"/>
      <c r="E2346" s="10"/>
      <c r="F2346" s="10"/>
      <c r="G2346" s="10"/>
      <c r="H2346" s="14"/>
      <c r="I2346" s="14"/>
      <c r="J2346" s="14"/>
      <c r="K2346" s="14"/>
      <c r="L2346" s="14"/>
      <c r="M2346" s="15"/>
      <c r="N2346" s="10"/>
      <c r="O2346" s="14"/>
      <c r="P2346" s="14"/>
      <c r="Q2346" s="14"/>
      <c r="R2346" s="14"/>
      <c r="S2346" s="14"/>
      <c r="T2346" s="14"/>
      <c r="U2346" s="14"/>
      <c r="V2346" s="14"/>
      <c r="W2346" s="14"/>
      <c r="X2346" s="14"/>
      <c r="Y2346" s="14"/>
      <c r="Z2346" s="14"/>
      <c r="AA2346" s="16"/>
      <c r="AB2346" s="10"/>
      <c r="AC2346" s="10"/>
      <c r="AD2346" s="10"/>
      <c r="AE2346" s="10"/>
      <c r="AF2346" s="10"/>
      <c r="AG2346" s="10"/>
      <c r="AH2346" s="10"/>
      <c r="AI2346" s="10"/>
      <c r="AJ2346" s="10"/>
      <c r="AK2346" s="10"/>
      <c r="AL2346" s="1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c r="BI2346" s="10"/>
      <c r="BJ2346" s="10"/>
      <c r="BK2346" s="10"/>
      <c r="BM2346" s="10"/>
    </row>
    <row r="2347" spans="1:65" ht="12.75">
      <c r="A2347" s="9"/>
      <c r="B2347" s="10"/>
      <c r="C2347" s="11"/>
      <c r="D2347" s="12"/>
      <c r="E2347" s="10"/>
      <c r="F2347" s="10"/>
      <c r="G2347" s="10"/>
      <c r="H2347" s="14"/>
      <c r="I2347" s="14"/>
      <c r="J2347" s="14"/>
      <c r="K2347" s="14"/>
      <c r="L2347" s="14"/>
      <c r="M2347" s="15"/>
      <c r="N2347" s="10"/>
      <c r="O2347" s="14"/>
      <c r="P2347" s="14"/>
      <c r="Q2347" s="14"/>
      <c r="R2347" s="14"/>
      <c r="S2347" s="14"/>
      <c r="T2347" s="14"/>
      <c r="U2347" s="14"/>
      <c r="V2347" s="14"/>
      <c r="W2347" s="14"/>
      <c r="X2347" s="14"/>
      <c r="Y2347" s="14"/>
      <c r="Z2347" s="14"/>
      <c r="AA2347" s="16"/>
      <c r="AB2347" s="10"/>
      <c r="AC2347" s="10"/>
      <c r="AD2347" s="10"/>
      <c r="AE2347" s="10"/>
      <c r="AF2347" s="10"/>
      <c r="AG2347" s="10"/>
      <c r="AH2347" s="10"/>
      <c r="AI2347" s="10"/>
      <c r="AJ2347" s="10"/>
      <c r="AK2347" s="10"/>
      <c r="AL2347" s="10"/>
      <c r="AM2347" s="10"/>
      <c r="AN2347" s="10"/>
      <c r="AO2347" s="10"/>
      <c r="AP2347" s="10"/>
      <c r="AQ2347" s="10"/>
      <c r="AR2347" s="10"/>
      <c r="AS2347" s="10"/>
      <c r="AT2347" s="10"/>
      <c r="AU2347" s="10"/>
      <c r="AV2347" s="10"/>
      <c r="AW2347" s="10"/>
      <c r="AX2347" s="10"/>
      <c r="AY2347" s="10"/>
      <c r="AZ2347" s="10"/>
      <c r="BA2347" s="10"/>
      <c r="BB2347" s="10"/>
      <c r="BC2347" s="10"/>
      <c r="BD2347" s="10"/>
      <c r="BE2347" s="10"/>
      <c r="BF2347" s="10"/>
      <c r="BG2347" s="10"/>
      <c r="BH2347" s="10"/>
      <c r="BI2347" s="10"/>
      <c r="BJ2347" s="10"/>
      <c r="BK2347" s="10"/>
      <c r="BM2347" s="10"/>
    </row>
    <row r="2348" spans="1:65" ht="12.75">
      <c r="A2348" s="9"/>
      <c r="B2348" s="10"/>
      <c r="C2348" s="11"/>
      <c r="D2348" s="12"/>
      <c r="E2348" s="10"/>
      <c r="F2348" s="10"/>
      <c r="G2348" s="10"/>
      <c r="H2348" s="14"/>
      <c r="I2348" s="14"/>
      <c r="J2348" s="14"/>
      <c r="K2348" s="14"/>
      <c r="L2348" s="14"/>
      <c r="M2348" s="15"/>
      <c r="N2348" s="10"/>
      <c r="O2348" s="14"/>
      <c r="P2348" s="14"/>
      <c r="Q2348" s="14"/>
      <c r="R2348" s="14"/>
      <c r="S2348" s="14"/>
      <c r="T2348" s="14"/>
      <c r="U2348" s="14"/>
      <c r="V2348" s="14"/>
      <c r="W2348" s="14"/>
      <c r="X2348" s="14"/>
      <c r="Y2348" s="14"/>
      <c r="Z2348" s="14"/>
      <c r="AA2348" s="16"/>
      <c r="AB2348" s="10"/>
      <c r="AC2348" s="10"/>
      <c r="AD2348" s="10"/>
      <c r="AE2348" s="10"/>
      <c r="AF2348" s="10"/>
      <c r="AG2348" s="10"/>
      <c r="AH2348" s="10"/>
      <c r="AI2348" s="10"/>
      <c r="AJ2348" s="10"/>
      <c r="AK2348" s="10"/>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c r="BI2348" s="10"/>
      <c r="BJ2348" s="10"/>
      <c r="BK2348" s="10"/>
      <c r="BM2348" s="10"/>
    </row>
    <row r="2349" spans="1:65" ht="12.75">
      <c r="A2349" s="9"/>
      <c r="B2349" s="10"/>
      <c r="C2349" s="11"/>
      <c r="D2349" s="12"/>
      <c r="E2349" s="10"/>
      <c r="F2349" s="10"/>
      <c r="G2349" s="10"/>
      <c r="H2349" s="14"/>
      <c r="I2349" s="14"/>
      <c r="J2349" s="14"/>
      <c r="K2349" s="14"/>
      <c r="L2349" s="14"/>
      <c r="M2349" s="15"/>
      <c r="N2349" s="10"/>
      <c r="O2349" s="14"/>
      <c r="P2349" s="14"/>
      <c r="Q2349" s="14"/>
      <c r="R2349" s="14"/>
      <c r="S2349" s="14"/>
      <c r="T2349" s="14"/>
      <c r="U2349" s="14"/>
      <c r="V2349" s="14"/>
      <c r="W2349" s="14"/>
      <c r="X2349" s="14"/>
      <c r="Y2349" s="14"/>
      <c r="Z2349" s="14"/>
      <c r="AA2349" s="16"/>
      <c r="AB2349" s="10"/>
      <c r="AC2349" s="10"/>
      <c r="AD2349" s="10"/>
      <c r="AE2349" s="10"/>
      <c r="AF2349" s="10"/>
      <c r="AG2349" s="10"/>
      <c r="AH2349" s="10"/>
      <c r="AI2349" s="10"/>
      <c r="AJ2349" s="10"/>
      <c r="AK2349" s="10"/>
      <c r="AL2349" s="10"/>
      <c r="AM2349" s="10"/>
      <c r="AN2349" s="10"/>
      <c r="AO2349" s="10"/>
      <c r="AP2349" s="10"/>
      <c r="AQ2349" s="10"/>
      <c r="AR2349" s="10"/>
      <c r="AS2349" s="10"/>
      <c r="AT2349" s="10"/>
      <c r="AU2349" s="10"/>
      <c r="AV2349" s="10"/>
      <c r="AW2349" s="10"/>
      <c r="AX2349" s="10"/>
      <c r="AY2349" s="10"/>
      <c r="AZ2349" s="10"/>
      <c r="BA2349" s="10"/>
      <c r="BB2349" s="10"/>
      <c r="BC2349" s="10"/>
      <c r="BD2349" s="10"/>
      <c r="BE2349" s="10"/>
      <c r="BF2349" s="10"/>
      <c r="BG2349" s="10"/>
      <c r="BH2349" s="10"/>
      <c r="BI2349" s="10"/>
      <c r="BJ2349" s="10"/>
      <c r="BK2349" s="10"/>
      <c r="BM2349" s="10"/>
    </row>
    <row r="2350" spans="1:65" ht="12.75">
      <c r="A2350" s="9"/>
      <c r="B2350" s="10"/>
      <c r="C2350" s="11"/>
      <c r="D2350" s="12"/>
      <c r="E2350" s="10"/>
      <c r="F2350" s="10"/>
      <c r="G2350" s="10"/>
      <c r="H2350" s="14"/>
      <c r="I2350" s="14"/>
      <c r="J2350" s="14"/>
      <c r="K2350" s="14"/>
      <c r="L2350" s="14"/>
      <c r="M2350" s="15"/>
      <c r="N2350" s="10"/>
      <c r="O2350" s="14"/>
      <c r="P2350" s="14"/>
      <c r="Q2350" s="14"/>
      <c r="R2350" s="14"/>
      <c r="S2350" s="14"/>
      <c r="T2350" s="14"/>
      <c r="U2350" s="14"/>
      <c r="V2350" s="14"/>
      <c r="W2350" s="14"/>
      <c r="X2350" s="14"/>
      <c r="Y2350" s="14"/>
      <c r="Z2350" s="14"/>
      <c r="AA2350" s="16"/>
      <c r="AB2350" s="10"/>
      <c r="AC2350" s="10"/>
      <c r="AD2350" s="10"/>
      <c r="AE2350" s="10"/>
      <c r="AF2350" s="10"/>
      <c r="AG2350" s="10"/>
      <c r="AH2350" s="10"/>
      <c r="AI2350" s="10"/>
      <c r="AJ2350" s="10"/>
      <c r="AK2350" s="10"/>
      <c r="AL2350" s="1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c r="BI2350" s="10"/>
      <c r="BJ2350" s="10"/>
      <c r="BK2350" s="10"/>
      <c r="BM2350" s="10"/>
    </row>
    <row r="2351" spans="1:65" ht="12.75">
      <c r="A2351" s="9"/>
      <c r="B2351" s="10"/>
      <c r="C2351" s="11"/>
      <c r="D2351" s="12"/>
      <c r="E2351" s="10"/>
      <c r="F2351" s="10"/>
      <c r="G2351" s="10"/>
      <c r="H2351" s="14"/>
      <c r="I2351" s="14"/>
      <c r="J2351" s="14"/>
      <c r="K2351" s="14"/>
      <c r="L2351" s="14"/>
      <c r="M2351" s="15"/>
      <c r="N2351" s="10"/>
      <c r="O2351" s="14"/>
      <c r="P2351" s="14"/>
      <c r="Q2351" s="14"/>
      <c r="R2351" s="14"/>
      <c r="S2351" s="14"/>
      <c r="T2351" s="14"/>
      <c r="U2351" s="14"/>
      <c r="V2351" s="14"/>
      <c r="W2351" s="14"/>
      <c r="X2351" s="14"/>
      <c r="Y2351" s="14"/>
      <c r="Z2351" s="14"/>
      <c r="AA2351" s="16"/>
      <c r="AB2351" s="10"/>
      <c r="AC2351" s="10"/>
      <c r="AD2351" s="10"/>
      <c r="AE2351" s="10"/>
      <c r="AF2351" s="10"/>
      <c r="AG2351" s="10"/>
      <c r="AH2351" s="10"/>
      <c r="AI2351" s="10"/>
      <c r="AJ2351" s="10"/>
      <c r="AK2351" s="10"/>
      <c r="AL2351" s="10"/>
      <c r="AM2351" s="10"/>
      <c r="AN2351" s="10"/>
      <c r="AO2351" s="10"/>
      <c r="AP2351" s="10"/>
      <c r="AQ2351" s="10"/>
      <c r="AR2351" s="10"/>
      <c r="AS2351" s="10"/>
      <c r="AT2351" s="10"/>
      <c r="AU2351" s="10"/>
      <c r="AV2351" s="10"/>
      <c r="AW2351" s="10"/>
      <c r="AX2351" s="10"/>
      <c r="AY2351" s="10"/>
      <c r="AZ2351" s="10"/>
      <c r="BA2351" s="10"/>
      <c r="BB2351" s="10"/>
      <c r="BC2351" s="10"/>
      <c r="BD2351" s="10"/>
      <c r="BE2351" s="10"/>
      <c r="BF2351" s="10"/>
      <c r="BG2351" s="10"/>
      <c r="BH2351" s="10"/>
      <c r="BI2351" s="10"/>
      <c r="BJ2351" s="10"/>
      <c r="BK2351" s="10"/>
      <c r="BM2351" s="10"/>
    </row>
    <row r="2352" spans="1:65" ht="12.75">
      <c r="A2352" s="9"/>
      <c r="B2352" s="10"/>
      <c r="C2352" s="11"/>
      <c r="D2352" s="12"/>
      <c r="E2352" s="10"/>
      <c r="F2352" s="10"/>
      <c r="G2352" s="10"/>
      <c r="H2352" s="14"/>
      <c r="I2352" s="14"/>
      <c r="J2352" s="14"/>
      <c r="K2352" s="14"/>
      <c r="L2352" s="14"/>
      <c r="M2352" s="15"/>
      <c r="N2352" s="10"/>
      <c r="O2352" s="14"/>
      <c r="P2352" s="14"/>
      <c r="Q2352" s="14"/>
      <c r="R2352" s="14"/>
      <c r="S2352" s="14"/>
      <c r="T2352" s="14"/>
      <c r="U2352" s="14"/>
      <c r="V2352" s="14"/>
      <c r="W2352" s="14"/>
      <c r="X2352" s="14"/>
      <c r="Y2352" s="14"/>
      <c r="Z2352" s="14"/>
      <c r="AA2352" s="16"/>
      <c r="AB2352" s="10"/>
      <c r="AC2352" s="10"/>
      <c r="AD2352" s="10"/>
      <c r="AE2352" s="10"/>
      <c r="AF2352" s="10"/>
      <c r="AG2352" s="10"/>
      <c r="AH2352" s="10"/>
      <c r="AI2352" s="10"/>
      <c r="AJ2352" s="10"/>
      <c r="AK2352" s="10"/>
      <c r="AL2352" s="10"/>
      <c r="AM2352" s="10"/>
      <c r="AN2352" s="10"/>
      <c r="AO2352" s="10"/>
      <c r="AP2352" s="10"/>
      <c r="AQ2352" s="10"/>
      <c r="AR2352" s="10"/>
      <c r="AS2352" s="10"/>
      <c r="AT2352" s="10"/>
      <c r="AU2352" s="10"/>
      <c r="AV2352" s="10"/>
      <c r="AW2352" s="10"/>
      <c r="AX2352" s="10"/>
      <c r="AY2352" s="10"/>
      <c r="AZ2352" s="10"/>
      <c r="BA2352" s="10"/>
      <c r="BB2352" s="10"/>
      <c r="BC2352" s="10"/>
      <c r="BD2352" s="10"/>
      <c r="BE2352" s="10"/>
      <c r="BF2352" s="10"/>
      <c r="BG2352" s="10"/>
      <c r="BH2352" s="10"/>
      <c r="BI2352" s="10"/>
      <c r="BJ2352" s="10"/>
      <c r="BK2352" s="10"/>
      <c r="BM2352" s="10"/>
    </row>
    <row r="2353" spans="1:65" ht="12.75">
      <c r="A2353" s="9"/>
      <c r="B2353" s="10"/>
      <c r="C2353" s="11"/>
      <c r="D2353" s="12"/>
      <c r="E2353" s="10"/>
      <c r="F2353" s="10"/>
      <c r="G2353" s="10"/>
      <c r="H2353" s="14"/>
      <c r="I2353" s="14"/>
      <c r="J2353" s="14"/>
      <c r="K2353" s="14"/>
      <c r="L2353" s="14"/>
      <c r="M2353" s="15"/>
      <c r="N2353" s="10"/>
      <c r="O2353" s="14"/>
      <c r="P2353" s="14"/>
      <c r="Q2353" s="14"/>
      <c r="R2353" s="14"/>
      <c r="S2353" s="14"/>
      <c r="T2353" s="14"/>
      <c r="U2353" s="14"/>
      <c r="V2353" s="14"/>
      <c r="W2353" s="14"/>
      <c r="X2353" s="14"/>
      <c r="Y2353" s="14"/>
      <c r="Z2353" s="14"/>
      <c r="AA2353" s="16"/>
      <c r="AB2353" s="10"/>
      <c r="AC2353" s="10"/>
      <c r="AD2353" s="10"/>
      <c r="AE2353" s="10"/>
      <c r="AF2353" s="10"/>
      <c r="AG2353" s="10"/>
      <c r="AH2353" s="10"/>
      <c r="AI2353" s="10"/>
      <c r="AJ2353" s="10"/>
      <c r="AK2353" s="10"/>
      <c r="AL2353" s="10"/>
      <c r="AM2353" s="10"/>
      <c r="AN2353" s="10"/>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M2353" s="10"/>
    </row>
    <row r="2354" spans="1:65" ht="12.75">
      <c r="A2354" s="9"/>
      <c r="B2354" s="10"/>
      <c r="C2354" s="11"/>
      <c r="D2354" s="12"/>
      <c r="E2354" s="10"/>
      <c r="F2354" s="10"/>
      <c r="G2354" s="10"/>
      <c r="H2354" s="14"/>
      <c r="I2354" s="14"/>
      <c r="J2354" s="14"/>
      <c r="K2354" s="14"/>
      <c r="L2354" s="14"/>
      <c r="M2354" s="15"/>
      <c r="N2354" s="10"/>
      <c r="O2354" s="14"/>
      <c r="P2354" s="14"/>
      <c r="Q2354" s="14"/>
      <c r="R2354" s="14"/>
      <c r="S2354" s="14"/>
      <c r="T2354" s="14"/>
      <c r="U2354" s="14"/>
      <c r="V2354" s="14"/>
      <c r="W2354" s="14"/>
      <c r="X2354" s="14"/>
      <c r="Y2354" s="14"/>
      <c r="Z2354" s="14"/>
      <c r="AA2354" s="16"/>
      <c r="AB2354" s="10"/>
      <c r="AC2354" s="10"/>
      <c r="AD2354" s="10"/>
      <c r="AE2354" s="10"/>
      <c r="AF2354" s="10"/>
      <c r="AG2354" s="10"/>
      <c r="AH2354" s="10"/>
      <c r="AI2354" s="10"/>
      <c r="AJ2354" s="10"/>
      <c r="AK2354" s="10"/>
      <c r="AL2354" s="10"/>
      <c r="AM2354" s="10"/>
      <c r="AN2354" s="10"/>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M2354" s="10"/>
    </row>
    <row r="2355" spans="1:65" ht="12.75">
      <c r="A2355" s="9"/>
      <c r="B2355" s="10"/>
      <c r="C2355" s="11"/>
      <c r="D2355" s="12"/>
      <c r="E2355" s="10"/>
      <c r="F2355" s="10"/>
      <c r="G2355" s="10"/>
      <c r="H2355" s="14"/>
      <c r="I2355" s="14"/>
      <c r="J2355" s="14"/>
      <c r="K2355" s="14"/>
      <c r="L2355" s="14"/>
      <c r="M2355" s="15"/>
      <c r="N2355" s="10"/>
      <c r="O2355" s="14"/>
      <c r="P2355" s="14"/>
      <c r="Q2355" s="14"/>
      <c r="R2355" s="14"/>
      <c r="S2355" s="14"/>
      <c r="T2355" s="14"/>
      <c r="U2355" s="14"/>
      <c r="V2355" s="14"/>
      <c r="W2355" s="14"/>
      <c r="X2355" s="14"/>
      <c r="Y2355" s="14"/>
      <c r="Z2355" s="14"/>
      <c r="AA2355" s="16"/>
      <c r="AB2355" s="10"/>
      <c r="AC2355" s="10"/>
      <c r="AD2355" s="10"/>
      <c r="AE2355" s="10"/>
      <c r="AF2355" s="10"/>
      <c r="AG2355" s="10"/>
      <c r="AH2355" s="10"/>
      <c r="AI2355" s="10"/>
      <c r="AJ2355" s="10"/>
      <c r="AK2355" s="10"/>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M2355" s="10"/>
    </row>
    <row r="2356" spans="1:65" ht="12.75">
      <c r="A2356" s="9"/>
      <c r="B2356" s="10"/>
      <c r="C2356" s="11"/>
      <c r="D2356" s="12"/>
      <c r="E2356" s="10"/>
      <c r="F2356" s="10"/>
      <c r="G2356" s="10"/>
      <c r="H2356" s="14"/>
      <c r="I2356" s="14"/>
      <c r="J2356" s="14"/>
      <c r="K2356" s="14"/>
      <c r="L2356" s="14"/>
      <c r="M2356" s="15"/>
      <c r="N2356" s="10"/>
      <c r="O2356" s="14"/>
      <c r="P2356" s="14"/>
      <c r="Q2356" s="14"/>
      <c r="R2356" s="14"/>
      <c r="S2356" s="14"/>
      <c r="T2356" s="14"/>
      <c r="U2356" s="14"/>
      <c r="V2356" s="14"/>
      <c r="W2356" s="14"/>
      <c r="X2356" s="14"/>
      <c r="Y2356" s="14"/>
      <c r="Z2356" s="14"/>
      <c r="AA2356" s="16"/>
      <c r="AB2356" s="10"/>
      <c r="AC2356" s="10"/>
      <c r="AD2356" s="10"/>
      <c r="AE2356" s="10"/>
      <c r="AF2356" s="10"/>
      <c r="AG2356" s="10"/>
      <c r="AH2356" s="10"/>
      <c r="AI2356" s="10"/>
      <c r="AJ2356" s="10"/>
      <c r="AK2356" s="10"/>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10"/>
      <c r="BJ2356" s="10"/>
      <c r="BK2356" s="10"/>
      <c r="BM2356" s="10"/>
    </row>
    <row r="2357" spans="1:65" ht="12.75">
      <c r="A2357" s="9"/>
      <c r="B2357" s="10"/>
      <c r="C2357" s="11"/>
      <c r="D2357" s="12"/>
      <c r="E2357" s="10"/>
      <c r="F2357" s="10"/>
      <c r="G2357" s="10"/>
      <c r="H2357" s="14"/>
      <c r="I2357" s="14"/>
      <c r="J2357" s="14"/>
      <c r="K2357" s="14"/>
      <c r="L2357" s="14"/>
      <c r="M2357" s="15"/>
      <c r="N2357" s="10"/>
      <c r="O2357" s="14"/>
      <c r="P2357" s="14"/>
      <c r="Q2357" s="14"/>
      <c r="R2357" s="14"/>
      <c r="S2357" s="14"/>
      <c r="T2357" s="14"/>
      <c r="U2357" s="14"/>
      <c r="V2357" s="14"/>
      <c r="W2357" s="14"/>
      <c r="X2357" s="14"/>
      <c r="Y2357" s="14"/>
      <c r="Z2357" s="14"/>
      <c r="AA2357" s="16"/>
      <c r="AB2357" s="10"/>
      <c r="AC2357" s="10"/>
      <c r="AD2357" s="10"/>
      <c r="AE2357" s="10"/>
      <c r="AF2357" s="10"/>
      <c r="AG2357" s="10"/>
      <c r="AH2357" s="10"/>
      <c r="AI2357" s="10"/>
      <c r="AJ2357" s="10"/>
      <c r="AK2357" s="10"/>
      <c r="AL2357" s="10"/>
      <c r="AM2357" s="10"/>
      <c r="AN2357" s="10"/>
      <c r="AO2357" s="10"/>
      <c r="AP2357" s="10"/>
      <c r="AQ2357" s="10"/>
      <c r="AR2357" s="10"/>
      <c r="AS2357" s="10"/>
      <c r="AT2357" s="10"/>
      <c r="AU2357" s="10"/>
      <c r="AV2357" s="10"/>
      <c r="AW2357" s="10"/>
      <c r="AX2357" s="10"/>
      <c r="AY2357" s="10"/>
      <c r="AZ2357" s="10"/>
      <c r="BA2357" s="10"/>
      <c r="BB2357" s="10"/>
      <c r="BC2357" s="10"/>
      <c r="BD2357" s="10"/>
      <c r="BE2357" s="10"/>
      <c r="BF2357" s="10"/>
      <c r="BG2357" s="10"/>
      <c r="BH2357" s="10"/>
      <c r="BI2357" s="10"/>
      <c r="BJ2357" s="10"/>
      <c r="BK2357" s="10"/>
      <c r="BM2357" s="10"/>
    </row>
    <row r="2358" spans="1:65" ht="12.75">
      <c r="A2358" s="9"/>
      <c r="B2358" s="10"/>
      <c r="C2358" s="11"/>
      <c r="D2358" s="12"/>
      <c r="E2358" s="10"/>
      <c r="F2358" s="10"/>
      <c r="G2358" s="10"/>
      <c r="H2358" s="14"/>
      <c r="I2358" s="14"/>
      <c r="J2358" s="14"/>
      <c r="K2358" s="14"/>
      <c r="L2358" s="14"/>
      <c r="M2358" s="15"/>
      <c r="N2358" s="10"/>
      <c r="O2358" s="14"/>
      <c r="P2358" s="14"/>
      <c r="Q2358" s="14"/>
      <c r="R2358" s="14"/>
      <c r="S2358" s="14"/>
      <c r="T2358" s="14"/>
      <c r="U2358" s="14"/>
      <c r="V2358" s="14"/>
      <c r="W2358" s="14"/>
      <c r="X2358" s="14"/>
      <c r="Y2358" s="14"/>
      <c r="Z2358" s="14"/>
      <c r="AA2358" s="16"/>
      <c r="AB2358" s="10"/>
      <c r="AC2358" s="10"/>
      <c r="AD2358" s="10"/>
      <c r="AE2358" s="10"/>
      <c r="AF2358" s="10"/>
      <c r="AG2358" s="10"/>
      <c r="AH2358" s="10"/>
      <c r="AI2358" s="10"/>
      <c r="AJ2358" s="10"/>
      <c r="AK2358" s="10"/>
      <c r="AL2358" s="1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10"/>
      <c r="BJ2358" s="10"/>
      <c r="BK2358" s="10"/>
      <c r="BM2358" s="10"/>
    </row>
    <row r="2359" spans="1:65" ht="12.75">
      <c r="A2359" s="9"/>
      <c r="B2359" s="10"/>
      <c r="C2359" s="11"/>
      <c r="D2359" s="12"/>
      <c r="E2359" s="10"/>
      <c r="F2359" s="10"/>
      <c r="G2359" s="10"/>
      <c r="H2359" s="14"/>
      <c r="I2359" s="14"/>
      <c r="J2359" s="14"/>
      <c r="K2359" s="14"/>
      <c r="L2359" s="14"/>
      <c r="M2359" s="15"/>
      <c r="N2359" s="10"/>
      <c r="O2359" s="14"/>
      <c r="P2359" s="14"/>
      <c r="Q2359" s="14"/>
      <c r="R2359" s="14"/>
      <c r="S2359" s="14"/>
      <c r="T2359" s="14"/>
      <c r="U2359" s="14"/>
      <c r="V2359" s="14"/>
      <c r="W2359" s="14"/>
      <c r="X2359" s="14"/>
      <c r="Y2359" s="14"/>
      <c r="Z2359" s="14"/>
      <c r="AA2359" s="16"/>
      <c r="AB2359" s="10"/>
      <c r="AC2359" s="10"/>
      <c r="AD2359" s="10"/>
      <c r="AE2359" s="10"/>
      <c r="AF2359" s="10"/>
      <c r="AG2359" s="10"/>
      <c r="AH2359" s="10"/>
      <c r="AI2359" s="10"/>
      <c r="AJ2359" s="10"/>
      <c r="AK2359" s="10"/>
      <c r="AL2359" s="10"/>
      <c r="AM2359" s="10"/>
      <c r="AN2359" s="10"/>
      <c r="AO2359" s="10"/>
      <c r="AP2359" s="10"/>
      <c r="AQ2359" s="10"/>
      <c r="AR2359" s="10"/>
      <c r="AS2359" s="10"/>
      <c r="AT2359" s="10"/>
      <c r="AU2359" s="10"/>
      <c r="AV2359" s="10"/>
      <c r="AW2359" s="10"/>
      <c r="AX2359" s="10"/>
      <c r="AY2359" s="10"/>
      <c r="AZ2359" s="10"/>
      <c r="BA2359" s="10"/>
      <c r="BB2359" s="10"/>
      <c r="BC2359" s="10"/>
      <c r="BD2359" s="10"/>
      <c r="BE2359" s="10"/>
      <c r="BF2359" s="10"/>
      <c r="BG2359" s="10"/>
      <c r="BH2359" s="10"/>
      <c r="BI2359" s="10"/>
      <c r="BJ2359" s="10"/>
      <c r="BK2359" s="10"/>
      <c r="BM2359" s="10"/>
    </row>
    <row r="2360" spans="1:65" ht="12.75">
      <c r="A2360" s="9"/>
      <c r="B2360" s="10"/>
      <c r="C2360" s="11"/>
      <c r="D2360" s="12"/>
      <c r="E2360" s="10"/>
      <c r="F2360" s="10"/>
      <c r="G2360" s="10"/>
      <c r="H2360" s="14"/>
      <c r="I2360" s="14"/>
      <c r="J2360" s="14"/>
      <c r="K2360" s="14"/>
      <c r="L2360" s="14"/>
      <c r="M2360" s="15"/>
      <c r="N2360" s="10"/>
      <c r="O2360" s="14"/>
      <c r="P2360" s="14"/>
      <c r="Q2360" s="14"/>
      <c r="R2360" s="14"/>
      <c r="S2360" s="14"/>
      <c r="T2360" s="14"/>
      <c r="U2360" s="14"/>
      <c r="V2360" s="14"/>
      <c r="W2360" s="14"/>
      <c r="X2360" s="14"/>
      <c r="Y2360" s="14"/>
      <c r="Z2360" s="14"/>
      <c r="AA2360" s="16"/>
      <c r="AB2360" s="10"/>
      <c r="AC2360" s="10"/>
      <c r="AD2360" s="10"/>
      <c r="AE2360" s="10"/>
      <c r="AF2360" s="10"/>
      <c r="AG2360" s="10"/>
      <c r="AH2360" s="10"/>
      <c r="AI2360" s="10"/>
      <c r="AJ2360" s="10"/>
      <c r="AK2360" s="10"/>
      <c r="AL2360" s="10"/>
      <c r="AM2360" s="10"/>
      <c r="AN2360" s="10"/>
      <c r="AO2360" s="10"/>
      <c r="AP2360" s="10"/>
      <c r="AQ2360" s="10"/>
      <c r="AR2360" s="10"/>
      <c r="AS2360" s="10"/>
      <c r="AT2360" s="10"/>
      <c r="AU2360" s="10"/>
      <c r="AV2360" s="10"/>
      <c r="AW2360" s="10"/>
      <c r="AX2360" s="10"/>
      <c r="AY2360" s="10"/>
      <c r="AZ2360" s="10"/>
      <c r="BA2360" s="10"/>
      <c r="BB2360" s="10"/>
      <c r="BC2360" s="10"/>
      <c r="BD2360" s="10"/>
      <c r="BE2360" s="10"/>
      <c r="BF2360" s="10"/>
      <c r="BG2360" s="10"/>
      <c r="BH2360" s="10"/>
      <c r="BI2360" s="10"/>
      <c r="BJ2360" s="10"/>
      <c r="BK2360" s="10"/>
      <c r="BM2360" s="10"/>
    </row>
    <row r="2361" spans="1:65" ht="12.75">
      <c r="A2361" s="9"/>
      <c r="B2361" s="10"/>
      <c r="C2361" s="11"/>
      <c r="D2361" s="12"/>
      <c r="E2361" s="10"/>
      <c r="F2361" s="10"/>
      <c r="G2361" s="10"/>
      <c r="H2361" s="14"/>
      <c r="I2361" s="14"/>
      <c r="J2361" s="14"/>
      <c r="K2361" s="14"/>
      <c r="L2361" s="14"/>
      <c r="M2361" s="15"/>
      <c r="N2361" s="10"/>
      <c r="O2361" s="14"/>
      <c r="P2361" s="14"/>
      <c r="Q2361" s="14"/>
      <c r="R2361" s="14"/>
      <c r="S2361" s="14"/>
      <c r="T2361" s="14"/>
      <c r="U2361" s="14"/>
      <c r="V2361" s="14"/>
      <c r="W2361" s="14"/>
      <c r="X2361" s="14"/>
      <c r="Y2361" s="14"/>
      <c r="Z2361" s="14"/>
      <c r="AA2361" s="16"/>
      <c r="AB2361" s="10"/>
      <c r="AC2361" s="10"/>
      <c r="AD2361" s="10"/>
      <c r="AE2361" s="10"/>
      <c r="AF2361" s="10"/>
      <c r="AG2361" s="10"/>
      <c r="AH2361" s="10"/>
      <c r="AI2361" s="10"/>
      <c r="AJ2361" s="10"/>
      <c r="AK2361" s="10"/>
      <c r="AL2361" s="10"/>
      <c r="AM2361" s="10"/>
      <c r="AN2361" s="10"/>
      <c r="AO2361" s="10"/>
      <c r="AP2361" s="10"/>
      <c r="AQ2361" s="10"/>
      <c r="AR2361" s="10"/>
      <c r="AS2361" s="10"/>
      <c r="AT2361" s="10"/>
      <c r="AU2361" s="10"/>
      <c r="AV2361" s="10"/>
      <c r="AW2361" s="10"/>
      <c r="AX2361" s="10"/>
      <c r="AY2361" s="10"/>
      <c r="AZ2361" s="10"/>
      <c r="BA2361" s="10"/>
      <c r="BB2361" s="10"/>
      <c r="BC2361" s="10"/>
      <c r="BD2361" s="10"/>
      <c r="BE2361" s="10"/>
      <c r="BF2361" s="10"/>
      <c r="BG2361" s="10"/>
      <c r="BH2361" s="10"/>
      <c r="BI2361" s="10"/>
      <c r="BJ2361" s="10"/>
      <c r="BK2361" s="10"/>
      <c r="BM2361" s="10"/>
    </row>
    <row r="2362" spans="1:65" ht="12.75">
      <c r="A2362" s="9"/>
      <c r="B2362" s="10"/>
      <c r="C2362" s="11"/>
      <c r="D2362" s="12"/>
      <c r="E2362" s="10"/>
      <c r="F2362" s="10"/>
      <c r="G2362" s="10"/>
      <c r="H2362" s="14"/>
      <c r="I2362" s="14"/>
      <c r="J2362" s="14"/>
      <c r="K2362" s="14"/>
      <c r="L2362" s="14"/>
      <c r="M2362" s="15"/>
      <c r="N2362" s="10"/>
      <c r="O2362" s="14"/>
      <c r="P2362" s="14"/>
      <c r="Q2362" s="14"/>
      <c r="R2362" s="14"/>
      <c r="S2362" s="14"/>
      <c r="T2362" s="14"/>
      <c r="U2362" s="14"/>
      <c r="V2362" s="14"/>
      <c r="W2362" s="14"/>
      <c r="X2362" s="14"/>
      <c r="Y2362" s="14"/>
      <c r="Z2362" s="14"/>
      <c r="AA2362" s="16"/>
      <c r="AB2362" s="10"/>
      <c r="AC2362" s="10"/>
      <c r="AD2362" s="10"/>
      <c r="AE2362" s="10"/>
      <c r="AF2362" s="10"/>
      <c r="AG2362" s="10"/>
      <c r="AH2362" s="10"/>
      <c r="AI2362" s="10"/>
      <c r="AJ2362" s="10"/>
      <c r="AK2362" s="10"/>
      <c r="AL2362" s="10"/>
      <c r="AM2362" s="10"/>
      <c r="AN2362" s="10"/>
      <c r="AO2362" s="10"/>
      <c r="AP2362" s="10"/>
      <c r="AQ2362" s="10"/>
      <c r="AR2362" s="10"/>
      <c r="AS2362" s="10"/>
      <c r="AT2362" s="10"/>
      <c r="AU2362" s="10"/>
      <c r="AV2362" s="10"/>
      <c r="AW2362" s="10"/>
      <c r="AX2362" s="10"/>
      <c r="AY2362" s="10"/>
      <c r="AZ2362" s="10"/>
      <c r="BA2362" s="10"/>
      <c r="BB2362" s="10"/>
      <c r="BC2362" s="10"/>
      <c r="BD2362" s="10"/>
      <c r="BE2362" s="10"/>
      <c r="BF2362" s="10"/>
      <c r="BG2362" s="10"/>
      <c r="BH2362" s="10"/>
      <c r="BI2362" s="10"/>
      <c r="BJ2362" s="10"/>
      <c r="BK2362" s="10"/>
      <c r="BM2362" s="10"/>
    </row>
    <row r="2363" spans="1:65" ht="12.75">
      <c r="A2363" s="9"/>
      <c r="B2363" s="10"/>
      <c r="C2363" s="11"/>
      <c r="D2363" s="12"/>
      <c r="E2363" s="10"/>
      <c r="F2363" s="10"/>
      <c r="G2363" s="10"/>
      <c r="H2363" s="14"/>
      <c r="I2363" s="14"/>
      <c r="J2363" s="14"/>
      <c r="K2363" s="14"/>
      <c r="L2363" s="14"/>
      <c r="M2363" s="15"/>
      <c r="N2363" s="10"/>
      <c r="O2363" s="14"/>
      <c r="P2363" s="14"/>
      <c r="Q2363" s="14"/>
      <c r="R2363" s="14"/>
      <c r="S2363" s="14"/>
      <c r="T2363" s="14"/>
      <c r="U2363" s="14"/>
      <c r="V2363" s="14"/>
      <c r="W2363" s="14"/>
      <c r="X2363" s="14"/>
      <c r="Y2363" s="14"/>
      <c r="Z2363" s="14"/>
      <c r="AA2363" s="16"/>
      <c r="AB2363" s="10"/>
      <c r="AC2363" s="10"/>
      <c r="AD2363" s="10"/>
      <c r="AE2363" s="10"/>
      <c r="AF2363" s="10"/>
      <c r="AG2363" s="10"/>
      <c r="AH2363" s="10"/>
      <c r="AI2363" s="10"/>
      <c r="AJ2363" s="10"/>
      <c r="AK2363" s="10"/>
      <c r="AL2363" s="10"/>
      <c r="AM2363" s="10"/>
      <c r="AN2363" s="10"/>
      <c r="AO2363" s="10"/>
      <c r="AP2363" s="10"/>
      <c r="AQ2363" s="10"/>
      <c r="AR2363" s="10"/>
      <c r="AS2363" s="10"/>
      <c r="AT2363" s="10"/>
      <c r="AU2363" s="10"/>
      <c r="AV2363" s="10"/>
      <c r="AW2363" s="10"/>
      <c r="AX2363" s="10"/>
      <c r="AY2363" s="10"/>
      <c r="AZ2363" s="10"/>
      <c r="BA2363" s="10"/>
      <c r="BB2363" s="10"/>
      <c r="BC2363" s="10"/>
      <c r="BD2363" s="10"/>
      <c r="BE2363" s="10"/>
      <c r="BF2363" s="10"/>
      <c r="BG2363" s="10"/>
      <c r="BH2363" s="10"/>
      <c r="BI2363" s="10"/>
      <c r="BJ2363" s="10"/>
      <c r="BK2363" s="10"/>
      <c r="BM2363" s="10"/>
    </row>
    <row r="2364" spans="1:65" ht="12.75">
      <c r="A2364" s="9"/>
      <c r="B2364" s="10"/>
      <c r="C2364" s="11"/>
      <c r="D2364" s="12"/>
      <c r="E2364" s="10"/>
      <c r="F2364" s="10"/>
      <c r="G2364" s="10"/>
      <c r="H2364" s="14"/>
      <c r="I2364" s="14"/>
      <c r="J2364" s="14"/>
      <c r="K2364" s="14"/>
      <c r="L2364" s="14"/>
      <c r="M2364" s="15"/>
      <c r="N2364" s="10"/>
      <c r="O2364" s="14"/>
      <c r="P2364" s="14"/>
      <c r="Q2364" s="14"/>
      <c r="R2364" s="14"/>
      <c r="S2364" s="14"/>
      <c r="T2364" s="14"/>
      <c r="U2364" s="14"/>
      <c r="V2364" s="14"/>
      <c r="W2364" s="14"/>
      <c r="X2364" s="14"/>
      <c r="Y2364" s="14"/>
      <c r="Z2364" s="14"/>
      <c r="AA2364" s="16"/>
      <c r="AB2364" s="10"/>
      <c r="AC2364" s="10"/>
      <c r="AD2364" s="10"/>
      <c r="AE2364" s="10"/>
      <c r="AF2364" s="10"/>
      <c r="AG2364" s="10"/>
      <c r="AH2364" s="10"/>
      <c r="AI2364" s="10"/>
      <c r="AJ2364" s="10"/>
      <c r="AK2364" s="10"/>
      <c r="AL2364" s="10"/>
      <c r="AM2364" s="10"/>
      <c r="AN2364" s="10"/>
      <c r="AO2364" s="10"/>
      <c r="AP2364" s="10"/>
      <c r="AQ2364" s="10"/>
      <c r="AR2364" s="10"/>
      <c r="AS2364" s="10"/>
      <c r="AT2364" s="10"/>
      <c r="AU2364" s="10"/>
      <c r="AV2364" s="10"/>
      <c r="AW2364" s="10"/>
      <c r="AX2364" s="10"/>
      <c r="AY2364" s="10"/>
      <c r="AZ2364" s="10"/>
      <c r="BA2364" s="10"/>
      <c r="BB2364" s="10"/>
      <c r="BC2364" s="10"/>
      <c r="BD2364" s="10"/>
      <c r="BE2364" s="10"/>
      <c r="BF2364" s="10"/>
      <c r="BG2364" s="10"/>
      <c r="BH2364" s="10"/>
      <c r="BI2364" s="10"/>
      <c r="BJ2364" s="10"/>
      <c r="BK2364" s="10"/>
      <c r="BM2364" s="10"/>
    </row>
    <row r="2365" spans="1:65" ht="12.75">
      <c r="A2365" s="9"/>
      <c r="B2365" s="10"/>
      <c r="C2365" s="11"/>
      <c r="D2365" s="12"/>
      <c r="E2365" s="10"/>
      <c r="F2365" s="10"/>
      <c r="G2365" s="10"/>
      <c r="H2365" s="14"/>
      <c r="I2365" s="14"/>
      <c r="J2365" s="14"/>
      <c r="K2365" s="14"/>
      <c r="L2365" s="14"/>
      <c r="M2365" s="15"/>
      <c r="N2365" s="10"/>
      <c r="O2365" s="14"/>
      <c r="P2365" s="14"/>
      <c r="Q2365" s="14"/>
      <c r="R2365" s="14"/>
      <c r="S2365" s="14"/>
      <c r="T2365" s="14"/>
      <c r="U2365" s="14"/>
      <c r="V2365" s="14"/>
      <c r="W2365" s="14"/>
      <c r="X2365" s="14"/>
      <c r="Y2365" s="14"/>
      <c r="Z2365" s="14"/>
      <c r="AA2365" s="16"/>
      <c r="AB2365" s="10"/>
      <c r="AC2365" s="10"/>
      <c r="AD2365" s="10"/>
      <c r="AE2365" s="10"/>
      <c r="AF2365" s="10"/>
      <c r="AG2365" s="10"/>
      <c r="AH2365" s="10"/>
      <c r="AI2365" s="10"/>
      <c r="AJ2365" s="10"/>
      <c r="AK2365" s="10"/>
      <c r="AL2365" s="10"/>
      <c r="AM2365" s="10"/>
      <c r="AN2365" s="10"/>
      <c r="AO2365" s="10"/>
      <c r="AP2365" s="10"/>
      <c r="AQ2365" s="10"/>
      <c r="AR2365" s="10"/>
      <c r="AS2365" s="10"/>
      <c r="AT2365" s="10"/>
      <c r="AU2365" s="10"/>
      <c r="AV2365" s="10"/>
      <c r="AW2365" s="10"/>
      <c r="AX2365" s="10"/>
      <c r="AY2365" s="10"/>
      <c r="AZ2365" s="10"/>
      <c r="BA2365" s="10"/>
      <c r="BB2365" s="10"/>
      <c r="BC2365" s="10"/>
      <c r="BD2365" s="10"/>
      <c r="BE2365" s="10"/>
      <c r="BF2365" s="10"/>
      <c r="BG2365" s="10"/>
      <c r="BH2365" s="10"/>
      <c r="BI2365" s="10"/>
      <c r="BJ2365" s="10"/>
      <c r="BK2365" s="10"/>
      <c r="BM2365" s="10"/>
    </row>
    <row r="2366" spans="1:65" ht="12.75">
      <c r="A2366" s="9"/>
      <c r="B2366" s="10"/>
      <c r="C2366" s="11"/>
      <c r="D2366" s="12"/>
      <c r="E2366" s="10"/>
      <c r="F2366" s="10"/>
      <c r="G2366" s="10"/>
      <c r="H2366" s="14"/>
      <c r="I2366" s="14"/>
      <c r="J2366" s="14"/>
      <c r="K2366" s="14"/>
      <c r="L2366" s="14"/>
      <c r="M2366" s="15"/>
      <c r="N2366" s="10"/>
      <c r="O2366" s="14"/>
      <c r="P2366" s="14"/>
      <c r="Q2366" s="14"/>
      <c r="R2366" s="14"/>
      <c r="S2366" s="14"/>
      <c r="T2366" s="14"/>
      <c r="U2366" s="14"/>
      <c r="V2366" s="14"/>
      <c r="W2366" s="14"/>
      <c r="X2366" s="14"/>
      <c r="Y2366" s="14"/>
      <c r="Z2366" s="14"/>
      <c r="AA2366" s="16"/>
      <c r="AB2366" s="10"/>
      <c r="AC2366" s="10"/>
      <c r="AD2366" s="10"/>
      <c r="AE2366" s="10"/>
      <c r="AF2366" s="10"/>
      <c r="AG2366" s="10"/>
      <c r="AH2366" s="10"/>
      <c r="AI2366" s="10"/>
      <c r="AJ2366" s="10"/>
      <c r="AK2366" s="10"/>
      <c r="AL2366" s="10"/>
      <c r="AM2366" s="10"/>
      <c r="AN2366" s="10"/>
      <c r="AO2366" s="10"/>
      <c r="AP2366" s="10"/>
      <c r="AQ2366" s="10"/>
      <c r="AR2366" s="10"/>
      <c r="AS2366" s="10"/>
      <c r="AT2366" s="10"/>
      <c r="AU2366" s="10"/>
      <c r="AV2366" s="10"/>
      <c r="AW2366" s="10"/>
      <c r="AX2366" s="10"/>
      <c r="AY2366" s="10"/>
      <c r="AZ2366" s="10"/>
      <c r="BA2366" s="10"/>
      <c r="BB2366" s="10"/>
      <c r="BC2366" s="10"/>
      <c r="BD2366" s="10"/>
      <c r="BE2366" s="10"/>
      <c r="BF2366" s="10"/>
      <c r="BG2366" s="10"/>
      <c r="BH2366" s="10"/>
      <c r="BI2366" s="10"/>
      <c r="BJ2366" s="10"/>
      <c r="BK2366" s="10"/>
      <c r="BM2366" s="10"/>
    </row>
    <row r="2367" spans="1:65" ht="12.75">
      <c r="A2367" s="9"/>
      <c r="B2367" s="10"/>
      <c r="C2367" s="11"/>
      <c r="D2367" s="12"/>
      <c r="E2367" s="10"/>
      <c r="F2367" s="10"/>
      <c r="G2367" s="10"/>
      <c r="H2367" s="14"/>
      <c r="I2367" s="14"/>
      <c r="J2367" s="14"/>
      <c r="K2367" s="14"/>
      <c r="L2367" s="14"/>
      <c r="M2367" s="15"/>
      <c r="N2367" s="10"/>
      <c r="O2367" s="14"/>
      <c r="P2367" s="14"/>
      <c r="Q2367" s="14"/>
      <c r="R2367" s="14"/>
      <c r="S2367" s="14"/>
      <c r="T2367" s="14"/>
      <c r="U2367" s="14"/>
      <c r="V2367" s="14"/>
      <c r="W2367" s="14"/>
      <c r="X2367" s="14"/>
      <c r="Y2367" s="14"/>
      <c r="Z2367" s="14"/>
      <c r="AA2367" s="16"/>
      <c r="AB2367" s="10"/>
      <c r="AC2367" s="10"/>
      <c r="AD2367" s="10"/>
      <c r="AE2367" s="10"/>
      <c r="AF2367" s="10"/>
      <c r="AG2367" s="10"/>
      <c r="AH2367" s="10"/>
      <c r="AI2367" s="10"/>
      <c r="AJ2367" s="10"/>
      <c r="AK2367" s="10"/>
      <c r="AL2367" s="1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10"/>
      <c r="BJ2367" s="10"/>
      <c r="BK2367" s="10"/>
      <c r="BM2367" s="10"/>
    </row>
    <row r="2368" spans="1:65" ht="12.75">
      <c r="A2368" s="9"/>
      <c r="B2368" s="10"/>
      <c r="C2368" s="11"/>
      <c r="D2368" s="12"/>
      <c r="E2368" s="10"/>
      <c r="F2368" s="10"/>
      <c r="G2368" s="10"/>
      <c r="H2368" s="14"/>
      <c r="I2368" s="14"/>
      <c r="J2368" s="14"/>
      <c r="K2368" s="14"/>
      <c r="L2368" s="14"/>
      <c r="M2368" s="15"/>
      <c r="N2368" s="10"/>
      <c r="O2368" s="14"/>
      <c r="P2368" s="14"/>
      <c r="Q2368" s="14"/>
      <c r="R2368" s="14"/>
      <c r="S2368" s="14"/>
      <c r="T2368" s="14"/>
      <c r="U2368" s="14"/>
      <c r="V2368" s="14"/>
      <c r="W2368" s="14"/>
      <c r="X2368" s="14"/>
      <c r="Y2368" s="14"/>
      <c r="Z2368" s="14"/>
      <c r="AA2368" s="16"/>
      <c r="AB2368" s="10"/>
      <c r="AC2368" s="10"/>
      <c r="AD2368" s="10"/>
      <c r="AE2368" s="10"/>
      <c r="AF2368" s="10"/>
      <c r="AG2368" s="10"/>
      <c r="AH2368" s="10"/>
      <c r="AI2368" s="10"/>
      <c r="AJ2368" s="10"/>
      <c r="AK2368" s="10"/>
      <c r="AL2368" s="10"/>
      <c r="AM2368" s="10"/>
      <c r="AN2368" s="10"/>
      <c r="AO2368" s="10"/>
      <c r="AP2368" s="10"/>
      <c r="AQ2368" s="10"/>
      <c r="AR2368" s="10"/>
      <c r="AS2368" s="10"/>
      <c r="AT2368" s="10"/>
      <c r="AU2368" s="10"/>
      <c r="AV2368" s="10"/>
      <c r="AW2368" s="10"/>
      <c r="AX2368" s="10"/>
      <c r="AY2368" s="10"/>
      <c r="AZ2368" s="10"/>
      <c r="BA2368" s="10"/>
      <c r="BB2368" s="10"/>
      <c r="BC2368" s="10"/>
      <c r="BD2368" s="10"/>
      <c r="BE2368" s="10"/>
      <c r="BF2368" s="10"/>
      <c r="BG2368" s="10"/>
      <c r="BH2368" s="10"/>
      <c r="BI2368" s="10"/>
      <c r="BJ2368" s="10"/>
      <c r="BK2368" s="10"/>
      <c r="BM2368" s="10"/>
    </row>
    <row r="2369" spans="1:65" ht="12.75">
      <c r="A2369" s="9"/>
      <c r="B2369" s="10"/>
      <c r="C2369" s="11"/>
      <c r="D2369" s="12"/>
      <c r="E2369" s="10"/>
      <c r="F2369" s="10"/>
      <c r="G2369" s="10"/>
      <c r="H2369" s="14"/>
      <c r="I2369" s="14"/>
      <c r="J2369" s="14"/>
      <c r="K2369" s="14"/>
      <c r="L2369" s="14"/>
      <c r="M2369" s="15"/>
      <c r="N2369" s="10"/>
      <c r="O2369" s="14"/>
      <c r="P2369" s="14"/>
      <c r="Q2369" s="14"/>
      <c r="R2369" s="14"/>
      <c r="S2369" s="14"/>
      <c r="T2369" s="14"/>
      <c r="U2369" s="14"/>
      <c r="V2369" s="14"/>
      <c r="W2369" s="14"/>
      <c r="X2369" s="14"/>
      <c r="Y2369" s="14"/>
      <c r="Z2369" s="14"/>
      <c r="AA2369" s="16"/>
      <c r="AB2369" s="10"/>
      <c r="AC2369" s="10"/>
      <c r="AD2369" s="10"/>
      <c r="AE2369" s="10"/>
      <c r="AF2369" s="10"/>
      <c r="AG2369" s="10"/>
      <c r="AH2369" s="10"/>
      <c r="AI2369" s="10"/>
      <c r="AJ2369" s="10"/>
      <c r="AK2369" s="10"/>
      <c r="AL2369" s="10"/>
      <c r="AM2369" s="10"/>
      <c r="AN2369" s="10"/>
      <c r="AO2369" s="10"/>
      <c r="AP2369" s="10"/>
      <c r="AQ2369" s="10"/>
      <c r="AR2369" s="10"/>
      <c r="AS2369" s="10"/>
      <c r="AT2369" s="10"/>
      <c r="AU2369" s="10"/>
      <c r="AV2369" s="10"/>
      <c r="AW2369" s="10"/>
      <c r="AX2369" s="10"/>
      <c r="AY2369" s="10"/>
      <c r="AZ2369" s="10"/>
      <c r="BA2369" s="10"/>
      <c r="BB2369" s="10"/>
      <c r="BC2369" s="10"/>
      <c r="BD2369" s="10"/>
      <c r="BE2369" s="10"/>
      <c r="BF2369" s="10"/>
      <c r="BG2369" s="10"/>
      <c r="BH2369" s="10"/>
      <c r="BI2369" s="10"/>
      <c r="BJ2369" s="10"/>
      <c r="BK2369" s="10"/>
      <c r="BM2369" s="10"/>
    </row>
    <row r="2370" spans="1:65" ht="12.75">
      <c r="A2370" s="9"/>
      <c r="B2370" s="10"/>
      <c r="C2370" s="11"/>
      <c r="D2370" s="12"/>
      <c r="E2370" s="10"/>
      <c r="F2370" s="10"/>
      <c r="G2370" s="10"/>
      <c r="H2370" s="14"/>
      <c r="I2370" s="14"/>
      <c r="J2370" s="14"/>
      <c r="K2370" s="14"/>
      <c r="L2370" s="14"/>
      <c r="M2370" s="15"/>
      <c r="N2370" s="10"/>
      <c r="O2370" s="14"/>
      <c r="P2370" s="14"/>
      <c r="Q2370" s="14"/>
      <c r="R2370" s="14"/>
      <c r="S2370" s="14"/>
      <c r="T2370" s="14"/>
      <c r="U2370" s="14"/>
      <c r="V2370" s="14"/>
      <c r="W2370" s="14"/>
      <c r="X2370" s="14"/>
      <c r="Y2370" s="14"/>
      <c r="Z2370" s="14"/>
      <c r="AA2370" s="16"/>
      <c r="AB2370" s="10"/>
      <c r="AC2370" s="10"/>
      <c r="AD2370" s="10"/>
      <c r="AE2370" s="10"/>
      <c r="AF2370" s="10"/>
      <c r="AG2370" s="10"/>
      <c r="AH2370" s="10"/>
      <c r="AI2370" s="10"/>
      <c r="AJ2370" s="10"/>
      <c r="AK2370" s="10"/>
      <c r="AL2370" s="10"/>
      <c r="AM2370" s="10"/>
      <c r="AN2370" s="10"/>
      <c r="AO2370" s="10"/>
      <c r="AP2370" s="10"/>
      <c r="AQ2370" s="10"/>
      <c r="AR2370" s="10"/>
      <c r="AS2370" s="10"/>
      <c r="AT2370" s="10"/>
      <c r="AU2370" s="10"/>
      <c r="AV2370" s="10"/>
      <c r="AW2370" s="10"/>
      <c r="AX2370" s="10"/>
      <c r="AY2370" s="10"/>
      <c r="AZ2370" s="10"/>
      <c r="BA2370" s="10"/>
      <c r="BB2370" s="10"/>
      <c r="BC2370" s="10"/>
      <c r="BD2370" s="10"/>
      <c r="BE2370" s="10"/>
      <c r="BF2370" s="10"/>
      <c r="BG2370" s="10"/>
      <c r="BH2370" s="10"/>
      <c r="BI2370" s="10"/>
      <c r="BJ2370" s="10"/>
      <c r="BK2370" s="10"/>
      <c r="BM2370" s="10"/>
    </row>
    <row r="2371" spans="1:65" ht="12.75">
      <c r="A2371" s="9"/>
      <c r="B2371" s="10"/>
      <c r="C2371" s="11"/>
      <c r="D2371" s="12"/>
      <c r="E2371" s="10"/>
      <c r="F2371" s="10"/>
      <c r="G2371" s="10"/>
      <c r="H2371" s="14"/>
      <c r="I2371" s="14"/>
      <c r="J2371" s="14"/>
      <c r="K2371" s="14"/>
      <c r="L2371" s="14"/>
      <c r="M2371" s="15"/>
      <c r="N2371" s="10"/>
      <c r="O2371" s="14"/>
      <c r="P2371" s="14"/>
      <c r="Q2371" s="14"/>
      <c r="R2371" s="14"/>
      <c r="S2371" s="14"/>
      <c r="T2371" s="14"/>
      <c r="U2371" s="14"/>
      <c r="V2371" s="14"/>
      <c r="W2371" s="14"/>
      <c r="X2371" s="14"/>
      <c r="Y2371" s="14"/>
      <c r="Z2371" s="14"/>
      <c r="AA2371" s="16"/>
      <c r="AB2371" s="10"/>
      <c r="AC2371" s="10"/>
      <c r="AD2371" s="10"/>
      <c r="AE2371" s="10"/>
      <c r="AF2371" s="10"/>
      <c r="AG2371" s="10"/>
      <c r="AH2371" s="10"/>
      <c r="AI2371" s="10"/>
      <c r="AJ2371" s="10"/>
      <c r="AK2371" s="10"/>
      <c r="AL2371" s="10"/>
      <c r="AM2371" s="10"/>
      <c r="AN2371" s="10"/>
      <c r="AO2371" s="10"/>
      <c r="AP2371" s="10"/>
      <c r="AQ2371" s="10"/>
      <c r="AR2371" s="10"/>
      <c r="AS2371" s="10"/>
      <c r="AT2371" s="10"/>
      <c r="AU2371" s="10"/>
      <c r="AV2371" s="10"/>
      <c r="AW2371" s="10"/>
      <c r="AX2371" s="10"/>
      <c r="AY2371" s="10"/>
      <c r="AZ2371" s="10"/>
      <c r="BA2371" s="10"/>
      <c r="BB2371" s="10"/>
      <c r="BC2371" s="10"/>
      <c r="BD2371" s="10"/>
      <c r="BE2371" s="10"/>
      <c r="BF2371" s="10"/>
      <c r="BG2371" s="10"/>
      <c r="BH2371" s="10"/>
      <c r="BI2371" s="10"/>
      <c r="BJ2371" s="10"/>
      <c r="BK2371" s="10"/>
      <c r="BM2371" s="10"/>
    </row>
    <row r="2372" spans="1:65" ht="12.75">
      <c r="A2372" s="9"/>
      <c r="B2372" s="10"/>
      <c r="C2372" s="11"/>
      <c r="D2372" s="12"/>
      <c r="E2372" s="10"/>
      <c r="F2372" s="10"/>
      <c r="G2372" s="10"/>
      <c r="H2372" s="14"/>
      <c r="I2372" s="14"/>
      <c r="J2372" s="14"/>
      <c r="K2372" s="14"/>
      <c r="L2372" s="14"/>
      <c r="M2372" s="15"/>
      <c r="N2372" s="10"/>
      <c r="O2372" s="14"/>
      <c r="P2372" s="14"/>
      <c r="Q2372" s="14"/>
      <c r="R2372" s="14"/>
      <c r="S2372" s="14"/>
      <c r="T2372" s="14"/>
      <c r="U2372" s="14"/>
      <c r="V2372" s="14"/>
      <c r="W2372" s="14"/>
      <c r="X2372" s="14"/>
      <c r="Y2372" s="14"/>
      <c r="Z2372" s="14"/>
      <c r="AA2372" s="16"/>
      <c r="AB2372" s="10"/>
      <c r="AC2372" s="10"/>
      <c r="AD2372" s="10"/>
      <c r="AE2372" s="10"/>
      <c r="AF2372" s="10"/>
      <c r="AG2372" s="10"/>
      <c r="AH2372" s="10"/>
      <c r="AI2372" s="10"/>
      <c r="AJ2372" s="10"/>
      <c r="AK2372" s="10"/>
      <c r="AL2372" s="1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10"/>
      <c r="BJ2372" s="10"/>
      <c r="BK2372" s="10"/>
      <c r="BM2372" s="10"/>
    </row>
    <row r="2373" spans="1:65" ht="12.75">
      <c r="A2373" s="9"/>
      <c r="B2373" s="10"/>
      <c r="C2373" s="11"/>
      <c r="D2373" s="12"/>
      <c r="E2373" s="10"/>
      <c r="F2373" s="10"/>
      <c r="G2373" s="10"/>
      <c r="H2373" s="14"/>
      <c r="I2373" s="14"/>
      <c r="J2373" s="14"/>
      <c r="K2373" s="14"/>
      <c r="L2373" s="14"/>
      <c r="M2373" s="15"/>
      <c r="N2373" s="10"/>
      <c r="O2373" s="14"/>
      <c r="P2373" s="14"/>
      <c r="Q2373" s="14"/>
      <c r="R2373" s="14"/>
      <c r="S2373" s="14"/>
      <c r="T2373" s="14"/>
      <c r="U2373" s="14"/>
      <c r="V2373" s="14"/>
      <c r="W2373" s="14"/>
      <c r="X2373" s="14"/>
      <c r="Y2373" s="14"/>
      <c r="Z2373" s="14"/>
      <c r="AA2373" s="16"/>
      <c r="AB2373" s="10"/>
      <c r="AC2373" s="10"/>
      <c r="AD2373" s="10"/>
      <c r="AE2373" s="10"/>
      <c r="AF2373" s="10"/>
      <c r="AG2373" s="10"/>
      <c r="AH2373" s="10"/>
      <c r="AI2373" s="10"/>
      <c r="AJ2373" s="10"/>
      <c r="AK2373" s="10"/>
      <c r="AL2373" s="10"/>
      <c r="AM2373" s="10"/>
      <c r="AN2373" s="10"/>
      <c r="AO2373" s="10"/>
      <c r="AP2373" s="10"/>
      <c r="AQ2373" s="10"/>
      <c r="AR2373" s="10"/>
      <c r="AS2373" s="10"/>
      <c r="AT2373" s="10"/>
      <c r="AU2373" s="10"/>
      <c r="AV2373" s="10"/>
      <c r="AW2373" s="10"/>
      <c r="AX2373" s="10"/>
      <c r="AY2373" s="10"/>
      <c r="AZ2373" s="10"/>
      <c r="BA2373" s="10"/>
      <c r="BB2373" s="10"/>
      <c r="BC2373" s="10"/>
      <c r="BD2373" s="10"/>
      <c r="BE2373" s="10"/>
      <c r="BF2373" s="10"/>
      <c r="BG2373" s="10"/>
      <c r="BH2373" s="10"/>
      <c r="BI2373" s="10"/>
      <c r="BJ2373" s="10"/>
      <c r="BK2373" s="10"/>
      <c r="BM2373" s="10"/>
    </row>
    <row r="2374" spans="1:65" ht="12.75">
      <c r="A2374" s="9"/>
      <c r="B2374" s="10"/>
      <c r="C2374" s="11"/>
      <c r="D2374" s="12"/>
      <c r="E2374" s="10"/>
      <c r="F2374" s="10"/>
      <c r="G2374" s="10"/>
      <c r="H2374" s="14"/>
      <c r="I2374" s="14"/>
      <c r="J2374" s="14"/>
      <c r="K2374" s="14"/>
      <c r="L2374" s="14"/>
      <c r="M2374" s="15"/>
      <c r="N2374" s="10"/>
      <c r="O2374" s="14"/>
      <c r="P2374" s="14"/>
      <c r="Q2374" s="14"/>
      <c r="R2374" s="14"/>
      <c r="S2374" s="14"/>
      <c r="T2374" s="14"/>
      <c r="U2374" s="14"/>
      <c r="V2374" s="14"/>
      <c r="W2374" s="14"/>
      <c r="X2374" s="14"/>
      <c r="Y2374" s="14"/>
      <c r="Z2374" s="14"/>
      <c r="AA2374" s="16"/>
      <c r="AB2374" s="10"/>
      <c r="AC2374" s="10"/>
      <c r="AD2374" s="10"/>
      <c r="AE2374" s="10"/>
      <c r="AF2374" s="10"/>
      <c r="AG2374" s="10"/>
      <c r="AH2374" s="10"/>
      <c r="AI2374" s="10"/>
      <c r="AJ2374" s="10"/>
      <c r="AK2374" s="10"/>
      <c r="AL2374" s="10"/>
      <c r="AM2374" s="10"/>
      <c r="AN2374" s="10"/>
      <c r="AO2374" s="10"/>
      <c r="AP2374" s="10"/>
      <c r="AQ2374" s="10"/>
      <c r="AR2374" s="10"/>
      <c r="AS2374" s="10"/>
      <c r="AT2374" s="10"/>
      <c r="AU2374" s="10"/>
      <c r="AV2374" s="10"/>
      <c r="AW2374" s="10"/>
      <c r="AX2374" s="10"/>
      <c r="AY2374" s="10"/>
      <c r="AZ2374" s="10"/>
      <c r="BA2374" s="10"/>
      <c r="BB2374" s="10"/>
      <c r="BC2374" s="10"/>
      <c r="BD2374" s="10"/>
      <c r="BE2374" s="10"/>
      <c r="BF2374" s="10"/>
      <c r="BG2374" s="10"/>
      <c r="BH2374" s="10"/>
      <c r="BI2374" s="10"/>
      <c r="BJ2374" s="10"/>
      <c r="BK2374" s="10"/>
      <c r="BM2374" s="10"/>
    </row>
    <row r="2375" spans="1:65" ht="12.75">
      <c r="A2375" s="9"/>
      <c r="B2375" s="10"/>
      <c r="C2375" s="11"/>
      <c r="D2375" s="12"/>
      <c r="E2375" s="10"/>
      <c r="F2375" s="10"/>
      <c r="G2375" s="10"/>
      <c r="H2375" s="14"/>
      <c r="I2375" s="14"/>
      <c r="J2375" s="14"/>
      <c r="K2375" s="14"/>
      <c r="L2375" s="14"/>
      <c r="M2375" s="15"/>
      <c r="N2375" s="10"/>
      <c r="O2375" s="14"/>
      <c r="P2375" s="14"/>
      <c r="Q2375" s="14"/>
      <c r="R2375" s="14"/>
      <c r="S2375" s="14"/>
      <c r="T2375" s="14"/>
      <c r="U2375" s="14"/>
      <c r="V2375" s="14"/>
      <c r="W2375" s="14"/>
      <c r="X2375" s="14"/>
      <c r="Y2375" s="14"/>
      <c r="Z2375" s="14"/>
      <c r="AA2375" s="16"/>
      <c r="AB2375" s="10"/>
      <c r="AC2375" s="10"/>
      <c r="AD2375" s="10"/>
      <c r="AE2375" s="10"/>
      <c r="AF2375" s="10"/>
      <c r="AG2375" s="10"/>
      <c r="AH2375" s="10"/>
      <c r="AI2375" s="10"/>
      <c r="AJ2375" s="10"/>
      <c r="AK2375" s="10"/>
      <c r="AL2375" s="10"/>
      <c r="AM2375" s="10"/>
      <c r="AN2375" s="10"/>
      <c r="AO2375" s="10"/>
      <c r="AP2375" s="10"/>
      <c r="AQ2375" s="10"/>
      <c r="AR2375" s="10"/>
      <c r="AS2375" s="10"/>
      <c r="AT2375" s="10"/>
      <c r="AU2375" s="10"/>
      <c r="AV2375" s="10"/>
      <c r="AW2375" s="10"/>
      <c r="AX2375" s="10"/>
      <c r="AY2375" s="10"/>
      <c r="AZ2375" s="10"/>
      <c r="BA2375" s="10"/>
      <c r="BB2375" s="10"/>
      <c r="BC2375" s="10"/>
      <c r="BD2375" s="10"/>
      <c r="BE2375" s="10"/>
      <c r="BF2375" s="10"/>
      <c r="BG2375" s="10"/>
      <c r="BH2375" s="10"/>
      <c r="BI2375" s="10"/>
      <c r="BJ2375" s="10"/>
      <c r="BK2375" s="10"/>
      <c r="BM2375" s="10"/>
    </row>
    <row r="2376" spans="1:65" ht="12.75">
      <c r="A2376" s="9"/>
      <c r="B2376" s="10"/>
      <c r="C2376" s="11"/>
      <c r="D2376" s="12"/>
      <c r="E2376" s="10"/>
      <c r="F2376" s="10"/>
      <c r="G2376" s="10"/>
      <c r="H2376" s="14"/>
      <c r="I2376" s="14"/>
      <c r="J2376" s="14"/>
      <c r="K2376" s="14"/>
      <c r="L2376" s="14"/>
      <c r="M2376" s="15"/>
      <c r="N2376" s="10"/>
      <c r="O2376" s="14"/>
      <c r="P2376" s="14"/>
      <c r="Q2376" s="14"/>
      <c r="R2376" s="14"/>
      <c r="S2376" s="14"/>
      <c r="T2376" s="14"/>
      <c r="U2376" s="14"/>
      <c r="V2376" s="14"/>
      <c r="W2376" s="14"/>
      <c r="X2376" s="14"/>
      <c r="Y2376" s="14"/>
      <c r="Z2376" s="14"/>
      <c r="AA2376" s="16"/>
      <c r="AB2376" s="10"/>
      <c r="AC2376" s="10"/>
      <c r="AD2376" s="10"/>
      <c r="AE2376" s="10"/>
      <c r="AF2376" s="10"/>
      <c r="AG2376" s="10"/>
      <c r="AH2376" s="10"/>
      <c r="AI2376" s="10"/>
      <c r="AJ2376" s="10"/>
      <c r="AK2376" s="10"/>
      <c r="AL2376" s="1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10"/>
      <c r="BJ2376" s="10"/>
      <c r="BK2376" s="10"/>
      <c r="BM2376" s="10"/>
    </row>
    <row r="2377" spans="1:65" ht="12.75">
      <c r="A2377" s="9"/>
      <c r="B2377" s="10"/>
      <c r="C2377" s="11"/>
      <c r="D2377" s="12"/>
      <c r="E2377" s="10"/>
      <c r="F2377" s="10"/>
      <c r="G2377" s="10"/>
      <c r="H2377" s="14"/>
      <c r="I2377" s="14"/>
      <c r="J2377" s="14"/>
      <c r="K2377" s="14"/>
      <c r="L2377" s="14"/>
      <c r="M2377" s="15"/>
      <c r="N2377" s="10"/>
      <c r="O2377" s="14"/>
      <c r="P2377" s="14"/>
      <c r="Q2377" s="14"/>
      <c r="R2377" s="14"/>
      <c r="S2377" s="14"/>
      <c r="T2377" s="14"/>
      <c r="U2377" s="14"/>
      <c r="V2377" s="14"/>
      <c r="W2377" s="14"/>
      <c r="X2377" s="14"/>
      <c r="Y2377" s="14"/>
      <c r="Z2377" s="14"/>
      <c r="AA2377" s="16"/>
      <c r="AB2377" s="10"/>
      <c r="AC2377" s="10"/>
      <c r="AD2377" s="10"/>
      <c r="AE2377" s="10"/>
      <c r="AF2377" s="10"/>
      <c r="AG2377" s="10"/>
      <c r="AH2377" s="10"/>
      <c r="AI2377" s="10"/>
      <c r="AJ2377" s="10"/>
      <c r="AK2377" s="10"/>
      <c r="AL2377" s="10"/>
      <c r="AM2377" s="10"/>
      <c r="AN2377" s="10"/>
      <c r="AO2377" s="10"/>
      <c r="AP2377" s="10"/>
      <c r="AQ2377" s="10"/>
      <c r="AR2377" s="10"/>
      <c r="AS2377" s="10"/>
      <c r="AT2377" s="10"/>
      <c r="AU2377" s="10"/>
      <c r="AV2377" s="10"/>
      <c r="AW2377" s="10"/>
      <c r="AX2377" s="10"/>
      <c r="AY2377" s="10"/>
      <c r="AZ2377" s="10"/>
      <c r="BA2377" s="10"/>
      <c r="BB2377" s="10"/>
      <c r="BC2377" s="10"/>
      <c r="BD2377" s="10"/>
      <c r="BE2377" s="10"/>
      <c r="BF2377" s="10"/>
      <c r="BG2377" s="10"/>
      <c r="BH2377" s="10"/>
      <c r="BI2377" s="10"/>
      <c r="BJ2377" s="10"/>
      <c r="BK2377" s="10"/>
      <c r="BM2377" s="10"/>
    </row>
    <row r="2378" spans="1:65" ht="12.75">
      <c r="A2378" s="9"/>
      <c r="B2378" s="10"/>
      <c r="C2378" s="11"/>
      <c r="D2378" s="12"/>
      <c r="E2378" s="10"/>
      <c r="F2378" s="10"/>
      <c r="G2378" s="10"/>
      <c r="H2378" s="14"/>
      <c r="I2378" s="14"/>
      <c r="J2378" s="14"/>
      <c r="K2378" s="14"/>
      <c r="L2378" s="14"/>
      <c r="M2378" s="15"/>
      <c r="N2378" s="10"/>
      <c r="O2378" s="14"/>
      <c r="P2378" s="14"/>
      <c r="Q2378" s="14"/>
      <c r="R2378" s="14"/>
      <c r="S2378" s="14"/>
      <c r="T2378" s="14"/>
      <c r="U2378" s="14"/>
      <c r="V2378" s="14"/>
      <c r="W2378" s="14"/>
      <c r="X2378" s="14"/>
      <c r="Y2378" s="14"/>
      <c r="Z2378" s="14"/>
      <c r="AA2378" s="16"/>
      <c r="AB2378" s="10"/>
      <c r="AC2378" s="10"/>
      <c r="AD2378" s="10"/>
      <c r="AE2378" s="10"/>
      <c r="AF2378" s="10"/>
      <c r="AG2378" s="10"/>
      <c r="AH2378" s="10"/>
      <c r="AI2378" s="10"/>
      <c r="AJ2378" s="10"/>
      <c r="AK2378" s="10"/>
      <c r="AL2378" s="10"/>
      <c r="AM2378" s="10"/>
      <c r="AN2378" s="10"/>
      <c r="AO2378" s="10"/>
      <c r="AP2378" s="10"/>
      <c r="AQ2378" s="10"/>
      <c r="AR2378" s="10"/>
      <c r="AS2378" s="10"/>
      <c r="AT2378" s="10"/>
      <c r="AU2378" s="10"/>
      <c r="AV2378" s="10"/>
      <c r="AW2378" s="10"/>
      <c r="AX2378" s="10"/>
      <c r="AY2378" s="10"/>
      <c r="AZ2378" s="10"/>
      <c r="BA2378" s="10"/>
      <c r="BB2378" s="10"/>
      <c r="BC2378" s="10"/>
      <c r="BD2378" s="10"/>
      <c r="BE2378" s="10"/>
      <c r="BF2378" s="10"/>
      <c r="BG2378" s="10"/>
      <c r="BH2378" s="10"/>
      <c r="BI2378" s="10"/>
      <c r="BJ2378" s="10"/>
      <c r="BK2378" s="10"/>
      <c r="BM2378" s="10"/>
    </row>
    <row r="2379" spans="1:65" ht="12.75">
      <c r="A2379" s="9"/>
      <c r="B2379" s="10"/>
      <c r="C2379" s="11"/>
      <c r="D2379" s="12"/>
      <c r="E2379" s="10"/>
      <c r="F2379" s="10"/>
      <c r="G2379" s="10"/>
      <c r="H2379" s="14"/>
      <c r="I2379" s="14"/>
      <c r="J2379" s="14"/>
      <c r="K2379" s="14"/>
      <c r="L2379" s="14"/>
      <c r="M2379" s="15"/>
      <c r="N2379" s="10"/>
      <c r="O2379" s="14"/>
      <c r="P2379" s="14"/>
      <c r="Q2379" s="14"/>
      <c r="R2379" s="14"/>
      <c r="S2379" s="14"/>
      <c r="T2379" s="14"/>
      <c r="U2379" s="14"/>
      <c r="V2379" s="14"/>
      <c r="W2379" s="14"/>
      <c r="X2379" s="14"/>
      <c r="Y2379" s="14"/>
      <c r="Z2379" s="14"/>
      <c r="AA2379" s="16"/>
      <c r="AB2379" s="10"/>
      <c r="AC2379" s="10"/>
      <c r="AD2379" s="10"/>
      <c r="AE2379" s="10"/>
      <c r="AF2379" s="10"/>
      <c r="AG2379" s="10"/>
      <c r="AH2379" s="10"/>
      <c r="AI2379" s="10"/>
      <c r="AJ2379" s="10"/>
      <c r="AK2379" s="10"/>
      <c r="AL2379" s="10"/>
      <c r="AM2379" s="10"/>
      <c r="AN2379" s="10"/>
      <c r="AO2379" s="10"/>
      <c r="AP2379" s="10"/>
      <c r="AQ2379" s="10"/>
      <c r="AR2379" s="10"/>
      <c r="AS2379" s="10"/>
      <c r="AT2379" s="10"/>
      <c r="AU2379" s="10"/>
      <c r="AV2379" s="10"/>
      <c r="AW2379" s="10"/>
      <c r="AX2379" s="10"/>
      <c r="AY2379" s="10"/>
      <c r="AZ2379" s="10"/>
      <c r="BA2379" s="10"/>
      <c r="BB2379" s="10"/>
      <c r="BC2379" s="10"/>
      <c r="BD2379" s="10"/>
      <c r="BE2379" s="10"/>
      <c r="BF2379" s="10"/>
      <c r="BG2379" s="10"/>
      <c r="BH2379" s="10"/>
      <c r="BI2379" s="10"/>
      <c r="BJ2379" s="10"/>
      <c r="BK2379" s="10"/>
      <c r="BM2379" s="10"/>
    </row>
    <row r="2380" spans="1:65" ht="12.75">
      <c r="A2380" s="9"/>
      <c r="B2380" s="10"/>
      <c r="C2380" s="11"/>
      <c r="D2380" s="12"/>
      <c r="E2380" s="10"/>
      <c r="F2380" s="10"/>
      <c r="G2380" s="10"/>
      <c r="H2380" s="14"/>
      <c r="I2380" s="14"/>
      <c r="J2380" s="14"/>
      <c r="K2380" s="14"/>
      <c r="L2380" s="14"/>
      <c r="M2380" s="15"/>
      <c r="N2380" s="10"/>
      <c r="O2380" s="14"/>
      <c r="P2380" s="14"/>
      <c r="Q2380" s="14"/>
      <c r="R2380" s="14"/>
      <c r="S2380" s="14"/>
      <c r="T2380" s="14"/>
      <c r="U2380" s="14"/>
      <c r="V2380" s="14"/>
      <c r="W2380" s="14"/>
      <c r="X2380" s="14"/>
      <c r="Y2380" s="14"/>
      <c r="Z2380" s="14"/>
      <c r="AA2380" s="16"/>
      <c r="AB2380" s="10"/>
      <c r="AC2380" s="10"/>
      <c r="AD2380" s="10"/>
      <c r="AE2380" s="10"/>
      <c r="AF2380" s="10"/>
      <c r="AG2380" s="10"/>
      <c r="AH2380" s="10"/>
      <c r="AI2380" s="10"/>
      <c r="AJ2380" s="10"/>
      <c r="AK2380" s="10"/>
      <c r="AL2380" s="10"/>
      <c r="AM2380" s="10"/>
      <c r="AN2380" s="10"/>
      <c r="AO2380" s="10"/>
      <c r="AP2380" s="10"/>
      <c r="AQ2380" s="10"/>
      <c r="AR2380" s="10"/>
      <c r="AS2380" s="10"/>
      <c r="AT2380" s="10"/>
      <c r="AU2380" s="10"/>
      <c r="AV2380" s="10"/>
      <c r="AW2380" s="10"/>
      <c r="AX2380" s="10"/>
      <c r="AY2380" s="10"/>
      <c r="AZ2380" s="10"/>
      <c r="BA2380" s="10"/>
      <c r="BB2380" s="10"/>
      <c r="BC2380" s="10"/>
      <c r="BD2380" s="10"/>
      <c r="BE2380" s="10"/>
      <c r="BF2380" s="10"/>
      <c r="BG2380" s="10"/>
      <c r="BH2380" s="10"/>
      <c r="BI2380" s="10"/>
      <c r="BJ2380" s="10"/>
      <c r="BK2380" s="10"/>
      <c r="BM2380" s="10"/>
    </row>
    <row r="2381" spans="1:65" ht="12.75">
      <c r="A2381" s="9"/>
      <c r="B2381" s="10"/>
      <c r="C2381" s="11"/>
      <c r="D2381" s="12"/>
      <c r="E2381" s="10"/>
      <c r="F2381" s="10"/>
      <c r="G2381" s="10"/>
      <c r="H2381" s="14"/>
      <c r="I2381" s="14"/>
      <c r="J2381" s="14"/>
      <c r="K2381" s="14"/>
      <c r="L2381" s="14"/>
      <c r="M2381" s="15"/>
      <c r="N2381" s="10"/>
      <c r="O2381" s="14"/>
      <c r="P2381" s="14"/>
      <c r="Q2381" s="14"/>
      <c r="R2381" s="14"/>
      <c r="S2381" s="14"/>
      <c r="T2381" s="14"/>
      <c r="U2381" s="14"/>
      <c r="V2381" s="14"/>
      <c r="W2381" s="14"/>
      <c r="X2381" s="14"/>
      <c r="Y2381" s="14"/>
      <c r="Z2381" s="14"/>
      <c r="AA2381" s="16"/>
      <c r="AB2381" s="10"/>
      <c r="AC2381" s="10"/>
      <c r="AD2381" s="10"/>
      <c r="AE2381" s="10"/>
      <c r="AF2381" s="10"/>
      <c r="AG2381" s="10"/>
      <c r="AH2381" s="10"/>
      <c r="AI2381" s="10"/>
      <c r="AJ2381" s="10"/>
      <c r="AK2381" s="10"/>
      <c r="AL2381" s="10"/>
      <c r="AM2381" s="10"/>
      <c r="AN2381" s="10"/>
      <c r="AO2381" s="10"/>
      <c r="AP2381" s="10"/>
      <c r="AQ2381" s="10"/>
      <c r="AR2381" s="10"/>
      <c r="AS2381" s="10"/>
      <c r="AT2381" s="10"/>
      <c r="AU2381" s="10"/>
      <c r="AV2381" s="10"/>
      <c r="AW2381" s="10"/>
      <c r="AX2381" s="10"/>
      <c r="AY2381" s="10"/>
      <c r="AZ2381" s="10"/>
      <c r="BA2381" s="10"/>
      <c r="BB2381" s="10"/>
      <c r="BC2381" s="10"/>
      <c r="BD2381" s="10"/>
      <c r="BE2381" s="10"/>
      <c r="BF2381" s="10"/>
      <c r="BG2381" s="10"/>
      <c r="BH2381" s="10"/>
      <c r="BI2381" s="10"/>
      <c r="BJ2381" s="10"/>
      <c r="BK2381" s="10"/>
      <c r="BM2381" s="10"/>
    </row>
    <row r="2382" spans="1:65" ht="12.75">
      <c r="A2382" s="9"/>
      <c r="B2382" s="10"/>
      <c r="C2382" s="11"/>
      <c r="D2382" s="12"/>
      <c r="E2382" s="10"/>
      <c r="F2382" s="10"/>
      <c r="G2382" s="10"/>
      <c r="H2382" s="14"/>
      <c r="I2382" s="14"/>
      <c r="J2382" s="14"/>
      <c r="K2382" s="14"/>
      <c r="L2382" s="14"/>
      <c r="M2382" s="15"/>
      <c r="N2382" s="10"/>
      <c r="O2382" s="14"/>
      <c r="P2382" s="14"/>
      <c r="Q2382" s="14"/>
      <c r="R2382" s="14"/>
      <c r="S2382" s="14"/>
      <c r="T2382" s="14"/>
      <c r="U2382" s="14"/>
      <c r="V2382" s="14"/>
      <c r="W2382" s="14"/>
      <c r="X2382" s="14"/>
      <c r="Y2382" s="14"/>
      <c r="Z2382" s="14"/>
      <c r="AA2382" s="16"/>
      <c r="AB2382" s="10"/>
      <c r="AC2382" s="10"/>
      <c r="AD2382" s="10"/>
      <c r="AE2382" s="10"/>
      <c r="AF2382" s="10"/>
      <c r="AG2382" s="10"/>
      <c r="AH2382" s="10"/>
      <c r="AI2382" s="10"/>
      <c r="AJ2382" s="10"/>
      <c r="AK2382" s="10"/>
      <c r="AL2382" s="10"/>
      <c r="AM2382" s="10"/>
      <c r="AN2382" s="10"/>
      <c r="AO2382" s="10"/>
      <c r="AP2382" s="10"/>
      <c r="AQ2382" s="10"/>
      <c r="AR2382" s="10"/>
      <c r="AS2382" s="10"/>
      <c r="AT2382" s="10"/>
      <c r="AU2382" s="10"/>
      <c r="AV2382" s="10"/>
      <c r="AW2382" s="10"/>
      <c r="AX2382" s="10"/>
      <c r="AY2382" s="10"/>
      <c r="AZ2382" s="10"/>
      <c r="BA2382" s="10"/>
      <c r="BB2382" s="10"/>
      <c r="BC2382" s="10"/>
      <c r="BD2382" s="10"/>
      <c r="BE2382" s="10"/>
      <c r="BF2382" s="10"/>
      <c r="BG2382" s="10"/>
      <c r="BH2382" s="10"/>
      <c r="BI2382" s="10"/>
      <c r="BJ2382" s="10"/>
      <c r="BK2382" s="10"/>
      <c r="BM2382" s="10"/>
    </row>
    <row r="2383" spans="1:65" ht="12.75">
      <c r="A2383" s="9"/>
      <c r="B2383" s="10"/>
      <c r="C2383" s="11"/>
      <c r="D2383" s="12"/>
      <c r="E2383" s="10"/>
      <c r="F2383" s="10"/>
      <c r="G2383" s="10"/>
      <c r="H2383" s="14"/>
      <c r="I2383" s="14"/>
      <c r="J2383" s="14"/>
      <c r="K2383" s="14"/>
      <c r="L2383" s="14"/>
      <c r="M2383" s="15"/>
      <c r="N2383" s="10"/>
      <c r="O2383" s="14"/>
      <c r="P2383" s="14"/>
      <c r="Q2383" s="14"/>
      <c r="R2383" s="14"/>
      <c r="S2383" s="14"/>
      <c r="T2383" s="14"/>
      <c r="U2383" s="14"/>
      <c r="V2383" s="14"/>
      <c r="W2383" s="14"/>
      <c r="X2383" s="14"/>
      <c r="Y2383" s="14"/>
      <c r="Z2383" s="14"/>
      <c r="AA2383" s="16"/>
      <c r="AB2383" s="10"/>
      <c r="AC2383" s="10"/>
      <c r="AD2383" s="10"/>
      <c r="AE2383" s="10"/>
      <c r="AF2383" s="10"/>
      <c r="AG2383" s="10"/>
      <c r="AH2383" s="10"/>
      <c r="AI2383" s="10"/>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M2383" s="10"/>
    </row>
    <row r="2384" spans="1:65" ht="12.75">
      <c r="A2384" s="9"/>
      <c r="B2384" s="10"/>
      <c r="C2384" s="11"/>
      <c r="D2384" s="12"/>
      <c r="E2384" s="10"/>
      <c r="F2384" s="10"/>
      <c r="G2384" s="10"/>
      <c r="H2384" s="14"/>
      <c r="I2384" s="14"/>
      <c r="J2384" s="14"/>
      <c r="K2384" s="14"/>
      <c r="L2384" s="14"/>
      <c r="M2384" s="15"/>
      <c r="N2384" s="10"/>
      <c r="O2384" s="14"/>
      <c r="P2384" s="14"/>
      <c r="Q2384" s="14"/>
      <c r="R2384" s="14"/>
      <c r="S2384" s="14"/>
      <c r="T2384" s="14"/>
      <c r="U2384" s="14"/>
      <c r="V2384" s="14"/>
      <c r="W2384" s="14"/>
      <c r="X2384" s="14"/>
      <c r="Y2384" s="14"/>
      <c r="Z2384" s="14"/>
      <c r="AA2384" s="16"/>
      <c r="AB2384" s="10"/>
      <c r="AC2384" s="10"/>
      <c r="AD2384" s="10"/>
      <c r="AE2384" s="10"/>
      <c r="AF2384" s="10"/>
      <c r="AG2384" s="10"/>
      <c r="AH2384" s="10"/>
      <c r="AI2384" s="10"/>
      <c r="AJ2384" s="10"/>
      <c r="AK2384" s="10"/>
      <c r="AL2384" s="10"/>
      <c r="AM2384" s="10"/>
      <c r="AN2384" s="10"/>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10"/>
      <c r="BJ2384" s="10"/>
      <c r="BK2384" s="10"/>
      <c r="BM2384" s="10"/>
    </row>
    <row r="2385" spans="1:65" ht="12.75">
      <c r="A2385" s="9"/>
      <c r="B2385" s="10"/>
      <c r="C2385" s="11"/>
      <c r="D2385" s="12"/>
      <c r="E2385" s="10"/>
      <c r="F2385" s="10"/>
      <c r="G2385" s="10"/>
      <c r="H2385" s="14"/>
      <c r="I2385" s="14"/>
      <c r="J2385" s="14"/>
      <c r="K2385" s="14"/>
      <c r="L2385" s="14"/>
      <c r="M2385" s="15"/>
      <c r="N2385" s="10"/>
      <c r="O2385" s="14"/>
      <c r="P2385" s="14"/>
      <c r="Q2385" s="14"/>
      <c r="R2385" s="14"/>
      <c r="S2385" s="14"/>
      <c r="T2385" s="14"/>
      <c r="U2385" s="14"/>
      <c r="V2385" s="14"/>
      <c r="W2385" s="14"/>
      <c r="X2385" s="14"/>
      <c r="Y2385" s="14"/>
      <c r="Z2385" s="14"/>
      <c r="AA2385" s="16"/>
      <c r="AB2385" s="10"/>
      <c r="AC2385" s="10"/>
      <c r="AD2385" s="10"/>
      <c r="AE2385" s="10"/>
      <c r="AF2385" s="10"/>
      <c r="AG2385" s="10"/>
      <c r="AH2385" s="10"/>
      <c r="AI2385" s="10"/>
      <c r="AJ2385" s="10"/>
      <c r="AK2385" s="10"/>
      <c r="AL2385" s="10"/>
      <c r="AM2385" s="10"/>
      <c r="AN2385" s="10"/>
      <c r="AO2385" s="10"/>
      <c r="AP2385" s="10"/>
      <c r="AQ2385" s="10"/>
      <c r="AR2385" s="10"/>
      <c r="AS2385" s="10"/>
      <c r="AT2385" s="10"/>
      <c r="AU2385" s="10"/>
      <c r="AV2385" s="10"/>
      <c r="AW2385" s="10"/>
      <c r="AX2385" s="10"/>
      <c r="AY2385" s="10"/>
      <c r="AZ2385" s="10"/>
      <c r="BA2385" s="10"/>
      <c r="BB2385" s="10"/>
      <c r="BC2385" s="10"/>
      <c r="BD2385" s="10"/>
      <c r="BE2385" s="10"/>
      <c r="BF2385" s="10"/>
      <c r="BG2385" s="10"/>
      <c r="BH2385" s="10"/>
      <c r="BI2385" s="10"/>
      <c r="BJ2385" s="10"/>
      <c r="BK2385" s="10"/>
      <c r="BM2385" s="10"/>
    </row>
    <row r="2386" spans="1:65" ht="12.75">
      <c r="A2386" s="9"/>
      <c r="B2386" s="10"/>
      <c r="C2386" s="11"/>
      <c r="D2386" s="12"/>
      <c r="E2386" s="10"/>
      <c r="F2386" s="10"/>
      <c r="G2386" s="10"/>
      <c r="H2386" s="14"/>
      <c r="I2386" s="14"/>
      <c r="J2386" s="14"/>
      <c r="K2386" s="14"/>
      <c r="L2386" s="14"/>
      <c r="M2386" s="15"/>
      <c r="N2386" s="10"/>
      <c r="O2386" s="14"/>
      <c r="P2386" s="14"/>
      <c r="Q2386" s="14"/>
      <c r="R2386" s="14"/>
      <c r="S2386" s="14"/>
      <c r="T2386" s="14"/>
      <c r="U2386" s="14"/>
      <c r="V2386" s="14"/>
      <c r="W2386" s="14"/>
      <c r="X2386" s="14"/>
      <c r="Y2386" s="14"/>
      <c r="Z2386" s="14"/>
      <c r="AA2386" s="16"/>
      <c r="AB2386" s="10"/>
      <c r="AC2386" s="10"/>
      <c r="AD2386" s="10"/>
      <c r="AE2386" s="10"/>
      <c r="AF2386" s="10"/>
      <c r="AG2386" s="10"/>
      <c r="AH2386" s="10"/>
      <c r="AI2386" s="10"/>
      <c r="AJ2386" s="10"/>
      <c r="AK2386" s="10"/>
      <c r="AL2386" s="10"/>
      <c r="AM2386" s="10"/>
      <c r="AN2386" s="10"/>
      <c r="AO2386" s="10"/>
      <c r="AP2386" s="10"/>
      <c r="AQ2386" s="10"/>
      <c r="AR2386" s="10"/>
      <c r="AS2386" s="10"/>
      <c r="AT2386" s="10"/>
      <c r="AU2386" s="10"/>
      <c r="AV2386" s="10"/>
      <c r="AW2386" s="10"/>
      <c r="AX2386" s="10"/>
      <c r="AY2386" s="10"/>
      <c r="AZ2386" s="10"/>
      <c r="BA2386" s="10"/>
      <c r="BB2386" s="10"/>
      <c r="BC2386" s="10"/>
      <c r="BD2386" s="10"/>
      <c r="BE2386" s="10"/>
      <c r="BF2386" s="10"/>
      <c r="BG2386" s="10"/>
      <c r="BH2386" s="10"/>
      <c r="BI2386" s="10"/>
      <c r="BJ2386" s="10"/>
      <c r="BK2386" s="10"/>
      <c r="BM2386" s="10"/>
    </row>
    <row r="2387" spans="1:65" ht="12.75">
      <c r="A2387" s="9"/>
      <c r="B2387" s="10"/>
      <c r="C2387" s="11"/>
      <c r="D2387" s="12"/>
      <c r="E2387" s="10"/>
      <c r="F2387" s="10"/>
      <c r="G2387" s="10"/>
      <c r="H2387" s="14"/>
      <c r="I2387" s="14"/>
      <c r="J2387" s="14"/>
      <c r="K2387" s="14"/>
      <c r="L2387" s="14"/>
      <c r="M2387" s="15"/>
      <c r="N2387" s="10"/>
      <c r="O2387" s="14"/>
      <c r="P2387" s="14"/>
      <c r="Q2387" s="14"/>
      <c r="R2387" s="14"/>
      <c r="S2387" s="14"/>
      <c r="T2387" s="14"/>
      <c r="U2387" s="14"/>
      <c r="V2387" s="14"/>
      <c r="W2387" s="14"/>
      <c r="X2387" s="14"/>
      <c r="Y2387" s="14"/>
      <c r="Z2387" s="14"/>
      <c r="AA2387" s="16"/>
      <c r="AB2387" s="10"/>
      <c r="AC2387" s="10"/>
      <c r="AD2387" s="10"/>
      <c r="AE2387" s="10"/>
      <c r="AF2387" s="10"/>
      <c r="AG2387" s="10"/>
      <c r="AH2387" s="10"/>
      <c r="AI2387" s="10"/>
      <c r="AJ2387" s="10"/>
      <c r="AK2387" s="10"/>
      <c r="AL2387" s="10"/>
      <c r="AM2387" s="10"/>
      <c r="AN2387" s="10"/>
      <c r="AO2387" s="10"/>
      <c r="AP2387" s="10"/>
      <c r="AQ2387" s="10"/>
      <c r="AR2387" s="10"/>
      <c r="AS2387" s="10"/>
      <c r="AT2387" s="10"/>
      <c r="AU2387" s="10"/>
      <c r="AV2387" s="10"/>
      <c r="AW2387" s="10"/>
      <c r="AX2387" s="10"/>
      <c r="AY2387" s="10"/>
      <c r="AZ2387" s="10"/>
      <c r="BA2387" s="10"/>
      <c r="BB2387" s="10"/>
      <c r="BC2387" s="10"/>
      <c r="BD2387" s="10"/>
      <c r="BE2387" s="10"/>
      <c r="BF2387" s="10"/>
      <c r="BG2387" s="10"/>
      <c r="BH2387" s="10"/>
      <c r="BI2387" s="10"/>
      <c r="BJ2387" s="10"/>
      <c r="BK2387" s="10"/>
      <c r="BM2387" s="10"/>
    </row>
    <row r="2388" spans="1:65" ht="12.75">
      <c r="A2388" s="9"/>
      <c r="B2388" s="10"/>
      <c r="C2388" s="11"/>
      <c r="D2388" s="12"/>
      <c r="E2388" s="10"/>
      <c r="F2388" s="10"/>
      <c r="G2388" s="10"/>
      <c r="H2388" s="14"/>
      <c r="I2388" s="14"/>
      <c r="J2388" s="14"/>
      <c r="K2388" s="14"/>
      <c r="L2388" s="14"/>
      <c r="M2388" s="15"/>
      <c r="N2388" s="10"/>
      <c r="O2388" s="14"/>
      <c r="P2388" s="14"/>
      <c r="Q2388" s="14"/>
      <c r="R2388" s="14"/>
      <c r="S2388" s="14"/>
      <c r="T2388" s="14"/>
      <c r="U2388" s="14"/>
      <c r="V2388" s="14"/>
      <c r="W2388" s="14"/>
      <c r="X2388" s="14"/>
      <c r="Y2388" s="14"/>
      <c r="Z2388" s="14"/>
      <c r="AA2388" s="16"/>
      <c r="AB2388" s="10"/>
      <c r="AC2388" s="10"/>
      <c r="AD2388" s="10"/>
      <c r="AE2388" s="10"/>
      <c r="AF2388" s="10"/>
      <c r="AG2388" s="10"/>
      <c r="AH2388" s="10"/>
      <c r="AI2388" s="10"/>
      <c r="AJ2388" s="10"/>
      <c r="AK2388" s="10"/>
      <c r="AL2388" s="10"/>
      <c r="AM2388" s="10"/>
      <c r="AN2388" s="10"/>
      <c r="AO2388" s="10"/>
      <c r="AP2388" s="10"/>
      <c r="AQ2388" s="10"/>
      <c r="AR2388" s="10"/>
      <c r="AS2388" s="10"/>
      <c r="AT2388" s="10"/>
      <c r="AU2388" s="10"/>
      <c r="AV2388" s="10"/>
      <c r="AW2388" s="10"/>
      <c r="AX2388" s="10"/>
      <c r="AY2388" s="10"/>
      <c r="AZ2388" s="10"/>
      <c r="BA2388" s="10"/>
      <c r="BB2388" s="10"/>
      <c r="BC2388" s="10"/>
      <c r="BD2388" s="10"/>
      <c r="BE2388" s="10"/>
      <c r="BF2388" s="10"/>
      <c r="BG2388" s="10"/>
      <c r="BH2388" s="10"/>
      <c r="BI2388" s="10"/>
      <c r="BJ2388" s="10"/>
      <c r="BK2388" s="10"/>
      <c r="BM2388" s="10"/>
    </row>
    <row r="2389" spans="1:65" ht="12.75">
      <c r="A2389" s="9"/>
      <c r="B2389" s="10"/>
      <c r="C2389" s="11"/>
      <c r="D2389" s="12"/>
      <c r="E2389" s="10"/>
      <c r="F2389" s="10"/>
      <c r="G2389" s="10"/>
      <c r="H2389" s="14"/>
      <c r="I2389" s="14"/>
      <c r="J2389" s="14"/>
      <c r="K2389" s="14"/>
      <c r="L2389" s="14"/>
      <c r="M2389" s="15"/>
      <c r="N2389" s="10"/>
      <c r="O2389" s="14"/>
      <c r="P2389" s="14"/>
      <c r="Q2389" s="14"/>
      <c r="R2389" s="14"/>
      <c r="S2389" s="14"/>
      <c r="T2389" s="14"/>
      <c r="U2389" s="14"/>
      <c r="V2389" s="14"/>
      <c r="W2389" s="14"/>
      <c r="X2389" s="14"/>
      <c r="Y2389" s="14"/>
      <c r="Z2389" s="14"/>
      <c r="AA2389" s="16"/>
      <c r="AB2389" s="10"/>
      <c r="AC2389" s="10"/>
      <c r="AD2389" s="10"/>
      <c r="AE2389" s="10"/>
      <c r="AF2389" s="10"/>
      <c r="AG2389" s="10"/>
      <c r="AH2389" s="10"/>
      <c r="AI2389" s="10"/>
      <c r="AJ2389" s="10"/>
      <c r="AK2389" s="10"/>
      <c r="AL2389" s="10"/>
      <c r="AM2389" s="10"/>
      <c r="AN2389" s="10"/>
      <c r="AO2389" s="10"/>
      <c r="AP2389" s="10"/>
      <c r="AQ2389" s="10"/>
      <c r="AR2389" s="10"/>
      <c r="AS2389" s="10"/>
      <c r="AT2389" s="10"/>
      <c r="AU2389" s="10"/>
      <c r="AV2389" s="10"/>
      <c r="AW2389" s="10"/>
      <c r="AX2389" s="10"/>
      <c r="AY2389" s="10"/>
      <c r="AZ2389" s="10"/>
      <c r="BA2389" s="10"/>
      <c r="BB2389" s="10"/>
      <c r="BC2389" s="10"/>
      <c r="BD2389" s="10"/>
      <c r="BE2389" s="10"/>
      <c r="BF2389" s="10"/>
      <c r="BG2389" s="10"/>
      <c r="BH2389" s="10"/>
      <c r="BI2389" s="10"/>
      <c r="BJ2389" s="10"/>
      <c r="BK2389" s="10"/>
      <c r="BM2389" s="10"/>
    </row>
    <row r="2390" spans="1:65" ht="12.75">
      <c r="A2390" s="9"/>
      <c r="B2390" s="10"/>
      <c r="C2390" s="11"/>
      <c r="D2390" s="12"/>
      <c r="E2390" s="10"/>
      <c r="F2390" s="10"/>
      <c r="G2390" s="10"/>
      <c r="H2390" s="14"/>
      <c r="I2390" s="14"/>
      <c r="J2390" s="14"/>
      <c r="K2390" s="14"/>
      <c r="L2390" s="14"/>
      <c r="M2390" s="15"/>
      <c r="N2390" s="10"/>
      <c r="O2390" s="14"/>
      <c r="P2390" s="14"/>
      <c r="Q2390" s="14"/>
      <c r="R2390" s="14"/>
      <c r="S2390" s="14"/>
      <c r="T2390" s="14"/>
      <c r="U2390" s="14"/>
      <c r="V2390" s="14"/>
      <c r="W2390" s="14"/>
      <c r="X2390" s="14"/>
      <c r="Y2390" s="14"/>
      <c r="Z2390" s="14"/>
      <c r="AA2390" s="16"/>
      <c r="AB2390" s="10"/>
      <c r="AC2390" s="10"/>
      <c r="AD2390" s="10"/>
      <c r="AE2390" s="10"/>
      <c r="AF2390" s="10"/>
      <c r="AG2390" s="10"/>
      <c r="AH2390" s="10"/>
      <c r="AI2390" s="10"/>
      <c r="AJ2390" s="10"/>
      <c r="AK2390" s="10"/>
      <c r="AL2390" s="10"/>
      <c r="AM2390" s="10"/>
      <c r="AN2390" s="10"/>
      <c r="AO2390" s="10"/>
      <c r="AP2390" s="10"/>
      <c r="AQ2390" s="10"/>
      <c r="AR2390" s="10"/>
      <c r="AS2390" s="10"/>
      <c r="AT2390" s="10"/>
      <c r="AU2390" s="10"/>
      <c r="AV2390" s="10"/>
      <c r="AW2390" s="10"/>
      <c r="AX2390" s="10"/>
      <c r="AY2390" s="10"/>
      <c r="AZ2390" s="10"/>
      <c r="BA2390" s="10"/>
      <c r="BB2390" s="10"/>
      <c r="BC2390" s="10"/>
      <c r="BD2390" s="10"/>
      <c r="BE2390" s="10"/>
      <c r="BF2390" s="10"/>
      <c r="BG2390" s="10"/>
      <c r="BH2390" s="10"/>
      <c r="BI2390" s="10"/>
      <c r="BJ2390" s="10"/>
      <c r="BK2390" s="10"/>
      <c r="BM2390" s="10"/>
    </row>
    <row r="2391" spans="1:65" ht="12.75">
      <c r="A2391" s="9"/>
      <c r="B2391" s="10"/>
      <c r="C2391" s="11"/>
      <c r="D2391" s="12"/>
      <c r="E2391" s="10"/>
      <c r="F2391" s="10"/>
      <c r="G2391" s="10"/>
      <c r="H2391" s="14"/>
      <c r="I2391" s="14"/>
      <c r="J2391" s="14"/>
      <c r="K2391" s="14"/>
      <c r="L2391" s="14"/>
      <c r="M2391" s="15"/>
      <c r="N2391" s="10"/>
      <c r="O2391" s="14"/>
      <c r="P2391" s="14"/>
      <c r="Q2391" s="14"/>
      <c r="R2391" s="14"/>
      <c r="S2391" s="14"/>
      <c r="T2391" s="14"/>
      <c r="U2391" s="14"/>
      <c r="V2391" s="14"/>
      <c r="W2391" s="14"/>
      <c r="X2391" s="14"/>
      <c r="Y2391" s="14"/>
      <c r="Z2391" s="14"/>
      <c r="AA2391" s="16"/>
      <c r="AB2391" s="10"/>
      <c r="AC2391" s="10"/>
      <c r="AD2391" s="10"/>
      <c r="AE2391" s="10"/>
      <c r="AF2391" s="10"/>
      <c r="AG2391" s="10"/>
      <c r="AH2391" s="10"/>
      <c r="AI2391" s="10"/>
      <c r="AJ2391" s="10"/>
      <c r="AK2391" s="10"/>
      <c r="AL2391" s="10"/>
      <c r="AM2391" s="10"/>
      <c r="AN2391" s="10"/>
      <c r="AO2391" s="10"/>
      <c r="AP2391" s="10"/>
      <c r="AQ2391" s="10"/>
      <c r="AR2391" s="10"/>
      <c r="AS2391" s="10"/>
      <c r="AT2391" s="10"/>
      <c r="AU2391" s="10"/>
      <c r="AV2391" s="10"/>
      <c r="AW2391" s="10"/>
      <c r="AX2391" s="10"/>
      <c r="AY2391" s="10"/>
      <c r="AZ2391" s="10"/>
      <c r="BA2391" s="10"/>
      <c r="BB2391" s="10"/>
      <c r="BC2391" s="10"/>
      <c r="BD2391" s="10"/>
      <c r="BE2391" s="10"/>
      <c r="BF2391" s="10"/>
      <c r="BG2391" s="10"/>
      <c r="BH2391" s="10"/>
      <c r="BI2391" s="10"/>
      <c r="BJ2391" s="10"/>
      <c r="BK2391" s="10"/>
      <c r="BM2391" s="10"/>
    </row>
    <row r="2392" spans="1:65" ht="12.75">
      <c r="A2392" s="9"/>
      <c r="B2392" s="10"/>
      <c r="C2392" s="11"/>
      <c r="D2392" s="12"/>
      <c r="E2392" s="10"/>
      <c r="F2392" s="10"/>
      <c r="G2392" s="10"/>
      <c r="H2392" s="14"/>
      <c r="I2392" s="14"/>
      <c r="J2392" s="14"/>
      <c r="K2392" s="14"/>
      <c r="L2392" s="14"/>
      <c r="M2392" s="15"/>
      <c r="N2392" s="10"/>
      <c r="O2392" s="14"/>
      <c r="P2392" s="14"/>
      <c r="Q2392" s="14"/>
      <c r="R2392" s="14"/>
      <c r="S2392" s="14"/>
      <c r="T2392" s="14"/>
      <c r="U2392" s="14"/>
      <c r="V2392" s="14"/>
      <c r="W2392" s="14"/>
      <c r="X2392" s="14"/>
      <c r="Y2392" s="14"/>
      <c r="Z2392" s="14"/>
      <c r="AA2392" s="16"/>
      <c r="AB2392" s="10"/>
      <c r="AC2392" s="10"/>
      <c r="AD2392" s="10"/>
      <c r="AE2392" s="10"/>
      <c r="AF2392" s="10"/>
      <c r="AG2392" s="10"/>
      <c r="AH2392" s="10"/>
      <c r="AI2392" s="10"/>
      <c r="AJ2392" s="10"/>
      <c r="AK2392" s="10"/>
      <c r="AL2392" s="10"/>
      <c r="AM2392" s="10"/>
      <c r="AN2392" s="10"/>
      <c r="AO2392" s="10"/>
      <c r="AP2392" s="10"/>
      <c r="AQ2392" s="10"/>
      <c r="AR2392" s="10"/>
      <c r="AS2392" s="10"/>
      <c r="AT2392" s="10"/>
      <c r="AU2392" s="10"/>
      <c r="AV2392" s="10"/>
      <c r="AW2392" s="10"/>
      <c r="AX2392" s="10"/>
      <c r="AY2392" s="10"/>
      <c r="AZ2392" s="10"/>
      <c r="BA2392" s="10"/>
      <c r="BB2392" s="10"/>
      <c r="BC2392" s="10"/>
      <c r="BD2392" s="10"/>
      <c r="BE2392" s="10"/>
      <c r="BF2392" s="10"/>
      <c r="BG2392" s="10"/>
      <c r="BH2392" s="10"/>
      <c r="BI2392" s="10"/>
      <c r="BJ2392" s="10"/>
      <c r="BK2392" s="10"/>
      <c r="BM2392" s="10"/>
    </row>
    <row r="2393" spans="1:65" ht="12.75">
      <c r="A2393" s="9"/>
      <c r="B2393" s="10"/>
      <c r="C2393" s="11"/>
      <c r="D2393" s="12"/>
      <c r="E2393" s="10"/>
      <c r="F2393" s="10"/>
      <c r="G2393" s="10"/>
      <c r="H2393" s="14"/>
      <c r="I2393" s="14"/>
      <c r="J2393" s="14"/>
      <c r="K2393" s="14"/>
      <c r="L2393" s="14"/>
      <c r="M2393" s="15"/>
      <c r="N2393" s="10"/>
      <c r="O2393" s="14"/>
      <c r="P2393" s="14"/>
      <c r="Q2393" s="14"/>
      <c r="R2393" s="14"/>
      <c r="S2393" s="14"/>
      <c r="T2393" s="14"/>
      <c r="U2393" s="14"/>
      <c r="V2393" s="14"/>
      <c r="W2393" s="14"/>
      <c r="X2393" s="14"/>
      <c r="Y2393" s="14"/>
      <c r="Z2393" s="14"/>
      <c r="AA2393" s="16"/>
      <c r="AB2393" s="10"/>
      <c r="AC2393" s="10"/>
      <c r="AD2393" s="10"/>
      <c r="AE2393" s="10"/>
      <c r="AF2393" s="10"/>
      <c r="AG2393" s="10"/>
      <c r="AH2393" s="10"/>
      <c r="AI2393" s="10"/>
      <c r="AJ2393" s="10"/>
      <c r="AK2393" s="10"/>
      <c r="AL2393" s="10"/>
      <c r="AM2393" s="10"/>
      <c r="AN2393" s="10"/>
      <c r="AO2393" s="10"/>
      <c r="AP2393" s="10"/>
      <c r="AQ2393" s="10"/>
      <c r="AR2393" s="10"/>
      <c r="AS2393" s="10"/>
      <c r="AT2393" s="10"/>
      <c r="AU2393" s="10"/>
      <c r="AV2393" s="10"/>
      <c r="AW2393" s="10"/>
      <c r="AX2393" s="10"/>
      <c r="AY2393" s="10"/>
      <c r="AZ2393" s="10"/>
      <c r="BA2393" s="10"/>
      <c r="BB2393" s="10"/>
      <c r="BC2393" s="10"/>
      <c r="BD2393" s="10"/>
      <c r="BE2393" s="10"/>
      <c r="BF2393" s="10"/>
      <c r="BG2393" s="10"/>
      <c r="BH2393" s="10"/>
      <c r="BI2393" s="10"/>
      <c r="BJ2393" s="10"/>
      <c r="BK2393" s="10"/>
      <c r="BM2393" s="10"/>
    </row>
    <row r="2394" spans="1:65" ht="12.75">
      <c r="A2394" s="9"/>
      <c r="B2394" s="10"/>
      <c r="C2394" s="11"/>
      <c r="D2394" s="12"/>
      <c r="E2394" s="10"/>
      <c r="F2394" s="10"/>
      <c r="G2394" s="10"/>
      <c r="H2394" s="14"/>
      <c r="I2394" s="14"/>
      <c r="J2394" s="14"/>
      <c r="K2394" s="14"/>
      <c r="L2394" s="14"/>
      <c r="M2394" s="15"/>
      <c r="N2394" s="10"/>
      <c r="O2394" s="14"/>
      <c r="P2394" s="14"/>
      <c r="Q2394" s="14"/>
      <c r="R2394" s="14"/>
      <c r="S2394" s="14"/>
      <c r="T2394" s="14"/>
      <c r="U2394" s="14"/>
      <c r="V2394" s="14"/>
      <c r="W2394" s="14"/>
      <c r="X2394" s="14"/>
      <c r="Y2394" s="14"/>
      <c r="Z2394" s="14"/>
      <c r="AA2394" s="16"/>
      <c r="AB2394" s="10"/>
      <c r="AC2394" s="10"/>
      <c r="AD2394" s="10"/>
      <c r="AE2394" s="10"/>
      <c r="AF2394" s="10"/>
      <c r="AG2394" s="10"/>
      <c r="AH2394" s="10"/>
      <c r="AI2394" s="10"/>
      <c r="AJ2394" s="10"/>
      <c r="AK2394" s="10"/>
      <c r="AL2394" s="10"/>
      <c r="AM2394" s="10"/>
      <c r="AN2394" s="10"/>
      <c r="AO2394" s="10"/>
      <c r="AP2394" s="10"/>
      <c r="AQ2394" s="10"/>
      <c r="AR2394" s="10"/>
      <c r="AS2394" s="10"/>
      <c r="AT2394" s="10"/>
      <c r="AU2394" s="10"/>
      <c r="AV2394" s="10"/>
      <c r="AW2394" s="10"/>
      <c r="AX2394" s="10"/>
      <c r="AY2394" s="10"/>
      <c r="AZ2394" s="10"/>
      <c r="BA2394" s="10"/>
      <c r="BB2394" s="10"/>
      <c r="BC2394" s="10"/>
      <c r="BD2394" s="10"/>
      <c r="BE2394" s="10"/>
      <c r="BF2394" s="10"/>
      <c r="BG2394" s="10"/>
      <c r="BH2394" s="10"/>
      <c r="BI2394" s="10"/>
      <c r="BJ2394" s="10"/>
      <c r="BK2394" s="10"/>
      <c r="BM2394" s="10"/>
    </row>
    <row r="2395" spans="1:65" ht="12.75">
      <c r="A2395" s="9"/>
      <c r="B2395" s="10"/>
      <c r="C2395" s="11"/>
      <c r="D2395" s="12"/>
      <c r="E2395" s="10"/>
      <c r="F2395" s="10"/>
      <c r="G2395" s="10"/>
      <c r="H2395" s="14"/>
      <c r="I2395" s="14"/>
      <c r="J2395" s="14"/>
      <c r="K2395" s="14"/>
      <c r="L2395" s="14"/>
      <c r="M2395" s="15"/>
      <c r="N2395" s="10"/>
      <c r="O2395" s="14"/>
      <c r="P2395" s="14"/>
      <c r="Q2395" s="14"/>
      <c r="R2395" s="14"/>
      <c r="S2395" s="14"/>
      <c r="T2395" s="14"/>
      <c r="U2395" s="14"/>
      <c r="V2395" s="14"/>
      <c r="W2395" s="14"/>
      <c r="X2395" s="14"/>
      <c r="Y2395" s="14"/>
      <c r="Z2395" s="14"/>
      <c r="AA2395" s="16"/>
      <c r="AB2395" s="10"/>
      <c r="AC2395" s="10"/>
      <c r="AD2395" s="10"/>
      <c r="AE2395" s="10"/>
      <c r="AF2395" s="10"/>
      <c r="AG2395" s="10"/>
      <c r="AH2395" s="10"/>
      <c r="AI2395" s="10"/>
      <c r="AJ2395" s="10"/>
      <c r="AK2395" s="10"/>
      <c r="AL2395" s="10"/>
      <c r="AM2395" s="10"/>
      <c r="AN2395" s="10"/>
      <c r="AO2395" s="10"/>
      <c r="AP2395" s="10"/>
      <c r="AQ2395" s="10"/>
      <c r="AR2395" s="10"/>
      <c r="AS2395" s="10"/>
      <c r="AT2395" s="10"/>
      <c r="AU2395" s="10"/>
      <c r="AV2395" s="10"/>
      <c r="AW2395" s="10"/>
      <c r="AX2395" s="10"/>
      <c r="AY2395" s="10"/>
      <c r="AZ2395" s="10"/>
      <c r="BA2395" s="10"/>
      <c r="BB2395" s="10"/>
      <c r="BC2395" s="10"/>
      <c r="BD2395" s="10"/>
      <c r="BE2395" s="10"/>
      <c r="BF2395" s="10"/>
      <c r="BG2395" s="10"/>
      <c r="BH2395" s="10"/>
      <c r="BI2395" s="10"/>
      <c r="BJ2395" s="10"/>
      <c r="BK2395" s="10"/>
      <c r="BM2395" s="10"/>
    </row>
    <row r="2396" spans="1:65" ht="12.75">
      <c r="A2396" s="9"/>
      <c r="B2396" s="10"/>
      <c r="C2396" s="11"/>
      <c r="D2396" s="12"/>
      <c r="E2396" s="10"/>
      <c r="F2396" s="10"/>
      <c r="G2396" s="10"/>
      <c r="H2396" s="14"/>
      <c r="I2396" s="14"/>
      <c r="J2396" s="14"/>
      <c r="K2396" s="14"/>
      <c r="L2396" s="14"/>
      <c r="M2396" s="15"/>
      <c r="N2396" s="10"/>
      <c r="O2396" s="14"/>
      <c r="P2396" s="14"/>
      <c r="Q2396" s="14"/>
      <c r="R2396" s="14"/>
      <c r="S2396" s="14"/>
      <c r="T2396" s="14"/>
      <c r="U2396" s="14"/>
      <c r="V2396" s="14"/>
      <c r="W2396" s="14"/>
      <c r="X2396" s="14"/>
      <c r="Y2396" s="14"/>
      <c r="Z2396" s="14"/>
      <c r="AA2396" s="16"/>
      <c r="AB2396" s="10"/>
      <c r="AC2396" s="10"/>
      <c r="AD2396" s="10"/>
      <c r="AE2396" s="10"/>
      <c r="AF2396" s="10"/>
      <c r="AG2396" s="10"/>
      <c r="AH2396" s="10"/>
      <c r="AI2396" s="10"/>
      <c r="AJ2396" s="10"/>
      <c r="AK2396" s="10"/>
      <c r="AL2396" s="10"/>
      <c r="AM2396" s="10"/>
      <c r="AN2396" s="10"/>
      <c r="AO2396" s="10"/>
      <c r="AP2396" s="10"/>
      <c r="AQ2396" s="10"/>
      <c r="AR2396" s="10"/>
      <c r="AS2396" s="10"/>
      <c r="AT2396" s="10"/>
      <c r="AU2396" s="10"/>
      <c r="AV2396" s="10"/>
      <c r="AW2396" s="10"/>
      <c r="AX2396" s="10"/>
      <c r="AY2396" s="10"/>
      <c r="AZ2396" s="10"/>
      <c r="BA2396" s="10"/>
      <c r="BB2396" s="10"/>
      <c r="BC2396" s="10"/>
      <c r="BD2396" s="10"/>
      <c r="BE2396" s="10"/>
      <c r="BF2396" s="10"/>
      <c r="BG2396" s="10"/>
      <c r="BH2396" s="10"/>
      <c r="BI2396" s="10"/>
      <c r="BJ2396" s="10"/>
      <c r="BK2396" s="10"/>
      <c r="BM2396" s="10"/>
    </row>
    <row r="2397" spans="1:65" ht="12.75">
      <c r="A2397" s="9"/>
      <c r="B2397" s="10"/>
      <c r="C2397" s="11"/>
      <c r="D2397" s="12"/>
      <c r="E2397" s="10"/>
      <c r="F2397" s="10"/>
      <c r="G2397" s="10"/>
      <c r="H2397" s="14"/>
      <c r="I2397" s="14"/>
      <c r="J2397" s="14"/>
      <c r="K2397" s="14"/>
      <c r="L2397" s="14"/>
      <c r="M2397" s="15"/>
      <c r="N2397" s="10"/>
      <c r="O2397" s="14"/>
      <c r="P2397" s="14"/>
      <c r="Q2397" s="14"/>
      <c r="R2397" s="14"/>
      <c r="S2397" s="14"/>
      <c r="T2397" s="14"/>
      <c r="U2397" s="14"/>
      <c r="V2397" s="14"/>
      <c r="W2397" s="14"/>
      <c r="X2397" s="14"/>
      <c r="Y2397" s="14"/>
      <c r="Z2397" s="14"/>
      <c r="AA2397" s="16"/>
      <c r="AB2397" s="10"/>
      <c r="AC2397" s="10"/>
      <c r="AD2397" s="10"/>
      <c r="AE2397" s="10"/>
      <c r="AF2397" s="10"/>
      <c r="AG2397" s="10"/>
      <c r="AH2397" s="10"/>
      <c r="AI2397" s="10"/>
      <c r="AJ2397" s="10"/>
      <c r="AK2397" s="10"/>
      <c r="AL2397" s="10"/>
      <c r="AM2397" s="10"/>
      <c r="AN2397" s="10"/>
      <c r="AO2397" s="10"/>
      <c r="AP2397" s="10"/>
      <c r="AQ2397" s="10"/>
      <c r="AR2397" s="10"/>
      <c r="AS2397" s="10"/>
      <c r="AT2397" s="10"/>
      <c r="AU2397" s="10"/>
      <c r="AV2397" s="10"/>
      <c r="AW2397" s="10"/>
      <c r="AX2397" s="10"/>
      <c r="AY2397" s="10"/>
      <c r="AZ2397" s="10"/>
      <c r="BA2397" s="10"/>
      <c r="BB2397" s="10"/>
      <c r="BC2397" s="10"/>
      <c r="BD2397" s="10"/>
      <c r="BE2397" s="10"/>
      <c r="BF2397" s="10"/>
      <c r="BG2397" s="10"/>
      <c r="BH2397" s="10"/>
      <c r="BI2397" s="10"/>
      <c r="BJ2397" s="10"/>
      <c r="BK2397" s="10"/>
      <c r="BM2397" s="10"/>
    </row>
    <row r="2398" spans="1:65" ht="12.75">
      <c r="A2398" s="9"/>
      <c r="B2398" s="10"/>
      <c r="C2398" s="11"/>
      <c r="D2398" s="12"/>
      <c r="E2398" s="10"/>
      <c r="F2398" s="10"/>
      <c r="G2398" s="10"/>
      <c r="H2398" s="14"/>
      <c r="I2398" s="14"/>
      <c r="J2398" s="14"/>
      <c r="K2398" s="14"/>
      <c r="L2398" s="14"/>
      <c r="M2398" s="15"/>
      <c r="N2398" s="10"/>
      <c r="O2398" s="14"/>
      <c r="P2398" s="14"/>
      <c r="Q2398" s="14"/>
      <c r="R2398" s="14"/>
      <c r="S2398" s="14"/>
      <c r="T2398" s="14"/>
      <c r="U2398" s="14"/>
      <c r="V2398" s="14"/>
      <c r="W2398" s="14"/>
      <c r="X2398" s="14"/>
      <c r="Y2398" s="14"/>
      <c r="Z2398" s="14"/>
      <c r="AA2398" s="16"/>
      <c r="AB2398" s="10"/>
      <c r="AC2398" s="10"/>
      <c r="AD2398" s="10"/>
      <c r="AE2398" s="10"/>
      <c r="AF2398" s="10"/>
      <c r="AG2398" s="10"/>
      <c r="AH2398" s="10"/>
      <c r="AI2398" s="10"/>
      <c r="AJ2398" s="10"/>
      <c r="AK2398" s="10"/>
      <c r="AL2398" s="10"/>
      <c r="AM2398" s="10"/>
      <c r="AN2398" s="10"/>
      <c r="AO2398" s="10"/>
      <c r="AP2398" s="10"/>
      <c r="AQ2398" s="10"/>
      <c r="AR2398" s="10"/>
      <c r="AS2398" s="10"/>
      <c r="AT2398" s="10"/>
      <c r="AU2398" s="10"/>
      <c r="AV2398" s="10"/>
      <c r="AW2398" s="10"/>
      <c r="AX2398" s="10"/>
      <c r="AY2398" s="10"/>
      <c r="AZ2398" s="10"/>
      <c r="BA2398" s="10"/>
      <c r="BB2398" s="10"/>
      <c r="BC2398" s="10"/>
      <c r="BD2398" s="10"/>
      <c r="BE2398" s="10"/>
      <c r="BF2398" s="10"/>
      <c r="BG2398" s="10"/>
      <c r="BH2398" s="10"/>
      <c r="BI2398" s="10"/>
      <c r="BJ2398" s="10"/>
      <c r="BK2398" s="10"/>
      <c r="BM2398" s="10"/>
    </row>
    <row r="2399" spans="1:65" ht="12.75">
      <c r="A2399" s="9"/>
      <c r="B2399" s="10"/>
      <c r="C2399" s="11"/>
      <c r="D2399" s="12"/>
      <c r="E2399" s="10"/>
      <c r="F2399" s="10"/>
      <c r="G2399" s="10"/>
      <c r="H2399" s="14"/>
      <c r="I2399" s="14"/>
      <c r="J2399" s="14"/>
      <c r="K2399" s="14"/>
      <c r="L2399" s="14"/>
      <c r="M2399" s="15"/>
      <c r="N2399" s="10"/>
      <c r="O2399" s="14"/>
      <c r="P2399" s="14"/>
      <c r="Q2399" s="14"/>
      <c r="R2399" s="14"/>
      <c r="S2399" s="14"/>
      <c r="T2399" s="14"/>
      <c r="U2399" s="14"/>
      <c r="V2399" s="14"/>
      <c r="W2399" s="14"/>
      <c r="X2399" s="14"/>
      <c r="Y2399" s="14"/>
      <c r="Z2399" s="14"/>
      <c r="AA2399" s="16"/>
      <c r="AB2399" s="10"/>
      <c r="AC2399" s="10"/>
      <c r="AD2399" s="10"/>
      <c r="AE2399" s="10"/>
      <c r="AF2399" s="10"/>
      <c r="AG2399" s="10"/>
      <c r="AH2399" s="10"/>
      <c r="AI2399" s="10"/>
      <c r="AJ2399" s="10"/>
      <c r="AK2399" s="10"/>
      <c r="AL2399" s="10"/>
      <c r="AM2399" s="10"/>
      <c r="AN2399" s="10"/>
      <c r="AO2399" s="10"/>
      <c r="AP2399" s="10"/>
      <c r="AQ2399" s="10"/>
      <c r="AR2399" s="10"/>
      <c r="AS2399" s="10"/>
      <c r="AT2399" s="10"/>
      <c r="AU2399" s="10"/>
      <c r="AV2399" s="10"/>
      <c r="AW2399" s="10"/>
      <c r="AX2399" s="10"/>
      <c r="AY2399" s="10"/>
      <c r="AZ2399" s="10"/>
      <c r="BA2399" s="10"/>
      <c r="BB2399" s="10"/>
      <c r="BC2399" s="10"/>
      <c r="BD2399" s="10"/>
      <c r="BE2399" s="10"/>
      <c r="BF2399" s="10"/>
      <c r="BG2399" s="10"/>
      <c r="BH2399" s="10"/>
      <c r="BI2399" s="10"/>
      <c r="BJ2399" s="10"/>
      <c r="BK2399" s="10"/>
      <c r="BM2399" s="10"/>
    </row>
    <row r="2400" spans="1:65" ht="12.75">
      <c r="A2400" s="9"/>
      <c r="B2400" s="10"/>
      <c r="C2400" s="11"/>
      <c r="D2400" s="12"/>
      <c r="E2400" s="10"/>
      <c r="F2400" s="10"/>
      <c r="G2400" s="10"/>
      <c r="H2400" s="14"/>
      <c r="I2400" s="14"/>
      <c r="J2400" s="14"/>
      <c r="K2400" s="14"/>
      <c r="L2400" s="14"/>
      <c r="M2400" s="15"/>
      <c r="N2400" s="10"/>
      <c r="O2400" s="14"/>
      <c r="P2400" s="14"/>
      <c r="Q2400" s="14"/>
      <c r="R2400" s="14"/>
      <c r="S2400" s="14"/>
      <c r="T2400" s="14"/>
      <c r="U2400" s="14"/>
      <c r="V2400" s="14"/>
      <c r="W2400" s="14"/>
      <c r="X2400" s="14"/>
      <c r="Y2400" s="14"/>
      <c r="Z2400" s="14"/>
      <c r="AA2400" s="16"/>
      <c r="AB2400" s="10"/>
      <c r="AC2400" s="10"/>
      <c r="AD2400" s="10"/>
      <c r="AE2400" s="10"/>
      <c r="AF2400" s="10"/>
      <c r="AG2400" s="10"/>
      <c r="AH2400" s="10"/>
      <c r="AI2400" s="10"/>
      <c r="AJ2400" s="10"/>
      <c r="AK2400" s="10"/>
      <c r="AL2400" s="10"/>
      <c r="AM2400" s="10"/>
      <c r="AN2400" s="10"/>
      <c r="AO2400" s="10"/>
      <c r="AP2400" s="10"/>
      <c r="AQ2400" s="10"/>
      <c r="AR2400" s="10"/>
      <c r="AS2400" s="10"/>
      <c r="AT2400" s="10"/>
      <c r="AU2400" s="10"/>
      <c r="AV2400" s="10"/>
      <c r="AW2400" s="10"/>
      <c r="AX2400" s="10"/>
      <c r="AY2400" s="10"/>
      <c r="AZ2400" s="10"/>
      <c r="BA2400" s="10"/>
      <c r="BB2400" s="10"/>
      <c r="BC2400" s="10"/>
      <c r="BD2400" s="10"/>
      <c r="BE2400" s="10"/>
      <c r="BF2400" s="10"/>
      <c r="BG2400" s="10"/>
      <c r="BH2400" s="10"/>
      <c r="BI2400" s="10"/>
      <c r="BJ2400" s="10"/>
      <c r="BK2400" s="10"/>
      <c r="BM2400" s="10"/>
    </row>
    <row r="2401" spans="1:65" ht="12.75">
      <c r="A2401" s="9"/>
      <c r="B2401" s="10"/>
      <c r="C2401" s="11"/>
      <c r="D2401" s="12"/>
      <c r="E2401" s="10"/>
      <c r="F2401" s="10"/>
      <c r="G2401" s="10"/>
      <c r="H2401" s="14"/>
      <c r="I2401" s="14"/>
      <c r="J2401" s="14"/>
      <c r="K2401" s="14"/>
      <c r="L2401" s="14"/>
      <c r="M2401" s="15"/>
      <c r="N2401" s="10"/>
      <c r="O2401" s="14"/>
      <c r="P2401" s="14"/>
      <c r="Q2401" s="14"/>
      <c r="R2401" s="14"/>
      <c r="S2401" s="14"/>
      <c r="T2401" s="14"/>
      <c r="U2401" s="14"/>
      <c r="V2401" s="14"/>
      <c r="W2401" s="14"/>
      <c r="X2401" s="14"/>
      <c r="Y2401" s="14"/>
      <c r="Z2401" s="14"/>
      <c r="AA2401" s="16"/>
      <c r="AB2401" s="10"/>
      <c r="AC2401" s="10"/>
      <c r="AD2401" s="10"/>
      <c r="AE2401" s="10"/>
      <c r="AF2401" s="10"/>
      <c r="AG2401" s="10"/>
      <c r="AH2401" s="10"/>
      <c r="AI2401" s="10"/>
      <c r="AJ2401" s="10"/>
      <c r="AK2401" s="10"/>
      <c r="AL2401" s="10"/>
      <c r="AM2401" s="10"/>
      <c r="AN2401" s="10"/>
      <c r="AO2401" s="10"/>
      <c r="AP2401" s="10"/>
      <c r="AQ2401" s="10"/>
      <c r="AR2401" s="10"/>
      <c r="AS2401" s="10"/>
      <c r="AT2401" s="10"/>
      <c r="AU2401" s="10"/>
      <c r="AV2401" s="10"/>
      <c r="AW2401" s="10"/>
      <c r="AX2401" s="10"/>
      <c r="AY2401" s="10"/>
      <c r="AZ2401" s="10"/>
      <c r="BA2401" s="10"/>
      <c r="BB2401" s="10"/>
      <c r="BC2401" s="10"/>
      <c r="BD2401" s="10"/>
      <c r="BE2401" s="10"/>
      <c r="BF2401" s="10"/>
      <c r="BG2401" s="10"/>
      <c r="BH2401" s="10"/>
      <c r="BI2401" s="10"/>
      <c r="BJ2401" s="10"/>
      <c r="BK2401" s="10"/>
      <c r="BM2401" s="10"/>
    </row>
    <row r="2402" spans="1:65" ht="12.75">
      <c r="A2402" s="9"/>
      <c r="B2402" s="10"/>
      <c r="C2402" s="11"/>
      <c r="D2402" s="12"/>
      <c r="E2402" s="10"/>
      <c r="F2402" s="10"/>
      <c r="G2402" s="10"/>
      <c r="H2402" s="14"/>
      <c r="I2402" s="14"/>
      <c r="J2402" s="14"/>
      <c r="K2402" s="14"/>
      <c r="L2402" s="14"/>
      <c r="M2402" s="15"/>
      <c r="N2402" s="10"/>
      <c r="O2402" s="14"/>
      <c r="P2402" s="14"/>
      <c r="Q2402" s="14"/>
      <c r="R2402" s="14"/>
      <c r="S2402" s="14"/>
      <c r="T2402" s="14"/>
      <c r="U2402" s="14"/>
      <c r="V2402" s="14"/>
      <c r="W2402" s="14"/>
      <c r="X2402" s="14"/>
      <c r="Y2402" s="14"/>
      <c r="Z2402" s="14"/>
      <c r="AA2402" s="16"/>
      <c r="AB2402" s="10"/>
      <c r="AC2402" s="10"/>
      <c r="AD2402" s="10"/>
      <c r="AE2402" s="10"/>
      <c r="AF2402" s="10"/>
      <c r="AG2402" s="10"/>
      <c r="AH2402" s="10"/>
      <c r="AI2402" s="10"/>
      <c r="AJ2402" s="10"/>
      <c r="AK2402" s="10"/>
      <c r="AL2402" s="10"/>
      <c r="AM2402" s="10"/>
      <c r="AN2402" s="10"/>
      <c r="AO2402" s="10"/>
      <c r="AP2402" s="10"/>
      <c r="AQ2402" s="10"/>
      <c r="AR2402" s="10"/>
      <c r="AS2402" s="10"/>
      <c r="AT2402" s="10"/>
      <c r="AU2402" s="10"/>
      <c r="AV2402" s="10"/>
      <c r="AW2402" s="10"/>
      <c r="AX2402" s="10"/>
      <c r="AY2402" s="10"/>
      <c r="AZ2402" s="10"/>
      <c r="BA2402" s="10"/>
      <c r="BB2402" s="10"/>
      <c r="BC2402" s="10"/>
      <c r="BD2402" s="10"/>
      <c r="BE2402" s="10"/>
      <c r="BF2402" s="10"/>
      <c r="BG2402" s="10"/>
      <c r="BH2402" s="10"/>
      <c r="BI2402" s="10"/>
      <c r="BJ2402" s="10"/>
      <c r="BK2402" s="10"/>
      <c r="BM2402" s="10"/>
    </row>
    <row r="2403" spans="1:65" ht="12.75">
      <c r="A2403" s="9"/>
      <c r="B2403" s="10"/>
      <c r="C2403" s="11"/>
      <c r="D2403" s="12"/>
      <c r="E2403" s="10"/>
      <c r="F2403" s="10"/>
      <c r="G2403" s="10"/>
      <c r="H2403" s="14"/>
      <c r="I2403" s="14"/>
      <c r="J2403" s="14"/>
      <c r="K2403" s="14"/>
      <c r="L2403" s="14"/>
      <c r="M2403" s="15"/>
      <c r="N2403" s="10"/>
      <c r="O2403" s="14"/>
      <c r="P2403" s="14"/>
      <c r="Q2403" s="14"/>
      <c r="R2403" s="14"/>
      <c r="S2403" s="14"/>
      <c r="T2403" s="14"/>
      <c r="U2403" s="14"/>
      <c r="V2403" s="14"/>
      <c r="W2403" s="14"/>
      <c r="X2403" s="14"/>
      <c r="Y2403" s="14"/>
      <c r="Z2403" s="14"/>
      <c r="AA2403" s="16"/>
      <c r="AB2403" s="10"/>
      <c r="AC2403" s="10"/>
      <c r="AD2403" s="10"/>
      <c r="AE2403" s="10"/>
      <c r="AF2403" s="10"/>
      <c r="AG2403" s="10"/>
      <c r="AH2403" s="10"/>
      <c r="AI2403" s="10"/>
      <c r="AJ2403" s="10"/>
      <c r="AK2403" s="10"/>
      <c r="AL2403" s="10"/>
      <c r="AM2403" s="10"/>
      <c r="AN2403" s="10"/>
      <c r="AO2403" s="10"/>
      <c r="AP2403" s="10"/>
      <c r="AQ2403" s="10"/>
      <c r="AR2403" s="10"/>
      <c r="AS2403" s="10"/>
      <c r="AT2403" s="10"/>
      <c r="AU2403" s="10"/>
      <c r="AV2403" s="10"/>
      <c r="AW2403" s="10"/>
      <c r="AX2403" s="10"/>
      <c r="AY2403" s="10"/>
      <c r="AZ2403" s="10"/>
      <c r="BA2403" s="10"/>
      <c r="BB2403" s="10"/>
      <c r="BC2403" s="10"/>
      <c r="BD2403" s="10"/>
      <c r="BE2403" s="10"/>
      <c r="BF2403" s="10"/>
      <c r="BG2403" s="10"/>
      <c r="BH2403" s="10"/>
      <c r="BI2403" s="10"/>
      <c r="BJ2403" s="10"/>
      <c r="BK2403" s="10"/>
      <c r="BM2403" s="10"/>
    </row>
    <row r="2404" spans="1:65" ht="12.75">
      <c r="A2404" s="9"/>
      <c r="B2404" s="10"/>
      <c r="C2404" s="11"/>
      <c r="D2404" s="12"/>
      <c r="E2404" s="10"/>
      <c r="F2404" s="10"/>
      <c r="G2404" s="10"/>
      <c r="H2404" s="14"/>
      <c r="I2404" s="14"/>
      <c r="J2404" s="14"/>
      <c r="K2404" s="14"/>
      <c r="L2404" s="14"/>
      <c r="M2404" s="15"/>
      <c r="N2404" s="10"/>
      <c r="O2404" s="14"/>
      <c r="P2404" s="14"/>
      <c r="Q2404" s="14"/>
      <c r="R2404" s="14"/>
      <c r="S2404" s="14"/>
      <c r="T2404" s="14"/>
      <c r="U2404" s="14"/>
      <c r="V2404" s="14"/>
      <c r="W2404" s="14"/>
      <c r="X2404" s="14"/>
      <c r="Y2404" s="14"/>
      <c r="Z2404" s="14"/>
      <c r="AA2404" s="16"/>
      <c r="AB2404" s="10"/>
      <c r="AC2404" s="10"/>
      <c r="AD2404" s="10"/>
      <c r="AE2404" s="10"/>
      <c r="AF2404" s="10"/>
      <c r="AG2404" s="10"/>
      <c r="AH2404" s="10"/>
      <c r="AI2404" s="10"/>
      <c r="AJ2404" s="10"/>
      <c r="AK2404" s="10"/>
      <c r="AL2404" s="10"/>
      <c r="AM2404" s="10"/>
      <c r="AN2404" s="10"/>
      <c r="AO2404" s="10"/>
      <c r="AP2404" s="10"/>
      <c r="AQ2404" s="10"/>
      <c r="AR2404" s="10"/>
      <c r="AS2404" s="10"/>
      <c r="AT2404" s="10"/>
      <c r="AU2404" s="10"/>
      <c r="AV2404" s="10"/>
      <c r="AW2404" s="10"/>
      <c r="AX2404" s="10"/>
      <c r="AY2404" s="10"/>
      <c r="AZ2404" s="10"/>
      <c r="BA2404" s="10"/>
      <c r="BB2404" s="10"/>
      <c r="BC2404" s="10"/>
      <c r="BD2404" s="10"/>
      <c r="BE2404" s="10"/>
      <c r="BF2404" s="10"/>
      <c r="BG2404" s="10"/>
      <c r="BH2404" s="10"/>
      <c r="BI2404" s="10"/>
      <c r="BJ2404" s="10"/>
      <c r="BK2404" s="10"/>
      <c r="BM2404" s="10"/>
    </row>
    <row r="2405" spans="1:65" ht="12.75">
      <c r="A2405" s="9"/>
      <c r="B2405" s="10"/>
      <c r="C2405" s="11"/>
      <c r="D2405" s="12"/>
      <c r="E2405" s="10"/>
      <c r="F2405" s="10"/>
      <c r="G2405" s="10"/>
      <c r="H2405" s="14"/>
      <c r="I2405" s="14"/>
      <c r="J2405" s="14"/>
      <c r="K2405" s="14"/>
      <c r="L2405" s="14"/>
      <c r="M2405" s="15"/>
      <c r="N2405" s="10"/>
      <c r="O2405" s="14"/>
      <c r="P2405" s="14"/>
      <c r="Q2405" s="14"/>
      <c r="R2405" s="14"/>
      <c r="S2405" s="14"/>
      <c r="T2405" s="14"/>
      <c r="U2405" s="14"/>
      <c r="V2405" s="14"/>
      <c r="W2405" s="14"/>
      <c r="X2405" s="14"/>
      <c r="Y2405" s="14"/>
      <c r="Z2405" s="14"/>
      <c r="AA2405" s="16"/>
      <c r="AB2405" s="10"/>
      <c r="AC2405" s="10"/>
      <c r="AD2405" s="10"/>
      <c r="AE2405" s="10"/>
      <c r="AF2405" s="10"/>
      <c r="AG2405" s="10"/>
      <c r="AH2405" s="10"/>
      <c r="AI2405" s="10"/>
      <c r="AJ2405" s="10"/>
      <c r="AK2405" s="10"/>
      <c r="AL2405" s="10"/>
      <c r="AM2405" s="10"/>
      <c r="AN2405" s="10"/>
      <c r="AO2405" s="10"/>
      <c r="AP2405" s="10"/>
      <c r="AQ2405" s="10"/>
      <c r="AR2405" s="10"/>
      <c r="AS2405" s="10"/>
      <c r="AT2405" s="10"/>
      <c r="AU2405" s="10"/>
      <c r="AV2405" s="10"/>
      <c r="AW2405" s="10"/>
      <c r="AX2405" s="10"/>
      <c r="AY2405" s="10"/>
      <c r="AZ2405" s="10"/>
      <c r="BA2405" s="10"/>
      <c r="BB2405" s="10"/>
      <c r="BC2405" s="10"/>
      <c r="BD2405" s="10"/>
      <c r="BE2405" s="10"/>
      <c r="BF2405" s="10"/>
      <c r="BG2405" s="10"/>
      <c r="BH2405" s="10"/>
      <c r="BI2405" s="10"/>
      <c r="BJ2405" s="10"/>
      <c r="BK2405" s="10"/>
      <c r="BM2405" s="10"/>
    </row>
    <row r="2406" spans="1:65" ht="12.75">
      <c r="A2406" s="9"/>
      <c r="B2406" s="10"/>
      <c r="C2406" s="11"/>
      <c r="D2406" s="12"/>
      <c r="E2406" s="10"/>
      <c r="F2406" s="10"/>
      <c r="G2406" s="10"/>
      <c r="H2406" s="14"/>
      <c r="I2406" s="14"/>
      <c r="J2406" s="14"/>
      <c r="K2406" s="14"/>
      <c r="L2406" s="14"/>
      <c r="M2406" s="15"/>
      <c r="N2406" s="10"/>
      <c r="O2406" s="14"/>
      <c r="P2406" s="14"/>
      <c r="Q2406" s="14"/>
      <c r="R2406" s="14"/>
      <c r="S2406" s="14"/>
      <c r="T2406" s="14"/>
      <c r="U2406" s="14"/>
      <c r="V2406" s="14"/>
      <c r="W2406" s="14"/>
      <c r="X2406" s="14"/>
      <c r="Y2406" s="14"/>
      <c r="Z2406" s="14"/>
      <c r="AA2406" s="16"/>
      <c r="AB2406" s="10"/>
      <c r="AC2406" s="10"/>
      <c r="AD2406" s="10"/>
      <c r="AE2406" s="10"/>
      <c r="AF2406" s="10"/>
      <c r="AG2406" s="10"/>
      <c r="AH2406" s="10"/>
      <c r="AI2406" s="10"/>
      <c r="AJ2406" s="10"/>
      <c r="AK2406" s="10"/>
      <c r="AL2406" s="10"/>
      <c r="AM2406" s="10"/>
      <c r="AN2406" s="10"/>
      <c r="AO2406" s="10"/>
      <c r="AP2406" s="10"/>
      <c r="AQ2406" s="10"/>
      <c r="AR2406" s="10"/>
      <c r="AS2406" s="10"/>
      <c r="AT2406" s="10"/>
      <c r="AU2406" s="10"/>
      <c r="AV2406" s="10"/>
      <c r="AW2406" s="10"/>
      <c r="AX2406" s="10"/>
      <c r="AY2406" s="10"/>
      <c r="AZ2406" s="10"/>
      <c r="BA2406" s="10"/>
      <c r="BB2406" s="10"/>
      <c r="BC2406" s="10"/>
      <c r="BD2406" s="10"/>
      <c r="BE2406" s="10"/>
      <c r="BF2406" s="10"/>
      <c r="BG2406" s="10"/>
      <c r="BH2406" s="10"/>
      <c r="BI2406" s="10"/>
      <c r="BJ2406" s="10"/>
      <c r="BK2406" s="10"/>
      <c r="BM2406" s="10"/>
    </row>
    <row r="2407" spans="1:65" ht="12.75">
      <c r="A2407" s="9"/>
      <c r="B2407" s="10"/>
      <c r="C2407" s="11"/>
      <c r="D2407" s="12"/>
      <c r="E2407" s="10"/>
      <c r="F2407" s="10"/>
      <c r="G2407" s="10"/>
      <c r="H2407" s="14"/>
      <c r="I2407" s="14"/>
      <c r="J2407" s="14"/>
      <c r="K2407" s="14"/>
      <c r="L2407" s="14"/>
      <c r="M2407" s="15"/>
      <c r="N2407" s="10"/>
      <c r="O2407" s="14"/>
      <c r="P2407" s="14"/>
      <c r="Q2407" s="14"/>
      <c r="R2407" s="14"/>
      <c r="S2407" s="14"/>
      <c r="T2407" s="14"/>
      <c r="U2407" s="14"/>
      <c r="V2407" s="14"/>
      <c r="W2407" s="14"/>
      <c r="X2407" s="14"/>
      <c r="Y2407" s="14"/>
      <c r="Z2407" s="14"/>
      <c r="AA2407" s="16"/>
      <c r="AB2407" s="10"/>
      <c r="AC2407" s="10"/>
      <c r="AD2407" s="10"/>
      <c r="AE2407" s="10"/>
      <c r="AF2407" s="10"/>
      <c r="AG2407" s="10"/>
      <c r="AH2407" s="10"/>
      <c r="AI2407" s="10"/>
      <c r="AJ2407" s="10"/>
      <c r="AK2407" s="10"/>
      <c r="AL2407" s="10"/>
      <c r="AM2407" s="10"/>
      <c r="AN2407" s="10"/>
      <c r="AO2407" s="10"/>
      <c r="AP2407" s="10"/>
      <c r="AQ2407" s="10"/>
      <c r="AR2407" s="10"/>
      <c r="AS2407" s="10"/>
      <c r="AT2407" s="10"/>
      <c r="AU2407" s="10"/>
      <c r="AV2407" s="10"/>
      <c r="AW2407" s="10"/>
      <c r="AX2407" s="10"/>
      <c r="AY2407" s="10"/>
      <c r="AZ2407" s="10"/>
      <c r="BA2407" s="10"/>
      <c r="BB2407" s="10"/>
      <c r="BC2407" s="10"/>
      <c r="BD2407" s="10"/>
      <c r="BE2407" s="10"/>
      <c r="BF2407" s="10"/>
      <c r="BG2407" s="10"/>
      <c r="BH2407" s="10"/>
      <c r="BI2407" s="10"/>
      <c r="BJ2407" s="10"/>
      <c r="BK2407" s="10"/>
      <c r="BM2407" s="10"/>
    </row>
    <row r="2408" spans="1:65" ht="12.75">
      <c r="A2408" s="9"/>
      <c r="B2408" s="10"/>
      <c r="C2408" s="11"/>
      <c r="D2408" s="12"/>
      <c r="E2408" s="10"/>
      <c r="F2408" s="10"/>
      <c r="G2408" s="10"/>
      <c r="H2408" s="14"/>
      <c r="I2408" s="14"/>
      <c r="J2408" s="14"/>
      <c r="K2408" s="14"/>
      <c r="L2408" s="14"/>
      <c r="M2408" s="15"/>
      <c r="N2408" s="10"/>
      <c r="O2408" s="14"/>
      <c r="P2408" s="14"/>
      <c r="Q2408" s="14"/>
      <c r="R2408" s="14"/>
      <c r="S2408" s="14"/>
      <c r="T2408" s="14"/>
      <c r="U2408" s="14"/>
      <c r="V2408" s="14"/>
      <c r="W2408" s="14"/>
      <c r="X2408" s="14"/>
      <c r="Y2408" s="14"/>
      <c r="Z2408" s="14"/>
      <c r="AA2408" s="16"/>
      <c r="AB2408" s="10"/>
      <c r="AC2408" s="10"/>
      <c r="AD2408" s="10"/>
      <c r="AE2408" s="10"/>
      <c r="AF2408" s="10"/>
      <c r="AG2408" s="10"/>
      <c r="AH2408" s="10"/>
      <c r="AI2408" s="10"/>
      <c r="AJ2408" s="10"/>
      <c r="AK2408" s="10"/>
      <c r="AL2408" s="10"/>
      <c r="AM2408" s="10"/>
      <c r="AN2408" s="10"/>
      <c r="AO2408" s="10"/>
      <c r="AP2408" s="10"/>
      <c r="AQ2408" s="10"/>
      <c r="AR2408" s="10"/>
      <c r="AS2408" s="10"/>
      <c r="AT2408" s="10"/>
      <c r="AU2408" s="10"/>
      <c r="AV2408" s="10"/>
      <c r="AW2408" s="10"/>
      <c r="AX2408" s="10"/>
      <c r="AY2408" s="10"/>
      <c r="AZ2408" s="10"/>
      <c r="BA2408" s="10"/>
      <c r="BB2408" s="10"/>
      <c r="BC2408" s="10"/>
      <c r="BD2408" s="10"/>
      <c r="BE2408" s="10"/>
      <c r="BF2408" s="10"/>
      <c r="BG2408" s="10"/>
      <c r="BH2408" s="10"/>
      <c r="BI2408" s="10"/>
      <c r="BJ2408" s="10"/>
      <c r="BK2408" s="10"/>
      <c r="BM2408" s="10"/>
    </row>
    <row r="2409" spans="1:65" ht="12.75">
      <c r="A2409" s="9"/>
      <c r="B2409" s="10"/>
      <c r="C2409" s="11"/>
      <c r="D2409" s="12"/>
      <c r="E2409" s="10"/>
      <c r="F2409" s="10"/>
      <c r="G2409" s="10"/>
      <c r="H2409" s="14"/>
      <c r="I2409" s="14"/>
      <c r="J2409" s="14"/>
      <c r="K2409" s="14"/>
      <c r="L2409" s="14"/>
      <c r="M2409" s="15"/>
      <c r="N2409" s="10"/>
      <c r="O2409" s="14"/>
      <c r="P2409" s="14"/>
      <c r="Q2409" s="14"/>
      <c r="R2409" s="14"/>
      <c r="S2409" s="14"/>
      <c r="T2409" s="14"/>
      <c r="U2409" s="14"/>
      <c r="V2409" s="14"/>
      <c r="W2409" s="14"/>
      <c r="X2409" s="14"/>
      <c r="Y2409" s="14"/>
      <c r="Z2409" s="14"/>
      <c r="AA2409" s="16"/>
      <c r="AB2409" s="10"/>
      <c r="AC2409" s="10"/>
      <c r="AD2409" s="10"/>
      <c r="AE2409" s="10"/>
      <c r="AF2409" s="10"/>
      <c r="AG2409" s="10"/>
      <c r="AH2409" s="10"/>
      <c r="AI2409" s="10"/>
      <c r="AJ2409" s="10"/>
      <c r="AK2409" s="10"/>
      <c r="AL2409" s="10"/>
      <c r="AM2409" s="10"/>
      <c r="AN2409" s="10"/>
      <c r="AO2409" s="10"/>
      <c r="AP2409" s="10"/>
      <c r="AQ2409" s="10"/>
      <c r="AR2409" s="10"/>
      <c r="AS2409" s="10"/>
      <c r="AT2409" s="10"/>
      <c r="AU2409" s="10"/>
      <c r="AV2409" s="10"/>
      <c r="AW2409" s="10"/>
      <c r="AX2409" s="10"/>
      <c r="AY2409" s="10"/>
      <c r="AZ2409" s="10"/>
      <c r="BA2409" s="10"/>
      <c r="BB2409" s="10"/>
      <c r="BC2409" s="10"/>
      <c r="BD2409" s="10"/>
      <c r="BE2409" s="10"/>
      <c r="BF2409" s="10"/>
      <c r="BG2409" s="10"/>
      <c r="BH2409" s="10"/>
      <c r="BI2409" s="10"/>
      <c r="BJ2409" s="10"/>
      <c r="BK2409" s="10"/>
      <c r="BM2409" s="10"/>
    </row>
    <row r="2410" spans="1:65" ht="12.75">
      <c r="A2410" s="9"/>
      <c r="B2410" s="10"/>
      <c r="C2410" s="11"/>
      <c r="D2410" s="12"/>
      <c r="E2410" s="10"/>
      <c r="F2410" s="10"/>
      <c r="G2410" s="10"/>
      <c r="H2410" s="14"/>
      <c r="I2410" s="14"/>
      <c r="J2410" s="14"/>
      <c r="K2410" s="14"/>
      <c r="L2410" s="14"/>
      <c r="M2410" s="15"/>
      <c r="N2410" s="10"/>
      <c r="O2410" s="14"/>
      <c r="P2410" s="14"/>
      <c r="Q2410" s="14"/>
      <c r="R2410" s="14"/>
      <c r="S2410" s="14"/>
      <c r="T2410" s="14"/>
      <c r="U2410" s="14"/>
      <c r="V2410" s="14"/>
      <c r="W2410" s="14"/>
      <c r="X2410" s="14"/>
      <c r="Y2410" s="14"/>
      <c r="Z2410" s="14"/>
      <c r="AA2410" s="16"/>
      <c r="AB2410" s="10"/>
      <c r="AC2410" s="10"/>
      <c r="AD2410" s="10"/>
      <c r="AE2410" s="10"/>
      <c r="AF2410" s="10"/>
      <c r="AG2410" s="10"/>
      <c r="AH2410" s="10"/>
      <c r="AI2410" s="10"/>
      <c r="AJ2410" s="10"/>
      <c r="AK2410" s="10"/>
      <c r="AL2410" s="10"/>
      <c r="AM2410" s="10"/>
      <c r="AN2410" s="10"/>
      <c r="AO2410" s="10"/>
      <c r="AP2410" s="10"/>
      <c r="AQ2410" s="10"/>
      <c r="AR2410" s="10"/>
      <c r="AS2410" s="10"/>
      <c r="AT2410" s="10"/>
      <c r="AU2410" s="10"/>
      <c r="AV2410" s="10"/>
      <c r="AW2410" s="10"/>
      <c r="AX2410" s="10"/>
      <c r="AY2410" s="10"/>
      <c r="AZ2410" s="10"/>
      <c r="BA2410" s="10"/>
      <c r="BB2410" s="10"/>
      <c r="BC2410" s="10"/>
      <c r="BD2410" s="10"/>
      <c r="BE2410" s="10"/>
      <c r="BF2410" s="10"/>
      <c r="BG2410" s="10"/>
      <c r="BH2410" s="10"/>
      <c r="BI2410" s="10"/>
      <c r="BJ2410" s="10"/>
      <c r="BK2410" s="10"/>
      <c r="BM2410" s="10"/>
    </row>
    <row r="2411" spans="1:65" ht="12.75">
      <c r="A2411" s="9"/>
      <c r="B2411" s="10"/>
      <c r="C2411" s="11"/>
      <c r="D2411" s="12"/>
      <c r="E2411" s="10"/>
      <c r="F2411" s="10"/>
      <c r="G2411" s="10"/>
      <c r="H2411" s="14"/>
      <c r="I2411" s="14"/>
      <c r="J2411" s="14"/>
      <c r="K2411" s="14"/>
      <c r="L2411" s="14"/>
      <c r="M2411" s="15"/>
      <c r="N2411" s="10"/>
      <c r="O2411" s="14"/>
      <c r="P2411" s="14"/>
      <c r="Q2411" s="14"/>
      <c r="R2411" s="14"/>
      <c r="S2411" s="14"/>
      <c r="T2411" s="14"/>
      <c r="U2411" s="14"/>
      <c r="V2411" s="14"/>
      <c r="W2411" s="14"/>
      <c r="X2411" s="14"/>
      <c r="Y2411" s="14"/>
      <c r="Z2411" s="14"/>
      <c r="AA2411" s="16"/>
      <c r="AB2411" s="10"/>
      <c r="AC2411" s="10"/>
      <c r="AD2411" s="10"/>
      <c r="AE2411" s="10"/>
      <c r="AF2411" s="10"/>
      <c r="AG2411" s="10"/>
      <c r="AH2411" s="10"/>
      <c r="AI2411" s="10"/>
      <c r="AJ2411" s="10"/>
      <c r="AK2411" s="10"/>
      <c r="AL2411" s="10"/>
      <c r="AM2411" s="10"/>
      <c r="AN2411" s="10"/>
      <c r="AO2411" s="10"/>
      <c r="AP2411" s="10"/>
      <c r="AQ2411" s="10"/>
      <c r="AR2411" s="10"/>
      <c r="AS2411" s="10"/>
      <c r="AT2411" s="10"/>
      <c r="AU2411" s="10"/>
      <c r="AV2411" s="10"/>
      <c r="AW2411" s="10"/>
      <c r="AX2411" s="10"/>
      <c r="AY2411" s="10"/>
      <c r="AZ2411" s="10"/>
      <c r="BA2411" s="10"/>
      <c r="BB2411" s="10"/>
      <c r="BC2411" s="10"/>
      <c r="BD2411" s="10"/>
      <c r="BE2411" s="10"/>
      <c r="BF2411" s="10"/>
      <c r="BG2411" s="10"/>
      <c r="BH2411" s="10"/>
      <c r="BI2411" s="10"/>
      <c r="BJ2411" s="10"/>
      <c r="BK2411" s="10"/>
      <c r="BM2411" s="10"/>
    </row>
    <row r="2412" spans="1:65" ht="12.75">
      <c r="A2412" s="9"/>
      <c r="B2412" s="10"/>
      <c r="C2412" s="11"/>
      <c r="D2412" s="12"/>
      <c r="E2412" s="10"/>
      <c r="F2412" s="10"/>
      <c r="G2412" s="10"/>
      <c r="H2412" s="14"/>
      <c r="I2412" s="14"/>
      <c r="J2412" s="14"/>
      <c r="K2412" s="14"/>
      <c r="L2412" s="14"/>
      <c r="M2412" s="15"/>
      <c r="N2412" s="10"/>
      <c r="O2412" s="14"/>
      <c r="P2412" s="14"/>
      <c r="Q2412" s="14"/>
      <c r="R2412" s="14"/>
      <c r="S2412" s="14"/>
      <c r="T2412" s="14"/>
      <c r="U2412" s="14"/>
      <c r="V2412" s="14"/>
      <c r="W2412" s="14"/>
      <c r="X2412" s="14"/>
      <c r="Y2412" s="14"/>
      <c r="Z2412" s="14"/>
      <c r="AA2412" s="16"/>
      <c r="AB2412" s="10"/>
      <c r="AC2412" s="10"/>
      <c r="AD2412" s="10"/>
      <c r="AE2412" s="10"/>
      <c r="AF2412" s="10"/>
      <c r="AG2412" s="10"/>
      <c r="AH2412" s="10"/>
      <c r="AI2412" s="10"/>
      <c r="AJ2412" s="10"/>
      <c r="AK2412" s="10"/>
      <c r="AL2412" s="10"/>
      <c r="AM2412" s="10"/>
      <c r="AN2412" s="10"/>
      <c r="AO2412" s="10"/>
      <c r="AP2412" s="10"/>
      <c r="AQ2412" s="10"/>
      <c r="AR2412" s="10"/>
      <c r="AS2412" s="10"/>
      <c r="AT2412" s="10"/>
      <c r="AU2412" s="10"/>
      <c r="AV2412" s="10"/>
      <c r="AW2412" s="10"/>
      <c r="AX2412" s="10"/>
      <c r="AY2412" s="10"/>
      <c r="AZ2412" s="10"/>
      <c r="BA2412" s="10"/>
      <c r="BB2412" s="10"/>
      <c r="BC2412" s="10"/>
      <c r="BD2412" s="10"/>
      <c r="BE2412" s="10"/>
      <c r="BF2412" s="10"/>
      <c r="BG2412" s="10"/>
      <c r="BH2412" s="10"/>
      <c r="BI2412" s="10"/>
      <c r="BJ2412" s="10"/>
      <c r="BK2412" s="10"/>
      <c r="BM2412" s="10"/>
    </row>
    <row r="2413" spans="1:65" ht="12.75">
      <c r="A2413" s="9"/>
      <c r="B2413" s="10"/>
      <c r="C2413" s="11"/>
      <c r="D2413" s="12"/>
      <c r="E2413" s="10"/>
      <c r="F2413" s="10"/>
      <c r="G2413" s="10"/>
      <c r="H2413" s="14"/>
      <c r="I2413" s="14"/>
      <c r="J2413" s="14"/>
      <c r="K2413" s="14"/>
      <c r="L2413" s="14"/>
      <c r="M2413" s="15"/>
      <c r="N2413" s="10"/>
      <c r="O2413" s="14"/>
      <c r="P2413" s="14"/>
      <c r="Q2413" s="14"/>
      <c r="R2413" s="14"/>
      <c r="S2413" s="14"/>
      <c r="T2413" s="14"/>
      <c r="U2413" s="14"/>
      <c r="V2413" s="14"/>
      <c r="W2413" s="14"/>
      <c r="X2413" s="14"/>
      <c r="Y2413" s="14"/>
      <c r="Z2413" s="14"/>
      <c r="AA2413" s="16"/>
      <c r="AB2413" s="10"/>
      <c r="AC2413" s="10"/>
      <c r="AD2413" s="10"/>
      <c r="AE2413" s="10"/>
      <c r="AF2413" s="10"/>
      <c r="AG2413" s="10"/>
      <c r="AH2413" s="10"/>
      <c r="AI2413" s="10"/>
      <c r="AJ2413" s="10"/>
      <c r="AK2413" s="10"/>
      <c r="AL2413" s="10"/>
      <c r="AM2413" s="10"/>
      <c r="AN2413" s="10"/>
      <c r="AO2413" s="10"/>
      <c r="AP2413" s="10"/>
      <c r="AQ2413" s="10"/>
      <c r="AR2413" s="10"/>
      <c r="AS2413" s="10"/>
      <c r="AT2413" s="10"/>
      <c r="AU2413" s="10"/>
      <c r="AV2413" s="10"/>
      <c r="AW2413" s="10"/>
      <c r="AX2413" s="10"/>
      <c r="AY2413" s="10"/>
      <c r="AZ2413" s="10"/>
      <c r="BA2413" s="10"/>
      <c r="BB2413" s="10"/>
      <c r="BC2413" s="10"/>
      <c r="BD2413" s="10"/>
      <c r="BE2413" s="10"/>
      <c r="BF2413" s="10"/>
      <c r="BG2413" s="10"/>
      <c r="BH2413" s="10"/>
      <c r="BI2413" s="10"/>
      <c r="BJ2413" s="10"/>
      <c r="BK2413" s="10"/>
      <c r="BM2413" s="10"/>
    </row>
    <row r="2414" spans="1:65" ht="12.75">
      <c r="A2414" s="9"/>
      <c r="B2414" s="10"/>
      <c r="C2414" s="11"/>
      <c r="D2414" s="12"/>
      <c r="E2414" s="10"/>
      <c r="F2414" s="10"/>
      <c r="G2414" s="10"/>
      <c r="H2414" s="14"/>
      <c r="I2414" s="14"/>
      <c r="J2414" s="14"/>
      <c r="K2414" s="14"/>
      <c r="L2414" s="14"/>
      <c r="M2414" s="15"/>
      <c r="N2414" s="10"/>
      <c r="O2414" s="14"/>
      <c r="P2414" s="14"/>
      <c r="Q2414" s="14"/>
      <c r="R2414" s="14"/>
      <c r="S2414" s="14"/>
      <c r="T2414" s="14"/>
      <c r="U2414" s="14"/>
      <c r="V2414" s="14"/>
      <c r="W2414" s="14"/>
      <c r="X2414" s="14"/>
      <c r="Y2414" s="14"/>
      <c r="Z2414" s="14"/>
      <c r="AA2414" s="16"/>
      <c r="AB2414" s="10"/>
      <c r="AC2414" s="10"/>
      <c r="AD2414" s="10"/>
      <c r="AE2414" s="10"/>
      <c r="AF2414" s="10"/>
      <c r="AG2414" s="10"/>
      <c r="AH2414" s="10"/>
      <c r="AI2414" s="10"/>
      <c r="AJ2414" s="10"/>
      <c r="AK2414" s="10"/>
      <c r="AL2414" s="10"/>
      <c r="AM2414" s="10"/>
      <c r="AN2414" s="10"/>
      <c r="AO2414" s="10"/>
      <c r="AP2414" s="10"/>
      <c r="AQ2414" s="10"/>
      <c r="AR2414" s="10"/>
      <c r="AS2414" s="10"/>
      <c r="AT2414" s="10"/>
      <c r="AU2414" s="10"/>
      <c r="AV2414" s="10"/>
      <c r="AW2414" s="10"/>
      <c r="AX2414" s="10"/>
      <c r="AY2414" s="10"/>
      <c r="AZ2414" s="10"/>
      <c r="BA2414" s="10"/>
      <c r="BB2414" s="10"/>
      <c r="BC2414" s="10"/>
      <c r="BD2414" s="10"/>
      <c r="BE2414" s="10"/>
      <c r="BF2414" s="10"/>
      <c r="BG2414" s="10"/>
      <c r="BH2414" s="10"/>
      <c r="BI2414" s="10"/>
      <c r="BJ2414" s="10"/>
      <c r="BK2414" s="10"/>
      <c r="BM2414" s="10"/>
    </row>
    <row r="2415" spans="1:65" ht="12.75">
      <c r="A2415" s="9"/>
      <c r="B2415" s="10"/>
      <c r="C2415" s="11"/>
      <c r="D2415" s="12"/>
      <c r="E2415" s="10"/>
      <c r="F2415" s="10"/>
      <c r="G2415" s="10"/>
      <c r="H2415" s="14"/>
      <c r="I2415" s="14"/>
      <c r="J2415" s="14"/>
      <c r="K2415" s="14"/>
      <c r="L2415" s="14"/>
      <c r="M2415" s="15"/>
      <c r="N2415" s="10"/>
      <c r="O2415" s="14"/>
      <c r="P2415" s="14"/>
      <c r="Q2415" s="14"/>
      <c r="R2415" s="14"/>
      <c r="S2415" s="14"/>
      <c r="T2415" s="14"/>
      <c r="U2415" s="14"/>
      <c r="V2415" s="14"/>
      <c r="W2415" s="14"/>
      <c r="X2415" s="14"/>
      <c r="Y2415" s="14"/>
      <c r="Z2415" s="14"/>
      <c r="AA2415" s="16"/>
      <c r="AB2415" s="10"/>
      <c r="AC2415" s="10"/>
      <c r="AD2415" s="10"/>
      <c r="AE2415" s="10"/>
      <c r="AF2415" s="10"/>
      <c r="AG2415" s="10"/>
      <c r="AH2415" s="10"/>
      <c r="AI2415" s="10"/>
      <c r="AJ2415" s="10"/>
      <c r="AK2415" s="10"/>
      <c r="AL2415" s="10"/>
      <c r="AM2415" s="10"/>
      <c r="AN2415" s="10"/>
      <c r="AO2415" s="10"/>
      <c r="AP2415" s="10"/>
      <c r="AQ2415" s="10"/>
      <c r="AR2415" s="10"/>
      <c r="AS2415" s="10"/>
      <c r="AT2415" s="10"/>
      <c r="AU2415" s="10"/>
      <c r="AV2415" s="10"/>
      <c r="AW2415" s="10"/>
      <c r="AX2415" s="10"/>
      <c r="AY2415" s="10"/>
      <c r="AZ2415" s="10"/>
      <c r="BA2415" s="10"/>
      <c r="BB2415" s="10"/>
      <c r="BC2415" s="10"/>
      <c r="BD2415" s="10"/>
      <c r="BE2415" s="10"/>
      <c r="BF2415" s="10"/>
      <c r="BG2415" s="10"/>
      <c r="BH2415" s="10"/>
      <c r="BI2415" s="10"/>
      <c r="BJ2415" s="10"/>
      <c r="BK2415" s="10"/>
      <c r="BM2415" s="10"/>
    </row>
    <row r="2416" spans="1:65" ht="12.75">
      <c r="A2416" s="9"/>
      <c r="B2416" s="10"/>
      <c r="C2416" s="11"/>
      <c r="D2416" s="12"/>
      <c r="E2416" s="10"/>
      <c r="F2416" s="10"/>
      <c r="G2416" s="10"/>
      <c r="H2416" s="14"/>
      <c r="I2416" s="14"/>
      <c r="J2416" s="14"/>
      <c r="K2416" s="14"/>
      <c r="L2416" s="14"/>
      <c r="M2416" s="15"/>
      <c r="N2416" s="10"/>
      <c r="O2416" s="14"/>
      <c r="P2416" s="14"/>
      <c r="Q2416" s="14"/>
      <c r="R2416" s="14"/>
      <c r="S2416" s="14"/>
      <c r="T2416" s="14"/>
      <c r="U2416" s="14"/>
      <c r="V2416" s="14"/>
      <c r="W2416" s="14"/>
      <c r="X2416" s="14"/>
      <c r="Y2416" s="14"/>
      <c r="Z2416" s="14"/>
      <c r="AA2416" s="16"/>
      <c r="AB2416" s="10"/>
      <c r="AC2416" s="10"/>
      <c r="AD2416" s="10"/>
      <c r="AE2416" s="10"/>
      <c r="AF2416" s="10"/>
      <c r="AG2416" s="10"/>
      <c r="AH2416" s="10"/>
      <c r="AI2416" s="10"/>
      <c r="AJ2416" s="10"/>
      <c r="AK2416" s="10"/>
      <c r="AL2416" s="10"/>
      <c r="AM2416" s="10"/>
      <c r="AN2416" s="10"/>
      <c r="AO2416" s="10"/>
      <c r="AP2416" s="10"/>
      <c r="AQ2416" s="10"/>
      <c r="AR2416" s="10"/>
      <c r="AS2416" s="10"/>
      <c r="AT2416" s="10"/>
      <c r="AU2416" s="10"/>
      <c r="AV2416" s="10"/>
      <c r="AW2416" s="10"/>
      <c r="AX2416" s="10"/>
      <c r="AY2416" s="10"/>
      <c r="AZ2416" s="10"/>
      <c r="BA2416" s="10"/>
      <c r="BB2416" s="10"/>
      <c r="BC2416" s="10"/>
      <c r="BD2416" s="10"/>
      <c r="BE2416" s="10"/>
      <c r="BF2416" s="10"/>
      <c r="BG2416" s="10"/>
      <c r="BH2416" s="10"/>
      <c r="BI2416" s="10"/>
      <c r="BJ2416" s="10"/>
      <c r="BK2416" s="10"/>
      <c r="BM2416" s="10"/>
    </row>
    <row r="2417" spans="1:65" ht="12.75">
      <c r="A2417" s="9"/>
      <c r="B2417" s="10"/>
      <c r="C2417" s="11"/>
      <c r="D2417" s="12"/>
      <c r="E2417" s="10"/>
      <c r="F2417" s="10"/>
      <c r="G2417" s="10"/>
      <c r="H2417" s="14"/>
      <c r="I2417" s="14"/>
      <c r="J2417" s="14"/>
      <c r="K2417" s="14"/>
      <c r="L2417" s="14"/>
      <c r="M2417" s="15"/>
      <c r="N2417" s="10"/>
      <c r="O2417" s="14"/>
      <c r="P2417" s="14"/>
      <c r="Q2417" s="14"/>
      <c r="R2417" s="14"/>
      <c r="S2417" s="14"/>
      <c r="T2417" s="14"/>
      <c r="U2417" s="14"/>
      <c r="V2417" s="14"/>
      <c r="W2417" s="14"/>
      <c r="X2417" s="14"/>
      <c r="Y2417" s="14"/>
      <c r="Z2417" s="14"/>
      <c r="AA2417" s="16"/>
      <c r="AB2417" s="10"/>
      <c r="AC2417" s="10"/>
      <c r="AD2417" s="10"/>
      <c r="AE2417" s="10"/>
      <c r="AF2417" s="10"/>
      <c r="AG2417" s="10"/>
      <c r="AH2417" s="10"/>
      <c r="AI2417" s="10"/>
      <c r="AJ2417" s="10"/>
      <c r="AK2417" s="10"/>
      <c r="AL2417" s="1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10"/>
      <c r="BJ2417" s="10"/>
      <c r="BK2417" s="10"/>
      <c r="BM2417" s="10"/>
    </row>
    <row r="2418" spans="1:65" ht="12.75">
      <c r="A2418" s="9"/>
      <c r="B2418" s="10"/>
      <c r="C2418" s="11"/>
      <c r="D2418" s="12"/>
      <c r="E2418" s="10"/>
      <c r="F2418" s="10"/>
      <c r="G2418" s="10"/>
      <c r="H2418" s="14"/>
      <c r="I2418" s="14"/>
      <c r="J2418" s="14"/>
      <c r="K2418" s="14"/>
      <c r="L2418" s="14"/>
      <c r="M2418" s="15"/>
      <c r="N2418" s="10"/>
      <c r="O2418" s="14"/>
      <c r="P2418" s="14"/>
      <c r="Q2418" s="14"/>
      <c r="R2418" s="14"/>
      <c r="S2418" s="14"/>
      <c r="T2418" s="14"/>
      <c r="U2418" s="14"/>
      <c r="V2418" s="14"/>
      <c r="W2418" s="14"/>
      <c r="X2418" s="14"/>
      <c r="Y2418" s="14"/>
      <c r="Z2418" s="14"/>
      <c r="AA2418" s="16"/>
      <c r="AB2418" s="10"/>
      <c r="AC2418" s="10"/>
      <c r="AD2418" s="10"/>
      <c r="AE2418" s="10"/>
      <c r="AF2418" s="10"/>
      <c r="AG2418" s="10"/>
      <c r="AH2418" s="10"/>
      <c r="AI2418" s="10"/>
      <c r="AJ2418" s="10"/>
      <c r="AK2418" s="10"/>
      <c r="AL2418" s="10"/>
      <c r="AM2418" s="10"/>
      <c r="AN2418" s="10"/>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10"/>
      <c r="BJ2418" s="10"/>
      <c r="BK2418" s="10"/>
      <c r="BM2418" s="10"/>
    </row>
    <row r="2419" spans="1:65" ht="12.75">
      <c r="A2419" s="9"/>
      <c r="B2419" s="10"/>
      <c r="C2419" s="11"/>
      <c r="D2419" s="12"/>
      <c r="E2419" s="10"/>
      <c r="F2419" s="10"/>
      <c r="G2419" s="10"/>
      <c r="H2419" s="14"/>
      <c r="I2419" s="14"/>
      <c r="J2419" s="14"/>
      <c r="K2419" s="14"/>
      <c r="L2419" s="14"/>
      <c r="M2419" s="15"/>
      <c r="N2419" s="10"/>
      <c r="O2419" s="14"/>
      <c r="P2419" s="14"/>
      <c r="Q2419" s="14"/>
      <c r="R2419" s="14"/>
      <c r="S2419" s="14"/>
      <c r="T2419" s="14"/>
      <c r="U2419" s="14"/>
      <c r="V2419" s="14"/>
      <c r="W2419" s="14"/>
      <c r="X2419" s="14"/>
      <c r="Y2419" s="14"/>
      <c r="Z2419" s="14"/>
      <c r="AA2419" s="16"/>
      <c r="AB2419" s="10"/>
      <c r="AC2419" s="10"/>
      <c r="AD2419" s="10"/>
      <c r="AE2419" s="10"/>
      <c r="AF2419" s="10"/>
      <c r="AG2419" s="10"/>
      <c r="AH2419" s="10"/>
      <c r="AI2419" s="10"/>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10"/>
      <c r="BJ2419" s="10"/>
      <c r="BK2419" s="10"/>
      <c r="BM2419" s="10"/>
    </row>
    <row r="2420" spans="1:65" ht="12.75">
      <c r="A2420" s="9"/>
      <c r="B2420" s="10"/>
      <c r="C2420" s="11"/>
      <c r="D2420" s="12"/>
      <c r="E2420" s="10"/>
      <c r="F2420" s="10"/>
      <c r="G2420" s="10"/>
      <c r="H2420" s="14"/>
      <c r="I2420" s="14"/>
      <c r="J2420" s="14"/>
      <c r="K2420" s="14"/>
      <c r="L2420" s="14"/>
      <c r="M2420" s="15"/>
      <c r="N2420" s="10"/>
      <c r="O2420" s="14"/>
      <c r="P2420" s="14"/>
      <c r="Q2420" s="14"/>
      <c r="R2420" s="14"/>
      <c r="S2420" s="14"/>
      <c r="T2420" s="14"/>
      <c r="U2420" s="14"/>
      <c r="V2420" s="14"/>
      <c r="W2420" s="14"/>
      <c r="X2420" s="14"/>
      <c r="Y2420" s="14"/>
      <c r="Z2420" s="14"/>
      <c r="AA2420" s="16"/>
      <c r="AB2420" s="10"/>
      <c r="AC2420" s="10"/>
      <c r="AD2420" s="10"/>
      <c r="AE2420" s="10"/>
      <c r="AF2420" s="10"/>
      <c r="AG2420" s="10"/>
      <c r="AH2420" s="10"/>
      <c r="AI2420" s="10"/>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M2420" s="10"/>
    </row>
    <row r="2421" spans="1:65" ht="12.75">
      <c r="A2421" s="9"/>
      <c r="B2421" s="10"/>
      <c r="C2421" s="11"/>
      <c r="D2421" s="12"/>
      <c r="E2421" s="10"/>
      <c r="F2421" s="10"/>
      <c r="G2421" s="10"/>
      <c r="H2421" s="14"/>
      <c r="I2421" s="14"/>
      <c r="J2421" s="14"/>
      <c r="K2421" s="14"/>
      <c r="L2421" s="14"/>
      <c r="M2421" s="15"/>
      <c r="N2421" s="10"/>
      <c r="O2421" s="14"/>
      <c r="P2421" s="14"/>
      <c r="Q2421" s="14"/>
      <c r="R2421" s="14"/>
      <c r="S2421" s="14"/>
      <c r="T2421" s="14"/>
      <c r="U2421" s="14"/>
      <c r="V2421" s="14"/>
      <c r="W2421" s="14"/>
      <c r="X2421" s="14"/>
      <c r="Y2421" s="14"/>
      <c r="Z2421" s="14"/>
      <c r="AA2421" s="16"/>
      <c r="AB2421" s="10"/>
      <c r="AC2421" s="10"/>
      <c r="AD2421" s="10"/>
      <c r="AE2421" s="10"/>
      <c r="AF2421" s="10"/>
      <c r="AG2421" s="10"/>
      <c r="AH2421" s="10"/>
      <c r="AI2421" s="10"/>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M2421" s="10"/>
    </row>
    <row r="2422" spans="1:65" ht="12.75">
      <c r="A2422" s="9"/>
      <c r="B2422" s="10"/>
      <c r="C2422" s="11"/>
      <c r="D2422" s="12"/>
      <c r="E2422" s="10"/>
      <c r="F2422" s="10"/>
      <c r="G2422" s="10"/>
      <c r="H2422" s="14"/>
      <c r="I2422" s="14"/>
      <c r="J2422" s="14"/>
      <c r="K2422" s="14"/>
      <c r="L2422" s="14"/>
      <c r="M2422" s="15"/>
      <c r="N2422" s="10"/>
      <c r="O2422" s="14"/>
      <c r="P2422" s="14"/>
      <c r="Q2422" s="14"/>
      <c r="R2422" s="14"/>
      <c r="S2422" s="14"/>
      <c r="T2422" s="14"/>
      <c r="U2422" s="14"/>
      <c r="V2422" s="14"/>
      <c r="W2422" s="14"/>
      <c r="X2422" s="14"/>
      <c r="Y2422" s="14"/>
      <c r="Z2422" s="14"/>
      <c r="AA2422" s="16"/>
      <c r="AB2422" s="10"/>
      <c r="AC2422" s="10"/>
      <c r="AD2422" s="10"/>
      <c r="AE2422" s="10"/>
      <c r="AF2422" s="10"/>
      <c r="AG2422" s="10"/>
      <c r="AH2422" s="10"/>
      <c r="AI2422" s="10"/>
      <c r="AJ2422" s="10"/>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M2422" s="10"/>
    </row>
    <row r="2423" spans="1:65" ht="12.75">
      <c r="A2423" s="9"/>
      <c r="B2423" s="10"/>
      <c r="C2423" s="11"/>
      <c r="D2423" s="12"/>
      <c r="E2423" s="10"/>
      <c r="F2423" s="10"/>
      <c r="G2423" s="10"/>
      <c r="H2423" s="14"/>
      <c r="I2423" s="14"/>
      <c r="J2423" s="14"/>
      <c r="K2423" s="14"/>
      <c r="L2423" s="14"/>
      <c r="M2423" s="15"/>
      <c r="N2423" s="10"/>
      <c r="O2423" s="14"/>
      <c r="P2423" s="14"/>
      <c r="Q2423" s="14"/>
      <c r="R2423" s="14"/>
      <c r="S2423" s="14"/>
      <c r="T2423" s="14"/>
      <c r="U2423" s="14"/>
      <c r="V2423" s="14"/>
      <c r="W2423" s="14"/>
      <c r="X2423" s="14"/>
      <c r="Y2423" s="14"/>
      <c r="Z2423" s="14"/>
      <c r="AA2423" s="16"/>
      <c r="AB2423" s="10"/>
      <c r="AC2423" s="10"/>
      <c r="AD2423" s="10"/>
      <c r="AE2423" s="10"/>
      <c r="AF2423" s="10"/>
      <c r="AG2423" s="10"/>
      <c r="AH2423" s="10"/>
      <c r="AI2423" s="10"/>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M2423" s="10"/>
    </row>
    <row r="2424" spans="1:65" ht="12.75">
      <c r="A2424" s="9"/>
      <c r="B2424" s="10"/>
      <c r="C2424" s="11"/>
      <c r="D2424" s="12"/>
      <c r="E2424" s="10"/>
      <c r="F2424" s="10"/>
      <c r="G2424" s="10"/>
      <c r="H2424" s="14"/>
      <c r="I2424" s="14"/>
      <c r="J2424" s="14"/>
      <c r="K2424" s="14"/>
      <c r="L2424" s="14"/>
      <c r="M2424" s="15"/>
      <c r="N2424" s="10"/>
      <c r="O2424" s="14"/>
      <c r="P2424" s="14"/>
      <c r="Q2424" s="14"/>
      <c r="R2424" s="14"/>
      <c r="S2424" s="14"/>
      <c r="T2424" s="14"/>
      <c r="U2424" s="14"/>
      <c r="V2424" s="14"/>
      <c r="W2424" s="14"/>
      <c r="X2424" s="14"/>
      <c r="Y2424" s="14"/>
      <c r="Z2424" s="14"/>
      <c r="AA2424" s="16"/>
      <c r="AB2424" s="10"/>
      <c r="AC2424" s="10"/>
      <c r="AD2424" s="10"/>
      <c r="AE2424" s="10"/>
      <c r="AF2424" s="10"/>
      <c r="AG2424" s="10"/>
      <c r="AH2424" s="10"/>
      <c r="AI2424" s="10"/>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M2424" s="10"/>
    </row>
    <row r="2425" spans="1:65" ht="12.75">
      <c r="A2425" s="9"/>
      <c r="B2425" s="10"/>
      <c r="C2425" s="11"/>
      <c r="D2425" s="12"/>
      <c r="E2425" s="10"/>
      <c r="F2425" s="10"/>
      <c r="G2425" s="10"/>
      <c r="H2425" s="14"/>
      <c r="I2425" s="14"/>
      <c r="J2425" s="14"/>
      <c r="K2425" s="14"/>
      <c r="L2425" s="14"/>
      <c r="M2425" s="15"/>
      <c r="N2425" s="10"/>
      <c r="O2425" s="14"/>
      <c r="P2425" s="14"/>
      <c r="Q2425" s="14"/>
      <c r="R2425" s="14"/>
      <c r="S2425" s="14"/>
      <c r="T2425" s="14"/>
      <c r="U2425" s="14"/>
      <c r="V2425" s="14"/>
      <c r="W2425" s="14"/>
      <c r="X2425" s="14"/>
      <c r="Y2425" s="14"/>
      <c r="Z2425" s="14"/>
      <c r="AA2425" s="16"/>
      <c r="AB2425" s="10"/>
      <c r="AC2425" s="10"/>
      <c r="AD2425" s="10"/>
      <c r="AE2425" s="10"/>
      <c r="AF2425" s="10"/>
      <c r="AG2425" s="10"/>
      <c r="AH2425" s="10"/>
      <c r="AI2425" s="10"/>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M2425" s="10"/>
    </row>
    <row r="2426" spans="1:65" ht="12.75">
      <c r="A2426" s="9"/>
      <c r="B2426" s="10"/>
      <c r="C2426" s="11"/>
      <c r="D2426" s="12"/>
      <c r="E2426" s="10"/>
      <c r="F2426" s="10"/>
      <c r="G2426" s="10"/>
      <c r="H2426" s="14"/>
      <c r="I2426" s="14"/>
      <c r="J2426" s="14"/>
      <c r="K2426" s="14"/>
      <c r="L2426" s="14"/>
      <c r="M2426" s="15"/>
      <c r="N2426" s="10"/>
      <c r="O2426" s="14"/>
      <c r="P2426" s="14"/>
      <c r="Q2426" s="14"/>
      <c r="R2426" s="14"/>
      <c r="S2426" s="14"/>
      <c r="T2426" s="14"/>
      <c r="U2426" s="14"/>
      <c r="V2426" s="14"/>
      <c r="W2426" s="14"/>
      <c r="X2426" s="14"/>
      <c r="Y2426" s="14"/>
      <c r="Z2426" s="14"/>
      <c r="AA2426" s="16"/>
      <c r="AB2426" s="10"/>
      <c r="AC2426" s="10"/>
      <c r="AD2426" s="10"/>
      <c r="AE2426" s="10"/>
      <c r="AF2426" s="10"/>
      <c r="AG2426" s="10"/>
      <c r="AH2426" s="10"/>
      <c r="AI2426" s="10"/>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10"/>
      <c r="BJ2426" s="10"/>
      <c r="BK2426" s="10"/>
      <c r="BM2426" s="10"/>
    </row>
    <row r="2427" spans="1:65" ht="12.75">
      <c r="A2427" s="9"/>
      <c r="B2427" s="10"/>
      <c r="C2427" s="11"/>
      <c r="D2427" s="12"/>
      <c r="E2427" s="10"/>
      <c r="F2427" s="10"/>
      <c r="G2427" s="10"/>
      <c r="H2427" s="14"/>
      <c r="I2427" s="14"/>
      <c r="J2427" s="14"/>
      <c r="K2427" s="14"/>
      <c r="L2427" s="14"/>
      <c r="M2427" s="15"/>
      <c r="N2427" s="10"/>
      <c r="O2427" s="14"/>
      <c r="P2427" s="14"/>
      <c r="Q2427" s="14"/>
      <c r="R2427" s="14"/>
      <c r="S2427" s="14"/>
      <c r="T2427" s="14"/>
      <c r="U2427" s="14"/>
      <c r="V2427" s="14"/>
      <c r="W2427" s="14"/>
      <c r="X2427" s="14"/>
      <c r="Y2427" s="14"/>
      <c r="Z2427" s="14"/>
      <c r="AA2427" s="16"/>
      <c r="AB2427" s="10"/>
      <c r="AC2427" s="10"/>
      <c r="AD2427" s="10"/>
      <c r="AE2427" s="10"/>
      <c r="AF2427" s="10"/>
      <c r="AG2427" s="10"/>
      <c r="AH2427" s="10"/>
      <c r="AI2427" s="10"/>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M2427" s="10"/>
    </row>
    <row r="2428" spans="1:65" ht="12.75">
      <c r="A2428" s="9"/>
      <c r="B2428" s="10"/>
      <c r="C2428" s="11"/>
      <c r="D2428" s="12"/>
      <c r="E2428" s="10"/>
      <c r="F2428" s="10"/>
      <c r="G2428" s="10"/>
      <c r="H2428" s="14"/>
      <c r="I2428" s="14"/>
      <c r="J2428" s="14"/>
      <c r="K2428" s="14"/>
      <c r="L2428" s="14"/>
      <c r="M2428" s="15"/>
      <c r="N2428" s="10"/>
      <c r="O2428" s="14"/>
      <c r="P2428" s="14"/>
      <c r="Q2428" s="14"/>
      <c r="R2428" s="14"/>
      <c r="S2428" s="14"/>
      <c r="T2428" s="14"/>
      <c r="U2428" s="14"/>
      <c r="V2428" s="14"/>
      <c r="W2428" s="14"/>
      <c r="X2428" s="14"/>
      <c r="Y2428" s="14"/>
      <c r="Z2428" s="14"/>
      <c r="AA2428" s="16"/>
      <c r="AB2428" s="10"/>
      <c r="AC2428" s="10"/>
      <c r="AD2428" s="10"/>
      <c r="AE2428" s="10"/>
      <c r="AF2428" s="10"/>
      <c r="AG2428" s="10"/>
      <c r="AH2428" s="10"/>
      <c r="AI2428" s="10"/>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M2428" s="10"/>
    </row>
    <row r="2429" spans="1:65" ht="12.75">
      <c r="A2429" s="9"/>
      <c r="B2429" s="10"/>
      <c r="C2429" s="11"/>
      <c r="D2429" s="12"/>
      <c r="E2429" s="10"/>
      <c r="F2429" s="10"/>
      <c r="G2429" s="10"/>
      <c r="H2429" s="14"/>
      <c r="I2429" s="14"/>
      <c r="J2429" s="14"/>
      <c r="K2429" s="14"/>
      <c r="L2429" s="14"/>
      <c r="M2429" s="15"/>
      <c r="N2429" s="10"/>
      <c r="O2429" s="14"/>
      <c r="P2429" s="14"/>
      <c r="Q2429" s="14"/>
      <c r="R2429" s="14"/>
      <c r="S2429" s="14"/>
      <c r="T2429" s="14"/>
      <c r="U2429" s="14"/>
      <c r="V2429" s="14"/>
      <c r="W2429" s="14"/>
      <c r="X2429" s="14"/>
      <c r="Y2429" s="14"/>
      <c r="Z2429" s="14"/>
      <c r="AA2429" s="16"/>
      <c r="AB2429" s="10"/>
      <c r="AC2429" s="10"/>
      <c r="AD2429" s="10"/>
      <c r="AE2429" s="10"/>
      <c r="AF2429" s="10"/>
      <c r="AG2429" s="10"/>
      <c r="AH2429" s="10"/>
      <c r="AI2429" s="10"/>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M2429" s="10"/>
    </row>
    <row r="2430" spans="1:65" ht="12.75">
      <c r="A2430" s="9"/>
      <c r="B2430" s="10"/>
      <c r="C2430" s="11"/>
      <c r="D2430" s="12"/>
      <c r="E2430" s="10"/>
      <c r="F2430" s="10"/>
      <c r="G2430" s="10"/>
      <c r="H2430" s="14"/>
      <c r="I2430" s="14"/>
      <c r="J2430" s="14"/>
      <c r="K2430" s="14"/>
      <c r="L2430" s="14"/>
      <c r="M2430" s="15"/>
      <c r="N2430" s="10"/>
      <c r="O2430" s="14"/>
      <c r="P2430" s="14"/>
      <c r="Q2430" s="14"/>
      <c r="R2430" s="14"/>
      <c r="S2430" s="14"/>
      <c r="T2430" s="14"/>
      <c r="U2430" s="14"/>
      <c r="V2430" s="14"/>
      <c r="W2430" s="14"/>
      <c r="X2430" s="14"/>
      <c r="Y2430" s="14"/>
      <c r="Z2430" s="14"/>
      <c r="AA2430" s="16"/>
      <c r="AB2430" s="10"/>
      <c r="AC2430" s="10"/>
      <c r="AD2430" s="10"/>
      <c r="AE2430" s="10"/>
      <c r="AF2430" s="10"/>
      <c r="AG2430" s="10"/>
      <c r="AH2430" s="10"/>
      <c r="AI2430" s="10"/>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c r="BJ2430" s="10"/>
      <c r="BK2430" s="10"/>
      <c r="BM2430" s="10"/>
    </row>
    <row r="2431" spans="1:65" ht="12.75">
      <c r="A2431" s="9"/>
      <c r="B2431" s="10"/>
      <c r="C2431" s="11"/>
      <c r="D2431" s="12"/>
      <c r="E2431" s="10"/>
      <c r="F2431" s="10"/>
      <c r="G2431" s="10"/>
      <c r="H2431" s="14"/>
      <c r="I2431" s="14"/>
      <c r="J2431" s="14"/>
      <c r="K2431" s="14"/>
      <c r="L2431" s="14"/>
      <c r="M2431" s="15"/>
      <c r="N2431" s="10"/>
      <c r="O2431" s="14"/>
      <c r="P2431" s="14"/>
      <c r="Q2431" s="14"/>
      <c r="R2431" s="14"/>
      <c r="S2431" s="14"/>
      <c r="T2431" s="14"/>
      <c r="U2431" s="14"/>
      <c r="V2431" s="14"/>
      <c r="W2431" s="14"/>
      <c r="X2431" s="14"/>
      <c r="Y2431" s="14"/>
      <c r="Z2431" s="14"/>
      <c r="AA2431" s="16"/>
      <c r="AB2431" s="10"/>
      <c r="AC2431" s="10"/>
      <c r="AD2431" s="10"/>
      <c r="AE2431" s="10"/>
      <c r="AF2431" s="10"/>
      <c r="AG2431" s="10"/>
      <c r="AH2431" s="10"/>
      <c r="AI2431" s="10"/>
      <c r="AJ2431" s="10"/>
      <c r="AK2431" s="10"/>
      <c r="AL2431" s="10"/>
      <c r="AM2431" s="10"/>
      <c r="AN2431" s="10"/>
      <c r="AO2431" s="10"/>
      <c r="AP2431" s="10"/>
      <c r="AQ2431" s="10"/>
      <c r="AR2431" s="10"/>
      <c r="AS2431" s="10"/>
      <c r="AT2431" s="10"/>
      <c r="AU2431" s="10"/>
      <c r="AV2431" s="10"/>
      <c r="AW2431" s="10"/>
      <c r="AX2431" s="10"/>
      <c r="AY2431" s="10"/>
      <c r="AZ2431" s="10"/>
      <c r="BA2431" s="10"/>
      <c r="BB2431" s="10"/>
      <c r="BC2431" s="10"/>
      <c r="BD2431" s="10"/>
      <c r="BE2431" s="10"/>
      <c r="BF2431" s="10"/>
      <c r="BG2431" s="10"/>
      <c r="BH2431" s="10"/>
      <c r="BI2431" s="10"/>
      <c r="BJ2431" s="10"/>
      <c r="BK2431" s="10"/>
      <c r="BM2431" s="10"/>
    </row>
    <row r="2432" spans="1:65" ht="12.75">
      <c r="A2432" s="9"/>
      <c r="B2432" s="10"/>
      <c r="C2432" s="11"/>
      <c r="D2432" s="12"/>
      <c r="E2432" s="10"/>
      <c r="F2432" s="10"/>
      <c r="G2432" s="10"/>
      <c r="H2432" s="14"/>
      <c r="I2432" s="14"/>
      <c r="J2432" s="14"/>
      <c r="K2432" s="14"/>
      <c r="L2432" s="14"/>
      <c r="M2432" s="15"/>
      <c r="N2432" s="10"/>
      <c r="O2432" s="14"/>
      <c r="P2432" s="14"/>
      <c r="Q2432" s="14"/>
      <c r="R2432" s="14"/>
      <c r="S2432" s="14"/>
      <c r="T2432" s="14"/>
      <c r="U2432" s="14"/>
      <c r="V2432" s="14"/>
      <c r="W2432" s="14"/>
      <c r="X2432" s="14"/>
      <c r="Y2432" s="14"/>
      <c r="Z2432" s="14"/>
      <c r="AA2432" s="16"/>
      <c r="AB2432" s="10"/>
      <c r="AC2432" s="10"/>
      <c r="AD2432" s="10"/>
      <c r="AE2432" s="10"/>
      <c r="AF2432" s="10"/>
      <c r="AG2432" s="10"/>
      <c r="AH2432" s="10"/>
      <c r="AI2432" s="10"/>
      <c r="AJ2432" s="10"/>
      <c r="AK2432" s="10"/>
      <c r="AL2432" s="10"/>
      <c r="AM2432" s="10"/>
      <c r="AN2432" s="10"/>
      <c r="AO2432" s="10"/>
      <c r="AP2432" s="10"/>
      <c r="AQ2432" s="10"/>
      <c r="AR2432" s="10"/>
      <c r="AS2432" s="10"/>
      <c r="AT2432" s="10"/>
      <c r="AU2432" s="10"/>
      <c r="AV2432" s="10"/>
      <c r="AW2432" s="10"/>
      <c r="AX2432" s="10"/>
      <c r="AY2432" s="10"/>
      <c r="AZ2432" s="10"/>
      <c r="BA2432" s="10"/>
      <c r="BB2432" s="10"/>
      <c r="BC2432" s="10"/>
      <c r="BD2432" s="10"/>
      <c r="BE2432" s="10"/>
      <c r="BF2432" s="10"/>
      <c r="BG2432" s="10"/>
      <c r="BH2432" s="10"/>
      <c r="BI2432" s="10"/>
      <c r="BJ2432" s="10"/>
      <c r="BK2432" s="10"/>
      <c r="BM2432" s="10"/>
    </row>
    <row r="2433" spans="1:65" ht="12.75">
      <c r="A2433" s="9"/>
      <c r="B2433" s="10"/>
      <c r="C2433" s="11"/>
      <c r="D2433" s="12"/>
      <c r="E2433" s="10"/>
      <c r="F2433" s="10"/>
      <c r="G2433" s="10"/>
      <c r="H2433" s="14"/>
      <c r="I2433" s="14"/>
      <c r="J2433" s="14"/>
      <c r="K2433" s="14"/>
      <c r="L2433" s="14"/>
      <c r="M2433" s="15"/>
      <c r="N2433" s="10"/>
      <c r="O2433" s="14"/>
      <c r="P2433" s="14"/>
      <c r="Q2433" s="14"/>
      <c r="R2433" s="14"/>
      <c r="S2433" s="14"/>
      <c r="T2433" s="14"/>
      <c r="U2433" s="14"/>
      <c r="V2433" s="14"/>
      <c r="W2433" s="14"/>
      <c r="X2433" s="14"/>
      <c r="Y2433" s="14"/>
      <c r="Z2433" s="14"/>
      <c r="AA2433" s="16"/>
      <c r="AB2433" s="10"/>
      <c r="AC2433" s="10"/>
      <c r="AD2433" s="10"/>
      <c r="AE2433" s="10"/>
      <c r="AF2433" s="10"/>
      <c r="AG2433" s="10"/>
      <c r="AH2433" s="10"/>
      <c r="AI2433" s="10"/>
      <c r="AJ2433" s="10"/>
      <c r="AK2433" s="10"/>
      <c r="AL2433" s="10"/>
      <c r="AM2433" s="10"/>
      <c r="AN2433" s="10"/>
      <c r="AO2433" s="10"/>
      <c r="AP2433" s="10"/>
      <c r="AQ2433" s="10"/>
      <c r="AR2433" s="10"/>
      <c r="AS2433" s="10"/>
      <c r="AT2433" s="10"/>
      <c r="AU2433" s="10"/>
      <c r="AV2433" s="10"/>
      <c r="AW2433" s="10"/>
      <c r="AX2433" s="10"/>
      <c r="AY2433" s="10"/>
      <c r="AZ2433" s="10"/>
      <c r="BA2433" s="10"/>
      <c r="BB2433" s="10"/>
      <c r="BC2433" s="10"/>
      <c r="BD2433" s="10"/>
      <c r="BE2433" s="10"/>
      <c r="BF2433" s="10"/>
      <c r="BG2433" s="10"/>
      <c r="BH2433" s="10"/>
      <c r="BI2433" s="10"/>
      <c r="BJ2433" s="10"/>
      <c r="BK2433" s="10"/>
      <c r="BM2433" s="10"/>
    </row>
    <row r="2434" spans="1:65" ht="12.75">
      <c r="A2434" s="9"/>
      <c r="B2434" s="10"/>
      <c r="C2434" s="11"/>
      <c r="D2434" s="12"/>
      <c r="E2434" s="10"/>
      <c r="F2434" s="10"/>
      <c r="G2434" s="10"/>
      <c r="H2434" s="14"/>
      <c r="I2434" s="14"/>
      <c r="J2434" s="14"/>
      <c r="K2434" s="14"/>
      <c r="L2434" s="14"/>
      <c r="M2434" s="15"/>
      <c r="N2434" s="10"/>
      <c r="O2434" s="14"/>
      <c r="P2434" s="14"/>
      <c r="Q2434" s="14"/>
      <c r="R2434" s="14"/>
      <c r="S2434" s="14"/>
      <c r="T2434" s="14"/>
      <c r="U2434" s="14"/>
      <c r="V2434" s="14"/>
      <c r="W2434" s="14"/>
      <c r="X2434" s="14"/>
      <c r="Y2434" s="14"/>
      <c r="Z2434" s="14"/>
      <c r="AA2434" s="16"/>
      <c r="AB2434" s="10"/>
      <c r="AC2434" s="10"/>
      <c r="AD2434" s="10"/>
      <c r="AE2434" s="10"/>
      <c r="AF2434" s="10"/>
      <c r="AG2434" s="10"/>
      <c r="AH2434" s="10"/>
      <c r="AI2434" s="10"/>
      <c r="AJ2434" s="10"/>
      <c r="AK2434" s="10"/>
      <c r="AL2434" s="1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10"/>
      <c r="BJ2434" s="10"/>
      <c r="BK2434" s="10"/>
      <c r="BM2434" s="10"/>
    </row>
    <row r="2435" spans="1:65" ht="12.75">
      <c r="A2435" s="9"/>
      <c r="B2435" s="10"/>
      <c r="C2435" s="11"/>
      <c r="D2435" s="12"/>
      <c r="E2435" s="10"/>
      <c r="F2435" s="10"/>
      <c r="G2435" s="10"/>
      <c r="H2435" s="14"/>
      <c r="I2435" s="14"/>
      <c r="J2435" s="14"/>
      <c r="K2435" s="14"/>
      <c r="L2435" s="14"/>
      <c r="M2435" s="15"/>
      <c r="N2435" s="10"/>
      <c r="O2435" s="14"/>
      <c r="P2435" s="14"/>
      <c r="Q2435" s="14"/>
      <c r="R2435" s="14"/>
      <c r="S2435" s="14"/>
      <c r="T2435" s="14"/>
      <c r="U2435" s="14"/>
      <c r="V2435" s="14"/>
      <c r="W2435" s="14"/>
      <c r="X2435" s="14"/>
      <c r="Y2435" s="14"/>
      <c r="Z2435" s="14"/>
      <c r="AA2435" s="16"/>
      <c r="AB2435" s="10"/>
      <c r="AC2435" s="10"/>
      <c r="AD2435" s="10"/>
      <c r="AE2435" s="10"/>
      <c r="AF2435" s="10"/>
      <c r="AG2435" s="10"/>
      <c r="AH2435" s="10"/>
      <c r="AI2435" s="10"/>
      <c r="AJ2435" s="10"/>
      <c r="AK2435" s="10"/>
      <c r="AL2435" s="10"/>
      <c r="AM2435" s="10"/>
      <c r="AN2435" s="10"/>
      <c r="AO2435" s="10"/>
      <c r="AP2435" s="10"/>
      <c r="AQ2435" s="10"/>
      <c r="AR2435" s="10"/>
      <c r="AS2435" s="10"/>
      <c r="AT2435" s="10"/>
      <c r="AU2435" s="10"/>
      <c r="AV2435" s="10"/>
      <c r="AW2435" s="10"/>
      <c r="AX2435" s="10"/>
      <c r="AY2435" s="10"/>
      <c r="AZ2435" s="10"/>
      <c r="BA2435" s="10"/>
      <c r="BB2435" s="10"/>
      <c r="BC2435" s="10"/>
      <c r="BD2435" s="10"/>
      <c r="BE2435" s="10"/>
      <c r="BF2435" s="10"/>
      <c r="BG2435" s="10"/>
      <c r="BH2435" s="10"/>
      <c r="BI2435" s="10"/>
      <c r="BJ2435" s="10"/>
      <c r="BK2435" s="10"/>
      <c r="BM2435" s="10"/>
    </row>
    <row r="2436" spans="1:65" ht="12.75">
      <c r="A2436" s="9"/>
      <c r="B2436" s="10"/>
      <c r="C2436" s="11"/>
      <c r="D2436" s="12"/>
      <c r="E2436" s="10"/>
      <c r="F2436" s="10"/>
      <c r="G2436" s="10"/>
      <c r="H2436" s="14"/>
      <c r="I2436" s="14"/>
      <c r="J2436" s="14"/>
      <c r="K2436" s="14"/>
      <c r="L2436" s="14"/>
      <c r="M2436" s="15"/>
      <c r="N2436" s="10"/>
      <c r="O2436" s="14"/>
      <c r="P2436" s="14"/>
      <c r="Q2436" s="14"/>
      <c r="R2436" s="14"/>
      <c r="S2436" s="14"/>
      <c r="T2436" s="14"/>
      <c r="U2436" s="14"/>
      <c r="V2436" s="14"/>
      <c r="W2436" s="14"/>
      <c r="X2436" s="14"/>
      <c r="Y2436" s="14"/>
      <c r="Z2436" s="14"/>
      <c r="AA2436" s="16"/>
      <c r="AB2436" s="10"/>
      <c r="AC2436" s="10"/>
      <c r="AD2436" s="10"/>
      <c r="AE2436" s="10"/>
      <c r="AF2436" s="10"/>
      <c r="AG2436" s="10"/>
      <c r="AH2436" s="10"/>
      <c r="AI2436" s="10"/>
      <c r="AJ2436" s="10"/>
      <c r="AK2436" s="10"/>
      <c r="AL2436" s="10"/>
      <c r="AM2436" s="10"/>
      <c r="AN2436" s="10"/>
      <c r="AO2436" s="10"/>
      <c r="AP2436" s="10"/>
      <c r="AQ2436" s="10"/>
      <c r="AR2436" s="10"/>
      <c r="AS2436" s="10"/>
      <c r="AT2436" s="10"/>
      <c r="AU2436" s="10"/>
      <c r="AV2436" s="10"/>
      <c r="AW2436" s="10"/>
      <c r="AX2436" s="10"/>
      <c r="AY2436" s="10"/>
      <c r="AZ2436" s="10"/>
      <c r="BA2436" s="10"/>
      <c r="BB2436" s="10"/>
      <c r="BC2436" s="10"/>
      <c r="BD2436" s="10"/>
      <c r="BE2436" s="10"/>
      <c r="BF2436" s="10"/>
      <c r="BG2436" s="10"/>
      <c r="BH2436" s="10"/>
      <c r="BI2436" s="10"/>
      <c r="BJ2436" s="10"/>
      <c r="BK2436" s="10"/>
      <c r="BM2436" s="10"/>
    </row>
    <row r="2437" spans="1:65" ht="12.75">
      <c r="A2437" s="9"/>
      <c r="B2437" s="10"/>
      <c r="C2437" s="11"/>
      <c r="D2437" s="12"/>
      <c r="E2437" s="10"/>
      <c r="F2437" s="10"/>
      <c r="G2437" s="10"/>
      <c r="H2437" s="14"/>
      <c r="I2437" s="14"/>
      <c r="J2437" s="14"/>
      <c r="K2437" s="14"/>
      <c r="L2437" s="14"/>
      <c r="M2437" s="15"/>
      <c r="N2437" s="10"/>
      <c r="O2437" s="14"/>
      <c r="P2437" s="14"/>
      <c r="Q2437" s="14"/>
      <c r="R2437" s="14"/>
      <c r="S2437" s="14"/>
      <c r="T2437" s="14"/>
      <c r="U2437" s="14"/>
      <c r="V2437" s="14"/>
      <c r="W2437" s="14"/>
      <c r="X2437" s="14"/>
      <c r="Y2437" s="14"/>
      <c r="Z2437" s="14"/>
      <c r="AA2437" s="16"/>
      <c r="AB2437" s="10"/>
      <c r="AC2437" s="10"/>
      <c r="AD2437" s="10"/>
      <c r="AE2437" s="10"/>
      <c r="AF2437" s="10"/>
      <c r="AG2437" s="10"/>
      <c r="AH2437" s="10"/>
      <c r="AI2437" s="10"/>
      <c r="AJ2437" s="10"/>
      <c r="AK2437" s="10"/>
      <c r="AL2437" s="10"/>
      <c r="AM2437" s="10"/>
      <c r="AN2437" s="10"/>
      <c r="AO2437" s="10"/>
      <c r="AP2437" s="10"/>
      <c r="AQ2437" s="10"/>
      <c r="AR2437" s="10"/>
      <c r="AS2437" s="10"/>
      <c r="AT2437" s="10"/>
      <c r="AU2437" s="10"/>
      <c r="AV2437" s="10"/>
      <c r="AW2437" s="10"/>
      <c r="AX2437" s="10"/>
      <c r="AY2437" s="10"/>
      <c r="AZ2437" s="10"/>
      <c r="BA2437" s="10"/>
      <c r="BB2437" s="10"/>
      <c r="BC2437" s="10"/>
      <c r="BD2437" s="10"/>
      <c r="BE2437" s="10"/>
      <c r="BF2437" s="10"/>
      <c r="BG2437" s="10"/>
      <c r="BH2437" s="10"/>
      <c r="BI2437" s="10"/>
      <c r="BJ2437" s="10"/>
      <c r="BK2437" s="10"/>
      <c r="BM2437" s="10"/>
    </row>
    <row r="2438" spans="1:65" ht="12.75">
      <c r="A2438" s="9"/>
      <c r="B2438" s="10"/>
      <c r="C2438" s="11"/>
      <c r="D2438" s="12"/>
      <c r="E2438" s="10"/>
      <c r="F2438" s="10"/>
      <c r="G2438" s="10"/>
      <c r="H2438" s="14"/>
      <c r="I2438" s="14"/>
      <c r="J2438" s="14"/>
      <c r="K2438" s="14"/>
      <c r="L2438" s="14"/>
      <c r="M2438" s="15"/>
      <c r="N2438" s="10"/>
      <c r="O2438" s="14"/>
      <c r="P2438" s="14"/>
      <c r="Q2438" s="14"/>
      <c r="R2438" s="14"/>
      <c r="S2438" s="14"/>
      <c r="T2438" s="14"/>
      <c r="U2438" s="14"/>
      <c r="V2438" s="14"/>
      <c r="W2438" s="14"/>
      <c r="X2438" s="14"/>
      <c r="Y2438" s="14"/>
      <c r="Z2438" s="14"/>
      <c r="AA2438" s="16"/>
      <c r="AB2438" s="10"/>
      <c r="AC2438" s="10"/>
      <c r="AD2438" s="10"/>
      <c r="AE2438" s="10"/>
      <c r="AF2438" s="10"/>
      <c r="AG2438" s="10"/>
      <c r="AH2438" s="10"/>
      <c r="AI2438" s="10"/>
      <c r="AJ2438" s="10"/>
      <c r="AK2438" s="10"/>
      <c r="AL2438" s="10"/>
      <c r="AM2438" s="10"/>
      <c r="AN2438" s="10"/>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10"/>
      <c r="BJ2438" s="10"/>
      <c r="BK2438" s="10"/>
      <c r="BM2438" s="10"/>
    </row>
    <row r="2439" spans="1:65" ht="12.75">
      <c r="A2439" s="9"/>
      <c r="B2439" s="10"/>
      <c r="C2439" s="11"/>
      <c r="D2439" s="12"/>
      <c r="E2439" s="10"/>
      <c r="F2439" s="10"/>
      <c r="G2439" s="10"/>
      <c r="H2439" s="14"/>
      <c r="I2439" s="14"/>
      <c r="J2439" s="14"/>
      <c r="K2439" s="14"/>
      <c r="L2439" s="14"/>
      <c r="M2439" s="15"/>
      <c r="N2439" s="10"/>
      <c r="O2439" s="14"/>
      <c r="P2439" s="14"/>
      <c r="Q2439" s="14"/>
      <c r="R2439" s="14"/>
      <c r="S2439" s="14"/>
      <c r="T2439" s="14"/>
      <c r="U2439" s="14"/>
      <c r="V2439" s="14"/>
      <c r="W2439" s="14"/>
      <c r="X2439" s="14"/>
      <c r="Y2439" s="14"/>
      <c r="Z2439" s="14"/>
      <c r="AA2439" s="16"/>
      <c r="AB2439" s="10"/>
      <c r="AC2439" s="10"/>
      <c r="AD2439" s="10"/>
      <c r="AE2439" s="10"/>
      <c r="AF2439" s="10"/>
      <c r="AG2439" s="10"/>
      <c r="AH2439" s="10"/>
      <c r="AI2439" s="10"/>
      <c r="AJ2439" s="10"/>
      <c r="AK2439" s="10"/>
      <c r="AL2439" s="10"/>
      <c r="AM2439" s="10"/>
      <c r="AN2439" s="10"/>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10"/>
      <c r="BJ2439" s="10"/>
      <c r="BK2439" s="10"/>
      <c r="BM2439" s="10"/>
    </row>
    <row r="2440" spans="1:65" ht="12.75">
      <c r="A2440" s="9"/>
      <c r="B2440" s="10"/>
      <c r="C2440" s="11"/>
      <c r="D2440" s="12"/>
      <c r="E2440" s="10"/>
      <c r="F2440" s="10"/>
      <c r="G2440" s="10"/>
      <c r="H2440" s="14"/>
      <c r="I2440" s="14"/>
      <c r="J2440" s="14"/>
      <c r="K2440" s="14"/>
      <c r="L2440" s="14"/>
      <c r="M2440" s="15"/>
      <c r="N2440" s="10"/>
      <c r="O2440" s="14"/>
      <c r="P2440" s="14"/>
      <c r="Q2440" s="14"/>
      <c r="R2440" s="14"/>
      <c r="S2440" s="14"/>
      <c r="T2440" s="14"/>
      <c r="U2440" s="14"/>
      <c r="V2440" s="14"/>
      <c r="W2440" s="14"/>
      <c r="X2440" s="14"/>
      <c r="Y2440" s="14"/>
      <c r="Z2440" s="14"/>
      <c r="AA2440" s="16"/>
      <c r="AB2440" s="10"/>
      <c r="AC2440" s="10"/>
      <c r="AD2440" s="10"/>
      <c r="AE2440" s="10"/>
      <c r="AF2440" s="10"/>
      <c r="AG2440" s="10"/>
      <c r="AH2440" s="10"/>
      <c r="AI2440" s="10"/>
      <c r="AJ2440" s="10"/>
      <c r="AK2440" s="10"/>
      <c r="AL2440" s="10"/>
      <c r="AM2440" s="10"/>
      <c r="AN2440" s="10"/>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10"/>
      <c r="BJ2440" s="10"/>
      <c r="BK2440" s="10"/>
      <c r="BM2440" s="10"/>
    </row>
    <row r="2441" spans="1:65" ht="12.75">
      <c r="A2441" s="9"/>
      <c r="B2441" s="10"/>
      <c r="C2441" s="11"/>
      <c r="D2441" s="12"/>
      <c r="E2441" s="10"/>
      <c r="F2441" s="10"/>
      <c r="G2441" s="10"/>
      <c r="H2441" s="14"/>
      <c r="I2441" s="14"/>
      <c r="J2441" s="14"/>
      <c r="K2441" s="14"/>
      <c r="L2441" s="14"/>
      <c r="M2441" s="15"/>
      <c r="N2441" s="10"/>
      <c r="O2441" s="14"/>
      <c r="P2441" s="14"/>
      <c r="Q2441" s="14"/>
      <c r="R2441" s="14"/>
      <c r="S2441" s="14"/>
      <c r="T2441" s="14"/>
      <c r="U2441" s="14"/>
      <c r="V2441" s="14"/>
      <c r="W2441" s="14"/>
      <c r="X2441" s="14"/>
      <c r="Y2441" s="14"/>
      <c r="Z2441" s="14"/>
      <c r="AA2441" s="16"/>
      <c r="AB2441" s="10"/>
      <c r="AC2441" s="10"/>
      <c r="AD2441" s="10"/>
      <c r="AE2441" s="10"/>
      <c r="AF2441" s="10"/>
      <c r="AG2441" s="10"/>
      <c r="AH2441" s="10"/>
      <c r="AI2441" s="10"/>
      <c r="AJ2441" s="10"/>
      <c r="AK2441" s="10"/>
      <c r="AL2441" s="10"/>
      <c r="AM2441" s="10"/>
      <c r="AN2441" s="10"/>
      <c r="AO2441" s="10"/>
      <c r="AP2441" s="10"/>
      <c r="AQ2441" s="10"/>
      <c r="AR2441" s="10"/>
      <c r="AS2441" s="10"/>
      <c r="AT2441" s="10"/>
      <c r="AU2441" s="10"/>
      <c r="AV2441" s="10"/>
      <c r="AW2441" s="10"/>
      <c r="AX2441" s="10"/>
      <c r="AY2441" s="10"/>
      <c r="AZ2441" s="10"/>
      <c r="BA2441" s="10"/>
      <c r="BB2441" s="10"/>
      <c r="BC2441" s="10"/>
      <c r="BD2441" s="10"/>
      <c r="BE2441" s="10"/>
      <c r="BF2441" s="10"/>
      <c r="BG2441" s="10"/>
      <c r="BH2441" s="10"/>
      <c r="BI2441" s="10"/>
      <c r="BJ2441" s="10"/>
      <c r="BK2441" s="10"/>
      <c r="BM2441" s="10"/>
    </row>
    <row r="2442" spans="1:65" ht="12.75">
      <c r="A2442" s="9"/>
      <c r="B2442" s="10"/>
      <c r="C2442" s="11"/>
      <c r="D2442" s="12"/>
      <c r="E2442" s="10"/>
      <c r="F2442" s="10"/>
      <c r="G2442" s="10"/>
      <c r="H2442" s="14"/>
      <c r="I2442" s="14"/>
      <c r="J2442" s="14"/>
      <c r="K2442" s="14"/>
      <c r="L2442" s="14"/>
      <c r="M2442" s="15"/>
      <c r="N2442" s="10"/>
      <c r="O2442" s="14"/>
      <c r="P2442" s="14"/>
      <c r="Q2442" s="14"/>
      <c r="R2442" s="14"/>
      <c r="S2442" s="14"/>
      <c r="T2442" s="14"/>
      <c r="U2442" s="14"/>
      <c r="V2442" s="14"/>
      <c r="W2442" s="14"/>
      <c r="X2442" s="14"/>
      <c r="Y2442" s="14"/>
      <c r="Z2442" s="14"/>
      <c r="AA2442" s="16"/>
      <c r="AB2442" s="10"/>
      <c r="AC2442" s="10"/>
      <c r="AD2442" s="10"/>
      <c r="AE2442" s="10"/>
      <c r="AF2442" s="10"/>
      <c r="AG2442" s="10"/>
      <c r="AH2442" s="10"/>
      <c r="AI2442" s="10"/>
      <c r="AJ2442" s="10"/>
      <c r="AK2442" s="10"/>
      <c r="AL2442" s="10"/>
      <c r="AM2442" s="10"/>
      <c r="AN2442" s="10"/>
      <c r="AO2442" s="10"/>
      <c r="AP2442" s="10"/>
      <c r="AQ2442" s="10"/>
      <c r="AR2442" s="10"/>
      <c r="AS2442" s="10"/>
      <c r="AT2442" s="10"/>
      <c r="AU2442" s="10"/>
      <c r="AV2442" s="10"/>
      <c r="AW2442" s="10"/>
      <c r="AX2442" s="10"/>
      <c r="AY2442" s="10"/>
      <c r="AZ2442" s="10"/>
      <c r="BA2442" s="10"/>
      <c r="BB2442" s="10"/>
      <c r="BC2442" s="10"/>
      <c r="BD2442" s="10"/>
      <c r="BE2442" s="10"/>
      <c r="BF2442" s="10"/>
      <c r="BG2442" s="10"/>
      <c r="BH2442" s="10"/>
      <c r="BI2442" s="10"/>
      <c r="BJ2442" s="10"/>
      <c r="BK2442" s="10"/>
      <c r="BM2442" s="10"/>
    </row>
    <row r="2443" spans="1:65" ht="12.75">
      <c r="A2443" s="9"/>
      <c r="B2443" s="10"/>
      <c r="C2443" s="11"/>
      <c r="D2443" s="12"/>
      <c r="E2443" s="10"/>
      <c r="F2443" s="10"/>
      <c r="G2443" s="10"/>
      <c r="H2443" s="14"/>
      <c r="I2443" s="14"/>
      <c r="J2443" s="14"/>
      <c r="K2443" s="14"/>
      <c r="L2443" s="14"/>
      <c r="M2443" s="15"/>
      <c r="N2443" s="10"/>
      <c r="O2443" s="14"/>
      <c r="P2443" s="14"/>
      <c r="Q2443" s="14"/>
      <c r="R2443" s="14"/>
      <c r="S2443" s="14"/>
      <c r="T2443" s="14"/>
      <c r="U2443" s="14"/>
      <c r="V2443" s="14"/>
      <c r="W2443" s="14"/>
      <c r="X2443" s="14"/>
      <c r="Y2443" s="14"/>
      <c r="Z2443" s="14"/>
      <c r="AA2443" s="16"/>
      <c r="AB2443" s="10"/>
      <c r="AC2443" s="10"/>
      <c r="AD2443" s="10"/>
      <c r="AE2443" s="10"/>
      <c r="AF2443" s="10"/>
      <c r="AG2443" s="10"/>
      <c r="AH2443" s="10"/>
      <c r="AI2443" s="10"/>
      <c r="AJ2443" s="10"/>
      <c r="AK2443" s="10"/>
      <c r="AL2443" s="10"/>
      <c r="AM2443" s="10"/>
      <c r="AN2443" s="10"/>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10"/>
      <c r="BJ2443" s="10"/>
      <c r="BK2443" s="10"/>
      <c r="BM2443" s="10"/>
    </row>
    <row r="2444" spans="1:65" ht="12.75">
      <c r="A2444" s="9"/>
      <c r="B2444" s="10"/>
      <c r="C2444" s="11"/>
      <c r="D2444" s="12"/>
      <c r="E2444" s="10"/>
      <c r="F2444" s="10"/>
      <c r="G2444" s="10"/>
      <c r="H2444" s="14"/>
      <c r="I2444" s="14"/>
      <c r="J2444" s="14"/>
      <c r="K2444" s="14"/>
      <c r="L2444" s="14"/>
      <c r="M2444" s="15"/>
      <c r="N2444" s="10"/>
      <c r="O2444" s="14"/>
      <c r="P2444" s="14"/>
      <c r="Q2444" s="14"/>
      <c r="R2444" s="14"/>
      <c r="S2444" s="14"/>
      <c r="T2444" s="14"/>
      <c r="U2444" s="14"/>
      <c r="V2444" s="14"/>
      <c r="W2444" s="14"/>
      <c r="X2444" s="14"/>
      <c r="Y2444" s="14"/>
      <c r="Z2444" s="14"/>
      <c r="AA2444" s="16"/>
      <c r="AB2444" s="10"/>
      <c r="AC2444" s="10"/>
      <c r="AD2444" s="10"/>
      <c r="AE2444" s="10"/>
      <c r="AF2444" s="10"/>
      <c r="AG2444" s="10"/>
      <c r="AH2444" s="10"/>
      <c r="AI2444" s="10"/>
      <c r="AJ2444" s="10"/>
      <c r="AK2444" s="10"/>
      <c r="AL2444" s="10"/>
      <c r="AM2444" s="10"/>
      <c r="AN2444" s="10"/>
      <c r="AO2444" s="10"/>
      <c r="AP2444" s="10"/>
      <c r="AQ2444" s="10"/>
      <c r="AR2444" s="10"/>
      <c r="AS2444" s="10"/>
      <c r="AT2444" s="10"/>
      <c r="AU2444" s="10"/>
      <c r="AV2444" s="10"/>
      <c r="AW2444" s="10"/>
      <c r="AX2444" s="10"/>
      <c r="AY2444" s="10"/>
      <c r="AZ2444" s="10"/>
      <c r="BA2444" s="10"/>
      <c r="BB2444" s="10"/>
      <c r="BC2444" s="10"/>
      <c r="BD2444" s="10"/>
      <c r="BE2444" s="10"/>
      <c r="BF2444" s="10"/>
      <c r="BG2444" s="10"/>
      <c r="BH2444" s="10"/>
      <c r="BI2444" s="10"/>
      <c r="BJ2444" s="10"/>
      <c r="BK2444" s="10"/>
      <c r="BM2444" s="10"/>
    </row>
    <row r="2445" spans="1:65" ht="12.75">
      <c r="A2445" s="9"/>
      <c r="B2445" s="10"/>
      <c r="C2445" s="11"/>
      <c r="D2445" s="12"/>
      <c r="E2445" s="10"/>
      <c r="F2445" s="10"/>
      <c r="G2445" s="10"/>
      <c r="H2445" s="14"/>
      <c r="I2445" s="14"/>
      <c r="J2445" s="14"/>
      <c r="K2445" s="14"/>
      <c r="L2445" s="14"/>
      <c r="M2445" s="15"/>
      <c r="N2445" s="10"/>
      <c r="O2445" s="14"/>
      <c r="P2445" s="14"/>
      <c r="Q2445" s="14"/>
      <c r="R2445" s="14"/>
      <c r="S2445" s="14"/>
      <c r="T2445" s="14"/>
      <c r="U2445" s="14"/>
      <c r="V2445" s="14"/>
      <c r="W2445" s="14"/>
      <c r="X2445" s="14"/>
      <c r="Y2445" s="14"/>
      <c r="Z2445" s="14"/>
      <c r="AA2445" s="16"/>
      <c r="AB2445" s="10"/>
      <c r="AC2445" s="10"/>
      <c r="AD2445" s="10"/>
      <c r="AE2445" s="10"/>
      <c r="AF2445" s="10"/>
      <c r="AG2445" s="10"/>
      <c r="AH2445" s="10"/>
      <c r="AI2445" s="10"/>
      <c r="AJ2445" s="10"/>
      <c r="AK2445" s="10"/>
      <c r="AL2445" s="10"/>
      <c r="AM2445" s="10"/>
      <c r="AN2445" s="10"/>
      <c r="AO2445" s="10"/>
      <c r="AP2445" s="10"/>
      <c r="AQ2445" s="10"/>
      <c r="AR2445" s="10"/>
      <c r="AS2445" s="10"/>
      <c r="AT2445" s="10"/>
      <c r="AU2445" s="10"/>
      <c r="AV2445" s="10"/>
      <c r="AW2445" s="10"/>
      <c r="AX2445" s="10"/>
      <c r="AY2445" s="10"/>
      <c r="AZ2445" s="10"/>
      <c r="BA2445" s="10"/>
      <c r="BB2445" s="10"/>
      <c r="BC2445" s="10"/>
      <c r="BD2445" s="10"/>
      <c r="BE2445" s="10"/>
      <c r="BF2445" s="10"/>
      <c r="BG2445" s="10"/>
      <c r="BH2445" s="10"/>
      <c r="BI2445" s="10"/>
      <c r="BJ2445" s="10"/>
      <c r="BK2445" s="10"/>
      <c r="BM2445" s="10"/>
    </row>
    <row r="2446" spans="1:65" ht="12.75">
      <c r="A2446" s="9"/>
      <c r="B2446" s="10"/>
      <c r="C2446" s="11"/>
      <c r="D2446" s="12"/>
      <c r="E2446" s="10"/>
      <c r="F2446" s="10"/>
      <c r="G2446" s="10"/>
      <c r="H2446" s="14"/>
      <c r="I2446" s="14"/>
      <c r="J2446" s="14"/>
      <c r="K2446" s="14"/>
      <c r="L2446" s="14"/>
      <c r="M2446" s="15"/>
      <c r="N2446" s="10"/>
      <c r="O2446" s="14"/>
      <c r="P2446" s="14"/>
      <c r="Q2446" s="14"/>
      <c r="R2446" s="14"/>
      <c r="S2446" s="14"/>
      <c r="T2446" s="14"/>
      <c r="U2446" s="14"/>
      <c r="V2446" s="14"/>
      <c r="W2446" s="14"/>
      <c r="X2446" s="14"/>
      <c r="Y2446" s="14"/>
      <c r="Z2446" s="14"/>
      <c r="AA2446" s="16"/>
      <c r="AB2446" s="10"/>
      <c r="AC2446" s="10"/>
      <c r="AD2446" s="10"/>
      <c r="AE2446" s="10"/>
      <c r="AF2446" s="10"/>
      <c r="AG2446" s="10"/>
      <c r="AH2446" s="10"/>
      <c r="AI2446" s="10"/>
      <c r="AJ2446" s="10"/>
      <c r="AK2446" s="10"/>
      <c r="AL2446" s="10"/>
      <c r="AM2446" s="10"/>
      <c r="AN2446" s="10"/>
      <c r="AO2446" s="10"/>
      <c r="AP2446" s="10"/>
      <c r="AQ2446" s="10"/>
      <c r="AR2446" s="10"/>
      <c r="AS2446" s="10"/>
      <c r="AT2446" s="10"/>
      <c r="AU2446" s="10"/>
      <c r="AV2446" s="10"/>
      <c r="AW2446" s="10"/>
      <c r="AX2446" s="10"/>
      <c r="AY2446" s="10"/>
      <c r="AZ2446" s="10"/>
      <c r="BA2446" s="10"/>
      <c r="BB2446" s="10"/>
      <c r="BC2446" s="10"/>
      <c r="BD2446" s="10"/>
      <c r="BE2446" s="10"/>
      <c r="BF2446" s="10"/>
      <c r="BG2446" s="10"/>
      <c r="BH2446" s="10"/>
      <c r="BI2446" s="10"/>
      <c r="BJ2446" s="10"/>
      <c r="BK2446" s="10"/>
      <c r="BM2446" s="10"/>
    </row>
    <row r="2447" spans="1:65" ht="12.75">
      <c r="A2447" s="9"/>
      <c r="B2447" s="10"/>
      <c r="C2447" s="11"/>
      <c r="D2447" s="12"/>
      <c r="E2447" s="10"/>
      <c r="F2447" s="10"/>
      <c r="G2447" s="10"/>
      <c r="H2447" s="14"/>
      <c r="I2447" s="14"/>
      <c r="J2447" s="14"/>
      <c r="K2447" s="14"/>
      <c r="L2447" s="14"/>
      <c r="M2447" s="15"/>
      <c r="N2447" s="10"/>
      <c r="O2447" s="14"/>
      <c r="P2447" s="14"/>
      <c r="Q2447" s="14"/>
      <c r="R2447" s="14"/>
      <c r="S2447" s="14"/>
      <c r="T2447" s="14"/>
      <c r="U2447" s="14"/>
      <c r="V2447" s="14"/>
      <c r="W2447" s="14"/>
      <c r="X2447" s="14"/>
      <c r="Y2447" s="14"/>
      <c r="Z2447" s="14"/>
      <c r="AA2447" s="16"/>
      <c r="AB2447" s="10"/>
      <c r="AC2447" s="10"/>
      <c r="AD2447" s="10"/>
      <c r="AE2447" s="10"/>
      <c r="AF2447" s="10"/>
      <c r="AG2447" s="10"/>
      <c r="AH2447" s="10"/>
      <c r="AI2447" s="10"/>
      <c r="AJ2447" s="10"/>
      <c r="AK2447" s="10"/>
      <c r="AL2447" s="10"/>
      <c r="AM2447" s="10"/>
      <c r="AN2447" s="10"/>
      <c r="AO2447" s="10"/>
      <c r="AP2447" s="10"/>
      <c r="AQ2447" s="10"/>
      <c r="AR2447" s="10"/>
      <c r="AS2447" s="10"/>
      <c r="AT2447" s="10"/>
      <c r="AU2447" s="10"/>
      <c r="AV2447" s="10"/>
      <c r="AW2447" s="10"/>
      <c r="AX2447" s="10"/>
      <c r="AY2447" s="10"/>
      <c r="AZ2447" s="10"/>
      <c r="BA2447" s="10"/>
      <c r="BB2447" s="10"/>
      <c r="BC2447" s="10"/>
      <c r="BD2447" s="10"/>
      <c r="BE2447" s="10"/>
      <c r="BF2447" s="10"/>
      <c r="BG2447" s="10"/>
      <c r="BH2447" s="10"/>
      <c r="BI2447" s="10"/>
      <c r="BJ2447" s="10"/>
      <c r="BK2447" s="10"/>
      <c r="BM2447" s="10"/>
    </row>
    <row r="2448" spans="1:65" ht="12.75">
      <c r="A2448" s="9"/>
      <c r="B2448" s="10"/>
      <c r="C2448" s="11"/>
      <c r="D2448" s="12"/>
      <c r="E2448" s="10"/>
      <c r="F2448" s="10"/>
      <c r="G2448" s="10"/>
      <c r="H2448" s="14"/>
      <c r="I2448" s="14"/>
      <c r="J2448" s="14"/>
      <c r="K2448" s="14"/>
      <c r="L2448" s="14"/>
      <c r="M2448" s="15"/>
      <c r="N2448" s="10"/>
      <c r="O2448" s="14"/>
      <c r="P2448" s="14"/>
      <c r="Q2448" s="14"/>
      <c r="R2448" s="14"/>
      <c r="S2448" s="14"/>
      <c r="T2448" s="14"/>
      <c r="U2448" s="14"/>
      <c r="V2448" s="14"/>
      <c r="W2448" s="14"/>
      <c r="X2448" s="14"/>
      <c r="Y2448" s="14"/>
      <c r="Z2448" s="14"/>
      <c r="AA2448" s="16"/>
      <c r="AB2448" s="10"/>
      <c r="AC2448" s="10"/>
      <c r="AD2448" s="10"/>
      <c r="AE2448" s="10"/>
      <c r="AF2448" s="10"/>
      <c r="AG2448" s="10"/>
      <c r="AH2448" s="10"/>
      <c r="AI2448" s="10"/>
      <c r="AJ2448" s="10"/>
      <c r="AK2448" s="10"/>
      <c r="AL2448" s="10"/>
      <c r="AM2448" s="10"/>
      <c r="AN2448" s="10"/>
      <c r="AO2448" s="10"/>
      <c r="AP2448" s="10"/>
      <c r="AQ2448" s="10"/>
      <c r="AR2448" s="10"/>
      <c r="AS2448" s="10"/>
      <c r="AT2448" s="10"/>
      <c r="AU2448" s="10"/>
      <c r="AV2448" s="10"/>
      <c r="AW2448" s="10"/>
      <c r="AX2448" s="10"/>
      <c r="AY2448" s="10"/>
      <c r="AZ2448" s="10"/>
      <c r="BA2448" s="10"/>
      <c r="BB2448" s="10"/>
      <c r="BC2448" s="10"/>
      <c r="BD2448" s="10"/>
      <c r="BE2448" s="10"/>
      <c r="BF2448" s="10"/>
      <c r="BG2448" s="10"/>
      <c r="BH2448" s="10"/>
      <c r="BI2448" s="10"/>
      <c r="BJ2448" s="10"/>
      <c r="BK2448" s="10"/>
      <c r="BM2448" s="10"/>
    </row>
    <row r="2449" spans="1:65" ht="12.75">
      <c r="A2449" s="9"/>
      <c r="B2449" s="10"/>
      <c r="C2449" s="11"/>
      <c r="D2449" s="12"/>
      <c r="E2449" s="10"/>
      <c r="F2449" s="10"/>
      <c r="G2449" s="10"/>
      <c r="H2449" s="14"/>
      <c r="I2449" s="14"/>
      <c r="J2449" s="14"/>
      <c r="K2449" s="14"/>
      <c r="L2449" s="14"/>
      <c r="M2449" s="15"/>
      <c r="N2449" s="10"/>
      <c r="O2449" s="14"/>
      <c r="P2449" s="14"/>
      <c r="Q2449" s="14"/>
      <c r="R2449" s="14"/>
      <c r="S2449" s="14"/>
      <c r="T2449" s="14"/>
      <c r="U2449" s="14"/>
      <c r="V2449" s="14"/>
      <c r="W2449" s="14"/>
      <c r="X2449" s="14"/>
      <c r="Y2449" s="14"/>
      <c r="Z2449" s="14"/>
      <c r="AA2449" s="16"/>
      <c r="AB2449" s="10"/>
      <c r="AC2449" s="10"/>
      <c r="AD2449" s="10"/>
      <c r="AE2449" s="10"/>
      <c r="AF2449" s="10"/>
      <c r="AG2449" s="10"/>
      <c r="AH2449" s="10"/>
      <c r="AI2449" s="10"/>
      <c r="AJ2449" s="10"/>
      <c r="AK2449" s="10"/>
      <c r="AL2449" s="10"/>
      <c r="AM2449" s="10"/>
      <c r="AN2449" s="10"/>
      <c r="AO2449" s="10"/>
      <c r="AP2449" s="10"/>
      <c r="AQ2449" s="10"/>
      <c r="AR2449" s="10"/>
      <c r="AS2449" s="10"/>
      <c r="AT2449" s="10"/>
      <c r="AU2449" s="10"/>
      <c r="AV2449" s="10"/>
      <c r="AW2449" s="10"/>
      <c r="AX2449" s="10"/>
      <c r="AY2449" s="10"/>
      <c r="AZ2449" s="10"/>
      <c r="BA2449" s="10"/>
      <c r="BB2449" s="10"/>
      <c r="BC2449" s="10"/>
      <c r="BD2449" s="10"/>
      <c r="BE2449" s="10"/>
      <c r="BF2449" s="10"/>
      <c r="BG2449" s="10"/>
      <c r="BH2449" s="10"/>
      <c r="BI2449" s="10"/>
      <c r="BJ2449" s="10"/>
      <c r="BK2449" s="10"/>
      <c r="BM2449" s="10"/>
    </row>
    <row r="2450" spans="1:65" ht="12.75">
      <c r="A2450" s="9"/>
      <c r="B2450" s="10"/>
      <c r="C2450" s="11"/>
      <c r="D2450" s="12"/>
      <c r="E2450" s="10"/>
      <c r="F2450" s="10"/>
      <c r="G2450" s="10"/>
      <c r="H2450" s="14"/>
      <c r="I2450" s="14"/>
      <c r="J2450" s="14"/>
      <c r="K2450" s="14"/>
      <c r="L2450" s="14"/>
      <c r="M2450" s="15"/>
      <c r="N2450" s="10"/>
      <c r="O2450" s="14"/>
      <c r="P2450" s="14"/>
      <c r="Q2450" s="14"/>
      <c r="R2450" s="14"/>
      <c r="S2450" s="14"/>
      <c r="T2450" s="14"/>
      <c r="U2450" s="14"/>
      <c r="V2450" s="14"/>
      <c r="W2450" s="14"/>
      <c r="X2450" s="14"/>
      <c r="Y2450" s="14"/>
      <c r="Z2450" s="14"/>
      <c r="AA2450" s="16"/>
      <c r="AB2450" s="10"/>
      <c r="AC2450" s="10"/>
      <c r="AD2450" s="10"/>
      <c r="AE2450" s="10"/>
      <c r="AF2450" s="10"/>
      <c r="AG2450" s="10"/>
      <c r="AH2450" s="10"/>
      <c r="AI2450" s="10"/>
      <c r="AJ2450" s="10"/>
      <c r="AK2450" s="10"/>
      <c r="AL2450" s="10"/>
      <c r="AM2450" s="10"/>
      <c r="AN2450" s="10"/>
      <c r="AO2450" s="10"/>
      <c r="AP2450" s="10"/>
      <c r="AQ2450" s="10"/>
      <c r="AR2450" s="10"/>
      <c r="AS2450" s="10"/>
      <c r="AT2450" s="10"/>
      <c r="AU2450" s="10"/>
      <c r="AV2450" s="10"/>
      <c r="AW2450" s="10"/>
      <c r="AX2450" s="10"/>
      <c r="AY2450" s="10"/>
      <c r="AZ2450" s="10"/>
      <c r="BA2450" s="10"/>
      <c r="BB2450" s="10"/>
      <c r="BC2450" s="10"/>
      <c r="BD2450" s="10"/>
      <c r="BE2450" s="10"/>
      <c r="BF2450" s="10"/>
      <c r="BG2450" s="10"/>
      <c r="BH2450" s="10"/>
      <c r="BI2450" s="10"/>
      <c r="BJ2450" s="10"/>
      <c r="BK2450" s="10"/>
      <c r="BM2450" s="10"/>
    </row>
    <row r="2451" spans="1:65" ht="12.75">
      <c r="A2451" s="9"/>
      <c r="B2451" s="10"/>
      <c r="C2451" s="11"/>
      <c r="D2451" s="12"/>
      <c r="E2451" s="10"/>
      <c r="F2451" s="10"/>
      <c r="G2451" s="10"/>
      <c r="H2451" s="14"/>
      <c r="I2451" s="14"/>
      <c r="J2451" s="14"/>
      <c r="K2451" s="14"/>
      <c r="L2451" s="14"/>
      <c r="M2451" s="15"/>
      <c r="N2451" s="10"/>
      <c r="O2451" s="14"/>
      <c r="P2451" s="14"/>
      <c r="Q2451" s="14"/>
      <c r="R2451" s="14"/>
      <c r="S2451" s="14"/>
      <c r="T2451" s="14"/>
      <c r="U2451" s="14"/>
      <c r="V2451" s="14"/>
      <c r="W2451" s="14"/>
      <c r="X2451" s="14"/>
      <c r="Y2451" s="14"/>
      <c r="Z2451" s="14"/>
      <c r="AA2451" s="16"/>
      <c r="AB2451" s="10"/>
      <c r="AC2451" s="10"/>
      <c r="AD2451" s="10"/>
      <c r="AE2451" s="10"/>
      <c r="AF2451" s="10"/>
      <c r="AG2451" s="10"/>
      <c r="AH2451" s="10"/>
      <c r="AI2451" s="10"/>
      <c r="AJ2451" s="10"/>
      <c r="AK2451" s="10"/>
      <c r="AL2451" s="10"/>
      <c r="AM2451" s="10"/>
      <c r="AN2451" s="10"/>
      <c r="AO2451" s="10"/>
      <c r="AP2451" s="10"/>
      <c r="AQ2451" s="10"/>
      <c r="AR2451" s="10"/>
      <c r="AS2451" s="10"/>
      <c r="AT2451" s="10"/>
      <c r="AU2451" s="10"/>
      <c r="AV2451" s="10"/>
      <c r="AW2451" s="10"/>
      <c r="AX2451" s="10"/>
      <c r="AY2451" s="10"/>
      <c r="AZ2451" s="10"/>
      <c r="BA2451" s="10"/>
      <c r="BB2451" s="10"/>
      <c r="BC2451" s="10"/>
      <c r="BD2451" s="10"/>
      <c r="BE2451" s="10"/>
      <c r="BF2451" s="10"/>
      <c r="BG2451" s="10"/>
      <c r="BH2451" s="10"/>
      <c r="BI2451" s="10"/>
      <c r="BJ2451" s="10"/>
      <c r="BK2451" s="10"/>
      <c r="BM2451" s="10"/>
    </row>
    <row r="2452" spans="1:65" ht="12.75">
      <c r="A2452" s="9"/>
      <c r="B2452" s="10"/>
      <c r="C2452" s="11"/>
      <c r="D2452" s="12"/>
      <c r="E2452" s="10"/>
      <c r="F2452" s="10"/>
      <c r="G2452" s="10"/>
      <c r="H2452" s="14"/>
      <c r="I2452" s="14"/>
      <c r="J2452" s="14"/>
      <c r="K2452" s="14"/>
      <c r="L2452" s="14"/>
      <c r="M2452" s="15"/>
      <c r="N2452" s="10"/>
      <c r="O2452" s="14"/>
      <c r="P2452" s="14"/>
      <c r="Q2452" s="14"/>
      <c r="R2452" s="14"/>
      <c r="S2452" s="14"/>
      <c r="T2452" s="14"/>
      <c r="U2452" s="14"/>
      <c r="V2452" s="14"/>
      <c r="W2452" s="14"/>
      <c r="X2452" s="14"/>
      <c r="Y2452" s="14"/>
      <c r="Z2452" s="14"/>
      <c r="AA2452" s="16"/>
      <c r="AB2452" s="10"/>
      <c r="AC2452" s="10"/>
      <c r="AD2452" s="10"/>
      <c r="AE2452" s="10"/>
      <c r="AF2452" s="10"/>
      <c r="AG2452" s="10"/>
      <c r="AH2452" s="10"/>
      <c r="AI2452" s="10"/>
      <c r="AJ2452" s="10"/>
      <c r="AK2452" s="10"/>
      <c r="AL2452" s="10"/>
      <c r="AM2452" s="10"/>
      <c r="AN2452" s="10"/>
      <c r="AO2452" s="10"/>
      <c r="AP2452" s="10"/>
      <c r="AQ2452" s="10"/>
      <c r="AR2452" s="10"/>
      <c r="AS2452" s="10"/>
      <c r="AT2452" s="10"/>
      <c r="AU2452" s="10"/>
      <c r="AV2452" s="10"/>
      <c r="AW2452" s="10"/>
      <c r="AX2452" s="10"/>
      <c r="AY2452" s="10"/>
      <c r="AZ2452" s="10"/>
      <c r="BA2452" s="10"/>
      <c r="BB2452" s="10"/>
      <c r="BC2452" s="10"/>
      <c r="BD2452" s="10"/>
      <c r="BE2452" s="10"/>
      <c r="BF2452" s="10"/>
      <c r="BG2452" s="10"/>
      <c r="BH2452" s="10"/>
      <c r="BI2452" s="10"/>
      <c r="BJ2452" s="10"/>
      <c r="BK2452" s="10"/>
      <c r="BM2452" s="10"/>
    </row>
    <row r="2453" spans="1:65" ht="12.75">
      <c r="A2453" s="9"/>
      <c r="B2453" s="10"/>
      <c r="C2453" s="11"/>
      <c r="D2453" s="12"/>
      <c r="E2453" s="10"/>
      <c r="F2453" s="10"/>
      <c r="G2453" s="10"/>
      <c r="H2453" s="14"/>
      <c r="I2453" s="14"/>
      <c r="J2453" s="14"/>
      <c r="K2453" s="14"/>
      <c r="L2453" s="14"/>
      <c r="M2453" s="15"/>
      <c r="N2453" s="10"/>
      <c r="O2453" s="14"/>
      <c r="P2453" s="14"/>
      <c r="Q2453" s="14"/>
      <c r="R2453" s="14"/>
      <c r="S2453" s="14"/>
      <c r="T2453" s="14"/>
      <c r="U2453" s="14"/>
      <c r="V2453" s="14"/>
      <c r="W2453" s="14"/>
      <c r="X2453" s="14"/>
      <c r="Y2453" s="14"/>
      <c r="Z2453" s="14"/>
      <c r="AA2453" s="16"/>
      <c r="AB2453" s="10"/>
      <c r="AC2453" s="10"/>
      <c r="AD2453" s="10"/>
      <c r="AE2453" s="10"/>
      <c r="AF2453" s="10"/>
      <c r="AG2453" s="10"/>
      <c r="AH2453" s="10"/>
      <c r="AI2453" s="10"/>
      <c r="AJ2453" s="10"/>
      <c r="AK2453" s="10"/>
      <c r="AL2453" s="10"/>
      <c r="AM2453" s="10"/>
      <c r="AN2453" s="10"/>
      <c r="AO2453" s="10"/>
      <c r="AP2453" s="10"/>
      <c r="AQ2453" s="10"/>
      <c r="AR2453" s="10"/>
      <c r="AS2453" s="10"/>
      <c r="AT2453" s="10"/>
      <c r="AU2453" s="10"/>
      <c r="AV2453" s="10"/>
      <c r="AW2453" s="10"/>
      <c r="AX2453" s="10"/>
      <c r="AY2453" s="10"/>
      <c r="AZ2453" s="10"/>
      <c r="BA2453" s="10"/>
      <c r="BB2453" s="10"/>
      <c r="BC2453" s="10"/>
      <c r="BD2453" s="10"/>
      <c r="BE2453" s="10"/>
      <c r="BF2453" s="10"/>
      <c r="BG2453" s="10"/>
      <c r="BH2453" s="10"/>
      <c r="BI2453" s="10"/>
      <c r="BJ2453" s="10"/>
      <c r="BK2453" s="10"/>
      <c r="BM2453" s="10"/>
    </row>
    <row r="2454" spans="1:65" ht="12.75">
      <c r="A2454" s="9"/>
      <c r="B2454" s="10"/>
      <c r="C2454" s="11"/>
      <c r="D2454" s="12"/>
      <c r="E2454" s="10"/>
      <c r="F2454" s="10"/>
      <c r="G2454" s="10"/>
      <c r="H2454" s="14"/>
      <c r="I2454" s="14"/>
      <c r="J2454" s="14"/>
      <c r="K2454" s="14"/>
      <c r="L2454" s="14"/>
      <c r="M2454" s="15"/>
      <c r="N2454" s="10"/>
      <c r="O2454" s="14"/>
      <c r="P2454" s="14"/>
      <c r="Q2454" s="14"/>
      <c r="R2454" s="14"/>
      <c r="S2454" s="14"/>
      <c r="T2454" s="14"/>
      <c r="U2454" s="14"/>
      <c r="V2454" s="14"/>
      <c r="W2454" s="14"/>
      <c r="X2454" s="14"/>
      <c r="Y2454" s="14"/>
      <c r="Z2454" s="14"/>
      <c r="AA2454" s="16"/>
      <c r="AB2454" s="10"/>
      <c r="AC2454" s="10"/>
      <c r="AD2454" s="10"/>
      <c r="AE2454" s="10"/>
      <c r="AF2454" s="10"/>
      <c r="AG2454" s="10"/>
      <c r="AH2454" s="10"/>
      <c r="AI2454" s="10"/>
      <c r="AJ2454" s="10"/>
      <c r="AK2454" s="10"/>
      <c r="AL2454" s="10"/>
      <c r="AM2454" s="10"/>
      <c r="AN2454" s="10"/>
      <c r="AO2454" s="10"/>
      <c r="AP2454" s="10"/>
      <c r="AQ2454" s="10"/>
      <c r="AR2454" s="10"/>
      <c r="AS2454" s="10"/>
      <c r="AT2454" s="10"/>
      <c r="AU2454" s="10"/>
      <c r="AV2454" s="10"/>
      <c r="AW2454" s="10"/>
      <c r="AX2454" s="10"/>
      <c r="AY2454" s="10"/>
      <c r="AZ2454" s="10"/>
      <c r="BA2454" s="10"/>
      <c r="BB2454" s="10"/>
      <c r="BC2454" s="10"/>
      <c r="BD2454" s="10"/>
      <c r="BE2454" s="10"/>
      <c r="BF2454" s="10"/>
      <c r="BG2454" s="10"/>
      <c r="BH2454" s="10"/>
      <c r="BI2454" s="10"/>
      <c r="BJ2454" s="10"/>
      <c r="BK2454" s="10"/>
      <c r="BM2454" s="10"/>
    </row>
    <row r="2455" spans="1:65" ht="12.75">
      <c r="A2455" s="9"/>
      <c r="B2455" s="10"/>
      <c r="C2455" s="11"/>
      <c r="D2455" s="12"/>
      <c r="E2455" s="10"/>
      <c r="F2455" s="10"/>
      <c r="G2455" s="10"/>
      <c r="H2455" s="14"/>
      <c r="I2455" s="14"/>
      <c r="J2455" s="14"/>
      <c r="K2455" s="14"/>
      <c r="L2455" s="14"/>
      <c r="M2455" s="15"/>
      <c r="N2455" s="10"/>
      <c r="O2455" s="14"/>
      <c r="P2455" s="14"/>
      <c r="Q2455" s="14"/>
      <c r="R2455" s="14"/>
      <c r="S2455" s="14"/>
      <c r="T2455" s="14"/>
      <c r="U2455" s="14"/>
      <c r="V2455" s="14"/>
      <c r="W2455" s="14"/>
      <c r="X2455" s="14"/>
      <c r="Y2455" s="14"/>
      <c r="Z2455" s="14"/>
      <c r="AA2455" s="16"/>
      <c r="AB2455" s="10"/>
      <c r="AC2455" s="10"/>
      <c r="AD2455" s="10"/>
      <c r="AE2455" s="10"/>
      <c r="AF2455" s="10"/>
      <c r="AG2455" s="10"/>
      <c r="AH2455" s="10"/>
      <c r="AI2455" s="10"/>
      <c r="AJ2455" s="10"/>
      <c r="AK2455" s="10"/>
      <c r="AL2455" s="10"/>
      <c r="AM2455" s="10"/>
      <c r="AN2455" s="10"/>
      <c r="AO2455" s="10"/>
      <c r="AP2455" s="10"/>
      <c r="AQ2455" s="10"/>
      <c r="AR2455" s="10"/>
      <c r="AS2455" s="10"/>
      <c r="AT2455" s="10"/>
      <c r="AU2455" s="10"/>
      <c r="AV2455" s="10"/>
      <c r="AW2455" s="10"/>
      <c r="AX2455" s="10"/>
      <c r="AY2455" s="10"/>
      <c r="AZ2455" s="10"/>
      <c r="BA2455" s="10"/>
      <c r="BB2455" s="10"/>
      <c r="BC2455" s="10"/>
      <c r="BD2455" s="10"/>
      <c r="BE2455" s="10"/>
      <c r="BF2455" s="10"/>
      <c r="BG2455" s="10"/>
      <c r="BH2455" s="10"/>
      <c r="BI2455" s="10"/>
      <c r="BJ2455" s="10"/>
      <c r="BK2455" s="10"/>
      <c r="BM2455" s="10"/>
    </row>
    <row r="2456" spans="1:65" ht="12.75">
      <c r="A2456" s="9"/>
      <c r="B2456" s="10"/>
      <c r="C2456" s="11"/>
      <c r="D2456" s="12"/>
      <c r="E2456" s="10"/>
      <c r="F2456" s="10"/>
      <c r="G2456" s="10"/>
      <c r="H2456" s="14"/>
      <c r="I2456" s="14"/>
      <c r="J2456" s="14"/>
      <c r="K2456" s="14"/>
      <c r="L2456" s="14"/>
      <c r="M2456" s="15"/>
      <c r="N2456" s="10"/>
      <c r="O2456" s="14"/>
      <c r="P2456" s="14"/>
      <c r="Q2456" s="14"/>
      <c r="R2456" s="14"/>
      <c r="S2456" s="14"/>
      <c r="T2456" s="14"/>
      <c r="U2456" s="14"/>
      <c r="V2456" s="14"/>
      <c r="W2456" s="14"/>
      <c r="X2456" s="14"/>
      <c r="Y2456" s="14"/>
      <c r="Z2456" s="14"/>
      <c r="AA2456" s="16"/>
      <c r="AB2456" s="10"/>
      <c r="AC2456" s="10"/>
      <c r="AD2456" s="10"/>
      <c r="AE2456" s="10"/>
      <c r="AF2456" s="10"/>
      <c r="AG2456" s="10"/>
      <c r="AH2456" s="10"/>
      <c r="AI2456" s="10"/>
      <c r="AJ2456" s="10"/>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10"/>
      <c r="BJ2456" s="10"/>
      <c r="BK2456" s="10"/>
      <c r="BM2456" s="10"/>
    </row>
    <row r="2457" spans="1:65" ht="12.75">
      <c r="A2457" s="9"/>
      <c r="B2457" s="10"/>
      <c r="C2457" s="11"/>
      <c r="D2457" s="12"/>
      <c r="E2457" s="10"/>
      <c r="F2457" s="10"/>
      <c r="G2457" s="10"/>
      <c r="H2457" s="14"/>
      <c r="I2457" s="14"/>
      <c r="J2457" s="14"/>
      <c r="K2457" s="14"/>
      <c r="L2457" s="14"/>
      <c r="M2457" s="15"/>
      <c r="N2457" s="10"/>
      <c r="O2457" s="14"/>
      <c r="P2457" s="14"/>
      <c r="Q2457" s="14"/>
      <c r="R2457" s="14"/>
      <c r="S2457" s="14"/>
      <c r="T2457" s="14"/>
      <c r="U2457" s="14"/>
      <c r="V2457" s="14"/>
      <c r="W2457" s="14"/>
      <c r="X2457" s="14"/>
      <c r="Y2457" s="14"/>
      <c r="Z2457" s="14"/>
      <c r="AA2457" s="16"/>
      <c r="AB2457" s="10"/>
      <c r="AC2457" s="10"/>
      <c r="AD2457" s="10"/>
      <c r="AE2457" s="10"/>
      <c r="AF2457" s="10"/>
      <c r="AG2457" s="10"/>
      <c r="AH2457" s="10"/>
      <c r="AI2457" s="10"/>
      <c r="AJ2457" s="10"/>
      <c r="AK2457" s="10"/>
      <c r="AL2457" s="10"/>
      <c r="AM2457" s="10"/>
      <c r="AN2457" s="10"/>
      <c r="AO2457" s="10"/>
      <c r="AP2457" s="10"/>
      <c r="AQ2457" s="10"/>
      <c r="AR2457" s="10"/>
      <c r="AS2457" s="10"/>
      <c r="AT2457" s="10"/>
      <c r="AU2457" s="10"/>
      <c r="AV2457" s="10"/>
      <c r="AW2457" s="10"/>
      <c r="AX2457" s="10"/>
      <c r="AY2457" s="10"/>
      <c r="AZ2457" s="10"/>
      <c r="BA2457" s="10"/>
      <c r="BB2457" s="10"/>
      <c r="BC2457" s="10"/>
      <c r="BD2457" s="10"/>
      <c r="BE2457" s="10"/>
      <c r="BF2457" s="10"/>
      <c r="BG2457" s="10"/>
      <c r="BH2457" s="10"/>
      <c r="BI2457" s="10"/>
      <c r="BJ2457" s="10"/>
      <c r="BK2457" s="10"/>
      <c r="BM2457" s="10"/>
    </row>
    <row r="2458" spans="1:65" ht="12.75">
      <c r="A2458" s="9"/>
      <c r="B2458" s="10"/>
      <c r="C2458" s="11"/>
      <c r="D2458" s="12"/>
      <c r="E2458" s="10"/>
      <c r="F2458" s="10"/>
      <c r="G2458" s="10"/>
      <c r="H2458" s="14"/>
      <c r="I2458" s="14"/>
      <c r="J2458" s="14"/>
      <c r="K2458" s="14"/>
      <c r="L2458" s="14"/>
      <c r="M2458" s="15"/>
      <c r="N2458" s="10"/>
      <c r="O2458" s="14"/>
      <c r="P2458" s="14"/>
      <c r="Q2458" s="14"/>
      <c r="R2458" s="14"/>
      <c r="S2458" s="14"/>
      <c r="T2458" s="14"/>
      <c r="U2458" s="14"/>
      <c r="V2458" s="14"/>
      <c r="W2458" s="14"/>
      <c r="X2458" s="14"/>
      <c r="Y2458" s="14"/>
      <c r="Z2458" s="14"/>
      <c r="AA2458" s="16"/>
      <c r="AB2458" s="10"/>
      <c r="AC2458" s="10"/>
      <c r="AD2458" s="10"/>
      <c r="AE2458" s="10"/>
      <c r="AF2458" s="10"/>
      <c r="AG2458" s="10"/>
      <c r="AH2458" s="10"/>
      <c r="AI2458" s="10"/>
      <c r="AJ2458" s="10"/>
      <c r="AK2458" s="10"/>
      <c r="AL2458" s="10"/>
      <c r="AM2458" s="10"/>
      <c r="AN2458" s="10"/>
      <c r="AO2458" s="10"/>
      <c r="AP2458" s="10"/>
      <c r="AQ2458" s="10"/>
      <c r="AR2458" s="10"/>
      <c r="AS2458" s="10"/>
      <c r="AT2458" s="10"/>
      <c r="AU2458" s="10"/>
      <c r="AV2458" s="10"/>
      <c r="AW2458" s="10"/>
      <c r="AX2458" s="10"/>
      <c r="AY2458" s="10"/>
      <c r="AZ2458" s="10"/>
      <c r="BA2458" s="10"/>
      <c r="BB2458" s="10"/>
      <c r="BC2458" s="10"/>
      <c r="BD2458" s="10"/>
      <c r="BE2458" s="10"/>
      <c r="BF2458" s="10"/>
      <c r="BG2458" s="10"/>
      <c r="BH2458" s="10"/>
      <c r="BI2458" s="10"/>
      <c r="BJ2458" s="10"/>
      <c r="BK2458" s="10"/>
      <c r="BM2458" s="10"/>
    </row>
    <row r="2459" spans="1:65" ht="12.75">
      <c r="A2459" s="9"/>
      <c r="B2459" s="10"/>
      <c r="C2459" s="11"/>
      <c r="D2459" s="12"/>
      <c r="E2459" s="10"/>
      <c r="F2459" s="10"/>
      <c r="G2459" s="10"/>
      <c r="H2459" s="14"/>
      <c r="I2459" s="14"/>
      <c r="J2459" s="14"/>
      <c r="K2459" s="14"/>
      <c r="L2459" s="14"/>
      <c r="M2459" s="15"/>
      <c r="N2459" s="10"/>
      <c r="O2459" s="14"/>
      <c r="P2459" s="14"/>
      <c r="Q2459" s="14"/>
      <c r="R2459" s="14"/>
      <c r="S2459" s="14"/>
      <c r="T2459" s="14"/>
      <c r="U2459" s="14"/>
      <c r="V2459" s="14"/>
      <c r="W2459" s="14"/>
      <c r="X2459" s="14"/>
      <c r="Y2459" s="14"/>
      <c r="Z2459" s="14"/>
      <c r="AA2459" s="16"/>
      <c r="AB2459" s="10"/>
      <c r="AC2459" s="10"/>
      <c r="AD2459" s="10"/>
      <c r="AE2459" s="10"/>
      <c r="AF2459" s="10"/>
      <c r="AG2459" s="10"/>
      <c r="AH2459" s="10"/>
      <c r="AI2459" s="10"/>
      <c r="AJ2459" s="10"/>
      <c r="AK2459" s="10"/>
      <c r="AL2459" s="10"/>
      <c r="AM2459" s="10"/>
      <c r="AN2459" s="10"/>
      <c r="AO2459" s="10"/>
      <c r="AP2459" s="10"/>
      <c r="AQ2459" s="10"/>
      <c r="AR2459" s="10"/>
      <c r="AS2459" s="10"/>
      <c r="AT2459" s="10"/>
      <c r="AU2459" s="10"/>
      <c r="AV2459" s="10"/>
      <c r="AW2459" s="10"/>
      <c r="AX2459" s="10"/>
      <c r="AY2459" s="10"/>
      <c r="AZ2459" s="10"/>
      <c r="BA2459" s="10"/>
      <c r="BB2459" s="10"/>
      <c r="BC2459" s="10"/>
      <c r="BD2459" s="10"/>
      <c r="BE2459" s="10"/>
      <c r="BF2459" s="10"/>
      <c r="BG2459" s="10"/>
      <c r="BH2459" s="10"/>
      <c r="BI2459" s="10"/>
      <c r="BJ2459" s="10"/>
      <c r="BK2459" s="10"/>
      <c r="BM2459" s="10"/>
    </row>
    <row r="2460" spans="1:65" ht="12.75">
      <c r="A2460" s="9"/>
      <c r="B2460" s="10"/>
      <c r="C2460" s="11"/>
      <c r="D2460" s="12"/>
      <c r="E2460" s="10"/>
      <c r="F2460" s="10"/>
      <c r="G2460" s="10"/>
      <c r="H2460" s="14"/>
      <c r="I2460" s="14"/>
      <c r="J2460" s="14"/>
      <c r="K2460" s="14"/>
      <c r="L2460" s="14"/>
      <c r="M2460" s="15"/>
      <c r="N2460" s="10"/>
      <c r="O2460" s="14"/>
      <c r="P2460" s="14"/>
      <c r="Q2460" s="14"/>
      <c r="R2460" s="14"/>
      <c r="S2460" s="14"/>
      <c r="T2460" s="14"/>
      <c r="U2460" s="14"/>
      <c r="V2460" s="14"/>
      <c r="W2460" s="14"/>
      <c r="X2460" s="14"/>
      <c r="Y2460" s="14"/>
      <c r="Z2460" s="14"/>
      <c r="AA2460" s="16"/>
      <c r="AB2460" s="10"/>
      <c r="AC2460" s="10"/>
      <c r="AD2460" s="10"/>
      <c r="AE2460" s="10"/>
      <c r="AF2460" s="10"/>
      <c r="AG2460" s="10"/>
      <c r="AH2460" s="10"/>
      <c r="AI2460" s="10"/>
      <c r="AJ2460" s="10"/>
      <c r="AK2460" s="10"/>
      <c r="AL2460" s="1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10"/>
      <c r="BJ2460" s="10"/>
      <c r="BK2460" s="10"/>
      <c r="BM2460" s="10"/>
    </row>
    <row r="2461" spans="1:65" ht="12.75">
      <c r="A2461" s="9"/>
      <c r="B2461" s="10"/>
      <c r="C2461" s="11"/>
      <c r="D2461" s="12"/>
      <c r="E2461" s="10"/>
      <c r="F2461" s="10"/>
      <c r="G2461" s="10"/>
      <c r="H2461" s="14"/>
      <c r="I2461" s="14"/>
      <c r="J2461" s="14"/>
      <c r="K2461" s="14"/>
      <c r="L2461" s="14"/>
      <c r="M2461" s="15"/>
      <c r="N2461" s="10"/>
      <c r="O2461" s="14"/>
      <c r="P2461" s="14"/>
      <c r="Q2461" s="14"/>
      <c r="R2461" s="14"/>
      <c r="S2461" s="14"/>
      <c r="T2461" s="14"/>
      <c r="U2461" s="14"/>
      <c r="V2461" s="14"/>
      <c r="W2461" s="14"/>
      <c r="X2461" s="14"/>
      <c r="Y2461" s="14"/>
      <c r="Z2461" s="14"/>
      <c r="AA2461" s="16"/>
      <c r="AB2461" s="10"/>
      <c r="AC2461" s="10"/>
      <c r="AD2461" s="10"/>
      <c r="AE2461" s="10"/>
      <c r="AF2461" s="10"/>
      <c r="AG2461" s="10"/>
      <c r="AH2461" s="10"/>
      <c r="AI2461" s="10"/>
      <c r="AJ2461" s="10"/>
      <c r="AK2461" s="10"/>
      <c r="AL2461" s="10"/>
      <c r="AM2461" s="10"/>
      <c r="AN2461" s="10"/>
      <c r="AO2461" s="10"/>
      <c r="AP2461" s="10"/>
      <c r="AQ2461" s="10"/>
      <c r="AR2461" s="10"/>
      <c r="AS2461" s="10"/>
      <c r="AT2461" s="10"/>
      <c r="AU2461" s="10"/>
      <c r="AV2461" s="10"/>
      <c r="AW2461" s="10"/>
      <c r="AX2461" s="10"/>
      <c r="AY2461" s="10"/>
      <c r="AZ2461" s="10"/>
      <c r="BA2461" s="10"/>
      <c r="BB2461" s="10"/>
      <c r="BC2461" s="10"/>
      <c r="BD2461" s="10"/>
      <c r="BE2461" s="10"/>
      <c r="BF2461" s="10"/>
      <c r="BG2461" s="10"/>
      <c r="BH2461" s="10"/>
      <c r="BI2461" s="10"/>
      <c r="BJ2461" s="10"/>
      <c r="BK2461" s="10"/>
      <c r="BM2461" s="10"/>
    </row>
    <row r="2462" spans="1:65" ht="12.75">
      <c r="A2462" s="9"/>
      <c r="B2462" s="10"/>
      <c r="C2462" s="11"/>
      <c r="D2462" s="12"/>
      <c r="E2462" s="10"/>
      <c r="F2462" s="10"/>
      <c r="G2462" s="10"/>
      <c r="H2462" s="14"/>
      <c r="I2462" s="14"/>
      <c r="J2462" s="14"/>
      <c r="K2462" s="14"/>
      <c r="L2462" s="14"/>
      <c r="M2462" s="15"/>
      <c r="N2462" s="10"/>
      <c r="O2462" s="14"/>
      <c r="P2462" s="14"/>
      <c r="Q2462" s="14"/>
      <c r="R2462" s="14"/>
      <c r="S2462" s="14"/>
      <c r="T2462" s="14"/>
      <c r="U2462" s="14"/>
      <c r="V2462" s="14"/>
      <c r="W2462" s="14"/>
      <c r="X2462" s="14"/>
      <c r="Y2462" s="14"/>
      <c r="Z2462" s="14"/>
      <c r="AA2462" s="16"/>
      <c r="AB2462" s="10"/>
      <c r="AC2462" s="10"/>
      <c r="AD2462" s="10"/>
      <c r="AE2462" s="10"/>
      <c r="AF2462" s="10"/>
      <c r="AG2462" s="10"/>
      <c r="AH2462" s="10"/>
      <c r="AI2462" s="10"/>
      <c r="AJ2462" s="10"/>
      <c r="AK2462" s="10"/>
      <c r="AL2462" s="10"/>
      <c r="AM2462" s="10"/>
      <c r="AN2462" s="10"/>
      <c r="AO2462" s="10"/>
      <c r="AP2462" s="10"/>
      <c r="AQ2462" s="10"/>
      <c r="AR2462" s="10"/>
      <c r="AS2462" s="10"/>
      <c r="AT2462" s="10"/>
      <c r="AU2462" s="10"/>
      <c r="AV2462" s="10"/>
      <c r="AW2462" s="10"/>
      <c r="AX2462" s="10"/>
      <c r="AY2462" s="10"/>
      <c r="AZ2462" s="10"/>
      <c r="BA2462" s="10"/>
      <c r="BB2462" s="10"/>
      <c r="BC2462" s="10"/>
      <c r="BD2462" s="10"/>
      <c r="BE2462" s="10"/>
      <c r="BF2462" s="10"/>
      <c r="BG2462" s="10"/>
      <c r="BH2462" s="10"/>
      <c r="BI2462" s="10"/>
      <c r="BJ2462" s="10"/>
      <c r="BK2462" s="10"/>
      <c r="BM2462" s="10"/>
    </row>
    <row r="2463" spans="1:65" ht="12.75">
      <c r="A2463" s="9"/>
      <c r="B2463" s="10"/>
      <c r="C2463" s="11"/>
      <c r="D2463" s="12"/>
      <c r="E2463" s="10"/>
      <c r="F2463" s="10"/>
      <c r="G2463" s="10"/>
      <c r="H2463" s="14"/>
      <c r="I2463" s="14"/>
      <c r="J2463" s="14"/>
      <c r="K2463" s="14"/>
      <c r="L2463" s="14"/>
      <c r="M2463" s="15"/>
      <c r="N2463" s="10"/>
      <c r="O2463" s="14"/>
      <c r="P2463" s="14"/>
      <c r="Q2463" s="14"/>
      <c r="R2463" s="14"/>
      <c r="S2463" s="14"/>
      <c r="T2463" s="14"/>
      <c r="U2463" s="14"/>
      <c r="V2463" s="14"/>
      <c r="W2463" s="14"/>
      <c r="X2463" s="14"/>
      <c r="Y2463" s="14"/>
      <c r="Z2463" s="14"/>
      <c r="AA2463" s="16"/>
      <c r="AB2463" s="10"/>
      <c r="AC2463" s="10"/>
      <c r="AD2463" s="10"/>
      <c r="AE2463" s="10"/>
      <c r="AF2463" s="10"/>
      <c r="AG2463" s="10"/>
      <c r="AH2463" s="10"/>
      <c r="AI2463" s="10"/>
      <c r="AJ2463" s="10"/>
      <c r="AK2463" s="10"/>
      <c r="AL2463" s="10"/>
      <c r="AM2463" s="10"/>
      <c r="AN2463" s="10"/>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10"/>
      <c r="BJ2463" s="10"/>
      <c r="BK2463" s="10"/>
      <c r="BM2463" s="10"/>
    </row>
    <row r="2464" spans="1:65" ht="12.75">
      <c r="A2464" s="9"/>
      <c r="B2464" s="10"/>
      <c r="C2464" s="11"/>
      <c r="D2464" s="12"/>
      <c r="E2464" s="10"/>
      <c r="F2464" s="10"/>
      <c r="G2464" s="10"/>
      <c r="H2464" s="14"/>
      <c r="I2464" s="14"/>
      <c r="J2464" s="14"/>
      <c r="K2464" s="14"/>
      <c r="L2464" s="14"/>
      <c r="M2464" s="15"/>
      <c r="N2464" s="10"/>
      <c r="O2464" s="14"/>
      <c r="P2464" s="14"/>
      <c r="Q2464" s="14"/>
      <c r="R2464" s="14"/>
      <c r="S2464" s="14"/>
      <c r="T2464" s="14"/>
      <c r="U2464" s="14"/>
      <c r="V2464" s="14"/>
      <c r="W2464" s="14"/>
      <c r="X2464" s="14"/>
      <c r="Y2464" s="14"/>
      <c r="Z2464" s="14"/>
      <c r="AA2464" s="16"/>
      <c r="AB2464" s="10"/>
      <c r="AC2464" s="10"/>
      <c r="AD2464" s="10"/>
      <c r="AE2464" s="10"/>
      <c r="AF2464" s="10"/>
      <c r="AG2464" s="10"/>
      <c r="AH2464" s="10"/>
      <c r="AI2464" s="10"/>
      <c r="AJ2464" s="10"/>
      <c r="AK2464" s="10"/>
      <c r="AL2464" s="1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c r="BM2464" s="10"/>
    </row>
    <row r="2465" spans="1:65" ht="12.75">
      <c r="A2465" s="9"/>
      <c r="B2465" s="10"/>
      <c r="C2465" s="11"/>
      <c r="D2465" s="12"/>
      <c r="E2465" s="10"/>
      <c r="F2465" s="10"/>
      <c r="G2465" s="10"/>
      <c r="H2465" s="14"/>
      <c r="I2465" s="14"/>
      <c r="J2465" s="14"/>
      <c r="K2465" s="14"/>
      <c r="L2465" s="14"/>
      <c r="M2465" s="15"/>
      <c r="N2465" s="10"/>
      <c r="O2465" s="14"/>
      <c r="P2465" s="14"/>
      <c r="Q2465" s="14"/>
      <c r="R2465" s="14"/>
      <c r="S2465" s="14"/>
      <c r="T2465" s="14"/>
      <c r="U2465" s="14"/>
      <c r="V2465" s="14"/>
      <c r="W2465" s="14"/>
      <c r="X2465" s="14"/>
      <c r="Y2465" s="14"/>
      <c r="Z2465" s="14"/>
      <c r="AA2465" s="16"/>
      <c r="AB2465" s="10"/>
      <c r="AC2465" s="10"/>
      <c r="AD2465" s="10"/>
      <c r="AE2465" s="10"/>
      <c r="AF2465" s="10"/>
      <c r="AG2465" s="10"/>
      <c r="AH2465" s="10"/>
      <c r="AI2465" s="10"/>
      <c r="AJ2465" s="10"/>
      <c r="AK2465" s="10"/>
      <c r="AL2465" s="10"/>
      <c r="AM2465" s="10"/>
      <c r="AN2465" s="10"/>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10"/>
      <c r="BJ2465" s="10"/>
      <c r="BK2465" s="10"/>
      <c r="BM2465" s="10"/>
    </row>
    <row r="2466" spans="1:65" ht="12.75">
      <c r="A2466" s="9"/>
      <c r="B2466" s="10"/>
      <c r="C2466" s="11"/>
      <c r="D2466" s="12"/>
      <c r="E2466" s="10"/>
      <c r="F2466" s="10"/>
      <c r="G2466" s="10"/>
      <c r="H2466" s="14"/>
      <c r="I2466" s="14"/>
      <c r="J2466" s="14"/>
      <c r="K2466" s="14"/>
      <c r="L2466" s="14"/>
      <c r="M2466" s="15"/>
      <c r="N2466" s="10"/>
      <c r="O2466" s="14"/>
      <c r="P2466" s="14"/>
      <c r="Q2466" s="14"/>
      <c r="R2466" s="14"/>
      <c r="S2466" s="14"/>
      <c r="T2466" s="14"/>
      <c r="U2466" s="14"/>
      <c r="V2466" s="14"/>
      <c r="W2466" s="14"/>
      <c r="X2466" s="14"/>
      <c r="Y2466" s="14"/>
      <c r="Z2466" s="14"/>
      <c r="AA2466" s="16"/>
      <c r="AB2466" s="10"/>
      <c r="AC2466" s="10"/>
      <c r="AD2466" s="10"/>
      <c r="AE2466" s="10"/>
      <c r="AF2466" s="10"/>
      <c r="AG2466" s="10"/>
      <c r="AH2466" s="10"/>
      <c r="AI2466" s="10"/>
      <c r="AJ2466" s="10"/>
      <c r="AK2466" s="10"/>
      <c r="AL2466" s="10"/>
      <c r="AM2466" s="10"/>
      <c r="AN2466" s="10"/>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10"/>
      <c r="BJ2466" s="10"/>
      <c r="BK2466" s="10"/>
      <c r="BM2466" s="10"/>
    </row>
    <row r="2467" spans="1:65" ht="12.75">
      <c r="A2467" s="9"/>
      <c r="B2467" s="10"/>
      <c r="C2467" s="11"/>
      <c r="D2467" s="12"/>
      <c r="E2467" s="10"/>
      <c r="F2467" s="10"/>
      <c r="G2467" s="10"/>
      <c r="H2467" s="14"/>
      <c r="I2467" s="14"/>
      <c r="J2467" s="14"/>
      <c r="K2467" s="14"/>
      <c r="L2467" s="14"/>
      <c r="M2467" s="15"/>
      <c r="N2467" s="10"/>
      <c r="O2467" s="14"/>
      <c r="P2467" s="14"/>
      <c r="Q2467" s="14"/>
      <c r="R2467" s="14"/>
      <c r="S2467" s="14"/>
      <c r="T2467" s="14"/>
      <c r="U2467" s="14"/>
      <c r="V2467" s="14"/>
      <c r="W2467" s="14"/>
      <c r="X2467" s="14"/>
      <c r="Y2467" s="14"/>
      <c r="Z2467" s="14"/>
      <c r="AA2467" s="16"/>
      <c r="AB2467" s="10"/>
      <c r="AC2467" s="10"/>
      <c r="AD2467" s="10"/>
      <c r="AE2467" s="10"/>
      <c r="AF2467" s="10"/>
      <c r="AG2467" s="10"/>
      <c r="AH2467" s="10"/>
      <c r="AI2467" s="10"/>
      <c r="AJ2467" s="10"/>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10"/>
      <c r="BJ2467" s="10"/>
      <c r="BK2467" s="10"/>
      <c r="BM2467" s="10"/>
    </row>
    <row r="2468" spans="1:65" ht="12.75">
      <c r="A2468" s="9"/>
      <c r="B2468" s="10"/>
      <c r="C2468" s="11"/>
      <c r="D2468" s="12"/>
      <c r="E2468" s="10"/>
      <c r="F2468" s="10"/>
      <c r="G2468" s="10"/>
      <c r="H2468" s="14"/>
      <c r="I2468" s="14"/>
      <c r="J2468" s="14"/>
      <c r="K2468" s="14"/>
      <c r="L2468" s="14"/>
      <c r="M2468" s="15"/>
      <c r="N2468" s="10"/>
      <c r="O2468" s="14"/>
      <c r="P2468" s="14"/>
      <c r="Q2468" s="14"/>
      <c r="R2468" s="14"/>
      <c r="S2468" s="14"/>
      <c r="T2468" s="14"/>
      <c r="U2468" s="14"/>
      <c r="V2468" s="14"/>
      <c r="W2468" s="14"/>
      <c r="X2468" s="14"/>
      <c r="Y2468" s="14"/>
      <c r="Z2468" s="14"/>
      <c r="AA2468" s="16"/>
      <c r="AB2468" s="10"/>
      <c r="AC2468" s="10"/>
      <c r="AD2468" s="10"/>
      <c r="AE2468" s="10"/>
      <c r="AF2468" s="10"/>
      <c r="AG2468" s="10"/>
      <c r="AH2468" s="10"/>
      <c r="AI2468" s="10"/>
      <c r="AJ2468" s="10"/>
      <c r="AK2468" s="10"/>
      <c r="AL2468" s="1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10"/>
      <c r="BJ2468" s="10"/>
      <c r="BK2468" s="10"/>
      <c r="BM2468" s="10"/>
    </row>
    <row r="2469" spans="1:65" ht="12.75">
      <c r="A2469" s="9"/>
      <c r="B2469" s="10"/>
      <c r="C2469" s="11"/>
      <c r="D2469" s="12"/>
      <c r="E2469" s="10"/>
      <c r="F2469" s="10"/>
      <c r="G2469" s="10"/>
      <c r="H2469" s="14"/>
      <c r="I2469" s="14"/>
      <c r="J2469" s="14"/>
      <c r="K2469" s="14"/>
      <c r="L2469" s="14"/>
      <c r="M2469" s="15"/>
      <c r="N2469" s="10"/>
      <c r="O2469" s="14"/>
      <c r="P2469" s="14"/>
      <c r="Q2469" s="14"/>
      <c r="R2469" s="14"/>
      <c r="S2469" s="14"/>
      <c r="T2469" s="14"/>
      <c r="U2469" s="14"/>
      <c r="V2469" s="14"/>
      <c r="W2469" s="14"/>
      <c r="X2469" s="14"/>
      <c r="Y2469" s="14"/>
      <c r="Z2469" s="14"/>
      <c r="AA2469" s="16"/>
      <c r="AB2469" s="10"/>
      <c r="AC2469" s="10"/>
      <c r="AD2469" s="10"/>
      <c r="AE2469" s="10"/>
      <c r="AF2469" s="10"/>
      <c r="AG2469" s="10"/>
      <c r="AH2469" s="10"/>
      <c r="AI2469" s="10"/>
      <c r="AJ2469" s="10"/>
      <c r="AK2469" s="10"/>
      <c r="AL2469" s="10"/>
      <c r="AM2469" s="10"/>
      <c r="AN2469" s="10"/>
      <c r="AO2469" s="10"/>
      <c r="AP2469" s="10"/>
      <c r="AQ2469" s="10"/>
      <c r="AR2469" s="10"/>
      <c r="AS2469" s="10"/>
      <c r="AT2469" s="10"/>
      <c r="AU2469" s="10"/>
      <c r="AV2469" s="10"/>
      <c r="AW2469" s="10"/>
      <c r="AX2469" s="10"/>
      <c r="AY2469" s="10"/>
      <c r="AZ2469" s="10"/>
      <c r="BA2469" s="10"/>
      <c r="BB2469" s="10"/>
      <c r="BC2469" s="10"/>
      <c r="BD2469" s="10"/>
      <c r="BE2469" s="10"/>
      <c r="BF2469" s="10"/>
      <c r="BG2469" s="10"/>
      <c r="BH2469" s="10"/>
      <c r="BI2469" s="10"/>
      <c r="BJ2469" s="10"/>
      <c r="BK2469" s="10"/>
      <c r="BM2469" s="10"/>
    </row>
    <row r="2470" spans="1:65" ht="12.75">
      <c r="A2470" s="9"/>
      <c r="B2470" s="10"/>
      <c r="C2470" s="11"/>
      <c r="D2470" s="12"/>
      <c r="E2470" s="10"/>
      <c r="F2470" s="10"/>
      <c r="G2470" s="10"/>
      <c r="H2470" s="14"/>
      <c r="I2470" s="14"/>
      <c r="J2470" s="14"/>
      <c r="K2470" s="14"/>
      <c r="L2470" s="14"/>
      <c r="M2470" s="15"/>
      <c r="N2470" s="10"/>
      <c r="O2470" s="14"/>
      <c r="P2470" s="14"/>
      <c r="Q2470" s="14"/>
      <c r="R2470" s="14"/>
      <c r="S2470" s="14"/>
      <c r="T2470" s="14"/>
      <c r="U2470" s="14"/>
      <c r="V2470" s="14"/>
      <c r="W2470" s="14"/>
      <c r="X2470" s="14"/>
      <c r="Y2470" s="14"/>
      <c r="Z2470" s="14"/>
      <c r="AA2470" s="16"/>
      <c r="AB2470" s="10"/>
      <c r="AC2470" s="10"/>
      <c r="AD2470" s="10"/>
      <c r="AE2470" s="10"/>
      <c r="AF2470" s="10"/>
      <c r="AG2470" s="10"/>
      <c r="AH2470" s="10"/>
      <c r="AI2470" s="10"/>
      <c r="AJ2470" s="10"/>
      <c r="AK2470" s="10"/>
      <c r="AL2470" s="10"/>
      <c r="AM2470" s="10"/>
      <c r="AN2470" s="10"/>
      <c r="AO2470" s="10"/>
      <c r="AP2470" s="10"/>
      <c r="AQ2470" s="10"/>
      <c r="AR2470" s="10"/>
      <c r="AS2470" s="10"/>
      <c r="AT2470" s="10"/>
      <c r="AU2470" s="10"/>
      <c r="AV2470" s="10"/>
      <c r="AW2470" s="10"/>
      <c r="AX2470" s="10"/>
      <c r="AY2470" s="10"/>
      <c r="AZ2470" s="10"/>
      <c r="BA2470" s="10"/>
      <c r="BB2470" s="10"/>
      <c r="BC2470" s="10"/>
      <c r="BD2470" s="10"/>
      <c r="BE2470" s="10"/>
      <c r="BF2470" s="10"/>
      <c r="BG2470" s="10"/>
      <c r="BH2470" s="10"/>
      <c r="BI2470" s="10"/>
      <c r="BJ2470" s="10"/>
      <c r="BK2470" s="10"/>
      <c r="BM2470" s="10"/>
    </row>
    <row r="2471" spans="1:65" ht="12.75">
      <c r="A2471" s="9"/>
      <c r="B2471" s="10"/>
      <c r="C2471" s="11"/>
      <c r="D2471" s="12"/>
      <c r="E2471" s="10"/>
      <c r="F2471" s="10"/>
      <c r="G2471" s="10"/>
      <c r="H2471" s="14"/>
      <c r="I2471" s="14"/>
      <c r="J2471" s="14"/>
      <c r="K2471" s="14"/>
      <c r="L2471" s="14"/>
      <c r="M2471" s="15"/>
      <c r="N2471" s="10"/>
      <c r="O2471" s="14"/>
      <c r="P2471" s="14"/>
      <c r="Q2471" s="14"/>
      <c r="R2471" s="14"/>
      <c r="S2471" s="14"/>
      <c r="T2471" s="14"/>
      <c r="U2471" s="14"/>
      <c r="V2471" s="14"/>
      <c r="W2471" s="14"/>
      <c r="X2471" s="14"/>
      <c r="Y2471" s="14"/>
      <c r="Z2471" s="14"/>
      <c r="AA2471" s="16"/>
      <c r="AB2471" s="10"/>
      <c r="AC2471" s="10"/>
      <c r="AD2471" s="10"/>
      <c r="AE2471" s="10"/>
      <c r="AF2471" s="10"/>
      <c r="AG2471" s="10"/>
      <c r="AH2471" s="10"/>
      <c r="AI2471" s="10"/>
      <c r="AJ2471" s="10"/>
      <c r="AK2471" s="10"/>
      <c r="AL2471" s="10"/>
      <c r="AM2471" s="10"/>
      <c r="AN2471" s="10"/>
      <c r="AO2471" s="10"/>
      <c r="AP2471" s="10"/>
      <c r="AQ2471" s="10"/>
      <c r="AR2471" s="10"/>
      <c r="AS2471" s="10"/>
      <c r="AT2471" s="10"/>
      <c r="AU2471" s="10"/>
      <c r="AV2471" s="10"/>
      <c r="AW2471" s="10"/>
      <c r="AX2471" s="10"/>
      <c r="AY2471" s="10"/>
      <c r="AZ2471" s="10"/>
      <c r="BA2471" s="10"/>
      <c r="BB2471" s="10"/>
      <c r="BC2471" s="10"/>
      <c r="BD2471" s="10"/>
      <c r="BE2471" s="10"/>
      <c r="BF2471" s="10"/>
      <c r="BG2471" s="10"/>
      <c r="BH2471" s="10"/>
      <c r="BI2471" s="10"/>
      <c r="BJ2471" s="10"/>
      <c r="BK2471" s="10"/>
      <c r="BM2471" s="10"/>
    </row>
    <row r="2472" spans="1:65" ht="12.75">
      <c r="A2472" s="9"/>
      <c r="B2472" s="10"/>
      <c r="C2472" s="11"/>
      <c r="D2472" s="12"/>
      <c r="E2472" s="10"/>
      <c r="F2472" s="10"/>
      <c r="G2472" s="10"/>
      <c r="H2472" s="14"/>
      <c r="I2472" s="14"/>
      <c r="J2472" s="14"/>
      <c r="K2472" s="14"/>
      <c r="L2472" s="14"/>
      <c r="M2472" s="15"/>
      <c r="N2472" s="10"/>
      <c r="O2472" s="14"/>
      <c r="P2472" s="14"/>
      <c r="Q2472" s="14"/>
      <c r="R2472" s="14"/>
      <c r="S2472" s="14"/>
      <c r="T2472" s="14"/>
      <c r="U2472" s="14"/>
      <c r="V2472" s="14"/>
      <c r="W2472" s="14"/>
      <c r="X2472" s="14"/>
      <c r="Y2472" s="14"/>
      <c r="Z2472" s="14"/>
      <c r="AA2472" s="16"/>
      <c r="AB2472" s="10"/>
      <c r="AC2472" s="10"/>
      <c r="AD2472" s="10"/>
      <c r="AE2472" s="10"/>
      <c r="AF2472" s="10"/>
      <c r="AG2472" s="10"/>
      <c r="AH2472" s="10"/>
      <c r="AI2472" s="10"/>
      <c r="AJ2472" s="10"/>
      <c r="AK2472" s="10"/>
      <c r="AL2472" s="10"/>
      <c r="AM2472" s="10"/>
      <c r="AN2472" s="10"/>
      <c r="AO2472" s="10"/>
      <c r="AP2472" s="10"/>
      <c r="AQ2472" s="10"/>
      <c r="AR2472" s="10"/>
      <c r="AS2472" s="10"/>
      <c r="AT2472" s="10"/>
      <c r="AU2472" s="10"/>
      <c r="AV2472" s="10"/>
      <c r="AW2472" s="10"/>
      <c r="AX2472" s="10"/>
      <c r="AY2472" s="10"/>
      <c r="AZ2472" s="10"/>
      <c r="BA2472" s="10"/>
      <c r="BB2472" s="10"/>
      <c r="BC2472" s="10"/>
      <c r="BD2472" s="10"/>
      <c r="BE2472" s="10"/>
      <c r="BF2472" s="10"/>
      <c r="BG2472" s="10"/>
      <c r="BH2472" s="10"/>
      <c r="BI2472" s="10"/>
      <c r="BJ2472" s="10"/>
      <c r="BK2472" s="10"/>
      <c r="BM2472" s="10"/>
    </row>
    <row r="2473" spans="1:65" ht="12.75">
      <c r="A2473" s="9"/>
      <c r="B2473" s="10"/>
      <c r="C2473" s="11"/>
      <c r="D2473" s="12"/>
      <c r="E2473" s="10"/>
      <c r="F2473" s="10"/>
      <c r="G2473" s="10"/>
      <c r="H2473" s="14"/>
      <c r="I2473" s="14"/>
      <c r="J2473" s="14"/>
      <c r="K2473" s="14"/>
      <c r="L2473" s="14"/>
      <c r="M2473" s="15"/>
      <c r="N2473" s="10"/>
      <c r="O2473" s="14"/>
      <c r="P2473" s="14"/>
      <c r="Q2473" s="14"/>
      <c r="R2473" s="14"/>
      <c r="S2473" s="14"/>
      <c r="T2473" s="14"/>
      <c r="U2473" s="14"/>
      <c r="V2473" s="14"/>
      <c r="W2473" s="14"/>
      <c r="X2473" s="14"/>
      <c r="Y2473" s="14"/>
      <c r="Z2473" s="14"/>
      <c r="AA2473" s="16"/>
      <c r="AB2473" s="10"/>
      <c r="AC2473" s="10"/>
      <c r="AD2473" s="10"/>
      <c r="AE2473" s="10"/>
      <c r="AF2473" s="10"/>
      <c r="AG2473" s="10"/>
      <c r="AH2473" s="10"/>
      <c r="AI2473" s="10"/>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M2473" s="10"/>
    </row>
    <row r="2474" spans="1:65" ht="12.75">
      <c r="A2474" s="9"/>
      <c r="B2474" s="10"/>
      <c r="C2474" s="11"/>
      <c r="D2474" s="12"/>
      <c r="E2474" s="10"/>
      <c r="F2474" s="10"/>
      <c r="G2474" s="10"/>
      <c r="H2474" s="14"/>
      <c r="I2474" s="14"/>
      <c r="J2474" s="14"/>
      <c r="K2474" s="14"/>
      <c r="L2474" s="14"/>
      <c r="M2474" s="15"/>
      <c r="N2474" s="10"/>
      <c r="O2474" s="14"/>
      <c r="P2474" s="14"/>
      <c r="Q2474" s="14"/>
      <c r="R2474" s="14"/>
      <c r="S2474" s="14"/>
      <c r="T2474" s="14"/>
      <c r="U2474" s="14"/>
      <c r="V2474" s="14"/>
      <c r="W2474" s="14"/>
      <c r="X2474" s="14"/>
      <c r="Y2474" s="14"/>
      <c r="Z2474" s="14"/>
      <c r="AA2474" s="16"/>
      <c r="AB2474" s="10"/>
      <c r="AC2474" s="10"/>
      <c r="AD2474" s="10"/>
      <c r="AE2474" s="10"/>
      <c r="AF2474" s="10"/>
      <c r="AG2474" s="10"/>
      <c r="AH2474" s="10"/>
      <c r="AI2474" s="10"/>
      <c r="AJ2474" s="10"/>
      <c r="AK2474" s="10"/>
      <c r="AL2474" s="10"/>
      <c r="AM2474" s="10"/>
      <c r="AN2474" s="10"/>
      <c r="AO2474" s="10"/>
      <c r="AP2474" s="10"/>
      <c r="AQ2474" s="10"/>
      <c r="AR2474" s="10"/>
      <c r="AS2474" s="10"/>
      <c r="AT2474" s="10"/>
      <c r="AU2474" s="10"/>
      <c r="AV2474" s="10"/>
      <c r="AW2474" s="10"/>
      <c r="AX2474" s="10"/>
      <c r="AY2474" s="10"/>
      <c r="AZ2474" s="10"/>
      <c r="BA2474" s="10"/>
      <c r="BB2474" s="10"/>
      <c r="BC2474" s="10"/>
      <c r="BD2474" s="10"/>
      <c r="BE2474" s="10"/>
      <c r="BF2474" s="10"/>
      <c r="BG2474" s="10"/>
      <c r="BH2474" s="10"/>
      <c r="BI2474" s="10"/>
      <c r="BJ2474" s="10"/>
      <c r="BK2474" s="10"/>
      <c r="BM2474" s="10"/>
    </row>
    <row r="2475" spans="1:65" ht="12.75">
      <c r="A2475" s="9"/>
      <c r="B2475" s="10"/>
      <c r="C2475" s="11"/>
      <c r="D2475" s="12"/>
      <c r="E2475" s="10"/>
      <c r="F2475" s="10"/>
      <c r="G2475" s="10"/>
      <c r="H2475" s="14"/>
      <c r="I2475" s="14"/>
      <c r="J2475" s="14"/>
      <c r="K2475" s="14"/>
      <c r="L2475" s="14"/>
      <c r="M2475" s="15"/>
      <c r="N2475" s="10"/>
      <c r="O2475" s="14"/>
      <c r="P2475" s="14"/>
      <c r="Q2475" s="14"/>
      <c r="R2475" s="14"/>
      <c r="S2475" s="14"/>
      <c r="T2475" s="14"/>
      <c r="U2475" s="14"/>
      <c r="V2475" s="14"/>
      <c r="W2475" s="14"/>
      <c r="X2475" s="14"/>
      <c r="Y2475" s="14"/>
      <c r="Z2475" s="14"/>
      <c r="AA2475" s="16"/>
      <c r="AB2475" s="10"/>
      <c r="AC2475" s="10"/>
      <c r="AD2475" s="10"/>
      <c r="AE2475" s="10"/>
      <c r="AF2475" s="10"/>
      <c r="AG2475" s="10"/>
      <c r="AH2475" s="10"/>
      <c r="AI2475" s="10"/>
      <c r="AJ2475" s="10"/>
      <c r="AK2475" s="10"/>
      <c r="AL2475" s="10"/>
      <c r="AM2475" s="10"/>
      <c r="AN2475" s="10"/>
      <c r="AO2475" s="10"/>
      <c r="AP2475" s="10"/>
      <c r="AQ2475" s="10"/>
      <c r="AR2475" s="10"/>
      <c r="AS2475" s="10"/>
      <c r="AT2475" s="10"/>
      <c r="AU2475" s="10"/>
      <c r="AV2475" s="10"/>
      <c r="AW2475" s="10"/>
      <c r="AX2475" s="10"/>
      <c r="AY2475" s="10"/>
      <c r="AZ2475" s="10"/>
      <c r="BA2475" s="10"/>
      <c r="BB2475" s="10"/>
      <c r="BC2475" s="10"/>
      <c r="BD2475" s="10"/>
      <c r="BE2475" s="10"/>
      <c r="BF2475" s="10"/>
      <c r="BG2475" s="10"/>
      <c r="BH2475" s="10"/>
      <c r="BI2475" s="10"/>
      <c r="BJ2475" s="10"/>
      <c r="BK2475" s="10"/>
      <c r="BM2475" s="10"/>
    </row>
    <row r="2476" spans="1:65" ht="12.75">
      <c r="A2476" s="9"/>
      <c r="B2476" s="10"/>
      <c r="C2476" s="11"/>
      <c r="D2476" s="12"/>
      <c r="E2476" s="10"/>
      <c r="F2476" s="10"/>
      <c r="G2476" s="10"/>
      <c r="H2476" s="14"/>
      <c r="I2476" s="14"/>
      <c r="J2476" s="14"/>
      <c r="K2476" s="14"/>
      <c r="L2476" s="14"/>
      <c r="M2476" s="15"/>
      <c r="N2476" s="10"/>
      <c r="O2476" s="14"/>
      <c r="P2476" s="14"/>
      <c r="Q2476" s="14"/>
      <c r="R2476" s="14"/>
      <c r="S2476" s="14"/>
      <c r="T2476" s="14"/>
      <c r="U2476" s="14"/>
      <c r="V2476" s="14"/>
      <c r="W2476" s="14"/>
      <c r="X2476" s="14"/>
      <c r="Y2476" s="14"/>
      <c r="Z2476" s="14"/>
      <c r="AA2476" s="16"/>
      <c r="AB2476" s="10"/>
      <c r="AC2476" s="10"/>
      <c r="AD2476" s="10"/>
      <c r="AE2476" s="10"/>
      <c r="AF2476" s="10"/>
      <c r="AG2476" s="10"/>
      <c r="AH2476" s="10"/>
      <c r="AI2476" s="10"/>
      <c r="AJ2476" s="10"/>
      <c r="AK2476" s="10"/>
      <c r="AL2476" s="10"/>
      <c r="AM2476" s="10"/>
      <c r="AN2476" s="10"/>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10"/>
      <c r="BK2476" s="10"/>
      <c r="BM2476" s="10"/>
    </row>
    <row r="2477" spans="1:65" ht="12.75">
      <c r="A2477" s="9"/>
      <c r="B2477" s="10"/>
      <c r="C2477" s="11"/>
      <c r="D2477" s="12"/>
      <c r="E2477" s="10"/>
      <c r="F2477" s="10"/>
      <c r="G2477" s="10"/>
      <c r="H2477" s="14"/>
      <c r="I2477" s="14"/>
      <c r="J2477" s="14"/>
      <c r="K2477" s="14"/>
      <c r="L2477" s="14"/>
      <c r="M2477" s="15"/>
      <c r="N2477" s="10"/>
      <c r="O2477" s="14"/>
      <c r="P2477" s="14"/>
      <c r="Q2477" s="14"/>
      <c r="R2477" s="14"/>
      <c r="S2477" s="14"/>
      <c r="T2477" s="14"/>
      <c r="U2477" s="14"/>
      <c r="V2477" s="14"/>
      <c r="W2477" s="14"/>
      <c r="X2477" s="14"/>
      <c r="Y2477" s="14"/>
      <c r="Z2477" s="14"/>
      <c r="AA2477" s="16"/>
      <c r="AB2477" s="10"/>
      <c r="AC2477" s="10"/>
      <c r="AD2477" s="10"/>
      <c r="AE2477" s="10"/>
      <c r="AF2477" s="10"/>
      <c r="AG2477" s="10"/>
      <c r="AH2477" s="10"/>
      <c r="AI2477" s="10"/>
      <c r="AJ2477" s="10"/>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M2477" s="10"/>
    </row>
    <row r="2478" spans="1:65" ht="12.75">
      <c r="A2478" s="9"/>
      <c r="B2478" s="10"/>
      <c r="C2478" s="11"/>
      <c r="D2478" s="12"/>
      <c r="E2478" s="10"/>
      <c r="F2478" s="10"/>
      <c r="G2478" s="10"/>
      <c r="H2478" s="14"/>
      <c r="I2478" s="14"/>
      <c r="J2478" s="14"/>
      <c r="K2478" s="14"/>
      <c r="L2478" s="14"/>
      <c r="M2478" s="15"/>
      <c r="N2478" s="10"/>
      <c r="O2478" s="14"/>
      <c r="P2478" s="14"/>
      <c r="Q2478" s="14"/>
      <c r="R2478" s="14"/>
      <c r="S2478" s="14"/>
      <c r="T2478" s="14"/>
      <c r="U2478" s="14"/>
      <c r="V2478" s="14"/>
      <c r="W2478" s="14"/>
      <c r="X2478" s="14"/>
      <c r="Y2478" s="14"/>
      <c r="Z2478" s="14"/>
      <c r="AA2478" s="16"/>
      <c r="AB2478" s="10"/>
      <c r="AC2478" s="10"/>
      <c r="AD2478" s="10"/>
      <c r="AE2478" s="10"/>
      <c r="AF2478" s="10"/>
      <c r="AG2478" s="10"/>
      <c r="AH2478" s="10"/>
      <c r="AI2478" s="10"/>
      <c r="AJ2478" s="10"/>
      <c r="AK2478" s="10"/>
      <c r="AL2478" s="10"/>
      <c r="AM2478" s="10"/>
      <c r="AN2478" s="10"/>
      <c r="AO2478" s="10"/>
      <c r="AP2478" s="10"/>
      <c r="AQ2478" s="10"/>
      <c r="AR2478" s="10"/>
      <c r="AS2478" s="10"/>
      <c r="AT2478" s="10"/>
      <c r="AU2478" s="10"/>
      <c r="AV2478" s="10"/>
      <c r="AW2478" s="10"/>
      <c r="AX2478" s="10"/>
      <c r="AY2478" s="10"/>
      <c r="AZ2478" s="10"/>
      <c r="BA2478" s="10"/>
      <c r="BB2478" s="10"/>
      <c r="BC2478" s="10"/>
      <c r="BD2478" s="10"/>
      <c r="BE2478" s="10"/>
      <c r="BF2478" s="10"/>
      <c r="BG2478" s="10"/>
      <c r="BH2478" s="10"/>
      <c r="BI2478" s="10"/>
      <c r="BJ2478" s="10"/>
      <c r="BK2478" s="10"/>
      <c r="BM2478" s="10"/>
    </row>
    <row r="2479" spans="1:65" ht="12.75">
      <c r="A2479" s="9"/>
      <c r="B2479" s="10"/>
      <c r="C2479" s="11"/>
      <c r="D2479" s="12"/>
      <c r="E2479" s="10"/>
      <c r="F2479" s="10"/>
      <c r="G2479" s="10"/>
      <c r="H2479" s="14"/>
      <c r="I2479" s="14"/>
      <c r="J2479" s="14"/>
      <c r="K2479" s="14"/>
      <c r="L2479" s="14"/>
      <c r="M2479" s="15"/>
      <c r="N2479" s="10"/>
      <c r="O2479" s="14"/>
      <c r="P2479" s="14"/>
      <c r="Q2479" s="14"/>
      <c r="R2479" s="14"/>
      <c r="S2479" s="14"/>
      <c r="T2479" s="14"/>
      <c r="U2479" s="14"/>
      <c r="V2479" s="14"/>
      <c r="W2479" s="14"/>
      <c r="X2479" s="14"/>
      <c r="Y2479" s="14"/>
      <c r="Z2479" s="14"/>
      <c r="AA2479" s="16"/>
      <c r="AB2479" s="10"/>
      <c r="AC2479" s="10"/>
      <c r="AD2479" s="10"/>
      <c r="AE2479" s="10"/>
      <c r="AF2479" s="10"/>
      <c r="AG2479" s="10"/>
      <c r="AH2479" s="10"/>
      <c r="AI2479" s="10"/>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10"/>
      <c r="BJ2479" s="10"/>
      <c r="BK2479" s="10"/>
      <c r="BM2479" s="10"/>
    </row>
    <row r="2480" spans="1:65" ht="12.75">
      <c r="A2480" s="9"/>
      <c r="B2480" s="10"/>
      <c r="C2480" s="11"/>
      <c r="D2480" s="12"/>
      <c r="E2480" s="10"/>
      <c r="F2480" s="10"/>
      <c r="G2480" s="10"/>
      <c r="H2480" s="14"/>
      <c r="I2480" s="14"/>
      <c r="J2480" s="14"/>
      <c r="K2480" s="14"/>
      <c r="L2480" s="14"/>
      <c r="M2480" s="15"/>
      <c r="N2480" s="10"/>
      <c r="O2480" s="14"/>
      <c r="P2480" s="14"/>
      <c r="Q2480" s="14"/>
      <c r="R2480" s="14"/>
      <c r="S2480" s="14"/>
      <c r="T2480" s="14"/>
      <c r="U2480" s="14"/>
      <c r="V2480" s="14"/>
      <c r="W2480" s="14"/>
      <c r="X2480" s="14"/>
      <c r="Y2480" s="14"/>
      <c r="Z2480" s="14"/>
      <c r="AA2480" s="16"/>
      <c r="AB2480" s="10"/>
      <c r="AC2480" s="10"/>
      <c r="AD2480" s="10"/>
      <c r="AE2480" s="10"/>
      <c r="AF2480" s="10"/>
      <c r="AG2480" s="10"/>
      <c r="AH2480" s="10"/>
      <c r="AI2480" s="10"/>
      <c r="AJ2480" s="10"/>
      <c r="AK2480" s="10"/>
      <c r="AL2480" s="10"/>
      <c r="AM2480" s="10"/>
      <c r="AN2480" s="10"/>
      <c r="AO2480" s="10"/>
      <c r="AP2480" s="10"/>
      <c r="AQ2480" s="10"/>
      <c r="AR2480" s="10"/>
      <c r="AS2480" s="10"/>
      <c r="AT2480" s="10"/>
      <c r="AU2480" s="10"/>
      <c r="AV2480" s="10"/>
      <c r="AW2480" s="10"/>
      <c r="AX2480" s="10"/>
      <c r="AY2480" s="10"/>
      <c r="AZ2480" s="10"/>
      <c r="BA2480" s="10"/>
      <c r="BB2480" s="10"/>
      <c r="BC2480" s="10"/>
      <c r="BD2480" s="10"/>
      <c r="BE2480" s="10"/>
      <c r="BF2480" s="10"/>
      <c r="BG2480" s="10"/>
      <c r="BH2480" s="10"/>
      <c r="BI2480" s="10"/>
      <c r="BJ2480" s="10"/>
      <c r="BK2480" s="10"/>
      <c r="BM2480" s="10"/>
    </row>
    <row r="2481" spans="1:65" ht="12.75">
      <c r="A2481" s="9"/>
      <c r="B2481" s="10"/>
      <c r="C2481" s="11"/>
      <c r="D2481" s="12"/>
      <c r="E2481" s="10"/>
      <c r="F2481" s="10"/>
      <c r="G2481" s="10"/>
      <c r="H2481" s="14"/>
      <c r="I2481" s="14"/>
      <c r="J2481" s="14"/>
      <c r="K2481" s="14"/>
      <c r="L2481" s="14"/>
      <c r="M2481" s="15"/>
      <c r="N2481" s="10"/>
      <c r="O2481" s="14"/>
      <c r="P2481" s="14"/>
      <c r="Q2481" s="14"/>
      <c r="R2481" s="14"/>
      <c r="S2481" s="14"/>
      <c r="T2481" s="14"/>
      <c r="U2481" s="14"/>
      <c r="V2481" s="14"/>
      <c r="W2481" s="14"/>
      <c r="X2481" s="14"/>
      <c r="Y2481" s="14"/>
      <c r="Z2481" s="14"/>
      <c r="AA2481" s="16"/>
      <c r="AB2481" s="10"/>
      <c r="AC2481" s="10"/>
      <c r="AD2481" s="10"/>
      <c r="AE2481" s="10"/>
      <c r="AF2481" s="10"/>
      <c r="AG2481" s="10"/>
      <c r="AH2481" s="10"/>
      <c r="AI2481" s="10"/>
      <c r="AJ2481" s="10"/>
      <c r="AK2481" s="10"/>
      <c r="AL2481" s="10"/>
      <c r="AM2481" s="10"/>
      <c r="AN2481" s="10"/>
      <c r="AO2481" s="10"/>
      <c r="AP2481" s="10"/>
      <c r="AQ2481" s="10"/>
      <c r="AR2481" s="10"/>
      <c r="AS2481" s="10"/>
      <c r="AT2481" s="10"/>
      <c r="AU2481" s="10"/>
      <c r="AV2481" s="10"/>
      <c r="AW2481" s="10"/>
      <c r="AX2481" s="10"/>
      <c r="AY2481" s="10"/>
      <c r="AZ2481" s="10"/>
      <c r="BA2481" s="10"/>
      <c r="BB2481" s="10"/>
      <c r="BC2481" s="10"/>
      <c r="BD2481" s="10"/>
      <c r="BE2481" s="10"/>
      <c r="BF2481" s="10"/>
      <c r="BG2481" s="10"/>
      <c r="BH2481" s="10"/>
      <c r="BI2481" s="10"/>
      <c r="BJ2481" s="10"/>
      <c r="BK2481" s="10"/>
      <c r="BM2481" s="10"/>
    </row>
    <row r="2482" spans="1:65" ht="12.75">
      <c r="A2482" s="9"/>
      <c r="B2482" s="10"/>
      <c r="C2482" s="11"/>
      <c r="D2482" s="12"/>
      <c r="E2482" s="10"/>
      <c r="F2482" s="10"/>
      <c r="G2482" s="10"/>
      <c r="H2482" s="14"/>
      <c r="I2482" s="14"/>
      <c r="J2482" s="14"/>
      <c r="K2482" s="14"/>
      <c r="L2482" s="14"/>
      <c r="M2482" s="15"/>
      <c r="N2482" s="10"/>
      <c r="O2482" s="14"/>
      <c r="P2482" s="14"/>
      <c r="Q2482" s="14"/>
      <c r="R2482" s="14"/>
      <c r="S2482" s="14"/>
      <c r="T2482" s="14"/>
      <c r="U2482" s="14"/>
      <c r="V2482" s="14"/>
      <c r="W2482" s="14"/>
      <c r="X2482" s="14"/>
      <c r="Y2482" s="14"/>
      <c r="Z2482" s="14"/>
      <c r="AA2482" s="16"/>
      <c r="AB2482" s="10"/>
      <c r="AC2482" s="10"/>
      <c r="AD2482" s="10"/>
      <c r="AE2482" s="10"/>
      <c r="AF2482" s="10"/>
      <c r="AG2482" s="10"/>
      <c r="AH2482" s="10"/>
      <c r="AI2482" s="10"/>
      <c r="AJ2482" s="10"/>
      <c r="AK2482" s="10"/>
      <c r="AL2482" s="10"/>
      <c r="AM2482" s="10"/>
      <c r="AN2482" s="10"/>
      <c r="AO2482" s="10"/>
      <c r="AP2482" s="10"/>
      <c r="AQ2482" s="10"/>
      <c r="AR2482" s="10"/>
      <c r="AS2482" s="10"/>
      <c r="AT2482" s="10"/>
      <c r="AU2482" s="10"/>
      <c r="AV2482" s="10"/>
      <c r="AW2482" s="10"/>
      <c r="AX2482" s="10"/>
      <c r="AY2482" s="10"/>
      <c r="AZ2482" s="10"/>
      <c r="BA2482" s="10"/>
      <c r="BB2482" s="10"/>
      <c r="BC2482" s="10"/>
      <c r="BD2482" s="10"/>
      <c r="BE2482" s="10"/>
      <c r="BF2482" s="10"/>
      <c r="BG2482" s="10"/>
      <c r="BH2482" s="10"/>
      <c r="BI2482" s="10"/>
      <c r="BJ2482" s="10"/>
      <c r="BK2482" s="10"/>
      <c r="BM2482" s="10"/>
    </row>
    <row r="2483" spans="1:65" ht="12.75">
      <c r="A2483" s="9"/>
      <c r="B2483" s="10"/>
      <c r="C2483" s="11"/>
      <c r="D2483" s="12"/>
      <c r="E2483" s="10"/>
      <c r="F2483" s="10"/>
      <c r="G2483" s="10"/>
      <c r="H2483" s="14"/>
      <c r="I2483" s="14"/>
      <c r="J2483" s="14"/>
      <c r="K2483" s="14"/>
      <c r="L2483" s="14"/>
      <c r="M2483" s="15"/>
      <c r="N2483" s="10"/>
      <c r="O2483" s="14"/>
      <c r="P2483" s="14"/>
      <c r="Q2483" s="14"/>
      <c r="R2483" s="14"/>
      <c r="S2483" s="14"/>
      <c r="T2483" s="14"/>
      <c r="U2483" s="14"/>
      <c r="V2483" s="14"/>
      <c r="W2483" s="14"/>
      <c r="X2483" s="14"/>
      <c r="Y2483" s="14"/>
      <c r="Z2483" s="14"/>
      <c r="AA2483" s="16"/>
      <c r="AB2483" s="10"/>
      <c r="AC2483" s="10"/>
      <c r="AD2483" s="10"/>
      <c r="AE2483" s="10"/>
      <c r="AF2483" s="10"/>
      <c r="AG2483" s="10"/>
      <c r="AH2483" s="10"/>
      <c r="AI2483" s="10"/>
      <c r="AJ2483" s="10"/>
      <c r="AK2483" s="10"/>
      <c r="AL2483" s="10"/>
      <c r="AM2483" s="10"/>
      <c r="AN2483" s="10"/>
      <c r="AO2483" s="10"/>
      <c r="AP2483" s="10"/>
      <c r="AQ2483" s="10"/>
      <c r="AR2483" s="10"/>
      <c r="AS2483" s="10"/>
      <c r="AT2483" s="10"/>
      <c r="AU2483" s="10"/>
      <c r="AV2483" s="10"/>
      <c r="AW2483" s="10"/>
      <c r="AX2483" s="10"/>
      <c r="AY2483" s="10"/>
      <c r="AZ2483" s="10"/>
      <c r="BA2483" s="10"/>
      <c r="BB2483" s="10"/>
      <c r="BC2483" s="10"/>
      <c r="BD2483" s="10"/>
      <c r="BE2483" s="10"/>
      <c r="BF2483" s="10"/>
      <c r="BG2483" s="10"/>
      <c r="BH2483" s="10"/>
      <c r="BI2483" s="10"/>
      <c r="BJ2483" s="10"/>
      <c r="BK2483" s="10"/>
      <c r="BM2483" s="10"/>
    </row>
    <row r="2484" spans="1:65" ht="12.75">
      <c r="A2484" s="9"/>
      <c r="B2484" s="10"/>
      <c r="C2484" s="11"/>
      <c r="D2484" s="12"/>
      <c r="E2484" s="10"/>
      <c r="F2484" s="10"/>
      <c r="G2484" s="10"/>
      <c r="H2484" s="14"/>
      <c r="I2484" s="14"/>
      <c r="J2484" s="14"/>
      <c r="K2484" s="14"/>
      <c r="L2484" s="14"/>
      <c r="M2484" s="15"/>
      <c r="N2484" s="10"/>
      <c r="O2484" s="14"/>
      <c r="P2484" s="14"/>
      <c r="Q2484" s="14"/>
      <c r="R2484" s="14"/>
      <c r="S2484" s="14"/>
      <c r="T2484" s="14"/>
      <c r="U2484" s="14"/>
      <c r="V2484" s="14"/>
      <c r="W2484" s="14"/>
      <c r="X2484" s="14"/>
      <c r="Y2484" s="14"/>
      <c r="Z2484" s="14"/>
      <c r="AA2484" s="16"/>
      <c r="AB2484" s="10"/>
      <c r="AC2484" s="10"/>
      <c r="AD2484" s="10"/>
      <c r="AE2484" s="10"/>
      <c r="AF2484" s="10"/>
      <c r="AG2484" s="10"/>
      <c r="AH2484" s="10"/>
      <c r="AI2484" s="10"/>
      <c r="AJ2484" s="10"/>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10"/>
      <c r="BK2484" s="10"/>
      <c r="BM2484" s="10"/>
    </row>
    <row r="2485" spans="1:65" ht="12.75">
      <c r="A2485" s="9"/>
      <c r="B2485" s="10"/>
      <c r="C2485" s="11"/>
      <c r="D2485" s="12"/>
      <c r="E2485" s="10"/>
      <c r="F2485" s="10"/>
      <c r="G2485" s="10"/>
      <c r="H2485" s="14"/>
      <c r="I2485" s="14"/>
      <c r="J2485" s="14"/>
      <c r="K2485" s="14"/>
      <c r="L2485" s="14"/>
      <c r="M2485" s="15"/>
      <c r="N2485" s="10"/>
      <c r="O2485" s="14"/>
      <c r="P2485" s="14"/>
      <c r="Q2485" s="14"/>
      <c r="R2485" s="14"/>
      <c r="S2485" s="14"/>
      <c r="T2485" s="14"/>
      <c r="U2485" s="14"/>
      <c r="V2485" s="14"/>
      <c r="W2485" s="14"/>
      <c r="X2485" s="14"/>
      <c r="Y2485" s="14"/>
      <c r="Z2485" s="14"/>
      <c r="AA2485" s="16"/>
      <c r="AB2485" s="10"/>
      <c r="AC2485" s="10"/>
      <c r="AD2485" s="10"/>
      <c r="AE2485" s="10"/>
      <c r="AF2485" s="10"/>
      <c r="AG2485" s="10"/>
      <c r="AH2485" s="10"/>
      <c r="AI2485" s="10"/>
      <c r="AJ2485" s="10"/>
      <c r="AK2485" s="10"/>
      <c r="AL2485" s="10"/>
      <c r="AM2485" s="10"/>
      <c r="AN2485" s="10"/>
      <c r="AO2485" s="10"/>
      <c r="AP2485" s="10"/>
      <c r="AQ2485" s="10"/>
      <c r="AR2485" s="10"/>
      <c r="AS2485" s="10"/>
      <c r="AT2485" s="10"/>
      <c r="AU2485" s="10"/>
      <c r="AV2485" s="10"/>
      <c r="AW2485" s="10"/>
      <c r="AX2485" s="10"/>
      <c r="AY2485" s="10"/>
      <c r="AZ2485" s="10"/>
      <c r="BA2485" s="10"/>
      <c r="BB2485" s="10"/>
      <c r="BC2485" s="10"/>
      <c r="BD2485" s="10"/>
      <c r="BE2485" s="10"/>
      <c r="BF2485" s="10"/>
      <c r="BG2485" s="10"/>
      <c r="BH2485" s="10"/>
      <c r="BI2485" s="10"/>
      <c r="BJ2485" s="10"/>
      <c r="BK2485" s="10"/>
      <c r="BM2485" s="10"/>
    </row>
    <row r="2486" spans="1:65" ht="12.75">
      <c r="A2486" s="9"/>
      <c r="B2486" s="10"/>
      <c r="C2486" s="11"/>
      <c r="D2486" s="12"/>
      <c r="E2486" s="10"/>
      <c r="F2486" s="10"/>
      <c r="G2486" s="10"/>
      <c r="H2486" s="14"/>
      <c r="I2486" s="14"/>
      <c r="J2486" s="14"/>
      <c r="K2486" s="14"/>
      <c r="L2486" s="14"/>
      <c r="M2486" s="15"/>
      <c r="N2486" s="10"/>
      <c r="O2486" s="14"/>
      <c r="P2486" s="14"/>
      <c r="Q2486" s="14"/>
      <c r="R2486" s="14"/>
      <c r="S2486" s="14"/>
      <c r="T2486" s="14"/>
      <c r="U2486" s="14"/>
      <c r="V2486" s="14"/>
      <c r="W2486" s="14"/>
      <c r="X2486" s="14"/>
      <c r="Y2486" s="14"/>
      <c r="Z2486" s="14"/>
      <c r="AA2486" s="16"/>
      <c r="AB2486" s="10"/>
      <c r="AC2486" s="10"/>
      <c r="AD2486" s="10"/>
      <c r="AE2486" s="10"/>
      <c r="AF2486" s="10"/>
      <c r="AG2486" s="10"/>
      <c r="AH2486" s="10"/>
      <c r="AI2486" s="10"/>
      <c r="AJ2486" s="10"/>
      <c r="AK2486" s="10"/>
      <c r="AL2486" s="10"/>
      <c r="AM2486" s="10"/>
      <c r="AN2486" s="10"/>
      <c r="AO2486" s="10"/>
      <c r="AP2486" s="10"/>
      <c r="AQ2486" s="10"/>
      <c r="AR2486" s="10"/>
      <c r="AS2486" s="10"/>
      <c r="AT2486" s="10"/>
      <c r="AU2486" s="10"/>
      <c r="AV2486" s="10"/>
      <c r="AW2486" s="10"/>
      <c r="AX2486" s="10"/>
      <c r="AY2486" s="10"/>
      <c r="AZ2486" s="10"/>
      <c r="BA2486" s="10"/>
      <c r="BB2486" s="10"/>
      <c r="BC2486" s="10"/>
      <c r="BD2486" s="10"/>
      <c r="BE2486" s="10"/>
      <c r="BF2486" s="10"/>
      <c r="BG2486" s="10"/>
      <c r="BH2486" s="10"/>
      <c r="BI2486" s="10"/>
      <c r="BJ2486" s="10"/>
      <c r="BK2486" s="10"/>
      <c r="BM2486" s="10"/>
    </row>
    <row r="2487" spans="1:65" ht="12.75">
      <c r="A2487" s="9"/>
      <c r="B2487" s="10"/>
      <c r="C2487" s="11"/>
      <c r="D2487" s="12"/>
      <c r="E2487" s="10"/>
      <c r="F2487" s="10"/>
      <c r="G2487" s="10"/>
      <c r="H2487" s="14"/>
      <c r="I2487" s="14"/>
      <c r="J2487" s="14"/>
      <c r="K2487" s="14"/>
      <c r="L2487" s="14"/>
      <c r="M2487" s="15"/>
      <c r="N2487" s="10"/>
      <c r="O2487" s="14"/>
      <c r="P2487" s="14"/>
      <c r="Q2487" s="14"/>
      <c r="R2487" s="14"/>
      <c r="S2487" s="14"/>
      <c r="T2487" s="14"/>
      <c r="U2487" s="14"/>
      <c r="V2487" s="14"/>
      <c r="W2487" s="14"/>
      <c r="X2487" s="14"/>
      <c r="Y2487" s="14"/>
      <c r="Z2487" s="14"/>
      <c r="AA2487" s="16"/>
      <c r="AB2487" s="10"/>
      <c r="AC2487" s="10"/>
      <c r="AD2487" s="10"/>
      <c r="AE2487" s="10"/>
      <c r="AF2487" s="10"/>
      <c r="AG2487" s="10"/>
      <c r="AH2487" s="10"/>
      <c r="AI2487" s="10"/>
      <c r="AJ2487" s="10"/>
      <c r="AK2487" s="10"/>
      <c r="AL2487" s="10"/>
      <c r="AM2487" s="10"/>
      <c r="AN2487" s="10"/>
      <c r="AO2487" s="10"/>
      <c r="AP2487" s="10"/>
      <c r="AQ2487" s="10"/>
      <c r="AR2487" s="10"/>
      <c r="AS2487" s="10"/>
      <c r="AT2487" s="10"/>
      <c r="AU2487" s="10"/>
      <c r="AV2487" s="10"/>
      <c r="AW2487" s="10"/>
      <c r="AX2487" s="10"/>
      <c r="AY2487" s="10"/>
      <c r="AZ2487" s="10"/>
      <c r="BA2487" s="10"/>
      <c r="BB2487" s="10"/>
      <c r="BC2487" s="10"/>
      <c r="BD2487" s="10"/>
      <c r="BE2487" s="10"/>
      <c r="BF2487" s="10"/>
      <c r="BG2487" s="10"/>
      <c r="BH2487" s="10"/>
      <c r="BI2487" s="10"/>
      <c r="BJ2487" s="10"/>
      <c r="BK2487" s="10"/>
      <c r="BM2487" s="10"/>
    </row>
    <row r="2488" spans="1:65" ht="12.75">
      <c r="A2488" s="9"/>
      <c r="B2488" s="10"/>
      <c r="C2488" s="11"/>
      <c r="D2488" s="12"/>
      <c r="E2488" s="10"/>
      <c r="F2488" s="10"/>
      <c r="G2488" s="10"/>
      <c r="H2488" s="14"/>
      <c r="I2488" s="14"/>
      <c r="J2488" s="14"/>
      <c r="K2488" s="14"/>
      <c r="L2488" s="14"/>
      <c r="M2488" s="15"/>
      <c r="N2488" s="10"/>
      <c r="O2488" s="14"/>
      <c r="P2488" s="14"/>
      <c r="Q2488" s="14"/>
      <c r="R2488" s="14"/>
      <c r="S2488" s="14"/>
      <c r="T2488" s="14"/>
      <c r="U2488" s="14"/>
      <c r="V2488" s="14"/>
      <c r="W2488" s="14"/>
      <c r="X2488" s="14"/>
      <c r="Y2488" s="14"/>
      <c r="Z2488" s="14"/>
      <c r="AA2488" s="16"/>
      <c r="AB2488" s="10"/>
      <c r="AC2488" s="10"/>
      <c r="AD2488" s="10"/>
      <c r="AE2488" s="10"/>
      <c r="AF2488" s="10"/>
      <c r="AG2488" s="10"/>
      <c r="AH2488" s="10"/>
      <c r="AI2488" s="10"/>
      <c r="AJ2488" s="10"/>
      <c r="AK2488" s="10"/>
      <c r="AL2488" s="10"/>
      <c r="AM2488" s="10"/>
      <c r="AN2488" s="10"/>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10"/>
      <c r="BJ2488" s="10"/>
      <c r="BK2488" s="10"/>
      <c r="BM2488" s="10"/>
    </row>
    <row r="2489" spans="1:65" ht="12.75">
      <c r="A2489" s="9"/>
      <c r="B2489" s="10"/>
      <c r="C2489" s="11"/>
      <c r="D2489" s="12"/>
      <c r="E2489" s="10"/>
      <c r="F2489" s="10"/>
      <c r="G2489" s="10"/>
      <c r="H2489" s="14"/>
      <c r="I2489" s="14"/>
      <c r="J2489" s="14"/>
      <c r="K2489" s="14"/>
      <c r="L2489" s="14"/>
      <c r="M2489" s="15"/>
      <c r="N2489" s="10"/>
      <c r="O2489" s="14"/>
      <c r="P2489" s="14"/>
      <c r="Q2489" s="14"/>
      <c r="R2489" s="14"/>
      <c r="S2489" s="14"/>
      <c r="T2489" s="14"/>
      <c r="U2489" s="14"/>
      <c r="V2489" s="14"/>
      <c r="W2489" s="14"/>
      <c r="X2489" s="14"/>
      <c r="Y2489" s="14"/>
      <c r="Z2489" s="14"/>
      <c r="AA2489" s="16"/>
      <c r="AB2489" s="10"/>
      <c r="AC2489" s="10"/>
      <c r="AD2489" s="10"/>
      <c r="AE2489" s="10"/>
      <c r="AF2489" s="10"/>
      <c r="AG2489" s="10"/>
      <c r="AH2489" s="10"/>
      <c r="AI2489" s="10"/>
      <c r="AJ2489" s="10"/>
      <c r="AK2489" s="10"/>
      <c r="AL2489" s="10"/>
      <c r="AM2489" s="10"/>
      <c r="AN2489" s="10"/>
      <c r="AO2489" s="10"/>
      <c r="AP2489" s="10"/>
      <c r="AQ2489" s="10"/>
      <c r="AR2489" s="10"/>
      <c r="AS2489" s="10"/>
      <c r="AT2489" s="10"/>
      <c r="AU2489" s="10"/>
      <c r="AV2489" s="10"/>
      <c r="AW2489" s="10"/>
      <c r="AX2489" s="10"/>
      <c r="AY2489" s="10"/>
      <c r="AZ2489" s="10"/>
      <c r="BA2489" s="10"/>
      <c r="BB2489" s="10"/>
      <c r="BC2489" s="10"/>
      <c r="BD2489" s="10"/>
      <c r="BE2489" s="10"/>
      <c r="BF2489" s="10"/>
      <c r="BG2489" s="10"/>
      <c r="BH2489" s="10"/>
      <c r="BI2489" s="10"/>
      <c r="BJ2489" s="10"/>
      <c r="BK2489" s="10"/>
      <c r="BM2489" s="10"/>
    </row>
    <row r="2490" spans="1:65" ht="12.75">
      <c r="A2490" s="9"/>
      <c r="B2490" s="10"/>
      <c r="C2490" s="11"/>
      <c r="D2490" s="12"/>
      <c r="E2490" s="10"/>
      <c r="F2490" s="10"/>
      <c r="G2490" s="10"/>
      <c r="H2490" s="14"/>
      <c r="I2490" s="14"/>
      <c r="J2490" s="14"/>
      <c r="K2490" s="14"/>
      <c r="L2490" s="14"/>
      <c r="M2490" s="15"/>
      <c r="N2490" s="10"/>
      <c r="O2490" s="14"/>
      <c r="P2490" s="14"/>
      <c r="Q2490" s="14"/>
      <c r="R2490" s="14"/>
      <c r="S2490" s="14"/>
      <c r="T2490" s="14"/>
      <c r="U2490" s="14"/>
      <c r="V2490" s="14"/>
      <c r="W2490" s="14"/>
      <c r="X2490" s="14"/>
      <c r="Y2490" s="14"/>
      <c r="Z2490" s="14"/>
      <c r="AA2490" s="16"/>
      <c r="AB2490" s="10"/>
      <c r="AC2490" s="10"/>
      <c r="AD2490" s="10"/>
      <c r="AE2490" s="10"/>
      <c r="AF2490" s="10"/>
      <c r="AG2490" s="10"/>
      <c r="AH2490" s="10"/>
      <c r="AI2490" s="10"/>
      <c r="AJ2490" s="10"/>
      <c r="AK2490" s="10"/>
      <c r="AL2490" s="10"/>
      <c r="AM2490" s="10"/>
      <c r="AN2490" s="10"/>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10"/>
      <c r="BK2490" s="10"/>
      <c r="BM2490" s="10"/>
    </row>
    <row r="2491" spans="1:65" ht="12.75">
      <c r="A2491" s="9"/>
      <c r="B2491" s="10"/>
      <c r="C2491" s="11"/>
      <c r="D2491" s="12"/>
      <c r="E2491" s="10"/>
      <c r="F2491" s="10"/>
      <c r="G2491" s="10"/>
      <c r="H2491" s="14"/>
      <c r="I2491" s="14"/>
      <c r="J2491" s="14"/>
      <c r="K2491" s="14"/>
      <c r="L2491" s="14"/>
      <c r="M2491" s="15"/>
      <c r="N2491" s="10"/>
      <c r="O2491" s="14"/>
      <c r="P2491" s="14"/>
      <c r="Q2491" s="14"/>
      <c r="R2491" s="14"/>
      <c r="S2491" s="14"/>
      <c r="T2491" s="14"/>
      <c r="U2491" s="14"/>
      <c r="V2491" s="14"/>
      <c r="W2491" s="14"/>
      <c r="X2491" s="14"/>
      <c r="Y2491" s="14"/>
      <c r="Z2491" s="14"/>
      <c r="AA2491" s="16"/>
      <c r="AB2491" s="10"/>
      <c r="AC2491" s="10"/>
      <c r="AD2491" s="10"/>
      <c r="AE2491" s="10"/>
      <c r="AF2491" s="10"/>
      <c r="AG2491" s="10"/>
      <c r="AH2491" s="10"/>
      <c r="AI2491" s="10"/>
      <c r="AJ2491" s="10"/>
      <c r="AK2491" s="10"/>
      <c r="AL2491" s="10"/>
      <c r="AM2491" s="10"/>
      <c r="AN2491" s="10"/>
      <c r="AO2491" s="10"/>
      <c r="AP2491" s="10"/>
      <c r="AQ2491" s="10"/>
      <c r="AR2491" s="10"/>
      <c r="AS2491" s="10"/>
      <c r="AT2491" s="10"/>
      <c r="AU2491" s="10"/>
      <c r="AV2491" s="10"/>
      <c r="AW2491" s="10"/>
      <c r="AX2491" s="10"/>
      <c r="AY2491" s="10"/>
      <c r="AZ2491" s="10"/>
      <c r="BA2491" s="10"/>
      <c r="BB2491" s="10"/>
      <c r="BC2491" s="10"/>
      <c r="BD2491" s="10"/>
      <c r="BE2491" s="10"/>
      <c r="BF2491" s="10"/>
      <c r="BG2491" s="10"/>
      <c r="BH2491" s="10"/>
      <c r="BI2491" s="10"/>
      <c r="BJ2491" s="10"/>
      <c r="BK2491" s="10"/>
      <c r="BM2491" s="10"/>
    </row>
    <row r="2492" spans="1:65" ht="12.75">
      <c r="A2492" s="9"/>
      <c r="B2492" s="10"/>
      <c r="C2492" s="11"/>
      <c r="D2492" s="12"/>
      <c r="E2492" s="10"/>
      <c r="F2492" s="10"/>
      <c r="G2492" s="10"/>
      <c r="H2492" s="14"/>
      <c r="I2492" s="14"/>
      <c r="J2492" s="14"/>
      <c r="K2492" s="14"/>
      <c r="L2492" s="14"/>
      <c r="M2492" s="15"/>
      <c r="N2492" s="10"/>
      <c r="O2492" s="14"/>
      <c r="P2492" s="14"/>
      <c r="Q2492" s="14"/>
      <c r="R2492" s="14"/>
      <c r="S2492" s="14"/>
      <c r="T2492" s="14"/>
      <c r="U2492" s="14"/>
      <c r="V2492" s="14"/>
      <c r="W2492" s="14"/>
      <c r="X2492" s="14"/>
      <c r="Y2492" s="14"/>
      <c r="Z2492" s="14"/>
      <c r="AA2492" s="16"/>
      <c r="AB2492" s="10"/>
      <c r="AC2492" s="10"/>
      <c r="AD2492" s="10"/>
      <c r="AE2492" s="10"/>
      <c r="AF2492" s="10"/>
      <c r="AG2492" s="10"/>
      <c r="AH2492" s="10"/>
      <c r="AI2492" s="10"/>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M2492" s="10"/>
    </row>
    <row r="2493" spans="1:65" ht="12.75">
      <c r="A2493" s="9"/>
      <c r="B2493" s="10"/>
      <c r="C2493" s="11"/>
      <c r="D2493" s="12"/>
      <c r="E2493" s="10"/>
      <c r="F2493" s="10"/>
      <c r="G2493" s="10"/>
      <c r="H2493" s="14"/>
      <c r="I2493" s="14"/>
      <c r="J2493" s="14"/>
      <c r="K2493" s="14"/>
      <c r="L2493" s="14"/>
      <c r="M2493" s="15"/>
      <c r="N2493" s="10"/>
      <c r="O2493" s="14"/>
      <c r="P2493" s="14"/>
      <c r="Q2493" s="14"/>
      <c r="R2493" s="14"/>
      <c r="S2493" s="14"/>
      <c r="T2493" s="14"/>
      <c r="U2493" s="14"/>
      <c r="V2493" s="14"/>
      <c r="W2493" s="14"/>
      <c r="X2493" s="14"/>
      <c r="Y2493" s="14"/>
      <c r="Z2493" s="14"/>
      <c r="AA2493" s="16"/>
      <c r="AB2493" s="10"/>
      <c r="AC2493" s="10"/>
      <c r="AD2493" s="10"/>
      <c r="AE2493" s="10"/>
      <c r="AF2493" s="10"/>
      <c r="AG2493" s="10"/>
      <c r="AH2493" s="10"/>
      <c r="AI2493" s="10"/>
      <c r="AJ2493" s="10"/>
      <c r="AK2493" s="10"/>
      <c r="AL2493" s="10"/>
      <c r="AM2493" s="10"/>
      <c r="AN2493" s="10"/>
      <c r="AO2493" s="10"/>
      <c r="AP2493" s="10"/>
      <c r="AQ2493" s="10"/>
      <c r="AR2493" s="10"/>
      <c r="AS2493" s="10"/>
      <c r="AT2493" s="10"/>
      <c r="AU2493" s="10"/>
      <c r="AV2493" s="10"/>
      <c r="AW2493" s="10"/>
      <c r="AX2493" s="10"/>
      <c r="AY2493" s="10"/>
      <c r="AZ2493" s="10"/>
      <c r="BA2493" s="10"/>
      <c r="BB2493" s="10"/>
      <c r="BC2493" s="10"/>
      <c r="BD2493" s="10"/>
      <c r="BE2493" s="10"/>
      <c r="BF2493" s="10"/>
      <c r="BG2493" s="10"/>
      <c r="BH2493" s="10"/>
      <c r="BI2493" s="10"/>
      <c r="BJ2493" s="10"/>
      <c r="BK2493" s="10"/>
      <c r="BM2493" s="10"/>
    </row>
    <row r="2494" spans="1:65" ht="12.75">
      <c r="A2494" s="9"/>
      <c r="B2494" s="10"/>
      <c r="C2494" s="11"/>
      <c r="D2494" s="12"/>
      <c r="E2494" s="10"/>
      <c r="F2494" s="10"/>
      <c r="G2494" s="10"/>
      <c r="H2494" s="14"/>
      <c r="I2494" s="14"/>
      <c r="J2494" s="14"/>
      <c r="K2494" s="14"/>
      <c r="L2494" s="14"/>
      <c r="M2494" s="15"/>
      <c r="N2494" s="10"/>
      <c r="O2494" s="14"/>
      <c r="P2494" s="14"/>
      <c r="Q2494" s="14"/>
      <c r="R2494" s="14"/>
      <c r="S2494" s="14"/>
      <c r="T2494" s="14"/>
      <c r="U2494" s="14"/>
      <c r="V2494" s="14"/>
      <c r="W2494" s="14"/>
      <c r="X2494" s="14"/>
      <c r="Y2494" s="14"/>
      <c r="Z2494" s="14"/>
      <c r="AA2494" s="16"/>
      <c r="AB2494" s="10"/>
      <c r="AC2494" s="10"/>
      <c r="AD2494" s="10"/>
      <c r="AE2494" s="10"/>
      <c r="AF2494" s="10"/>
      <c r="AG2494" s="10"/>
      <c r="AH2494" s="10"/>
      <c r="AI2494" s="10"/>
      <c r="AJ2494" s="10"/>
      <c r="AK2494" s="10"/>
      <c r="AL2494" s="10"/>
      <c r="AM2494" s="10"/>
      <c r="AN2494" s="10"/>
      <c r="AO2494" s="10"/>
      <c r="AP2494" s="10"/>
      <c r="AQ2494" s="10"/>
      <c r="AR2494" s="10"/>
      <c r="AS2494" s="10"/>
      <c r="AT2494" s="10"/>
      <c r="AU2494" s="10"/>
      <c r="AV2494" s="10"/>
      <c r="AW2494" s="10"/>
      <c r="AX2494" s="10"/>
      <c r="AY2494" s="10"/>
      <c r="AZ2494" s="10"/>
      <c r="BA2494" s="10"/>
      <c r="BB2494" s="10"/>
      <c r="BC2494" s="10"/>
      <c r="BD2494" s="10"/>
      <c r="BE2494" s="10"/>
      <c r="BF2494" s="10"/>
      <c r="BG2494" s="10"/>
      <c r="BH2494" s="10"/>
      <c r="BI2494" s="10"/>
      <c r="BJ2494" s="10"/>
      <c r="BK2494" s="10"/>
      <c r="BM2494" s="10"/>
    </row>
    <row r="2495" spans="1:65" ht="12.75">
      <c r="A2495" s="9"/>
      <c r="B2495" s="10"/>
      <c r="C2495" s="11"/>
      <c r="D2495" s="12"/>
      <c r="E2495" s="10"/>
      <c r="F2495" s="10"/>
      <c r="G2495" s="10"/>
      <c r="H2495" s="14"/>
      <c r="I2495" s="14"/>
      <c r="J2495" s="14"/>
      <c r="K2495" s="14"/>
      <c r="L2495" s="14"/>
      <c r="M2495" s="15"/>
      <c r="N2495" s="10"/>
      <c r="O2495" s="14"/>
      <c r="P2495" s="14"/>
      <c r="Q2495" s="14"/>
      <c r="R2495" s="14"/>
      <c r="S2495" s="14"/>
      <c r="T2495" s="14"/>
      <c r="U2495" s="14"/>
      <c r="V2495" s="14"/>
      <c r="W2495" s="14"/>
      <c r="X2495" s="14"/>
      <c r="Y2495" s="14"/>
      <c r="Z2495" s="14"/>
      <c r="AA2495" s="16"/>
      <c r="AB2495" s="10"/>
      <c r="AC2495" s="10"/>
      <c r="AD2495" s="10"/>
      <c r="AE2495" s="10"/>
      <c r="AF2495" s="10"/>
      <c r="AG2495" s="10"/>
      <c r="AH2495" s="10"/>
      <c r="AI2495" s="10"/>
      <c r="AJ2495" s="10"/>
      <c r="AK2495" s="10"/>
      <c r="AL2495" s="10"/>
      <c r="AM2495" s="10"/>
      <c r="AN2495" s="10"/>
      <c r="AO2495" s="10"/>
      <c r="AP2495" s="10"/>
      <c r="AQ2495" s="10"/>
      <c r="AR2495" s="10"/>
      <c r="AS2495" s="10"/>
      <c r="AT2495" s="10"/>
      <c r="AU2495" s="10"/>
      <c r="AV2495" s="10"/>
      <c r="AW2495" s="10"/>
      <c r="AX2495" s="10"/>
      <c r="AY2495" s="10"/>
      <c r="AZ2495" s="10"/>
      <c r="BA2495" s="10"/>
      <c r="BB2495" s="10"/>
      <c r="BC2495" s="10"/>
      <c r="BD2495" s="10"/>
      <c r="BE2495" s="10"/>
      <c r="BF2495" s="10"/>
      <c r="BG2495" s="10"/>
      <c r="BH2495" s="10"/>
      <c r="BI2495" s="10"/>
      <c r="BJ2495" s="10"/>
      <c r="BK2495" s="10"/>
      <c r="BM2495" s="10"/>
    </row>
    <row r="2496" spans="1:65" ht="12.75">
      <c r="A2496" s="9"/>
      <c r="B2496" s="10"/>
      <c r="C2496" s="11"/>
      <c r="D2496" s="12"/>
      <c r="E2496" s="10"/>
      <c r="F2496" s="10"/>
      <c r="G2496" s="10"/>
      <c r="H2496" s="14"/>
      <c r="I2496" s="14"/>
      <c r="J2496" s="14"/>
      <c r="K2496" s="14"/>
      <c r="L2496" s="14"/>
      <c r="M2496" s="15"/>
      <c r="N2496" s="10"/>
      <c r="O2496" s="14"/>
      <c r="P2496" s="14"/>
      <c r="Q2496" s="14"/>
      <c r="R2496" s="14"/>
      <c r="S2496" s="14"/>
      <c r="T2496" s="14"/>
      <c r="U2496" s="14"/>
      <c r="V2496" s="14"/>
      <c r="W2496" s="14"/>
      <c r="X2496" s="14"/>
      <c r="Y2496" s="14"/>
      <c r="Z2496" s="14"/>
      <c r="AA2496" s="16"/>
      <c r="AB2496" s="10"/>
      <c r="AC2496" s="10"/>
      <c r="AD2496" s="10"/>
      <c r="AE2496" s="10"/>
      <c r="AF2496" s="10"/>
      <c r="AG2496" s="10"/>
      <c r="AH2496" s="10"/>
      <c r="AI2496" s="10"/>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M2496" s="10"/>
    </row>
    <row r="2497" spans="1:65" ht="12.75">
      <c r="A2497" s="9"/>
      <c r="B2497" s="10"/>
      <c r="C2497" s="11"/>
      <c r="D2497" s="12"/>
      <c r="E2497" s="10"/>
      <c r="F2497" s="10"/>
      <c r="G2497" s="10"/>
      <c r="H2497" s="14"/>
      <c r="I2497" s="14"/>
      <c r="J2497" s="14"/>
      <c r="K2497" s="14"/>
      <c r="L2497" s="14"/>
      <c r="M2497" s="15"/>
      <c r="N2497" s="10"/>
      <c r="O2497" s="14"/>
      <c r="P2497" s="14"/>
      <c r="Q2497" s="14"/>
      <c r="R2497" s="14"/>
      <c r="S2497" s="14"/>
      <c r="T2497" s="14"/>
      <c r="U2497" s="14"/>
      <c r="V2497" s="14"/>
      <c r="W2497" s="14"/>
      <c r="X2497" s="14"/>
      <c r="Y2497" s="14"/>
      <c r="Z2497" s="14"/>
      <c r="AA2497" s="16"/>
      <c r="AB2497" s="10"/>
      <c r="AC2497" s="10"/>
      <c r="AD2497" s="10"/>
      <c r="AE2497" s="10"/>
      <c r="AF2497" s="10"/>
      <c r="AG2497" s="10"/>
      <c r="AH2497" s="10"/>
      <c r="AI2497" s="10"/>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10"/>
      <c r="BJ2497" s="10"/>
      <c r="BK2497" s="10"/>
      <c r="BM2497" s="10"/>
    </row>
    <row r="2498" spans="1:65" ht="12.75">
      <c r="A2498" s="9"/>
      <c r="B2498" s="10"/>
      <c r="C2498" s="11"/>
      <c r="D2498" s="12"/>
      <c r="E2498" s="10"/>
      <c r="F2498" s="10"/>
      <c r="G2498" s="10"/>
      <c r="H2498" s="14"/>
      <c r="I2498" s="14"/>
      <c r="J2498" s="14"/>
      <c r="K2498" s="14"/>
      <c r="L2498" s="14"/>
      <c r="M2498" s="15"/>
      <c r="N2498" s="10"/>
      <c r="O2498" s="14"/>
      <c r="P2498" s="14"/>
      <c r="Q2498" s="14"/>
      <c r="R2498" s="14"/>
      <c r="S2498" s="14"/>
      <c r="T2498" s="14"/>
      <c r="U2498" s="14"/>
      <c r="V2498" s="14"/>
      <c r="W2498" s="14"/>
      <c r="X2498" s="14"/>
      <c r="Y2498" s="14"/>
      <c r="Z2498" s="14"/>
      <c r="AA2498" s="16"/>
      <c r="AB2498" s="10"/>
      <c r="AC2498" s="10"/>
      <c r="AD2498" s="10"/>
      <c r="AE2498" s="10"/>
      <c r="AF2498" s="10"/>
      <c r="AG2498" s="10"/>
      <c r="AH2498" s="10"/>
      <c r="AI2498" s="10"/>
      <c r="AJ2498" s="10"/>
      <c r="AK2498" s="10"/>
      <c r="AL2498" s="10"/>
      <c r="AM2498" s="10"/>
      <c r="AN2498" s="10"/>
      <c r="AO2498" s="10"/>
      <c r="AP2498" s="10"/>
      <c r="AQ2498" s="10"/>
      <c r="AR2498" s="10"/>
      <c r="AS2498" s="10"/>
      <c r="AT2498" s="10"/>
      <c r="AU2498" s="10"/>
      <c r="AV2498" s="10"/>
      <c r="AW2498" s="10"/>
      <c r="AX2498" s="10"/>
      <c r="AY2498" s="10"/>
      <c r="AZ2498" s="10"/>
      <c r="BA2498" s="10"/>
      <c r="BB2498" s="10"/>
      <c r="BC2498" s="10"/>
      <c r="BD2498" s="10"/>
      <c r="BE2498" s="10"/>
      <c r="BF2498" s="10"/>
      <c r="BG2498" s="10"/>
      <c r="BH2498" s="10"/>
      <c r="BI2498" s="10"/>
      <c r="BJ2498" s="10"/>
      <c r="BK2498" s="10"/>
      <c r="BM2498" s="10"/>
    </row>
    <row r="2499" spans="1:65" ht="12.75">
      <c r="A2499" s="9"/>
      <c r="B2499" s="10"/>
      <c r="C2499" s="11"/>
      <c r="D2499" s="12"/>
      <c r="E2499" s="10"/>
      <c r="F2499" s="10"/>
      <c r="G2499" s="10"/>
      <c r="H2499" s="14"/>
      <c r="I2499" s="14"/>
      <c r="J2499" s="14"/>
      <c r="K2499" s="14"/>
      <c r="L2499" s="14"/>
      <c r="M2499" s="15"/>
      <c r="N2499" s="10"/>
      <c r="O2499" s="14"/>
      <c r="P2499" s="14"/>
      <c r="Q2499" s="14"/>
      <c r="R2499" s="14"/>
      <c r="S2499" s="14"/>
      <c r="T2499" s="14"/>
      <c r="U2499" s="14"/>
      <c r="V2499" s="14"/>
      <c r="W2499" s="14"/>
      <c r="X2499" s="14"/>
      <c r="Y2499" s="14"/>
      <c r="Z2499" s="14"/>
      <c r="AA2499" s="16"/>
      <c r="AB2499" s="10"/>
      <c r="AC2499" s="10"/>
      <c r="AD2499" s="10"/>
      <c r="AE2499" s="10"/>
      <c r="AF2499" s="10"/>
      <c r="AG2499" s="10"/>
      <c r="AH2499" s="10"/>
      <c r="AI2499" s="10"/>
      <c r="AJ2499" s="10"/>
      <c r="AK2499" s="10"/>
      <c r="AL2499" s="10"/>
      <c r="AM2499" s="10"/>
      <c r="AN2499" s="10"/>
      <c r="AO2499" s="10"/>
      <c r="AP2499" s="10"/>
      <c r="AQ2499" s="10"/>
      <c r="AR2499" s="10"/>
      <c r="AS2499" s="10"/>
      <c r="AT2499" s="10"/>
      <c r="AU2499" s="10"/>
      <c r="AV2499" s="10"/>
      <c r="AW2499" s="10"/>
      <c r="AX2499" s="10"/>
      <c r="AY2499" s="10"/>
      <c r="AZ2499" s="10"/>
      <c r="BA2499" s="10"/>
      <c r="BB2499" s="10"/>
      <c r="BC2499" s="10"/>
      <c r="BD2499" s="10"/>
      <c r="BE2499" s="10"/>
      <c r="BF2499" s="10"/>
      <c r="BG2499" s="10"/>
      <c r="BH2499" s="10"/>
      <c r="BI2499" s="10"/>
      <c r="BJ2499" s="10"/>
      <c r="BK2499" s="10"/>
      <c r="BM2499" s="10"/>
    </row>
    <row r="2500" spans="1:65" ht="12.75">
      <c r="A2500" s="9"/>
      <c r="B2500" s="10"/>
      <c r="C2500" s="11"/>
      <c r="D2500" s="12"/>
      <c r="E2500" s="10"/>
      <c r="F2500" s="10"/>
      <c r="G2500" s="10"/>
      <c r="H2500" s="14"/>
      <c r="I2500" s="14"/>
      <c r="J2500" s="14"/>
      <c r="K2500" s="14"/>
      <c r="L2500" s="14"/>
      <c r="M2500" s="15"/>
      <c r="N2500" s="10"/>
      <c r="O2500" s="14"/>
      <c r="P2500" s="14"/>
      <c r="Q2500" s="14"/>
      <c r="R2500" s="14"/>
      <c r="S2500" s="14"/>
      <c r="T2500" s="14"/>
      <c r="U2500" s="14"/>
      <c r="V2500" s="14"/>
      <c r="W2500" s="14"/>
      <c r="X2500" s="14"/>
      <c r="Y2500" s="14"/>
      <c r="Z2500" s="14"/>
      <c r="AA2500" s="16"/>
      <c r="AB2500" s="10"/>
      <c r="AC2500" s="10"/>
      <c r="AD2500" s="10"/>
      <c r="AE2500" s="10"/>
      <c r="AF2500" s="10"/>
      <c r="AG2500" s="10"/>
      <c r="AH2500" s="10"/>
      <c r="AI2500" s="10"/>
      <c r="AJ2500" s="10"/>
      <c r="AK2500" s="10"/>
      <c r="AL2500" s="10"/>
      <c r="AM2500" s="10"/>
      <c r="AN2500" s="10"/>
      <c r="AO2500" s="10"/>
      <c r="AP2500" s="10"/>
      <c r="AQ2500" s="10"/>
      <c r="AR2500" s="10"/>
      <c r="AS2500" s="10"/>
      <c r="AT2500" s="10"/>
      <c r="AU2500" s="10"/>
      <c r="AV2500" s="10"/>
      <c r="AW2500" s="10"/>
      <c r="AX2500" s="10"/>
      <c r="AY2500" s="10"/>
      <c r="AZ2500" s="10"/>
      <c r="BA2500" s="10"/>
      <c r="BB2500" s="10"/>
      <c r="BC2500" s="10"/>
      <c r="BD2500" s="10"/>
      <c r="BE2500" s="10"/>
      <c r="BF2500" s="10"/>
      <c r="BG2500" s="10"/>
      <c r="BH2500" s="10"/>
      <c r="BI2500" s="10"/>
      <c r="BJ2500" s="10"/>
      <c r="BK2500" s="10"/>
      <c r="BM2500" s="10"/>
    </row>
    <row r="2501" spans="1:65" ht="12.75">
      <c r="A2501" s="9"/>
      <c r="B2501" s="10"/>
      <c r="C2501" s="11"/>
      <c r="D2501" s="12"/>
      <c r="E2501" s="10"/>
      <c r="F2501" s="10"/>
      <c r="G2501" s="10"/>
      <c r="H2501" s="14"/>
      <c r="I2501" s="14"/>
      <c r="J2501" s="14"/>
      <c r="K2501" s="14"/>
      <c r="L2501" s="14"/>
      <c r="M2501" s="15"/>
      <c r="N2501" s="10"/>
      <c r="O2501" s="14"/>
      <c r="P2501" s="14"/>
      <c r="Q2501" s="14"/>
      <c r="R2501" s="14"/>
      <c r="S2501" s="14"/>
      <c r="T2501" s="14"/>
      <c r="U2501" s="14"/>
      <c r="V2501" s="14"/>
      <c r="W2501" s="14"/>
      <c r="X2501" s="14"/>
      <c r="Y2501" s="14"/>
      <c r="Z2501" s="14"/>
      <c r="AA2501" s="16"/>
      <c r="AB2501" s="10"/>
      <c r="AC2501" s="10"/>
      <c r="AD2501" s="10"/>
      <c r="AE2501" s="10"/>
      <c r="AF2501" s="10"/>
      <c r="AG2501" s="10"/>
      <c r="AH2501" s="10"/>
      <c r="AI2501" s="10"/>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M2501" s="10"/>
    </row>
    <row r="2502" spans="1:65" ht="12.75">
      <c r="A2502" s="9"/>
      <c r="B2502" s="10"/>
      <c r="C2502" s="11"/>
      <c r="D2502" s="12"/>
      <c r="E2502" s="10"/>
      <c r="F2502" s="10"/>
      <c r="G2502" s="10"/>
      <c r="H2502" s="14"/>
      <c r="I2502" s="14"/>
      <c r="J2502" s="14"/>
      <c r="K2502" s="14"/>
      <c r="L2502" s="14"/>
      <c r="M2502" s="15"/>
      <c r="N2502" s="10"/>
      <c r="O2502" s="14"/>
      <c r="P2502" s="14"/>
      <c r="Q2502" s="14"/>
      <c r="R2502" s="14"/>
      <c r="S2502" s="14"/>
      <c r="T2502" s="14"/>
      <c r="U2502" s="14"/>
      <c r="V2502" s="14"/>
      <c r="W2502" s="14"/>
      <c r="X2502" s="14"/>
      <c r="Y2502" s="14"/>
      <c r="Z2502" s="14"/>
      <c r="AA2502" s="16"/>
      <c r="AB2502" s="10"/>
      <c r="AC2502" s="10"/>
      <c r="AD2502" s="10"/>
      <c r="AE2502" s="10"/>
      <c r="AF2502" s="10"/>
      <c r="AG2502" s="10"/>
      <c r="AH2502" s="10"/>
      <c r="AI2502" s="10"/>
      <c r="AJ2502" s="10"/>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10"/>
      <c r="BJ2502" s="10"/>
      <c r="BK2502" s="10"/>
      <c r="BM2502" s="10"/>
    </row>
    <row r="2503" spans="1:65" ht="12.75">
      <c r="A2503" s="9"/>
      <c r="B2503" s="10"/>
      <c r="C2503" s="11"/>
      <c r="D2503" s="12"/>
      <c r="E2503" s="10"/>
      <c r="F2503" s="10"/>
      <c r="G2503" s="10"/>
      <c r="H2503" s="14"/>
      <c r="I2503" s="14"/>
      <c r="J2503" s="14"/>
      <c r="K2503" s="14"/>
      <c r="L2503" s="14"/>
      <c r="M2503" s="15"/>
      <c r="N2503" s="10"/>
      <c r="O2503" s="14"/>
      <c r="P2503" s="14"/>
      <c r="Q2503" s="14"/>
      <c r="R2503" s="14"/>
      <c r="S2503" s="14"/>
      <c r="T2503" s="14"/>
      <c r="U2503" s="14"/>
      <c r="V2503" s="14"/>
      <c r="W2503" s="14"/>
      <c r="X2503" s="14"/>
      <c r="Y2503" s="14"/>
      <c r="Z2503" s="14"/>
      <c r="AA2503" s="16"/>
      <c r="AB2503" s="10"/>
      <c r="AC2503" s="10"/>
      <c r="AD2503" s="10"/>
      <c r="AE2503" s="10"/>
      <c r="AF2503" s="10"/>
      <c r="AG2503" s="10"/>
      <c r="AH2503" s="10"/>
      <c r="AI2503" s="10"/>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M2503" s="10"/>
    </row>
    <row r="2504" spans="1:65" ht="12.75">
      <c r="A2504" s="9"/>
      <c r="B2504" s="10"/>
      <c r="C2504" s="11"/>
      <c r="D2504" s="12"/>
      <c r="E2504" s="10"/>
      <c r="F2504" s="10"/>
      <c r="G2504" s="10"/>
      <c r="H2504" s="14"/>
      <c r="I2504" s="14"/>
      <c r="J2504" s="14"/>
      <c r="K2504" s="14"/>
      <c r="L2504" s="14"/>
      <c r="M2504" s="15"/>
      <c r="N2504" s="10"/>
      <c r="O2504" s="14"/>
      <c r="P2504" s="14"/>
      <c r="Q2504" s="14"/>
      <c r="R2504" s="14"/>
      <c r="S2504" s="14"/>
      <c r="T2504" s="14"/>
      <c r="U2504" s="14"/>
      <c r="V2504" s="14"/>
      <c r="W2504" s="14"/>
      <c r="X2504" s="14"/>
      <c r="Y2504" s="14"/>
      <c r="Z2504" s="14"/>
      <c r="AA2504" s="16"/>
      <c r="AB2504" s="10"/>
      <c r="AC2504" s="10"/>
      <c r="AD2504" s="10"/>
      <c r="AE2504" s="10"/>
      <c r="AF2504" s="10"/>
      <c r="AG2504" s="10"/>
      <c r="AH2504" s="10"/>
      <c r="AI2504" s="10"/>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M2504" s="10"/>
    </row>
    <row r="2505" spans="1:65" ht="12.75">
      <c r="A2505" s="9"/>
      <c r="B2505" s="10"/>
      <c r="C2505" s="11"/>
      <c r="D2505" s="12"/>
      <c r="E2505" s="10"/>
      <c r="F2505" s="10"/>
      <c r="G2505" s="10"/>
      <c r="H2505" s="14"/>
      <c r="I2505" s="14"/>
      <c r="J2505" s="14"/>
      <c r="K2505" s="14"/>
      <c r="L2505" s="14"/>
      <c r="M2505" s="15"/>
      <c r="N2505" s="10"/>
      <c r="O2505" s="14"/>
      <c r="P2505" s="14"/>
      <c r="Q2505" s="14"/>
      <c r="R2505" s="14"/>
      <c r="S2505" s="14"/>
      <c r="T2505" s="14"/>
      <c r="U2505" s="14"/>
      <c r="V2505" s="14"/>
      <c r="W2505" s="14"/>
      <c r="X2505" s="14"/>
      <c r="Y2505" s="14"/>
      <c r="Z2505" s="14"/>
      <c r="AA2505" s="16"/>
      <c r="AB2505" s="10"/>
      <c r="AC2505" s="10"/>
      <c r="AD2505" s="10"/>
      <c r="AE2505" s="10"/>
      <c r="AF2505" s="10"/>
      <c r="AG2505" s="10"/>
      <c r="AH2505" s="10"/>
      <c r="AI2505" s="10"/>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M2505" s="10"/>
    </row>
    <row r="2506" spans="1:65" ht="12.75">
      <c r="A2506" s="9"/>
      <c r="B2506" s="10"/>
      <c r="C2506" s="11"/>
      <c r="D2506" s="12"/>
      <c r="E2506" s="10"/>
      <c r="F2506" s="10"/>
      <c r="G2506" s="10"/>
      <c r="H2506" s="14"/>
      <c r="I2506" s="14"/>
      <c r="J2506" s="14"/>
      <c r="K2506" s="14"/>
      <c r="L2506" s="14"/>
      <c r="M2506" s="15"/>
      <c r="N2506" s="10"/>
      <c r="O2506" s="14"/>
      <c r="P2506" s="14"/>
      <c r="Q2506" s="14"/>
      <c r="R2506" s="14"/>
      <c r="S2506" s="14"/>
      <c r="T2506" s="14"/>
      <c r="U2506" s="14"/>
      <c r="V2506" s="14"/>
      <c r="W2506" s="14"/>
      <c r="X2506" s="14"/>
      <c r="Y2506" s="14"/>
      <c r="Z2506" s="14"/>
      <c r="AA2506" s="16"/>
      <c r="AB2506" s="10"/>
      <c r="AC2506" s="10"/>
      <c r="AD2506" s="10"/>
      <c r="AE2506" s="10"/>
      <c r="AF2506" s="10"/>
      <c r="AG2506" s="10"/>
      <c r="AH2506" s="10"/>
      <c r="AI2506" s="10"/>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M2506" s="10"/>
    </row>
    <row r="2507" spans="1:65" ht="12.75">
      <c r="A2507" s="9"/>
      <c r="B2507" s="10"/>
      <c r="C2507" s="11"/>
      <c r="D2507" s="12"/>
      <c r="E2507" s="10"/>
      <c r="F2507" s="10"/>
      <c r="G2507" s="10"/>
      <c r="H2507" s="14"/>
      <c r="I2507" s="14"/>
      <c r="J2507" s="14"/>
      <c r="K2507" s="14"/>
      <c r="L2507" s="14"/>
      <c r="M2507" s="15"/>
      <c r="N2507" s="10"/>
      <c r="O2507" s="14"/>
      <c r="P2507" s="14"/>
      <c r="Q2507" s="14"/>
      <c r="R2507" s="14"/>
      <c r="S2507" s="14"/>
      <c r="T2507" s="14"/>
      <c r="U2507" s="14"/>
      <c r="V2507" s="14"/>
      <c r="W2507" s="14"/>
      <c r="X2507" s="14"/>
      <c r="Y2507" s="14"/>
      <c r="Z2507" s="14"/>
      <c r="AA2507" s="16"/>
      <c r="AB2507" s="10"/>
      <c r="AC2507" s="10"/>
      <c r="AD2507" s="10"/>
      <c r="AE2507" s="10"/>
      <c r="AF2507" s="10"/>
      <c r="AG2507" s="10"/>
      <c r="AH2507" s="10"/>
      <c r="AI2507" s="10"/>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M2507" s="10"/>
    </row>
    <row r="2508" spans="1:65" ht="12.75">
      <c r="A2508" s="9"/>
      <c r="B2508" s="10"/>
      <c r="C2508" s="11"/>
      <c r="D2508" s="12"/>
      <c r="E2508" s="10"/>
      <c r="F2508" s="10"/>
      <c r="G2508" s="10"/>
      <c r="H2508" s="14"/>
      <c r="I2508" s="14"/>
      <c r="J2508" s="14"/>
      <c r="K2508" s="14"/>
      <c r="L2508" s="14"/>
      <c r="M2508" s="15"/>
      <c r="N2508" s="10"/>
      <c r="O2508" s="14"/>
      <c r="P2508" s="14"/>
      <c r="Q2508" s="14"/>
      <c r="R2508" s="14"/>
      <c r="S2508" s="14"/>
      <c r="T2508" s="14"/>
      <c r="U2508" s="14"/>
      <c r="V2508" s="14"/>
      <c r="W2508" s="14"/>
      <c r="X2508" s="14"/>
      <c r="Y2508" s="14"/>
      <c r="Z2508" s="14"/>
      <c r="AA2508" s="16"/>
      <c r="AB2508" s="10"/>
      <c r="AC2508" s="10"/>
      <c r="AD2508" s="10"/>
      <c r="AE2508" s="10"/>
      <c r="AF2508" s="10"/>
      <c r="AG2508" s="10"/>
      <c r="AH2508" s="10"/>
      <c r="AI2508" s="10"/>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M2508" s="10"/>
    </row>
    <row r="2509" spans="1:65" ht="12.75">
      <c r="A2509" s="9"/>
      <c r="B2509" s="10"/>
      <c r="C2509" s="11"/>
      <c r="D2509" s="12"/>
      <c r="E2509" s="10"/>
      <c r="F2509" s="10"/>
      <c r="G2509" s="10"/>
      <c r="H2509" s="14"/>
      <c r="I2509" s="14"/>
      <c r="J2509" s="14"/>
      <c r="K2509" s="14"/>
      <c r="L2509" s="14"/>
      <c r="M2509" s="15"/>
      <c r="N2509" s="10"/>
      <c r="O2509" s="14"/>
      <c r="P2509" s="14"/>
      <c r="Q2509" s="14"/>
      <c r="R2509" s="14"/>
      <c r="S2509" s="14"/>
      <c r="T2509" s="14"/>
      <c r="U2509" s="14"/>
      <c r="V2509" s="14"/>
      <c r="W2509" s="14"/>
      <c r="X2509" s="14"/>
      <c r="Y2509" s="14"/>
      <c r="Z2509" s="14"/>
      <c r="AA2509" s="16"/>
      <c r="AB2509" s="10"/>
      <c r="AC2509" s="10"/>
      <c r="AD2509" s="10"/>
      <c r="AE2509" s="10"/>
      <c r="AF2509" s="10"/>
      <c r="AG2509" s="10"/>
      <c r="AH2509" s="10"/>
      <c r="AI2509" s="10"/>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M2509" s="10"/>
    </row>
    <row r="2510" spans="1:65" ht="12.75">
      <c r="A2510" s="9"/>
      <c r="B2510" s="10"/>
      <c r="C2510" s="11"/>
      <c r="D2510" s="12"/>
      <c r="E2510" s="10"/>
      <c r="F2510" s="10"/>
      <c r="G2510" s="10"/>
      <c r="H2510" s="14"/>
      <c r="I2510" s="14"/>
      <c r="J2510" s="14"/>
      <c r="K2510" s="14"/>
      <c r="L2510" s="14"/>
      <c r="M2510" s="15"/>
      <c r="N2510" s="10"/>
      <c r="O2510" s="14"/>
      <c r="P2510" s="14"/>
      <c r="Q2510" s="14"/>
      <c r="R2510" s="14"/>
      <c r="S2510" s="14"/>
      <c r="T2510" s="14"/>
      <c r="U2510" s="14"/>
      <c r="V2510" s="14"/>
      <c r="W2510" s="14"/>
      <c r="X2510" s="14"/>
      <c r="Y2510" s="14"/>
      <c r="Z2510" s="14"/>
      <c r="AA2510" s="16"/>
      <c r="AB2510" s="10"/>
      <c r="AC2510" s="10"/>
      <c r="AD2510" s="10"/>
      <c r="AE2510" s="10"/>
      <c r="AF2510" s="10"/>
      <c r="AG2510" s="10"/>
      <c r="AH2510" s="10"/>
      <c r="AI2510" s="10"/>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M2510" s="10"/>
    </row>
    <row r="2511" spans="1:65" ht="12.75">
      <c r="A2511" s="9"/>
      <c r="B2511" s="10"/>
      <c r="C2511" s="11"/>
      <c r="D2511" s="12"/>
      <c r="E2511" s="10"/>
      <c r="F2511" s="10"/>
      <c r="G2511" s="10"/>
      <c r="H2511" s="14"/>
      <c r="I2511" s="14"/>
      <c r="J2511" s="14"/>
      <c r="K2511" s="14"/>
      <c r="L2511" s="14"/>
      <c r="M2511" s="15"/>
      <c r="N2511" s="10"/>
      <c r="O2511" s="14"/>
      <c r="P2511" s="14"/>
      <c r="Q2511" s="14"/>
      <c r="R2511" s="14"/>
      <c r="S2511" s="14"/>
      <c r="T2511" s="14"/>
      <c r="U2511" s="14"/>
      <c r="V2511" s="14"/>
      <c r="W2511" s="14"/>
      <c r="X2511" s="14"/>
      <c r="Y2511" s="14"/>
      <c r="Z2511" s="14"/>
      <c r="AA2511" s="16"/>
      <c r="AB2511" s="10"/>
      <c r="AC2511" s="10"/>
      <c r="AD2511" s="10"/>
      <c r="AE2511" s="10"/>
      <c r="AF2511" s="10"/>
      <c r="AG2511" s="10"/>
      <c r="AH2511" s="10"/>
      <c r="AI2511" s="10"/>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c r="BM2511" s="10"/>
    </row>
    <row r="2512" spans="1:65" ht="12.75">
      <c r="A2512" s="9"/>
      <c r="B2512" s="10"/>
      <c r="C2512" s="11"/>
      <c r="D2512" s="12"/>
      <c r="E2512" s="10"/>
      <c r="F2512" s="10"/>
      <c r="G2512" s="10"/>
      <c r="H2512" s="14"/>
      <c r="I2512" s="14"/>
      <c r="J2512" s="14"/>
      <c r="K2512" s="14"/>
      <c r="L2512" s="14"/>
      <c r="M2512" s="15"/>
      <c r="N2512" s="10"/>
      <c r="O2512" s="14"/>
      <c r="P2512" s="14"/>
      <c r="Q2512" s="14"/>
      <c r="R2512" s="14"/>
      <c r="S2512" s="14"/>
      <c r="T2512" s="14"/>
      <c r="U2512" s="14"/>
      <c r="V2512" s="14"/>
      <c r="W2512" s="14"/>
      <c r="X2512" s="14"/>
      <c r="Y2512" s="14"/>
      <c r="Z2512" s="14"/>
      <c r="AA2512" s="16"/>
      <c r="AB2512" s="10"/>
      <c r="AC2512" s="10"/>
      <c r="AD2512" s="10"/>
      <c r="AE2512" s="10"/>
      <c r="AF2512" s="10"/>
      <c r="AG2512" s="10"/>
      <c r="AH2512" s="10"/>
      <c r="AI2512" s="10"/>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10"/>
      <c r="BK2512" s="10"/>
      <c r="BM2512" s="10"/>
    </row>
    <row r="2513" spans="1:65" ht="12.75">
      <c r="A2513" s="9"/>
      <c r="B2513" s="10"/>
      <c r="C2513" s="11"/>
      <c r="D2513" s="12"/>
      <c r="E2513" s="10"/>
      <c r="F2513" s="10"/>
      <c r="G2513" s="10"/>
      <c r="H2513" s="14"/>
      <c r="I2513" s="14"/>
      <c r="J2513" s="14"/>
      <c r="K2513" s="14"/>
      <c r="L2513" s="14"/>
      <c r="M2513" s="15"/>
      <c r="N2513" s="10"/>
      <c r="O2513" s="14"/>
      <c r="P2513" s="14"/>
      <c r="Q2513" s="14"/>
      <c r="R2513" s="14"/>
      <c r="S2513" s="14"/>
      <c r="T2513" s="14"/>
      <c r="U2513" s="14"/>
      <c r="V2513" s="14"/>
      <c r="W2513" s="14"/>
      <c r="X2513" s="14"/>
      <c r="Y2513" s="14"/>
      <c r="Z2513" s="14"/>
      <c r="AA2513" s="16"/>
      <c r="AB2513" s="10"/>
      <c r="AC2513" s="10"/>
      <c r="AD2513" s="10"/>
      <c r="AE2513" s="10"/>
      <c r="AF2513" s="10"/>
      <c r="AG2513" s="10"/>
      <c r="AH2513" s="10"/>
      <c r="AI2513" s="10"/>
      <c r="AJ2513" s="10"/>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10"/>
      <c r="BJ2513" s="10"/>
      <c r="BK2513" s="10"/>
      <c r="BM2513" s="10"/>
    </row>
    <row r="2514" spans="1:65" ht="12.75">
      <c r="A2514" s="9"/>
      <c r="B2514" s="10"/>
      <c r="C2514" s="11"/>
      <c r="D2514" s="12"/>
      <c r="E2514" s="10"/>
      <c r="F2514" s="10"/>
      <c r="G2514" s="10"/>
      <c r="H2514" s="14"/>
      <c r="I2514" s="14"/>
      <c r="J2514" s="14"/>
      <c r="K2514" s="14"/>
      <c r="L2514" s="14"/>
      <c r="M2514" s="15"/>
      <c r="N2514" s="10"/>
      <c r="O2514" s="14"/>
      <c r="P2514" s="14"/>
      <c r="Q2514" s="14"/>
      <c r="R2514" s="14"/>
      <c r="S2514" s="14"/>
      <c r="T2514" s="14"/>
      <c r="U2514" s="14"/>
      <c r="V2514" s="14"/>
      <c r="W2514" s="14"/>
      <c r="X2514" s="14"/>
      <c r="Y2514" s="14"/>
      <c r="Z2514" s="14"/>
      <c r="AA2514" s="16"/>
      <c r="AB2514" s="10"/>
      <c r="AC2514" s="10"/>
      <c r="AD2514" s="10"/>
      <c r="AE2514" s="10"/>
      <c r="AF2514" s="10"/>
      <c r="AG2514" s="10"/>
      <c r="AH2514" s="10"/>
      <c r="AI2514" s="10"/>
      <c r="AJ2514" s="10"/>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10"/>
      <c r="BJ2514" s="10"/>
      <c r="BK2514" s="10"/>
      <c r="BM2514" s="10"/>
    </row>
    <row r="2515" spans="1:65" ht="12.75">
      <c r="A2515" s="9"/>
      <c r="B2515" s="10"/>
      <c r="C2515" s="11"/>
      <c r="D2515" s="12"/>
      <c r="E2515" s="10"/>
      <c r="F2515" s="10"/>
      <c r="G2515" s="10"/>
      <c r="H2515" s="14"/>
      <c r="I2515" s="14"/>
      <c r="J2515" s="14"/>
      <c r="K2515" s="14"/>
      <c r="L2515" s="14"/>
      <c r="M2515" s="15"/>
      <c r="N2515" s="10"/>
      <c r="O2515" s="14"/>
      <c r="P2515" s="14"/>
      <c r="Q2515" s="14"/>
      <c r="R2515" s="14"/>
      <c r="S2515" s="14"/>
      <c r="T2515" s="14"/>
      <c r="U2515" s="14"/>
      <c r="V2515" s="14"/>
      <c r="W2515" s="14"/>
      <c r="X2515" s="14"/>
      <c r="Y2515" s="14"/>
      <c r="Z2515" s="14"/>
      <c r="AA2515" s="16"/>
      <c r="AB2515" s="10"/>
      <c r="AC2515" s="10"/>
      <c r="AD2515" s="10"/>
      <c r="AE2515" s="10"/>
      <c r="AF2515" s="10"/>
      <c r="AG2515" s="10"/>
      <c r="AH2515" s="10"/>
      <c r="AI2515" s="10"/>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M2515" s="10"/>
    </row>
    <row r="2516" spans="1:65" ht="12.75">
      <c r="A2516" s="9"/>
      <c r="B2516" s="10"/>
      <c r="C2516" s="11"/>
      <c r="D2516" s="12"/>
      <c r="E2516" s="10"/>
      <c r="F2516" s="10"/>
      <c r="G2516" s="10"/>
      <c r="H2516" s="14"/>
      <c r="I2516" s="14"/>
      <c r="J2516" s="14"/>
      <c r="K2516" s="14"/>
      <c r="L2516" s="14"/>
      <c r="M2516" s="15"/>
      <c r="N2516" s="10"/>
      <c r="O2516" s="14"/>
      <c r="P2516" s="14"/>
      <c r="Q2516" s="14"/>
      <c r="R2516" s="14"/>
      <c r="S2516" s="14"/>
      <c r="T2516" s="14"/>
      <c r="U2516" s="14"/>
      <c r="V2516" s="14"/>
      <c r="W2516" s="14"/>
      <c r="X2516" s="14"/>
      <c r="Y2516" s="14"/>
      <c r="Z2516" s="14"/>
      <c r="AA2516" s="16"/>
      <c r="AB2516" s="10"/>
      <c r="AC2516" s="10"/>
      <c r="AD2516" s="10"/>
      <c r="AE2516" s="10"/>
      <c r="AF2516" s="10"/>
      <c r="AG2516" s="10"/>
      <c r="AH2516" s="10"/>
      <c r="AI2516" s="10"/>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M2516" s="10"/>
    </row>
    <row r="2517" spans="1:65" ht="12.75">
      <c r="A2517" s="9"/>
      <c r="B2517" s="10"/>
      <c r="C2517" s="11"/>
      <c r="D2517" s="12"/>
      <c r="E2517" s="10"/>
      <c r="F2517" s="10"/>
      <c r="G2517" s="10"/>
      <c r="H2517" s="14"/>
      <c r="I2517" s="14"/>
      <c r="J2517" s="14"/>
      <c r="K2517" s="14"/>
      <c r="L2517" s="14"/>
      <c r="M2517" s="15"/>
      <c r="N2517" s="10"/>
      <c r="O2517" s="14"/>
      <c r="P2517" s="14"/>
      <c r="Q2517" s="14"/>
      <c r="R2517" s="14"/>
      <c r="S2517" s="14"/>
      <c r="T2517" s="14"/>
      <c r="U2517" s="14"/>
      <c r="V2517" s="14"/>
      <c r="W2517" s="14"/>
      <c r="X2517" s="14"/>
      <c r="Y2517" s="14"/>
      <c r="Z2517" s="14"/>
      <c r="AA2517" s="16"/>
      <c r="AB2517" s="10"/>
      <c r="AC2517" s="10"/>
      <c r="AD2517" s="10"/>
      <c r="AE2517" s="10"/>
      <c r="AF2517" s="10"/>
      <c r="AG2517" s="10"/>
      <c r="AH2517" s="10"/>
      <c r="AI2517" s="10"/>
      <c r="AJ2517" s="10"/>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10"/>
      <c r="BJ2517" s="10"/>
      <c r="BK2517" s="10"/>
      <c r="BM2517" s="10"/>
    </row>
    <row r="2518" spans="1:65" ht="12.75">
      <c r="A2518" s="9"/>
      <c r="B2518" s="10"/>
      <c r="C2518" s="11"/>
      <c r="D2518" s="12"/>
      <c r="E2518" s="10"/>
      <c r="F2518" s="10"/>
      <c r="G2518" s="10"/>
      <c r="H2518" s="14"/>
      <c r="I2518" s="14"/>
      <c r="J2518" s="14"/>
      <c r="K2518" s="14"/>
      <c r="L2518" s="14"/>
      <c r="M2518" s="15"/>
      <c r="N2518" s="10"/>
      <c r="O2518" s="14"/>
      <c r="P2518" s="14"/>
      <c r="Q2518" s="14"/>
      <c r="R2518" s="14"/>
      <c r="S2518" s="14"/>
      <c r="T2518" s="14"/>
      <c r="U2518" s="14"/>
      <c r="V2518" s="14"/>
      <c r="W2518" s="14"/>
      <c r="X2518" s="14"/>
      <c r="Y2518" s="14"/>
      <c r="Z2518" s="14"/>
      <c r="AA2518" s="16"/>
      <c r="AB2518" s="10"/>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10"/>
      <c r="BJ2518" s="10"/>
      <c r="BK2518" s="10"/>
      <c r="BM2518" s="10"/>
    </row>
    <row r="2519" spans="1:65" ht="12.75">
      <c r="A2519" s="9"/>
      <c r="B2519" s="10"/>
      <c r="C2519" s="11"/>
      <c r="D2519" s="12"/>
      <c r="E2519" s="10"/>
      <c r="F2519" s="10"/>
      <c r="G2519" s="10"/>
      <c r="H2519" s="14"/>
      <c r="I2519" s="14"/>
      <c r="J2519" s="14"/>
      <c r="K2519" s="14"/>
      <c r="L2519" s="14"/>
      <c r="M2519" s="15"/>
      <c r="N2519" s="10"/>
      <c r="O2519" s="14"/>
      <c r="P2519" s="14"/>
      <c r="Q2519" s="14"/>
      <c r="R2519" s="14"/>
      <c r="S2519" s="14"/>
      <c r="T2519" s="14"/>
      <c r="U2519" s="14"/>
      <c r="V2519" s="14"/>
      <c r="W2519" s="14"/>
      <c r="X2519" s="14"/>
      <c r="Y2519" s="14"/>
      <c r="Z2519" s="14"/>
      <c r="AA2519" s="16"/>
      <c r="AB2519" s="10"/>
      <c r="AC2519" s="10"/>
      <c r="AD2519" s="10"/>
      <c r="AE2519" s="10"/>
      <c r="AF2519" s="10"/>
      <c r="AG2519" s="10"/>
      <c r="AH2519" s="10"/>
      <c r="AI2519" s="10"/>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M2519" s="10"/>
    </row>
    <row r="2520" spans="1:65" ht="12.75">
      <c r="A2520" s="9"/>
      <c r="B2520" s="10"/>
      <c r="C2520" s="11"/>
      <c r="D2520" s="12"/>
      <c r="E2520" s="10"/>
      <c r="F2520" s="10"/>
      <c r="G2520" s="10"/>
      <c r="H2520" s="14"/>
      <c r="I2520" s="14"/>
      <c r="J2520" s="14"/>
      <c r="K2520" s="14"/>
      <c r="L2520" s="14"/>
      <c r="M2520" s="15"/>
      <c r="N2520" s="10"/>
      <c r="O2520" s="14"/>
      <c r="P2520" s="14"/>
      <c r="Q2520" s="14"/>
      <c r="R2520" s="14"/>
      <c r="S2520" s="14"/>
      <c r="T2520" s="14"/>
      <c r="U2520" s="14"/>
      <c r="V2520" s="14"/>
      <c r="W2520" s="14"/>
      <c r="X2520" s="14"/>
      <c r="Y2520" s="14"/>
      <c r="Z2520" s="14"/>
      <c r="AA2520" s="16"/>
      <c r="AB2520" s="10"/>
      <c r="AC2520" s="10"/>
      <c r="AD2520" s="10"/>
      <c r="AE2520" s="10"/>
      <c r="AF2520" s="10"/>
      <c r="AG2520" s="10"/>
      <c r="AH2520" s="10"/>
      <c r="AI2520" s="10"/>
      <c r="AJ2520" s="10"/>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M2520" s="10"/>
    </row>
    <row r="2521" spans="1:65" ht="12.75">
      <c r="A2521" s="9"/>
      <c r="B2521" s="10"/>
      <c r="C2521" s="11"/>
      <c r="D2521" s="12"/>
      <c r="E2521" s="10"/>
      <c r="F2521" s="10"/>
      <c r="G2521" s="10"/>
      <c r="H2521" s="14"/>
      <c r="I2521" s="14"/>
      <c r="J2521" s="14"/>
      <c r="K2521" s="14"/>
      <c r="L2521" s="14"/>
      <c r="M2521" s="15"/>
      <c r="N2521" s="10"/>
      <c r="O2521" s="14"/>
      <c r="P2521" s="14"/>
      <c r="Q2521" s="14"/>
      <c r="R2521" s="14"/>
      <c r="S2521" s="14"/>
      <c r="T2521" s="14"/>
      <c r="U2521" s="14"/>
      <c r="V2521" s="14"/>
      <c r="W2521" s="14"/>
      <c r="X2521" s="14"/>
      <c r="Y2521" s="14"/>
      <c r="Z2521" s="14"/>
      <c r="AA2521" s="16"/>
      <c r="AB2521" s="10"/>
      <c r="AC2521" s="10"/>
      <c r="AD2521" s="10"/>
      <c r="AE2521" s="10"/>
      <c r="AF2521" s="10"/>
      <c r="AG2521" s="10"/>
      <c r="AH2521" s="10"/>
      <c r="AI2521" s="10"/>
      <c r="AJ2521" s="10"/>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10"/>
      <c r="BJ2521" s="10"/>
      <c r="BK2521" s="10"/>
      <c r="BM2521" s="10"/>
    </row>
    <row r="2522" spans="1:65" ht="12.75">
      <c r="A2522" s="9"/>
      <c r="B2522" s="10"/>
      <c r="C2522" s="11"/>
      <c r="D2522" s="12"/>
      <c r="E2522" s="10"/>
      <c r="F2522" s="10"/>
      <c r="G2522" s="10"/>
      <c r="H2522" s="14"/>
      <c r="I2522" s="14"/>
      <c r="J2522" s="14"/>
      <c r="K2522" s="14"/>
      <c r="L2522" s="14"/>
      <c r="M2522" s="15"/>
      <c r="N2522" s="10"/>
      <c r="O2522" s="14"/>
      <c r="P2522" s="14"/>
      <c r="Q2522" s="14"/>
      <c r="R2522" s="14"/>
      <c r="S2522" s="14"/>
      <c r="T2522" s="14"/>
      <c r="U2522" s="14"/>
      <c r="V2522" s="14"/>
      <c r="W2522" s="14"/>
      <c r="X2522" s="14"/>
      <c r="Y2522" s="14"/>
      <c r="Z2522" s="14"/>
      <c r="AA2522" s="16"/>
      <c r="AB2522" s="10"/>
      <c r="AC2522" s="10"/>
      <c r="AD2522" s="10"/>
      <c r="AE2522" s="10"/>
      <c r="AF2522" s="10"/>
      <c r="AG2522" s="10"/>
      <c r="AH2522" s="10"/>
      <c r="AI2522" s="10"/>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c r="BM2522" s="10"/>
    </row>
    <row r="2523" spans="1:65" ht="12.75">
      <c r="A2523" s="9"/>
      <c r="B2523" s="10"/>
      <c r="C2523" s="11"/>
      <c r="D2523" s="12"/>
      <c r="E2523" s="10"/>
      <c r="F2523" s="10"/>
      <c r="G2523" s="10"/>
      <c r="H2523" s="14"/>
      <c r="I2523" s="14"/>
      <c r="J2523" s="14"/>
      <c r="K2523" s="14"/>
      <c r="L2523" s="14"/>
      <c r="M2523" s="15"/>
      <c r="N2523" s="10"/>
      <c r="O2523" s="14"/>
      <c r="P2523" s="14"/>
      <c r="Q2523" s="14"/>
      <c r="R2523" s="14"/>
      <c r="S2523" s="14"/>
      <c r="T2523" s="14"/>
      <c r="U2523" s="14"/>
      <c r="V2523" s="14"/>
      <c r="W2523" s="14"/>
      <c r="X2523" s="14"/>
      <c r="Y2523" s="14"/>
      <c r="Z2523" s="14"/>
      <c r="AA2523" s="16"/>
      <c r="AB2523" s="10"/>
      <c r="AC2523" s="10"/>
      <c r="AD2523" s="10"/>
      <c r="AE2523" s="10"/>
      <c r="AF2523" s="10"/>
      <c r="AG2523" s="10"/>
      <c r="AH2523" s="10"/>
      <c r="AI2523" s="10"/>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c r="BM2523" s="10"/>
    </row>
    <row r="2524" spans="1:65" ht="12.75">
      <c r="A2524" s="9"/>
      <c r="B2524" s="10"/>
      <c r="C2524" s="11"/>
      <c r="D2524" s="12"/>
      <c r="E2524" s="10"/>
      <c r="F2524" s="10"/>
      <c r="G2524" s="10"/>
      <c r="H2524" s="14"/>
      <c r="I2524" s="14"/>
      <c r="J2524" s="14"/>
      <c r="K2524" s="14"/>
      <c r="L2524" s="14"/>
      <c r="M2524" s="15"/>
      <c r="N2524" s="10"/>
      <c r="O2524" s="14"/>
      <c r="P2524" s="14"/>
      <c r="Q2524" s="14"/>
      <c r="R2524" s="14"/>
      <c r="S2524" s="14"/>
      <c r="T2524" s="14"/>
      <c r="U2524" s="14"/>
      <c r="V2524" s="14"/>
      <c r="W2524" s="14"/>
      <c r="X2524" s="14"/>
      <c r="Y2524" s="14"/>
      <c r="Z2524" s="14"/>
      <c r="AA2524" s="16"/>
      <c r="AB2524" s="10"/>
      <c r="AC2524" s="10"/>
      <c r="AD2524" s="10"/>
      <c r="AE2524" s="10"/>
      <c r="AF2524" s="10"/>
      <c r="AG2524" s="10"/>
      <c r="AH2524" s="10"/>
      <c r="AI2524" s="10"/>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M2524" s="10"/>
    </row>
    <row r="2525" spans="1:65" ht="12.75">
      <c r="A2525" s="9"/>
      <c r="B2525" s="10"/>
      <c r="C2525" s="11"/>
      <c r="D2525" s="12"/>
      <c r="E2525" s="10"/>
      <c r="F2525" s="10"/>
      <c r="G2525" s="10"/>
      <c r="H2525" s="14"/>
      <c r="I2525" s="14"/>
      <c r="J2525" s="14"/>
      <c r="K2525" s="14"/>
      <c r="L2525" s="14"/>
      <c r="M2525" s="15"/>
      <c r="N2525" s="10"/>
      <c r="O2525" s="14"/>
      <c r="P2525" s="14"/>
      <c r="Q2525" s="14"/>
      <c r="R2525" s="14"/>
      <c r="S2525" s="14"/>
      <c r="T2525" s="14"/>
      <c r="U2525" s="14"/>
      <c r="V2525" s="14"/>
      <c r="W2525" s="14"/>
      <c r="X2525" s="14"/>
      <c r="Y2525" s="14"/>
      <c r="Z2525" s="14"/>
      <c r="AA2525" s="16"/>
      <c r="AB2525" s="10"/>
      <c r="AC2525" s="10"/>
      <c r="AD2525" s="10"/>
      <c r="AE2525" s="10"/>
      <c r="AF2525" s="10"/>
      <c r="AG2525" s="10"/>
      <c r="AH2525" s="10"/>
      <c r="AI2525" s="10"/>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M2525" s="10"/>
    </row>
    <row r="2526" spans="1:65" ht="12.75">
      <c r="A2526" s="9"/>
      <c r="B2526" s="10"/>
      <c r="C2526" s="11"/>
      <c r="D2526" s="12"/>
      <c r="E2526" s="10"/>
      <c r="F2526" s="10"/>
      <c r="G2526" s="10"/>
      <c r="H2526" s="14"/>
      <c r="I2526" s="14"/>
      <c r="J2526" s="14"/>
      <c r="K2526" s="14"/>
      <c r="L2526" s="14"/>
      <c r="M2526" s="15"/>
      <c r="N2526" s="10"/>
      <c r="O2526" s="14"/>
      <c r="P2526" s="14"/>
      <c r="Q2526" s="14"/>
      <c r="R2526" s="14"/>
      <c r="S2526" s="14"/>
      <c r="T2526" s="14"/>
      <c r="U2526" s="14"/>
      <c r="V2526" s="14"/>
      <c r="W2526" s="14"/>
      <c r="X2526" s="14"/>
      <c r="Y2526" s="14"/>
      <c r="Z2526" s="14"/>
      <c r="AA2526" s="16"/>
      <c r="AB2526" s="10"/>
      <c r="AC2526" s="10"/>
      <c r="AD2526" s="10"/>
      <c r="AE2526" s="10"/>
      <c r="AF2526" s="10"/>
      <c r="AG2526" s="10"/>
      <c r="AH2526" s="10"/>
      <c r="AI2526" s="10"/>
      <c r="AJ2526" s="10"/>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10"/>
      <c r="BJ2526" s="10"/>
      <c r="BK2526" s="10"/>
      <c r="BM2526" s="10"/>
    </row>
    <row r="2527" spans="1:65" ht="12.75">
      <c r="A2527" s="9"/>
      <c r="B2527" s="10"/>
      <c r="C2527" s="11"/>
      <c r="D2527" s="12"/>
      <c r="E2527" s="10"/>
      <c r="F2527" s="10"/>
      <c r="G2527" s="10"/>
      <c r="H2527" s="14"/>
      <c r="I2527" s="14"/>
      <c r="J2527" s="14"/>
      <c r="K2527" s="14"/>
      <c r="L2527" s="14"/>
      <c r="M2527" s="15"/>
      <c r="N2527" s="10"/>
      <c r="O2527" s="14"/>
      <c r="P2527" s="14"/>
      <c r="Q2527" s="14"/>
      <c r="R2527" s="14"/>
      <c r="S2527" s="14"/>
      <c r="T2527" s="14"/>
      <c r="U2527" s="14"/>
      <c r="V2527" s="14"/>
      <c r="W2527" s="14"/>
      <c r="X2527" s="14"/>
      <c r="Y2527" s="14"/>
      <c r="Z2527" s="14"/>
      <c r="AA2527" s="16"/>
      <c r="AB2527" s="10"/>
      <c r="AC2527" s="10"/>
      <c r="AD2527" s="10"/>
      <c r="AE2527" s="10"/>
      <c r="AF2527" s="10"/>
      <c r="AG2527" s="10"/>
      <c r="AH2527" s="10"/>
      <c r="AI2527" s="10"/>
      <c r="AJ2527" s="10"/>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10"/>
      <c r="BJ2527" s="10"/>
      <c r="BK2527" s="10"/>
      <c r="BM2527" s="10"/>
    </row>
    <row r="2528" spans="1:65" ht="12.75">
      <c r="A2528" s="9"/>
      <c r="B2528" s="10"/>
      <c r="C2528" s="11"/>
      <c r="D2528" s="12"/>
      <c r="E2528" s="10"/>
      <c r="F2528" s="10"/>
      <c r="G2528" s="10"/>
      <c r="H2528" s="14"/>
      <c r="I2528" s="14"/>
      <c r="J2528" s="14"/>
      <c r="K2528" s="14"/>
      <c r="L2528" s="14"/>
      <c r="M2528" s="15"/>
      <c r="N2528" s="10"/>
      <c r="O2528" s="14"/>
      <c r="P2528" s="14"/>
      <c r="Q2528" s="14"/>
      <c r="R2528" s="14"/>
      <c r="S2528" s="14"/>
      <c r="T2528" s="14"/>
      <c r="U2528" s="14"/>
      <c r="V2528" s="14"/>
      <c r="W2528" s="14"/>
      <c r="X2528" s="14"/>
      <c r="Y2528" s="14"/>
      <c r="Z2528" s="14"/>
      <c r="AA2528" s="16"/>
      <c r="AB2528" s="10"/>
      <c r="AC2528" s="10"/>
      <c r="AD2528" s="10"/>
      <c r="AE2528" s="10"/>
      <c r="AF2528" s="10"/>
      <c r="AG2528" s="10"/>
      <c r="AH2528" s="10"/>
      <c r="AI2528" s="10"/>
      <c r="AJ2528" s="10"/>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M2528" s="10"/>
    </row>
    <row r="2529" spans="1:65" ht="12.75">
      <c r="A2529" s="9"/>
      <c r="B2529" s="10"/>
      <c r="C2529" s="11"/>
      <c r="D2529" s="12"/>
      <c r="E2529" s="10"/>
      <c r="F2529" s="10"/>
      <c r="G2529" s="10"/>
      <c r="H2529" s="14"/>
      <c r="I2529" s="14"/>
      <c r="J2529" s="14"/>
      <c r="K2529" s="14"/>
      <c r="L2529" s="14"/>
      <c r="M2529" s="15"/>
      <c r="N2529" s="10"/>
      <c r="O2529" s="14"/>
      <c r="P2529" s="14"/>
      <c r="Q2529" s="14"/>
      <c r="R2529" s="14"/>
      <c r="S2529" s="14"/>
      <c r="T2529" s="14"/>
      <c r="U2529" s="14"/>
      <c r="V2529" s="14"/>
      <c r="W2529" s="14"/>
      <c r="X2529" s="14"/>
      <c r="Y2529" s="14"/>
      <c r="Z2529" s="14"/>
      <c r="AA2529" s="16"/>
      <c r="AB2529" s="10"/>
      <c r="AC2529" s="10"/>
      <c r="AD2529" s="10"/>
      <c r="AE2529" s="10"/>
      <c r="AF2529" s="10"/>
      <c r="AG2529" s="10"/>
      <c r="AH2529" s="10"/>
      <c r="AI2529" s="10"/>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M2529" s="10"/>
    </row>
    <row r="2530" spans="1:65" ht="12.75">
      <c r="A2530" s="9"/>
      <c r="B2530" s="10"/>
      <c r="C2530" s="11"/>
      <c r="D2530" s="12"/>
      <c r="E2530" s="10"/>
      <c r="F2530" s="10"/>
      <c r="G2530" s="10"/>
      <c r="H2530" s="14"/>
      <c r="I2530" s="14"/>
      <c r="J2530" s="14"/>
      <c r="K2530" s="14"/>
      <c r="L2530" s="14"/>
      <c r="M2530" s="15"/>
      <c r="N2530" s="10"/>
      <c r="O2530" s="14"/>
      <c r="P2530" s="14"/>
      <c r="Q2530" s="14"/>
      <c r="R2530" s="14"/>
      <c r="S2530" s="14"/>
      <c r="T2530" s="14"/>
      <c r="U2530" s="14"/>
      <c r="V2530" s="14"/>
      <c r="W2530" s="14"/>
      <c r="X2530" s="14"/>
      <c r="Y2530" s="14"/>
      <c r="Z2530" s="14"/>
      <c r="AA2530" s="16"/>
      <c r="AB2530" s="10"/>
      <c r="AC2530" s="10"/>
      <c r="AD2530" s="10"/>
      <c r="AE2530" s="10"/>
      <c r="AF2530" s="10"/>
      <c r="AG2530" s="10"/>
      <c r="AH2530" s="10"/>
      <c r="AI2530" s="10"/>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M2530" s="10"/>
    </row>
    <row r="2531" spans="1:65" ht="12.75">
      <c r="A2531" s="9"/>
      <c r="B2531" s="10"/>
      <c r="C2531" s="11"/>
      <c r="D2531" s="12"/>
      <c r="E2531" s="10"/>
      <c r="F2531" s="10"/>
      <c r="G2531" s="10"/>
      <c r="H2531" s="14"/>
      <c r="I2531" s="14"/>
      <c r="J2531" s="14"/>
      <c r="K2531" s="14"/>
      <c r="L2531" s="14"/>
      <c r="M2531" s="15"/>
      <c r="N2531" s="10"/>
      <c r="O2531" s="14"/>
      <c r="P2531" s="14"/>
      <c r="Q2531" s="14"/>
      <c r="R2531" s="14"/>
      <c r="S2531" s="14"/>
      <c r="T2531" s="14"/>
      <c r="U2531" s="14"/>
      <c r="V2531" s="14"/>
      <c r="W2531" s="14"/>
      <c r="X2531" s="14"/>
      <c r="Y2531" s="14"/>
      <c r="Z2531" s="14"/>
      <c r="AA2531" s="16"/>
      <c r="AB2531" s="10"/>
      <c r="AC2531" s="10"/>
      <c r="AD2531" s="10"/>
      <c r="AE2531" s="10"/>
      <c r="AF2531" s="10"/>
      <c r="AG2531" s="10"/>
      <c r="AH2531" s="10"/>
      <c r="AI2531" s="10"/>
      <c r="AJ2531" s="10"/>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10"/>
      <c r="BJ2531" s="10"/>
      <c r="BK2531" s="10"/>
      <c r="BM2531" s="10"/>
    </row>
    <row r="2532" spans="1:65" ht="12.75">
      <c r="A2532" s="9"/>
      <c r="B2532" s="10"/>
      <c r="C2532" s="11"/>
      <c r="D2532" s="12"/>
      <c r="E2532" s="10"/>
      <c r="F2532" s="10"/>
      <c r="G2532" s="10"/>
      <c r="H2532" s="14"/>
      <c r="I2532" s="14"/>
      <c r="J2532" s="14"/>
      <c r="K2532" s="14"/>
      <c r="L2532" s="14"/>
      <c r="M2532" s="15"/>
      <c r="N2532" s="10"/>
      <c r="O2532" s="14"/>
      <c r="P2532" s="14"/>
      <c r="Q2532" s="14"/>
      <c r="R2532" s="14"/>
      <c r="S2532" s="14"/>
      <c r="T2532" s="14"/>
      <c r="U2532" s="14"/>
      <c r="V2532" s="14"/>
      <c r="W2532" s="14"/>
      <c r="X2532" s="14"/>
      <c r="Y2532" s="14"/>
      <c r="Z2532" s="14"/>
      <c r="AA2532" s="16"/>
      <c r="AB2532" s="10"/>
      <c r="AC2532" s="10"/>
      <c r="AD2532" s="10"/>
      <c r="AE2532" s="10"/>
      <c r="AF2532" s="10"/>
      <c r="AG2532" s="10"/>
      <c r="AH2532" s="10"/>
      <c r="AI2532" s="10"/>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c r="BM2532" s="10"/>
    </row>
    <row r="2533" spans="1:65" ht="12.75">
      <c r="A2533" s="9"/>
      <c r="B2533" s="10"/>
      <c r="C2533" s="11"/>
      <c r="D2533" s="12"/>
      <c r="E2533" s="10"/>
      <c r="F2533" s="10"/>
      <c r="G2533" s="10"/>
      <c r="H2533" s="14"/>
      <c r="I2533" s="14"/>
      <c r="J2533" s="14"/>
      <c r="K2533" s="14"/>
      <c r="L2533" s="14"/>
      <c r="M2533" s="15"/>
      <c r="N2533" s="10"/>
      <c r="O2533" s="14"/>
      <c r="P2533" s="14"/>
      <c r="Q2533" s="14"/>
      <c r="R2533" s="14"/>
      <c r="S2533" s="14"/>
      <c r="T2533" s="14"/>
      <c r="U2533" s="14"/>
      <c r="V2533" s="14"/>
      <c r="W2533" s="14"/>
      <c r="X2533" s="14"/>
      <c r="Y2533" s="14"/>
      <c r="Z2533" s="14"/>
      <c r="AA2533" s="16"/>
      <c r="AB2533" s="10"/>
      <c r="AC2533" s="10"/>
      <c r="AD2533" s="10"/>
      <c r="AE2533" s="10"/>
      <c r="AF2533" s="10"/>
      <c r="AG2533" s="10"/>
      <c r="AH2533" s="10"/>
      <c r="AI2533" s="10"/>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M2533" s="10"/>
    </row>
    <row r="2534" spans="1:65" ht="12.75">
      <c r="A2534" s="9"/>
      <c r="B2534" s="10"/>
      <c r="C2534" s="11"/>
      <c r="D2534" s="12"/>
      <c r="E2534" s="10"/>
      <c r="F2534" s="10"/>
      <c r="G2534" s="10"/>
      <c r="H2534" s="14"/>
      <c r="I2534" s="14"/>
      <c r="J2534" s="14"/>
      <c r="K2534" s="14"/>
      <c r="L2534" s="14"/>
      <c r="M2534" s="15"/>
      <c r="N2534" s="10"/>
      <c r="O2534" s="14"/>
      <c r="P2534" s="14"/>
      <c r="Q2534" s="14"/>
      <c r="R2534" s="14"/>
      <c r="S2534" s="14"/>
      <c r="T2534" s="14"/>
      <c r="U2534" s="14"/>
      <c r="V2534" s="14"/>
      <c r="W2534" s="14"/>
      <c r="X2534" s="14"/>
      <c r="Y2534" s="14"/>
      <c r="Z2534" s="14"/>
      <c r="AA2534" s="16"/>
      <c r="AB2534" s="10"/>
      <c r="AC2534" s="10"/>
      <c r="AD2534" s="10"/>
      <c r="AE2534" s="10"/>
      <c r="AF2534" s="10"/>
      <c r="AG2534" s="10"/>
      <c r="AH2534" s="10"/>
      <c r="AI2534" s="10"/>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M2534" s="10"/>
    </row>
    <row r="2535" spans="1:65" ht="12.75">
      <c r="A2535" s="9"/>
      <c r="B2535" s="10"/>
      <c r="C2535" s="11"/>
      <c r="D2535" s="12"/>
      <c r="E2535" s="10"/>
      <c r="F2535" s="10"/>
      <c r="G2535" s="10"/>
      <c r="H2535" s="14"/>
      <c r="I2535" s="14"/>
      <c r="J2535" s="14"/>
      <c r="K2535" s="14"/>
      <c r="L2535" s="14"/>
      <c r="M2535" s="15"/>
      <c r="N2535" s="10"/>
      <c r="O2535" s="14"/>
      <c r="P2535" s="14"/>
      <c r="Q2535" s="14"/>
      <c r="R2535" s="14"/>
      <c r="S2535" s="14"/>
      <c r="T2535" s="14"/>
      <c r="U2535" s="14"/>
      <c r="V2535" s="14"/>
      <c r="W2535" s="14"/>
      <c r="X2535" s="14"/>
      <c r="Y2535" s="14"/>
      <c r="Z2535" s="14"/>
      <c r="AA2535" s="16"/>
      <c r="AB2535" s="10"/>
      <c r="AC2535" s="10"/>
      <c r="AD2535" s="10"/>
      <c r="AE2535" s="10"/>
      <c r="AF2535" s="10"/>
      <c r="AG2535" s="10"/>
      <c r="AH2535" s="10"/>
      <c r="AI2535" s="10"/>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M2535" s="10"/>
    </row>
    <row r="2536" spans="1:65" ht="12.75">
      <c r="A2536" s="9"/>
      <c r="B2536" s="10"/>
      <c r="C2536" s="11"/>
      <c r="D2536" s="12"/>
      <c r="E2536" s="10"/>
      <c r="F2536" s="10"/>
      <c r="G2536" s="10"/>
      <c r="H2536" s="14"/>
      <c r="I2536" s="14"/>
      <c r="J2536" s="14"/>
      <c r="K2536" s="14"/>
      <c r="L2536" s="14"/>
      <c r="M2536" s="15"/>
      <c r="N2536" s="10"/>
      <c r="O2536" s="14"/>
      <c r="P2536" s="14"/>
      <c r="Q2536" s="14"/>
      <c r="R2536" s="14"/>
      <c r="S2536" s="14"/>
      <c r="T2536" s="14"/>
      <c r="U2536" s="14"/>
      <c r="V2536" s="14"/>
      <c r="W2536" s="14"/>
      <c r="X2536" s="14"/>
      <c r="Y2536" s="14"/>
      <c r="Z2536" s="14"/>
      <c r="AA2536" s="16"/>
      <c r="AB2536" s="10"/>
      <c r="AC2536" s="10"/>
      <c r="AD2536" s="10"/>
      <c r="AE2536" s="10"/>
      <c r="AF2536" s="10"/>
      <c r="AG2536" s="10"/>
      <c r="AH2536" s="10"/>
      <c r="AI2536" s="10"/>
      <c r="AJ2536" s="10"/>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10"/>
      <c r="BJ2536" s="10"/>
      <c r="BK2536" s="10"/>
      <c r="BM2536" s="10"/>
    </row>
    <row r="2537" spans="1:65" ht="12.75">
      <c r="A2537" s="9"/>
      <c r="B2537" s="10"/>
      <c r="C2537" s="11"/>
      <c r="D2537" s="12"/>
      <c r="E2537" s="10"/>
      <c r="F2537" s="10"/>
      <c r="G2537" s="10"/>
      <c r="H2537" s="14"/>
      <c r="I2537" s="14"/>
      <c r="J2537" s="14"/>
      <c r="K2537" s="14"/>
      <c r="L2537" s="14"/>
      <c r="M2537" s="15"/>
      <c r="N2537" s="10"/>
      <c r="O2537" s="14"/>
      <c r="P2537" s="14"/>
      <c r="Q2537" s="14"/>
      <c r="R2537" s="14"/>
      <c r="S2537" s="14"/>
      <c r="T2537" s="14"/>
      <c r="U2537" s="14"/>
      <c r="V2537" s="14"/>
      <c r="W2537" s="14"/>
      <c r="X2537" s="14"/>
      <c r="Y2537" s="14"/>
      <c r="Z2537" s="14"/>
      <c r="AA2537" s="16"/>
      <c r="AB2537" s="10"/>
      <c r="AC2537" s="10"/>
      <c r="AD2537" s="10"/>
      <c r="AE2537" s="10"/>
      <c r="AF2537" s="10"/>
      <c r="AG2537" s="10"/>
      <c r="AH2537" s="10"/>
      <c r="AI2537" s="10"/>
      <c r="AJ2537" s="10"/>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10"/>
      <c r="BJ2537" s="10"/>
      <c r="BK2537" s="10"/>
      <c r="BM2537" s="10"/>
    </row>
    <row r="2538" spans="1:65" ht="12.75">
      <c r="A2538" s="9"/>
      <c r="B2538" s="10"/>
      <c r="C2538" s="11"/>
      <c r="D2538" s="12"/>
      <c r="E2538" s="10"/>
      <c r="F2538" s="10"/>
      <c r="G2538" s="10"/>
      <c r="H2538" s="14"/>
      <c r="I2538" s="14"/>
      <c r="J2538" s="14"/>
      <c r="K2538" s="14"/>
      <c r="L2538" s="14"/>
      <c r="M2538" s="15"/>
      <c r="N2538" s="10"/>
      <c r="O2538" s="14"/>
      <c r="P2538" s="14"/>
      <c r="Q2538" s="14"/>
      <c r="R2538" s="14"/>
      <c r="S2538" s="14"/>
      <c r="T2538" s="14"/>
      <c r="U2538" s="14"/>
      <c r="V2538" s="14"/>
      <c r="W2538" s="14"/>
      <c r="X2538" s="14"/>
      <c r="Y2538" s="14"/>
      <c r="Z2538" s="14"/>
      <c r="AA2538" s="16"/>
      <c r="AB2538" s="10"/>
      <c r="AC2538" s="10"/>
      <c r="AD2538" s="10"/>
      <c r="AE2538" s="10"/>
      <c r="AF2538" s="10"/>
      <c r="AG2538" s="10"/>
      <c r="AH2538" s="10"/>
      <c r="AI2538" s="10"/>
      <c r="AJ2538" s="10"/>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10"/>
      <c r="BJ2538" s="10"/>
      <c r="BK2538" s="10"/>
      <c r="BM2538" s="10"/>
    </row>
    <row r="2539" spans="1:65" ht="12.75">
      <c r="A2539" s="9"/>
      <c r="B2539" s="10"/>
      <c r="C2539" s="11"/>
      <c r="D2539" s="12"/>
      <c r="E2539" s="10"/>
      <c r="F2539" s="10"/>
      <c r="G2539" s="10"/>
      <c r="H2539" s="14"/>
      <c r="I2539" s="14"/>
      <c r="J2539" s="14"/>
      <c r="K2539" s="14"/>
      <c r="L2539" s="14"/>
      <c r="M2539" s="15"/>
      <c r="N2539" s="10"/>
      <c r="O2539" s="14"/>
      <c r="P2539" s="14"/>
      <c r="Q2539" s="14"/>
      <c r="R2539" s="14"/>
      <c r="S2539" s="14"/>
      <c r="T2539" s="14"/>
      <c r="U2539" s="14"/>
      <c r="V2539" s="14"/>
      <c r="W2539" s="14"/>
      <c r="X2539" s="14"/>
      <c r="Y2539" s="14"/>
      <c r="Z2539" s="14"/>
      <c r="AA2539" s="16"/>
      <c r="AB2539" s="10"/>
      <c r="AC2539" s="10"/>
      <c r="AD2539" s="10"/>
      <c r="AE2539" s="10"/>
      <c r="AF2539" s="10"/>
      <c r="AG2539" s="10"/>
      <c r="AH2539" s="10"/>
      <c r="AI2539" s="10"/>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M2539" s="10"/>
    </row>
    <row r="2540" spans="1:65" ht="12.75">
      <c r="A2540" s="9"/>
      <c r="B2540" s="10"/>
      <c r="C2540" s="11"/>
      <c r="D2540" s="12"/>
      <c r="E2540" s="10"/>
      <c r="F2540" s="10"/>
      <c r="G2540" s="10"/>
      <c r="H2540" s="14"/>
      <c r="I2540" s="14"/>
      <c r="J2540" s="14"/>
      <c r="K2540" s="14"/>
      <c r="L2540" s="14"/>
      <c r="M2540" s="15"/>
      <c r="N2540" s="10"/>
      <c r="O2540" s="14"/>
      <c r="P2540" s="14"/>
      <c r="Q2540" s="14"/>
      <c r="R2540" s="14"/>
      <c r="S2540" s="14"/>
      <c r="T2540" s="14"/>
      <c r="U2540" s="14"/>
      <c r="V2540" s="14"/>
      <c r="W2540" s="14"/>
      <c r="X2540" s="14"/>
      <c r="Y2540" s="14"/>
      <c r="Z2540" s="14"/>
      <c r="AA2540" s="16"/>
      <c r="AB2540" s="10"/>
      <c r="AC2540" s="10"/>
      <c r="AD2540" s="10"/>
      <c r="AE2540" s="10"/>
      <c r="AF2540" s="10"/>
      <c r="AG2540" s="10"/>
      <c r="AH2540" s="10"/>
      <c r="AI2540" s="10"/>
      <c r="AJ2540" s="10"/>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M2540" s="10"/>
    </row>
    <row r="2541" spans="1:65" ht="12.75">
      <c r="A2541" s="9"/>
      <c r="B2541" s="10"/>
      <c r="C2541" s="11"/>
      <c r="D2541" s="12"/>
      <c r="E2541" s="10"/>
      <c r="F2541" s="10"/>
      <c r="G2541" s="10"/>
      <c r="H2541" s="14"/>
      <c r="I2541" s="14"/>
      <c r="J2541" s="14"/>
      <c r="K2541" s="14"/>
      <c r="L2541" s="14"/>
      <c r="M2541" s="15"/>
      <c r="N2541" s="10"/>
      <c r="O2541" s="14"/>
      <c r="P2541" s="14"/>
      <c r="Q2541" s="14"/>
      <c r="R2541" s="14"/>
      <c r="S2541" s="14"/>
      <c r="T2541" s="14"/>
      <c r="U2541" s="14"/>
      <c r="V2541" s="14"/>
      <c r="W2541" s="14"/>
      <c r="X2541" s="14"/>
      <c r="Y2541" s="14"/>
      <c r="Z2541" s="14"/>
      <c r="AA2541" s="16"/>
      <c r="AB2541" s="10"/>
      <c r="AC2541" s="10"/>
      <c r="AD2541" s="10"/>
      <c r="AE2541" s="10"/>
      <c r="AF2541" s="10"/>
      <c r="AG2541" s="10"/>
      <c r="AH2541" s="10"/>
      <c r="AI2541" s="10"/>
      <c r="AJ2541" s="10"/>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M2541" s="10"/>
    </row>
    <row r="2542" spans="1:65" ht="12.75">
      <c r="A2542" s="9"/>
      <c r="B2542" s="10"/>
      <c r="C2542" s="11"/>
      <c r="D2542" s="12"/>
      <c r="E2542" s="10"/>
      <c r="F2542" s="10"/>
      <c r="G2542" s="10"/>
      <c r="H2542" s="14"/>
      <c r="I2542" s="14"/>
      <c r="J2542" s="14"/>
      <c r="K2542" s="14"/>
      <c r="L2542" s="14"/>
      <c r="M2542" s="15"/>
      <c r="N2542" s="10"/>
      <c r="O2542" s="14"/>
      <c r="P2542" s="14"/>
      <c r="Q2542" s="14"/>
      <c r="R2542" s="14"/>
      <c r="S2542" s="14"/>
      <c r="T2542" s="14"/>
      <c r="U2542" s="14"/>
      <c r="V2542" s="14"/>
      <c r="W2542" s="14"/>
      <c r="X2542" s="14"/>
      <c r="Y2542" s="14"/>
      <c r="Z2542" s="14"/>
      <c r="AA2542" s="16"/>
      <c r="AB2542" s="10"/>
      <c r="AC2542" s="10"/>
      <c r="AD2542" s="10"/>
      <c r="AE2542" s="10"/>
      <c r="AF2542" s="10"/>
      <c r="AG2542" s="10"/>
      <c r="AH2542" s="10"/>
      <c r="AI2542" s="10"/>
      <c r="AJ2542" s="10"/>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M2542" s="10"/>
    </row>
    <row r="2543" spans="1:65" ht="12.75">
      <c r="A2543" s="9"/>
      <c r="B2543" s="10"/>
      <c r="C2543" s="11"/>
      <c r="D2543" s="12"/>
      <c r="E2543" s="10"/>
      <c r="F2543" s="10"/>
      <c r="G2543" s="10"/>
      <c r="H2543" s="14"/>
      <c r="I2543" s="14"/>
      <c r="J2543" s="14"/>
      <c r="K2543" s="14"/>
      <c r="L2543" s="14"/>
      <c r="M2543" s="15"/>
      <c r="N2543" s="10"/>
      <c r="O2543" s="14"/>
      <c r="P2543" s="14"/>
      <c r="Q2543" s="14"/>
      <c r="R2543" s="14"/>
      <c r="S2543" s="14"/>
      <c r="T2543" s="14"/>
      <c r="U2543" s="14"/>
      <c r="V2543" s="14"/>
      <c r="W2543" s="14"/>
      <c r="X2543" s="14"/>
      <c r="Y2543" s="14"/>
      <c r="Z2543" s="14"/>
      <c r="AA2543" s="16"/>
      <c r="AB2543" s="10"/>
      <c r="AC2543" s="10"/>
      <c r="AD2543" s="10"/>
      <c r="AE2543" s="10"/>
      <c r="AF2543" s="10"/>
      <c r="AG2543" s="10"/>
      <c r="AH2543" s="10"/>
      <c r="AI2543" s="10"/>
      <c r="AJ2543" s="10"/>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M2543" s="10"/>
    </row>
    <row r="2544" spans="1:65" ht="12.75">
      <c r="A2544" s="9"/>
      <c r="B2544" s="10"/>
      <c r="C2544" s="11"/>
      <c r="D2544" s="12"/>
      <c r="E2544" s="10"/>
      <c r="F2544" s="10"/>
      <c r="G2544" s="10"/>
      <c r="H2544" s="14"/>
      <c r="I2544" s="14"/>
      <c r="J2544" s="14"/>
      <c r="K2544" s="14"/>
      <c r="L2544" s="14"/>
      <c r="M2544" s="15"/>
      <c r="N2544" s="10"/>
      <c r="O2544" s="14"/>
      <c r="P2544" s="14"/>
      <c r="Q2544" s="14"/>
      <c r="R2544" s="14"/>
      <c r="S2544" s="14"/>
      <c r="T2544" s="14"/>
      <c r="U2544" s="14"/>
      <c r="V2544" s="14"/>
      <c r="W2544" s="14"/>
      <c r="X2544" s="14"/>
      <c r="Y2544" s="14"/>
      <c r="Z2544" s="14"/>
      <c r="AA2544" s="16"/>
      <c r="AB2544" s="10"/>
      <c r="AC2544" s="10"/>
      <c r="AD2544" s="10"/>
      <c r="AE2544" s="10"/>
      <c r="AF2544" s="10"/>
      <c r="AG2544" s="10"/>
      <c r="AH2544" s="10"/>
      <c r="AI2544" s="10"/>
      <c r="AJ2544" s="10"/>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M2544" s="10"/>
    </row>
    <row r="2545" spans="1:65" ht="12.75">
      <c r="A2545" s="9"/>
      <c r="B2545" s="10"/>
      <c r="C2545" s="11"/>
      <c r="D2545" s="12"/>
      <c r="E2545" s="10"/>
      <c r="F2545" s="10"/>
      <c r="G2545" s="10"/>
      <c r="H2545" s="14"/>
      <c r="I2545" s="14"/>
      <c r="J2545" s="14"/>
      <c r="K2545" s="14"/>
      <c r="L2545" s="14"/>
      <c r="M2545" s="15"/>
      <c r="N2545" s="10"/>
      <c r="O2545" s="14"/>
      <c r="P2545" s="14"/>
      <c r="Q2545" s="14"/>
      <c r="R2545" s="14"/>
      <c r="S2545" s="14"/>
      <c r="T2545" s="14"/>
      <c r="U2545" s="14"/>
      <c r="V2545" s="14"/>
      <c r="W2545" s="14"/>
      <c r="X2545" s="14"/>
      <c r="Y2545" s="14"/>
      <c r="Z2545" s="14"/>
      <c r="AA2545" s="16"/>
      <c r="AB2545" s="10"/>
      <c r="AC2545" s="10"/>
      <c r="AD2545" s="10"/>
      <c r="AE2545" s="10"/>
      <c r="AF2545" s="10"/>
      <c r="AG2545" s="10"/>
      <c r="AH2545" s="10"/>
      <c r="AI2545" s="10"/>
      <c r="AJ2545" s="10"/>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M2545" s="10"/>
    </row>
    <row r="2546" spans="1:65" ht="12.75">
      <c r="A2546" s="9"/>
      <c r="B2546" s="10"/>
      <c r="C2546" s="11"/>
      <c r="D2546" s="12"/>
      <c r="E2546" s="10"/>
      <c r="F2546" s="10"/>
      <c r="G2546" s="10"/>
      <c r="H2546" s="14"/>
      <c r="I2546" s="14"/>
      <c r="J2546" s="14"/>
      <c r="K2546" s="14"/>
      <c r="L2546" s="14"/>
      <c r="M2546" s="15"/>
      <c r="N2546" s="10"/>
      <c r="O2546" s="14"/>
      <c r="P2546" s="14"/>
      <c r="Q2546" s="14"/>
      <c r="R2546" s="14"/>
      <c r="S2546" s="14"/>
      <c r="T2546" s="14"/>
      <c r="U2546" s="14"/>
      <c r="V2546" s="14"/>
      <c r="W2546" s="14"/>
      <c r="X2546" s="14"/>
      <c r="Y2546" s="14"/>
      <c r="Z2546" s="14"/>
      <c r="AA2546" s="16"/>
      <c r="AB2546" s="10"/>
      <c r="AC2546" s="10"/>
      <c r="AD2546" s="10"/>
      <c r="AE2546" s="10"/>
      <c r="AF2546" s="10"/>
      <c r="AG2546" s="10"/>
      <c r="AH2546" s="10"/>
      <c r="AI2546" s="10"/>
      <c r="AJ2546" s="10"/>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M2546" s="10"/>
    </row>
    <row r="2547" spans="1:65" ht="12.75">
      <c r="A2547" s="9"/>
      <c r="B2547" s="10"/>
      <c r="C2547" s="11"/>
      <c r="D2547" s="12"/>
      <c r="E2547" s="10"/>
      <c r="F2547" s="10"/>
      <c r="G2547" s="10"/>
      <c r="H2547" s="14"/>
      <c r="I2547" s="14"/>
      <c r="J2547" s="14"/>
      <c r="K2547" s="14"/>
      <c r="L2547" s="14"/>
      <c r="M2547" s="15"/>
      <c r="N2547" s="10"/>
      <c r="O2547" s="14"/>
      <c r="P2547" s="14"/>
      <c r="Q2547" s="14"/>
      <c r="R2547" s="14"/>
      <c r="S2547" s="14"/>
      <c r="T2547" s="14"/>
      <c r="U2547" s="14"/>
      <c r="V2547" s="14"/>
      <c r="W2547" s="14"/>
      <c r="X2547" s="14"/>
      <c r="Y2547" s="14"/>
      <c r="Z2547" s="14"/>
      <c r="AA2547" s="16"/>
      <c r="AB2547" s="10"/>
      <c r="AC2547" s="10"/>
      <c r="AD2547" s="10"/>
      <c r="AE2547" s="10"/>
      <c r="AF2547" s="10"/>
      <c r="AG2547" s="10"/>
      <c r="AH2547" s="10"/>
      <c r="AI2547" s="10"/>
      <c r="AJ2547" s="10"/>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M2547" s="10"/>
    </row>
    <row r="2548" spans="1:65" ht="12.75">
      <c r="A2548" s="9"/>
      <c r="B2548" s="10"/>
      <c r="C2548" s="11"/>
      <c r="D2548" s="12"/>
      <c r="E2548" s="10"/>
      <c r="F2548" s="10"/>
      <c r="G2548" s="10"/>
      <c r="H2548" s="14"/>
      <c r="I2548" s="14"/>
      <c r="J2548" s="14"/>
      <c r="K2548" s="14"/>
      <c r="L2548" s="14"/>
      <c r="M2548" s="15"/>
      <c r="N2548" s="10"/>
      <c r="O2548" s="14"/>
      <c r="P2548" s="14"/>
      <c r="Q2548" s="14"/>
      <c r="R2548" s="14"/>
      <c r="S2548" s="14"/>
      <c r="T2548" s="14"/>
      <c r="U2548" s="14"/>
      <c r="V2548" s="14"/>
      <c r="W2548" s="14"/>
      <c r="X2548" s="14"/>
      <c r="Y2548" s="14"/>
      <c r="Z2548" s="14"/>
      <c r="AA2548" s="16"/>
      <c r="AB2548" s="10"/>
      <c r="AC2548" s="10"/>
      <c r="AD2548" s="10"/>
      <c r="AE2548" s="10"/>
      <c r="AF2548" s="10"/>
      <c r="AG2548" s="10"/>
      <c r="AH2548" s="10"/>
      <c r="AI2548" s="10"/>
      <c r="AJ2548" s="10"/>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M2548" s="10"/>
    </row>
    <row r="2549" spans="1:65" ht="12.75">
      <c r="A2549" s="9"/>
      <c r="B2549" s="10"/>
      <c r="C2549" s="11"/>
      <c r="D2549" s="12"/>
      <c r="E2549" s="10"/>
      <c r="F2549" s="10"/>
      <c r="G2549" s="10"/>
      <c r="H2549" s="14"/>
      <c r="I2549" s="14"/>
      <c r="J2549" s="14"/>
      <c r="K2549" s="14"/>
      <c r="L2549" s="14"/>
      <c r="M2549" s="15"/>
      <c r="N2549" s="10"/>
      <c r="O2549" s="14"/>
      <c r="P2549" s="14"/>
      <c r="Q2549" s="14"/>
      <c r="R2549" s="14"/>
      <c r="S2549" s="14"/>
      <c r="T2549" s="14"/>
      <c r="U2549" s="14"/>
      <c r="V2549" s="14"/>
      <c r="W2549" s="14"/>
      <c r="X2549" s="14"/>
      <c r="Y2549" s="14"/>
      <c r="Z2549" s="14"/>
      <c r="AA2549" s="16"/>
      <c r="AB2549" s="10"/>
      <c r="AC2549" s="10"/>
      <c r="AD2549" s="10"/>
      <c r="AE2549" s="10"/>
      <c r="AF2549" s="10"/>
      <c r="AG2549" s="10"/>
      <c r="AH2549" s="10"/>
      <c r="AI2549" s="10"/>
      <c r="AJ2549" s="10"/>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M2549" s="10"/>
    </row>
    <row r="2550" spans="1:65" ht="12.75">
      <c r="A2550" s="9"/>
      <c r="B2550" s="10"/>
      <c r="C2550" s="11"/>
      <c r="D2550" s="12"/>
      <c r="E2550" s="10"/>
      <c r="F2550" s="10"/>
      <c r="G2550" s="10"/>
      <c r="H2550" s="14"/>
      <c r="I2550" s="14"/>
      <c r="J2550" s="14"/>
      <c r="K2550" s="14"/>
      <c r="L2550" s="14"/>
      <c r="M2550" s="15"/>
      <c r="N2550" s="10"/>
      <c r="O2550" s="14"/>
      <c r="P2550" s="14"/>
      <c r="Q2550" s="14"/>
      <c r="R2550" s="14"/>
      <c r="S2550" s="14"/>
      <c r="T2550" s="14"/>
      <c r="U2550" s="14"/>
      <c r="V2550" s="14"/>
      <c r="W2550" s="14"/>
      <c r="X2550" s="14"/>
      <c r="Y2550" s="14"/>
      <c r="Z2550" s="14"/>
      <c r="AA2550" s="16"/>
      <c r="AB2550" s="10"/>
      <c r="AC2550" s="10"/>
      <c r="AD2550" s="10"/>
      <c r="AE2550" s="10"/>
      <c r="AF2550" s="10"/>
      <c r="AG2550" s="10"/>
      <c r="AH2550" s="10"/>
      <c r="AI2550" s="10"/>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M2550" s="10"/>
    </row>
    <row r="2551" spans="1:65" ht="12.75">
      <c r="A2551" s="9"/>
      <c r="B2551" s="10"/>
      <c r="C2551" s="11"/>
      <c r="D2551" s="12"/>
      <c r="E2551" s="10"/>
      <c r="F2551" s="10"/>
      <c r="G2551" s="10"/>
      <c r="H2551" s="14"/>
      <c r="I2551" s="14"/>
      <c r="J2551" s="14"/>
      <c r="K2551" s="14"/>
      <c r="L2551" s="14"/>
      <c r="M2551" s="15"/>
      <c r="N2551" s="10"/>
      <c r="O2551" s="14"/>
      <c r="P2551" s="14"/>
      <c r="Q2551" s="14"/>
      <c r="R2551" s="14"/>
      <c r="S2551" s="14"/>
      <c r="T2551" s="14"/>
      <c r="U2551" s="14"/>
      <c r="V2551" s="14"/>
      <c r="W2551" s="14"/>
      <c r="X2551" s="14"/>
      <c r="Y2551" s="14"/>
      <c r="Z2551" s="14"/>
      <c r="AA2551" s="16"/>
      <c r="AB2551" s="10"/>
      <c r="AC2551" s="10"/>
      <c r="AD2551" s="10"/>
      <c r="AE2551" s="10"/>
      <c r="AF2551" s="10"/>
      <c r="AG2551" s="10"/>
      <c r="AH2551" s="10"/>
      <c r="AI2551" s="10"/>
      <c r="AJ2551" s="10"/>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10"/>
      <c r="BK2551" s="10"/>
      <c r="BM2551" s="10"/>
    </row>
    <row r="2552" spans="1:65" ht="12.75">
      <c r="A2552" s="9"/>
      <c r="B2552" s="10"/>
      <c r="C2552" s="11"/>
      <c r="D2552" s="12"/>
      <c r="E2552" s="10"/>
      <c r="F2552" s="10"/>
      <c r="G2552" s="10"/>
      <c r="H2552" s="14"/>
      <c r="I2552" s="14"/>
      <c r="J2552" s="14"/>
      <c r="K2552" s="14"/>
      <c r="L2552" s="14"/>
      <c r="M2552" s="15"/>
      <c r="N2552" s="10"/>
      <c r="O2552" s="14"/>
      <c r="P2552" s="14"/>
      <c r="Q2552" s="14"/>
      <c r="R2552" s="14"/>
      <c r="S2552" s="14"/>
      <c r="T2552" s="14"/>
      <c r="U2552" s="14"/>
      <c r="V2552" s="14"/>
      <c r="W2552" s="14"/>
      <c r="X2552" s="14"/>
      <c r="Y2552" s="14"/>
      <c r="Z2552" s="14"/>
      <c r="AA2552" s="16"/>
      <c r="AB2552" s="10"/>
      <c r="AC2552" s="10"/>
      <c r="AD2552" s="10"/>
      <c r="AE2552" s="10"/>
      <c r="AF2552" s="10"/>
      <c r="AG2552" s="10"/>
      <c r="AH2552" s="10"/>
      <c r="AI2552" s="10"/>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M2552" s="10"/>
    </row>
    <row r="2553" spans="1:65" ht="12.75">
      <c r="A2553" s="9"/>
      <c r="B2553" s="10"/>
      <c r="C2553" s="11"/>
      <c r="D2553" s="12"/>
      <c r="E2553" s="10"/>
      <c r="F2553" s="10"/>
      <c r="G2553" s="10"/>
      <c r="H2553" s="14"/>
      <c r="I2553" s="14"/>
      <c r="J2553" s="14"/>
      <c r="K2553" s="14"/>
      <c r="L2553" s="14"/>
      <c r="M2553" s="15"/>
      <c r="N2553" s="10"/>
      <c r="O2553" s="14"/>
      <c r="P2553" s="14"/>
      <c r="Q2553" s="14"/>
      <c r="R2553" s="14"/>
      <c r="S2553" s="14"/>
      <c r="T2553" s="14"/>
      <c r="U2553" s="14"/>
      <c r="V2553" s="14"/>
      <c r="W2553" s="14"/>
      <c r="X2553" s="14"/>
      <c r="Y2553" s="14"/>
      <c r="Z2553" s="14"/>
      <c r="AA2553" s="16"/>
      <c r="AB2553" s="10"/>
      <c r="AC2553" s="10"/>
      <c r="AD2553" s="10"/>
      <c r="AE2553" s="10"/>
      <c r="AF2553" s="10"/>
      <c r="AG2553" s="10"/>
      <c r="AH2553" s="10"/>
      <c r="AI2553" s="10"/>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M2553" s="10"/>
    </row>
    <row r="2554" spans="1:65" ht="12.75">
      <c r="A2554" s="9"/>
      <c r="B2554" s="10"/>
      <c r="C2554" s="11"/>
      <c r="D2554" s="12"/>
      <c r="E2554" s="10"/>
      <c r="F2554" s="10"/>
      <c r="G2554" s="10"/>
      <c r="H2554" s="14"/>
      <c r="I2554" s="14"/>
      <c r="J2554" s="14"/>
      <c r="K2554" s="14"/>
      <c r="L2554" s="14"/>
      <c r="M2554" s="15"/>
      <c r="N2554" s="10"/>
      <c r="O2554" s="14"/>
      <c r="P2554" s="14"/>
      <c r="Q2554" s="14"/>
      <c r="R2554" s="14"/>
      <c r="S2554" s="14"/>
      <c r="T2554" s="14"/>
      <c r="U2554" s="14"/>
      <c r="V2554" s="14"/>
      <c r="W2554" s="14"/>
      <c r="X2554" s="14"/>
      <c r="Y2554" s="14"/>
      <c r="Z2554" s="14"/>
      <c r="AA2554" s="16"/>
      <c r="AB2554" s="10"/>
      <c r="AC2554" s="10"/>
      <c r="AD2554" s="10"/>
      <c r="AE2554" s="10"/>
      <c r="AF2554" s="10"/>
      <c r="AG2554" s="10"/>
      <c r="AH2554" s="10"/>
      <c r="AI2554" s="10"/>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10"/>
      <c r="BK2554" s="10"/>
      <c r="BM2554" s="10"/>
    </row>
    <row r="2555" spans="1:65" ht="12.75">
      <c r="A2555" s="9"/>
      <c r="B2555" s="10"/>
      <c r="C2555" s="11"/>
      <c r="D2555" s="12"/>
      <c r="E2555" s="10"/>
      <c r="F2555" s="10"/>
      <c r="G2555" s="10"/>
      <c r="H2555" s="14"/>
      <c r="I2555" s="14"/>
      <c r="J2555" s="14"/>
      <c r="K2555" s="14"/>
      <c r="L2555" s="14"/>
      <c r="M2555" s="15"/>
      <c r="N2555" s="10"/>
      <c r="O2555" s="14"/>
      <c r="P2555" s="14"/>
      <c r="Q2555" s="14"/>
      <c r="R2555" s="14"/>
      <c r="S2555" s="14"/>
      <c r="T2555" s="14"/>
      <c r="U2555" s="14"/>
      <c r="V2555" s="14"/>
      <c r="W2555" s="14"/>
      <c r="X2555" s="14"/>
      <c r="Y2555" s="14"/>
      <c r="Z2555" s="14"/>
      <c r="AA2555" s="16"/>
      <c r="AB2555" s="10"/>
      <c r="AC2555" s="10"/>
      <c r="AD2555" s="10"/>
      <c r="AE2555" s="10"/>
      <c r="AF2555" s="10"/>
      <c r="AG2555" s="10"/>
      <c r="AH2555" s="10"/>
      <c r="AI2555" s="10"/>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M2555" s="10"/>
    </row>
    <row r="2556" spans="1:65" ht="12.75">
      <c r="A2556" s="9"/>
      <c r="B2556" s="10"/>
      <c r="C2556" s="11"/>
      <c r="D2556" s="12"/>
      <c r="E2556" s="10"/>
      <c r="F2556" s="10"/>
      <c r="G2556" s="10"/>
      <c r="H2556" s="14"/>
      <c r="I2556" s="14"/>
      <c r="J2556" s="14"/>
      <c r="K2556" s="14"/>
      <c r="L2556" s="14"/>
      <c r="M2556" s="15"/>
      <c r="N2556" s="10"/>
      <c r="O2556" s="14"/>
      <c r="P2556" s="14"/>
      <c r="Q2556" s="14"/>
      <c r="R2556" s="14"/>
      <c r="S2556" s="14"/>
      <c r="T2556" s="14"/>
      <c r="U2556" s="14"/>
      <c r="V2556" s="14"/>
      <c r="W2556" s="14"/>
      <c r="X2556" s="14"/>
      <c r="Y2556" s="14"/>
      <c r="Z2556" s="14"/>
      <c r="AA2556" s="16"/>
      <c r="AB2556" s="10"/>
      <c r="AC2556" s="10"/>
      <c r="AD2556" s="10"/>
      <c r="AE2556" s="10"/>
      <c r="AF2556" s="10"/>
      <c r="AG2556" s="10"/>
      <c r="AH2556" s="10"/>
      <c r="AI2556" s="10"/>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M2556" s="10"/>
    </row>
    <row r="2557" spans="1:65" ht="12.75">
      <c r="A2557" s="9"/>
      <c r="B2557" s="10"/>
      <c r="C2557" s="11"/>
      <c r="D2557" s="12"/>
      <c r="E2557" s="10"/>
      <c r="F2557" s="10"/>
      <c r="G2557" s="10"/>
      <c r="H2557" s="14"/>
      <c r="I2557" s="14"/>
      <c r="J2557" s="14"/>
      <c r="K2557" s="14"/>
      <c r="L2557" s="14"/>
      <c r="M2557" s="15"/>
      <c r="N2557" s="10"/>
      <c r="O2557" s="14"/>
      <c r="P2557" s="14"/>
      <c r="Q2557" s="14"/>
      <c r="R2557" s="14"/>
      <c r="S2557" s="14"/>
      <c r="T2557" s="14"/>
      <c r="U2557" s="14"/>
      <c r="V2557" s="14"/>
      <c r="W2557" s="14"/>
      <c r="X2557" s="14"/>
      <c r="Y2557" s="14"/>
      <c r="Z2557" s="14"/>
      <c r="AA2557" s="16"/>
      <c r="AB2557" s="10"/>
      <c r="AC2557" s="10"/>
      <c r="AD2557" s="10"/>
      <c r="AE2557" s="10"/>
      <c r="AF2557" s="10"/>
      <c r="AG2557" s="10"/>
      <c r="AH2557" s="10"/>
      <c r="AI2557" s="10"/>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M2557" s="10"/>
    </row>
    <row r="2558" spans="1:65" ht="12.75">
      <c r="A2558" s="9"/>
      <c r="B2558" s="10"/>
      <c r="C2558" s="11"/>
      <c r="D2558" s="12"/>
      <c r="E2558" s="10"/>
      <c r="F2558" s="10"/>
      <c r="G2558" s="10"/>
      <c r="H2558" s="14"/>
      <c r="I2558" s="14"/>
      <c r="J2558" s="14"/>
      <c r="K2558" s="14"/>
      <c r="L2558" s="14"/>
      <c r="M2558" s="15"/>
      <c r="N2558" s="10"/>
      <c r="O2558" s="14"/>
      <c r="P2558" s="14"/>
      <c r="Q2558" s="14"/>
      <c r="R2558" s="14"/>
      <c r="S2558" s="14"/>
      <c r="T2558" s="14"/>
      <c r="U2558" s="14"/>
      <c r="V2558" s="14"/>
      <c r="W2558" s="14"/>
      <c r="X2558" s="14"/>
      <c r="Y2558" s="14"/>
      <c r="Z2558" s="14"/>
      <c r="AA2558" s="16"/>
      <c r="AB2558" s="10"/>
      <c r="AC2558" s="10"/>
      <c r="AD2558" s="10"/>
      <c r="AE2558" s="10"/>
      <c r="AF2558" s="10"/>
      <c r="AG2558" s="10"/>
      <c r="AH2558" s="10"/>
      <c r="AI2558" s="10"/>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M2558" s="10"/>
    </row>
    <row r="2559" spans="1:65" ht="12.75">
      <c r="A2559" s="9"/>
      <c r="B2559" s="10"/>
      <c r="C2559" s="11"/>
      <c r="D2559" s="12"/>
      <c r="E2559" s="10"/>
      <c r="F2559" s="10"/>
      <c r="G2559" s="10"/>
      <c r="H2559" s="14"/>
      <c r="I2559" s="14"/>
      <c r="J2559" s="14"/>
      <c r="K2559" s="14"/>
      <c r="L2559" s="14"/>
      <c r="M2559" s="15"/>
      <c r="N2559" s="10"/>
      <c r="O2559" s="14"/>
      <c r="P2559" s="14"/>
      <c r="Q2559" s="14"/>
      <c r="R2559" s="14"/>
      <c r="S2559" s="14"/>
      <c r="T2559" s="14"/>
      <c r="U2559" s="14"/>
      <c r="V2559" s="14"/>
      <c r="W2559" s="14"/>
      <c r="X2559" s="14"/>
      <c r="Y2559" s="14"/>
      <c r="Z2559" s="14"/>
      <c r="AA2559" s="16"/>
      <c r="AB2559" s="10"/>
      <c r="AC2559" s="10"/>
      <c r="AD2559" s="10"/>
      <c r="AE2559" s="10"/>
      <c r="AF2559" s="10"/>
      <c r="AG2559" s="10"/>
      <c r="AH2559" s="10"/>
      <c r="AI2559" s="10"/>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M2559" s="10"/>
    </row>
    <row r="2560" spans="1:65" ht="12.75">
      <c r="A2560" s="9"/>
      <c r="B2560" s="10"/>
      <c r="C2560" s="11"/>
      <c r="D2560" s="12"/>
      <c r="E2560" s="10"/>
      <c r="F2560" s="10"/>
      <c r="G2560" s="10"/>
      <c r="H2560" s="14"/>
      <c r="I2560" s="14"/>
      <c r="J2560" s="14"/>
      <c r="K2560" s="14"/>
      <c r="L2560" s="14"/>
      <c r="M2560" s="15"/>
      <c r="N2560" s="10"/>
      <c r="O2560" s="14"/>
      <c r="P2560" s="14"/>
      <c r="Q2560" s="14"/>
      <c r="R2560" s="14"/>
      <c r="S2560" s="14"/>
      <c r="T2560" s="14"/>
      <c r="U2560" s="14"/>
      <c r="V2560" s="14"/>
      <c r="W2560" s="14"/>
      <c r="X2560" s="14"/>
      <c r="Y2560" s="14"/>
      <c r="Z2560" s="14"/>
      <c r="AA2560" s="16"/>
      <c r="AB2560" s="10"/>
      <c r="AC2560" s="10"/>
      <c r="AD2560" s="10"/>
      <c r="AE2560" s="10"/>
      <c r="AF2560" s="10"/>
      <c r="AG2560" s="10"/>
      <c r="AH2560" s="10"/>
      <c r="AI2560" s="10"/>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M2560" s="10"/>
    </row>
    <row r="2561" spans="1:65" ht="12.75">
      <c r="A2561" s="9"/>
      <c r="B2561" s="10"/>
      <c r="C2561" s="11"/>
      <c r="D2561" s="12"/>
      <c r="E2561" s="10"/>
      <c r="F2561" s="10"/>
      <c r="G2561" s="10"/>
      <c r="H2561" s="14"/>
      <c r="I2561" s="14"/>
      <c r="J2561" s="14"/>
      <c r="K2561" s="14"/>
      <c r="L2561" s="14"/>
      <c r="M2561" s="15"/>
      <c r="N2561" s="10"/>
      <c r="O2561" s="14"/>
      <c r="P2561" s="14"/>
      <c r="Q2561" s="14"/>
      <c r="R2561" s="14"/>
      <c r="S2561" s="14"/>
      <c r="T2561" s="14"/>
      <c r="U2561" s="14"/>
      <c r="V2561" s="14"/>
      <c r="W2561" s="14"/>
      <c r="X2561" s="14"/>
      <c r="Y2561" s="14"/>
      <c r="Z2561" s="14"/>
      <c r="AA2561" s="16"/>
      <c r="AB2561" s="10"/>
      <c r="AC2561" s="10"/>
      <c r="AD2561" s="10"/>
      <c r="AE2561" s="10"/>
      <c r="AF2561" s="10"/>
      <c r="AG2561" s="10"/>
      <c r="AH2561" s="10"/>
      <c r="AI2561" s="10"/>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M2561" s="10"/>
    </row>
    <row r="2562" spans="1:65" ht="12.75">
      <c r="A2562" s="9"/>
      <c r="B2562" s="10"/>
      <c r="C2562" s="11"/>
      <c r="D2562" s="12"/>
      <c r="E2562" s="10"/>
      <c r="F2562" s="10"/>
      <c r="G2562" s="10"/>
      <c r="H2562" s="14"/>
      <c r="I2562" s="14"/>
      <c r="J2562" s="14"/>
      <c r="K2562" s="14"/>
      <c r="L2562" s="14"/>
      <c r="M2562" s="15"/>
      <c r="N2562" s="10"/>
      <c r="O2562" s="14"/>
      <c r="P2562" s="14"/>
      <c r="Q2562" s="14"/>
      <c r="R2562" s="14"/>
      <c r="S2562" s="14"/>
      <c r="T2562" s="14"/>
      <c r="U2562" s="14"/>
      <c r="V2562" s="14"/>
      <c r="W2562" s="14"/>
      <c r="X2562" s="14"/>
      <c r="Y2562" s="14"/>
      <c r="Z2562" s="14"/>
      <c r="AA2562" s="16"/>
      <c r="AB2562" s="10"/>
      <c r="AC2562" s="10"/>
      <c r="AD2562" s="10"/>
      <c r="AE2562" s="10"/>
      <c r="AF2562" s="10"/>
      <c r="AG2562" s="10"/>
      <c r="AH2562" s="10"/>
      <c r="AI2562" s="10"/>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M2562" s="10"/>
    </row>
    <row r="2563" spans="1:65" ht="12.75">
      <c r="A2563" s="9"/>
      <c r="B2563" s="10"/>
      <c r="C2563" s="11"/>
      <c r="D2563" s="12"/>
      <c r="E2563" s="10"/>
      <c r="F2563" s="10"/>
      <c r="G2563" s="10"/>
      <c r="H2563" s="14"/>
      <c r="I2563" s="14"/>
      <c r="J2563" s="14"/>
      <c r="K2563" s="14"/>
      <c r="L2563" s="14"/>
      <c r="M2563" s="15"/>
      <c r="N2563" s="10"/>
      <c r="O2563" s="14"/>
      <c r="P2563" s="14"/>
      <c r="Q2563" s="14"/>
      <c r="R2563" s="14"/>
      <c r="S2563" s="14"/>
      <c r="T2563" s="14"/>
      <c r="U2563" s="14"/>
      <c r="V2563" s="14"/>
      <c r="W2563" s="14"/>
      <c r="X2563" s="14"/>
      <c r="Y2563" s="14"/>
      <c r="Z2563" s="14"/>
      <c r="AA2563" s="16"/>
      <c r="AB2563" s="10"/>
      <c r="AC2563" s="10"/>
      <c r="AD2563" s="10"/>
      <c r="AE2563" s="10"/>
      <c r="AF2563" s="10"/>
      <c r="AG2563" s="10"/>
      <c r="AH2563" s="10"/>
      <c r="AI2563" s="10"/>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M2563" s="10"/>
    </row>
    <row r="2564" spans="1:65" ht="12.75">
      <c r="A2564" s="9"/>
      <c r="B2564" s="10"/>
      <c r="C2564" s="11"/>
      <c r="D2564" s="12"/>
      <c r="E2564" s="10"/>
      <c r="F2564" s="10"/>
      <c r="G2564" s="10"/>
      <c r="H2564" s="14"/>
      <c r="I2564" s="14"/>
      <c r="J2564" s="14"/>
      <c r="K2564" s="14"/>
      <c r="L2564" s="14"/>
      <c r="M2564" s="15"/>
      <c r="N2564" s="10"/>
      <c r="O2564" s="14"/>
      <c r="P2564" s="14"/>
      <c r="Q2564" s="14"/>
      <c r="R2564" s="14"/>
      <c r="S2564" s="14"/>
      <c r="T2564" s="14"/>
      <c r="U2564" s="14"/>
      <c r="V2564" s="14"/>
      <c r="W2564" s="14"/>
      <c r="X2564" s="14"/>
      <c r="Y2564" s="14"/>
      <c r="Z2564" s="14"/>
      <c r="AA2564" s="16"/>
      <c r="AB2564" s="10"/>
      <c r="AC2564" s="10"/>
      <c r="AD2564" s="10"/>
      <c r="AE2564" s="10"/>
      <c r="AF2564" s="10"/>
      <c r="AG2564" s="10"/>
      <c r="AH2564" s="10"/>
      <c r="AI2564" s="10"/>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M2564" s="10"/>
    </row>
    <row r="2565" spans="1:65" ht="12.75">
      <c r="A2565" s="9"/>
      <c r="B2565" s="10"/>
      <c r="C2565" s="11"/>
      <c r="D2565" s="12"/>
      <c r="E2565" s="10"/>
      <c r="F2565" s="10"/>
      <c r="G2565" s="10"/>
      <c r="H2565" s="14"/>
      <c r="I2565" s="14"/>
      <c r="J2565" s="14"/>
      <c r="K2565" s="14"/>
      <c r="L2565" s="14"/>
      <c r="M2565" s="15"/>
      <c r="N2565" s="10"/>
      <c r="O2565" s="14"/>
      <c r="P2565" s="14"/>
      <c r="Q2565" s="14"/>
      <c r="R2565" s="14"/>
      <c r="S2565" s="14"/>
      <c r="T2565" s="14"/>
      <c r="U2565" s="14"/>
      <c r="V2565" s="14"/>
      <c r="W2565" s="14"/>
      <c r="X2565" s="14"/>
      <c r="Y2565" s="14"/>
      <c r="Z2565" s="14"/>
      <c r="AA2565" s="16"/>
      <c r="AB2565" s="10"/>
      <c r="AC2565" s="10"/>
      <c r="AD2565" s="10"/>
      <c r="AE2565" s="10"/>
      <c r="AF2565" s="10"/>
      <c r="AG2565" s="10"/>
      <c r="AH2565" s="10"/>
      <c r="AI2565" s="10"/>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M2565" s="10"/>
    </row>
    <row r="2566" spans="1:65" ht="12.75">
      <c r="A2566" s="9"/>
      <c r="B2566" s="10"/>
      <c r="C2566" s="11"/>
      <c r="D2566" s="12"/>
      <c r="E2566" s="10"/>
      <c r="F2566" s="10"/>
      <c r="G2566" s="10"/>
      <c r="H2566" s="14"/>
      <c r="I2566" s="14"/>
      <c r="J2566" s="14"/>
      <c r="K2566" s="14"/>
      <c r="L2566" s="14"/>
      <c r="M2566" s="15"/>
      <c r="N2566" s="10"/>
      <c r="O2566" s="14"/>
      <c r="P2566" s="14"/>
      <c r="Q2566" s="14"/>
      <c r="R2566" s="14"/>
      <c r="S2566" s="14"/>
      <c r="T2566" s="14"/>
      <c r="U2566" s="14"/>
      <c r="V2566" s="14"/>
      <c r="W2566" s="14"/>
      <c r="X2566" s="14"/>
      <c r="Y2566" s="14"/>
      <c r="Z2566" s="14"/>
      <c r="AA2566" s="16"/>
      <c r="AB2566" s="10"/>
      <c r="AC2566" s="10"/>
      <c r="AD2566" s="10"/>
      <c r="AE2566" s="10"/>
      <c r="AF2566" s="10"/>
      <c r="AG2566" s="10"/>
      <c r="AH2566" s="10"/>
      <c r="AI2566" s="10"/>
      <c r="AJ2566" s="10"/>
      <c r="AK2566" s="10"/>
      <c r="AL2566" s="10"/>
      <c r="AM2566" s="10"/>
      <c r="AN2566" s="10"/>
      <c r="AO2566" s="10"/>
      <c r="AP2566" s="10"/>
      <c r="AQ2566" s="10"/>
      <c r="AR2566" s="10"/>
      <c r="AS2566" s="10"/>
      <c r="AT2566" s="10"/>
      <c r="AU2566" s="10"/>
      <c r="AV2566" s="10"/>
      <c r="AW2566" s="10"/>
      <c r="AX2566" s="10"/>
      <c r="AY2566" s="10"/>
      <c r="AZ2566" s="10"/>
      <c r="BA2566" s="10"/>
      <c r="BB2566" s="10"/>
      <c r="BC2566" s="10"/>
      <c r="BD2566" s="10"/>
      <c r="BE2566" s="10"/>
      <c r="BF2566" s="10"/>
      <c r="BG2566" s="10"/>
      <c r="BH2566" s="10"/>
      <c r="BI2566" s="10"/>
      <c r="BJ2566" s="10"/>
      <c r="BK2566" s="10"/>
      <c r="BM2566" s="10"/>
    </row>
    <row r="2567" spans="1:65" ht="12.75">
      <c r="A2567" s="9"/>
      <c r="B2567" s="10"/>
      <c r="C2567" s="11"/>
      <c r="D2567" s="12"/>
      <c r="E2567" s="10"/>
      <c r="F2567" s="10"/>
      <c r="G2567" s="10"/>
      <c r="H2567" s="14"/>
      <c r="I2567" s="14"/>
      <c r="J2567" s="14"/>
      <c r="K2567" s="14"/>
      <c r="L2567" s="14"/>
      <c r="M2567" s="15"/>
      <c r="N2567" s="10"/>
      <c r="O2567" s="14"/>
      <c r="P2567" s="14"/>
      <c r="Q2567" s="14"/>
      <c r="R2567" s="14"/>
      <c r="S2567" s="14"/>
      <c r="T2567" s="14"/>
      <c r="U2567" s="14"/>
      <c r="V2567" s="14"/>
      <c r="W2567" s="14"/>
      <c r="X2567" s="14"/>
      <c r="Y2567" s="14"/>
      <c r="Z2567" s="14"/>
      <c r="AA2567" s="16"/>
      <c r="AB2567" s="10"/>
      <c r="AC2567" s="10"/>
      <c r="AD2567" s="10"/>
      <c r="AE2567" s="10"/>
      <c r="AF2567" s="10"/>
      <c r="AG2567" s="10"/>
      <c r="AH2567" s="10"/>
      <c r="AI2567" s="10"/>
      <c r="AJ2567" s="10"/>
      <c r="AK2567" s="10"/>
      <c r="AL2567" s="1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10"/>
      <c r="BK2567" s="10"/>
      <c r="BM2567" s="10"/>
    </row>
    <row r="2568" spans="1:65" ht="12.75">
      <c r="A2568" s="9"/>
      <c r="B2568" s="10"/>
      <c r="C2568" s="11"/>
      <c r="D2568" s="12"/>
      <c r="E2568" s="10"/>
      <c r="F2568" s="10"/>
      <c r="G2568" s="10"/>
      <c r="H2568" s="14"/>
      <c r="I2568" s="14"/>
      <c r="J2568" s="14"/>
      <c r="K2568" s="14"/>
      <c r="L2568" s="14"/>
      <c r="M2568" s="15"/>
      <c r="N2568" s="10"/>
      <c r="O2568" s="14"/>
      <c r="P2568" s="14"/>
      <c r="Q2568" s="14"/>
      <c r="R2568" s="14"/>
      <c r="S2568" s="14"/>
      <c r="T2568" s="14"/>
      <c r="U2568" s="14"/>
      <c r="V2568" s="14"/>
      <c r="W2568" s="14"/>
      <c r="X2568" s="14"/>
      <c r="Y2568" s="14"/>
      <c r="Z2568" s="14"/>
      <c r="AA2568" s="16"/>
      <c r="AB2568" s="10"/>
      <c r="AC2568" s="10"/>
      <c r="AD2568" s="10"/>
      <c r="AE2568" s="10"/>
      <c r="AF2568" s="10"/>
      <c r="AG2568" s="10"/>
      <c r="AH2568" s="10"/>
      <c r="AI2568" s="10"/>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M2568" s="10"/>
    </row>
    <row r="2569" spans="1:65" ht="12.75">
      <c r="A2569" s="9"/>
      <c r="B2569" s="10"/>
      <c r="C2569" s="11"/>
      <c r="D2569" s="12"/>
      <c r="E2569" s="10"/>
      <c r="F2569" s="10"/>
      <c r="G2569" s="10"/>
      <c r="H2569" s="14"/>
      <c r="I2569" s="14"/>
      <c r="J2569" s="14"/>
      <c r="K2569" s="14"/>
      <c r="L2569" s="14"/>
      <c r="M2569" s="15"/>
      <c r="N2569" s="10"/>
      <c r="O2569" s="14"/>
      <c r="P2569" s="14"/>
      <c r="Q2569" s="14"/>
      <c r="R2569" s="14"/>
      <c r="S2569" s="14"/>
      <c r="T2569" s="14"/>
      <c r="U2569" s="14"/>
      <c r="V2569" s="14"/>
      <c r="W2569" s="14"/>
      <c r="X2569" s="14"/>
      <c r="Y2569" s="14"/>
      <c r="Z2569" s="14"/>
      <c r="AA2569" s="16"/>
      <c r="AB2569" s="10"/>
      <c r="AC2569" s="10"/>
      <c r="AD2569" s="10"/>
      <c r="AE2569" s="10"/>
      <c r="AF2569" s="10"/>
      <c r="AG2569" s="10"/>
      <c r="AH2569" s="10"/>
      <c r="AI2569" s="10"/>
      <c r="AJ2569" s="10"/>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M2569" s="10"/>
    </row>
    <row r="2570" spans="1:65" ht="12.75">
      <c r="A2570" s="9"/>
      <c r="B2570" s="10"/>
      <c r="C2570" s="11"/>
      <c r="D2570" s="12"/>
      <c r="E2570" s="10"/>
      <c r="F2570" s="10"/>
      <c r="G2570" s="10"/>
      <c r="H2570" s="14"/>
      <c r="I2570" s="14"/>
      <c r="J2570" s="14"/>
      <c r="K2570" s="14"/>
      <c r="L2570" s="14"/>
      <c r="M2570" s="15"/>
      <c r="N2570" s="10"/>
      <c r="O2570" s="14"/>
      <c r="P2570" s="14"/>
      <c r="Q2570" s="14"/>
      <c r="R2570" s="14"/>
      <c r="S2570" s="14"/>
      <c r="T2570" s="14"/>
      <c r="U2570" s="14"/>
      <c r="V2570" s="14"/>
      <c r="W2570" s="14"/>
      <c r="X2570" s="14"/>
      <c r="Y2570" s="14"/>
      <c r="Z2570" s="14"/>
      <c r="AA2570" s="16"/>
      <c r="AB2570" s="10"/>
      <c r="AC2570" s="10"/>
      <c r="AD2570" s="10"/>
      <c r="AE2570" s="10"/>
      <c r="AF2570" s="10"/>
      <c r="AG2570" s="10"/>
      <c r="AH2570" s="10"/>
      <c r="AI2570" s="10"/>
      <c r="AJ2570" s="10"/>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10"/>
      <c r="BK2570" s="10"/>
      <c r="BM2570" s="10"/>
    </row>
    <row r="2571" spans="1:65" ht="12.75">
      <c r="A2571" s="9"/>
      <c r="B2571" s="10"/>
      <c r="C2571" s="11"/>
      <c r="D2571" s="12"/>
      <c r="E2571" s="10"/>
      <c r="F2571" s="10"/>
      <c r="G2571" s="10"/>
      <c r="H2571" s="14"/>
      <c r="I2571" s="14"/>
      <c r="J2571" s="14"/>
      <c r="K2571" s="14"/>
      <c r="L2571" s="14"/>
      <c r="M2571" s="15"/>
      <c r="N2571" s="10"/>
      <c r="O2571" s="14"/>
      <c r="P2571" s="14"/>
      <c r="Q2571" s="14"/>
      <c r="R2571" s="14"/>
      <c r="S2571" s="14"/>
      <c r="T2571" s="14"/>
      <c r="U2571" s="14"/>
      <c r="V2571" s="14"/>
      <c r="W2571" s="14"/>
      <c r="X2571" s="14"/>
      <c r="Y2571" s="14"/>
      <c r="Z2571" s="14"/>
      <c r="AA2571" s="16"/>
      <c r="AB2571" s="10"/>
      <c r="AC2571" s="10"/>
      <c r="AD2571" s="10"/>
      <c r="AE2571" s="10"/>
      <c r="AF2571" s="10"/>
      <c r="AG2571" s="10"/>
      <c r="AH2571" s="10"/>
      <c r="AI2571" s="10"/>
      <c r="AJ2571" s="10"/>
      <c r="AK2571" s="10"/>
      <c r="AL2571" s="1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c r="BJ2571" s="10"/>
      <c r="BK2571" s="10"/>
      <c r="BM2571" s="10"/>
    </row>
    <row r="2572" spans="1:65" ht="12.75">
      <c r="A2572" s="9"/>
      <c r="B2572" s="10"/>
      <c r="C2572" s="11"/>
      <c r="D2572" s="12"/>
      <c r="E2572" s="10"/>
      <c r="F2572" s="10"/>
      <c r="G2572" s="10"/>
      <c r="H2572" s="14"/>
      <c r="I2572" s="14"/>
      <c r="J2572" s="14"/>
      <c r="K2572" s="14"/>
      <c r="L2572" s="14"/>
      <c r="M2572" s="15"/>
      <c r="N2572" s="10"/>
      <c r="O2572" s="14"/>
      <c r="P2572" s="14"/>
      <c r="Q2572" s="14"/>
      <c r="R2572" s="14"/>
      <c r="S2572" s="14"/>
      <c r="T2572" s="14"/>
      <c r="U2572" s="14"/>
      <c r="V2572" s="14"/>
      <c r="W2572" s="14"/>
      <c r="X2572" s="14"/>
      <c r="Y2572" s="14"/>
      <c r="Z2572" s="14"/>
      <c r="AA2572" s="16"/>
      <c r="AB2572" s="10"/>
      <c r="AC2572" s="10"/>
      <c r="AD2572" s="10"/>
      <c r="AE2572" s="10"/>
      <c r="AF2572" s="10"/>
      <c r="AG2572" s="10"/>
      <c r="AH2572" s="10"/>
      <c r="AI2572" s="10"/>
      <c r="AJ2572" s="10"/>
      <c r="AK2572" s="10"/>
      <c r="AL2572" s="10"/>
      <c r="AM2572" s="10"/>
      <c r="AN2572" s="10"/>
      <c r="AO2572" s="10"/>
      <c r="AP2572" s="10"/>
      <c r="AQ2572" s="10"/>
      <c r="AR2572" s="10"/>
      <c r="AS2572" s="10"/>
      <c r="AT2572" s="10"/>
      <c r="AU2572" s="10"/>
      <c r="AV2572" s="10"/>
      <c r="AW2572" s="10"/>
      <c r="AX2572" s="10"/>
      <c r="AY2572" s="10"/>
      <c r="AZ2572" s="10"/>
      <c r="BA2572" s="10"/>
      <c r="BB2572" s="10"/>
      <c r="BC2572" s="10"/>
      <c r="BD2572" s="10"/>
      <c r="BE2572" s="10"/>
      <c r="BF2572" s="10"/>
      <c r="BG2572" s="10"/>
      <c r="BH2572" s="10"/>
      <c r="BI2572" s="10"/>
      <c r="BJ2572" s="10"/>
      <c r="BK2572" s="10"/>
      <c r="BM2572" s="10"/>
    </row>
    <row r="2573" spans="1:65" ht="12.75">
      <c r="A2573" s="9"/>
      <c r="B2573" s="10"/>
      <c r="C2573" s="11"/>
      <c r="D2573" s="12"/>
      <c r="E2573" s="10"/>
      <c r="F2573" s="10"/>
      <c r="G2573" s="10"/>
      <c r="H2573" s="14"/>
      <c r="I2573" s="14"/>
      <c r="J2573" s="14"/>
      <c r="K2573" s="14"/>
      <c r="L2573" s="14"/>
      <c r="M2573" s="15"/>
      <c r="N2573" s="10"/>
      <c r="O2573" s="14"/>
      <c r="P2573" s="14"/>
      <c r="Q2573" s="14"/>
      <c r="R2573" s="14"/>
      <c r="S2573" s="14"/>
      <c r="T2573" s="14"/>
      <c r="U2573" s="14"/>
      <c r="V2573" s="14"/>
      <c r="W2573" s="14"/>
      <c r="X2573" s="14"/>
      <c r="Y2573" s="14"/>
      <c r="Z2573" s="14"/>
      <c r="AA2573" s="16"/>
      <c r="AB2573" s="10"/>
      <c r="AC2573" s="10"/>
      <c r="AD2573" s="10"/>
      <c r="AE2573" s="10"/>
      <c r="AF2573" s="10"/>
      <c r="AG2573" s="10"/>
      <c r="AH2573" s="10"/>
      <c r="AI2573" s="10"/>
      <c r="AJ2573" s="10"/>
      <c r="AK2573" s="10"/>
      <c r="AL2573" s="10"/>
      <c r="AM2573" s="10"/>
      <c r="AN2573" s="10"/>
      <c r="AO2573" s="10"/>
      <c r="AP2573" s="10"/>
      <c r="AQ2573" s="10"/>
      <c r="AR2573" s="10"/>
      <c r="AS2573" s="10"/>
      <c r="AT2573" s="10"/>
      <c r="AU2573" s="10"/>
      <c r="AV2573" s="10"/>
      <c r="AW2573" s="10"/>
      <c r="AX2573" s="10"/>
      <c r="AY2573" s="10"/>
      <c r="AZ2573" s="10"/>
      <c r="BA2573" s="10"/>
      <c r="BB2573" s="10"/>
      <c r="BC2573" s="10"/>
      <c r="BD2573" s="10"/>
      <c r="BE2573" s="10"/>
      <c r="BF2573" s="10"/>
      <c r="BG2573" s="10"/>
      <c r="BH2573" s="10"/>
      <c r="BI2573" s="10"/>
      <c r="BJ2573" s="10"/>
      <c r="BK2573" s="10"/>
      <c r="BM2573" s="10"/>
    </row>
    <row r="2574" spans="1:65" ht="12.75">
      <c r="A2574" s="9"/>
      <c r="B2574" s="10"/>
      <c r="C2574" s="11"/>
      <c r="D2574" s="12"/>
      <c r="E2574" s="10"/>
      <c r="F2574" s="10"/>
      <c r="G2574" s="10"/>
      <c r="H2574" s="14"/>
      <c r="I2574" s="14"/>
      <c r="J2574" s="14"/>
      <c r="K2574" s="14"/>
      <c r="L2574" s="14"/>
      <c r="M2574" s="15"/>
      <c r="N2574" s="10"/>
      <c r="O2574" s="14"/>
      <c r="P2574" s="14"/>
      <c r="Q2574" s="14"/>
      <c r="R2574" s="14"/>
      <c r="S2574" s="14"/>
      <c r="T2574" s="14"/>
      <c r="U2574" s="14"/>
      <c r="V2574" s="14"/>
      <c r="W2574" s="14"/>
      <c r="X2574" s="14"/>
      <c r="Y2574" s="14"/>
      <c r="Z2574" s="14"/>
      <c r="AA2574" s="16"/>
      <c r="AB2574" s="10"/>
      <c r="AC2574" s="10"/>
      <c r="AD2574" s="10"/>
      <c r="AE2574" s="10"/>
      <c r="AF2574" s="10"/>
      <c r="AG2574" s="10"/>
      <c r="AH2574" s="10"/>
      <c r="AI2574" s="10"/>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M2574" s="10"/>
    </row>
    <row r="2575" spans="1:65" ht="12.75">
      <c r="A2575" s="9"/>
      <c r="B2575" s="10"/>
      <c r="C2575" s="11"/>
      <c r="D2575" s="12"/>
      <c r="E2575" s="10"/>
      <c r="F2575" s="10"/>
      <c r="G2575" s="10"/>
      <c r="H2575" s="14"/>
      <c r="I2575" s="14"/>
      <c r="J2575" s="14"/>
      <c r="K2575" s="14"/>
      <c r="L2575" s="14"/>
      <c r="M2575" s="15"/>
      <c r="N2575" s="10"/>
      <c r="O2575" s="14"/>
      <c r="P2575" s="14"/>
      <c r="Q2575" s="14"/>
      <c r="R2575" s="14"/>
      <c r="S2575" s="14"/>
      <c r="T2575" s="14"/>
      <c r="U2575" s="14"/>
      <c r="V2575" s="14"/>
      <c r="W2575" s="14"/>
      <c r="X2575" s="14"/>
      <c r="Y2575" s="14"/>
      <c r="Z2575" s="14"/>
      <c r="AA2575" s="16"/>
      <c r="AB2575" s="10"/>
      <c r="AC2575" s="10"/>
      <c r="AD2575" s="10"/>
      <c r="AE2575" s="10"/>
      <c r="AF2575" s="10"/>
      <c r="AG2575" s="10"/>
      <c r="AH2575" s="10"/>
      <c r="AI2575" s="10"/>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M2575" s="10"/>
    </row>
    <row r="2576" spans="1:65" ht="12.75">
      <c r="A2576" s="9"/>
      <c r="B2576" s="10"/>
      <c r="C2576" s="11"/>
      <c r="D2576" s="12"/>
      <c r="E2576" s="10"/>
      <c r="F2576" s="10"/>
      <c r="G2576" s="10"/>
      <c r="H2576" s="14"/>
      <c r="I2576" s="14"/>
      <c r="J2576" s="14"/>
      <c r="K2576" s="14"/>
      <c r="L2576" s="14"/>
      <c r="M2576" s="15"/>
      <c r="N2576" s="10"/>
      <c r="O2576" s="14"/>
      <c r="P2576" s="14"/>
      <c r="Q2576" s="14"/>
      <c r="R2576" s="14"/>
      <c r="S2576" s="14"/>
      <c r="T2576" s="14"/>
      <c r="U2576" s="14"/>
      <c r="V2576" s="14"/>
      <c r="W2576" s="14"/>
      <c r="X2576" s="14"/>
      <c r="Y2576" s="14"/>
      <c r="Z2576" s="14"/>
      <c r="AA2576" s="16"/>
      <c r="AB2576" s="10"/>
      <c r="AC2576" s="10"/>
      <c r="AD2576" s="10"/>
      <c r="AE2576" s="10"/>
      <c r="AF2576" s="10"/>
      <c r="AG2576" s="10"/>
      <c r="AH2576" s="10"/>
      <c r="AI2576" s="10"/>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M2576" s="10"/>
    </row>
    <row r="2577" spans="1:65" ht="12.75">
      <c r="A2577" s="9"/>
      <c r="B2577" s="10"/>
      <c r="C2577" s="11"/>
      <c r="D2577" s="12"/>
      <c r="E2577" s="10"/>
      <c r="F2577" s="10"/>
      <c r="G2577" s="10"/>
      <c r="H2577" s="14"/>
      <c r="I2577" s="14"/>
      <c r="J2577" s="14"/>
      <c r="K2577" s="14"/>
      <c r="L2577" s="14"/>
      <c r="M2577" s="15"/>
      <c r="N2577" s="10"/>
      <c r="O2577" s="14"/>
      <c r="P2577" s="14"/>
      <c r="Q2577" s="14"/>
      <c r="R2577" s="14"/>
      <c r="S2577" s="14"/>
      <c r="T2577" s="14"/>
      <c r="U2577" s="14"/>
      <c r="V2577" s="14"/>
      <c r="W2577" s="14"/>
      <c r="X2577" s="14"/>
      <c r="Y2577" s="14"/>
      <c r="Z2577" s="14"/>
      <c r="AA2577" s="16"/>
      <c r="AB2577" s="10"/>
      <c r="AC2577" s="10"/>
      <c r="AD2577" s="10"/>
      <c r="AE2577" s="10"/>
      <c r="AF2577" s="10"/>
      <c r="AG2577" s="10"/>
      <c r="AH2577" s="10"/>
      <c r="AI2577" s="10"/>
      <c r="AJ2577" s="10"/>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M2577" s="10"/>
    </row>
    <row r="2578" spans="1:65" ht="12.75">
      <c r="A2578" s="9"/>
      <c r="B2578" s="10"/>
      <c r="C2578" s="11"/>
      <c r="D2578" s="12"/>
      <c r="E2578" s="10"/>
      <c r="F2578" s="10"/>
      <c r="G2578" s="10"/>
      <c r="H2578" s="14"/>
      <c r="I2578" s="14"/>
      <c r="J2578" s="14"/>
      <c r="K2578" s="14"/>
      <c r="L2578" s="14"/>
      <c r="M2578" s="15"/>
      <c r="N2578" s="10"/>
      <c r="O2578" s="14"/>
      <c r="P2578" s="14"/>
      <c r="Q2578" s="14"/>
      <c r="R2578" s="14"/>
      <c r="S2578" s="14"/>
      <c r="T2578" s="14"/>
      <c r="U2578" s="14"/>
      <c r="V2578" s="14"/>
      <c r="W2578" s="14"/>
      <c r="X2578" s="14"/>
      <c r="Y2578" s="14"/>
      <c r="Z2578" s="14"/>
      <c r="AA2578" s="16"/>
      <c r="AB2578" s="10"/>
      <c r="AC2578" s="10"/>
      <c r="AD2578" s="10"/>
      <c r="AE2578" s="10"/>
      <c r="AF2578" s="10"/>
      <c r="AG2578" s="10"/>
      <c r="AH2578" s="10"/>
      <c r="AI2578" s="10"/>
      <c r="AJ2578" s="10"/>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10"/>
      <c r="BK2578" s="10"/>
      <c r="BM2578" s="10"/>
    </row>
    <row r="2579" spans="1:65" ht="12.75">
      <c r="A2579" s="9"/>
      <c r="B2579" s="10"/>
      <c r="C2579" s="11"/>
      <c r="D2579" s="12"/>
      <c r="E2579" s="10"/>
      <c r="F2579" s="10"/>
      <c r="G2579" s="10"/>
      <c r="H2579" s="14"/>
      <c r="I2579" s="14"/>
      <c r="J2579" s="14"/>
      <c r="K2579" s="14"/>
      <c r="L2579" s="14"/>
      <c r="M2579" s="15"/>
      <c r="N2579" s="10"/>
      <c r="O2579" s="14"/>
      <c r="P2579" s="14"/>
      <c r="Q2579" s="14"/>
      <c r="R2579" s="14"/>
      <c r="S2579" s="14"/>
      <c r="T2579" s="14"/>
      <c r="U2579" s="14"/>
      <c r="V2579" s="14"/>
      <c r="W2579" s="14"/>
      <c r="X2579" s="14"/>
      <c r="Y2579" s="14"/>
      <c r="Z2579" s="14"/>
      <c r="AA2579" s="16"/>
      <c r="AB2579" s="10"/>
      <c r="AC2579" s="10"/>
      <c r="AD2579" s="10"/>
      <c r="AE2579" s="10"/>
      <c r="AF2579" s="10"/>
      <c r="AG2579" s="10"/>
      <c r="AH2579" s="10"/>
      <c r="AI2579" s="10"/>
      <c r="AJ2579" s="10"/>
      <c r="AK2579" s="10"/>
      <c r="AL2579" s="1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10"/>
      <c r="BJ2579" s="10"/>
      <c r="BK2579" s="10"/>
      <c r="BM2579" s="10"/>
    </row>
    <row r="2580" spans="1:65" ht="12.75">
      <c r="A2580" s="9"/>
      <c r="B2580" s="10"/>
      <c r="C2580" s="11"/>
      <c r="D2580" s="12"/>
      <c r="E2580" s="10"/>
      <c r="F2580" s="10"/>
      <c r="G2580" s="10"/>
      <c r="H2580" s="14"/>
      <c r="I2580" s="14"/>
      <c r="J2580" s="14"/>
      <c r="K2580" s="14"/>
      <c r="L2580" s="14"/>
      <c r="M2580" s="15"/>
      <c r="N2580" s="10"/>
      <c r="O2580" s="14"/>
      <c r="P2580" s="14"/>
      <c r="Q2580" s="14"/>
      <c r="R2580" s="14"/>
      <c r="S2580" s="14"/>
      <c r="T2580" s="14"/>
      <c r="U2580" s="14"/>
      <c r="V2580" s="14"/>
      <c r="W2580" s="14"/>
      <c r="X2580" s="14"/>
      <c r="Y2580" s="14"/>
      <c r="Z2580" s="14"/>
      <c r="AA2580" s="16"/>
      <c r="AB2580" s="10"/>
      <c r="AC2580" s="10"/>
      <c r="AD2580" s="10"/>
      <c r="AE2580" s="10"/>
      <c r="AF2580" s="10"/>
      <c r="AG2580" s="10"/>
      <c r="AH2580" s="10"/>
      <c r="AI2580" s="10"/>
      <c r="AJ2580" s="10"/>
      <c r="AK2580" s="10"/>
      <c r="AL2580" s="10"/>
      <c r="AM2580" s="10"/>
      <c r="AN2580" s="10"/>
      <c r="AO2580" s="10"/>
      <c r="AP2580" s="10"/>
      <c r="AQ2580" s="10"/>
      <c r="AR2580" s="10"/>
      <c r="AS2580" s="10"/>
      <c r="AT2580" s="10"/>
      <c r="AU2580" s="10"/>
      <c r="AV2580" s="10"/>
      <c r="AW2580" s="10"/>
      <c r="AX2580" s="10"/>
      <c r="AY2580" s="10"/>
      <c r="AZ2580" s="10"/>
      <c r="BA2580" s="10"/>
      <c r="BB2580" s="10"/>
      <c r="BC2580" s="10"/>
      <c r="BD2580" s="10"/>
      <c r="BE2580" s="10"/>
      <c r="BF2580" s="10"/>
      <c r="BG2580" s="10"/>
      <c r="BH2580" s="10"/>
      <c r="BI2580" s="10"/>
      <c r="BJ2580" s="10"/>
      <c r="BK2580" s="10"/>
      <c r="BM2580" s="10"/>
    </row>
    <row r="2581" spans="1:65" ht="12.75">
      <c r="A2581" s="9"/>
      <c r="B2581" s="10"/>
      <c r="C2581" s="11"/>
      <c r="D2581" s="12"/>
      <c r="E2581" s="10"/>
      <c r="F2581" s="10"/>
      <c r="G2581" s="10"/>
      <c r="H2581" s="14"/>
      <c r="I2581" s="14"/>
      <c r="J2581" s="14"/>
      <c r="K2581" s="14"/>
      <c r="L2581" s="14"/>
      <c r="M2581" s="15"/>
      <c r="N2581" s="10"/>
      <c r="O2581" s="14"/>
      <c r="P2581" s="14"/>
      <c r="Q2581" s="14"/>
      <c r="R2581" s="14"/>
      <c r="S2581" s="14"/>
      <c r="T2581" s="14"/>
      <c r="U2581" s="14"/>
      <c r="V2581" s="14"/>
      <c r="W2581" s="14"/>
      <c r="X2581" s="14"/>
      <c r="Y2581" s="14"/>
      <c r="Z2581" s="14"/>
      <c r="AA2581" s="16"/>
      <c r="AB2581" s="10"/>
      <c r="AC2581" s="10"/>
      <c r="AD2581" s="10"/>
      <c r="AE2581" s="10"/>
      <c r="AF2581" s="10"/>
      <c r="AG2581" s="10"/>
      <c r="AH2581" s="10"/>
      <c r="AI2581" s="10"/>
      <c r="AJ2581" s="10"/>
      <c r="AK2581" s="10"/>
      <c r="AL2581" s="10"/>
      <c r="AM2581" s="10"/>
      <c r="AN2581" s="10"/>
      <c r="AO2581" s="10"/>
      <c r="AP2581" s="10"/>
      <c r="AQ2581" s="10"/>
      <c r="AR2581" s="10"/>
      <c r="AS2581" s="10"/>
      <c r="AT2581" s="10"/>
      <c r="AU2581" s="10"/>
      <c r="AV2581" s="10"/>
      <c r="AW2581" s="10"/>
      <c r="AX2581" s="10"/>
      <c r="AY2581" s="10"/>
      <c r="AZ2581" s="10"/>
      <c r="BA2581" s="10"/>
      <c r="BB2581" s="10"/>
      <c r="BC2581" s="10"/>
      <c r="BD2581" s="10"/>
      <c r="BE2581" s="10"/>
      <c r="BF2581" s="10"/>
      <c r="BG2581" s="10"/>
      <c r="BH2581" s="10"/>
      <c r="BI2581" s="10"/>
      <c r="BJ2581" s="10"/>
      <c r="BK2581" s="10"/>
      <c r="BM2581" s="10"/>
    </row>
    <row r="2582" spans="1:65" ht="12.75">
      <c r="A2582" s="9"/>
      <c r="B2582" s="10"/>
      <c r="C2582" s="11"/>
      <c r="D2582" s="12"/>
      <c r="E2582" s="10"/>
      <c r="F2582" s="10"/>
      <c r="G2582" s="10"/>
      <c r="H2582" s="14"/>
      <c r="I2582" s="14"/>
      <c r="J2582" s="14"/>
      <c r="K2582" s="14"/>
      <c r="L2582" s="14"/>
      <c r="M2582" s="15"/>
      <c r="N2582" s="10"/>
      <c r="O2582" s="14"/>
      <c r="P2582" s="14"/>
      <c r="Q2582" s="14"/>
      <c r="R2582" s="14"/>
      <c r="S2582" s="14"/>
      <c r="T2582" s="14"/>
      <c r="U2582" s="14"/>
      <c r="V2582" s="14"/>
      <c r="W2582" s="14"/>
      <c r="X2582" s="14"/>
      <c r="Y2582" s="14"/>
      <c r="Z2582" s="14"/>
      <c r="AA2582" s="16"/>
      <c r="AB2582" s="10"/>
      <c r="AC2582" s="10"/>
      <c r="AD2582" s="10"/>
      <c r="AE2582" s="10"/>
      <c r="AF2582" s="10"/>
      <c r="AG2582" s="10"/>
      <c r="AH2582" s="10"/>
      <c r="AI2582" s="10"/>
      <c r="AJ2582" s="10"/>
      <c r="AK2582" s="10"/>
      <c r="AL2582" s="10"/>
      <c r="AM2582" s="10"/>
      <c r="AN2582" s="10"/>
      <c r="AO2582" s="10"/>
      <c r="AP2582" s="10"/>
      <c r="AQ2582" s="10"/>
      <c r="AR2582" s="10"/>
      <c r="AS2582" s="10"/>
      <c r="AT2582" s="10"/>
      <c r="AU2582" s="10"/>
      <c r="AV2582" s="10"/>
      <c r="AW2582" s="10"/>
      <c r="AX2582" s="10"/>
      <c r="AY2582" s="10"/>
      <c r="AZ2582" s="10"/>
      <c r="BA2582" s="10"/>
      <c r="BB2582" s="10"/>
      <c r="BC2582" s="10"/>
      <c r="BD2582" s="10"/>
      <c r="BE2582" s="10"/>
      <c r="BF2582" s="10"/>
      <c r="BG2582" s="10"/>
      <c r="BH2582" s="10"/>
      <c r="BI2582" s="10"/>
      <c r="BJ2582" s="10"/>
      <c r="BK2582" s="10"/>
      <c r="BM2582" s="10"/>
    </row>
    <row r="2583" spans="1:65" ht="12.75">
      <c r="A2583" s="9"/>
      <c r="B2583" s="10"/>
      <c r="C2583" s="11"/>
      <c r="D2583" s="12"/>
      <c r="E2583" s="10"/>
      <c r="F2583" s="10"/>
      <c r="G2583" s="10"/>
      <c r="H2583" s="14"/>
      <c r="I2583" s="14"/>
      <c r="J2583" s="14"/>
      <c r="K2583" s="14"/>
      <c r="L2583" s="14"/>
      <c r="M2583" s="15"/>
      <c r="N2583" s="10"/>
      <c r="O2583" s="14"/>
      <c r="P2583" s="14"/>
      <c r="Q2583" s="14"/>
      <c r="R2583" s="14"/>
      <c r="S2583" s="14"/>
      <c r="T2583" s="14"/>
      <c r="U2583" s="14"/>
      <c r="V2583" s="14"/>
      <c r="W2583" s="14"/>
      <c r="X2583" s="14"/>
      <c r="Y2583" s="14"/>
      <c r="Z2583" s="14"/>
      <c r="AA2583" s="16"/>
      <c r="AB2583" s="10"/>
      <c r="AC2583" s="10"/>
      <c r="AD2583" s="10"/>
      <c r="AE2583" s="10"/>
      <c r="AF2583" s="10"/>
      <c r="AG2583" s="10"/>
      <c r="AH2583" s="10"/>
      <c r="AI2583" s="10"/>
      <c r="AJ2583" s="10"/>
      <c r="AK2583" s="10"/>
      <c r="AL2583" s="10"/>
      <c r="AM2583" s="10"/>
      <c r="AN2583" s="10"/>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10"/>
      <c r="BJ2583" s="10"/>
      <c r="BK2583" s="10"/>
      <c r="BM2583" s="10"/>
    </row>
    <row r="2584" spans="1:65" ht="12.75">
      <c r="A2584" s="9"/>
      <c r="B2584" s="10"/>
      <c r="C2584" s="11"/>
      <c r="D2584" s="12"/>
      <c r="E2584" s="10"/>
      <c r="F2584" s="10"/>
      <c r="G2584" s="10"/>
      <c r="H2584" s="14"/>
      <c r="I2584" s="14"/>
      <c r="J2584" s="14"/>
      <c r="K2584" s="14"/>
      <c r="L2584" s="14"/>
      <c r="M2584" s="15"/>
      <c r="N2584" s="10"/>
      <c r="O2584" s="14"/>
      <c r="P2584" s="14"/>
      <c r="Q2584" s="14"/>
      <c r="R2584" s="14"/>
      <c r="S2584" s="14"/>
      <c r="T2584" s="14"/>
      <c r="U2584" s="14"/>
      <c r="V2584" s="14"/>
      <c r="W2584" s="14"/>
      <c r="X2584" s="14"/>
      <c r="Y2584" s="14"/>
      <c r="Z2584" s="14"/>
      <c r="AA2584" s="16"/>
      <c r="AB2584" s="10"/>
      <c r="AC2584" s="10"/>
      <c r="AD2584" s="10"/>
      <c r="AE2584" s="10"/>
      <c r="AF2584" s="10"/>
      <c r="AG2584" s="10"/>
      <c r="AH2584" s="10"/>
      <c r="AI2584" s="10"/>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M2584" s="10"/>
    </row>
    <row r="2585" spans="1:65" ht="12.75">
      <c r="A2585" s="9"/>
      <c r="B2585" s="10"/>
      <c r="C2585" s="11"/>
      <c r="D2585" s="12"/>
      <c r="E2585" s="10"/>
      <c r="F2585" s="10"/>
      <c r="G2585" s="10"/>
      <c r="H2585" s="14"/>
      <c r="I2585" s="14"/>
      <c r="J2585" s="14"/>
      <c r="K2585" s="14"/>
      <c r="L2585" s="14"/>
      <c r="M2585" s="15"/>
      <c r="N2585" s="10"/>
      <c r="O2585" s="14"/>
      <c r="P2585" s="14"/>
      <c r="Q2585" s="14"/>
      <c r="R2585" s="14"/>
      <c r="S2585" s="14"/>
      <c r="T2585" s="14"/>
      <c r="U2585" s="14"/>
      <c r="V2585" s="14"/>
      <c r="W2585" s="14"/>
      <c r="X2585" s="14"/>
      <c r="Y2585" s="14"/>
      <c r="Z2585" s="14"/>
      <c r="AA2585" s="16"/>
      <c r="AB2585" s="10"/>
      <c r="AC2585" s="10"/>
      <c r="AD2585" s="10"/>
      <c r="AE2585" s="10"/>
      <c r="AF2585" s="10"/>
      <c r="AG2585" s="10"/>
      <c r="AH2585" s="10"/>
      <c r="AI2585" s="10"/>
      <c r="AJ2585" s="10"/>
      <c r="AK2585" s="10"/>
      <c r="AL2585" s="1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10"/>
      <c r="BK2585" s="10"/>
      <c r="BM2585" s="10"/>
    </row>
    <row r="2586" spans="1:65" ht="12.75">
      <c r="A2586" s="9"/>
      <c r="B2586" s="10"/>
      <c r="C2586" s="11"/>
      <c r="D2586" s="12"/>
      <c r="E2586" s="10"/>
      <c r="F2586" s="10"/>
      <c r="G2586" s="10"/>
      <c r="H2586" s="14"/>
      <c r="I2586" s="14"/>
      <c r="J2586" s="14"/>
      <c r="K2586" s="14"/>
      <c r="L2586" s="14"/>
      <c r="M2586" s="15"/>
      <c r="N2586" s="10"/>
      <c r="O2586" s="14"/>
      <c r="P2586" s="14"/>
      <c r="Q2586" s="14"/>
      <c r="R2586" s="14"/>
      <c r="S2586" s="14"/>
      <c r="T2586" s="14"/>
      <c r="U2586" s="14"/>
      <c r="V2586" s="14"/>
      <c r="W2586" s="14"/>
      <c r="X2586" s="14"/>
      <c r="Y2586" s="14"/>
      <c r="Z2586" s="14"/>
      <c r="AA2586" s="16"/>
      <c r="AB2586" s="10"/>
      <c r="AC2586" s="10"/>
      <c r="AD2586" s="10"/>
      <c r="AE2586" s="10"/>
      <c r="AF2586" s="10"/>
      <c r="AG2586" s="10"/>
      <c r="AH2586" s="10"/>
      <c r="AI2586" s="10"/>
      <c r="AJ2586" s="10"/>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M2586" s="10"/>
    </row>
    <row r="2587" spans="1:65" ht="12.75">
      <c r="A2587" s="9"/>
      <c r="B2587" s="10"/>
      <c r="C2587" s="11"/>
      <c r="D2587" s="12"/>
      <c r="E2587" s="10"/>
      <c r="F2587" s="10"/>
      <c r="G2587" s="10"/>
      <c r="H2587" s="14"/>
      <c r="I2587" s="14"/>
      <c r="J2587" s="14"/>
      <c r="K2587" s="14"/>
      <c r="L2587" s="14"/>
      <c r="M2587" s="15"/>
      <c r="N2587" s="10"/>
      <c r="O2587" s="14"/>
      <c r="P2587" s="14"/>
      <c r="Q2587" s="14"/>
      <c r="R2587" s="14"/>
      <c r="S2587" s="14"/>
      <c r="T2587" s="14"/>
      <c r="U2587" s="14"/>
      <c r="V2587" s="14"/>
      <c r="W2587" s="14"/>
      <c r="X2587" s="14"/>
      <c r="Y2587" s="14"/>
      <c r="Z2587" s="14"/>
      <c r="AA2587" s="16"/>
      <c r="AB2587" s="10"/>
      <c r="AC2587" s="10"/>
      <c r="AD2587" s="10"/>
      <c r="AE2587" s="10"/>
      <c r="AF2587" s="10"/>
      <c r="AG2587" s="10"/>
      <c r="AH2587" s="10"/>
      <c r="AI2587" s="10"/>
      <c r="AJ2587" s="10"/>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10"/>
      <c r="BK2587" s="10"/>
      <c r="BM2587" s="10"/>
    </row>
    <row r="2588" spans="1:65" ht="12.75">
      <c r="A2588" s="9"/>
      <c r="B2588" s="10"/>
      <c r="C2588" s="11"/>
      <c r="D2588" s="12"/>
      <c r="E2588" s="10"/>
      <c r="F2588" s="10"/>
      <c r="G2588" s="10"/>
      <c r="H2588" s="14"/>
      <c r="I2588" s="14"/>
      <c r="J2588" s="14"/>
      <c r="K2588" s="14"/>
      <c r="L2588" s="14"/>
      <c r="M2588" s="15"/>
      <c r="N2588" s="10"/>
      <c r="O2588" s="14"/>
      <c r="P2588" s="14"/>
      <c r="Q2588" s="14"/>
      <c r="R2588" s="14"/>
      <c r="S2588" s="14"/>
      <c r="T2588" s="14"/>
      <c r="U2588" s="14"/>
      <c r="V2588" s="14"/>
      <c r="W2588" s="14"/>
      <c r="X2588" s="14"/>
      <c r="Y2588" s="14"/>
      <c r="Z2588" s="14"/>
      <c r="AA2588" s="16"/>
      <c r="AB2588" s="10"/>
      <c r="AC2588" s="10"/>
      <c r="AD2588" s="10"/>
      <c r="AE2588" s="10"/>
      <c r="AF2588" s="10"/>
      <c r="AG2588" s="10"/>
      <c r="AH2588" s="10"/>
      <c r="AI2588" s="10"/>
      <c r="AJ2588" s="10"/>
      <c r="AK2588" s="10"/>
      <c r="AL2588" s="10"/>
      <c r="AM2588" s="10"/>
      <c r="AN2588" s="10"/>
      <c r="AO2588" s="10"/>
      <c r="AP2588" s="10"/>
      <c r="AQ2588" s="10"/>
      <c r="AR2588" s="10"/>
      <c r="AS2588" s="10"/>
      <c r="AT2588" s="10"/>
      <c r="AU2588" s="10"/>
      <c r="AV2588" s="10"/>
      <c r="AW2588" s="10"/>
      <c r="AX2588" s="10"/>
      <c r="AY2588" s="10"/>
      <c r="AZ2588" s="10"/>
      <c r="BA2588" s="10"/>
      <c r="BB2588" s="10"/>
      <c r="BC2588" s="10"/>
      <c r="BD2588" s="10"/>
      <c r="BE2588" s="10"/>
      <c r="BF2588" s="10"/>
      <c r="BG2588" s="10"/>
      <c r="BH2588" s="10"/>
      <c r="BI2588" s="10"/>
      <c r="BJ2588" s="10"/>
      <c r="BK2588" s="10"/>
      <c r="BM2588" s="10"/>
    </row>
    <row r="2589" spans="1:65" ht="12.75">
      <c r="A2589" s="9"/>
      <c r="B2589" s="10"/>
      <c r="C2589" s="11"/>
      <c r="D2589" s="12"/>
      <c r="E2589" s="10"/>
      <c r="F2589" s="10"/>
      <c r="G2589" s="10"/>
      <c r="H2589" s="14"/>
      <c r="I2589" s="14"/>
      <c r="J2589" s="14"/>
      <c r="K2589" s="14"/>
      <c r="L2589" s="14"/>
      <c r="M2589" s="15"/>
      <c r="N2589" s="10"/>
      <c r="O2589" s="14"/>
      <c r="P2589" s="14"/>
      <c r="Q2589" s="14"/>
      <c r="R2589" s="14"/>
      <c r="S2589" s="14"/>
      <c r="T2589" s="14"/>
      <c r="U2589" s="14"/>
      <c r="V2589" s="14"/>
      <c r="W2589" s="14"/>
      <c r="X2589" s="14"/>
      <c r="Y2589" s="14"/>
      <c r="Z2589" s="14"/>
      <c r="AA2589" s="16"/>
      <c r="AB2589" s="10"/>
      <c r="AC2589" s="10"/>
      <c r="AD2589" s="10"/>
      <c r="AE2589" s="10"/>
      <c r="AF2589" s="10"/>
      <c r="AG2589" s="10"/>
      <c r="AH2589" s="10"/>
      <c r="AI2589" s="10"/>
      <c r="AJ2589" s="10"/>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10"/>
      <c r="BK2589" s="10"/>
      <c r="BM2589" s="10"/>
    </row>
    <row r="2590" spans="1:65" ht="12.75">
      <c r="A2590" s="9"/>
      <c r="B2590" s="10"/>
      <c r="C2590" s="11"/>
      <c r="D2590" s="12"/>
      <c r="E2590" s="10"/>
      <c r="F2590" s="10"/>
      <c r="G2590" s="10"/>
      <c r="H2590" s="14"/>
      <c r="I2590" s="14"/>
      <c r="J2590" s="14"/>
      <c r="K2590" s="14"/>
      <c r="L2590" s="14"/>
      <c r="M2590" s="15"/>
      <c r="N2590" s="10"/>
      <c r="O2590" s="14"/>
      <c r="P2590" s="14"/>
      <c r="Q2590" s="14"/>
      <c r="R2590" s="14"/>
      <c r="S2590" s="14"/>
      <c r="T2590" s="14"/>
      <c r="U2590" s="14"/>
      <c r="V2590" s="14"/>
      <c r="W2590" s="14"/>
      <c r="X2590" s="14"/>
      <c r="Y2590" s="14"/>
      <c r="Z2590" s="14"/>
      <c r="AA2590" s="16"/>
      <c r="AB2590" s="10"/>
      <c r="AC2590" s="10"/>
      <c r="AD2590" s="10"/>
      <c r="AE2590" s="10"/>
      <c r="AF2590" s="10"/>
      <c r="AG2590" s="10"/>
      <c r="AH2590" s="10"/>
      <c r="AI2590" s="10"/>
      <c r="AJ2590" s="10"/>
      <c r="AK2590" s="10"/>
      <c r="AL2590" s="10"/>
      <c r="AM2590" s="10"/>
      <c r="AN2590" s="10"/>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10"/>
      <c r="BJ2590" s="10"/>
      <c r="BK2590" s="10"/>
      <c r="BM2590" s="10"/>
    </row>
    <row r="2591" spans="1:65" ht="12.75">
      <c r="A2591" s="9"/>
      <c r="B2591" s="10"/>
      <c r="C2591" s="11"/>
      <c r="D2591" s="12"/>
      <c r="E2591" s="10"/>
      <c r="F2591" s="10"/>
      <c r="G2591" s="10"/>
      <c r="H2591" s="14"/>
      <c r="I2591" s="14"/>
      <c r="J2591" s="14"/>
      <c r="K2591" s="14"/>
      <c r="L2591" s="14"/>
      <c r="M2591" s="15"/>
      <c r="N2591" s="10"/>
      <c r="O2591" s="14"/>
      <c r="P2591" s="14"/>
      <c r="Q2591" s="14"/>
      <c r="R2591" s="14"/>
      <c r="S2591" s="14"/>
      <c r="T2591" s="14"/>
      <c r="U2591" s="14"/>
      <c r="V2591" s="14"/>
      <c r="W2591" s="14"/>
      <c r="X2591" s="14"/>
      <c r="Y2591" s="14"/>
      <c r="Z2591" s="14"/>
      <c r="AA2591" s="16"/>
      <c r="AB2591" s="10"/>
      <c r="AC2591" s="10"/>
      <c r="AD2591" s="10"/>
      <c r="AE2591" s="10"/>
      <c r="AF2591" s="10"/>
      <c r="AG2591" s="10"/>
      <c r="AH2591" s="10"/>
      <c r="AI2591" s="10"/>
      <c r="AJ2591" s="10"/>
      <c r="AK2591" s="10"/>
      <c r="AL2591" s="10"/>
      <c r="AM2591" s="10"/>
      <c r="AN2591" s="10"/>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10"/>
      <c r="BK2591" s="10"/>
      <c r="BM2591" s="10"/>
    </row>
    <row r="2592" spans="1:65" ht="12.75">
      <c r="A2592" s="9"/>
      <c r="B2592" s="10"/>
      <c r="C2592" s="11"/>
      <c r="D2592" s="12"/>
      <c r="E2592" s="10"/>
      <c r="F2592" s="10"/>
      <c r="G2592" s="10"/>
      <c r="H2592" s="14"/>
      <c r="I2592" s="14"/>
      <c r="J2592" s="14"/>
      <c r="K2592" s="14"/>
      <c r="L2592" s="14"/>
      <c r="M2592" s="15"/>
      <c r="N2592" s="10"/>
      <c r="O2592" s="14"/>
      <c r="P2592" s="14"/>
      <c r="Q2592" s="14"/>
      <c r="R2592" s="14"/>
      <c r="S2592" s="14"/>
      <c r="T2592" s="14"/>
      <c r="U2592" s="14"/>
      <c r="V2592" s="14"/>
      <c r="W2592" s="14"/>
      <c r="X2592" s="14"/>
      <c r="Y2592" s="14"/>
      <c r="Z2592" s="14"/>
      <c r="AA2592" s="16"/>
      <c r="AB2592" s="10"/>
      <c r="AC2592" s="10"/>
      <c r="AD2592" s="10"/>
      <c r="AE2592" s="10"/>
      <c r="AF2592" s="10"/>
      <c r="AG2592" s="10"/>
      <c r="AH2592" s="10"/>
      <c r="AI2592" s="10"/>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M2592" s="10"/>
    </row>
    <row r="2593" spans="1:65" ht="12.75">
      <c r="A2593" s="9"/>
      <c r="B2593" s="10"/>
      <c r="C2593" s="11"/>
      <c r="D2593" s="12"/>
      <c r="E2593" s="10"/>
      <c r="F2593" s="10"/>
      <c r="G2593" s="10"/>
      <c r="H2593" s="14"/>
      <c r="I2593" s="14"/>
      <c r="J2593" s="14"/>
      <c r="K2593" s="14"/>
      <c r="L2593" s="14"/>
      <c r="M2593" s="15"/>
      <c r="N2593" s="10"/>
      <c r="O2593" s="14"/>
      <c r="P2593" s="14"/>
      <c r="Q2593" s="14"/>
      <c r="R2593" s="14"/>
      <c r="S2593" s="14"/>
      <c r="T2593" s="14"/>
      <c r="U2593" s="14"/>
      <c r="V2593" s="14"/>
      <c r="W2593" s="14"/>
      <c r="X2593" s="14"/>
      <c r="Y2593" s="14"/>
      <c r="Z2593" s="14"/>
      <c r="AA2593" s="16"/>
      <c r="AB2593" s="10"/>
      <c r="AC2593" s="10"/>
      <c r="AD2593" s="10"/>
      <c r="AE2593" s="10"/>
      <c r="AF2593" s="10"/>
      <c r="AG2593" s="10"/>
      <c r="AH2593" s="10"/>
      <c r="AI2593" s="10"/>
      <c r="AJ2593" s="10"/>
      <c r="AK2593" s="10"/>
      <c r="AL2593" s="10"/>
      <c r="AM2593" s="10"/>
      <c r="AN2593" s="10"/>
      <c r="AO2593" s="10"/>
      <c r="AP2593" s="10"/>
      <c r="AQ2593" s="10"/>
      <c r="AR2593" s="10"/>
      <c r="AS2593" s="10"/>
      <c r="AT2593" s="10"/>
      <c r="AU2593" s="10"/>
      <c r="AV2593" s="10"/>
      <c r="AW2593" s="10"/>
      <c r="AX2593" s="10"/>
      <c r="AY2593" s="10"/>
      <c r="AZ2593" s="10"/>
      <c r="BA2593" s="10"/>
      <c r="BB2593" s="10"/>
      <c r="BC2593" s="10"/>
      <c r="BD2593" s="10"/>
      <c r="BE2593" s="10"/>
      <c r="BF2593" s="10"/>
      <c r="BG2593" s="10"/>
      <c r="BH2593" s="10"/>
      <c r="BI2593" s="10"/>
      <c r="BJ2593" s="10"/>
      <c r="BK2593" s="10"/>
      <c r="BM2593" s="10"/>
    </row>
    <row r="2594" spans="1:65" ht="12.75">
      <c r="A2594" s="9"/>
      <c r="B2594" s="10"/>
      <c r="C2594" s="11"/>
      <c r="D2594" s="12"/>
      <c r="E2594" s="10"/>
      <c r="F2594" s="10"/>
      <c r="G2594" s="10"/>
      <c r="H2594" s="14"/>
      <c r="I2594" s="14"/>
      <c r="J2594" s="14"/>
      <c r="K2594" s="14"/>
      <c r="L2594" s="14"/>
      <c r="M2594" s="15"/>
      <c r="N2594" s="10"/>
      <c r="O2594" s="14"/>
      <c r="P2594" s="14"/>
      <c r="Q2594" s="14"/>
      <c r="R2594" s="14"/>
      <c r="S2594" s="14"/>
      <c r="T2594" s="14"/>
      <c r="U2594" s="14"/>
      <c r="V2594" s="14"/>
      <c r="W2594" s="14"/>
      <c r="X2594" s="14"/>
      <c r="Y2594" s="14"/>
      <c r="Z2594" s="14"/>
      <c r="AA2594" s="16"/>
      <c r="AB2594" s="10"/>
      <c r="AC2594" s="10"/>
      <c r="AD2594" s="10"/>
      <c r="AE2594" s="10"/>
      <c r="AF2594" s="10"/>
      <c r="AG2594" s="10"/>
      <c r="AH2594" s="10"/>
      <c r="AI2594" s="10"/>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M2594" s="10"/>
    </row>
    <row r="2595" spans="1:65" ht="12.75">
      <c r="A2595" s="9"/>
      <c r="B2595" s="10"/>
      <c r="C2595" s="11"/>
      <c r="D2595" s="12"/>
      <c r="E2595" s="10"/>
      <c r="F2595" s="10"/>
      <c r="G2595" s="10"/>
      <c r="H2595" s="14"/>
      <c r="I2595" s="14"/>
      <c r="J2595" s="14"/>
      <c r="K2595" s="14"/>
      <c r="L2595" s="14"/>
      <c r="M2595" s="15"/>
      <c r="N2595" s="10"/>
      <c r="O2595" s="14"/>
      <c r="P2595" s="14"/>
      <c r="Q2595" s="14"/>
      <c r="R2595" s="14"/>
      <c r="S2595" s="14"/>
      <c r="T2595" s="14"/>
      <c r="U2595" s="14"/>
      <c r="V2595" s="14"/>
      <c r="W2595" s="14"/>
      <c r="X2595" s="14"/>
      <c r="Y2595" s="14"/>
      <c r="Z2595" s="14"/>
      <c r="AA2595" s="16"/>
      <c r="AB2595" s="10"/>
      <c r="AC2595" s="10"/>
      <c r="AD2595" s="10"/>
      <c r="AE2595" s="10"/>
      <c r="AF2595" s="10"/>
      <c r="AG2595" s="10"/>
      <c r="AH2595" s="10"/>
      <c r="AI2595" s="10"/>
      <c r="AJ2595" s="10"/>
      <c r="AK2595" s="10"/>
      <c r="AL2595" s="10"/>
      <c r="AM2595" s="10"/>
      <c r="AN2595" s="10"/>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c r="BI2595" s="10"/>
      <c r="BJ2595" s="10"/>
      <c r="BK2595" s="10"/>
      <c r="BM2595" s="10"/>
    </row>
    <row r="2596" spans="1:65" ht="12.75">
      <c r="A2596" s="9"/>
      <c r="B2596" s="10"/>
      <c r="C2596" s="11"/>
      <c r="D2596" s="12"/>
      <c r="E2596" s="10"/>
      <c r="F2596" s="10"/>
      <c r="G2596" s="10"/>
      <c r="H2596" s="14"/>
      <c r="I2596" s="14"/>
      <c r="J2596" s="14"/>
      <c r="K2596" s="14"/>
      <c r="L2596" s="14"/>
      <c r="M2596" s="15"/>
      <c r="N2596" s="10"/>
      <c r="O2596" s="14"/>
      <c r="P2596" s="14"/>
      <c r="Q2596" s="14"/>
      <c r="R2596" s="14"/>
      <c r="S2596" s="14"/>
      <c r="T2596" s="14"/>
      <c r="U2596" s="14"/>
      <c r="V2596" s="14"/>
      <c r="W2596" s="14"/>
      <c r="X2596" s="14"/>
      <c r="Y2596" s="14"/>
      <c r="Z2596" s="14"/>
      <c r="AA2596" s="16"/>
      <c r="AB2596" s="10"/>
      <c r="AC2596" s="10"/>
      <c r="AD2596" s="10"/>
      <c r="AE2596" s="10"/>
      <c r="AF2596" s="10"/>
      <c r="AG2596" s="10"/>
      <c r="AH2596" s="10"/>
      <c r="AI2596" s="10"/>
      <c r="AJ2596" s="10"/>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M2596" s="10"/>
    </row>
    <row r="2597" spans="1:65" ht="12.75">
      <c r="A2597" s="9"/>
      <c r="B2597" s="10"/>
      <c r="C2597" s="11"/>
      <c r="D2597" s="12"/>
      <c r="E2597" s="10"/>
      <c r="F2597" s="10"/>
      <c r="G2597" s="10"/>
      <c r="H2597" s="14"/>
      <c r="I2597" s="14"/>
      <c r="J2597" s="14"/>
      <c r="K2597" s="14"/>
      <c r="L2597" s="14"/>
      <c r="M2597" s="15"/>
      <c r="N2597" s="10"/>
      <c r="O2597" s="14"/>
      <c r="P2597" s="14"/>
      <c r="Q2597" s="14"/>
      <c r="R2597" s="14"/>
      <c r="S2597" s="14"/>
      <c r="T2597" s="14"/>
      <c r="U2597" s="14"/>
      <c r="V2597" s="14"/>
      <c r="W2597" s="14"/>
      <c r="X2597" s="14"/>
      <c r="Y2597" s="14"/>
      <c r="Z2597" s="14"/>
      <c r="AA2597" s="16"/>
      <c r="AB2597" s="10"/>
      <c r="AC2597" s="10"/>
      <c r="AD2597" s="10"/>
      <c r="AE2597" s="10"/>
      <c r="AF2597" s="10"/>
      <c r="AG2597" s="10"/>
      <c r="AH2597" s="10"/>
      <c r="AI2597" s="10"/>
      <c r="AJ2597" s="10"/>
      <c r="AK2597" s="10"/>
      <c r="AL2597" s="10"/>
      <c r="AM2597" s="10"/>
      <c r="AN2597" s="10"/>
      <c r="AO2597" s="10"/>
      <c r="AP2597" s="10"/>
      <c r="AQ2597" s="10"/>
      <c r="AR2597" s="10"/>
      <c r="AS2597" s="10"/>
      <c r="AT2597" s="10"/>
      <c r="AU2597" s="10"/>
      <c r="AV2597" s="10"/>
      <c r="AW2597" s="10"/>
      <c r="AX2597" s="10"/>
      <c r="AY2597" s="10"/>
      <c r="AZ2597" s="10"/>
      <c r="BA2597" s="10"/>
      <c r="BB2597" s="10"/>
      <c r="BC2597" s="10"/>
      <c r="BD2597" s="10"/>
      <c r="BE2597" s="10"/>
      <c r="BF2597" s="10"/>
      <c r="BG2597" s="10"/>
      <c r="BH2597" s="10"/>
      <c r="BI2597" s="10"/>
      <c r="BJ2597" s="10"/>
      <c r="BK2597" s="10"/>
      <c r="BM2597" s="10"/>
    </row>
    <row r="2598" spans="1:65" ht="12.75">
      <c r="A2598" s="9"/>
      <c r="B2598" s="10"/>
      <c r="C2598" s="11"/>
      <c r="D2598" s="12"/>
      <c r="E2598" s="10"/>
      <c r="F2598" s="10"/>
      <c r="G2598" s="10"/>
      <c r="H2598" s="14"/>
      <c r="I2598" s="14"/>
      <c r="J2598" s="14"/>
      <c r="K2598" s="14"/>
      <c r="L2598" s="14"/>
      <c r="M2598" s="15"/>
      <c r="N2598" s="10"/>
      <c r="O2598" s="14"/>
      <c r="P2598" s="14"/>
      <c r="Q2598" s="14"/>
      <c r="R2598" s="14"/>
      <c r="S2598" s="14"/>
      <c r="T2598" s="14"/>
      <c r="U2598" s="14"/>
      <c r="V2598" s="14"/>
      <c r="W2598" s="14"/>
      <c r="X2598" s="14"/>
      <c r="Y2598" s="14"/>
      <c r="Z2598" s="14"/>
      <c r="AA2598" s="16"/>
      <c r="AB2598" s="10"/>
      <c r="AC2598" s="10"/>
      <c r="AD2598" s="10"/>
      <c r="AE2598" s="10"/>
      <c r="AF2598" s="10"/>
      <c r="AG2598" s="10"/>
      <c r="AH2598" s="10"/>
      <c r="AI2598" s="10"/>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10"/>
      <c r="BK2598" s="10"/>
      <c r="BM2598" s="10"/>
    </row>
    <row r="2599" spans="1:65" ht="12.75">
      <c r="A2599" s="9"/>
      <c r="B2599" s="10"/>
      <c r="C2599" s="11"/>
      <c r="D2599" s="12"/>
      <c r="E2599" s="10"/>
      <c r="F2599" s="10"/>
      <c r="G2599" s="10"/>
      <c r="H2599" s="14"/>
      <c r="I2599" s="14"/>
      <c r="J2599" s="14"/>
      <c r="K2599" s="14"/>
      <c r="L2599" s="14"/>
      <c r="M2599" s="15"/>
      <c r="N2599" s="10"/>
      <c r="O2599" s="14"/>
      <c r="P2599" s="14"/>
      <c r="Q2599" s="14"/>
      <c r="R2599" s="14"/>
      <c r="S2599" s="14"/>
      <c r="T2599" s="14"/>
      <c r="U2599" s="14"/>
      <c r="V2599" s="14"/>
      <c r="W2599" s="14"/>
      <c r="X2599" s="14"/>
      <c r="Y2599" s="14"/>
      <c r="Z2599" s="14"/>
      <c r="AA2599" s="16"/>
      <c r="AB2599" s="10"/>
      <c r="AC2599" s="10"/>
      <c r="AD2599" s="10"/>
      <c r="AE2599" s="10"/>
      <c r="AF2599" s="10"/>
      <c r="AG2599" s="10"/>
      <c r="AH2599" s="10"/>
      <c r="AI2599" s="10"/>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10"/>
      <c r="BK2599" s="10"/>
      <c r="BM2599" s="10"/>
    </row>
    <row r="2600" spans="1:65" ht="12.75">
      <c r="A2600" s="9"/>
      <c r="B2600" s="10"/>
      <c r="C2600" s="11"/>
      <c r="D2600" s="12"/>
      <c r="E2600" s="10"/>
      <c r="F2600" s="10"/>
      <c r="G2600" s="10"/>
      <c r="H2600" s="14"/>
      <c r="I2600" s="14"/>
      <c r="J2600" s="14"/>
      <c r="K2600" s="14"/>
      <c r="L2600" s="14"/>
      <c r="M2600" s="15"/>
      <c r="N2600" s="10"/>
      <c r="O2600" s="14"/>
      <c r="P2600" s="14"/>
      <c r="Q2600" s="14"/>
      <c r="R2600" s="14"/>
      <c r="S2600" s="14"/>
      <c r="T2600" s="14"/>
      <c r="U2600" s="14"/>
      <c r="V2600" s="14"/>
      <c r="W2600" s="14"/>
      <c r="X2600" s="14"/>
      <c r="Y2600" s="14"/>
      <c r="Z2600" s="14"/>
      <c r="AA2600" s="16"/>
      <c r="AB2600" s="10"/>
      <c r="AC2600" s="10"/>
      <c r="AD2600" s="10"/>
      <c r="AE2600" s="10"/>
      <c r="AF2600" s="10"/>
      <c r="AG2600" s="10"/>
      <c r="AH2600" s="10"/>
      <c r="AI2600" s="10"/>
      <c r="AJ2600" s="10"/>
      <c r="AK2600" s="10"/>
      <c r="AL2600" s="10"/>
      <c r="AM2600" s="10"/>
      <c r="AN2600" s="10"/>
      <c r="AO2600" s="10"/>
      <c r="AP2600" s="10"/>
      <c r="AQ2600" s="10"/>
      <c r="AR2600" s="10"/>
      <c r="AS2600" s="10"/>
      <c r="AT2600" s="10"/>
      <c r="AU2600" s="10"/>
      <c r="AV2600" s="10"/>
      <c r="AW2600" s="10"/>
      <c r="AX2600" s="10"/>
      <c r="AY2600" s="10"/>
      <c r="AZ2600" s="10"/>
      <c r="BA2600" s="10"/>
      <c r="BB2600" s="10"/>
      <c r="BC2600" s="10"/>
      <c r="BD2600" s="10"/>
      <c r="BE2600" s="10"/>
      <c r="BF2600" s="10"/>
      <c r="BG2600" s="10"/>
      <c r="BH2600" s="10"/>
      <c r="BI2600" s="10"/>
      <c r="BJ2600" s="10"/>
      <c r="BK2600" s="10"/>
      <c r="BM2600" s="10"/>
    </row>
    <row r="2601" spans="1:65" ht="12.75">
      <c r="A2601" s="9"/>
      <c r="B2601" s="10"/>
      <c r="C2601" s="11"/>
      <c r="D2601" s="12"/>
      <c r="E2601" s="10"/>
      <c r="F2601" s="10"/>
      <c r="G2601" s="10"/>
      <c r="H2601" s="14"/>
      <c r="I2601" s="14"/>
      <c r="J2601" s="14"/>
      <c r="K2601" s="14"/>
      <c r="L2601" s="14"/>
      <c r="M2601" s="15"/>
      <c r="N2601" s="10"/>
      <c r="O2601" s="14"/>
      <c r="P2601" s="14"/>
      <c r="Q2601" s="14"/>
      <c r="R2601" s="14"/>
      <c r="S2601" s="14"/>
      <c r="T2601" s="14"/>
      <c r="U2601" s="14"/>
      <c r="V2601" s="14"/>
      <c r="W2601" s="14"/>
      <c r="X2601" s="14"/>
      <c r="Y2601" s="14"/>
      <c r="Z2601" s="14"/>
      <c r="AA2601" s="16"/>
      <c r="AB2601" s="10"/>
      <c r="AC2601" s="10"/>
      <c r="AD2601" s="10"/>
      <c r="AE2601" s="10"/>
      <c r="AF2601" s="10"/>
      <c r="AG2601" s="10"/>
      <c r="AH2601" s="10"/>
      <c r="AI2601" s="10"/>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c r="BJ2601" s="10"/>
      <c r="BK2601" s="10"/>
      <c r="BM2601" s="10"/>
    </row>
    <row r="2602" spans="1:65" ht="12.75">
      <c r="A2602" s="9"/>
      <c r="B2602" s="10"/>
      <c r="C2602" s="11"/>
      <c r="D2602" s="12"/>
      <c r="E2602" s="10"/>
      <c r="F2602" s="10"/>
      <c r="G2602" s="10"/>
      <c r="H2602" s="14"/>
      <c r="I2602" s="14"/>
      <c r="J2602" s="14"/>
      <c r="K2602" s="14"/>
      <c r="L2602" s="14"/>
      <c r="M2602" s="15"/>
      <c r="N2602" s="10"/>
      <c r="O2602" s="14"/>
      <c r="P2602" s="14"/>
      <c r="Q2602" s="14"/>
      <c r="R2602" s="14"/>
      <c r="S2602" s="14"/>
      <c r="T2602" s="14"/>
      <c r="U2602" s="14"/>
      <c r="V2602" s="14"/>
      <c r="W2602" s="14"/>
      <c r="X2602" s="14"/>
      <c r="Y2602" s="14"/>
      <c r="Z2602" s="14"/>
      <c r="AA2602" s="16"/>
      <c r="AB2602" s="10"/>
      <c r="AC2602" s="10"/>
      <c r="AD2602" s="10"/>
      <c r="AE2602" s="10"/>
      <c r="AF2602" s="10"/>
      <c r="AG2602" s="10"/>
      <c r="AH2602" s="10"/>
      <c r="AI2602" s="10"/>
      <c r="AJ2602" s="10"/>
      <c r="AK2602" s="10"/>
      <c r="AL2602" s="10"/>
      <c r="AM2602" s="10"/>
      <c r="AN2602" s="10"/>
      <c r="AO2602" s="10"/>
      <c r="AP2602" s="10"/>
      <c r="AQ2602" s="10"/>
      <c r="AR2602" s="10"/>
      <c r="AS2602" s="10"/>
      <c r="AT2602" s="10"/>
      <c r="AU2602" s="10"/>
      <c r="AV2602" s="10"/>
      <c r="AW2602" s="10"/>
      <c r="AX2602" s="10"/>
      <c r="AY2602" s="10"/>
      <c r="AZ2602" s="10"/>
      <c r="BA2602" s="10"/>
      <c r="BB2602" s="10"/>
      <c r="BC2602" s="10"/>
      <c r="BD2602" s="10"/>
      <c r="BE2602" s="10"/>
      <c r="BF2602" s="10"/>
      <c r="BG2602" s="10"/>
      <c r="BH2602" s="10"/>
      <c r="BI2602" s="10"/>
      <c r="BJ2602" s="10"/>
      <c r="BK2602" s="10"/>
      <c r="BM2602" s="10"/>
    </row>
    <row r="2603" spans="1:65" ht="12.75">
      <c r="A2603" s="9"/>
      <c r="B2603" s="10"/>
      <c r="C2603" s="11"/>
      <c r="D2603" s="12"/>
      <c r="E2603" s="10"/>
      <c r="F2603" s="10"/>
      <c r="G2603" s="10"/>
      <c r="H2603" s="14"/>
      <c r="I2603" s="14"/>
      <c r="J2603" s="14"/>
      <c r="K2603" s="14"/>
      <c r="L2603" s="14"/>
      <c r="M2603" s="15"/>
      <c r="N2603" s="10"/>
      <c r="O2603" s="14"/>
      <c r="P2603" s="14"/>
      <c r="Q2603" s="14"/>
      <c r="R2603" s="14"/>
      <c r="S2603" s="14"/>
      <c r="T2603" s="14"/>
      <c r="U2603" s="14"/>
      <c r="V2603" s="14"/>
      <c r="W2603" s="14"/>
      <c r="X2603" s="14"/>
      <c r="Y2603" s="14"/>
      <c r="Z2603" s="14"/>
      <c r="AA2603" s="16"/>
      <c r="AB2603" s="10"/>
      <c r="AC2603" s="10"/>
      <c r="AD2603" s="10"/>
      <c r="AE2603" s="10"/>
      <c r="AF2603" s="10"/>
      <c r="AG2603" s="10"/>
      <c r="AH2603" s="10"/>
      <c r="AI2603" s="10"/>
      <c r="AJ2603" s="10"/>
      <c r="AK2603" s="10"/>
      <c r="AL2603" s="10"/>
      <c r="AM2603" s="10"/>
      <c r="AN2603" s="10"/>
      <c r="AO2603" s="10"/>
      <c r="AP2603" s="10"/>
      <c r="AQ2603" s="10"/>
      <c r="AR2603" s="10"/>
      <c r="AS2603" s="10"/>
      <c r="AT2603" s="10"/>
      <c r="AU2603" s="10"/>
      <c r="AV2603" s="10"/>
      <c r="AW2603" s="10"/>
      <c r="AX2603" s="10"/>
      <c r="AY2603" s="10"/>
      <c r="AZ2603" s="10"/>
      <c r="BA2603" s="10"/>
      <c r="BB2603" s="10"/>
      <c r="BC2603" s="10"/>
      <c r="BD2603" s="10"/>
      <c r="BE2603" s="10"/>
      <c r="BF2603" s="10"/>
      <c r="BG2603" s="10"/>
      <c r="BH2603" s="10"/>
      <c r="BI2603" s="10"/>
      <c r="BJ2603" s="10"/>
      <c r="BK2603" s="10"/>
      <c r="BM2603" s="10"/>
    </row>
    <row r="2604" spans="1:65" ht="12.75">
      <c r="A2604" s="9"/>
      <c r="B2604" s="10"/>
      <c r="C2604" s="11"/>
      <c r="D2604" s="12"/>
      <c r="E2604" s="10"/>
      <c r="F2604" s="10"/>
      <c r="G2604" s="10"/>
      <c r="H2604" s="14"/>
      <c r="I2604" s="14"/>
      <c r="J2604" s="14"/>
      <c r="K2604" s="14"/>
      <c r="L2604" s="14"/>
      <c r="M2604" s="15"/>
      <c r="N2604" s="10"/>
      <c r="O2604" s="14"/>
      <c r="P2604" s="14"/>
      <c r="Q2604" s="14"/>
      <c r="R2604" s="14"/>
      <c r="S2604" s="14"/>
      <c r="T2604" s="14"/>
      <c r="U2604" s="14"/>
      <c r="V2604" s="14"/>
      <c r="W2604" s="14"/>
      <c r="X2604" s="14"/>
      <c r="Y2604" s="14"/>
      <c r="Z2604" s="14"/>
      <c r="AA2604" s="16"/>
      <c r="AB2604" s="10"/>
      <c r="AC2604" s="10"/>
      <c r="AD2604" s="10"/>
      <c r="AE2604" s="10"/>
      <c r="AF2604" s="10"/>
      <c r="AG2604" s="10"/>
      <c r="AH2604" s="10"/>
      <c r="AI2604" s="10"/>
      <c r="AJ2604" s="10"/>
      <c r="AK2604" s="10"/>
      <c r="AL2604" s="10"/>
      <c r="AM2604" s="10"/>
      <c r="AN2604" s="10"/>
      <c r="AO2604" s="10"/>
      <c r="AP2604" s="10"/>
      <c r="AQ2604" s="10"/>
      <c r="AR2604" s="10"/>
      <c r="AS2604" s="10"/>
      <c r="AT2604" s="10"/>
      <c r="AU2604" s="10"/>
      <c r="AV2604" s="10"/>
      <c r="AW2604" s="10"/>
      <c r="AX2604" s="10"/>
      <c r="AY2604" s="10"/>
      <c r="AZ2604" s="10"/>
      <c r="BA2604" s="10"/>
      <c r="BB2604" s="10"/>
      <c r="BC2604" s="10"/>
      <c r="BD2604" s="10"/>
      <c r="BE2604" s="10"/>
      <c r="BF2604" s="10"/>
      <c r="BG2604" s="10"/>
      <c r="BH2604" s="10"/>
      <c r="BI2604" s="10"/>
      <c r="BJ2604" s="10"/>
      <c r="BK2604" s="10"/>
      <c r="BM2604" s="10"/>
    </row>
    <row r="2605" spans="1:65" ht="12.75">
      <c r="A2605" s="9"/>
      <c r="B2605" s="10"/>
      <c r="C2605" s="11"/>
      <c r="D2605" s="12"/>
      <c r="E2605" s="10"/>
      <c r="F2605" s="10"/>
      <c r="G2605" s="10"/>
      <c r="H2605" s="14"/>
      <c r="I2605" s="14"/>
      <c r="J2605" s="14"/>
      <c r="K2605" s="14"/>
      <c r="L2605" s="14"/>
      <c r="M2605" s="15"/>
      <c r="N2605" s="10"/>
      <c r="O2605" s="14"/>
      <c r="P2605" s="14"/>
      <c r="Q2605" s="14"/>
      <c r="R2605" s="14"/>
      <c r="S2605" s="14"/>
      <c r="T2605" s="14"/>
      <c r="U2605" s="14"/>
      <c r="V2605" s="14"/>
      <c r="W2605" s="14"/>
      <c r="X2605" s="14"/>
      <c r="Y2605" s="14"/>
      <c r="Z2605" s="14"/>
      <c r="AA2605" s="16"/>
      <c r="AB2605" s="10"/>
      <c r="AC2605" s="10"/>
      <c r="AD2605" s="10"/>
      <c r="AE2605" s="10"/>
      <c r="AF2605" s="10"/>
      <c r="AG2605" s="10"/>
      <c r="AH2605" s="10"/>
      <c r="AI2605" s="10"/>
      <c r="AJ2605" s="10"/>
      <c r="AK2605" s="10"/>
      <c r="AL2605" s="10"/>
      <c r="AM2605" s="10"/>
      <c r="AN2605" s="10"/>
      <c r="AO2605" s="10"/>
      <c r="AP2605" s="10"/>
      <c r="AQ2605" s="10"/>
      <c r="AR2605" s="10"/>
      <c r="AS2605" s="10"/>
      <c r="AT2605" s="10"/>
      <c r="AU2605" s="10"/>
      <c r="AV2605" s="10"/>
      <c r="AW2605" s="10"/>
      <c r="AX2605" s="10"/>
      <c r="AY2605" s="10"/>
      <c r="AZ2605" s="10"/>
      <c r="BA2605" s="10"/>
      <c r="BB2605" s="10"/>
      <c r="BC2605" s="10"/>
      <c r="BD2605" s="10"/>
      <c r="BE2605" s="10"/>
      <c r="BF2605" s="10"/>
      <c r="BG2605" s="10"/>
      <c r="BH2605" s="10"/>
      <c r="BI2605" s="10"/>
      <c r="BJ2605" s="10"/>
      <c r="BK2605" s="10"/>
      <c r="BM2605" s="10"/>
    </row>
    <row r="2606" spans="1:65" ht="12.75">
      <c r="A2606" s="9"/>
      <c r="B2606" s="10"/>
      <c r="C2606" s="11"/>
      <c r="D2606" s="12"/>
      <c r="E2606" s="10"/>
      <c r="F2606" s="10"/>
      <c r="G2606" s="10"/>
      <c r="H2606" s="14"/>
      <c r="I2606" s="14"/>
      <c r="J2606" s="14"/>
      <c r="K2606" s="14"/>
      <c r="L2606" s="14"/>
      <c r="M2606" s="15"/>
      <c r="N2606" s="10"/>
      <c r="O2606" s="14"/>
      <c r="P2606" s="14"/>
      <c r="Q2606" s="14"/>
      <c r="R2606" s="14"/>
      <c r="S2606" s="14"/>
      <c r="T2606" s="14"/>
      <c r="U2606" s="14"/>
      <c r="V2606" s="14"/>
      <c r="W2606" s="14"/>
      <c r="X2606" s="14"/>
      <c r="Y2606" s="14"/>
      <c r="Z2606" s="14"/>
      <c r="AA2606" s="16"/>
      <c r="AB2606" s="10"/>
      <c r="AC2606" s="10"/>
      <c r="AD2606" s="10"/>
      <c r="AE2606" s="10"/>
      <c r="AF2606" s="10"/>
      <c r="AG2606" s="10"/>
      <c r="AH2606" s="10"/>
      <c r="AI2606" s="10"/>
      <c r="AJ2606" s="10"/>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10"/>
      <c r="BK2606" s="10"/>
      <c r="BM2606" s="10"/>
    </row>
    <row r="2607" spans="1:65" ht="12.75">
      <c r="A2607" s="9"/>
      <c r="B2607" s="10"/>
      <c r="C2607" s="11"/>
      <c r="D2607" s="12"/>
      <c r="E2607" s="10"/>
      <c r="F2607" s="10"/>
      <c r="G2607" s="10"/>
      <c r="H2607" s="14"/>
      <c r="I2607" s="14"/>
      <c r="J2607" s="14"/>
      <c r="K2607" s="14"/>
      <c r="L2607" s="14"/>
      <c r="M2607" s="15"/>
      <c r="N2607" s="10"/>
      <c r="O2607" s="14"/>
      <c r="P2607" s="14"/>
      <c r="Q2607" s="14"/>
      <c r="R2607" s="14"/>
      <c r="S2607" s="14"/>
      <c r="T2607" s="14"/>
      <c r="U2607" s="14"/>
      <c r="V2607" s="14"/>
      <c r="W2607" s="14"/>
      <c r="X2607" s="14"/>
      <c r="Y2607" s="14"/>
      <c r="Z2607" s="14"/>
      <c r="AA2607" s="16"/>
      <c r="AB2607" s="10"/>
      <c r="AC2607" s="10"/>
      <c r="AD2607" s="10"/>
      <c r="AE2607" s="10"/>
      <c r="AF2607" s="10"/>
      <c r="AG2607" s="10"/>
      <c r="AH2607" s="10"/>
      <c r="AI2607" s="10"/>
      <c r="AJ2607" s="10"/>
      <c r="AK2607" s="10"/>
      <c r="AL2607" s="10"/>
      <c r="AM2607" s="10"/>
      <c r="AN2607" s="10"/>
      <c r="AO2607" s="10"/>
      <c r="AP2607" s="10"/>
      <c r="AQ2607" s="10"/>
      <c r="AR2607" s="10"/>
      <c r="AS2607" s="10"/>
      <c r="AT2607" s="10"/>
      <c r="AU2607" s="10"/>
      <c r="AV2607" s="10"/>
      <c r="AW2607" s="10"/>
      <c r="AX2607" s="10"/>
      <c r="AY2607" s="10"/>
      <c r="AZ2607" s="10"/>
      <c r="BA2607" s="10"/>
      <c r="BB2607" s="10"/>
      <c r="BC2607" s="10"/>
      <c r="BD2607" s="10"/>
      <c r="BE2607" s="10"/>
      <c r="BF2607" s="10"/>
      <c r="BG2607" s="10"/>
      <c r="BH2607" s="10"/>
      <c r="BI2607" s="10"/>
      <c r="BJ2607" s="10"/>
      <c r="BK2607" s="10"/>
      <c r="BM2607" s="10"/>
    </row>
    <row r="2608" spans="1:65" ht="12.75">
      <c r="A2608" s="9"/>
      <c r="B2608" s="10"/>
      <c r="C2608" s="11"/>
      <c r="D2608" s="12"/>
      <c r="E2608" s="10"/>
      <c r="F2608" s="10"/>
      <c r="G2608" s="10"/>
      <c r="H2608" s="14"/>
      <c r="I2608" s="14"/>
      <c r="J2608" s="14"/>
      <c r="K2608" s="14"/>
      <c r="L2608" s="14"/>
      <c r="M2608" s="15"/>
      <c r="N2608" s="10"/>
      <c r="O2608" s="14"/>
      <c r="P2608" s="14"/>
      <c r="Q2608" s="14"/>
      <c r="R2608" s="14"/>
      <c r="S2608" s="14"/>
      <c r="T2608" s="14"/>
      <c r="U2608" s="14"/>
      <c r="V2608" s="14"/>
      <c r="W2608" s="14"/>
      <c r="X2608" s="14"/>
      <c r="Y2608" s="14"/>
      <c r="Z2608" s="14"/>
      <c r="AA2608" s="16"/>
      <c r="AB2608" s="10"/>
      <c r="AC2608" s="10"/>
      <c r="AD2608" s="10"/>
      <c r="AE2608" s="10"/>
      <c r="AF2608" s="10"/>
      <c r="AG2608" s="10"/>
      <c r="AH2608" s="10"/>
      <c r="AI2608" s="10"/>
      <c r="AJ2608" s="10"/>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M2608" s="10"/>
    </row>
    <row r="2609" spans="1:65" ht="12.75">
      <c r="A2609" s="9"/>
      <c r="B2609" s="10"/>
      <c r="C2609" s="11"/>
      <c r="D2609" s="12"/>
      <c r="E2609" s="10"/>
      <c r="F2609" s="10"/>
      <c r="G2609" s="10"/>
      <c r="H2609" s="14"/>
      <c r="I2609" s="14"/>
      <c r="J2609" s="14"/>
      <c r="K2609" s="14"/>
      <c r="L2609" s="14"/>
      <c r="M2609" s="15"/>
      <c r="N2609" s="10"/>
      <c r="O2609" s="14"/>
      <c r="P2609" s="14"/>
      <c r="Q2609" s="14"/>
      <c r="R2609" s="14"/>
      <c r="S2609" s="14"/>
      <c r="T2609" s="14"/>
      <c r="U2609" s="14"/>
      <c r="V2609" s="14"/>
      <c r="W2609" s="14"/>
      <c r="X2609" s="14"/>
      <c r="Y2609" s="14"/>
      <c r="Z2609" s="14"/>
      <c r="AA2609" s="16"/>
      <c r="AB2609" s="10"/>
      <c r="AC2609" s="10"/>
      <c r="AD2609" s="10"/>
      <c r="AE2609" s="10"/>
      <c r="AF2609" s="10"/>
      <c r="AG2609" s="10"/>
      <c r="AH2609" s="10"/>
      <c r="AI2609" s="10"/>
      <c r="AJ2609" s="10"/>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M2609" s="10"/>
    </row>
    <row r="2610" spans="1:65" ht="12.75">
      <c r="A2610" s="9"/>
      <c r="B2610" s="10"/>
      <c r="C2610" s="11"/>
      <c r="D2610" s="12"/>
      <c r="E2610" s="10"/>
      <c r="F2610" s="10"/>
      <c r="G2610" s="10"/>
      <c r="H2610" s="14"/>
      <c r="I2610" s="14"/>
      <c r="J2610" s="14"/>
      <c r="K2610" s="14"/>
      <c r="L2610" s="14"/>
      <c r="M2610" s="15"/>
      <c r="N2610" s="10"/>
      <c r="O2610" s="14"/>
      <c r="P2610" s="14"/>
      <c r="Q2610" s="14"/>
      <c r="R2610" s="14"/>
      <c r="S2610" s="14"/>
      <c r="T2610" s="14"/>
      <c r="U2610" s="14"/>
      <c r="V2610" s="14"/>
      <c r="W2610" s="14"/>
      <c r="X2610" s="14"/>
      <c r="Y2610" s="14"/>
      <c r="Z2610" s="14"/>
      <c r="AA2610" s="16"/>
      <c r="AB2610" s="10"/>
      <c r="AC2610" s="10"/>
      <c r="AD2610" s="10"/>
      <c r="AE2610" s="10"/>
      <c r="AF2610" s="10"/>
      <c r="AG2610" s="10"/>
      <c r="AH2610" s="10"/>
      <c r="AI2610" s="10"/>
      <c r="AJ2610" s="10"/>
      <c r="AK2610" s="10"/>
      <c r="AL2610" s="10"/>
      <c r="AM2610" s="10"/>
      <c r="AN2610" s="10"/>
      <c r="AO2610" s="10"/>
      <c r="AP2610" s="10"/>
      <c r="AQ2610" s="10"/>
      <c r="AR2610" s="10"/>
      <c r="AS2610" s="10"/>
      <c r="AT2610" s="10"/>
      <c r="AU2610" s="10"/>
      <c r="AV2610" s="10"/>
      <c r="AW2610" s="10"/>
      <c r="AX2610" s="10"/>
      <c r="AY2610" s="10"/>
      <c r="AZ2610" s="10"/>
      <c r="BA2610" s="10"/>
      <c r="BB2610" s="10"/>
      <c r="BC2610" s="10"/>
      <c r="BD2610" s="10"/>
      <c r="BE2610" s="10"/>
      <c r="BF2610" s="10"/>
      <c r="BG2610" s="10"/>
      <c r="BH2610" s="10"/>
      <c r="BI2610" s="10"/>
      <c r="BJ2610" s="10"/>
      <c r="BK2610" s="10"/>
      <c r="BM2610" s="10"/>
    </row>
    <row r="2611" spans="1:65" ht="12.75">
      <c r="A2611" s="9"/>
      <c r="B2611" s="10"/>
      <c r="C2611" s="11"/>
      <c r="D2611" s="12"/>
      <c r="E2611" s="10"/>
      <c r="F2611" s="10"/>
      <c r="G2611" s="10"/>
      <c r="H2611" s="14"/>
      <c r="I2611" s="14"/>
      <c r="J2611" s="14"/>
      <c r="K2611" s="14"/>
      <c r="L2611" s="14"/>
      <c r="M2611" s="15"/>
      <c r="N2611" s="10"/>
      <c r="O2611" s="14"/>
      <c r="P2611" s="14"/>
      <c r="Q2611" s="14"/>
      <c r="R2611" s="14"/>
      <c r="S2611" s="14"/>
      <c r="T2611" s="14"/>
      <c r="U2611" s="14"/>
      <c r="V2611" s="14"/>
      <c r="W2611" s="14"/>
      <c r="X2611" s="14"/>
      <c r="Y2611" s="14"/>
      <c r="Z2611" s="14"/>
      <c r="AA2611" s="16"/>
      <c r="AB2611" s="10"/>
      <c r="AC2611" s="10"/>
      <c r="AD2611" s="10"/>
      <c r="AE2611" s="10"/>
      <c r="AF2611" s="10"/>
      <c r="AG2611" s="10"/>
      <c r="AH2611" s="10"/>
      <c r="AI2611" s="10"/>
      <c r="AJ2611" s="10"/>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M2611" s="10"/>
    </row>
    <row r="2612" spans="1:65" ht="12.75">
      <c r="A2612" s="9"/>
      <c r="B2612" s="10"/>
      <c r="C2612" s="11"/>
      <c r="D2612" s="12"/>
      <c r="E2612" s="10"/>
      <c r="F2612" s="10"/>
      <c r="G2612" s="10"/>
      <c r="H2612" s="14"/>
      <c r="I2612" s="14"/>
      <c r="J2612" s="14"/>
      <c r="K2612" s="14"/>
      <c r="L2612" s="14"/>
      <c r="M2612" s="15"/>
      <c r="N2612" s="10"/>
      <c r="O2612" s="14"/>
      <c r="P2612" s="14"/>
      <c r="Q2612" s="14"/>
      <c r="R2612" s="14"/>
      <c r="S2612" s="14"/>
      <c r="T2612" s="14"/>
      <c r="U2612" s="14"/>
      <c r="V2612" s="14"/>
      <c r="W2612" s="14"/>
      <c r="X2612" s="14"/>
      <c r="Y2612" s="14"/>
      <c r="Z2612" s="14"/>
      <c r="AA2612" s="16"/>
      <c r="AB2612" s="10"/>
      <c r="AC2612" s="10"/>
      <c r="AD2612" s="10"/>
      <c r="AE2612" s="10"/>
      <c r="AF2612" s="10"/>
      <c r="AG2612" s="10"/>
      <c r="AH2612" s="10"/>
      <c r="AI2612" s="10"/>
      <c r="AJ2612" s="10"/>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M2612" s="10"/>
    </row>
    <row r="2613" spans="1:65" ht="12.75">
      <c r="A2613" s="9"/>
      <c r="B2613" s="10"/>
      <c r="C2613" s="11"/>
      <c r="D2613" s="12"/>
      <c r="E2613" s="10"/>
      <c r="F2613" s="10"/>
      <c r="G2613" s="10"/>
      <c r="H2613" s="14"/>
      <c r="I2613" s="14"/>
      <c r="J2613" s="14"/>
      <c r="K2613" s="14"/>
      <c r="L2613" s="14"/>
      <c r="M2613" s="15"/>
      <c r="N2613" s="10"/>
      <c r="O2613" s="14"/>
      <c r="P2613" s="14"/>
      <c r="Q2613" s="14"/>
      <c r="R2613" s="14"/>
      <c r="S2613" s="14"/>
      <c r="T2613" s="14"/>
      <c r="U2613" s="14"/>
      <c r="V2613" s="14"/>
      <c r="W2613" s="14"/>
      <c r="X2613" s="14"/>
      <c r="Y2613" s="14"/>
      <c r="Z2613" s="14"/>
      <c r="AA2613" s="16"/>
      <c r="AB2613" s="10"/>
      <c r="AC2613" s="10"/>
      <c r="AD2613" s="10"/>
      <c r="AE2613" s="10"/>
      <c r="AF2613" s="10"/>
      <c r="AG2613" s="10"/>
      <c r="AH2613" s="10"/>
      <c r="AI2613" s="10"/>
      <c r="AJ2613" s="10"/>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M2613" s="10"/>
    </row>
    <row r="2614" spans="1:65" ht="12.75">
      <c r="A2614" s="9"/>
      <c r="B2614" s="10"/>
      <c r="C2614" s="11"/>
      <c r="D2614" s="12"/>
      <c r="E2614" s="10"/>
      <c r="F2614" s="10"/>
      <c r="G2614" s="10"/>
      <c r="H2614" s="14"/>
      <c r="I2614" s="14"/>
      <c r="J2614" s="14"/>
      <c r="K2614" s="14"/>
      <c r="L2614" s="14"/>
      <c r="M2614" s="15"/>
      <c r="N2614" s="10"/>
      <c r="O2614" s="14"/>
      <c r="P2614" s="14"/>
      <c r="Q2614" s="14"/>
      <c r="R2614" s="14"/>
      <c r="S2614" s="14"/>
      <c r="T2614" s="14"/>
      <c r="U2614" s="14"/>
      <c r="V2614" s="14"/>
      <c r="W2614" s="14"/>
      <c r="X2614" s="14"/>
      <c r="Y2614" s="14"/>
      <c r="Z2614" s="14"/>
      <c r="AA2614" s="16"/>
      <c r="AB2614" s="10"/>
      <c r="AC2614" s="10"/>
      <c r="AD2614" s="10"/>
      <c r="AE2614" s="10"/>
      <c r="AF2614" s="10"/>
      <c r="AG2614" s="10"/>
      <c r="AH2614" s="10"/>
      <c r="AI2614" s="10"/>
      <c r="AJ2614" s="10"/>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M2614" s="10"/>
    </row>
    <row r="2615" spans="1:65" ht="12.75">
      <c r="A2615" s="9"/>
      <c r="B2615" s="10"/>
      <c r="C2615" s="11"/>
      <c r="D2615" s="12"/>
      <c r="E2615" s="10"/>
      <c r="F2615" s="10"/>
      <c r="G2615" s="10"/>
      <c r="H2615" s="14"/>
      <c r="I2615" s="14"/>
      <c r="J2615" s="14"/>
      <c r="K2615" s="14"/>
      <c r="L2615" s="14"/>
      <c r="M2615" s="15"/>
      <c r="N2615" s="10"/>
      <c r="O2615" s="14"/>
      <c r="P2615" s="14"/>
      <c r="Q2615" s="14"/>
      <c r="R2615" s="14"/>
      <c r="S2615" s="14"/>
      <c r="T2615" s="14"/>
      <c r="U2615" s="14"/>
      <c r="V2615" s="14"/>
      <c r="W2615" s="14"/>
      <c r="X2615" s="14"/>
      <c r="Y2615" s="14"/>
      <c r="Z2615" s="14"/>
      <c r="AA2615" s="16"/>
      <c r="AB2615" s="10"/>
      <c r="AC2615" s="10"/>
      <c r="AD2615" s="10"/>
      <c r="AE2615" s="10"/>
      <c r="AF2615" s="10"/>
      <c r="AG2615" s="10"/>
      <c r="AH2615" s="10"/>
      <c r="AI2615" s="10"/>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M2615" s="10"/>
    </row>
    <row r="2616" spans="1:65" ht="12.75">
      <c r="A2616" s="9"/>
      <c r="B2616" s="10"/>
      <c r="C2616" s="11"/>
      <c r="D2616" s="12"/>
      <c r="E2616" s="10"/>
      <c r="F2616" s="10"/>
      <c r="G2616" s="10"/>
      <c r="H2616" s="14"/>
      <c r="I2616" s="14"/>
      <c r="J2616" s="14"/>
      <c r="K2616" s="14"/>
      <c r="L2616" s="14"/>
      <c r="M2616" s="15"/>
      <c r="N2616" s="10"/>
      <c r="O2616" s="14"/>
      <c r="P2616" s="14"/>
      <c r="Q2616" s="14"/>
      <c r="R2616" s="14"/>
      <c r="S2616" s="14"/>
      <c r="T2616" s="14"/>
      <c r="U2616" s="14"/>
      <c r="V2616" s="14"/>
      <c r="W2616" s="14"/>
      <c r="X2616" s="14"/>
      <c r="Y2616" s="14"/>
      <c r="Z2616" s="14"/>
      <c r="AA2616" s="16"/>
      <c r="AB2616" s="10"/>
      <c r="AC2616" s="10"/>
      <c r="AD2616" s="10"/>
      <c r="AE2616" s="10"/>
      <c r="AF2616" s="10"/>
      <c r="AG2616" s="10"/>
      <c r="AH2616" s="10"/>
      <c r="AI2616" s="10"/>
      <c r="AJ2616" s="10"/>
      <c r="AK2616" s="10"/>
      <c r="AL2616" s="10"/>
      <c r="AM2616" s="10"/>
      <c r="AN2616" s="10"/>
      <c r="AO2616" s="10"/>
      <c r="AP2616" s="10"/>
      <c r="AQ2616" s="10"/>
      <c r="AR2616" s="10"/>
      <c r="AS2616" s="10"/>
      <c r="AT2616" s="10"/>
      <c r="AU2616" s="10"/>
      <c r="AV2616" s="10"/>
      <c r="AW2616" s="10"/>
      <c r="AX2616" s="10"/>
      <c r="AY2616" s="10"/>
      <c r="AZ2616" s="10"/>
      <c r="BA2616" s="10"/>
      <c r="BB2616" s="10"/>
      <c r="BC2616" s="10"/>
      <c r="BD2616" s="10"/>
      <c r="BE2616" s="10"/>
      <c r="BF2616" s="10"/>
      <c r="BG2616" s="10"/>
      <c r="BH2616" s="10"/>
      <c r="BI2616" s="10"/>
      <c r="BJ2616" s="10"/>
      <c r="BK2616" s="10"/>
      <c r="BM2616" s="10"/>
    </row>
    <row r="2617" spans="1:65" ht="12.75">
      <c r="A2617" s="9"/>
      <c r="B2617" s="10"/>
      <c r="C2617" s="11"/>
      <c r="D2617" s="12"/>
      <c r="E2617" s="10"/>
      <c r="F2617" s="10"/>
      <c r="G2617" s="10"/>
      <c r="H2617" s="14"/>
      <c r="I2617" s="14"/>
      <c r="J2617" s="14"/>
      <c r="K2617" s="14"/>
      <c r="L2617" s="14"/>
      <c r="M2617" s="15"/>
      <c r="N2617" s="10"/>
      <c r="O2617" s="14"/>
      <c r="P2617" s="14"/>
      <c r="Q2617" s="14"/>
      <c r="R2617" s="14"/>
      <c r="S2617" s="14"/>
      <c r="T2617" s="14"/>
      <c r="U2617" s="14"/>
      <c r="V2617" s="14"/>
      <c r="W2617" s="14"/>
      <c r="X2617" s="14"/>
      <c r="Y2617" s="14"/>
      <c r="Z2617" s="14"/>
      <c r="AA2617" s="16"/>
      <c r="AB2617" s="10"/>
      <c r="AC2617" s="10"/>
      <c r="AD2617" s="10"/>
      <c r="AE2617" s="10"/>
      <c r="AF2617" s="10"/>
      <c r="AG2617" s="10"/>
      <c r="AH2617" s="10"/>
      <c r="AI2617" s="10"/>
      <c r="AJ2617" s="10"/>
      <c r="AK2617" s="10"/>
      <c r="AL2617" s="10"/>
      <c r="AM2617" s="10"/>
      <c r="AN2617" s="10"/>
      <c r="AO2617" s="10"/>
      <c r="AP2617" s="10"/>
      <c r="AQ2617" s="10"/>
      <c r="AR2617" s="10"/>
      <c r="AS2617" s="10"/>
      <c r="AT2617" s="10"/>
      <c r="AU2617" s="10"/>
      <c r="AV2617" s="10"/>
      <c r="AW2617" s="10"/>
      <c r="AX2617" s="10"/>
      <c r="AY2617" s="10"/>
      <c r="AZ2617" s="10"/>
      <c r="BA2617" s="10"/>
      <c r="BB2617" s="10"/>
      <c r="BC2617" s="10"/>
      <c r="BD2617" s="10"/>
      <c r="BE2617" s="10"/>
      <c r="BF2617" s="10"/>
      <c r="BG2617" s="10"/>
      <c r="BH2617" s="10"/>
      <c r="BI2617" s="10"/>
      <c r="BJ2617" s="10"/>
      <c r="BK2617" s="10"/>
      <c r="BM2617" s="10"/>
    </row>
    <row r="2618" spans="1:65" ht="12.75">
      <c r="A2618" s="9"/>
      <c r="B2618" s="10"/>
      <c r="C2618" s="11"/>
      <c r="D2618" s="12"/>
      <c r="E2618" s="10"/>
      <c r="F2618" s="10"/>
      <c r="G2618" s="10"/>
      <c r="H2618" s="14"/>
      <c r="I2618" s="14"/>
      <c r="J2618" s="14"/>
      <c r="K2618" s="14"/>
      <c r="L2618" s="14"/>
      <c r="M2618" s="15"/>
      <c r="N2618" s="10"/>
      <c r="O2618" s="14"/>
      <c r="P2618" s="14"/>
      <c r="Q2618" s="14"/>
      <c r="R2618" s="14"/>
      <c r="S2618" s="14"/>
      <c r="T2618" s="14"/>
      <c r="U2618" s="14"/>
      <c r="V2618" s="14"/>
      <c r="W2618" s="14"/>
      <c r="X2618" s="14"/>
      <c r="Y2618" s="14"/>
      <c r="Z2618" s="14"/>
      <c r="AA2618" s="16"/>
      <c r="AB2618" s="10"/>
      <c r="AC2618" s="10"/>
      <c r="AD2618" s="10"/>
      <c r="AE2618" s="10"/>
      <c r="AF2618" s="10"/>
      <c r="AG2618" s="10"/>
      <c r="AH2618" s="10"/>
      <c r="AI2618" s="10"/>
      <c r="AJ2618" s="10"/>
      <c r="AK2618" s="10"/>
      <c r="AL2618" s="10"/>
      <c r="AM2618" s="10"/>
      <c r="AN2618" s="10"/>
      <c r="AO2618" s="10"/>
      <c r="AP2618" s="10"/>
      <c r="AQ2618" s="10"/>
      <c r="AR2618" s="10"/>
      <c r="AS2618" s="10"/>
      <c r="AT2618" s="10"/>
      <c r="AU2618" s="10"/>
      <c r="AV2618" s="10"/>
      <c r="AW2618" s="10"/>
      <c r="AX2618" s="10"/>
      <c r="AY2618" s="10"/>
      <c r="AZ2618" s="10"/>
      <c r="BA2618" s="10"/>
      <c r="BB2618" s="10"/>
      <c r="BC2618" s="10"/>
      <c r="BD2618" s="10"/>
      <c r="BE2618" s="10"/>
      <c r="BF2618" s="10"/>
      <c r="BG2618" s="10"/>
      <c r="BH2618" s="10"/>
      <c r="BI2618" s="10"/>
      <c r="BJ2618" s="10"/>
      <c r="BK2618" s="10"/>
      <c r="BM2618" s="10"/>
    </row>
    <row r="2619" spans="1:65" ht="12.75">
      <c r="A2619" s="9"/>
      <c r="B2619" s="10"/>
      <c r="C2619" s="11"/>
      <c r="D2619" s="12"/>
      <c r="E2619" s="10"/>
      <c r="F2619" s="10"/>
      <c r="G2619" s="10"/>
      <c r="H2619" s="14"/>
      <c r="I2619" s="14"/>
      <c r="J2619" s="14"/>
      <c r="K2619" s="14"/>
      <c r="L2619" s="14"/>
      <c r="M2619" s="15"/>
      <c r="N2619" s="10"/>
      <c r="O2619" s="14"/>
      <c r="P2619" s="14"/>
      <c r="Q2619" s="14"/>
      <c r="R2619" s="14"/>
      <c r="S2619" s="14"/>
      <c r="T2619" s="14"/>
      <c r="U2619" s="14"/>
      <c r="V2619" s="14"/>
      <c r="W2619" s="14"/>
      <c r="X2619" s="14"/>
      <c r="Y2619" s="14"/>
      <c r="Z2619" s="14"/>
      <c r="AA2619" s="16"/>
      <c r="AB2619" s="10"/>
      <c r="AC2619" s="10"/>
      <c r="AD2619" s="10"/>
      <c r="AE2619" s="10"/>
      <c r="AF2619" s="10"/>
      <c r="AG2619" s="10"/>
      <c r="AH2619" s="10"/>
      <c r="AI2619" s="10"/>
      <c r="AJ2619" s="10"/>
      <c r="AK2619" s="10"/>
      <c r="AL2619" s="10"/>
      <c r="AM2619" s="10"/>
      <c r="AN2619" s="10"/>
      <c r="AO2619" s="10"/>
      <c r="AP2619" s="10"/>
      <c r="AQ2619" s="10"/>
      <c r="AR2619" s="10"/>
      <c r="AS2619" s="10"/>
      <c r="AT2619" s="10"/>
      <c r="AU2619" s="10"/>
      <c r="AV2619" s="10"/>
      <c r="AW2619" s="10"/>
      <c r="AX2619" s="10"/>
      <c r="AY2619" s="10"/>
      <c r="AZ2619" s="10"/>
      <c r="BA2619" s="10"/>
      <c r="BB2619" s="10"/>
      <c r="BC2619" s="10"/>
      <c r="BD2619" s="10"/>
      <c r="BE2619" s="10"/>
      <c r="BF2619" s="10"/>
      <c r="BG2619" s="10"/>
      <c r="BH2619" s="10"/>
      <c r="BI2619" s="10"/>
      <c r="BJ2619" s="10"/>
      <c r="BK2619" s="10"/>
      <c r="BM2619" s="10"/>
    </row>
    <row r="2620" spans="1:65" ht="12.75">
      <c r="A2620" s="9"/>
      <c r="B2620" s="10"/>
      <c r="C2620" s="11"/>
      <c r="D2620" s="12"/>
      <c r="E2620" s="10"/>
      <c r="F2620" s="10"/>
      <c r="G2620" s="10"/>
      <c r="H2620" s="14"/>
      <c r="I2620" s="14"/>
      <c r="J2620" s="14"/>
      <c r="K2620" s="14"/>
      <c r="L2620" s="14"/>
      <c r="M2620" s="15"/>
      <c r="N2620" s="10"/>
      <c r="O2620" s="14"/>
      <c r="P2620" s="14"/>
      <c r="Q2620" s="14"/>
      <c r="R2620" s="14"/>
      <c r="S2620" s="14"/>
      <c r="T2620" s="14"/>
      <c r="U2620" s="14"/>
      <c r="V2620" s="14"/>
      <c r="W2620" s="14"/>
      <c r="X2620" s="14"/>
      <c r="Y2620" s="14"/>
      <c r="Z2620" s="14"/>
      <c r="AA2620" s="16"/>
      <c r="AB2620" s="10"/>
      <c r="AC2620" s="10"/>
      <c r="AD2620" s="10"/>
      <c r="AE2620" s="10"/>
      <c r="AF2620" s="10"/>
      <c r="AG2620" s="10"/>
      <c r="AH2620" s="10"/>
      <c r="AI2620" s="10"/>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M2620" s="10"/>
    </row>
    <row r="2621" spans="1:65" ht="12.75">
      <c r="A2621" s="9"/>
      <c r="B2621" s="10"/>
      <c r="C2621" s="11"/>
      <c r="D2621" s="12"/>
      <c r="E2621" s="10"/>
      <c r="F2621" s="10"/>
      <c r="G2621" s="10"/>
      <c r="H2621" s="14"/>
      <c r="I2621" s="14"/>
      <c r="J2621" s="14"/>
      <c r="K2621" s="14"/>
      <c r="L2621" s="14"/>
      <c r="M2621" s="15"/>
      <c r="N2621" s="10"/>
      <c r="O2621" s="14"/>
      <c r="P2621" s="14"/>
      <c r="Q2621" s="14"/>
      <c r="R2621" s="14"/>
      <c r="S2621" s="14"/>
      <c r="T2621" s="14"/>
      <c r="U2621" s="14"/>
      <c r="V2621" s="14"/>
      <c r="W2621" s="14"/>
      <c r="X2621" s="14"/>
      <c r="Y2621" s="14"/>
      <c r="Z2621" s="14"/>
      <c r="AA2621" s="16"/>
      <c r="AB2621" s="10"/>
      <c r="AC2621" s="10"/>
      <c r="AD2621" s="10"/>
      <c r="AE2621" s="10"/>
      <c r="AF2621" s="10"/>
      <c r="AG2621" s="10"/>
      <c r="AH2621" s="10"/>
      <c r="AI2621" s="10"/>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M2621" s="10"/>
    </row>
    <row r="2622" spans="1:65" ht="12.75">
      <c r="A2622" s="9"/>
      <c r="B2622" s="10"/>
      <c r="C2622" s="11"/>
      <c r="D2622" s="12"/>
      <c r="E2622" s="10"/>
      <c r="F2622" s="10"/>
      <c r="G2622" s="10"/>
      <c r="H2622" s="14"/>
      <c r="I2622" s="14"/>
      <c r="J2622" s="14"/>
      <c r="K2622" s="14"/>
      <c r="L2622" s="14"/>
      <c r="M2622" s="15"/>
      <c r="N2622" s="10"/>
      <c r="O2622" s="14"/>
      <c r="P2622" s="14"/>
      <c r="Q2622" s="14"/>
      <c r="R2622" s="14"/>
      <c r="S2622" s="14"/>
      <c r="T2622" s="14"/>
      <c r="U2622" s="14"/>
      <c r="V2622" s="14"/>
      <c r="W2622" s="14"/>
      <c r="X2622" s="14"/>
      <c r="Y2622" s="14"/>
      <c r="Z2622" s="14"/>
      <c r="AA2622" s="16"/>
      <c r="AB2622" s="10"/>
      <c r="AC2622" s="10"/>
      <c r="AD2622" s="10"/>
      <c r="AE2622" s="10"/>
      <c r="AF2622" s="10"/>
      <c r="AG2622" s="10"/>
      <c r="AH2622" s="10"/>
      <c r="AI2622" s="10"/>
      <c r="AJ2622" s="10"/>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10"/>
      <c r="BK2622" s="10"/>
      <c r="BM2622" s="10"/>
    </row>
    <row r="2623" spans="1:65" ht="12.75">
      <c r="A2623" s="9"/>
      <c r="B2623" s="10"/>
      <c r="C2623" s="11"/>
      <c r="D2623" s="12"/>
      <c r="E2623" s="10"/>
      <c r="F2623" s="10"/>
      <c r="G2623" s="10"/>
      <c r="H2623" s="14"/>
      <c r="I2623" s="14"/>
      <c r="J2623" s="14"/>
      <c r="K2623" s="14"/>
      <c r="L2623" s="14"/>
      <c r="M2623" s="15"/>
      <c r="N2623" s="10"/>
      <c r="O2623" s="14"/>
      <c r="P2623" s="14"/>
      <c r="Q2623" s="14"/>
      <c r="R2623" s="14"/>
      <c r="S2623" s="14"/>
      <c r="T2623" s="14"/>
      <c r="U2623" s="14"/>
      <c r="V2623" s="14"/>
      <c r="W2623" s="14"/>
      <c r="X2623" s="14"/>
      <c r="Y2623" s="14"/>
      <c r="Z2623" s="14"/>
      <c r="AA2623" s="16"/>
      <c r="AB2623" s="10"/>
      <c r="AC2623" s="10"/>
      <c r="AD2623" s="10"/>
      <c r="AE2623" s="10"/>
      <c r="AF2623" s="10"/>
      <c r="AG2623" s="10"/>
      <c r="AH2623" s="10"/>
      <c r="AI2623" s="10"/>
      <c r="AJ2623" s="10"/>
      <c r="AK2623" s="10"/>
      <c r="AL2623" s="10"/>
      <c r="AM2623" s="10"/>
      <c r="AN2623" s="10"/>
      <c r="AO2623" s="10"/>
      <c r="AP2623" s="10"/>
      <c r="AQ2623" s="10"/>
      <c r="AR2623" s="10"/>
      <c r="AS2623" s="10"/>
      <c r="AT2623" s="10"/>
      <c r="AU2623" s="10"/>
      <c r="AV2623" s="10"/>
      <c r="AW2623" s="10"/>
      <c r="AX2623" s="10"/>
      <c r="AY2623" s="10"/>
      <c r="AZ2623" s="10"/>
      <c r="BA2623" s="10"/>
      <c r="BB2623" s="10"/>
      <c r="BC2623" s="10"/>
      <c r="BD2623" s="10"/>
      <c r="BE2623" s="10"/>
      <c r="BF2623" s="10"/>
      <c r="BG2623" s="10"/>
      <c r="BH2623" s="10"/>
      <c r="BI2623" s="10"/>
      <c r="BJ2623" s="10"/>
      <c r="BK2623" s="10"/>
      <c r="BM2623" s="10"/>
    </row>
    <row r="2624" spans="1:65" ht="12.75">
      <c r="A2624" s="9"/>
      <c r="B2624" s="10"/>
      <c r="C2624" s="11"/>
      <c r="D2624" s="12"/>
      <c r="E2624" s="10"/>
      <c r="F2624" s="10"/>
      <c r="G2624" s="10"/>
      <c r="H2624" s="14"/>
      <c r="I2624" s="14"/>
      <c r="J2624" s="14"/>
      <c r="K2624" s="14"/>
      <c r="L2624" s="14"/>
      <c r="M2624" s="15"/>
      <c r="N2624" s="10"/>
      <c r="O2624" s="14"/>
      <c r="P2624" s="14"/>
      <c r="Q2624" s="14"/>
      <c r="R2624" s="14"/>
      <c r="S2624" s="14"/>
      <c r="T2624" s="14"/>
      <c r="U2624" s="14"/>
      <c r="V2624" s="14"/>
      <c r="W2624" s="14"/>
      <c r="X2624" s="14"/>
      <c r="Y2624" s="14"/>
      <c r="Z2624" s="14"/>
      <c r="AA2624" s="16"/>
      <c r="AB2624" s="10"/>
      <c r="AC2624" s="10"/>
      <c r="AD2624" s="10"/>
      <c r="AE2624" s="10"/>
      <c r="AF2624" s="10"/>
      <c r="AG2624" s="10"/>
      <c r="AH2624" s="10"/>
      <c r="AI2624" s="10"/>
      <c r="AJ2624" s="10"/>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M2624" s="10"/>
    </row>
    <row r="2625" spans="1:65" ht="12.75">
      <c r="A2625" s="9"/>
      <c r="B2625" s="10"/>
      <c r="C2625" s="11"/>
      <c r="D2625" s="12"/>
      <c r="E2625" s="10"/>
      <c r="F2625" s="10"/>
      <c r="G2625" s="10"/>
      <c r="H2625" s="14"/>
      <c r="I2625" s="14"/>
      <c r="J2625" s="14"/>
      <c r="K2625" s="14"/>
      <c r="L2625" s="14"/>
      <c r="M2625" s="15"/>
      <c r="N2625" s="10"/>
      <c r="O2625" s="14"/>
      <c r="P2625" s="14"/>
      <c r="Q2625" s="14"/>
      <c r="R2625" s="14"/>
      <c r="S2625" s="14"/>
      <c r="T2625" s="14"/>
      <c r="U2625" s="14"/>
      <c r="V2625" s="14"/>
      <c r="W2625" s="14"/>
      <c r="X2625" s="14"/>
      <c r="Y2625" s="14"/>
      <c r="Z2625" s="14"/>
      <c r="AA2625" s="16"/>
      <c r="AB2625" s="10"/>
      <c r="AC2625" s="10"/>
      <c r="AD2625" s="10"/>
      <c r="AE2625" s="10"/>
      <c r="AF2625" s="10"/>
      <c r="AG2625" s="10"/>
      <c r="AH2625" s="10"/>
      <c r="AI2625" s="10"/>
      <c r="AJ2625" s="10"/>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10"/>
      <c r="BK2625" s="10"/>
      <c r="BM2625" s="10"/>
    </row>
    <row r="2626" spans="1:65" ht="12.75">
      <c r="A2626" s="9"/>
      <c r="B2626" s="10"/>
      <c r="C2626" s="11"/>
      <c r="D2626" s="12"/>
      <c r="E2626" s="10"/>
      <c r="F2626" s="10"/>
      <c r="G2626" s="10"/>
      <c r="H2626" s="14"/>
      <c r="I2626" s="14"/>
      <c r="J2626" s="14"/>
      <c r="K2626" s="14"/>
      <c r="L2626" s="14"/>
      <c r="M2626" s="15"/>
      <c r="N2626" s="10"/>
      <c r="O2626" s="14"/>
      <c r="P2626" s="14"/>
      <c r="Q2626" s="14"/>
      <c r="R2626" s="14"/>
      <c r="S2626" s="14"/>
      <c r="T2626" s="14"/>
      <c r="U2626" s="14"/>
      <c r="V2626" s="14"/>
      <c r="W2626" s="14"/>
      <c r="X2626" s="14"/>
      <c r="Y2626" s="14"/>
      <c r="Z2626" s="14"/>
      <c r="AA2626" s="16"/>
      <c r="AB2626" s="10"/>
      <c r="AC2626" s="10"/>
      <c r="AD2626" s="10"/>
      <c r="AE2626" s="10"/>
      <c r="AF2626" s="10"/>
      <c r="AG2626" s="10"/>
      <c r="AH2626" s="10"/>
      <c r="AI2626" s="10"/>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10"/>
      <c r="BK2626" s="10"/>
      <c r="BM2626" s="10"/>
    </row>
    <row r="2627" spans="1:65" ht="12.75">
      <c r="A2627" s="9"/>
      <c r="B2627" s="10"/>
      <c r="C2627" s="11"/>
      <c r="D2627" s="12"/>
      <c r="E2627" s="10"/>
      <c r="F2627" s="10"/>
      <c r="G2627" s="10"/>
      <c r="H2627" s="14"/>
      <c r="I2627" s="14"/>
      <c r="J2627" s="14"/>
      <c r="K2627" s="14"/>
      <c r="L2627" s="14"/>
      <c r="M2627" s="15"/>
      <c r="N2627" s="10"/>
      <c r="O2627" s="14"/>
      <c r="P2627" s="14"/>
      <c r="Q2627" s="14"/>
      <c r="R2627" s="14"/>
      <c r="S2627" s="14"/>
      <c r="T2627" s="14"/>
      <c r="U2627" s="14"/>
      <c r="V2627" s="14"/>
      <c r="W2627" s="14"/>
      <c r="X2627" s="14"/>
      <c r="Y2627" s="14"/>
      <c r="Z2627" s="14"/>
      <c r="AA2627" s="16"/>
      <c r="AB2627" s="10"/>
      <c r="AC2627" s="10"/>
      <c r="AD2627" s="10"/>
      <c r="AE2627" s="10"/>
      <c r="AF2627" s="10"/>
      <c r="AG2627" s="10"/>
      <c r="AH2627" s="10"/>
      <c r="AI2627" s="10"/>
      <c r="AJ2627" s="10"/>
      <c r="AK2627" s="10"/>
      <c r="AL2627" s="1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c r="BJ2627" s="10"/>
      <c r="BK2627" s="10"/>
      <c r="BM2627" s="10"/>
    </row>
    <row r="2628" spans="1:65" ht="12.75">
      <c r="A2628" s="9"/>
      <c r="B2628" s="10"/>
      <c r="C2628" s="11"/>
      <c r="D2628" s="12"/>
      <c r="E2628" s="10"/>
      <c r="F2628" s="10"/>
      <c r="G2628" s="10"/>
      <c r="H2628" s="14"/>
      <c r="I2628" s="14"/>
      <c r="J2628" s="14"/>
      <c r="K2628" s="14"/>
      <c r="L2628" s="14"/>
      <c r="M2628" s="15"/>
      <c r="N2628" s="10"/>
      <c r="O2628" s="14"/>
      <c r="P2628" s="14"/>
      <c r="Q2628" s="14"/>
      <c r="R2628" s="14"/>
      <c r="S2628" s="14"/>
      <c r="T2628" s="14"/>
      <c r="U2628" s="14"/>
      <c r="V2628" s="14"/>
      <c r="W2628" s="14"/>
      <c r="X2628" s="14"/>
      <c r="Y2628" s="14"/>
      <c r="Z2628" s="14"/>
      <c r="AA2628" s="16"/>
      <c r="AB2628" s="10"/>
      <c r="AC2628" s="10"/>
      <c r="AD2628" s="10"/>
      <c r="AE2628" s="10"/>
      <c r="AF2628" s="10"/>
      <c r="AG2628" s="10"/>
      <c r="AH2628" s="10"/>
      <c r="AI2628" s="10"/>
      <c r="AJ2628" s="10"/>
      <c r="AK2628" s="10"/>
      <c r="AL2628" s="10"/>
      <c r="AM2628" s="10"/>
      <c r="AN2628" s="10"/>
      <c r="AO2628" s="10"/>
      <c r="AP2628" s="10"/>
      <c r="AQ2628" s="10"/>
      <c r="AR2628" s="10"/>
      <c r="AS2628" s="10"/>
      <c r="AT2628" s="10"/>
      <c r="AU2628" s="10"/>
      <c r="AV2628" s="10"/>
      <c r="AW2628" s="10"/>
      <c r="AX2628" s="10"/>
      <c r="AY2628" s="10"/>
      <c r="AZ2628" s="10"/>
      <c r="BA2628" s="10"/>
      <c r="BB2628" s="10"/>
      <c r="BC2628" s="10"/>
      <c r="BD2628" s="10"/>
      <c r="BE2628" s="10"/>
      <c r="BF2628" s="10"/>
      <c r="BG2628" s="10"/>
      <c r="BH2628" s="10"/>
      <c r="BI2628" s="10"/>
      <c r="BJ2628" s="10"/>
      <c r="BK2628" s="10"/>
      <c r="BM2628" s="10"/>
    </row>
    <row r="2629" spans="1:65" ht="12.75">
      <c r="A2629" s="9"/>
      <c r="B2629" s="10"/>
      <c r="C2629" s="11"/>
      <c r="D2629" s="12"/>
      <c r="E2629" s="10"/>
      <c r="F2629" s="10"/>
      <c r="G2629" s="10"/>
      <c r="H2629" s="14"/>
      <c r="I2629" s="14"/>
      <c r="J2629" s="14"/>
      <c r="K2629" s="14"/>
      <c r="L2629" s="14"/>
      <c r="M2629" s="15"/>
      <c r="N2629" s="10"/>
      <c r="O2629" s="14"/>
      <c r="P2629" s="14"/>
      <c r="Q2629" s="14"/>
      <c r="R2629" s="14"/>
      <c r="S2629" s="14"/>
      <c r="T2629" s="14"/>
      <c r="U2629" s="14"/>
      <c r="V2629" s="14"/>
      <c r="W2629" s="14"/>
      <c r="X2629" s="14"/>
      <c r="Y2629" s="14"/>
      <c r="Z2629" s="14"/>
      <c r="AA2629" s="16"/>
      <c r="AB2629" s="10"/>
      <c r="AC2629" s="10"/>
      <c r="AD2629" s="10"/>
      <c r="AE2629" s="10"/>
      <c r="AF2629" s="10"/>
      <c r="AG2629" s="10"/>
      <c r="AH2629" s="10"/>
      <c r="AI2629" s="10"/>
      <c r="AJ2629" s="10"/>
      <c r="AK2629" s="10"/>
      <c r="AL2629" s="1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c r="BJ2629" s="10"/>
      <c r="BK2629" s="10"/>
      <c r="BM2629" s="10"/>
    </row>
    <row r="2630" spans="1:65" ht="12.75">
      <c r="A2630" s="9"/>
      <c r="B2630" s="10"/>
      <c r="C2630" s="11"/>
      <c r="D2630" s="12"/>
      <c r="E2630" s="10"/>
      <c r="F2630" s="10"/>
      <c r="G2630" s="10"/>
      <c r="H2630" s="14"/>
      <c r="I2630" s="14"/>
      <c r="J2630" s="14"/>
      <c r="K2630" s="14"/>
      <c r="L2630" s="14"/>
      <c r="M2630" s="15"/>
      <c r="N2630" s="10"/>
      <c r="O2630" s="14"/>
      <c r="P2630" s="14"/>
      <c r="Q2630" s="14"/>
      <c r="R2630" s="14"/>
      <c r="S2630" s="14"/>
      <c r="T2630" s="14"/>
      <c r="U2630" s="14"/>
      <c r="V2630" s="14"/>
      <c r="W2630" s="14"/>
      <c r="X2630" s="14"/>
      <c r="Y2630" s="14"/>
      <c r="Z2630" s="14"/>
      <c r="AA2630" s="16"/>
      <c r="AB2630" s="10"/>
      <c r="AC2630" s="10"/>
      <c r="AD2630" s="10"/>
      <c r="AE2630" s="10"/>
      <c r="AF2630" s="10"/>
      <c r="AG2630" s="10"/>
      <c r="AH2630" s="10"/>
      <c r="AI2630" s="10"/>
      <c r="AJ2630" s="10"/>
      <c r="AK2630" s="10"/>
      <c r="AL2630" s="10"/>
      <c r="AM2630" s="10"/>
      <c r="AN2630" s="10"/>
      <c r="AO2630" s="10"/>
      <c r="AP2630" s="10"/>
      <c r="AQ2630" s="10"/>
      <c r="AR2630" s="10"/>
      <c r="AS2630" s="10"/>
      <c r="AT2630" s="10"/>
      <c r="AU2630" s="10"/>
      <c r="AV2630" s="10"/>
      <c r="AW2630" s="10"/>
      <c r="AX2630" s="10"/>
      <c r="AY2630" s="10"/>
      <c r="AZ2630" s="10"/>
      <c r="BA2630" s="10"/>
      <c r="BB2630" s="10"/>
      <c r="BC2630" s="10"/>
      <c r="BD2630" s="10"/>
      <c r="BE2630" s="10"/>
      <c r="BF2630" s="10"/>
      <c r="BG2630" s="10"/>
      <c r="BH2630" s="10"/>
      <c r="BI2630" s="10"/>
      <c r="BJ2630" s="10"/>
      <c r="BK2630" s="10"/>
      <c r="BM2630" s="10"/>
    </row>
    <row r="2631" spans="1:65" ht="12.75">
      <c r="A2631" s="9"/>
      <c r="B2631" s="10"/>
      <c r="C2631" s="11"/>
      <c r="D2631" s="12"/>
      <c r="E2631" s="10"/>
      <c r="F2631" s="10"/>
      <c r="G2631" s="10"/>
      <c r="H2631" s="14"/>
      <c r="I2631" s="14"/>
      <c r="J2631" s="14"/>
      <c r="K2631" s="14"/>
      <c r="L2631" s="14"/>
      <c r="M2631" s="15"/>
      <c r="N2631" s="10"/>
      <c r="O2631" s="14"/>
      <c r="P2631" s="14"/>
      <c r="Q2631" s="14"/>
      <c r="R2631" s="14"/>
      <c r="S2631" s="14"/>
      <c r="T2631" s="14"/>
      <c r="U2631" s="14"/>
      <c r="V2631" s="14"/>
      <c r="W2631" s="14"/>
      <c r="X2631" s="14"/>
      <c r="Y2631" s="14"/>
      <c r="Z2631" s="14"/>
      <c r="AA2631" s="16"/>
      <c r="AB2631" s="10"/>
      <c r="AC2631" s="10"/>
      <c r="AD2631" s="10"/>
      <c r="AE2631" s="10"/>
      <c r="AF2631" s="10"/>
      <c r="AG2631" s="10"/>
      <c r="AH2631" s="10"/>
      <c r="AI2631" s="10"/>
      <c r="AJ2631" s="10"/>
      <c r="AK2631" s="10"/>
      <c r="AL2631" s="10"/>
      <c r="AM2631" s="10"/>
      <c r="AN2631" s="10"/>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c r="BJ2631" s="10"/>
      <c r="BK2631" s="10"/>
      <c r="BM2631" s="10"/>
    </row>
    <row r="2632" spans="1:65" ht="12.75">
      <c r="A2632" s="9"/>
      <c r="B2632" s="10"/>
      <c r="C2632" s="11"/>
      <c r="D2632" s="12"/>
      <c r="E2632" s="10"/>
      <c r="F2632" s="10"/>
      <c r="G2632" s="10"/>
      <c r="H2632" s="14"/>
      <c r="I2632" s="14"/>
      <c r="J2632" s="14"/>
      <c r="K2632" s="14"/>
      <c r="L2632" s="14"/>
      <c r="M2632" s="15"/>
      <c r="N2632" s="10"/>
      <c r="O2632" s="14"/>
      <c r="P2632" s="14"/>
      <c r="Q2632" s="14"/>
      <c r="R2632" s="14"/>
      <c r="S2632" s="14"/>
      <c r="T2632" s="14"/>
      <c r="U2632" s="14"/>
      <c r="V2632" s="14"/>
      <c r="W2632" s="14"/>
      <c r="X2632" s="14"/>
      <c r="Y2632" s="14"/>
      <c r="Z2632" s="14"/>
      <c r="AA2632" s="16"/>
      <c r="AB2632" s="10"/>
      <c r="AC2632" s="10"/>
      <c r="AD2632" s="10"/>
      <c r="AE2632" s="10"/>
      <c r="AF2632" s="10"/>
      <c r="AG2632" s="10"/>
      <c r="AH2632" s="10"/>
      <c r="AI2632" s="10"/>
      <c r="AJ2632" s="10"/>
      <c r="AK2632" s="10"/>
      <c r="AL2632" s="10"/>
      <c r="AM2632" s="10"/>
      <c r="AN2632" s="10"/>
      <c r="AO2632" s="10"/>
      <c r="AP2632" s="10"/>
      <c r="AQ2632" s="10"/>
      <c r="AR2632" s="10"/>
      <c r="AS2632" s="10"/>
      <c r="AT2632" s="10"/>
      <c r="AU2632" s="10"/>
      <c r="AV2632" s="10"/>
      <c r="AW2632" s="10"/>
      <c r="AX2632" s="10"/>
      <c r="AY2632" s="10"/>
      <c r="AZ2632" s="10"/>
      <c r="BA2632" s="10"/>
      <c r="BB2632" s="10"/>
      <c r="BC2632" s="10"/>
      <c r="BD2632" s="10"/>
      <c r="BE2632" s="10"/>
      <c r="BF2632" s="10"/>
      <c r="BG2632" s="10"/>
      <c r="BH2632" s="10"/>
      <c r="BI2632" s="10"/>
      <c r="BJ2632" s="10"/>
      <c r="BK2632" s="10"/>
      <c r="BM2632" s="10"/>
    </row>
    <row r="2633" spans="1:65" ht="12.75">
      <c r="A2633" s="9"/>
      <c r="B2633" s="10"/>
      <c r="C2633" s="11"/>
      <c r="D2633" s="12"/>
      <c r="E2633" s="10"/>
      <c r="F2633" s="10"/>
      <c r="G2633" s="10"/>
      <c r="H2633" s="14"/>
      <c r="I2633" s="14"/>
      <c r="J2633" s="14"/>
      <c r="K2633" s="14"/>
      <c r="L2633" s="14"/>
      <c r="M2633" s="15"/>
      <c r="N2633" s="10"/>
      <c r="O2633" s="14"/>
      <c r="P2633" s="14"/>
      <c r="Q2633" s="14"/>
      <c r="R2633" s="14"/>
      <c r="S2633" s="14"/>
      <c r="T2633" s="14"/>
      <c r="U2633" s="14"/>
      <c r="V2633" s="14"/>
      <c r="W2633" s="14"/>
      <c r="X2633" s="14"/>
      <c r="Y2633" s="14"/>
      <c r="Z2633" s="14"/>
      <c r="AA2633" s="16"/>
      <c r="AB2633" s="10"/>
      <c r="AC2633" s="10"/>
      <c r="AD2633" s="10"/>
      <c r="AE2633" s="10"/>
      <c r="AF2633" s="10"/>
      <c r="AG2633" s="10"/>
      <c r="AH2633" s="10"/>
      <c r="AI2633" s="10"/>
      <c r="AJ2633" s="10"/>
      <c r="AK2633" s="10"/>
      <c r="AL2633" s="10"/>
      <c r="AM2633" s="10"/>
      <c r="AN2633" s="10"/>
      <c r="AO2633" s="10"/>
      <c r="AP2633" s="10"/>
      <c r="AQ2633" s="10"/>
      <c r="AR2633" s="10"/>
      <c r="AS2633" s="10"/>
      <c r="AT2633" s="10"/>
      <c r="AU2633" s="10"/>
      <c r="AV2633" s="10"/>
      <c r="AW2633" s="10"/>
      <c r="AX2633" s="10"/>
      <c r="AY2633" s="10"/>
      <c r="AZ2633" s="10"/>
      <c r="BA2633" s="10"/>
      <c r="BB2633" s="10"/>
      <c r="BC2633" s="10"/>
      <c r="BD2633" s="10"/>
      <c r="BE2633" s="10"/>
      <c r="BF2633" s="10"/>
      <c r="BG2633" s="10"/>
      <c r="BH2633" s="10"/>
      <c r="BI2633" s="10"/>
      <c r="BJ2633" s="10"/>
      <c r="BK2633" s="10"/>
      <c r="BM2633" s="10"/>
    </row>
    <row r="2634" spans="1:65" ht="12.75">
      <c r="A2634" s="9"/>
      <c r="B2634" s="10"/>
      <c r="C2634" s="11"/>
      <c r="D2634" s="12"/>
      <c r="E2634" s="10"/>
      <c r="F2634" s="10"/>
      <c r="G2634" s="10"/>
      <c r="H2634" s="14"/>
      <c r="I2634" s="14"/>
      <c r="J2634" s="14"/>
      <c r="K2634" s="14"/>
      <c r="L2634" s="14"/>
      <c r="M2634" s="15"/>
      <c r="N2634" s="10"/>
      <c r="O2634" s="14"/>
      <c r="P2634" s="14"/>
      <c r="Q2634" s="14"/>
      <c r="R2634" s="14"/>
      <c r="S2634" s="14"/>
      <c r="T2634" s="14"/>
      <c r="U2634" s="14"/>
      <c r="V2634" s="14"/>
      <c r="W2634" s="14"/>
      <c r="X2634" s="14"/>
      <c r="Y2634" s="14"/>
      <c r="Z2634" s="14"/>
      <c r="AA2634" s="16"/>
      <c r="AB2634" s="10"/>
      <c r="AC2634" s="10"/>
      <c r="AD2634" s="10"/>
      <c r="AE2634" s="10"/>
      <c r="AF2634" s="10"/>
      <c r="AG2634" s="10"/>
      <c r="AH2634" s="10"/>
      <c r="AI2634" s="10"/>
      <c r="AJ2634" s="10"/>
      <c r="AK2634" s="10"/>
      <c r="AL2634" s="10"/>
      <c r="AM2634" s="10"/>
      <c r="AN2634" s="10"/>
      <c r="AO2634" s="10"/>
      <c r="AP2634" s="10"/>
      <c r="AQ2634" s="10"/>
      <c r="AR2634" s="10"/>
      <c r="AS2634" s="10"/>
      <c r="AT2634" s="10"/>
      <c r="AU2634" s="10"/>
      <c r="AV2634" s="10"/>
      <c r="AW2634" s="10"/>
      <c r="AX2634" s="10"/>
      <c r="AY2634" s="10"/>
      <c r="AZ2634" s="10"/>
      <c r="BA2634" s="10"/>
      <c r="BB2634" s="10"/>
      <c r="BC2634" s="10"/>
      <c r="BD2634" s="10"/>
      <c r="BE2634" s="10"/>
      <c r="BF2634" s="10"/>
      <c r="BG2634" s="10"/>
      <c r="BH2634" s="10"/>
      <c r="BI2634" s="10"/>
      <c r="BJ2634" s="10"/>
      <c r="BK2634" s="10"/>
      <c r="BM2634" s="10"/>
    </row>
    <row r="2635" spans="1:65" ht="12.75">
      <c r="A2635" s="9"/>
      <c r="B2635" s="10"/>
      <c r="C2635" s="11"/>
      <c r="D2635" s="12"/>
      <c r="E2635" s="10"/>
      <c r="F2635" s="10"/>
      <c r="G2635" s="10"/>
      <c r="H2635" s="14"/>
      <c r="I2635" s="14"/>
      <c r="J2635" s="14"/>
      <c r="K2635" s="14"/>
      <c r="L2635" s="14"/>
      <c r="M2635" s="15"/>
      <c r="N2635" s="10"/>
      <c r="O2635" s="14"/>
      <c r="P2635" s="14"/>
      <c r="Q2635" s="14"/>
      <c r="R2635" s="14"/>
      <c r="S2635" s="14"/>
      <c r="T2635" s="14"/>
      <c r="U2635" s="14"/>
      <c r="V2635" s="14"/>
      <c r="W2635" s="14"/>
      <c r="X2635" s="14"/>
      <c r="Y2635" s="14"/>
      <c r="Z2635" s="14"/>
      <c r="AA2635" s="16"/>
      <c r="AB2635" s="10"/>
      <c r="AC2635" s="10"/>
      <c r="AD2635" s="10"/>
      <c r="AE2635" s="10"/>
      <c r="AF2635" s="10"/>
      <c r="AG2635" s="10"/>
      <c r="AH2635" s="10"/>
      <c r="AI2635" s="10"/>
      <c r="AJ2635" s="10"/>
      <c r="AK2635" s="10"/>
      <c r="AL2635" s="10"/>
      <c r="AM2635" s="10"/>
      <c r="AN2635" s="10"/>
      <c r="AO2635" s="10"/>
      <c r="AP2635" s="10"/>
      <c r="AQ2635" s="10"/>
      <c r="AR2635" s="10"/>
      <c r="AS2635" s="10"/>
      <c r="AT2635" s="10"/>
      <c r="AU2635" s="10"/>
      <c r="AV2635" s="10"/>
      <c r="AW2635" s="10"/>
      <c r="AX2635" s="10"/>
      <c r="AY2635" s="10"/>
      <c r="AZ2635" s="10"/>
      <c r="BA2635" s="10"/>
      <c r="BB2635" s="10"/>
      <c r="BC2635" s="10"/>
      <c r="BD2635" s="10"/>
      <c r="BE2635" s="10"/>
      <c r="BF2635" s="10"/>
      <c r="BG2635" s="10"/>
      <c r="BH2635" s="10"/>
      <c r="BI2635" s="10"/>
      <c r="BJ2635" s="10"/>
      <c r="BK2635" s="10"/>
      <c r="BM2635" s="10"/>
    </row>
    <row r="2636" spans="1:65" ht="12.75">
      <c r="A2636" s="9"/>
      <c r="B2636" s="10"/>
      <c r="C2636" s="11"/>
      <c r="D2636" s="12"/>
      <c r="E2636" s="10"/>
      <c r="F2636" s="10"/>
      <c r="G2636" s="10"/>
      <c r="H2636" s="14"/>
      <c r="I2636" s="14"/>
      <c r="J2636" s="14"/>
      <c r="K2636" s="14"/>
      <c r="L2636" s="14"/>
      <c r="M2636" s="15"/>
      <c r="N2636" s="10"/>
      <c r="O2636" s="14"/>
      <c r="P2636" s="14"/>
      <c r="Q2636" s="14"/>
      <c r="R2636" s="14"/>
      <c r="S2636" s="14"/>
      <c r="T2636" s="14"/>
      <c r="U2636" s="14"/>
      <c r="V2636" s="14"/>
      <c r="W2636" s="14"/>
      <c r="X2636" s="14"/>
      <c r="Y2636" s="14"/>
      <c r="Z2636" s="14"/>
      <c r="AA2636" s="16"/>
      <c r="AB2636" s="10"/>
      <c r="AC2636" s="10"/>
      <c r="AD2636" s="10"/>
      <c r="AE2636" s="10"/>
      <c r="AF2636" s="10"/>
      <c r="AG2636" s="10"/>
      <c r="AH2636" s="10"/>
      <c r="AI2636" s="10"/>
      <c r="AJ2636" s="10"/>
      <c r="AK2636" s="10"/>
      <c r="AL2636" s="1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c r="BI2636" s="10"/>
      <c r="BJ2636" s="10"/>
      <c r="BK2636" s="10"/>
      <c r="BM2636" s="10"/>
    </row>
    <row r="2637" spans="1:65" ht="12.75">
      <c r="A2637" s="9"/>
      <c r="B2637" s="10"/>
      <c r="C2637" s="11"/>
      <c r="D2637" s="12"/>
      <c r="E2637" s="10"/>
      <c r="F2637" s="10"/>
      <c r="G2637" s="10"/>
      <c r="H2637" s="14"/>
      <c r="I2637" s="14"/>
      <c r="J2637" s="14"/>
      <c r="K2637" s="14"/>
      <c r="L2637" s="14"/>
      <c r="M2637" s="15"/>
      <c r="N2637" s="10"/>
      <c r="O2637" s="14"/>
      <c r="P2637" s="14"/>
      <c r="Q2637" s="14"/>
      <c r="R2637" s="14"/>
      <c r="S2637" s="14"/>
      <c r="T2637" s="14"/>
      <c r="U2637" s="14"/>
      <c r="V2637" s="14"/>
      <c r="W2637" s="14"/>
      <c r="X2637" s="14"/>
      <c r="Y2637" s="14"/>
      <c r="Z2637" s="14"/>
      <c r="AA2637" s="16"/>
      <c r="AB2637" s="10"/>
      <c r="AC2637" s="10"/>
      <c r="AD2637" s="10"/>
      <c r="AE2637" s="10"/>
      <c r="AF2637" s="10"/>
      <c r="AG2637" s="10"/>
      <c r="AH2637" s="10"/>
      <c r="AI2637" s="10"/>
      <c r="AJ2637" s="10"/>
      <c r="AK2637" s="10"/>
      <c r="AL2637" s="10"/>
      <c r="AM2637" s="10"/>
      <c r="AN2637" s="10"/>
      <c r="AO2637" s="10"/>
      <c r="AP2637" s="10"/>
      <c r="AQ2637" s="10"/>
      <c r="AR2637" s="10"/>
      <c r="AS2637" s="10"/>
      <c r="AT2637" s="10"/>
      <c r="AU2637" s="10"/>
      <c r="AV2637" s="10"/>
      <c r="AW2637" s="10"/>
      <c r="AX2637" s="10"/>
      <c r="AY2637" s="10"/>
      <c r="AZ2637" s="10"/>
      <c r="BA2637" s="10"/>
      <c r="BB2637" s="10"/>
      <c r="BC2637" s="10"/>
      <c r="BD2637" s="10"/>
      <c r="BE2637" s="10"/>
      <c r="BF2637" s="10"/>
      <c r="BG2637" s="10"/>
      <c r="BH2637" s="10"/>
      <c r="BI2637" s="10"/>
      <c r="BJ2637" s="10"/>
      <c r="BK2637" s="10"/>
      <c r="BM2637" s="10"/>
    </row>
    <row r="2638" spans="1:65" ht="12.75">
      <c r="A2638" s="9"/>
      <c r="B2638" s="10"/>
      <c r="C2638" s="11"/>
      <c r="D2638" s="12"/>
      <c r="E2638" s="10"/>
      <c r="F2638" s="10"/>
      <c r="G2638" s="10"/>
      <c r="H2638" s="14"/>
      <c r="I2638" s="14"/>
      <c r="J2638" s="14"/>
      <c r="K2638" s="14"/>
      <c r="L2638" s="14"/>
      <c r="M2638" s="15"/>
      <c r="N2638" s="10"/>
      <c r="O2638" s="14"/>
      <c r="P2638" s="14"/>
      <c r="Q2638" s="14"/>
      <c r="R2638" s="14"/>
      <c r="S2638" s="14"/>
      <c r="T2638" s="14"/>
      <c r="U2638" s="14"/>
      <c r="V2638" s="14"/>
      <c r="W2638" s="14"/>
      <c r="X2638" s="14"/>
      <c r="Y2638" s="14"/>
      <c r="Z2638" s="14"/>
      <c r="AA2638" s="16"/>
      <c r="AB2638" s="10"/>
      <c r="AC2638" s="10"/>
      <c r="AD2638" s="10"/>
      <c r="AE2638" s="10"/>
      <c r="AF2638" s="10"/>
      <c r="AG2638" s="10"/>
      <c r="AH2638" s="10"/>
      <c r="AI2638" s="10"/>
      <c r="AJ2638" s="10"/>
      <c r="AK2638" s="10"/>
      <c r="AL2638" s="10"/>
      <c r="AM2638" s="10"/>
      <c r="AN2638" s="10"/>
      <c r="AO2638" s="10"/>
      <c r="AP2638" s="10"/>
      <c r="AQ2638" s="10"/>
      <c r="AR2638" s="10"/>
      <c r="AS2638" s="10"/>
      <c r="AT2638" s="10"/>
      <c r="AU2638" s="10"/>
      <c r="AV2638" s="10"/>
      <c r="AW2638" s="10"/>
      <c r="AX2638" s="10"/>
      <c r="AY2638" s="10"/>
      <c r="AZ2638" s="10"/>
      <c r="BA2638" s="10"/>
      <c r="BB2638" s="10"/>
      <c r="BC2638" s="10"/>
      <c r="BD2638" s="10"/>
      <c r="BE2638" s="10"/>
      <c r="BF2638" s="10"/>
      <c r="BG2638" s="10"/>
      <c r="BH2638" s="10"/>
      <c r="BI2638" s="10"/>
      <c r="BJ2638" s="10"/>
      <c r="BK2638" s="10"/>
      <c r="BM2638" s="10"/>
    </row>
    <row r="2639" spans="1:65" ht="12.75">
      <c r="A2639" s="9"/>
      <c r="B2639" s="10"/>
      <c r="C2639" s="11"/>
      <c r="D2639" s="12"/>
      <c r="E2639" s="10"/>
      <c r="F2639" s="10"/>
      <c r="G2639" s="10"/>
      <c r="H2639" s="14"/>
      <c r="I2639" s="14"/>
      <c r="J2639" s="14"/>
      <c r="K2639" s="14"/>
      <c r="L2639" s="14"/>
      <c r="M2639" s="15"/>
      <c r="N2639" s="10"/>
      <c r="O2639" s="14"/>
      <c r="P2639" s="14"/>
      <c r="Q2639" s="14"/>
      <c r="R2639" s="14"/>
      <c r="S2639" s="14"/>
      <c r="T2639" s="14"/>
      <c r="U2639" s="14"/>
      <c r="V2639" s="14"/>
      <c r="W2639" s="14"/>
      <c r="X2639" s="14"/>
      <c r="Y2639" s="14"/>
      <c r="Z2639" s="14"/>
      <c r="AA2639" s="16"/>
      <c r="AB2639" s="10"/>
      <c r="AC2639" s="10"/>
      <c r="AD2639" s="10"/>
      <c r="AE2639" s="10"/>
      <c r="AF2639" s="10"/>
      <c r="AG2639" s="10"/>
      <c r="AH2639" s="10"/>
      <c r="AI2639" s="10"/>
      <c r="AJ2639" s="10"/>
      <c r="AK2639" s="10"/>
      <c r="AL2639" s="10"/>
      <c r="AM2639" s="10"/>
      <c r="AN2639" s="10"/>
      <c r="AO2639" s="10"/>
      <c r="AP2639" s="10"/>
      <c r="AQ2639" s="10"/>
      <c r="AR2639" s="10"/>
      <c r="AS2639" s="10"/>
      <c r="AT2639" s="10"/>
      <c r="AU2639" s="10"/>
      <c r="AV2639" s="10"/>
      <c r="AW2639" s="10"/>
      <c r="AX2639" s="10"/>
      <c r="AY2639" s="10"/>
      <c r="AZ2639" s="10"/>
      <c r="BA2639" s="10"/>
      <c r="BB2639" s="10"/>
      <c r="BC2639" s="10"/>
      <c r="BD2639" s="10"/>
      <c r="BE2639" s="10"/>
      <c r="BF2639" s="10"/>
      <c r="BG2639" s="10"/>
      <c r="BH2639" s="10"/>
      <c r="BI2639" s="10"/>
      <c r="BJ2639" s="10"/>
      <c r="BK2639" s="10"/>
      <c r="BM2639" s="10"/>
    </row>
    <row r="2640" spans="1:65" ht="12.75">
      <c r="A2640" s="9"/>
      <c r="B2640" s="10"/>
      <c r="C2640" s="11"/>
      <c r="D2640" s="12"/>
      <c r="E2640" s="10"/>
      <c r="F2640" s="10"/>
      <c r="G2640" s="10"/>
      <c r="H2640" s="14"/>
      <c r="I2640" s="14"/>
      <c r="J2640" s="14"/>
      <c r="K2640" s="14"/>
      <c r="L2640" s="14"/>
      <c r="M2640" s="15"/>
      <c r="N2640" s="10"/>
      <c r="O2640" s="14"/>
      <c r="P2640" s="14"/>
      <c r="Q2640" s="14"/>
      <c r="R2640" s="14"/>
      <c r="S2640" s="14"/>
      <c r="T2640" s="14"/>
      <c r="U2640" s="14"/>
      <c r="V2640" s="14"/>
      <c r="W2640" s="14"/>
      <c r="X2640" s="14"/>
      <c r="Y2640" s="14"/>
      <c r="Z2640" s="14"/>
      <c r="AA2640" s="16"/>
      <c r="AB2640" s="10"/>
      <c r="AC2640" s="10"/>
      <c r="AD2640" s="10"/>
      <c r="AE2640" s="10"/>
      <c r="AF2640" s="10"/>
      <c r="AG2640" s="10"/>
      <c r="AH2640" s="10"/>
      <c r="AI2640" s="10"/>
      <c r="AJ2640" s="10"/>
      <c r="AK2640" s="10"/>
      <c r="AL2640" s="10"/>
      <c r="AM2640" s="10"/>
      <c r="AN2640" s="10"/>
      <c r="AO2640" s="10"/>
      <c r="AP2640" s="10"/>
      <c r="AQ2640" s="10"/>
      <c r="AR2640" s="10"/>
      <c r="AS2640" s="10"/>
      <c r="AT2640" s="10"/>
      <c r="AU2640" s="10"/>
      <c r="AV2640" s="10"/>
      <c r="AW2640" s="10"/>
      <c r="AX2640" s="10"/>
      <c r="AY2640" s="10"/>
      <c r="AZ2640" s="10"/>
      <c r="BA2640" s="10"/>
      <c r="BB2640" s="10"/>
      <c r="BC2640" s="10"/>
      <c r="BD2640" s="10"/>
      <c r="BE2640" s="10"/>
      <c r="BF2640" s="10"/>
      <c r="BG2640" s="10"/>
      <c r="BH2640" s="10"/>
      <c r="BI2640" s="10"/>
      <c r="BJ2640" s="10"/>
      <c r="BK2640" s="10"/>
      <c r="BM2640" s="10"/>
    </row>
    <row r="2641" spans="1:65" ht="12.75">
      <c r="A2641" s="9"/>
      <c r="B2641" s="10"/>
      <c r="C2641" s="11"/>
      <c r="D2641" s="12"/>
      <c r="E2641" s="10"/>
      <c r="F2641" s="10"/>
      <c r="G2641" s="10"/>
      <c r="H2641" s="14"/>
      <c r="I2641" s="14"/>
      <c r="J2641" s="14"/>
      <c r="K2641" s="14"/>
      <c r="L2641" s="14"/>
      <c r="M2641" s="15"/>
      <c r="N2641" s="10"/>
      <c r="O2641" s="14"/>
      <c r="P2641" s="14"/>
      <c r="Q2641" s="14"/>
      <c r="R2641" s="14"/>
      <c r="S2641" s="14"/>
      <c r="T2641" s="14"/>
      <c r="U2641" s="14"/>
      <c r="V2641" s="14"/>
      <c r="W2641" s="14"/>
      <c r="X2641" s="14"/>
      <c r="Y2641" s="14"/>
      <c r="Z2641" s="14"/>
      <c r="AA2641" s="16"/>
      <c r="AB2641" s="10"/>
      <c r="AC2641" s="10"/>
      <c r="AD2641" s="10"/>
      <c r="AE2641" s="10"/>
      <c r="AF2641" s="10"/>
      <c r="AG2641" s="10"/>
      <c r="AH2641" s="10"/>
      <c r="AI2641" s="10"/>
      <c r="AJ2641" s="10"/>
      <c r="AK2641" s="10"/>
      <c r="AL2641" s="10"/>
      <c r="AM2641" s="10"/>
      <c r="AN2641" s="10"/>
      <c r="AO2641" s="10"/>
      <c r="AP2641" s="10"/>
      <c r="AQ2641" s="10"/>
      <c r="AR2641" s="10"/>
      <c r="AS2641" s="10"/>
      <c r="AT2641" s="10"/>
      <c r="AU2641" s="10"/>
      <c r="AV2641" s="10"/>
      <c r="AW2641" s="10"/>
      <c r="AX2641" s="10"/>
      <c r="AY2641" s="10"/>
      <c r="AZ2641" s="10"/>
      <c r="BA2641" s="10"/>
      <c r="BB2641" s="10"/>
      <c r="BC2641" s="10"/>
      <c r="BD2641" s="10"/>
      <c r="BE2641" s="10"/>
      <c r="BF2641" s="10"/>
      <c r="BG2641" s="10"/>
      <c r="BH2641" s="10"/>
      <c r="BI2641" s="10"/>
      <c r="BJ2641" s="10"/>
      <c r="BK2641" s="10"/>
      <c r="BM2641" s="10"/>
    </row>
    <row r="2642" spans="1:65" ht="12.75">
      <c r="A2642" s="9"/>
      <c r="B2642" s="10"/>
      <c r="C2642" s="11"/>
      <c r="D2642" s="12"/>
      <c r="E2642" s="10"/>
      <c r="F2642" s="10"/>
      <c r="G2642" s="10"/>
      <c r="H2642" s="14"/>
      <c r="I2642" s="14"/>
      <c r="J2642" s="14"/>
      <c r="K2642" s="14"/>
      <c r="L2642" s="14"/>
      <c r="M2642" s="15"/>
      <c r="N2642" s="10"/>
      <c r="O2642" s="14"/>
      <c r="P2642" s="14"/>
      <c r="Q2642" s="14"/>
      <c r="R2642" s="14"/>
      <c r="S2642" s="14"/>
      <c r="T2642" s="14"/>
      <c r="U2642" s="14"/>
      <c r="V2642" s="14"/>
      <c r="W2642" s="14"/>
      <c r="X2642" s="14"/>
      <c r="Y2642" s="14"/>
      <c r="Z2642" s="14"/>
      <c r="AA2642" s="16"/>
      <c r="AB2642" s="10"/>
      <c r="AC2642" s="10"/>
      <c r="AD2642" s="10"/>
      <c r="AE2642" s="10"/>
      <c r="AF2642" s="10"/>
      <c r="AG2642" s="10"/>
      <c r="AH2642" s="10"/>
      <c r="AI2642" s="10"/>
      <c r="AJ2642" s="10"/>
      <c r="AK2642" s="10"/>
      <c r="AL2642" s="1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10"/>
      <c r="BJ2642" s="10"/>
      <c r="BK2642" s="10"/>
      <c r="BM2642" s="10"/>
    </row>
    <row r="2643" spans="1:65" ht="12.75">
      <c r="A2643" s="9"/>
      <c r="B2643" s="10"/>
      <c r="C2643" s="11"/>
      <c r="D2643" s="12"/>
      <c r="E2643" s="10"/>
      <c r="F2643" s="10"/>
      <c r="G2643" s="10"/>
      <c r="H2643" s="14"/>
      <c r="I2643" s="14"/>
      <c r="J2643" s="14"/>
      <c r="K2643" s="14"/>
      <c r="L2643" s="14"/>
      <c r="M2643" s="15"/>
      <c r="N2643" s="10"/>
      <c r="O2643" s="14"/>
      <c r="P2643" s="14"/>
      <c r="Q2643" s="14"/>
      <c r="R2643" s="14"/>
      <c r="S2643" s="14"/>
      <c r="T2643" s="14"/>
      <c r="U2643" s="14"/>
      <c r="V2643" s="14"/>
      <c r="W2643" s="14"/>
      <c r="X2643" s="14"/>
      <c r="Y2643" s="14"/>
      <c r="Z2643" s="14"/>
      <c r="AA2643" s="16"/>
      <c r="AB2643" s="10"/>
      <c r="AC2643" s="10"/>
      <c r="AD2643" s="10"/>
      <c r="AE2643" s="10"/>
      <c r="AF2643" s="10"/>
      <c r="AG2643" s="10"/>
      <c r="AH2643" s="10"/>
      <c r="AI2643" s="10"/>
      <c r="AJ2643" s="10"/>
      <c r="AK2643" s="10"/>
      <c r="AL2643" s="10"/>
      <c r="AM2643" s="10"/>
      <c r="AN2643" s="10"/>
      <c r="AO2643" s="10"/>
      <c r="AP2643" s="10"/>
      <c r="AQ2643" s="10"/>
      <c r="AR2643" s="10"/>
      <c r="AS2643" s="10"/>
      <c r="AT2643" s="10"/>
      <c r="AU2643" s="10"/>
      <c r="AV2643" s="10"/>
      <c r="AW2643" s="10"/>
      <c r="AX2643" s="10"/>
      <c r="AY2643" s="10"/>
      <c r="AZ2643" s="10"/>
      <c r="BA2643" s="10"/>
      <c r="BB2643" s="10"/>
      <c r="BC2643" s="10"/>
      <c r="BD2643" s="10"/>
      <c r="BE2643" s="10"/>
      <c r="BF2643" s="10"/>
      <c r="BG2643" s="10"/>
      <c r="BH2643" s="10"/>
      <c r="BI2643" s="10"/>
      <c r="BJ2643" s="10"/>
      <c r="BK2643" s="10"/>
      <c r="BM2643" s="10"/>
    </row>
    <row r="2644" spans="1:65" ht="12.75">
      <c r="A2644" s="9"/>
      <c r="B2644" s="10"/>
      <c r="C2644" s="11"/>
      <c r="D2644" s="12"/>
      <c r="E2644" s="10"/>
      <c r="F2644" s="10"/>
      <c r="G2644" s="10"/>
      <c r="H2644" s="14"/>
      <c r="I2644" s="14"/>
      <c r="J2644" s="14"/>
      <c r="K2644" s="14"/>
      <c r="L2644" s="14"/>
      <c r="M2644" s="15"/>
      <c r="N2644" s="10"/>
      <c r="O2644" s="14"/>
      <c r="P2644" s="14"/>
      <c r="Q2644" s="14"/>
      <c r="R2644" s="14"/>
      <c r="S2644" s="14"/>
      <c r="T2644" s="14"/>
      <c r="U2644" s="14"/>
      <c r="V2644" s="14"/>
      <c r="W2644" s="14"/>
      <c r="X2644" s="14"/>
      <c r="Y2644" s="14"/>
      <c r="Z2644" s="14"/>
      <c r="AA2644" s="16"/>
      <c r="AB2644" s="10"/>
      <c r="AC2644" s="10"/>
      <c r="AD2644" s="10"/>
      <c r="AE2644" s="10"/>
      <c r="AF2644" s="10"/>
      <c r="AG2644" s="10"/>
      <c r="AH2644" s="10"/>
      <c r="AI2644" s="10"/>
      <c r="AJ2644" s="10"/>
      <c r="AK2644" s="10"/>
      <c r="AL2644" s="1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10"/>
      <c r="BJ2644" s="10"/>
      <c r="BK2644" s="10"/>
      <c r="BM2644" s="10"/>
    </row>
    <row r="2645" spans="1:65" ht="12.75">
      <c r="A2645" s="9"/>
      <c r="B2645" s="10"/>
      <c r="C2645" s="11"/>
      <c r="D2645" s="12"/>
      <c r="E2645" s="10"/>
      <c r="F2645" s="10"/>
      <c r="G2645" s="10"/>
      <c r="H2645" s="14"/>
      <c r="I2645" s="14"/>
      <c r="J2645" s="14"/>
      <c r="K2645" s="14"/>
      <c r="L2645" s="14"/>
      <c r="M2645" s="15"/>
      <c r="N2645" s="10"/>
      <c r="O2645" s="14"/>
      <c r="P2645" s="14"/>
      <c r="Q2645" s="14"/>
      <c r="R2645" s="14"/>
      <c r="S2645" s="14"/>
      <c r="T2645" s="14"/>
      <c r="U2645" s="14"/>
      <c r="V2645" s="14"/>
      <c r="W2645" s="14"/>
      <c r="X2645" s="14"/>
      <c r="Y2645" s="14"/>
      <c r="Z2645" s="14"/>
      <c r="AA2645" s="16"/>
      <c r="AB2645" s="10"/>
      <c r="AC2645" s="10"/>
      <c r="AD2645" s="10"/>
      <c r="AE2645" s="10"/>
      <c r="AF2645" s="10"/>
      <c r="AG2645" s="10"/>
      <c r="AH2645" s="10"/>
      <c r="AI2645" s="10"/>
      <c r="AJ2645" s="10"/>
      <c r="AK2645" s="10"/>
      <c r="AL2645" s="10"/>
      <c r="AM2645" s="10"/>
      <c r="AN2645" s="10"/>
      <c r="AO2645" s="10"/>
      <c r="AP2645" s="10"/>
      <c r="AQ2645" s="10"/>
      <c r="AR2645" s="10"/>
      <c r="AS2645" s="10"/>
      <c r="AT2645" s="10"/>
      <c r="AU2645" s="10"/>
      <c r="AV2645" s="10"/>
      <c r="AW2645" s="10"/>
      <c r="AX2645" s="10"/>
      <c r="AY2645" s="10"/>
      <c r="AZ2645" s="10"/>
      <c r="BA2645" s="10"/>
      <c r="BB2645" s="10"/>
      <c r="BC2645" s="10"/>
      <c r="BD2645" s="10"/>
      <c r="BE2645" s="10"/>
      <c r="BF2645" s="10"/>
      <c r="BG2645" s="10"/>
      <c r="BH2645" s="10"/>
      <c r="BI2645" s="10"/>
      <c r="BJ2645" s="10"/>
      <c r="BK2645" s="10"/>
      <c r="BM2645" s="10"/>
    </row>
    <row r="2646" spans="1:65" ht="12.75">
      <c r="A2646" s="9"/>
      <c r="B2646" s="10"/>
      <c r="C2646" s="11"/>
      <c r="D2646" s="12"/>
      <c r="E2646" s="10"/>
      <c r="F2646" s="10"/>
      <c r="G2646" s="10"/>
      <c r="H2646" s="14"/>
      <c r="I2646" s="14"/>
      <c r="J2646" s="14"/>
      <c r="K2646" s="14"/>
      <c r="L2646" s="14"/>
      <c r="M2646" s="15"/>
      <c r="N2646" s="10"/>
      <c r="O2646" s="14"/>
      <c r="P2646" s="14"/>
      <c r="Q2646" s="14"/>
      <c r="R2646" s="14"/>
      <c r="S2646" s="14"/>
      <c r="T2646" s="14"/>
      <c r="U2646" s="14"/>
      <c r="V2646" s="14"/>
      <c r="W2646" s="14"/>
      <c r="X2646" s="14"/>
      <c r="Y2646" s="14"/>
      <c r="Z2646" s="14"/>
      <c r="AA2646" s="16"/>
      <c r="AB2646" s="10"/>
      <c r="AC2646" s="10"/>
      <c r="AD2646" s="10"/>
      <c r="AE2646" s="10"/>
      <c r="AF2646" s="10"/>
      <c r="AG2646" s="10"/>
      <c r="AH2646" s="10"/>
      <c r="AI2646" s="10"/>
      <c r="AJ2646" s="10"/>
      <c r="AK2646" s="10"/>
      <c r="AL2646" s="10"/>
      <c r="AM2646" s="10"/>
      <c r="AN2646" s="10"/>
      <c r="AO2646" s="10"/>
      <c r="AP2646" s="10"/>
      <c r="AQ2646" s="10"/>
      <c r="AR2646" s="10"/>
      <c r="AS2646" s="10"/>
      <c r="AT2646" s="10"/>
      <c r="AU2646" s="10"/>
      <c r="AV2646" s="10"/>
      <c r="AW2646" s="10"/>
      <c r="AX2646" s="10"/>
      <c r="AY2646" s="10"/>
      <c r="AZ2646" s="10"/>
      <c r="BA2646" s="10"/>
      <c r="BB2646" s="10"/>
      <c r="BC2646" s="10"/>
      <c r="BD2646" s="10"/>
      <c r="BE2646" s="10"/>
      <c r="BF2646" s="10"/>
      <c r="BG2646" s="10"/>
      <c r="BH2646" s="10"/>
      <c r="BI2646" s="10"/>
      <c r="BJ2646" s="10"/>
      <c r="BK2646" s="10"/>
      <c r="BM2646" s="10"/>
    </row>
    <row r="2647" spans="1:65" ht="12.75">
      <c r="A2647" s="9"/>
      <c r="B2647" s="10"/>
      <c r="C2647" s="11"/>
      <c r="D2647" s="12"/>
      <c r="E2647" s="10"/>
      <c r="F2647" s="10"/>
      <c r="G2647" s="10"/>
      <c r="H2647" s="14"/>
      <c r="I2647" s="14"/>
      <c r="J2647" s="14"/>
      <c r="K2647" s="14"/>
      <c r="L2647" s="14"/>
      <c r="M2647" s="15"/>
      <c r="N2647" s="10"/>
      <c r="O2647" s="14"/>
      <c r="P2647" s="14"/>
      <c r="Q2647" s="14"/>
      <c r="R2647" s="14"/>
      <c r="S2647" s="14"/>
      <c r="T2647" s="14"/>
      <c r="U2647" s="14"/>
      <c r="V2647" s="14"/>
      <c r="W2647" s="14"/>
      <c r="X2647" s="14"/>
      <c r="Y2647" s="14"/>
      <c r="Z2647" s="14"/>
      <c r="AA2647" s="16"/>
      <c r="AB2647" s="10"/>
      <c r="AC2647" s="10"/>
      <c r="AD2647" s="10"/>
      <c r="AE2647" s="10"/>
      <c r="AF2647" s="10"/>
      <c r="AG2647" s="10"/>
      <c r="AH2647" s="10"/>
      <c r="AI2647" s="10"/>
      <c r="AJ2647" s="10"/>
      <c r="AK2647" s="10"/>
      <c r="AL2647" s="1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c r="BI2647" s="10"/>
      <c r="BJ2647" s="10"/>
      <c r="BK2647" s="10"/>
      <c r="BM2647" s="10"/>
    </row>
    <row r="2648" spans="1:65" ht="12.75">
      <c r="A2648" s="9"/>
      <c r="B2648" s="10"/>
      <c r="C2648" s="11"/>
      <c r="D2648" s="12"/>
      <c r="E2648" s="10"/>
      <c r="F2648" s="10"/>
      <c r="G2648" s="10"/>
      <c r="H2648" s="14"/>
      <c r="I2648" s="14"/>
      <c r="J2648" s="14"/>
      <c r="K2648" s="14"/>
      <c r="L2648" s="14"/>
      <c r="M2648" s="15"/>
      <c r="N2648" s="10"/>
      <c r="O2648" s="14"/>
      <c r="P2648" s="14"/>
      <c r="Q2648" s="14"/>
      <c r="R2648" s="14"/>
      <c r="S2648" s="14"/>
      <c r="T2648" s="14"/>
      <c r="U2648" s="14"/>
      <c r="V2648" s="14"/>
      <c r="W2648" s="14"/>
      <c r="X2648" s="14"/>
      <c r="Y2648" s="14"/>
      <c r="Z2648" s="14"/>
      <c r="AA2648" s="16"/>
      <c r="AB2648" s="10"/>
      <c r="AC2648" s="10"/>
      <c r="AD2648" s="10"/>
      <c r="AE2648" s="10"/>
      <c r="AF2648" s="10"/>
      <c r="AG2648" s="10"/>
      <c r="AH2648" s="10"/>
      <c r="AI2648" s="10"/>
      <c r="AJ2648" s="10"/>
      <c r="AK2648" s="10"/>
      <c r="AL2648" s="10"/>
      <c r="AM2648" s="10"/>
      <c r="AN2648" s="10"/>
      <c r="AO2648" s="10"/>
      <c r="AP2648" s="10"/>
      <c r="AQ2648" s="10"/>
      <c r="AR2648" s="10"/>
      <c r="AS2648" s="10"/>
      <c r="AT2648" s="10"/>
      <c r="AU2648" s="10"/>
      <c r="AV2648" s="10"/>
      <c r="AW2648" s="10"/>
      <c r="AX2648" s="10"/>
      <c r="AY2648" s="10"/>
      <c r="AZ2648" s="10"/>
      <c r="BA2648" s="10"/>
      <c r="BB2648" s="10"/>
      <c r="BC2648" s="10"/>
      <c r="BD2648" s="10"/>
      <c r="BE2648" s="10"/>
      <c r="BF2648" s="10"/>
      <c r="BG2648" s="10"/>
      <c r="BH2648" s="10"/>
      <c r="BI2648" s="10"/>
      <c r="BJ2648" s="10"/>
      <c r="BK2648" s="10"/>
      <c r="BM2648" s="10"/>
    </row>
    <row r="2649" spans="1:65" ht="12.75">
      <c r="A2649" s="9"/>
      <c r="B2649" s="10"/>
      <c r="C2649" s="11"/>
      <c r="D2649" s="12"/>
      <c r="E2649" s="10"/>
      <c r="F2649" s="10"/>
      <c r="G2649" s="10"/>
      <c r="H2649" s="14"/>
      <c r="I2649" s="14"/>
      <c r="J2649" s="14"/>
      <c r="K2649" s="14"/>
      <c r="L2649" s="14"/>
      <c r="M2649" s="15"/>
      <c r="N2649" s="10"/>
      <c r="O2649" s="14"/>
      <c r="P2649" s="14"/>
      <c r="Q2649" s="14"/>
      <c r="R2649" s="14"/>
      <c r="S2649" s="14"/>
      <c r="T2649" s="14"/>
      <c r="U2649" s="14"/>
      <c r="V2649" s="14"/>
      <c r="W2649" s="14"/>
      <c r="X2649" s="14"/>
      <c r="Y2649" s="14"/>
      <c r="Z2649" s="14"/>
      <c r="AA2649" s="16"/>
      <c r="AB2649" s="10"/>
      <c r="AC2649" s="10"/>
      <c r="AD2649" s="10"/>
      <c r="AE2649" s="10"/>
      <c r="AF2649" s="10"/>
      <c r="AG2649" s="10"/>
      <c r="AH2649" s="10"/>
      <c r="AI2649" s="10"/>
      <c r="AJ2649" s="10"/>
      <c r="AK2649" s="10"/>
      <c r="AL2649" s="10"/>
      <c r="AM2649" s="10"/>
      <c r="AN2649" s="10"/>
      <c r="AO2649" s="10"/>
      <c r="AP2649" s="10"/>
      <c r="AQ2649" s="10"/>
      <c r="AR2649" s="10"/>
      <c r="AS2649" s="10"/>
      <c r="AT2649" s="10"/>
      <c r="AU2649" s="10"/>
      <c r="AV2649" s="10"/>
      <c r="AW2649" s="10"/>
      <c r="AX2649" s="10"/>
      <c r="AY2649" s="10"/>
      <c r="AZ2649" s="10"/>
      <c r="BA2649" s="10"/>
      <c r="BB2649" s="10"/>
      <c r="BC2649" s="10"/>
      <c r="BD2649" s="10"/>
      <c r="BE2649" s="10"/>
      <c r="BF2649" s="10"/>
      <c r="BG2649" s="10"/>
      <c r="BH2649" s="10"/>
      <c r="BI2649" s="10"/>
      <c r="BJ2649" s="10"/>
      <c r="BK2649" s="10"/>
      <c r="BM2649" s="10"/>
    </row>
    <row r="2650" spans="1:65" ht="12.75">
      <c r="A2650" s="9"/>
      <c r="B2650" s="10"/>
      <c r="C2650" s="11"/>
      <c r="D2650" s="12"/>
      <c r="E2650" s="10"/>
      <c r="F2650" s="10"/>
      <c r="G2650" s="10"/>
      <c r="H2650" s="14"/>
      <c r="I2650" s="14"/>
      <c r="J2650" s="14"/>
      <c r="K2650" s="14"/>
      <c r="L2650" s="14"/>
      <c r="M2650" s="15"/>
      <c r="N2650" s="10"/>
      <c r="O2650" s="14"/>
      <c r="P2650" s="14"/>
      <c r="Q2650" s="14"/>
      <c r="R2650" s="14"/>
      <c r="S2650" s="14"/>
      <c r="T2650" s="14"/>
      <c r="U2650" s="14"/>
      <c r="V2650" s="14"/>
      <c r="W2650" s="14"/>
      <c r="X2650" s="14"/>
      <c r="Y2650" s="14"/>
      <c r="Z2650" s="14"/>
      <c r="AA2650" s="16"/>
      <c r="AB2650" s="10"/>
      <c r="AC2650" s="10"/>
      <c r="AD2650" s="10"/>
      <c r="AE2650" s="10"/>
      <c r="AF2650" s="10"/>
      <c r="AG2650" s="10"/>
      <c r="AH2650" s="10"/>
      <c r="AI2650" s="10"/>
      <c r="AJ2650" s="10"/>
      <c r="AK2650" s="10"/>
      <c r="AL2650" s="10"/>
      <c r="AM2650" s="10"/>
      <c r="AN2650" s="10"/>
      <c r="AO2650" s="10"/>
      <c r="AP2650" s="10"/>
      <c r="AQ2650" s="10"/>
      <c r="AR2650" s="10"/>
      <c r="AS2650" s="10"/>
      <c r="AT2650" s="10"/>
      <c r="AU2650" s="10"/>
      <c r="AV2650" s="10"/>
      <c r="AW2650" s="10"/>
      <c r="AX2650" s="10"/>
      <c r="AY2650" s="10"/>
      <c r="AZ2650" s="10"/>
      <c r="BA2650" s="10"/>
      <c r="BB2650" s="10"/>
      <c r="BC2650" s="10"/>
      <c r="BD2650" s="10"/>
      <c r="BE2650" s="10"/>
      <c r="BF2650" s="10"/>
      <c r="BG2650" s="10"/>
      <c r="BH2650" s="10"/>
      <c r="BI2650" s="10"/>
      <c r="BJ2650" s="10"/>
      <c r="BK2650" s="10"/>
      <c r="BM2650" s="10"/>
    </row>
    <row r="2651" spans="1:65" ht="12.75">
      <c r="A2651" s="9"/>
      <c r="B2651" s="10"/>
      <c r="C2651" s="11"/>
      <c r="D2651" s="12"/>
      <c r="E2651" s="10"/>
      <c r="F2651" s="10"/>
      <c r="G2651" s="10"/>
      <c r="H2651" s="14"/>
      <c r="I2651" s="14"/>
      <c r="J2651" s="14"/>
      <c r="K2651" s="14"/>
      <c r="L2651" s="14"/>
      <c r="M2651" s="15"/>
      <c r="N2651" s="10"/>
      <c r="O2651" s="14"/>
      <c r="P2651" s="14"/>
      <c r="Q2651" s="14"/>
      <c r="R2651" s="14"/>
      <c r="S2651" s="14"/>
      <c r="T2651" s="14"/>
      <c r="U2651" s="14"/>
      <c r="V2651" s="14"/>
      <c r="W2651" s="14"/>
      <c r="X2651" s="14"/>
      <c r="Y2651" s="14"/>
      <c r="Z2651" s="14"/>
      <c r="AA2651" s="16"/>
      <c r="AB2651" s="10"/>
      <c r="AC2651" s="10"/>
      <c r="AD2651" s="10"/>
      <c r="AE2651" s="10"/>
      <c r="AF2651" s="10"/>
      <c r="AG2651" s="10"/>
      <c r="AH2651" s="10"/>
      <c r="AI2651" s="10"/>
      <c r="AJ2651" s="10"/>
      <c r="AK2651" s="10"/>
      <c r="AL2651" s="10"/>
      <c r="AM2651" s="10"/>
      <c r="AN2651" s="10"/>
      <c r="AO2651" s="10"/>
      <c r="AP2651" s="10"/>
      <c r="AQ2651" s="10"/>
      <c r="AR2651" s="10"/>
      <c r="AS2651" s="10"/>
      <c r="AT2651" s="10"/>
      <c r="AU2651" s="10"/>
      <c r="AV2651" s="10"/>
      <c r="AW2651" s="10"/>
      <c r="AX2651" s="10"/>
      <c r="AY2651" s="10"/>
      <c r="AZ2651" s="10"/>
      <c r="BA2651" s="10"/>
      <c r="BB2651" s="10"/>
      <c r="BC2651" s="10"/>
      <c r="BD2651" s="10"/>
      <c r="BE2651" s="10"/>
      <c r="BF2651" s="10"/>
      <c r="BG2651" s="10"/>
      <c r="BH2651" s="10"/>
      <c r="BI2651" s="10"/>
      <c r="BJ2651" s="10"/>
      <c r="BK2651" s="10"/>
      <c r="BM2651" s="10"/>
    </row>
    <row r="2652" spans="1:65" ht="12.75">
      <c r="A2652" s="9"/>
      <c r="B2652" s="10"/>
      <c r="C2652" s="11"/>
      <c r="D2652" s="12"/>
      <c r="E2652" s="10"/>
      <c r="F2652" s="10"/>
      <c r="G2652" s="10"/>
      <c r="H2652" s="14"/>
      <c r="I2652" s="14"/>
      <c r="J2652" s="14"/>
      <c r="K2652" s="14"/>
      <c r="L2652" s="14"/>
      <c r="M2652" s="15"/>
      <c r="N2652" s="10"/>
      <c r="O2652" s="14"/>
      <c r="P2652" s="14"/>
      <c r="Q2652" s="14"/>
      <c r="R2652" s="14"/>
      <c r="S2652" s="14"/>
      <c r="T2652" s="14"/>
      <c r="U2652" s="14"/>
      <c r="V2652" s="14"/>
      <c r="W2652" s="14"/>
      <c r="X2652" s="14"/>
      <c r="Y2652" s="14"/>
      <c r="Z2652" s="14"/>
      <c r="AA2652" s="16"/>
      <c r="AB2652" s="10"/>
      <c r="AC2652" s="10"/>
      <c r="AD2652" s="10"/>
      <c r="AE2652" s="10"/>
      <c r="AF2652" s="10"/>
      <c r="AG2652" s="10"/>
      <c r="AH2652" s="10"/>
      <c r="AI2652" s="10"/>
      <c r="AJ2652" s="10"/>
      <c r="AK2652" s="10"/>
      <c r="AL2652" s="10"/>
      <c r="AM2652" s="10"/>
      <c r="AN2652" s="10"/>
      <c r="AO2652" s="10"/>
      <c r="AP2652" s="10"/>
      <c r="AQ2652" s="10"/>
      <c r="AR2652" s="10"/>
      <c r="AS2652" s="10"/>
      <c r="AT2652" s="10"/>
      <c r="AU2652" s="10"/>
      <c r="AV2652" s="10"/>
      <c r="AW2652" s="10"/>
      <c r="AX2652" s="10"/>
      <c r="AY2652" s="10"/>
      <c r="AZ2652" s="10"/>
      <c r="BA2652" s="10"/>
      <c r="BB2652" s="10"/>
      <c r="BC2652" s="10"/>
      <c r="BD2652" s="10"/>
      <c r="BE2652" s="10"/>
      <c r="BF2652" s="10"/>
      <c r="BG2652" s="10"/>
      <c r="BH2652" s="10"/>
      <c r="BI2652" s="10"/>
      <c r="BJ2652" s="10"/>
      <c r="BK2652" s="10"/>
      <c r="BM2652" s="10"/>
    </row>
    <row r="2653" spans="1:65" ht="12.75">
      <c r="A2653" s="9"/>
      <c r="B2653" s="10"/>
      <c r="C2653" s="11"/>
      <c r="D2653" s="12"/>
      <c r="E2653" s="10"/>
      <c r="F2653" s="10"/>
      <c r="G2653" s="10"/>
      <c r="H2653" s="14"/>
      <c r="I2653" s="14"/>
      <c r="J2653" s="14"/>
      <c r="K2653" s="14"/>
      <c r="L2653" s="14"/>
      <c r="M2653" s="15"/>
      <c r="N2653" s="10"/>
      <c r="O2653" s="14"/>
      <c r="P2653" s="14"/>
      <c r="Q2653" s="14"/>
      <c r="R2653" s="14"/>
      <c r="S2653" s="14"/>
      <c r="T2653" s="14"/>
      <c r="U2653" s="14"/>
      <c r="V2653" s="14"/>
      <c r="W2653" s="14"/>
      <c r="X2653" s="14"/>
      <c r="Y2653" s="14"/>
      <c r="Z2653" s="14"/>
      <c r="AA2653" s="16"/>
      <c r="AB2653" s="10"/>
      <c r="AC2653" s="10"/>
      <c r="AD2653" s="10"/>
      <c r="AE2653" s="10"/>
      <c r="AF2653" s="10"/>
      <c r="AG2653" s="10"/>
      <c r="AH2653" s="10"/>
      <c r="AI2653" s="10"/>
      <c r="AJ2653" s="10"/>
      <c r="AK2653" s="10"/>
      <c r="AL2653" s="10"/>
      <c r="AM2653" s="10"/>
      <c r="AN2653" s="10"/>
      <c r="AO2653" s="10"/>
      <c r="AP2653" s="10"/>
      <c r="AQ2653" s="10"/>
      <c r="AR2653" s="10"/>
      <c r="AS2653" s="10"/>
      <c r="AT2653" s="10"/>
      <c r="AU2653" s="10"/>
      <c r="AV2653" s="10"/>
      <c r="AW2653" s="10"/>
      <c r="AX2653" s="10"/>
      <c r="AY2653" s="10"/>
      <c r="AZ2653" s="10"/>
      <c r="BA2653" s="10"/>
      <c r="BB2653" s="10"/>
      <c r="BC2653" s="10"/>
      <c r="BD2653" s="10"/>
      <c r="BE2653" s="10"/>
      <c r="BF2653" s="10"/>
      <c r="BG2653" s="10"/>
      <c r="BH2653" s="10"/>
      <c r="BI2653" s="10"/>
      <c r="BJ2653" s="10"/>
      <c r="BK2653" s="10"/>
      <c r="BM2653" s="10"/>
    </row>
    <row r="2654" spans="1:65" ht="12.75">
      <c r="A2654" s="9"/>
      <c r="B2654" s="10"/>
      <c r="C2654" s="11"/>
      <c r="D2654" s="12"/>
      <c r="E2654" s="10"/>
      <c r="F2654" s="10"/>
      <c r="G2654" s="10"/>
      <c r="H2654" s="14"/>
      <c r="I2654" s="14"/>
      <c r="J2654" s="14"/>
      <c r="K2654" s="14"/>
      <c r="L2654" s="14"/>
      <c r="M2654" s="15"/>
      <c r="N2654" s="10"/>
      <c r="O2654" s="14"/>
      <c r="P2654" s="14"/>
      <c r="Q2654" s="14"/>
      <c r="R2654" s="14"/>
      <c r="S2654" s="14"/>
      <c r="T2654" s="14"/>
      <c r="U2654" s="14"/>
      <c r="V2654" s="14"/>
      <c r="W2654" s="14"/>
      <c r="X2654" s="14"/>
      <c r="Y2654" s="14"/>
      <c r="Z2654" s="14"/>
      <c r="AA2654" s="16"/>
      <c r="AB2654" s="10"/>
      <c r="AC2654" s="10"/>
      <c r="AD2654" s="10"/>
      <c r="AE2654" s="10"/>
      <c r="AF2654" s="10"/>
      <c r="AG2654" s="10"/>
      <c r="AH2654" s="10"/>
      <c r="AI2654" s="10"/>
      <c r="AJ2654" s="10"/>
      <c r="AK2654" s="10"/>
      <c r="AL2654" s="10"/>
      <c r="AM2654" s="10"/>
      <c r="AN2654" s="10"/>
      <c r="AO2654" s="10"/>
      <c r="AP2654" s="10"/>
      <c r="AQ2654" s="10"/>
      <c r="AR2654" s="10"/>
      <c r="AS2654" s="10"/>
      <c r="AT2654" s="10"/>
      <c r="AU2654" s="10"/>
      <c r="AV2654" s="10"/>
      <c r="AW2654" s="10"/>
      <c r="AX2654" s="10"/>
      <c r="AY2654" s="10"/>
      <c r="AZ2654" s="10"/>
      <c r="BA2654" s="10"/>
      <c r="BB2654" s="10"/>
      <c r="BC2654" s="10"/>
      <c r="BD2654" s="10"/>
      <c r="BE2654" s="10"/>
      <c r="BF2654" s="10"/>
      <c r="BG2654" s="10"/>
      <c r="BH2654" s="10"/>
      <c r="BI2654" s="10"/>
      <c r="BJ2654" s="10"/>
      <c r="BK2654" s="10"/>
      <c r="BM2654" s="10"/>
    </row>
    <row r="2655" spans="1:65" ht="12.75">
      <c r="A2655" s="9"/>
      <c r="B2655" s="10"/>
      <c r="C2655" s="11"/>
      <c r="D2655" s="12"/>
      <c r="E2655" s="10"/>
      <c r="F2655" s="10"/>
      <c r="G2655" s="10"/>
      <c r="H2655" s="14"/>
      <c r="I2655" s="14"/>
      <c r="J2655" s="14"/>
      <c r="K2655" s="14"/>
      <c r="L2655" s="14"/>
      <c r="M2655" s="15"/>
      <c r="N2655" s="10"/>
      <c r="O2655" s="14"/>
      <c r="P2655" s="14"/>
      <c r="Q2655" s="14"/>
      <c r="R2655" s="14"/>
      <c r="S2655" s="14"/>
      <c r="T2655" s="14"/>
      <c r="U2655" s="14"/>
      <c r="V2655" s="14"/>
      <c r="W2655" s="14"/>
      <c r="X2655" s="14"/>
      <c r="Y2655" s="14"/>
      <c r="Z2655" s="14"/>
      <c r="AA2655" s="16"/>
      <c r="AB2655" s="10"/>
      <c r="AC2655" s="10"/>
      <c r="AD2655" s="10"/>
      <c r="AE2655" s="10"/>
      <c r="AF2655" s="10"/>
      <c r="AG2655" s="10"/>
      <c r="AH2655" s="10"/>
      <c r="AI2655" s="10"/>
      <c r="AJ2655" s="10"/>
      <c r="AK2655" s="10"/>
      <c r="AL2655" s="10"/>
      <c r="AM2655" s="10"/>
      <c r="AN2655" s="10"/>
      <c r="AO2655" s="10"/>
      <c r="AP2655" s="10"/>
      <c r="AQ2655" s="10"/>
      <c r="AR2655" s="10"/>
      <c r="AS2655" s="10"/>
      <c r="AT2655" s="10"/>
      <c r="AU2655" s="10"/>
      <c r="AV2655" s="10"/>
      <c r="AW2655" s="10"/>
      <c r="AX2655" s="10"/>
      <c r="AY2655" s="10"/>
      <c r="AZ2655" s="10"/>
      <c r="BA2655" s="10"/>
      <c r="BB2655" s="10"/>
      <c r="BC2655" s="10"/>
      <c r="BD2655" s="10"/>
      <c r="BE2655" s="10"/>
      <c r="BF2655" s="10"/>
      <c r="BG2655" s="10"/>
      <c r="BH2655" s="10"/>
      <c r="BI2655" s="10"/>
      <c r="BJ2655" s="10"/>
      <c r="BK2655" s="10"/>
      <c r="BM2655" s="10"/>
    </row>
    <row r="2656" spans="1:65" ht="12.75">
      <c r="A2656" s="9"/>
      <c r="B2656" s="10"/>
      <c r="C2656" s="11"/>
      <c r="D2656" s="12"/>
      <c r="E2656" s="10"/>
      <c r="F2656" s="10"/>
      <c r="G2656" s="10"/>
      <c r="H2656" s="14"/>
      <c r="I2656" s="14"/>
      <c r="J2656" s="14"/>
      <c r="K2656" s="14"/>
      <c r="L2656" s="14"/>
      <c r="M2656" s="15"/>
      <c r="N2656" s="10"/>
      <c r="O2656" s="14"/>
      <c r="P2656" s="14"/>
      <c r="Q2656" s="14"/>
      <c r="R2656" s="14"/>
      <c r="S2656" s="14"/>
      <c r="T2656" s="14"/>
      <c r="U2656" s="14"/>
      <c r="V2656" s="14"/>
      <c r="W2656" s="14"/>
      <c r="X2656" s="14"/>
      <c r="Y2656" s="14"/>
      <c r="Z2656" s="14"/>
      <c r="AA2656" s="16"/>
      <c r="AB2656" s="10"/>
      <c r="AC2656" s="10"/>
      <c r="AD2656" s="10"/>
      <c r="AE2656" s="10"/>
      <c r="AF2656" s="10"/>
      <c r="AG2656" s="10"/>
      <c r="AH2656" s="10"/>
      <c r="AI2656" s="10"/>
      <c r="AJ2656" s="10"/>
      <c r="AK2656" s="10"/>
      <c r="AL2656" s="10"/>
      <c r="AM2656" s="10"/>
      <c r="AN2656" s="10"/>
      <c r="AO2656" s="10"/>
      <c r="AP2656" s="10"/>
      <c r="AQ2656" s="10"/>
      <c r="AR2656" s="10"/>
      <c r="AS2656" s="10"/>
      <c r="AT2656" s="10"/>
      <c r="AU2656" s="10"/>
      <c r="AV2656" s="10"/>
      <c r="AW2656" s="10"/>
      <c r="AX2656" s="10"/>
      <c r="AY2656" s="10"/>
      <c r="AZ2656" s="10"/>
      <c r="BA2656" s="10"/>
      <c r="BB2656" s="10"/>
      <c r="BC2656" s="10"/>
      <c r="BD2656" s="10"/>
      <c r="BE2656" s="10"/>
      <c r="BF2656" s="10"/>
      <c r="BG2656" s="10"/>
      <c r="BH2656" s="10"/>
      <c r="BI2656" s="10"/>
      <c r="BJ2656" s="10"/>
      <c r="BK2656" s="10"/>
      <c r="BM2656" s="10"/>
    </row>
    <row r="2657" spans="1:65" ht="12.75">
      <c r="A2657" s="9"/>
      <c r="B2657" s="10"/>
      <c r="C2657" s="11"/>
      <c r="D2657" s="12"/>
      <c r="E2657" s="10"/>
      <c r="F2657" s="10"/>
      <c r="G2657" s="10"/>
      <c r="H2657" s="14"/>
      <c r="I2657" s="14"/>
      <c r="J2657" s="14"/>
      <c r="K2657" s="14"/>
      <c r="L2657" s="14"/>
      <c r="M2657" s="15"/>
      <c r="N2657" s="10"/>
      <c r="O2657" s="14"/>
      <c r="P2657" s="14"/>
      <c r="Q2657" s="14"/>
      <c r="R2657" s="14"/>
      <c r="S2657" s="14"/>
      <c r="T2657" s="14"/>
      <c r="U2657" s="14"/>
      <c r="V2657" s="14"/>
      <c r="W2657" s="14"/>
      <c r="X2657" s="14"/>
      <c r="Y2657" s="14"/>
      <c r="Z2657" s="14"/>
      <c r="AA2657" s="16"/>
      <c r="AB2657" s="10"/>
      <c r="AC2657" s="10"/>
      <c r="AD2657" s="10"/>
      <c r="AE2657" s="10"/>
      <c r="AF2657" s="10"/>
      <c r="AG2657" s="10"/>
      <c r="AH2657" s="10"/>
      <c r="AI2657" s="10"/>
      <c r="AJ2657" s="10"/>
      <c r="AK2657" s="10"/>
      <c r="AL2657" s="10"/>
      <c r="AM2657" s="10"/>
      <c r="AN2657" s="10"/>
      <c r="AO2657" s="10"/>
      <c r="AP2657" s="10"/>
      <c r="AQ2657" s="10"/>
      <c r="AR2657" s="10"/>
      <c r="AS2657" s="10"/>
      <c r="AT2657" s="10"/>
      <c r="AU2657" s="10"/>
      <c r="AV2657" s="10"/>
      <c r="AW2657" s="10"/>
      <c r="AX2657" s="10"/>
      <c r="AY2657" s="10"/>
      <c r="AZ2657" s="10"/>
      <c r="BA2657" s="10"/>
      <c r="BB2657" s="10"/>
      <c r="BC2657" s="10"/>
      <c r="BD2657" s="10"/>
      <c r="BE2657" s="10"/>
      <c r="BF2657" s="10"/>
      <c r="BG2657" s="10"/>
      <c r="BH2657" s="10"/>
      <c r="BI2657" s="10"/>
      <c r="BJ2657" s="10"/>
      <c r="BK2657" s="10"/>
      <c r="BM2657" s="10"/>
    </row>
    <row r="2658" spans="1:65" ht="12.75">
      <c r="A2658" s="9"/>
      <c r="B2658" s="10"/>
      <c r="C2658" s="11"/>
      <c r="D2658" s="12"/>
      <c r="E2658" s="10"/>
      <c r="F2658" s="10"/>
      <c r="G2658" s="10"/>
      <c r="H2658" s="14"/>
      <c r="I2658" s="14"/>
      <c r="J2658" s="14"/>
      <c r="K2658" s="14"/>
      <c r="L2658" s="14"/>
      <c r="M2658" s="15"/>
      <c r="N2658" s="10"/>
      <c r="O2658" s="14"/>
      <c r="P2658" s="14"/>
      <c r="Q2658" s="14"/>
      <c r="R2658" s="14"/>
      <c r="S2658" s="14"/>
      <c r="T2658" s="14"/>
      <c r="U2658" s="14"/>
      <c r="V2658" s="14"/>
      <c r="W2658" s="14"/>
      <c r="X2658" s="14"/>
      <c r="Y2658" s="14"/>
      <c r="Z2658" s="14"/>
      <c r="AA2658" s="16"/>
      <c r="AB2658" s="10"/>
      <c r="AC2658" s="10"/>
      <c r="AD2658" s="10"/>
      <c r="AE2658" s="10"/>
      <c r="AF2658" s="10"/>
      <c r="AG2658" s="10"/>
      <c r="AH2658" s="10"/>
      <c r="AI2658" s="10"/>
      <c r="AJ2658" s="10"/>
      <c r="AK2658" s="10"/>
      <c r="AL2658" s="1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M2658" s="10"/>
    </row>
    <row r="2659" spans="1:65" ht="12.75">
      <c r="A2659" s="9"/>
      <c r="B2659" s="10"/>
      <c r="C2659" s="11"/>
      <c r="D2659" s="12"/>
      <c r="E2659" s="10"/>
      <c r="F2659" s="10"/>
      <c r="G2659" s="10"/>
      <c r="H2659" s="14"/>
      <c r="I2659" s="14"/>
      <c r="J2659" s="14"/>
      <c r="K2659" s="14"/>
      <c r="L2659" s="14"/>
      <c r="M2659" s="15"/>
      <c r="N2659" s="10"/>
      <c r="O2659" s="14"/>
      <c r="P2659" s="14"/>
      <c r="Q2659" s="14"/>
      <c r="R2659" s="14"/>
      <c r="S2659" s="14"/>
      <c r="T2659" s="14"/>
      <c r="U2659" s="14"/>
      <c r="V2659" s="14"/>
      <c r="W2659" s="14"/>
      <c r="X2659" s="14"/>
      <c r="Y2659" s="14"/>
      <c r="Z2659" s="14"/>
      <c r="AA2659" s="16"/>
      <c r="AB2659" s="10"/>
      <c r="AC2659" s="10"/>
      <c r="AD2659" s="10"/>
      <c r="AE2659" s="10"/>
      <c r="AF2659" s="10"/>
      <c r="AG2659" s="10"/>
      <c r="AH2659" s="10"/>
      <c r="AI2659" s="10"/>
      <c r="AJ2659" s="10"/>
      <c r="AK2659" s="10"/>
      <c r="AL2659" s="10"/>
      <c r="AM2659" s="10"/>
      <c r="AN2659" s="10"/>
      <c r="AO2659" s="10"/>
      <c r="AP2659" s="10"/>
      <c r="AQ2659" s="10"/>
      <c r="AR2659" s="10"/>
      <c r="AS2659" s="10"/>
      <c r="AT2659" s="10"/>
      <c r="AU2659" s="10"/>
      <c r="AV2659" s="10"/>
      <c r="AW2659" s="10"/>
      <c r="AX2659" s="10"/>
      <c r="AY2659" s="10"/>
      <c r="AZ2659" s="10"/>
      <c r="BA2659" s="10"/>
      <c r="BB2659" s="10"/>
      <c r="BC2659" s="10"/>
      <c r="BD2659" s="10"/>
      <c r="BE2659" s="10"/>
      <c r="BF2659" s="10"/>
      <c r="BG2659" s="10"/>
      <c r="BH2659" s="10"/>
      <c r="BI2659" s="10"/>
      <c r="BJ2659" s="10"/>
      <c r="BK2659" s="10"/>
      <c r="BM2659" s="10"/>
    </row>
    <row r="2660" spans="1:65" ht="12.75">
      <c r="A2660" s="9"/>
      <c r="B2660" s="10"/>
      <c r="C2660" s="11"/>
      <c r="D2660" s="12"/>
      <c r="E2660" s="10"/>
      <c r="F2660" s="10"/>
      <c r="G2660" s="10"/>
      <c r="H2660" s="14"/>
      <c r="I2660" s="14"/>
      <c r="J2660" s="14"/>
      <c r="K2660" s="14"/>
      <c r="L2660" s="14"/>
      <c r="M2660" s="15"/>
      <c r="N2660" s="10"/>
      <c r="O2660" s="14"/>
      <c r="P2660" s="14"/>
      <c r="Q2660" s="14"/>
      <c r="R2660" s="14"/>
      <c r="S2660" s="14"/>
      <c r="T2660" s="14"/>
      <c r="U2660" s="14"/>
      <c r="V2660" s="14"/>
      <c r="W2660" s="14"/>
      <c r="X2660" s="14"/>
      <c r="Y2660" s="14"/>
      <c r="Z2660" s="14"/>
      <c r="AA2660" s="16"/>
      <c r="AB2660" s="10"/>
      <c r="AC2660" s="10"/>
      <c r="AD2660" s="10"/>
      <c r="AE2660" s="10"/>
      <c r="AF2660" s="10"/>
      <c r="AG2660" s="10"/>
      <c r="AH2660" s="10"/>
      <c r="AI2660" s="10"/>
      <c r="AJ2660" s="10"/>
      <c r="AK2660" s="10"/>
      <c r="AL2660" s="10"/>
      <c r="AM2660" s="10"/>
      <c r="AN2660" s="10"/>
      <c r="AO2660" s="10"/>
      <c r="AP2660" s="10"/>
      <c r="AQ2660" s="10"/>
      <c r="AR2660" s="10"/>
      <c r="AS2660" s="10"/>
      <c r="AT2660" s="10"/>
      <c r="AU2660" s="10"/>
      <c r="AV2660" s="10"/>
      <c r="AW2660" s="10"/>
      <c r="AX2660" s="10"/>
      <c r="AY2660" s="10"/>
      <c r="AZ2660" s="10"/>
      <c r="BA2660" s="10"/>
      <c r="BB2660" s="10"/>
      <c r="BC2660" s="10"/>
      <c r="BD2660" s="10"/>
      <c r="BE2660" s="10"/>
      <c r="BF2660" s="10"/>
      <c r="BG2660" s="10"/>
      <c r="BH2660" s="10"/>
      <c r="BI2660" s="10"/>
      <c r="BJ2660" s="10"/>
      <c r="BK2660" s="10"/>
      <c r="BM2660" s="10"/>
    </row>
    <row r="2661" spans="1:65" ht="12.75">
      <c r="A2661" s="9"/>
      <c r="B2661" s="10"/>
      <c r="C2661" s="11"/>
      <c r="D2661" s="12"/>
      <c r="E2661" s="10"/>
      <c r="F2661" s="10"/>
      <c r="G2661" s="10"/>
      <c r="H2661" s="14"/>
      <c r="I2661" s="14"/>
      <c r="J2661" s="14"/>
      <c r="K2661" s="14"/>
      <c r="L2661" s="14"/>
      <c r="M2661" s="15"/>
      <c r="N2661" s="10"/>
      <c r="O2661" s="14"/>
      <c r="P2661" s="14"/>
      <c r="Q2661" s="14"/>
      <c r="R2661" s="14"/>
      <c r="S2661" s="14"/>
      <c r="T2661" s="14"/>
      <c r="U2661" s="14"/>
      <c r="V2661" s="14"/>
      <c r="W2661" s="14"/>
      <c r="X2661" s="14"/>
      <c r="Y2661" s="14"/>
      <c r="Z2661" s="14"/>
      <c r="AA2661" s="16"/>
      <c r="AB2661" s="10"/>
      <c r="AC2661" s="10"/>
      <c r="AD2661" s="10"/>
      <c r="AE2661" s="10"/>
      <c r="AF2661" s="10"/>
      <c r="AG2661" s="10"/>
      <c r="AH2661" s="10"/>
      <c r="AI2661" s="10"/>
      <c r="AJ2661" s="10"/>
      <c r="AK2661" s="10"/>
      <c r="AL2661" s="10"/>
      <c r="AM2661" s="10"/>
      <c r="AN2661" s="10"/>
      <c r="AO2661" s="10"/>
      <c r="AP2661" s="10"/>
      <c r="AQ2661" s="10"/>
      <c r="AR2661" s="10"/>
      <c r="AS2661" s="10"/>
      <c r="AT2661" s="10"/>
      <c r="AU2661" s="10"/>
      <c r="AV2661" s="10"/>
      <c r="AW2661" s="10"/>
      <c r="AX2661" s="10"/>
      <c r="AY2661" s="10"/>
      <c r="AZ2661" s="10"/>
      <c r="BA2661" s="10"/>
      <c r="BB2661" s="10"/>
      <c r="BC2661" s="10"/>
      <c r="BD2661" s="10"/>
      <c r="BE2661" s="10"/>
      <c r="BF2661" s="10"/>
      <c r="BG2661" s="10"/>
      <c r="BH2661" s="10"/>
      <c r="BI2661" s="10"/>
      <c r="BJ2661" s="10"/>
      <c r="BK2661" s="10"/>
      <c r="BM2661" s="10"/>
    </row>
    <row r="2662" spans="1:65" ht="12.75">
      <c r="A2662" s="9"/>
      <c r="B2662" s="10"/>
      <c r="C2662" s="11"/>
      <c r="D2662" s="12"/>
      <c r="E2662" s="10"/>
      <c r="F2662" s="10"/>
      <c r="G2662" s="10"/>
      <c r="H2662" s="14"/>
      <c r="I2662" s="14"/>
      <c r="J2662" s="14"/>
      <c r="K2662" s="14"/>
      <c r="L2662" s="14"/>
      <c r="M2662" s="15"/>
      <c r="N2662" s="10"/>
      <c r="O2662" s="14"/>
      <c r="P2662" s="14"/>
      <c r="Q2662" s="14"/>
      <c r="R2662" s="14"/>
      <c r="S2662" s="14"/>
      <c r="T2662" s="14"/>
      <c r="U2662" s="14"/>
      <c r="V2662" s="14"/>
      <c r="W2662" s="14"/>
      <c r="X2662" s="14"/>
      <c r="Y2662" s="14"/>
      <c r="Z2662" s="14"/>
      <c r="AA2662" s="16"/>
      <c r="AB2662" s="10"/>
      <c r="AC2662" s="10"/>
      <c r="AD2662" s="10"/>
      <c r="AE2662" s="10"/>
      <c r="AF2662" s="10"/>
      <c r="AG2662" s="10"/>
      <c r="AH2662" s="10"/>
      <c r="AI2662" s="10"/>
      <c r="AJ2662" s="10"/>
      <c r="AK2662" s="10"/>
      <c r="AL2662" s="10"/>
      <c r="AM2662" s="10"/>
      <c r="AN2662" s="10"/>
      <c r="AO2662" s="10"/>
      <c r="AP2662" s="10"/>
      <c r="AQ2662" s="10"/>
      <c r="AR2662" s="10"/>
      <c r="AS2662" s="10"/>
      <c r="AT2662" s="10"/>
      <c r="AU2662" s="10"/>
      <c r="AV2662" s="10"/>
      <c r="AW2662" s="10"/>
      <c r="AX2662" s="10"/>
      <c r="AY2662" s="10"/>
      <c r="AZ2662" s="10"/>
      <c r="BA2662" s="10"/>
      <c r="BB2662" s="10"/>
      <c r="BC2662" s="10"/>
      <c r="BD2662" s="10"/>
      <c r="BE2662" s="10"/>
      <c r="BF2662" s="10"/>
      <c r="BG2662" s="10"/>
      <c r="BH2662" s="10"/>
      <c r="BI2662" s="10"/>
      <c r="BJ2662" s="10"/>
      <c r="BK2662" s="10"/>
      <c r="BM2662" s="10"/>
    </row>
    <row r="2663" spans="1:65" ht="12.75">
      <c r="A2663" s="9"/>
      <c r="B2663" s="10"/>
      <c r="C2663" s="11"/>
      <c r="D2663" s="12"/>
      <c r="E2663" s="10"/>
      <c r="F2663" s="10"/>
      <c r="G2663" s="10"/>
      <c r="H2663" s="14"/>
      <c r="I2663" s="14"/>
      <c r="J2663" s="14"/>
      <c r="K2663" s="14"/>
      <c r="L2663" s="14"/>
      <c r="M2663" s="15"/>
      <c r="N2663" s="10"/>
      <c r="O2663" s="14"/>
      <c r="P2663" s="14"/>
      <c r="Q2663" s="14"/>
      <c r="R2663" s="14"/>
      <c r="S2663" s="14"/>
      <c r="T2663" s="14"/>
      <c r="U2663" s="14"/>
      <c r="V2663" s="14"/>
      <c r="W2663" s="14"/>
      <c r="X2663" s="14"/>
      <c r="Y2663" s="14"/>
      <c r="Z2663" s="14"/>
      <c r="AA2663" s="16"/>
      <c r="AB2663" s="10"/>
      <c r="AC2663" s="10"/>
      <c r="AD2663" s="10"/>
      <c r="AE2663" s="10"/>
      <c r="AF2663" s="10"/>
      <c r="AG2663" s="10"/>
      <c r="AH2663" s="10"/>
      <c r="AI2663" s="10"/>
      <c r="AJ2663" s="10"/>
      <c r="AK2663" s="10"/>
      <c r="AL2663" s="10"/>
      <c r="AM2663" s="10"/>
      <c r="AN2663" s="10"/>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10"/>
      <c r="BJ2663" s="10"/>
      <c r="BK2663" s="10"/>
      <c r="BM2663" s="10"/>
    </row>
    <row r="2664" spans="1:65" ht="12.75">
      <c r="A2664" s="9"/>
      <c r="B2664" s="10"/>
      <c r="C2664" s="11"/>
      <c r="D2664" s="12"/>
      <c r="E2664" s="10"/>
      <c r="F2664" s="10"/>
      <c r="G2664" s="10"/>
      <c r="H2664" s="14"/>
      <c r="I2664" s="14"/>
      <c r="J2664" s="14"/>
      <c r="K2664" s="14"/>
      <c r="L2664" s="14"/>
      <c r="M2664" s="15"/>
      <c r="N2664" s="10"/>
      <c r="O2664" s="14"/>
      <c r="P2664" s="14"/>
      <c r="Q2664" s="14"/>
      <c r="R2664" s="14"/>
      <c r="S2664" s="14"/>
      <c r="T2664" s="14"/>
      <c r="U2664" s="14"/>
      <c r="V2664" s="14"/>
      <c r="W2664" s="14"/>
      <c r="X2664" s="14"/>
      <c r="Y2664" s="14"/>
      <c r="Z2664" s="14"/>
      <c r="AA2664" s="16"/>
      <c r="AB2664" s="10"/>
      <c r="AC2664" s="10"/>
      <c r="AD2664" s="10"/>
      <c r="AE2664" s="10"/>
      <c r="AF2664" s="10"/>
      <c r="AG2664" s="10"/>
      <c r="AH2664" s="10"/>
      <c r="AI2664" s="10"/>
      <c r="AJ2664" s="10"/>
      <c r="AK2664" s="10"/>
      <c r="AL2664" s="10"/>
      <c r="AM2664" s="10"/>
      <c r="AN2664" s="10"/>
      <c r="AO2664" s="10"/>
      <c r="AP2664" s="10"/>
      <c r="AQ2664" s="10"/>
      <c r="AR2664" s="10"/>
      <c r="AS2664" s="10"/>
      <c r="AT2664" s="10"/>
      <c r="AU2664" s="10"/>
      <c r="AV2664" s="10"/>
      <c r="AW2664" s="10"/>
      <c r="AX2664" s="10"/>
      <c r="AY2664" s="10"/>
      <c r="AZ2664" s="10"/>
      <c r="BA2664" s="10"/>
      <c r="BB2664" s="10"/>
      <c r="BC2664" s="10"/>
      <c r="BD2664" s="10"/>
      <c r="BE2664" s="10"/>
      <c r="BF2664" s="10"/>
      <c r="BG2664" s="10"/>
      <c r="BH2664" s="10"/>
      <c r="BI2664" s="10"/>
      <c r="BJ2664" s="10"/>
      <c r="BK2664" s="10"/>
      <c r="BM2664" s="10"/>
    </row>
    <row r="2665" spans="1:65" ht="12.75">
      <c r="A2665" s="9"/>
      <c r="B2665" s="10"/>
      <c r="C2665" s="11"/>
      <c r="D2665" s="12"/>
      <c r="E2665" s="10"/>
      <c r="F2665" s="10"/>
      <c r="G2665" s="10"/>
      <c r="H2665" s="14"/>
      <c r="I2665" s="14"/>
      <c r="J2665" s="14"/>
      <c r="K2665" s="14"/>
      <c r="L2665" s="14"/>
      <c r="M2665" s="15"/>
      <c r="N2665" s="10"/>
      <c r="O2665" s="14"/>
      <c r="P2665" s="14"/>
      <c r="Q2665" s="14"/>
      <c r="R2665" s="14"/>
      <c r="S2665" s="14"/>
      <c r="T2665" s="14"/>
      <c r="U2665" s="14"/>
      <c r="V2665" s="14"/>
      <c r="W2665" s="14"/>
      <c r="X2665" s="14"/>
      <c r="Y2665" s="14"/>
      <c r="Z2665" s="14"/>
      <c r="AA2665" s="16"/>
      <c r="AB2665" s="10"/>
      <c r="AC2665" s="10"/>
      <c r="AD2665" s="10"/>
      <c r="AE2665" s="10"/>
      <c r="AF2665" s="10"/>
      <c r="AG2665" s="10"/>
      <c r="AH2665" s="10"/>
      <c r="AI2665" s="10"/>
      <c r="AJ2665" s="10"/>
      <c r="AK2665" s="10"/>
      <c r="AL2665" s="10"/>
      <c r="AM2665" s="10"/>
      <c r="AN2665" s="10"/>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10"/>
      <c r="BJ2665" s="10"/>
      <c r="BK2665" s="10"/>
      <c r="BM2665" s="10"/>
    </row>
    <row r="2666" spans="1:65" ht="12.75">
      <c r="A2666" s="9"/>
      <c r="B2666" s="10"/>
      <c r="C2666" s="11"/>
      <c r="D2666" s="12"/>
      <c r="E2666" s="10"/>
      <c r="F2666" s="10"/>
      <c r="G2666" s="10"/>
      <c r="H2666" s="14"/>
      <c r="I2666" s="14"/>
      <c r="J2666" s="14"/>
      <c r="K2666" s="14"/>
      <c r="L2666" s="14"/>
      <c r="M2666" s="15"/>
      <c r="N2666" s="10"/>
      <c r="O2666" s="14"/>
      <c r="P2666" s="14"/>
      <c r="Q2666" s="14"/>
      <c r="R2666" s="14"/>
      <c r="S2666" s="14"/>
      <c r="T2666" s="14"/>
      <c r="U2666" s="14"/>
      <c r="V2666" s="14"/>
      <c r="W2666" s="14"/>
      <c r="X2666" s="14"/>
      <c r="Y2666" s="14"/>
      <c r="Z2666" s="14"/>
      <c r="AA2666" s="16"/>
      <c r="AB2666" s="10"/>
      <c r="AC2666" s="10"/>
      <c r="AD2666" s="10"/>
      <c r="AE2666" s="10"/>
      <c r="AF2666" s="10"/>
      <c r="AG2666" s="10"/>
      <c r="AH2666" s="10"/>
      <c r="AI2666" s="10"/>
      <c r="AJ2666" s="10"/>
      <c r="AK2666" s="10"/>
      <c r="AL2666" s="10"/>
      <c r="AM2666" s="10"/>
      <c r="AN2666" s="10"/>
      <c r="AO2666" s="10"/>
      <c r="AP2666" s="10"/>
      <c r="AQ2666" s="10"/>
      <c r="AR2666" s="10"/>
      <c r="AS2666" s="10"/>
      <c r="AT2666" s="10"/>
      <c r="AU2666" s="10"/>
      <c r="AV2666" s="10"/>
      <c r="AW2666" s="10"/>
      <c r="AX2666" s="10"/>
      <c r="AY2666" s="10"/>
      <c r="AZ2666" s="10"/>
      <c r="BA2666" s="10"/>
      <c r="BB2666" s="10"/>
      <c r="BC2666" s="10"/>
      <c r="BD2666" s="10"/>
      <c r="BE2666" s="10"/>
      <c r="BF2666" s="10"/>
      <c r="BG2666" s="10"/>
      <c r="BH2666" s="10"/>
      <c r="BI2666" s="10"/>
      <c r="BJ2666" s="10"/>
      <c r="BK2666" s="10"/>
      <c r="BM2666" s="10"/>
    </row>
    <row r="2667" spans="1:65" ht="12.75">
      <c r="A2667" s="9"/>
      <c r="B2667" s="10"/>
      <c r="C2667" s="11"/>
      <c r="D2667" s="12"/>
      <c r="E2667" s="10"/>
      <c r="F2667" s="10"/>
      <c r="G2667" s="10"/>
      <c r="H2667" s="14"/>
      <c r="I2667" s="14"/>
      <c r="J2667" s="14"/>
      <c r="K2667" s="14"/>
      <c r="L2667" s="14"/>
      <c r="M2667" s="15"/>
      <c r="N2667" s="10"/>
      <c r="O2667" s="14"/>
      <c r="P2667" s="14"/>
      <c r="Q2667" s="14"/>
      <c r="R2667" s="14"/>
      <c r="S2667" s="14"/>
      <c r="T2667" s="14"/>
      <c r="U2667" s="14"/>
      <c r="V2667" s="14"/>
      <c r="W2667" s="14"/>
      <c r="X2667" s="14"/>
      <c r="Y2667" s="14"/>
      <c r="Z2667" s="14"/>
      <c r="AA2667" s="16"/>
      <c r="AB2667" s="10"/>
      <c r="AC2667" s="10"/>
      <c r="AD2667" s="10"/>
      <c r="AE2667" s="10"/>
      <c r="AF2667" s="10"/>
      <c r="AG2667" s="10"/>
      <c r="AH2667" s="10"/>
      <c r="AI2667" s="10"/>
      <c r="AJ2667" s="10"/>
      <c r="AK2667" s="10"/>
      <c r="AL2667" s="10"/>
      <c r="AM2667" s="10"/>
      <c r="AN2667" s="10"/>
      <c r="AO2667" s="10"/>
      <c r="AP2667" s="10"/>
      <c r="AQ2667" s="10"/>
      <c r="AR2667" s="10"/>
      <c r="AS2667" s="10"/>
      <c r="AT2667" s="10"/>
      <c r="AU2667" s="10"/>
      <c r="AV2667" s="10"/>
      <c r="AW2667" s="10"/>
      <c r="AX2667" s="10"/>
      <c r="AY2667" s="10"/>
      <c r="AZ2667" s="10"/>
      <c r="BA2667" s="10"/>
      <c r="BB2667" s="10"/>
      <c r="BC2667" s="10"/>
      <c r="BD2667" s="10"/>
      <c r="BE2667" s="10"/>
      <c r="BF2667" s="10"/>
      <c r="BG2667" s="10"/>
      <c r="BH2667" s="10"/>
      <c r="BI2667" s="10"/>
      <c r="BJ2667" s="10"/>
      <c r="BK2667" s="10"/>
      <c r="BM2667" s="10"/>
    </row>
    <row r="2668" spans="1:65" ht="12.75">
      <c r="A2668" s="9"/>
      <c r="B2668" s="10"/>
      <c r="C2668" s="11"/>
      <c r="D2668" s="12"/>
      <c r="E2668" s="10"/>
      <c r="F2668" s="10"/>
      <c r="G2668" s="10"/>
      <c r="H2668" s="14"/>
      <c r="I2668" s="14"/>
      <c r="J2668" s="14"/>
      <c r="K2668" s="14"/>
      <c r="L2668" s="14"/>
      <c r="M2668" s="15"/>
      <c r="N2668" s="10"/>
      <c r="O2668" s="14"/>
      <c r="P2668" s="14"/>
      <c r="Q2668" s="14"/>
      <c r="R2668" s="14"/>
      <c r="S2668" s="14"/>
      <c r="T2668" s="14"/>
      <c r="U2668" s="14"/>
      <c r="V2668" s="14"/>
      <c r="W2668" s="14"/>
      <c r="X2668" s="14"/>
      <c r="Y2668" s="14"/>
      <c r="Z2668" s="14"/>
      <c r="AA2668" s="16"/>
      <c r="AB2668" s="10"/>
      <c r="AC2668" s="10"/>
      <c r="AD2668" s="10"/>
      <c r="AE2668" s="10"/>
      <c r="AF2668" s="10"/>
      <c r="AG2668" s="10"/>
      <c r="AH2668" s="10"/>
      <c r="AI2668" s="10"/>
      <c r="AJ2668" s="10"/>
      <c r="AK2668" s="10"/>
      <c r="AL2668" s="1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10"/>
      <c r="BJ2668" s="10"/>
      <c r="BK2668" s="10"/>
      <c r="BM2668" s="10"/>
    </row>
    <row r="2669" spans="1:65" ht="12.75">
      <c r="A2669" s="9"/>
      <c r="B2669" s="10"/>
      <c r="C2669" s="11"/>
      <c r="D2669" s="12"/>
      <c r="E2669" s="10"/>
      <c r="F2669" s="10"/>
      <c r="G2669" s="10"/>
      <c r="H2669" s="14"/>
      <c r="I2669" s="14"/>
      <c r="J2669" s="14"/>
      <c r="K2669" s="14"/>
      <c r="L2669" s="14"/>
      <c r="M2669" s="15"/>
      <c r="N2669" s="10"/>
      <c r="O2669" s="14"/>
      <c r="P2669" s="14"/>
      <c r="Q2669" s="14"/>
      <c r="R2669" s="14"/>
      <c r="S2669" s="14"/>
      <c r="T2669" s="14"/>
      <c r="U2669" s="14"/>
      <c r="V2669" s="14"/>
      <c r="W2669" s="14"/>
      <c r="X2669" s="14"/>
      <c r="Y2669" s="14"/>
      <c r="Z2669" s="14"/>
      <c r="AA2669" s="16"/>
      <c r="AB2669" s="10"/>
      <c r="AC2669" s="10"/>
      <c r="AD2669" s="10"/>
      <c r="AE2669" s="10"/>
      <c r="AF2669" s="10"/>
      <c r="AG2669" s="10"/>
      <c r="AH2669" s="10"/>
      <c r="AI2669" s="10"/>
      <c r="AJ2669" s="10"/>
      <c r="AK2669" s="10"/>
      <c r="AL2669" s="10"/>
      <c r="AM2669" s="10"/>
      <c r="AN2669" s="10"/>
      <c r="AO2669" s="10"/>
      <c r="AP2669" s="10"/>
      <c r="AQ2669" s="10"/>
      <c r="AR2669" s="10"/>
      <c r="AS2669" s="10"/>
      <c r="AT2669" s="10"/>
      <c r="AU2669" s="10"/>
      <c r="AV2669" s="10"/>
      <c r="AW2669" s="10"/>
      <c r="AX2669" s="10"/>
      <c r="AY2669" s="10"/>
      <c r="AZ2669" s="10"/>
      <c r="BA2669" s="10"/>
      <c r="BB2669" s="10"/>
      <c r="BC2669" s="10"/>
      <c r="BD2669" s="10"/>
      <c r="BE2669" s="10"/>
      <c r="BF2669" s="10"/>
      <c r="BG2669" s="10"/>
      <c r="BH2669" s="10"/>
      <c r="BI2669" s="10"/>
      <c r="BJ2669" s="10"/>
      <c r="BK2669" s="10"/>
      <c r="BM2669" s="10"/>
    </row>
    <row r="2670" spans="1:65" ht="12.75">
      <c r="A2670" s="9"/>
      <c r="B2670" s="10"/>
      <c r="C2670" s="11"/>
      <c r="D2670" s="12"/>
      <c r="E2670" s="10"/>
      <c r="F2670" s="10"/>
      <c r="G2670" s="10"/>
      <c r="H2670" s="14"/>
      <c r="I2670" s="14"/>
      <c r="J2670" s="14"/>
      <c r="K2670" s="14"/>
      <c r="L2670" s="14"/>
      <c r="M2670" s="15"/>
      <c r="N2670" s="10"/>
      <c r="O2670" s="14"/>
      <c r="P2670" s="14"/>
      <c r="Q2670" s="14"/>
      <c r="R2670" s="14"/>
      <c r="S2670" s="14"/>
      <c r="T2670" s="14"/>
      <c r="U2670" s="14"/>
      <c r="V2670" s="14"/>
      <c r="W2670" s="14"/>
      <c r="X2670" s="14"/>
      <c r="Y2670" s="14"/>
      <c r="Z2670" s="14"/>
      <c r="AA2670" s="16"/>
      <c r="AB2670" s="10"/>
      <c r="AC2670" s="10"/>
      <c r="AD2670" s="10"/>
      <c r="AE2670" s="10"/>
      <c r="AF2670" s="10"/>
      <c r="AG2670" s="10"/>
      <c r="AH2670" s="10"/>
      <c r="AI2670" s="10"/>
      <c r="AJ2670" s="10"/>
      <c r="AK2670" s="10"/>
      <c r="AL2670" s="10"/>
      <c r="AM2670" s="10"/>
      <c r="AN2670" s="10"/>
      <c r="AO2670" s="10"/>
      <c r="AP2670" s="10"/>
      <c r="AQ2670" s="10"/>
      <c r="AR2670" s="10"/>
      <c r="AS2670" s="10"/>
      <c r="AT2670" s="10"/>
      <c r="AU2670" s="10"/>
      <c r="AV2670" s="10"/>
      <c r="AW2670" s="10"/>
      <c r="AX2670" s="10"/>
      <c r="AY2670" s="10"/>
      <c r="AZ2670" s="10"/>
      <c r="BA2670" s="10"/>
      <c r="BB2670" s="10"/>
      <c r="BC2670" s="10"/>
      <c r="BD2670" s="10"/>
      <c r="BE2670" s="10"/>
      <c r="BF2670" s="10"/>
      <c r="BG2670" s="10"/>
      <c r="BH2670" s="10"/>
      <c r="BI2670" s="10"/>
      <c r="BJ2670" s="10"/>
      <c r="BK2670" s="10"/>
      <c r="BM2670" s="10"/>
    </row>
    <row r="2671" spans="1:65" ht="12.75">
      <c r="A2671" s="9"/>
      <c r="B2671" s="10"/>
      <c r="C2671" s="11"/>
      <c r="D2671" s="12"/>
      <c r="E2671" s="10"/>
      <c r="F2671" s="10"/>
      <c r="G2671" s="10"/>
      <c r="H2671" s="14"/>
      <c r="I2671" s="14"/>
      <c r="J2671" s="14"/>
      <c r="K2671" s="14"/>
      <c r="L2671" s="14"/>
      <c r="M2671" s="15"/>
      <c r="N2671" s="10"/>
      <c r="O2671" s="14"/>
      <c r="P2671" s="14"/>
      <c r="Q2671" s="14"/>
      <c r="R2671" s="14"/>
      <c r="S2671" s="14"/>
      <c r="T2671" s="14"/>
      <c r="U2671" s="14"/>
      <c r="V2671" s="14"/>
      <c r="W2671" s="14"/>
      <c r="X2671" s="14"/>
      <c r="Y2671" s="14"/>
      <c r="Z2671" s="14"/>
      <c r="AA2671" s="16"/>
      <c r="AB2671" s="10"/>
      <c r="AC2671" s="10"/>
      <c r="AD2671" s="10"/>
      <c r="AE2671" s="10"/>
      <c r="AF2671" s="10"/>
      <c r="AG2671" s="10"/>
      <c r="AH2671" s="10"/>
      <c r="AI2671" s="10"/>
      <c r="AJ2671" s="10"/>
      <c r="AK2671" s="10"/>
      <c r="AL2671" s="10"/>
      <c r="AM2671" s="10"/>
      <c r="AN2671" s="10"/>
      <c r="AO2671" s="10"/>
      <c r="AP2671" s="10"/>
      <c r="AQ2671" s="10"/>
      <c r="AR2671" s="10"/>
      <c r="AS2671" s="10"/>
      <c r="AT2671" s="10"/>
      <c r="AU2671" s="10"/>
      <c r="AV2671" s="10"/>
      <c r="AW2671" s="10"/>
      <c r="AX2671" s="10"/>
      <c r="AY2671" s="10"/>
      <c r="AZ2671" s="10"/>
      <c r="BA2671" s="10"/>
      <c r="BB2671" s="10"/>
      <c r="BC2671" s="10"/>
      <c r="BD2671" s="10"/>
      <c r="BE2671" s="10"/>
      <c r="BF2671" s="10"/>
      <c r="BG2671" s="10"/>
      <c r="BH2671" s="10"/>
      <c r="BI2671" s="10"/>
      <c r="BJ2671" s="10"/>
      <c r="BK2671" s="10"/>
      <c r="BM2671" s="10"/>
    </row>
    <row r="2672" spans="1:65" ht="12.75">
      <c r="A2672" s="9"/>
      <c r="B2672" s="10"/>
      <c r="C2672" s="11"/>
      <c r="D2672" s="12"/>
      <c r="E2672" s="10"/>
      <c r="F2672" s="10"/>
      <c r="G2672" s="10"/>
      <c r="H2672" s="14"/>
      <c r="I2672" s="14"/>
      <c r="J2672" s="14"/>
      <c r="K2672" s="14"/>
      <c r="L2672" s="14"/>
      <c r="M2672" s="15"/>
      <c r="N2672" s="10"/>
      <c r="O2672" s="14"/>
      <c r="P2672" s="14"/>
      <c r="Q2672" s="14"/>
      <c r="R2672" s="14"/>
      <c r="S2672" s="14"/>
      <c r="T2672" s="14"/>
      <c r="U2672" s="14"/>
      <c r="V2672" s="14"/>
      <c r="W2672" s="14"/>
      <c r="X2672" s="14"/>
      <c r="Y2672" s="14"/>
      <c r="Z2672" s="14"/>
      <c r="AA2672" s="16"/>
      <c r="AB2672" s="10"/>
      <c r="AC2672" s="10"/>
      <c r="AD2672" s="10"/>
      <c r="AE2672" s="10"/>
      <c r="AF2672" s="10"/>
      <c r="AG2672" s="10"/>
      <c r="AH2672" s="10"/>
      <c r="AI2672" s="10"/>
      <c r="AJ2672" s="10"/>
      <c r="AK2672" s="10"/>
      <c r="AL2672" s="1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M2672" s="10"/>
    </row>
    <row r="2673" spans="1:65" ht="12.75">
      <c r="A2673" s="9"/>
      <c r="B2673" s="10"/>
      <c r="C2673" s="11"/>
      <c r="D2673" s="12"/>
      <c r="E2673" s="10"/>
      <c r="F2673" s="10"/>
      <c r="G2673" s="10"/>
      <c r="H2673" s="14"/>
      <c r="I2673" s="14"/>
      <c r="J2673" s="14"/>
      <c r="K2673" s="14"/>
      <c r="L2673" s="14"/>
      <c r="M2673" s="15"/>
      <c r="N2673" s="10"/>
      <c r="O2673" s="14"/>
      <c r="P2673" s="14"/>
      <c r="Q2673" s="14"/>
      <c r="R2673" s="14"/>
      <c r="S2673" s="14"/>
      <c r="T2673" s="14"/>
      <c r="U2673" s="14"/>
      <c r="V2673" s="14"/>
      <c r="W2673" s="14"/>
      <c r="X2673" s="14"/>
      <c r="Y2673" s="14"/>
      <c r="Z2673" s="14"/>
      <c r="AA2673" s="16"/>
      <c r="AB2673" s="10"/>
      <c r="AC2673" s="10"/>
      <c r="AD2673" s="10"/>
      <c r="AE2673" s="10"/>
      <c r="AF2673" s="10"/>
      <c r="AG2673" s="10"/>
      <c r="AH2673" s="10"/>
      <c r="AI2673" s="10"/>
      <c r="AJ2673" s="10"/>
      <c r="AK2673" s="10"/>
      <c r="AL2673" s="10"/>
      <c r="AM2673" s="10"/>
      <c r="AN2673" s="10"/>
      <c r="AO2673" s="10"/>
      <c r="AP2673" s="10"/>
      <c r="AQ2673" s="10"/>
      <c r="AR2673" s="10"/>
      <c r="AS2673" s="10"/>
      <c r="AT2673" s="10"/>
      <c r="AU2673" s="10"/>
      <c r="AV2673" s="10"/>
      <c r="AW2673" s="10"/>
      <c r="AX2673" s="10"/>
      <c r="AY2673" s="10"/>
      <c r="AZ2673" s="10"/>
      <c r="BA2673" s="10"/>
      <c r="BB2673" s="10"/>
      <c r="BC2673" s="10"/>
      <c r="BD2673" s="10"/>
      <c r="BE2673" s="10"/>
      <c r="BF2673" s="10"/>
      <c r="BG2673" s="10"/>
      <c r="BH2673" s="10"/>
      <c r="BI2673" s="10"/>
      <c r="BJ2673" s="10"/>
      <c r="BK2673" s="10"/>
      <c r="BM2673" s="10"/>
    </row>
    <row r="2674" spans="1:65" ht="12.75">
      <c r="A2674" s="9"/>
      <c r="B2674" s="10"/>
      <c r="C2674" s="11"/>
      <c r="D2674" s="12"/>
      <c r="E2674" s="10"/>
      <c r="F2674" s="10"/>
      <c r="G2674" s="10"/>
      <c r="H2674" s="14"/>
      <c r="I2674" s="14"/>
      <c r="J2674" s="14"/>
      <c r="K2674" s="14"/>
      <c r="L2674" s="14"/>
      <c r="M2674" s="15"/>
      <c r="N2674" s="10"/>
      <c r="O2674" s="14"/>
      <c r="P2674" s="14"/>
      <c r="Q2674" s="14"/>
      <c r="R2674" s="14"/>
      <c r="S2674" s="14"/>
      <c r="T2674" s="14"/>
      <c r="U2674" s="14"/>
      <c r="V2674" s="14"/>
      <c r="W2674" s="14"/>
      <c r="X2674" s="14"/>
      <c r="Y2674" s="14"/>
      <c r="Z2674" s="14"/>
      <c r="AA2674" s="16"/>
      <c r="AB2674" s="10"/>
      <c r="AC2674" s="10"/>
      <c r="AD2674" s="10"/>
      <c r="AE2674" s="10"/>
      <c r="AF2674" s="10"/>
      <c r="AG2674" s="10"/>
      <c r="AH2674" s="10"/>
      <c r="AI2674" s="10"/>
      <c r="AJ2674" s="10"/>
      <c r="AK2674" s="10"/>
      <c r="AL2674" s="10"/>
      <c r="AM2674" s="10"/>
      <c r="AN2674" s="10"/>
      <c r="AO2674" s="10"/>
      <c r="AP2674" s="10"/>
      <c r="AQ2674" s="10"/>
      <c r="AR2674" s="10"/>
      <c r="AS2674" s="10"/>
      <c r="AT2674" s="10"/>
      <c r="AU2674" s="10"/>
      <c r="AV2674" s="10"/>
      <c r="AW2674" s="10"/>
      <c r="AX2674" s="10"/>
      <c r="AY2674" s="10"/>
      <c r="AZ2674" s="10"/>
      <c r="BA2674" s="10"/>
      <c r="BB2674" s="10"/>
      <c r="BC2674" s="10"/>
      <c r="BD2674" s="10"/>
      <c r="BE2674" s="10"/>
      <c r="BF2674" s="10"/>
      <c r="BG2674" s="10"/>
      <c r="BH2674" s="10"/>
      <c r="BI2674" s="10"/>
      <c r="BJ2674" s="10"/>
      <c r="BK2674" s="10"/>
      <c r="BM2674" s="10"/>
    </row>
    <row r="2675" spans="1:65" ht="12.75">
      <c r="A2675" s="9"/>
      <c r="B2675" s="10"/>
      <c r="C2675" s="11"/>
      <c r="D2675" s="12"/>
      <c r="E2675" s="10"/>
      <c r="F2675" s="10"/>
      <c r="G2675" s="10"/>
      <c r="H2675" s="14"/>
      <c r="I2675" s="14"/>
      <c r="J2675" s="14"/>
      <c r="K2675" s="14"/>
      <c r="L2675" s="14"/>
      <c r="M2675" s="15"/>
      <c r="N2675" s="10"/>
      <c r="O2675" s="14"/>
      <c r="P2675" s="14"/>
      <c r="Q2675" s="14"/>
      <c r="R2675" s="14"/>
      <c r="S2675" s="14"/>
      <c r="T2675" s="14"/>
      <c r="U2675" s="14"/>
      <c r="V2675" s="14"/>
      <c r="W2675" s="14"/>
      <c r="X2675" s="14"/>
      <c r="Y2675" s="14"/>
      <c r="Z2675" s="14"/>
      <c r="AA2675" s="16"/>
      <c r="AB2675" s="10"/>
      <c r="AC2675" s="10"/>
      <c r="AD2675" s="10"/>
      <c r="AE2675" s="10"/>
      <c r="AF2675" s="10"/>
      <c r="AG2675" s="10"/>
      <c r="AH2675" s="10"/>
      <c r="AI2675" s="10"/>
      <c r="AJ2675" s="10"/>
      <c r="AK2675" s="10"/>
      <c r="AL2675" s="10"/>
      <c r="AM2675" s="10"/>
      <c r="AN2675" s="10"/>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10"/>
      <c r="BJ2675" s="10"/>
      <c r="BK2675" s="10"/>
      <c r="BM2675" s="10"/>
    </row>
    <row r="2676" spans="1:65" ht="12.75">
      <c r="A2676" s="9"/>
      <c r="B2676" s="10"/>
      <c r="C2676" s="11"/>
      <c r="D2676" s="12"/>
      <c r="E2676" s="10"/>
      <c r="F2676" s="10"/>
      <c r="G2676" s="10"/>
      <c r="H2676" s="14"/>
      <c r="I2676" s="14"/>
      <c r="J2676" s="14"/>
      <c r="K2676" s="14"/>
      <c r="L2676" s="14"/>
      <c r="M2676" s="15"/>
      <c r="N2676" s="10"/>
      <c r="O2676" s="14"/>
      <c r="P2676" s="14"/>
      <c r="Q2676" s="14"/>
      <c r="R2676" s="14"/>
      <c r="S2676" s="14"/>
      <c r="T2676" s="14"/>
      <c r="U2676" s="14"/>
      <c r="V2676" s="14"/>
      <c r="W2676" s="14"/>
      <c r="X2676" s="14"/>
      <c r="Y2676" s="14"/>
      <c r="Z2676" s="14"/>
      <c r="AA2676" s="16"/>
      <c r="AB2676" s="10"/>
      <c r="AC2676" s="10"/>
      <c r="AD2676" s="10"/>
      <c r="AE2676" s="10"/>
      <c r="AF2676" s="10"/>
      <c r="AG2676" s="10"/>
      <c r="AH2676" s="10"/>
      <c r="AI2676" s="10"/>
      <c r="AJ2676" s="10"/>
      <c r="AK2676" s="10"/>
      <c r="AL2676" s="10"/>
      <c r="AM2676" s="10"/>
      <c r="AN2676" s="10"/>
      <c r="AO2676" s="10"/>
      <c r="AP2676" s="10"/>
      <c r="AQ2676" s="10"/>
      <c r="AR2676" s="10"/>
      <c r="AS2676" s="10"/>
      <c r="AT2676" s="10"/>
      <c r="AU2676" s="10"/>
      <c r="AV2676" s="10"/>
      <c r="AW2676" s="10"/>
      <c r="AX2676" s="10"/>
      <c r="AY2676" s="10"/>
      <c r="AZ2676" s="10"/>
      <c r="BA2676" s="10"/>
      <c r="BB2676" s="10"/>
      <c r="BC2676" s="10"/>
      <c r="BD2676" s="10"/>
      <c r="BE2676" s="10"/>
      <c r="BF2676" s="10"/>
      <c r="BG2676" s="10"/>
      <c r="BH2676" s="10"/>
      <c r="BI2676" s="10"/>
      <c r="BJ2676" s="10"/>
      <c r="BK2676" s="10"/>
      <c r="BM2676" s="10"/>
    </row>
    <row r="2677" spans="1:65" ht="12.75">
      <c r="A2677" s="9"/>
      <c r="B2677" s="10"/>
      <c r="C2677" s="11"/>
      <c r="D2677" s="12"/>
      <c r="E2677" s="10"/>
      <c r="F2677" s="10"/>
      <c r="G2677" s="10"/>
      <c r="H2677" s="14"/>
      <c r="I2677" s="14"/>
      <c r="J2677" s="14"/>
      <c r="K2677" s="14"/>
      <c r="L2677" s="14"/>
      <c r="M2677" s="15"/>
      <c r="N2677" s="10"/>
      <c r="O2677" s="14"/>
      <c r="P2677" s="14"/>
      <c r="Q2677" s="14"/>
      <c r="R2677" s="14"/>
      <c r="S2677" s="14"/>
      <c r="T2677" s="14"/>
      <c r="U2677" s="14"/>
      <c r="V2677" s="14"/>
      <c r="W2677" s="14"/>
      <c r="X2677" s="14"/>
      <c r="Y2677" s="14"/>
      <c r="Z2677" s="14"/>
      <c r="AA2677" s="16"/>
      <c r="AB2677" s="10"/>
      <c r="AC2677" s="10"/>
      <c r="AD2677" s="10"/>
      <c r="AE2677" s="10"/>
      <c r="AF2677" s="10"/>
      <c r="AG2677" s="10"/>
      <c r="AH2677" s="10"/>
      <c r="AI2677" s="10"/>
      <c r="AJ2677" s="10"/>
      <c r="AK2677" s="10"/>
      <c r="AL2677" s="10"/>
      <c r="AM2677" s="10"/>
      <c r="AN2677" s="10"/>
      <c r="AO2677" s="10"/>
      <c r="AP2677" s="10"/>
      <c r="AQ2677" s="10"/>
      <c r="AR2677" s="10"/>
      <c r="AS2677" s="10"/>
      <c r="AT2677" s="10"/>
      <c r="AU2677" s="10"/>
      <c r="AV2677" s="10"/>
      <c r="AW2677" s="10"/>
      <c r="AX2677" s="10"/>
      <c r="AY2677" s="10"/>
      <c r="AZ2677" s="10"/>
      <c r="BA2677" s="10"/>
      <c r="BB2677" s="10"/>
      <c r="BC2677" s="10"/>
      <c r="BD2677" s="10"/>
      <c r="BE2677" s="10"/>
      <c r="BF2677" s="10"/>
      <c r="BG2677" s="10"/>
      <c r="BH2677" s="10"/>
      <c r="BI2677" s="10"/>
      <c r="BJ2677" s="10"/>
      <c r="BK2677" s="10"/>
      <c r="BM2677" s="10"/>
    </row>
    <row r="2678" spans="1:65" ht="12.75">
      <c r="A2678" s="9"/>
      <c r="B2678" s="10"/>
      <c r="C2678" s="11"/>
      <c r="D2678" s="12"/>
      <c r="E2678" s="10"/>
      <c r="F2678" s="10"/>
      <c r="G2678" s="10"/>
      <c r="H2678" s="14"/>
      <c r="I2678" s="14"/>
      <c r="J2678" s="14"/>
      <c r="K2678" s="14"/>
      <c r="L2678" s="14"/>
      <c r="M2678" s="15"/>
      <c r="N2678" s="10"/>
      <c r="O2678" s="14"/>
      <c r="P2678" s="14"/>
      <c r="Q2678" s="14"/>
      <c r="R2678" s="14"/>
      <c r="S2678" s="14"/>
      <c r="T2678" s="14"/>
      <c r="U2678" s="14"/>
      <c r="V2678" s="14"/>
      <c r="W2678" s="14"/>
      <c r="X2678" s="14"/>
      <c r="Y2678" s="14"/>
      <c r="Z2678" s="14"/>
      <c r="AA2678" s="16"/>
      <c r="AB2678" s="10"/>
      <c r="AC2678" s="10"/>
      <c r="AD2678" s="10"/>
      <c r="AE2678" s="10"/>
      <c r="AF2678" s="10"/>
      <c r="AG2678" s="10"/>
      <c r="AH2678" s="10"/>
      <c r="AI2678" s="10"/>
      <c r="AJ2678" s="10"/>
      <c r="AK2678" s="10"/>
      <c r="AL2678" s="10"/>
      <c r="AM2678" s="10"/>
      <c r="AN2678" s="10"/>
      <c r="AO2678" s="10"/>
      <c r="AP2678" s="10"/>
      <c r="AQ2678" s="10"/>
      <c r="AR2678" s="10"/>
      <c r="AS2678" s="10"/>
      <c r="AT2678" s="10"/>
      <c r="AU2678" s="10"/>
      <c r="AV2678" s="10"/>
      <c r="AW2678" s="10"/>
      <c r="AX2678" s="10"/>
      <c r="AY2678" s="10"/>
      <c r="AZ2678" s="10"/>
      <c r="BA2678" s="10"/>
      <c r="BB2678" s="10"/>
      <c r="BC2678" s="10"/>
      <c r="BD2678" s="10"/>
      <c r="BE2678" s="10"/>
      <c r="BF2678" s="10"/>
      <c r="BG2678" s="10"/>
      <c r="BH2678" s="10"/>
      <c r="BI2678" s="10"/>
      <c r="BJ2678" s="10"/>
      <c r="BK2678" s="10"/>
      <c r="BM2678" s="10"/>
    </row>
    <row r="2679" spans="1:65" ht="12.75">
      <c r="A2679" s="9"/>
      <c r="B2679" s="10"/>
      <c r="C2679" s="11"/>
      <c r="D2679" s="12"/>
      <c r="E2679" s="10"/>
      <c r="F2679" s="10"/>
      <c r="G2679" s="10"/>
      <c r="H2679" s="14"/>
      <c r="I2679" s="14"/>
      <c r="J2679" s="14"/>
      <c r="K2679" s="14"/>
      <c r="L2679" s="14"/>
      <c r="M2679" s="15"/>
      <c r="N2679" s="10"/>
      <c r="O2679" s="14"/>
      <c r="P2679" s="14"/>
      <c r="Q2679" s="14"/>
      <c r="R2679" s="14"/>
      <c r="S2679" s="14"/>
      <c r="T2679" s="14"/>
      <c r="U2679" s="14"/>
      <c r="V2679" s="14"/>
      <c r="W2679" s="14"/>
      <c r="X2679" s="14"/>
      <c r="Y2679" s="14"/>
      <c r="Z2679" s="14"/>
      <c r="AA2679" s="16"/>
      <c r="AB2679" s="10"/>
      <c r="AC2679" s="10"/>
      <c r="AD2679" s="10"/>
      <c r="AE2679" s="10"/>
      <c r="AF2679" s="10"/>
      <c r="AG2679" s="10"/>
      <c r="AH2679" s="10"/>
      <c r="AI2679" s="10"/>
      <c r="AJ2679" s="10"/>
      <c r="AK2679" s="10"/>
      <c r="AL2679" s="10"/>
      <c r="AM2679" s="10"/>
      <c r="AN2679" s="10"/>
      <c r="AO2679" s="10"/>
      <c r="AP2679" s="10"/>
      <c r="AQ2679" s="10"/>
      <c r="AR2679" s="10"/>
      <c r="AS2679" s="10"/>
      <c r="AT2679" s="10"/>
      <c r="AU2679" s="10"/>
      <c r="AV2679" s="10"/>
      <c r="AW2679" s="10"/>
      <c r="AX2679" s="10"/>
      <c r="AY2679" s="10"/>
      <c r="AZ2679" s="10"/>
      <c r="BA2679" s="10"/>
      <c r="BB2679" s="10"/>
      <c r="BC2679" s="10"/>
      <c r="BD2679" s="10"/>
      <c r="BE2679" s="10"/>
      <c r="BF2679" s="10"/>
      <c r="BG2679" s="10"/>
      <c r="BH2679" s="10"/>
      <c r="BI2679" s="10"/>
      <c r="BJ2679" s="10"/>
      <c r="BK2679" s="10"/>
      <c r="BM2679" s="10"/>
    </row>
    <row r="2680" spans="1:65" ht="12.75">
      <c r="A2680" s="9"/>
      <c r="B2680" s="10"/>
      <c r="C2680" s="11"/>
      <c r="D2680" s="12"/>
      <c r="E2680" s="10"/>
      <c r="F2680" s="10"/>
      <c r="G2680" s="10"/>
      <c r="H2680" s="14"/>
      <c r="I2680" s="14"/>
      <c r="J2680" s="14"/>
      <c r="K2680" s="14"/>
      <c r="L2680" s="14"/>
      <c r="M2680" s="15"/>
      <c r="N2680" s="10"/>
      <c r="O2680" s="14"/>
      <c r="P2680" s="14"/>
      <c r="Q2680" s="14"/>
      <c r="R2680" s="14"/>
      <c r="S2680" s="14"/>
      <c r="T2680" s="14"/>
      <c r="U2680" s="14"/>
      <c r="V2680" s="14"/>
      <c r="W2680" s="14"/>
      <c r="X2680" s="14"/>
      <c r="Y2680" s="14"/>
      <c r="Z2680" s="14"/>
      <c r="AA2680" s="16"/>
      <c r="AB2680" s="10"/>
      <c r="AC2680" s="10"/>
      <c r="AD2680" s="10"/>
      <c r="AE2680" s="10"/>
      <c r="AF2680" s="10"/>
      <c r="AG2680" s="10"/>
      <c r="AH2680" s="10"/>
      <c r="AI2680" s="10"/>
      <c r="AJ2680" s="10"/>
      <c r="AK2680" s="10"/>
      <c r="AL2680" s="10"/>
      <c r="AM2680" s="10"/>
      <c r="AN2680" s="10"/>
      <c r="AO2680" s="10"/>
      <c r="AP2680" s="10"/>
      <c r="AQ2680" s="10"/>
      <c r="AR2680" s="10"/>
      <c r="AS2680" s="10"/>
      <c r="AT2680" s="10"/>
      <c r="AU2680" s="10"/>
      <c r="AV2680" s="10"/>
      <c r="AW2680" s="10"/>
      <c r="AX2680" s="10"/>
      <c r="AY2680" s="10"/>
      <c r="AZ2680" s="10"/>
      <c r="BA2680" s="10"/>
      <c r="BB2680" s="10"/>
      <c r="BC2680" s="10"/>
      <c r="BD2680" s="10"/>
      <c r="BE2680" s="10"/>
      <c r="BF2680" s="10"/>
      <c r="BG2680" s="10"/>
      <c r="BH2680" s="10"/>
      <c r="BI2680" s="10"/>
      <c r="BJ2680" s="10"/>
      <c r="BK2680" s="10"/>
      <c r="BM2680" s="10"/>
    </row>
    <row r="2681" spans="1:65" ht="12.75">
      <c r="A2681" s="9"/>
      <c r="B2681" s="10"/>
      <c r="C2681" s="11"/>
      <c r="D2681" s="12"/>
      <c r="E2681" s="10"/>
      <c r="F2681" s="10"/>
      <c r="G2681" s="10"/>
      <c r="H2681" s="14"/>
      <c r="I2681" s="14"/>
      <c r="J2681" s="14"/>
      <c r="K2681" s="14"/>
      <c r="L2681" s="14"/>
      <c r="M2681" s="15"/>
      <c r="N2681" s="10"/>
      <c r="O2681" s="14"/>
      <c r="P2681" s="14"/>
      <c r="Q2681" s="14"/>
      <c r="R2681" s="14"/>
      <c r="S2681" s="14"/>
      <c r="T2681" s="14"/>
      <c r="U2681" s="14"/>
      <c r="V2681" s="14"/>
      <c r="W2681" s="14"/>
      <c r="X2681" s="14"/>
      <c r="Y2681" s="14"/>
      <c r="Z2681" s="14"/>
      <c r="AA2681" s="16"/>
      <c r="AB2681" s="10"/>
      <c r="AC2681" s="10"/>
      <c r="AD2681" s="10"/>
      <c r="AE2681" s="10"/>
      <c r="AF2681" s="10"/>
      <c r="AG2681" s="10"/>
      <c r="AH2681" s="10"/>
      <c r="AI2681" s="10"/>
      <c r="AJ2681" s="10"/>
      <c r="AK2681" s="10"/>
      <c r="AL2681" s="10"/>
      <c r="AM2681" s="10"/>
      <c r="AN2681" s="10"/>
      <c r="AO2681" s="10"/>
      <c r="AP2681" s="10"/>
      <c r="AQ2681" s="10"/>
      <c r="AR2681" s="10"/>
      <c r="AS2681" s="10"/>
      <c r="AT2681" s="10"/>
      <c r="AU2681" s="10"/>
      <c r="AV2681" s="10"/>
      <c r="AW2681" s="10"/>
      <c r="AX2681" s="10"/>
      <c r="AY2681" s="10"/>
      <c r="AZ2681" s="10"/>
      <c r="BA2681" s="10"/>
      <c r="BB2681" s="10"/>
      <c r="BC2681" s="10"/>
      <c r="BD2681" s="10"/>
      <c r="BE2681" s="10"/>
      <c r="BF2681" s="10"/>
      <c r="BG2681" s="10"/>
      <c r="BH2681" s="10"/>
      <c r="BI2681" s="10"/>
      <c r="BJ2681" s="10"/>
      <c r="BK2681" s="10"/>
      <c r="BM2681" s="10"/>
    </row>
    <row r="2682" spans="1:65" ht="12.75">
      <c r="A2682" s="9"/>
      <c r="B2682" s="10"/>
      <c r="C2682" s="11"/>
      <c r="D2682" s="12"/>
      <c r="E2682" s="10"/>
      <c r="F2682" s="10"/>
      <c r="G2682" s="10"/>
      <c r="H2682" s="14"/>
      <c r="I2682" s="14"/>
      <c r="J2682" s="14"/>
      <c r="K2682" s="14"/>
      <c r="L2682" s="14"/>
      <c r="M2682" s="15"/>
      <c r="N2682" s="10"/>
      <c r="O2682" s="14"/>
      <c r="P2682" s="14"/>
      <c r="Q2682" s="14"/>
      <c r="R2682" s="14"/>
      <c r="S2682" s="14"/>
      <c r="T2682" s="14"/>
      <c r="U2682" s="14"/>
      <c r="V2682" s="14"/>
      <c r="W2682" s="14"/>
      <c r="X2682" s="14"/>
      <c r="Y2682" s="14"/>
      <c r="Z2682" s="14"/>
      <c r="AA2682" s="16"/>
      <c r="AB2682" s="10"/>
      <c r="AC2682" s="10"/>
      <c r="AD2682" s="10"/>
      <c r="AE2682" s="10"/>
      <c r="AF2682" s="10"/>
      <c r="AG2682" s="10"/>
      <c r="AH2682" s="10"/>
      <c r="AI2682" s="10"/>
      <c r="AJ2682" s="10"/>
      <c r="AK2682" s="10"/>
      <c r="AL2682" s="10"/>
      <c r="AM2682" s="10"/>
      <c r="AN2682" s="10"/>
      <c r="AO2682" s="10"/>
      <c r="AP2682" s="10"/>
      <c r="AQ2682" s="10"/>
      <c r="AR2682" s="10"/>
      <c r="AS2682" s="10"/>
      <c r="AT2682" s="10"/>
      <c r="AU2682" s="10"/>
      <c r="AV2682" s="10"/>
      <c r="AW2682" s="10"/>
      <c r="AX2682" s="10"/>
      <c r="AY2682" s="10"/>
      <c r="AZ2682" s="10"/>
      <c r="BA2682" s="10"/>
      <c r="BB2682" s="10"/>
      <c r="BC2682" s="10"/>
      <c r="BD2682" s="10"/>
      <c r="BE2682" s="10"/>
      <c r="BF2682" s="10"/>
      <c r="BG2682" s="10"/>
      <c r="BH2682" s="10"/>
      <c r="BI2682" s="10"/>
      <c r="BJ2682" s="10"/>
      <c r="BK2682" s="10"/>
      <c r="BM2682" s="10"/>
    </row>
    <row r="2683" spans="1:65" ht="12.75">
      <c r="A2683" s="9"/>
      <c r="B2683" s="10"/>
      <c r="C2683" s="11"/>
      <c r="D2683" s="12"/>
      <c r="E2683" s="10"/>
      <c r="F2683" s="10"/>
      <c r="G2683" s="10"/>
      <c r="H2683" s="14"/>
      <c r="I2683" s="14"/>
      <c r="J2683" s="14"/>
      <c r="K2683" s="14"/>
      <c r="L2683" s="14"/>
      <c r="M2683" s="15"/>
      <c r="N2683" s="10"/>
      <c r="O2683" s="14"/>
      <c r="P2683" s="14"/>
      <c r="Q2683" s="14"/>
      <c r="R2683" s="14"/>
      <c r="S2683" s="14"/>
      <c r="T2683" s="14"/>
      <c r="U2683" s="14"/>
      <c r="V2683" s="14"/>
      <c r="W2683" s="14"/>
      <c r="X2683" s="14"/>
      <c r="Y2683" s="14"/>
      <c r="Z2683" s="14"/>
      <c r="AA2683" s="16"/>
      <c r="AB2683" s="10"/>
      <c r="AC2683" s="10"/>
      <c r="AD2683" s="10"/>
      <c r="AE2683" s="10"/>
      <c r="AF2683" s="10"/>
      <c r="AG2683" s="10"/>
      <c r="AH2683" s="10"/>
      <c r="AI2683" s="10"/>
      <c r="AJ2683" s="10"/>
      <c r="AK2683" s="10"/>
      <c r="AL2683" s="10"/>
      <c r="AM2683" s="10"/>
      <c r="AN2683" s="10"/>
      <c r="AO2683" s="10"/>
      <c r="AP2683" s="10"/>
      <c r="AQ2683" s="10"/>
      <c r="AR2683" s="10"/>
      <c r="AS2683" s="10"/>
      <c r="AT2683" s="10"/>
      <c r="AU2683" s="10"/>
      <c r="AV2683" s="10"/>
      <c r="AW2683" s="10"/>
      <c r="AX2683" s="10"/>
      <c r="AY2683" s="10"/>
      <c r="AZ2683" s="10"/>
      <c r="BA2683" s="10"/>
      <c r="BB2683" s="10"/>
      <c r="BC2683" s="10"/>
      <c r="BD2683" s="10"/>
      <c r="BE2683" s="10"/>
      <c r="BF2683" s="10"/>
      <c r="BG2683" s="10"/>
      <c r="BH2683" s="10"/>
      <c r="BI2683" s="10"/>
      <c r="BJ2683" s="10"/>
      <c r="BK2683" s="10"/>
      <c r="BM2683" s="10"/>
    </row>
    <row r="2684" spans="1:65" ht="12.75">
      <c r="A2684" s="9"/>
      <c r="B2684" s="10"/>
      <c r="C2684" s="11"/>
      <c r="D2684" s="12"/>
      <c r="E2684" s="10"/>
      <c r="F2684" s="10"/>
      <c r="G2684" s="10"/>
      <c r="H2684" s="14"/>
      <c r="I2684" s="14"/>
      <c r="J2684" s="14"/>
      <c r="K2684" s="14"/>
      <c r="L2684" s="14"/>
      <c r="M2684" s="15"/>
      <c r="N2684" s="10"/>
      <c r="O2684" s="14"/>
      <c r="P2684" s="14"/>
      <c r="Q2684" s="14"/>
      <c r="R2684" s="14"/>
      <c r="S2684" s="14"/>
      <c r="T2684" s="14"/>
      <c r="U2684" s="14"/>
      <c r="V2684" s="14"/>
      <c r="W2684" s="14"/>
      <c r="X2684" s="14"/>
      <c r="Y2684" s="14"/>
      <c r="Z2684" s="14"/>
      <c r="AA2684" s="16"/>
      <c r="AB2684" s="10"/>
      <c r="AC2684" s="10"/>
      <c r="AD2684" s="10"/>
      <c r="AE2684" s="10"/>
      <c r="AF2684" s="10"/>
      <c r="AG2684" s="10"/>
      <c r="AH2684" s="10"/>
      <c r="AI2684" s="10"/>
      <c r="AJ2684" s="10"/>
      <c r="AK2684" s="10"/>
      <c r="AL2684" s="10"/>
      <c r="AM2684" s="10"/>
      <c r="AN2684" s="10"/>
      <c r="AO2684" s="10"/>
      <c r="AP2684" s="10"/>
      <c r="AQ2684" s="10"/>
      <c r="AR2684" s="10"/>
      <c r="AS2684" s="10"/>
      <c r="AT2684" s="10"/>
      <c r="AU2684" s="10"/>
      <c r="AV2684" s="10"/>
      <c r="AW2684" s="10"/>
      <c r="AX2684" s="10"/>
      <c r="AY2684" s="10"/>
      <c r="AZ2684" s="10"/>
      <c r="BA2684" s="10"/>
      <c r="BB2684" s="10"/>
      <c r="BC2684" s="10"/>
      <c r="BD2684" s="10"/>
      <c r="BE2684" s="10"/>
      <c r="BF2684" s="10"/>
      <c r="BG2684" s="10"/>
      <c r="BH2684" s="10"/>
      <c r="BI2684" s="10"/>
      <c r="BJ2684" s="10"/>
      <c r="BK2684" s="10"/>
      <c r="BM2684" s="10"/>
    </row>
    <row r="2685" spans="1:65" ht="12.75">
      <c r="A2685" s="9"/>
      <c r="B2685" s="10"/>
      <c r="C2685" s="11"/>
      <c r="D2685" s="12"/>
      <c r="E2685" s="10"/>
      <c r="F2685" s="10"/>
      <c r="G2685" s="10"/>
      <c r="H2685" s="14"/>
      <c r="I2685" s="14"/>
      <c r="J2685" s="14"/>
      <c r="K2685" s="14"/>
      <c r="L2685" s="14"/>
      <c r="M2685" s="15"/>
      <c r="N2685" s="10"/>
      <c r="O2685" s="14"/>
      <c r="P2685" s="14"/>
      <c r="Q2685" s="14"/>
      <c r="R2685" s="14"/>
      <c r="S2685" s="14"/>
      <c r="T2685" s="14"/>
      <c r="U2685" s="14"/>
      <c r="V2685" s="14"/>
      <c r="W2685" s="14"/>
      <c r="X2685" s="14"/>
      <c r="Y2685" s="14"/>
      <c r="Z2685" s="14"/>
      <c r="AA2685" s="16"/>
      <c r="AB2685" s="10"/>
      <c r="AC2685" s="10"/>
      <c r="AD2685" s="10"/>
      <c r="AE2685" s="10"/>
      <c r="AF2685" s="10"/>
      <c r="AG2685" s="10"/>
      <c r="AH2685" s="10"/>
      <c r="AI2685" s="10"/>
      <c r="AJ2685" s="10"/>
      <c r="AK2685" s="10"/>
      <c r="AL2685" s="10"/>
      <c r="AM2685" s="10"/>
      <c r="AN2685" s="10"/>
      <c r="AO2685" s="10"/>
      <c r="AP2685" s="10"/>
      <c r="AQ2685" s="10"/>
      <c r="AR2685" s="10"/>
      <c r="AS2685" s="10"/>
      <c r="AT2685" s="10"/>
      <c r="AU2685" s="10"/>
      <c r="AV2685" s="10"/>
      <c r="AW2685" s="10"/>
      <c r="AX2685" s="10"/>
      <c r="AY2685" s="10"/>
      <c r="AZ2685" s="10"/>
      <c r="BA2685" s="10"/>
      <c r="BB2685" s="10"/>
      <c r="BC2685" s="10"/>
      <c r="BD2685" s="10"/>
      <c r="BE2685" s="10"/>
      <c r="BF2685" s="10"/>
      <c r="BG2685" s="10"/>
      <c r="BH2685" s="10"/>
      <c r="BI2685" s="10"/>
      <c r="BJ2685" s="10"/>
      <c r="BK2685" s="10"/>
      <c r="BM2685" s="10"/>
    </row>
    <row r="2686" spans="1:65" ht="12.75">
      <c r="A2686" s="9"/>
      <c r="B2686" s="10"/>
      <c r="C2686" s="11"/>
      <c r="D2686" s="12"/>
      <c r="E2686" s="10"/>
      <c r="F2686" s="10"/>
      <c r="G2686" s="10"/>
      <c r="H2686" s="14"/>
      <c r="I2686" s="14"/>
      <c r="J2686" s="14"/>
      <c r="K2686" s="14"/>
      <c r="L2686" s="14"/>
      <c r="M2686" s="15"/>
      <c r="N2686" s="10"/>
      <c r="O2686" s="14"/>
      <c r="P2686" s="14"/>
      <c r="Q2686" s="14"/>
      <c r="R2686" s="14"/>
      <c r="S2686" s="14"/>
      <c r="T2686" s="14"/>
      <c r="U2686" s="14"/>
      <c r="V2686" s="14"/>
      <c r="W2686" s="14"/>
      <c r="X2686" s="14"/>
      <c r="Y2686" s="14"/>
      <c r="Z2686" s="14"/>
      <c r="AA2686" s="16"/>
      <c r="AB2686" s="10"/>
      <c r="AC2686" s="10"/>
      <c r="AD2686" s="10"/>
      <c r="AE2686" s="10"/>
      <c r="AF2686" s="10"/>
      <c r="AG2686" s="10"/>
      <c r="AH2686" s="10"/>
      <c r="AI2686" s="10"/>
      <c r="AJ2686" s="10"/>
      <c r="AK2686" s="10"/>
      <c r="AL2686" s="10"/>
      <c r="AM2686" s="10"/>
      <c r="AN2686" s="10"/>
      <c r="AO2686" s="10"/>
      <c r="AP2686" s="10"/>
      <c r="AQ2686" s="10"/>
      <c r="AR2686" s="10"/>
      <c r="AS2686" s="10"/>
      <c r="AT2686" s="10"/>
      <c r="AU2686" s="10"/>
      <c r="AV2686" s="10"/>
      <c r="AW2686" s="10"/>
      <c r="AX2686" s="10"/>
      <c r="AY2686" s="10"/>
      <c r="AZ2686" s="10"/>
      <c r="BA2686" s="10"/>
      <c r="BB2686" s="10"/>
      <c r="BC2686" s="10"/>
      <c r="BD2686" s="10"/>
      <c r="BE2686" s="10"/>
      <c r="BF2686" s="10"/>
      <c r="BG2686" s="10"/>
      <c r="BH2686" s="10"/>
      <c r="BI2686" s="10"/>
      <c r="BJ2686" s="10"/>
      <c r="BK2686" s="10"/>
      <c r="BM2686" s="10"/>
    </row>
    <row r="2687" spans="1:65" ht="12.75">
      <c r="A2687" s="9"/>
      <c r="B2687" s="10"/>
      <c r="C2687" s="11"/>
      <c r="D2687" s="12"/>
      <c r="E2687" s="10"/>
      <c r="F2687" s="10"/>
      <c r="G2687" s="10"/>
      <c r="H2687" s="14"/>
      <c r="I2687" s="14"/>
      <c r="J2687" s="14"/>
      <c r="K2687" s="14"/>
      <c r="L2687" s="14"/>
      <c r="M2687" s="15"/>
      <c r="N2687" s="10"/>
      <c r="O2687" s="14"/>
      <c r="P2687" s="14"/>
      <c r="Q2687" s="14"/>
      <c r="R2687" s="14"/>
      <c r="S2687" s="14"/>
      <c r="T2687" s="14"/>
      <c r="U2687" s="14"/>
      <c r="V2687" s="14"/>
      <c r="W2687" s="14"/>
      <c r="X2687" s="14"/>
      <c r="Y2687" s="14"/>
      <c r="Z2687" s="14"/>
      <c r="AA2687" s="16"/>
      <c r="AB2687" s="10"/>
      <c r="AC2687" s="10"/>
      <c r="AD2687" s="10"/>
      <c r="AE2687" s="10"/>
      <c r="AF2687" s="10"/>
      <c r="AG2687" s="10"/>
      <c r="AH2687" s="10"/>
      <c r="AI2687" s="10"/>
      <c r="AJ2687" s="10"/>
      <c r="AK2687" s="10"/>
      <c r="AL2687" s="10"/>
      <c r="AM2687" s="10"/>
      <c r="AN2687" s="10"/>
      <c r="AO2687" s="10"/>
      <c r="AP2687" s="10"/>
      <c r="AQ2687" s="10"/>
      <c r="AR2687" s="10"/>
      <c r="AS2687" s="10"/>
      <c r="AT2687" s="10"/>
      <c r="AU2687" s="10"/>
      <c r="AV2687" s="10"/>
      <c r="AW2687" s="10"/>
      <c r="AX2687" s="10"/>
      <c r="AY2687" s="10"/>
      <c r="AZ2687" s="10"/>
      <c r="BA2687" s="10"/>
      <c r="BB2687" s="10"/>
      <c r="BC2687" s="10"/>
      <c r="BD2687" s="10"/>
      <c r="BE2687" s="10"/>
      <c r="BF2687" s="10"/>
      <c r="BG2687" s="10"/>
      <c r="BH2687" s="10"/>
      <c r="BI2687" s="10"/>
      <c r="BJ2687" s="10"/>
      <c r="BK2687" s="10"/>
      <c r="BM2687" s="10"/>
    </row>
    <row r="2688" spans="1:65" ht="12.75">
      <c r="A2688" s="9"/>
      <c r="B2688" s="10"/>
      <c r="C2688" s="11"/>
      <c r="D2688" s="12"/>
      <c r="E2688" s="10"/>
      <c r="F2688" s="10"/>
      <c r="G2688" s="10"/>
      <c r="H2688" s="14"/>
      <c r="I2688" s="14"/>
      <c r="J2688" s="14"/>
      <c r="K2688" s="14"/>
      <c r="L2688" s="14"/>
      <c r="M2688" s="15"/>
      <c r="N2688" s="10"/>
      <c r="O2688" s="14"/>
      <c r="P2688" s="14"/>
      <c r="Q2688" s="14"/>
      <c r="R2688" s="14"/>
      <c r="S2688" s="14"/>
      <c r="T2688" s="14"/>
      <c r="U2688" s="14"/>
      <c r="V2688" s="14"/>
      <c r="W2688" s="14"/>
      <c r="X2688" s="14"/>
      <c r="Y2688" s="14"/>
      <c r="Z2688" s="14"/>
      <c r="AA2688" s="16"/>
      <c r="AB2688" s="10"/>
      <c r="AC2688" s="10"/>
      <c r="AD2688" s="10"/>
      <c r="AE2688" s="10"/>
      <c r="AF2688" s="10"/>
      <c r="AG2688" s="10"/>
      <c r="AH2688" s="10"/>
      <c r="AI2688" s="10"/>
      <c r="AJ2688" s="10"/>
      <c r="AK2688" s="10"/>
      <c r="AL2688" s="10"/>
      <c r="AM2688" s="10"/>
      <c r="AN2688" s="10"/>
      <c r="AO2688" s="10"/>
      <c r="AP2688" s="10"/>
      <c r="AQ2688" s="10"/>
      <c r="AR2688" s="10"/>
      <c r="AS2688" s="10"/>
      <c r="AT2688" s="10"/>
      <c r="AU2688" s="10"/>
      <c r="AV2688" s="10"/>
      <c r="AW2688" s="10"/>
      <c r="AX2688" s="10"/>
      <c r="AY2688" s="10"/>
      <c r="AZ2688" s="10"/>
      <c r="BA2688" s="10"/>
      <c r="BB2688" s="10"/>
      <c r="BC2688" s="10"/>
      <c r="BD2688" s="10"/>
      <c r="BE2688" s="10"/>
      <c r="BF2688" s="10"/>
      <c r="BG2688" s="10"/>
      <c r="BH2688" s="10"/>
      <c r="BI2688" s="10"/>
      <c r="BJ2688" s="10"/>
      <c r="BK2688" s="10"/>
      <c r="BM2688" s="10"/>
    </row>
    <row r="2689" spans="1:65" ht="12.75">
      <c r="A2689" s="9"/>
      <c r="B2689" s="10"/>
      <c r="C2689" s="11"/>
      <c r="D2689" s="12"/>
      <c r="E2689" s="10"/>
      <c r="F2689" s="10"/>
      <c r="G2689" s="10"/>
      <c r="H2689" s="14"/>
      <c r="I2689" s="14"/>
      <c r="J2689" s="14"/>
      <c r="K2689" s="14"/>
      <c r="L2689" s="14"/>
      <c r="M2689" s="15"/>
      <c r="N2689" s="10"/>
      <c r="O2689" s="14"/>
      <c r="P2689" s="14"/>
      <c r="Q2689" s="14"/>
      <c r="R2689" s="14"/>
      <c r="S2689" s="14"/>
      <c r="T2689" s="14"/>
      <c r="U2689" s="14"/>
      <c r="V2689" s="14"/>
      <c r="W2689" s="14"/>
      <c r="X2689" s="14"/>
      <c r="Y2689" s="14"/>
      <c r="Z2689" s="14"/>
      <c r="AA2689" s="16"/>
      <c r="AB2689" s="10"/>
      <c r="AC2689" s="10"/>
      <c r="AD2689" s="10"/>
      <c r="AE2689" s="10"/>
      <c r="AF2689" s="10"/>
      <c r="AG2689" s="10"/>
      <c r="AH2689" s="10"/>
      <c r="AI2689" s="10"/>
      <c r="AJ2689" s="10"/>
      <c r="AK2689" s="10"/>
      <c r="AL2689" s="10"/>
      <c r="AM2689" s="10"/>
      <c r="AN2689" s="10"/>
      <c r="AO2689" s="10"/>
      <c r="AP2689" s="10"/>
      <c r="AQ2689" s="10"/>
      <c r="AR2689" s="10"/>
      <c r="AS2689" s="10"/>
      <c r="AT2689" s="10"/>
      <c r="AU2689" s="10"/>
      <c r="AV2689" s="10"/>
      <c r="AW2689" s="10"/>
      <c r="AX2689" s="10"/>
      <c r="AY2689" s="10"/>
      <c r="AZ2689" s="10"/>
      <c r="BA2689" s="10"/>
      <c r="BB2689" s="10"/>
      <c r="BC2689" s="10"/>
      <c r="BD2689" s="10"/>
      <c r="BE2689" s="10"/>
      <c r="BF2689" s="10"/>
      <c r="BG2689" s="10"/>
      <c r="BH2689" s="10"/>
      <c r="BI2689" s="10"/>
      <c r="BJ2689" s="10"/>
      <c r="BK2689" s="10"/>
      <c r="BM2689" s="10"/>
    </row>
    <row r="2690" spans="1:65" ht="12.75">
      <c r="A2690" s="9"/>
      <c r="B2690" s="10"/>
      <c r="C2690" s="11"/>
      <c r="D2690" s="12"/>
      <c r="E2690" s="10"/>
      <c r="F2690" s="10"/>
      <c r="G2690" s="10"/>
      <c r="H2690" s="14"/>
      <c r="I2690" s="14"/>
      <c r="J2690" s="14"/>
      <c r="K2690" s="14"/>
      <c r="L2690" s="14"/>
      <c r="M2690" s="15"/>
      <c r="N2690" s="10"/>
      <c r="O2690" s="14"/>
      <c r="P2690" s="14"/>
      <c r="Q2690" s="14"/>
      <c r="R2690" s="14"/>
      <c r="S2690" s="14"/>
      <c r="T2690" s="14"/>
      <c r="U2690" s="14"/>
      <c r="V2690" s="14"/>
      <c r="W2690" s="14"/>
      <c r="X2690" s="14"/>
      <c r="Y2690" s="14"/>
      <c r="Z2690" s="14"/>
      <c r="AA2690" s="16"/>
      <c r="AB2690" s="10"/>
      <c r="AC2690" s="10"/>
      <c r="AD2690" s="10"/>
      <c r="AE2690" s="10"/>
      <c r="AF2690" s="10"/>
      <c r="AG2690" s="10"/>
      <c r="AH2690" s="10"/>
      <c r="AI2690" s="10"/>
      <c r="AJ2690" s="10"/>
      <c r="AK2690" s="10"/>
      <c r="AL2690" s="10"/>
      <c r="AM2690" s="10"/>
      <c r="AN2690" s="10"/>
      <c r="AO2690" s="10"/>
      <c r="AP2690" s="10"/>
      <c r="AQ2690" s="10"/>
      <c r="AR2690" s="10"/>
      <c r="AS2690" s="10"/>
      <c r="AT2690" s="10"/>
      <c r="AU2690" s="10"/>
      <c r="AV2690" s="10"/>
      <c r="AW2690" s="10"/>
      <c r="AX2690" s="10"/>
      <c r="AY2690" s="10"/>
      <c r="AZ2690" s="10"/>
      <c r="BA2690" s="10"/>
      <c r="BB2690" s="10"/>
      <c r="BC2690" s="10"/>
      <c r="BD2690" s="10"/>
      <c r="BE2690" s="10"/>
      <c r="BF2690" s="10"/>
      <c r="BG2690" s="10"/>
      <c r="BH2690" s="10"/>
      <c r="BI2690" s="10"/>
      <c r="BJ2690" s="10"/>
      <c r="BK2690" s="10"/>
      <c r="BM2690" s="10"/>
    </row>
    <row r="2691" spans="1:65" ht="12.75">
      <c r="A2691" s="9"/>
      <c r="B2691" s="10"/>
      <c r="C2691" s="11"/>
      <c r="D2691" s="12"/>
      <c r="E2691" s="10"/>
      <c r="F2691" s="10"/>
      <c r="G2691" s="10"/>
      <c r="H2691" s="14"/>
      <c r="I2691" s="14"/>
      <c r="J2691" s="14"/>
      <c r="K2691" s="14"/>
      <c r="L2691" s="14"/>
      <c r="M2691" s="15"/>
      <c r="N2691" s="10"/>
      <c r="O2691" s="14"/>
      <c r="P2691" s="14"/>
      <c r="Q2691" s="14"/>
      <c r="R2691" s="14"/>
      <c r="S2691" s="14"/>
      <c r="T2691" s="14"/>
      <c r="U2691" s="14"/>
      <c r="V2691" s="14"/>
      <c r="W2691" s="14"/>
      <c r="X2691" s="14"/>
      <c r="Y2691" s="14"/>
      <c r="Z2691" s="14"/>
      <c r="AA2691" s="16"/>
      <c r="AB2691" s="10"/>
      <c r="AC2691" s="10"/>
      <c r="AD2691" s="10"/>
      <c r="AE2691" s="10"/>
      <c r="AF2691" s="10"/>
      <c r="AG2691" s="10"/>
      <c r="AH2691" s="10"/>
      <c r="AI2691" s="10"/>
      <c r="AJ2691" s="10"/>
      <c r="AK2691" s="10"/>
      <c r="AL2691" s="10"/>
      <c r="AM2691" s="10"/>
      <c r="AN2691" s="10"/>
      <c r="AO2691" s="10"/>
      <c r="AP2691" s="10"/>
      <c r="AQ2691" s="10"/>
      <c r="AR2691" s="10"/>
      <c r="AS2691" s="10"/>
      <c r="AT2691" s="10"/>
      <c r="AU2691" s="10"/>
      <c r="AV2691" s="10"/>
      <c r="AW2691" s="10"/>
      <c r="AX2691" s="10"/>
      <c r="AY2691" s="10"/>
      <c r="AZ2691" s="10"/>
      <c r="BA2691" s="10"/>
      <c r="BB2691" s="10"/>
      <c r="BC2691" s="10"/>
      <c r="BD2691" s="10"/>
      <c r="BE2691" s="10"/>
      <c r="BF2691" s="10"/>
      <c r="BG2691" s="10"/>
      <c r="BH2691" s="10"/>
      <c r="BI2691" s="10"/>
      <c r="BJ2691" s="10"/>
      <c r="BK2691" s="10"/>
      <c r="BM2691" s="10"/>
    </row>
    <row r="2692" spans="1:65" ht="12.75">
      <c r="A2692" s="9"/>
      <c r="B2692" s="10"/>
      <c r="C2692" s="11"/>
      <c r="D2692" s="12"/>
      <c r="E2692" s="10"/>
      <c r="F2692" s="10"/>
      <c r="G2692" s="10"/>
      <c r="H2692" s="14"/>
      <c r="I2692" s="14"/>
      <c r="J2692" s="14"/>
      <c r="K2692" s="14"/>
      <c r="L2692" s="14"/>
      <c r="M2692" s="15"/>
      <c r="N2692" s="10"/>
      <c r="O2692" s="14"/>
      <c r="P2692" s="14"/>
      <c r="Q2692" s="14"/>
      <c r="R2692" s="14"/>
      <c r="S2692" s="14"/>
      <c r="T2692" s="14"/>
      <c r="U2692" s="14"/>
      <c r="V2692" s="14"/>
      <c r="W2692" s="14"/>
      <c r="X2692" s="14"/>
      <c r="Y2692" s="14"/>
      <c r="Z2692" s="14"/>
      <c r="AA2692" s="16"/>
      <c r="AB2692" s="10"/>
      <c r="AC2692" s="10"/>
      <c r="AD2692" s="10"/>
      <c r="AE2692" s="10"/>
      <c r="AF2692" s="10"/>
      <c r="AG2692" s="10"/>
      <c r="AH2692" s="10"/>
      <c r="AI2692" s="10"/>
      <c r="AJ2692" s="10"/>
      <c r="AK2692" s="10"/>
      <c r="AL2692" s="10"/>
      <c r="AM2692" s="10"/>
      <c r="AN2692" s="10"/>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10"/>
      <c r="BJ2692" s="10"/>
      <c r="BK2692" s="10"/>
      <c r="BM2692" s="10"/>
    </row>
    <row r="2693" spans="1:65" ht="12.75">
      <c r="A2693" s="9"/>
      <c r="B2693" s="10"/>
      <c r="C2693" s="11"/>
      <c r="D2693" s="12"/>
      <c r="E2693" s="10"/>
      <c r="F2693" s="10"/>
      <c r="G2693" s="10"/>
      <c r="H2693" s="14"/>
      <c r="I2693" s="14"/>
      <c r="J2693" s="14"/>
      <c r="K2693" s="14"/>
      <c r="L2693" s="14"/>
      <c r="M2693" s="15"/>
      <c r="N2693" s="10"/>
      <c r="O2693" s="14"/>
      <c r="P2693" s="14"/>
      <c r="Q2693" s="14"/>
      <c r="R2693" s="14"/>
      <c r="S2693" s="14"/>
      <c r="T2693" s="14"/>
      <c r="U2693" s="14"/>
      <c r="V2693" s="14"/>
      <c r="W2693" s="14"/>
      <c r="X2693" s="14"/>
      <c r="Y2693" s="14"/>
      <c r="Z2693" s="14"/>
      <c r="AA2693" s="16"/>
      <c r="AB2693" s="10"/>
      <c r="AC2693" s="10"/>
      <c r="AD2693" s="10"/>
      <c r="AE2693" s="10"/>
      <c r="AF2693" s="10"/>
      <c r="AG2693" s="10"/>
      <c r="AH2693" s="10"/>
      <c r="AI2693" s="10"/>
      <c r="AJ2693" s="10"/>
      <c r="AK2693" s="10"/>
      <c r="AL2693" s="1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10"/>
      <c r="BJ2693" s="10"/>
      <c r="BK2693" s="10"/>
      <c r="BM2693" s="10"/>
    </row>
    <row r="2694" spans="1:65" ht="12.75">
      <c r="A2694" s="9"/>
      <c r="B2694" s="10"/>
      <c r="C2694" s="11"/>
      <c r="D2694" s="12"/>
      <c r="E2694" s="10"/>
      <c r="F2694" s="10"/>
      <c r="G2694" s="10"/>
      <c r="H2694" s="14"/>
      <c r="I2694" s="14"/>
      <c r="J2694" s="14"/>
      <c r="K2694" s="14"/>
      <c r="L2694" s="14"/>
      <c r="M2694" s="15"/>
      <c r="N2694" s="10"/>
      <c r="O2694" s="14"/>
      <c r="P2694" s="14"/>
      <c r="Q2694" s="14"/>
      <c r="R2694" s="14"/>
      <c r="S2694" s="14"/>
      <c r="T2694" s="14"/>
      <c r="U2694" s="14"/>
      <c r="V2694" s="14"/>
      <c r="W2694" s="14"/>
      <c r="X2694" s="14"/>
      <c r="Y2694" s="14"/>
      <c r="Z2694" s="14"/>
      <c r="AA2694" s="16"/>
      <c r="AB2694" s="10"/>
      <c r="AC2694" s="10"/>
      <c r="AD2694" s="10"/>
      <c r="AE2694" s="10"/>
      <c r="AF2694" s="10"/>
      <c r="AG2694" s="10"/>
      <c r="AH2694" s="10"/>
      <c r="AI2694" s="10"/>
      <c r="AJ2694" s="10"/>
      <c r="AK2694" s="10"/>
      <c r="AL2694" s="1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10"/>
      <c r="BJ2694" s="10"/>
      <c r="BK2694" s="10"/>
      <c r="BM2694" s="10"/>
    </row>
    <row r="2695" spans="1:65" ht="12.75">
      <c r="A2695" s="9"/>
      <c r="B2695" s="10"/>
      <c r="C2695" s="11"/>
      <c r="D2695" s="12"/>
      <c r="E2695" s="10"/>
      <c r="F2695" s="10"/>
      <c r="G2695" s="10"/>
      <c r="H2695" s="14"/>
      <c r="I2695" s="14"/>
      <c r="J2695" s="14"/>
      <c r="K2695" s="14"/>
      <c r="L2695" s="14"/>
      <c r="M2695" s="15"/>
      <c r="N2695" s="10"/>
      <c r="O2695" s="14"/>
      <c r="P2695" s="14"/>
      <c r="Q2695" s="14"/>
      <c r="R2695" s="14"/>
      <c r="S2695" s="14"/>
      <c r="T2695" s="14"/>
      <c r="U2695" s="14"/>
      <c r="V2695" s="14"/>
      <c r="W2695" s="14"/>
      <c r="X2695" s="14"/>
      <c r="Y2695" s="14"/>
      <c r="Z2695" s="14"/>
      <c r="AA2695" s="16"/>
      <c r="AB2695" s="10"/>
      <c r="AC2695" s="10"/>
      <c r="AD2695" s="10"/>
      <c r="AE2695" s="10"/>
      <c r="AF2695" s="10"/>
      <c r="AG2695" s="10"/>
      <c r="AH2695" s="10"/>
      <c r="AI2695" s="10"/>
      <c r="AJ2695" s="10"/>
      <c r="AK2695" s="10"/>
      <c r="AL2695" s="10"/>
      <c r="AM2695" s="10"/>
      <c r="AN2695" s="10"/>
      <c r="AO2695" s="10"/>
      <c r="AP2695" s="10"/>
      <c r="AQ2695" s="10"/>
      <c r="AR2695" s="10"/>
      <c r="AS2695" s="10"/>
      <c r="AT2695" s="10"/>
      <c r="AU2695" s="10"/>
      <c r="AV2695" s="10"/>
      <c r="AW2695" s="10"/>
      <c r="AX2695" s="10"/>
      <c r="AY2695" s="10"/>
      <c r="AZ2695" s="10"/>
      <c r="BA2695" s="10"/>
      <c r="BB2695" s="10"/>
      <c r="BC2695" s="10"/>
      <c r="BD2695" s="10"/>
      <c r="BE2695" s="10"/>
      <c r="BF2695" s="10"/>
      <c r="BG2695" s="10"/>
      <c r="BH2695" s="10"/>
      <c r="BI2695" s="10"/>
      <c r="BJ2695" s="10"/>
      <c r="BK2695" s="10"/>
      <c r="BM2695" s="10"/>
    </row>
    <row r="2696" spans="1:65" ht="12.75">
      <c r="A2696" s="9"/>
      <c r="B2696" s="10"/>
      <c r="C2696" s="11"/>
      <c r="D2696" s="12"/>
      <c r="E2696" s="10"/>
      <c r="F2696" s="10"/>
      <c r="G2696" s="10"/>
      <c r="H2696" s="14"/>
      <c r="I2696" s="14"/>
      <c r="J2696" s="14"/>
      <c r="K2696" s="14"/>
      <c r="L2696" s="14"/>
      <c r="M2696" s="15"/>
      <c r="N2696" s="10"/>
      <c r="O2696" s="14"/>
      <c r="P2696" s="14"/>
      <c r="Q2696" s="14"/>
      <c r="R2696" s="14"/>
      <c r="S2696" s="14"/>
      <c r="T2696" s="14"/>
      <c r="U2696" s="14"/>
      <c r="V2696" s="14"/>
      <c r="W2696" s="14"/>
      <c r="X2696" s="14"/>
      <c r="Y2696" s="14"/>
      <c r="Z2696" s="14"/>
      <c r="AA2696" s="16"/>
      <c r="AB2696" s="10"/>
      <c r="AC2696" s="10"/>
      <c r="AD2696" s="10"/>
      <c r="AE2696" s="10"/>
      <c r="AF2696" s="10"/>
      <c r="AG2696" s="10"/>
      <c r="AH2696" s="10"/>
      <c r="AI2696" s="10"/>
      <c r="AJ2696" s="10"/>
      <c r="AK2696" s="10"/>
      <c r="AL2696" s="10"/>
      <c r="AM2696" s="10"/>
      <c r="AN2696" s="10"/>
      <c r="AO2696" s="10"/>
      <c r="AP2696" s="10"/>
      <c r="AQ2696" s="10"/>
      <c r="AR2696" s="10"/>
      <c r="AS2696" s="10"/>
      <c r="AT2696" s="10"/>
      <c r="AU2696" s="10"/>
      <c r="AV2696" s="10"/>
      <c r="AW2696" s="10"/>
      <c r="AX2696" s="10"/>
      <c r="AY2696" s="10"/>
      <c r="AZ2696" s="10"/>
      <c r="BA2696" s="10"/>
      <c r="BB2696" s="10"/>
      <c r="BC2696" s="10"/>
      <c r="BD2696" s="10"/>
      <c r="BE2696" s="10"/>
      <c r="BF2696" s="10"/>
      <c r="BG2696" s="10"/>
      <c r="BH2696" s="10"/>
      <c r="BI2696" s="10"/>
      <c r="BJ2696" s="10"/>
      <c r="BK2696" s="10"/>
      <c r="BM2696" s="10"/>
    </row>
    <row r="2697" spans="1:65" ht="12.75">
      <c r="A2697" s="9"/>
      <c r="B2697" s="10"/>
      <c r="C2697" s="11"/>
      <c r="D2697" s="12"/>
      <c r="E2697" s="10"/>
      <c r="F2697" s="10"/>
      <c r="G2697" s="10"/>
      <c r="H2697" s="14"/>
      <c r="I2697" s="14"/>
      <c r="J2697" s="14"/>
      <c r="K2697" s="14"/>
      <c r="L2697" s="14"/>
      <c r="M2697" s="15"/>
      <c r="N2697" s="10"/>
      <c r="O2697" s="14"/>
      <c r="P2697" s="14"/>
      <c r="Q2697" s="14"/>
      <c r="R2697" s="14"/>
      <c r="S2697" s="14"/>
      <c r="T2697" s="14"/>
      <c r="U2697" s="14"/>
      <c r="V2697" s="14"/>
      <c r="W2697" s="14"/>
      <c r="X2697" s="14"/>
      <c r="Y2697" s="14"/>
      <c r="Z2697" s="14"/>
      <c r="AA2697" s="16"/>
      <c r="AB2697" s="10"/>
      <c r="AC2697" s="10"/>
      <c r="AD2697" s="10"/>
      <c r="AE2697" s="10"/>
      <c r="AF2697" s="10"/>
      <c r="AG2697" s="10"/>
      <c r="AH2697" s="10"/>
      <c r="AI2697" s="10"/>
      <c r="AJ2697" s="10"/>
      <c r="AK2697" s="10"/>
      <c r="AL2697" s="10"/>
      <c r="AM2697" s="10"/>
      <c r="AN2697" s="10"/>
      <c r="AO2697" s="10"/>
      <c r="AP2697" s="10"/>
      <c r="AQ2697" s="10"/>
      <c r="AR2697" s="10"/>
      <c r="AS2697" s="10"/>
      <c r="AT2697" s="10"/>
      <c r="AU2697" s="10"/>
      <c r="AV2697" s="10"/>
      <c r="AW2697" s="10"/>
      <c r="AX2697" s="10"/>
      <c r="AY2697" s="10"/>
      <c r="AZ2697" s="10"/>
      <c r="BA2697" s="10"/>
      <c r="BB2697" s="10"/>
      <c r="BC2697" s="10"/>
      <c r="BD2697" s="10"/>
      <c r="BE2697" s="10"/>
      <c r="BF2697" s="10"/>
      <c r="BG2697" s="10"/>
      <c r="BH2697" s="10"/>
      <c r="BI2697" s="10"/>
      <c r="BJ2697" s="10"/>
      <c r="BK2697" s="10"/>
      <c r="BM2697" s="10"/>
    </row>
    <row r="2698" spans="1:65" ht="12.75">
      <c r="A2698" s="9"/>
      <c r="B2698" s="10"/>
      <c r="C2698" s="11"/>
      <c r="D2698" s="12"/>
      <c r="E2698" s="10"/>
      <c r="F2698" s="10"/>
      <c r="G2698" s="10"/>
      <c r="H2698" s="14"/>
      <c r="I2698" s="14"/>
      <c r="J2698" s="14"/>
      <c r="K2698" s="14"/>
      <c r="L2698" s="14"/>
      <c r="M2698" s="15"/>
      <c r="N2698" s="10"/>
      <c r="O2698" s="14"/>
      <c r="P2698" s="14"/>
      <c r="Q2698" s="14"/>
      <c r="R2698" s="14"/>
      <c r="S2698" s="14"/>
      <c r="T2698" s="14"/>
      <c r="U2698" s="14"/>
      <c r="V2698" s="14"/>
      <c r="W2698" s="14"/>
      <c r="X2698" s="14"/>
      <c r="Y2698" s="14"/>
      <c r="Z2698" s="14"/>
      <c r="AA2698" s="16"/>
      <c r="AB2698" s="10"/>
      <c r="AC2698" s="10"/>
      <c r="AD2698" s="10"/>
      <c r="AE2698" s="10"/>
      <c r="AF2698" s="10"/>
      <c r="AG2698" s="10"/>
      <c r="AH2698" s="10"/>
      <c r="AI2698" s="10"/>
      <c r="AJ2698" s="10"/>
      <c r="AK2698" s="10"/>
      <c r="AL2698" s="10"/>
      <c r="AM2698" s="10"/>
      <c r="AN2698" s="10"/>
      <c r="AO2698" s="10"/>
      <c r="AP2698" s="10"/>
      <c r="AQ2698" s="10"/>
      <c r="AR2698" s="10"/>
      <c r="AS2698" s="10"/>
      <c r="AT2698" s="10"/>
      <c r="AU2698" s="10"/>
      <c r="AV2698" s="10"/>
      <c r="AW2698" s="10"/>
      <c r="AX2698" s="10"/>
      <c r="AY2698" s="10"/>
      <c r="AZ2698" s="10"/>
      <c r="BA2698" s="10"/>
      <c r="BB2698" s="10"/>
      <c r="BC2698" s="10"/>
      <c r="BD2698" s="10"/>
      <c r="BE2698" s="10"/>
      <c r="BF2698" s="10"/>
      <c r="BG2698" s="10"/>
      <c r="BH2698" s="10"/>
      <c r="BI2698" s="10"/>
      <c r="BJ2698" s="10"/>
      <c r="BK2698" s="10"/>
      <c r="BM2698" s="10"/>
    </row>
    <row r="2699" spans="1:65" ht="12.75">
      <c r="A2699" s="9"/>
      <c r="B2699" s="10"/>
      <c r="C2699" s="11"/>
      <c r="D2699" s="12"/>
      <c r="E2699" s="10"/>
      <c r="F2699" s="10"/>
      <c r="G2699" s="10"/>
      <c r="H2699" s="14"/>
      <c r="I2699" s="14"/>
      <c r="J2699" s="14"/>
      <c r="K2699" s="14"/>
      <c r="L2699" s="14"/>
      <c r="M2699" s="15"/>
      <c r="N2699" s="10"/>
      <c r="O2699" s="14"/>
      <c r="P2699" s="14"/>
      <c r="Q2699" s="14"/>
      <c r="R2699" s="14"/>
      <c r="S2699" s="14"/>
      <c r="T2699" s="14"/>
      <c r="U2699" s="14"/>
      <c r="V2699" s="14"/>
      <c r="W2699" s="14"/>
      <c r="X2699" s="14"/>
      <c r="Y2699" s="14"/>
      <c r="Z2699" s="14"/>
      <c r="AA2699" s="16"/>
      <c r="AB2699" s="10"/>
      <c r="AC2699" s="10"/>
      <c r="AD2699" s="10"/>
      <c r="AE2699" s="10"/>
      <c r="AF2699" s="10"/>
      <c r="AG2699" s="10"/>
      <c r="AH2699" s="10"/>
      <c r="AI2699" s="10"/>
      <c r="AJ2699" s="10"/>
      <c r="AK2699" s="10"/>
      <c r="AL2699" s="1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M2699" s="10"/>
    </row>
    <row r="2700" spans="1:65" ht="12.75">
      <c r="A2700" s="9"/>
      <c r="B2700" s="10"/>
      <c r="C2700" s="11"/>
      <c r="D2700" s="12"/>
      <c r="E2700" s="10"/>
      <c r="F2700" s="10"/>
      <c r="G2700" s="10"/>
      <c r="H2700" s="14"/>
      <c r="I2700" s="14"/>
      <c r="J2700" s="14"/>
      <c r="K2700" s="14"/>
      <c r="L2700" s="14"/>
      <c r="M2700" s="15"/>
      <c r="N2700" s="10"/>
      <c r="O2700" s="14"/>
      <c r="P2700" s="14"/>
      <c r="Q2700" s="14"/>
      <c r="R2700" s="14"/>
      <c r="S2700" s="14"/>
      <c r="T2700" s="14"/>
      <c r="U2700" s="14"/>
      <c r="V2700" s="14"/>
      <c r="W2700" s="14"/>
      <c r="X2700" s="14"/>
      <c r="Y2700" s="14"/>
      <c r="Z2700" s="14"/>
      <c r="AA2700" s="16"/>
      <c r="AB2700" s="10"/>
      <c r="AC2700" s="10"/>
      <c r="AD2700" s="10"/>
      <c r="AE2700" s="10"/>
      <c r="AF2700" s="10"/>
      <c r="AG2700" s="10"/>
      <c r="AH2700" s="10"/>
      <c r="AI2700" s="10"/>
      <c r="AJ2700" s="10"/>
      <c r="AK2700" s="10"/>
      <c r="AL2700" s="1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10"/>
      <c r="BJ2700" s="10"/>
      <c r="BK2700" s="10"/>
      <c r="BM2700" s="10"/>
    </row>
    <row r="2701" spans="1:65" ht="12.75">
      <c r="A2701" s="9"/>
      <c r="B2701" s="10"/>
      <c r="C2701" s="11"/>
      <c r="D2701" s="12"/>
      <c r="E2701" s="10"/>
      <c r="F2701" s="10"/>
      <c r="G2701" s="10"/>
      <c r="H2701" s="14"/>
      <c r="I2701" s="14"/>
      <c r="J2701" s="14"/>
      <c r="K2701" s="14"/>
      <c r="L2701" s="14"/>
      <c r="M2701" s="15"/>
      <c r="N2701" s="10"/>
      <c r="O2701" s="14"/>
      <c r="P2701" s="14"/>
      <c r="Q2701" s="14"/>
      <c r="R2701" s="14"/>
      <c r="S2701" s="14"/>
      <c r="T2701" s="14"/>
      <c r="U2701" s="14"/>
      <c r="V2701" s="14"/>
      <c r="W2701" s="14"/>
      <c r="X2701" s="14"/>
      <c r="Y2701" s="14"/>
      <c r="Z2701" s="14"/>
      <c r="AA2701" s="16"/>
      <c r="AB2701" s="10"/>
      <c r="AC2701" s="10"/>
      <c r="AD2701" s="10"/>
      <c r="AE2701" s="10"/>
      <c r="AF2701" s="10"/>
      <c r="AG2701" s="10"/>
      <c r="AH2701" s="10"/>
      <c r="AI2701" s="10"/>
      <c r="AJ2701" s="10"/>
      <c r="AK2701" s="10"/>
      <c r="AL2701" s="10"/>
      <c r="AM2701" s="10"/>
      <c r="AN2701" s="10"/>
      <c r="AO2701" s="10"/>
      <c r="AP2701" s="10"/>
      <c r="AQ2701" s="10"/>
      <c r="AR2701" s="10"/>
      <c r="AS2701" s="10"/>
      <c r="AT2701" s="10"/>
      <c r="AU2701" s="10"/>
      <c r="AV2701" s="10"/>
      <c r="AW2701" s="10"/>
      <c r="AX2701" s="10"/>
      <c r="AY2701" s="10"/>
      <c r="AZ2701" s="10"/>
      <c r="BA2701" s="10"/>
      <c r="BB2701" s="10"/>
      <c r="BC2701" s="10"/>
      <c r="BD2701" s="10"/>
      <c r="BE2701" s="10"/>
      <c r="BF2701" s="10"/>
      <c r="BG2701" s="10"/>
      <c r="BH2701" s="10"/>
      <c r="BI2701" s="10"/>
      <c r="BJ2701" s="10"/>
      <c r="BK2701" s="10"/>
      <c r="BM2701" s="10"/>
    </row>
    <row r="2702" spans="1:65" ht="12.75">
      <c r="A2702" s="9"/>
      <c r="B2702" s="10"/>
      <c r="C2702" s="11"/>
      <c r="D2702" s="12"/>
      <c r="E2702" s="10"/>
      <c r="F2702" s="10"/>
      <c r="G2702" s="10"/>
      <c r="H2702" s="14"/>
      <c r="I2702" s="14"/>
      <c r="J2702" s="14"/>
      <c r="K2702" s="14"/>
      <c r="L2702" s="14"/>
      <c r="M2702" s="15"/>
      <c r="N2702" s="10"/>
      <c r="O2702" s="14"/>
      <c r="P2702" s="14"/>
      <c r="Q2702" s="14"/>
      <c r="R2702" s="14"/>
      <c r="S2702" s="14"/>
      <c r="T2702" s="14"/>
      <c r="U2702" s="14"/>
      <c r="V2702" s="14"/>
      <c r="W2702" s="14"/>
      <c r="X2702" s="14"/>
      <c r="Y2702" s="14"/>
      <c r="Z2702" s="14"/>
      <c r="AA2702" s="16"/>
      <c r="AB2702" s="10"/>
      <c r="AC2702" s="10"/>
      <c r="AD2702" s="10"/>
      <c r="AE2702" s="10"/>
      <c r="AF2702" s="10"/>
      <c r="AG2702" s="10"/>
      <c r="AH2702" s="10"/>
      <c r="AI2702" s="10"/>
      <c r="AJ2702" s="10"/>
      <c r="AK2702" s="10"/>
      <c r="AL2702" s="10"/>
      <c r="AM2702" s="10"/>
      <c r="AN2702" s="10"/>
      <c r="AO2702" s="10"/>
      <c r="AP2702" s="10"/>
      <c r="AQ2702" s="10"/>
      <c r="AR2702" s="10"/>
      <c r="AS2702" s="10"/>
      <c r="AT2702" s="10"/>
      <c r="AU2702" s="10"/>
      <c r="AV2702" s="10"/>
      <c r="AW2702" s="10"/>
      <c r="AX2702" s="10"/>
      <c r="AY2702" s="10"/>
      <c r="AZ2702" s="10"/>
      <c r="BA2702" s="10"/>
      <c r="BB2702" s="10"/>
      <c r="BC2702" s="10"/>
      <c r="BD2702" s="10"/>
      <c r="BE2702" s="10"/>
      <c r="BF2702" s="10"/>
      <c r="BG2702" s="10"/>
      <c r="BH2702" s="10"/>
      <c r="BI2702" s="10"/>
      <c r="BJ2702" s="10"/>
      <c r="BK2702" s="10"/>
      <c r="BM2702" s="10"/>
    </row>
    <row r="2703" spans="1:65" ht="12.75">
      <c r="A2703" s="9"/>
      <c r="B2703" s="10"/>
      <c r="C2703" s="11"/>
      <c r="D2703" s="12"/>
      <c r="E2703" s="10"/>
      <c r="F2703" s="10"/>
      <c r="G2703" s="10"/>
      <c r="H2703" s="14"/>
      <c r="I2703" s="14"/>
      <c r="J2703" s="14"/>
      <c r="K2703" s="14"/>
      <c r="L2703" s="14"/>
      <c r="M2703" s="15"/>
      <c r="N2703" s="10"/>
      <c r="O2703" s="14"/>
      <c r="P2703" s="14"/>
      <c r="Q2703" s="14"/>
      <c r="R2703" s="14"/>
      <c r="S2703" s="14"/>
      <c r="T2703" s="14"/>
      <c r="U2703" s="14"/>
      <c r="V2703" s="14"/>
      <c r="W2703" s="14"/>
      <c r="X2703" s="14"/>
      <c r="Y2703" s="14"/>
      <c r="Z2703" s="14"/>
      <c r="AA2703" s="16"/>
      <c r="AB2703" s="10"/>
      <c r="AC2703" s="10"/>
      <c r="AD2703" s="10"/>
      <c r="AE2703" s="10"/>
      <c r="AF2703" s="10"/>
      <c r="AG2703" s="10"/>
      <c r="AH2703" s="10"/>
      <c r="AI2703" s="10"/>
      <c r="AJ2703" s="10"/>
      <c r="AK2703" s="10"/>
      <c r="AL2703" s="1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10"/>
      <c r="BK2703" s="10"/>
      <c r="BM2703" s="10"/>
    </row>
    <row r="2704" spans="1:65" ht="12.75">
      <c r="A2704" s="9"/>
      <c r="B2704" s="10"/>
      <c r="C2704" s="11"/>
      <c r="D2704" s="12"/>
      <c r="E2704" s="10"/>
      <c r="F2704" s="10"/>
      <c r="G2704" s="10"/>
      <c r="H2704" s="14"/>
      <c r="I2704" s="14"/>
      <c r="J2704" s="14"/>
      <c r="K2704" s="14"/>
      <c r="L2704" s="14"/>
      <c r="M2704" s="15"/>
      <c r="N2704" s="10"/>
      <c r="O2704" s="14"/>
      <c r="P2704" s="14"/>
      <c r="Q2704" s="14"/>
      <c r="R2704" s="14"/>
      <c r="S2704" s="14"/>
      <c r="T2704" s="14"/>
      <c r="U2704" s="14"/>
      <c r="V2704" s="14"/>
      <c r="W2704" s="14"/>
      <c r="X2704" s="14"/>
      <c r="Y2704" s="14"/>
      <c r="Z2704" s="14"/>
      <c r="AA2704" s="16"/>
      <c r="AB2704" s="10"/>
      <c r="AC2704" s="10"/>
      <c r="AD2704" s="10"/>
      <c r="AE2704" s="10"/>
      <c r="AF2704" s="10"/>
      <c r="AG2704" s="10"/>
      <c r="AH2704" s="10"/>
      <c r="AI2704" s="10"/>
      <c r="AJ2704" s="10"/>
      <c r="AK2704" s="10"/>
      <c r="AL2704" s="10"/>
      <c r="AM2704" s="10"/>
      <c r="AN2704" s="10"/>
      <c r="AO2704" s="10"/>
      <c r="AP2704" s="10"/>
      <c r="AQ2704" s="10"/>
      <c r="AR2704" s="10"/>
      <c r="AS2704" s="10"/>
      <c r="AT2704" s="10"/>
      <c r="AU2704" s="10"/>
      <c r="AV2704" s="10"/>
      <c r="AW2704" s="10"/>
      <c r="AX2704" s="10"/>
      <c r="AY2704" s="10"/>
      <c r="AZ2704" s="10"/>
      <c r="BA2704" s="10"/>
      <c r="BB2704" s="10"/>
      <c r="BC2704" s="10"/>
      <c r="BD2704" s="10"/>
      <c r="BE2704" s="10"/>
      <c r="BF2704" s="10"/>
      <c r="BG2704" s="10"/>
      <c r="BH2704" s="10"/>
      <c r="BI2704" s="10"/>
      <c r="BJ2704" s="10"/>
      <c r="BK2704" s="10"/>
      <c r="BM2704" s="10"/>
    </row>
    <row r="2705" spans="1:65" ht="12.75">
      <c r="A2705" s="9"/>
      <c r="B2705" s="10"/>
      <c r="C2705" s="11"/>
      <c r="D2705" s="12"/>
      <c r="E2705" s="10"/>
      <c r="F2705" s="10"/>
      <c r="G2705" s="10"/>
      <c r="H2705" s="14"/>
      <c r="I2705" s="14"/>
      <c r="J2705" s="14"/>
      <c r="K2705" s="14"/>
      <c r="L2705" s="14"/>
      <c r="M2705" s="15"/>
      <c r="N2705" s="10"/>
      <c r="O2705" s="14"/>
      <c r="P2705" s="14"/>
      <c r="Q2705" s="14"/>
      <c r="R2705" s="14"/>
      <c r="S2705" s="14"/>
      <c r="T2705" s="14"/>
      <c r="U2705" s="14"/>
      <c r="V2705" s="14"/>
      <c r="W2705" s="14"/>
      <c r="X2705" s="14"/>
      <c r="Y2705" s="14"/>
      <c r="Z2705" s="14"/>
      <c r="AA2705" s="16"/>
      <c r="AB2705" s="10"/>
      <c r="AC2705" s="10"/>
      <c r="AD2705" s="10"/>
      <c r="AE2705" s="10"/>
      <c r="AF2705" s="10"/>
      <c r="AG2705" s="10"/>
      <c r="AH2705" s="10"/>
      <c r="AI2705" s="10"/>
      <c r="AJ2705" s="10"/>
      <c r="AK2705" s="10"/>
      <c r="AL2705" s="10"/>
      <c r="AM2705" s="10"/>
      <c r="AN2705" s="10"/>
      <c r="AO2705" s="10"/>
      <c r="AP2705" s="10"/>
      <c r="AQ2705" s="10"/>
      <c r="AR2705" s="10"/>
      <c r="AS2705" s="10"/>
      <c r="AT2705" s="10"/>
      <c r="AU2705" s="10"/>
      <c r="AV2705" s="10"/>
      <c r="AW2705" s="10"/>
      <c r="AX2705" s="10"/>
      <c r="AY2705" s="10"/>
      <c r="AZ2705" s="10"/>
      <c r="BA2705" s="10"/>
      <c r="BB2705" s="10"/>
      <c r="BC2705" s="10"/>
      <c r="BD2705" s="10"/>
      <c r="BE2705" s="10"/>
      <c r="BF2705" s="10"/>
      <c r="BG2705" s="10"/>
      <c r="BH2705" s="10"/>
      <c r="BI2705" s="10"/>
      <c r="BJ2705" s="10"/>
      <c r="BK2705" s="10"/>
      <c r="BM2705" s="10"/>
    </row>
    <row r="2706" spans="1:65" ht="12.75">
      <c r="A2706" s="9"/>
      <c r="B2706" s="10"/>
      <c r="C2706" s="11"/>
      <c r="D2706" s="12"/>
      <c r="E2706" s="10"/>
      <c r="F2706" s="10"/>
      <c r="G2706" s="10"/>
      <c r="H2706" s="14"/>
      <c r="I2706" s="14"/>
      <c r="J2706" s="14"/>
      <c r="K2706" s="14"/>
      <c r="L2706" s="14"/>
      <c r="M2706" s="15"/>
      <c r="N2706" s="10"/>
      <c r="O2706" s="14"/>
      <c r="P2706" s="14"/>
      <c r="Q2706" s="14"/>
      <c r="R2706" s="14"/>
      <c r="S2706" s="14"/>
      <c r="T2706" s="14"/>
      <c r="U2706" s="14"/>
      <c r="V2706" s="14"/>
      <c r="W2706" s="14"/>
      <c r="X2706" s="14"/>
      <c r="Y2706" s="14"/>
      <c r="Z2706" s="14"/>
      <c r="AA2706" s="16"/>
      <c r="AB2706" s="10"/>
      <c r="AC2706" s="10"/>
      <c r="AD2706" s="10"/>
      <c r="AE2706" s="10"/>
      <c r="AF2706" s="10"/>
      <c r="AG2706" s="10"/>
      <c r="AH2706" s="10"/>
      <c r="AI2706" s="10"/>
      <c r="AJ2706" s="10"/>
      <c r="AK2706" s="10"/>
      <c r="AL2706" s="1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10"/>
      <c r="BK2706" s="10"/>
      <c r="BM2706" s="10"/>
    </row>
    <row r="2707" spans="1:65" ht="12.75">
      <c r="A2707" s="9"/>
      <c r="B2707" s="10"/>
      <c r="C2707" s="11"/>
      <c r="D2707" s="12"/>
      <c r="E2707" s="10"/>
      <c r="F2707" s="10"/>
      <c r="G2707" s="10"/>
      <c r="H2707" s="14"/>
      <c r="I2707" s="14"/>
      <c r="J2707" s="14"/>
      <c r="K2707" s="14"/>
      <c r="L2707" s="14"/>
      <c r="M2707" s="15"/>
      <c r="N2707" s="10"/>
      <c r="O2707" s="14"/>
      <c r="P2707" s="14"/>
      <c r="Q2707" s="14"/>
      <c r="R2707" s="14"/>
      <c r="S2707" s="14"/>
      <c r="T2707" s="14"/>
      <c r="U2707" s="14"/>
      <c r="V2707" s="14"/>
      <c r="W2707" s="14"/>
      <c r="X2707" s="14"/>
      <c r="Y2707" s="14"/>
      <c r="Z2707" s="14"/>
      <c r="AA2707" s="16"/>
      <c r="AB2707" s="10"/>
      <c r="AC2707" s="10"/>
      <c r="AD2707" s="10"/>
      <c r="AE2707" s="10"/>
      <c r="AF2707" s="10"/>
      <c r="AG2707" s="10"/>
      <c r="AH2707" s="10"/>
      <c r="AI2707" s="10"/>
      <c r="AJ2707" s="10"/>
      <c r="AK2707" s="10"/>
      <c r="AL2707" s="1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10"/>
      <c r="BK2707" s="10"/>
      <c r="BM2707" s="10"/>
    </row>
    <row r="2708" spans="1:65" ht="12.75">
      <c r="A2708" s="9"/>
      <c r="B2708" s="10"/>
      <c r="C2708" s="11"/>
      <c r="D2708" s="12"/>
      <c r="E2708" s="10"/>
      <c r="F2708" s="10"/>
      <c r="G2708" s="10"/>
      <c r="H2708" s="14"/>
      <c r="I2708" s="14"/>
      <c r="J2708" s="14"/>
      <c r="K2708" s="14"/>
      <c r="L2708" s="14"/>
      <c r="M2708" s="15"/>
      <c r="N2708" s="10"/>
      <c r="O2708" s="14"/>
      <c r="P2708" s="14"/>
      <c r="Q2708" s="14"/>
      <c r="R2708" s="14"/>
      <c r="S2708" s="14"/>
      <c r="T2708" s="14"/>
      <c r="U2708" s="14"/>
      <c r="V2708" s="14"/>
      <c r="W2708" s="14"/>
      <c r="X2708" s="14"/>
      <c r="Y2708" s="14"/>
      <c r="Z2708" s="14"/>
      <c r="AA2708" s="16"/>
      <c r="AB2708" s="10"/>
      <c r="AC2708" s="10"/>
      <c r="AD2708" s="10"/>
      <c r="AE2708" s="10"/>
      <c r="AF2708" s="10"/>
      <c r="AG2708" s="10"/>
      <c r="AH2708" s="10"/>
      <c r="AI2708" s="10"/>
      <c r="AJ2708" s="10"/>
      <c r="AK2708" s="10"/>
      <c r="AL2708" s="10"/>
      <c r="AM2708" s="10"/>
      <c r="AN2708" s="10"/>
      <c r="AO2708" s="10"/>
      <c r="AP2708" s="10"/>
      <c r="AQ2708" s="10"/>
      <c r="AR2708" s="10"/>
      <c r="AS2708" s="10"/>
      <c r="AT2708" s="10"/>
      <c r="AU2708" s="10"/>
      <c r="AV2708" s="10"/>
      <c r="AW2708" s="10"/>
      <c r="AX2708" s="10"/>
      <c r="AY2708" s="10"/>
      <c r="AZ2708" s="10"/>
      <c r="BA2708" s="10"/>
      <c r="BB2708" s="10"/>
      <c r="BC2708" s="10"/>
      <c r="BD2708" s="10"/>
      <c r="BE2708" s="10"/>
      <c r="BF2708" s="10"/>
      <c r="BG2708" s="10"/>
      <c r="BH2708" s="10"/>
      <c r="BI2708" s="10"/>
      <c r="BJ2708" s="10"/>
      <c r="BK2708" s="10"/>
      <c r="BM2708" s="10"/>
    </row>
    <row r="2709" spans="1:65" ht="12.75">
      <c r="A2709" s="9"/>
      <c r="B2709" s="10"/>
      <c r="C2709" s="11"/>
      <c r="D2709" s="12"/>
      <c r="E2709" s="10"/>
      <c r="F2709" s="10"/>
      <c r="G2709" s="10"/>
      <c r="H2709" s="14"/>
      <c r="I2709" s="14"/>
      <c r="J2709" s="14"/>
      <c r="K2709" s="14"/>
      <c r="L2709" s="14"/>
      <c r="M2709" s="15"/>
      <c r="N2709" s="10"/>
      <c r="O2709" s="14"/>
      <c r="P2709" s="14"/>
      <c r="Q2709" s="14"/>
      <c r="R2709" s="14"/>
      <c r="S2709" s="14"/>
      <c r="T2709" s="14"/>
      <c r="U2709" s="14"/>
      <c r="V2709" s="14"/>
      <c r="W2709" s="14"/>
      <c r="X2709" s="14"/>
      <c r="Y2709" s="14"/>
      <c r="Z2709" s="14"/>
      <c r="AA2709" s="16"/>
      <c r="AB2709" s="10"/>
      <c r="AC2709" s="10"/>
      <c r="AD2709" s="10"/>
      <c r="AE2709" s="10"/>
      <c r="AF2709" s="10"/>
      <c r="AG2709" s="10"/>
      <c r="AH2709" s="10"/>
      <c r="AI2709" s="10"/>
      <c r="AJ2709" s="10"/>
      <c r="AK2709" s="10"/>
      <c r="AL2709" s="10"/>
      <c r="AM2709" s="10"/>
      <c r="AN2709" s="10"/>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10"/>
      <c r="BJ2709" s="10"/>
      <c r="BK2709" s="10"/>
      <c r="BM2709" s="10"/>
    </row>
    <row r="2710" spans="1:65" ht="12.75">
      <c r="A2710" s="9"/>
      <c r="B2710" s="10"/>
      <c r="C2710" s="11"/>
      <c r="D2710" s="12"/>
      <c r="E2710" s="10"/>
      <c r="F2710" s="10"/>
      <c r="G2710" s="10"/>
      <c r="H2710" s="14"/>
      <c r="I2710" s="14"/>
      <c r="J2710" s="14"/>
      <c r="K2710" s="14"/>
      <c r="L2710" s="14"/>
      <c r="M2710" s="15"/>
      <c r="N2710" s="10"/>
      <c r="O2710" s="14"/>
      <c r="P2710" s="14"/>
      <c r="Q2710" s="14"/>
      <c r="R2710" s="14"/>
      <c r="S2710" s="14"/>
      <c r="T2710" s="14"/>
      <c r="U2710" s="14"/>
      <c r="V2710" s="14"/>
      <c r="W2710" s="14"/>
      <c r="X2710" s="14"/>
      <c r="Y2710" s="14"/>
      <c r="Z2710" s="14"/>
      <c r="AA2710" s="16"/>
      <c r="AB2710" s="10"/>
      <c r="AC2710" s="10"/>
      <c r="AD2710" s="10"/>
      <c r="AE2710" s="10"/>
      <c r="AF2710" s="10"/>
      <c r="AG2710" s="10"/>
      <c r="AH2710" s="10"/>
      <c r="AI2710" s="10"/>
      <c r="AJ2710" s="10"/>
      <c r="AK2710" s="10"/>
      <c r="AL2710" s="10"/>
      <c r="AM2710" s="10"/>
      <c r="AN2710" s="10"/>
      <c r="AO2710" s="10"/>
      <c r="AP2710" s="10"/>
      <c r="AQ2710" s="10"/>
      <c r="AR2710" s="10"/>
      <c r="AS2710" s="10"/>
      <c r="AT2710" s="10"/>
      <c r="AU2710" s="10"/>
      <c r="AV2710" s="10"/>
      <c r="AW2710" s="10"/>
      <c r="AX2710" s="10"/>
      <c r="AY2710" s="10"/>
      <c r="AZ2710" s="10"/>
      <c r="BA2710" s="10"/>
      <c r="BB2710" s="10"/>
      <c r="BC2710" s="10"/>
      <c r="BD2710" s="10"/>
      <c r="BE2710" s="10"/>
      <c r="BF2710" s="10"/>
      <c r="BG2710" s="10"/>
      <c r="BH2710" s="10"/>
      <c r="BI2710" s="10"/>
      <c r="BJ2710" s="10"/>
      <c r="BK2710" s="10"/>
      <c r="BM2710" s="10"/>
    </row>
    <row r="2711" spans="1:65" ht="12.75">
      <c r="A2711" s="9"/>
      <c r="B2711" s="10"/>
      <c r="C2711" s="11"/>
      <c r="D2711" s="12"/>
      <c r="E2711" s="10"/>
      <c r="F2711" s="10"/>
      <c r="G2711" s="10"/>
      <c r="H2711" s="14"/>
      <c r="I2711" s="14"/>
      <c r="J2711" s="14"/>
      <c r="K2711" s="14"/>
      <c r="L2711" s="14"/>
      <c r="M2711" s="15"/>
      <c r="N2711" s="10"/>
      <c r="O2711" s="14"/>
      <c r="P2711" s="14"/>
      <c r="Q2711" s="14"/>
      <c r="R2711" s="14"/>
      <c r="S2711" s="14"/>
      <c r="T2711" s="14"/>
      <c r="U2711" s="14"/>
      <c r="V2711" s="14"/>
      <c r="W2711" s="14"/>
      <c r="X2711" s="14"/>
      <c r="Y2711" s="14"/>
      <c r="Z2711" s="14"/>
      <c r="AA2711" s="16"/>
      <c r="AB2711" s="10"/>
      <c r="AC2711" s="10"/>
      <c r="AD2711" s="10"/>
      <c r="AE2711" s="10"/>
      <c r="AF2711" s="10"/>
      <c r="AG2711" s="10"/>
      <c r="AH2711" s="10"/>
      <c r="AI2711" s="10"/>
      <c r="AJ2711" s="10"/>
      <c r="AK2711" s="10"/>
      <c r="AL2711" s="10"/>
      <c r="AM2711" s="10"/>
      <c r="AN2711" s="10"/>
      <c r="AO2711" s="10"/>
      <c r="AP2711" s="10"/>
      <c r="AQ2711" s="10"/>
      <c r="AR2711" s="10"/>
      <c r="AS2711" s="10"/>
      <c r="AT2711" s="10"/>
      <c r="AU2711" s="10"/>
      <c r="AV2711" s="10"/>
      <c r="AW2711" s="10"/>
      <c r="AX2711" s="10"/>
      <c r="AY2711" s="10"/>
      <c r="AZ2711" s="10"/>
      <c r="BA2711" s="10"/>
      <c r="BB2711" s="10"/>
      <c r="BC2711" s="10"/>
      <c r="BD2711" s="10"/>
      <c r="BE2711" s="10"/>
      <c r="BF2711" s="10"/>
      <c r="BG2711" s="10"/>
      <c r="BH2711" s="10"/>
      <c r="BI2711" s="10"/>
      <c r="BJ2711" s="10"/>
      <c r="BK2711" s="10"/>
      <c r="BM2711" s="10"/>
    </row>
    <row r="2712" spans="1:65" ht="12.75">
      <c r="A2712" s="9"/>
      <c r="B2712" s="10"/>
      <c r="C2712" s="11"/>
      <c r="D2712" s="12"/>
      <c r="E2712" s="10"/>
      <c r="F2712" s="10"/>
      <c r="G2712" s="10"/>
      <c r="H2712" s="14"/>
      <c r="I2712" s="14"/>
      <c r="J2712" s="14"/>
      <c r="K2712" s="14"/>
      <c r="L2712" s="14"/>
      <c r="M2712" s="15"/>
      <c r="N2712" s="10"/>
      <c r="O2712" s="14"/>
      <c r="P2712" s="14"/>
      <c r="Q2712" s="14"/>
      <c r="R2712" s="14"/>
      <c r="S2712" s="14"/>
      <c r="T2712" s="14"/>
      <c r="U2712" s="14"/>
      <c r="V2712" s="14"/>
      <c r="W2712" s="14"/>
      <c r="X2712" s="14"/>
      <c r="Y2712" s="14"/>
      <c r="Z2712" s="14"/>
      <c r="AA2712" s="16"/>
      <c r="AB2712" s="10"/>
      <c r="AC2712" s="10"/>
      <c r="AD2712" s="10"/>
      <c r="AE2712" s="10"/>
      <c r="AF2712" s="10"/>
      <c r="AG2712" s="10"/>
      <c r="AH2712" s="10"/>
      <c r="AI2712" s="10"/>
      <c r="AJ2712" s="10"/>
      <c r="AK2712" s="10"/>
      <c r="AL2712" s="10"/>
      <c r="AM2712" s="10"/>
      <c r="AN2712" s="10"/>
      <c r="AO2712" s="10"/>
      <c r="AP2712" s="10"/>
      <c r="AQ2712" s="10"/>
      <c r="AR2712" s="10"/>
      <c r="AS2712" s="10"/>
      <c r="AT2712" s="10"/>
      <c r="AU2712" s="10"/>
      <c r="AV2712" s="10"/>
      <c r="AW2712" s="10"/>
      <c r="AX2712" s="10"/>
      <c r="AY2712" s="10"/>
      <c r="AZ2712" s="10"/>
      <c r="BA2712" s="10"/>
      <c r="BB2712" s="10"/>
      <c r="BC2712" s="10"/>
      <c r="BD2712" s="10"/>
      <c r="BE2712" s="10"/>
      <c r="BF2712" s="10"/>
      <c r="BG2712" s="10"/>
      <c r="BH2712" s="10"/>
      <c r="BI2712" s="10"/>
      <c r="BJ2712" s="10"/>
      <c r="BK2712" s="10"/>
      <c r="BM2712" s="10"/>
    </row>
    <row r="2713" spans="1:65" ht="12.75">
      <c r="A2713" s="9"/>
      <c r="B2713" s="10"/>
      <c r="C2713" s="11"/>
      <c r="D2713" s="12"/>
      <c r="E2713" s="10"/>
      <c r="F2713" s="10"/>
      <c r="G2713" s="10"/>
      <c r="H2713" s="14"/>
      <c r="I2713" s="14"/>
      <c r="J2713" s="14"/>
      <c r="K2713" s="14"/>
      <c r="L2713" s="14"/>
      <c r="M2713" s="15"/>
      <c r="N2713" s="10"/>
      <c r="O2713" s="14"/>
      <c r="P2713" s="14"/>
      <c r="Q2713" s="14"/>
      <c r="R2713" s="14"/>
      <c r="S2713" s="14"/>
      <c r="T2713" s="14"/>
      <c r="U2713" s="14"/>
      <c r="V2713" s="14"/>
      <c r="W2713" s="14"/>
      <c r="X2713" s="14"/>
      <c r="Y2713" s="14"/>
      <c r="Z2713" s="14"/>
      <c r="AA2713" s="16"/>
      <c r="AB2713" s="10"/>
      <c r="AC2713" s="10"/>
      <c r="AD2713" s="10"/>
      <c r="AE2713" s="10"/>
      <c r="AF2713" s="10"/>
      <c r="AG2713" s="10"/>
      <c r="AH2713" s="10"/>
      <c r="AI2713" s="10"/>
      <c r="AJ2713" s="10"/>
      <c r="AK2713" s="10"/>
      <c r="AL2713" s="10"/>
      <c r="AM2713" s="10"/>
      <c r="AN2713" s="10"/>
      <c r="AO2713" s="10"/>
      <c r="AP2713" s="10"/>
      <c r="AQ2713" s="10"/>
      <c r="AR2713" s="10"/>
      <c r="AS2713" s="10"/>
      <c r="AT2713" s="10"/>
      <c r="AU2713" s="10"/>
      <c r="AV2713" s="10"/>
      <c r="AW2713" s="10"/>
      <c r="AX2713" s="10"/>
      <c r="AY2713" s="10"/>
      <c r="AZ2713" s="10"/>
      <c r="BA2713" s="10"/>
      <c r="BB2713" s="10"/>
      <c r="BC2713" s="10"/>
      <c r="BD2713" s="10"/>
      <c r="BE2713" s="10"/>
      <c r="BF2713" s="10"/>
      <c r="BG2713" s="10"/>
      <c r="BH2713" s="10"/>
      <c r="BI2713" s="10"/>
      <c r="BJ2713" s="10"/>
      <c r="BK2713" s="10"/>
      <c r="BM2713" s="10"/>
    </row>
    <row r="2714" spans="1:65" ht="12.75">
      <c r="A2714" s="9"/>
      <c r="B2714" s="10"/>
      <c r="C2714" s="11"/>
      <c r="D2714" s="12"/>
      <c r="E2714" s="10"/>
      <c r="F2714" s="10"/>
      <c r="G2714" s="10"/>
      <c r="H2714" s="14"/>
      <c r="I2714" s="14"/>
      <c r="J2714" s="14"/>
      <c r="K2714" s="14"/>
      <c r="L2714" s="14"/>
      <c r="M2714" s="15"/>
      <c r="N2714" s="10"/>
      <c r="O2714" s="14"/>
      <c r="P2714" s="14"/>
      <c r="Q2714" s="14"/>
      <c r="R2714" s="14"/>
      <c r="S2714" s="14"/>
      <c r="T2714" s="14"/>
      <c r="U2714" s="14"/>
      <c r="V2714" s="14"/>
      <c r="W2714" s="14"/>
      <c r="X2714" s="14"/>
      <c r="Y2714" s="14"/>
      <c r="Z2714" s="14"/>
      <c r="AA2714" s="16"/>
      <c r="AB2714" s="10"/>
      <c r="AC2714" s="10"/>
      <c r="AD2714" s="10"/>
      <c r="AE2714" s="10"/>
      <c r="AF2714" s="10"/>
      <c r="AG2714" s="10"/>
      <c r="AH2714" s="10"/>
      <c r="AI2714" s="10"/>
      <c r="AJ2714" s="10"/>
      <c r="AK2714" s="10"/>
      <c r="AL2714" s="10"/>
      <c r="AM2714" s="10"/>
      <c r="AN2714" s="10"/>
      <c r="AO2714" s="10"/>
      <c r="AP2714" s="10"/>
      <c r="AQ2714" s="10"/>
      <c r="AR2714" s="10"/>
      <c r="AS2714" s="10"/>
      <c r="AT2714" s="10"/>
      <c r="AU2714" s="10"/>
      <c r="AV2714" s="10"/>
      <c r="AW2714" s="10"/>
      <c r="AX2714" s="10"/>
      <c r="AY2714" s="10"/>
      <c r="AZ2714" s="10"/>
      <c r="BA2714" s="10"/>
      <c r="BB2714" s="10"/>
      <c r="BC2714" s="10"/>
      <c r="BD2714" s="10"/>
      <c r="BE2714" s="10"/>
      <c r="BF2714" s="10"/>
      <c r="BG2714" s="10"/>
      <c r="BH2714" s="10"/>
      <c r="BI2714" s="10"/>
      <c r="BJ2714" s="10"/>
      <c r="BK2714" s="10"/>
      <c r="BM2714" s="10"/>
    </row>
    <row r="2715" spans="1:65" ht="12.75">
      <c r="A2715" s="9"/>
      <c r="B2715" s="10"/>
      <c r="C2715" s="11"/>
      <c r="D2715" s="12"/>
      <c r="E2715" s="10"/>
      <c r="F2715" s="10"/>
      <c r="G2715" s="10"/>
      <c r="H2715" s="14"/>
      <c r="I2715" s="14"/>
      <c r="J2715" s="14"/>
      <c r="K2715" s="14"/>
      <c r="L2715" s="14"/>
      <c r="M2715" s="15"/>
      <c r="N2715" s="10"/>
      <c r="O2715" s="14"/>
      <c r="P2715" s="14"/>
      <c r="Q2715" s="14"/>
      <c r="R2715" s="14"/>
      <c r="S2715" s="14"/>
      <c r="T2715" s="14"/>
      <c r="U2715" s="14"/>
      <c r="V2715" s="14"/>
      <c r="W2715" s="14"/>
      <c r="X2715" s="14"/>
      <c r="Y2715" s="14"/>
      <c r="Z2715" s="14"/>
      <c r="AA2715" s="16"/>
      <c r="AB2715" s="10"/>
      <c r="AC2715" s="10"/>
      <c r="AD2715" s="10"/>
      <c r="AE2715" s="10"/>
      <c r="AF2715" s="10"/>
      <c r="AG2715" s="10"/>
      <c r="AH2715" s="10"/>
      <c r="AI2715" s="10"/>
      <c r="AJ2715" s="10"/>
      <c r="AK2715" s="10"/>
      <c r="AL2715" s="10"/>
      <c r="AM2715" s="10"/>
      <c r="AN2715" s="10"/>
      <c r="AO2715" s="10"/>
      <c r="AP2715" s="10"/>
      <c r="AQ2715" s="10"/>
      <c r="AR2715" s="10"/>
      <c r="AS2715" s="10"/>
      <c r="AT2715" s="10"/>
      <c r="AU2715" s="10"/>
      <c r="AV2715" s="10"/>
      <c r="AW2715" s="10"/>
      <c r="AX2715" s="10"/>
      <c r="AY2715" s="10"/>
      <c r="AZ2715" s="10"/>
      <c r="BA2715" s="10"/>
      <c r="BB2715" s="10"/>
      <c r="BC2715" s="10"/>
      <c r="BD2715" s="10"/>
      <c r="BE2715" s="10"/>
      <c r="BF2715" s="10"/>
      <c r="BG2715" s="10"/>
      <c r="BH2715" s="10"/>
      <c r="BI2715" s="10"/>
      <c r="BJ2715" s="10"/>
      <c r="BK2715" s="10"/>
      <c r="BM2715" s="10"/>
    </row>
    <row r="2716" spans="1:65" ht="12.75">
      <c r="A2716" s="9"/>
      <c r="B2716" s="10"/>
      <c r="C2716" s="11"/>
      <c r="D2716" s="12"/>
      <c r="E2716" s="10"/>
      <c r="F2716" s="10"/>
      <c r="G2716" s="10"/>
      <c r="H2716" s="14"/>
      <c r="I2716" s="14"/>
      <c r="J2716" s="14"/>
      <c r="K2716" s="14"/>
      <c r="L2716" s="14"/>
      <c r="M2716" s="15"/>
      <c r="N2716" s="10"/>
      <c r="O2716" s="14"/>
      <c r="P2716" s="14"/>
      <c r="Q2716" s="14"/>
      <c r="R2716" s="14"/>
      <c r="S2716" s="14"/>
      <c r="T2716" s="14"/>
      <c r="U2716" s="14"/>
      <c r="V2716" s="14"/>
      <c r="W2716" s="14"/>
      <c r="X2716" s="14"/>
      <c r="Y2716" s="14"/>
      <c r="Z2716" s="14"/>
      <c r="AA2716" s="16"/>
      <c r="AB2716" s="10"/>
      <c r="AC2716" s="10"/>
      <c r="AD2716" s="10"/>
      <c r="AE2716" s="10"/>
      <c r="AF2716" s="10"/>
      <c r="AG2716" s="10"/>
      <c r="AH2716" s="10"/>
      <c r="AI2716" s="10"/>
      <c r="AJ2716" s="10"/>
      <c r="AK2716" s="10"/>
      <c r="AL2716" s="10"/>
      <c r="AM2716" s="10"/>
      <c r="AN2716" s="10"/>
      <c r="AO2716" s="10"/>
      <c r="AP2716" s="10"/>
      <c r="AQ2716" s="10"/>
      <c r="AR2716" s="10"/>
      <c r="AS2716" s="10"/>
      <c r="AT2716" s="10"/>
      <c r="AU2716" s="10"/>
      <c r="AV2716" s="10"/>
      <c r="AW2716" s="10"/>
      <c r="AX2716" s="10"/>
      <c r="AY2716" s="10"/>
      <c r="AZ2716" s="10"/>
      <c r="BA2716" s="10"/>
      <c r="BB2716" s="10"/>
      <c r="BC2716" s="10"/>
      <c r="BD2716" s="10"/>
      <c r="BE2716" s="10"/>
      <c r="BF2716" s="10"/>
      <c r="BG2716" s="10"/>
      <c r="BH2716" s="10"/>
      <c r="BI2716" s="10"/>
      <c r="BJ2716" s="10"/>
      <c r="BK2716" s="10"/>
      <c r="BM2716" s="10"/>
    </row>
    <row r="2717" spans="1:65" ht="12.75">
      <c r="A2717" s="9"/>
      <c r="B2717" s="10"/>
      <c r="C2717" s="11"/>
      <c r="D2717" s="12"/>
      <c r="E2717" s="10"/>
      <c r="F2717" s="10"/>
      <c r="G2717" s="10"/>
      <c r="H2717" s="14"/>
      <c r="I2717" s="14"/>
      <c r="J2717" s="14"/>
      <c r="K2717" s="14"/>
      <c r="L2717" s="14"/>
      <c r="M2717" s="15"/>
      <c r="N2717" s="10"/>
      <c r="O2717" s="14"/>
      <c r="P2717" s="14"/>
      <c r="Q2717" s="14"/>
      <c r="R2717" s="14"/>
      <c r="S2717" s="14"/>
      <c r="T2717" s="14"/>
      <c r="U2717" s="14"/>
      <c r="V2717" s="14"/>
      <c r="W2717" s="14"/>
      <c r="X2717" s="14"/>
      <c r="Y2717" s="14"/>
      <c r="Z2717" s="14"/>
      <c r="AA2717" s="16"/>
      <c r="AB2717" s="10"/>
      <c r="AC2717" s="10"/>
      <c r="AD2717" s="10"/>
      <c r="AE2717" s="10"/>
      <c r="AF2717" s="10"/>
      <c r="AG2717" s="10"/>
      <c r="AH2717" s="10"/>
      <c r="AI2717" s="10"/>
      <c r="AJ2717" s="10"/>
      <c r="AK2717" s="10"/>
      <c r="AL2717" s="10"/>
      <c r="AM2717" s="10"/>
      <c r="AN2717" s="10"/>
      <c r="AO2717" s="10"/>
      <c r="AP2717" s="10"/>
      <c r="AQ2717" s="10"/>
      <c r="AR2717" s="10"/>
      <c r="AS2717" s="10"/>
      <c r="AT2717" s="10"/>
      <c r="AU2717" s="10"/>
      <c r="AV2717" s="10"/>
      <c r="AW2717" s="10"/>
      <c r="AX2717" s="10"/>
      <c r="AY2717" s="10"/>
      <c r="AZ2717" s="10"/>
      <c r="BA2717" s="10"/>
      <c r="BB2717" s="10"/>
      <c r="BC2717" s="10"/>
      <c r="BD2717" s="10"/>
      <c r="BE2717" s="10"/>
      <c r="BF2717" s="10"/>
      <c r="BG2717" s="10"/>
      <c r="BH2717" s="10"/>
      <c r="BI2717" s="10"/>
      <c r="BJ2717" s="10"/>
      <c r="BK2717" s="10"/>
      <c r="BM2717" s="10"/>
    </row>
    <row r="2718" spans="1:65" ht="12.75">
      <c r="A2718" s="9"/>
      <c r="B2718" s="10"/>
      <c r="C2718" s="11"/>
      <c r="D2718" s="12"/>
      <c r="E2718" s="10"/>
      <c r="F2718" s="10"/>
      <c r="G2718" s="10"/>
      <c r="H2718" s="14"/>
      <c r="I2718" s="14"/>
      <c r="J2718" s="14"/>
      <c r="K2718" s="14"/>
      <c r="L2718" s="14"/>
      <c r="M2718" s="15"/>
      <c r="N2718" s="10"/>
      <c r="O2718" s="14"/>
      <c r="P2718" s="14"/>
      <c r="Q2718" s="14"/>
      <c r="R2718" s="14"/>
      <c r="S2718" s="14"/>
      <c r="T2718" s="14"/>
      <c r="U2718" s="14"/>
      <c r="V2718" s="14"/>
      <c r="W2718" s="14"/>
      <c r="X2718" s="14"/>
      <c r="Y2718" s="14"/>
      <c r="Z2718" s="14"/>
      <c r="AA2718" s="16"/>
      <c r="AB2718" s="10"/>
      <c r="AC2718" s="10"/>
      <c r="AD2718" s="10"/>
      <c r="AE2718" s="10"/>
      <c r="AF2718" s="10"/>
      <c r="AG2718" s="10"/>
      <c r="AH2718" s="10"/>
      <c r="AI2718" s="10"/>
      <c r="AJ2718" s="10"/>
      <c r="AK2718" s="10"/>
      <c r="AL2718" s="10"/>
      <c r="AM2718" s="10"/>
      <c r="AN2718" s="10"/>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10"/>
      <c r="BK2718" s="10"/>
      <c r="BM2718" s="10"/>
    </row>
    <row r="2719" spans="1:65" ht="12.75">
      <c r="A2719" s="9"/>
      <c r="B2719" s="10"/>
      <c r="C2719" s="11"/>
      <c r="D2719" s="12"/>
      <c r="E2719" s="10"/>
      <c r="F2719" s="10"/>
      <c r="G2719" s="10"/>
      <c r="H2719" s="14"/>
      <c r="I2719" s="14"/>
      <c r="J2719" s="14"/>
      <c r="K2719" s="14"/>
      <c r="L2719" s="14"/>
      <c r="M2719" s="15"/>
      <c r="N2719" s="10"/>
      <c r="O2719" s="14"/>
      <c r="P2719" s="14"/>
      <c r="Q2719" s="14"/>
      <c r="R2719" s="14"/>
      <c r="S2719" s="14"/>
      <c r="T2719" s="14"/>
      <c r="U2719" s="14"/>
      <c r="V2719" s="14"/>
      <c r="W2719" s="14"/>
      <c r="X2719" s="14"/>
      <c r="Y2719" s="14"/>
      <c r="Z2719" s="14"/>
      <c r="AA2719" s="16"/>
      <c r="AB2719" s="10"/>
      <c r="AC2719" s="10"/>
      <c r="AD2719" s="10"/>
      <c r="AE2719" s="10"/>
      <c r="AF2719" s="10"/>
      <c r="AG2719" s="10"/>
      <c r="AH2719" s="10"/>
      <c r="AI2719" s="10"/>
      <c r="AJ2719" s="10"/>
      <c r="AK2719" s="10"/>
      <c r="AL2719" s="10"/>
      <c r="AM2719" s="10"/>
      <c r="AN2719" s="10"/>
      <c r="AO2719" s="10"/>
      <c r="AP2719" s="10"/>
      <c r="AQ2719" s="10"/>
      <c r="AR2719" s="10"/>
      <c r="AS2719" s="10"/>
      <c r="AT2719" s="10"/>
      <c r="AU2719" s="10"/>
      <c r="AV2719" s="10"/>
      <c r="AW2719" s="10"/>
      <c r="AX2719" s="10"/>
      <c r="AY2719" s="10"/>
      <c r="AZ2719" s="10"/>
      <c r="BA2719" s="10"/>
      <c r="BB2719" s="10"/>
      <c r="BC2719" s="10"/>
      <c r="BD2719" s="10"/>
      <c r="BE2719" s="10"/>
      <c r="BF2719" s="10"/>
      <c r="BG2719" s="10"/>
      <c r="BH2719" s="10"/>
      <c r="BI2719" s="10"/>
      <c r="BJ2719" s="10"/>
      <c r="BK2719" s="10"/>
      <c r="BM2719" s="10"/>
    </row>
    <row r="2720" spans="1:65" ht="12.75">
      <c r="A2720" s="9"/>
      <c r="B2720" s="10"/>
      <c r="C2720" s="11"/>
      <c r="D2720" s="12"/>
      <c r="E2720" s="10"/>
      <c r="F2720" s="10"/>
      <c r="G2720" s="10"/>
      <c r="H2720" s="14"/>
      <c r="I2720" s="14"/>
      <c r="J2720" s="14"/>
      <c r="K2720" s="14"/>
      <c r="L2720" s="14"/>
      <c r="M2720" s="15"/>
      <c r="N2720" s="10"/>
      <c r="O2720" s="14"/>
      <c r="P2720" s="14"/>
      <c r="Q2720" s="14"/>
      <c r="R2720" s="14"/>
      <c r="S2720" s="14"/>
      <c r="T2720" s="14"/>
      <c r="U2720" s="14"/>
      <c r="V2720" s="14"/>
      <c r="W2720" s="14"/>
      <c r="X2720" s="14"/>
      <c r="Y2720" s="14"/>
      <c r="Z2720" s="14"/>
      <c r="AA2720" s="16"/>
      <c r="AB2720" s="10"/>
      <c r="AC2720" s="10"/>
      <c r="AD2720" s="10"/>
      <c r="AE2720" s="10"/>
      <c r="AF2720" s="10"/>
      <c r="AG2720" s="10"/>
      <c r="AH2720" s="10"/>
      <c r="AI2720" s="10"/>
      <c r="AJ2720" s="10"/>
      <c r="AK2720" s="10"/>
      <c r="AL2720" s="1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c r="BG2720" s="10"/>
      <c r="BH2720" s="10"/>
      <c r="BI2720" s="10"/>
      <c r="BJ2720" s="10"/>
      <c r="BK2720" s="10"/>
      <c r="BM2720" s="10"/>
    </row>
    <row r="2721" spans="1:65" ht="12.75">
      <c r="A2721" s="9"/>
      <c r="B2721" s="10"/>
      <c r="C2721" s="11"/>
      <c r="D2721" s="12"/>
      <c r="E2721" s="10"/>
      <c r="F2721" s="10"/>
      <c r="G2721" s="10"/>
      <c r="H2721" s="14"/>
      <c r="I2721" s="14"/>
      <c r="J2721" s="14"/>
      <c r="K2721" s="14"/>
      <c r="L2721" s="14"/>
      <c r="M2721" s="15"/>
      <c r="N2721" s="10"/>
      <c r="O2721" s="14"/>
      <c r="P2721" s="14"/>
      <c r="Q2721" s="14"/>
      <c r="R2721" s="14"/>
      <c r="S2721" s="14"/>
      <c r="T2721" s="14"/>
      <c r="U2721" s="14"/>
      <c r="V2721" s="14"/>
      <c r="W2721" s="14"/>
      <c r="X2721" s="14"/>
      <c r="Y2721" s="14"/>
      <c r="Z2721" s="14"/>
      <c r="AA2721" s="16"/>
      <c r="AB2721" s="10"/>
      <c r="AC2721" s="10"/>
      <c r="AD2721" s="10"/>
      <c r="AE2721" s="10"/>
      <c r="AF2721" s="10"/>
      <c r="AG2721" s="10"/>
      <c r="AH2721" s="10"/>
      <c r="AI2721" s="10"/>
      <c r="AJ2721" s="10"/>
      <c r="AK2721" s="10"/>
      <c r="AL2721" s="10"/>
      <c r="AM2721" s="10"/>
      <c r="AN2721" s="10"/>
      <c r="AO2721" s="10"/>
      <c r="AP2721" s="10"/>
      <c r="AQ2721" s="10"/>
      <c r="AR2721" s="10"/>
      <c r="AS2721" s="10"/>
      <c r="AT2721" s="10"/>
      <c r="AU2721" s="10"/>
      <c r="AV2721" s="10"/>
      <c r="AW2721" s="10"/>
      <c r="AX2721" s="10"/>
      <c r="AY2721" s="10"/>
      <c r="AZ2721" s="10"/>
      <c r="BA2721" s="10"/>
      <c r="BB2721" s="10"/>
      <c r="BC2721" s="10"/>
      <c r="BD2721" s="10"/>
      <c r="BE2721" s="10"/>
      <c r="BF2721" s="10"/>
      <c r="BG2721" s="10"/>
      <c r="BH2721" s="10"/>
      <c r="BI2721" s="10"/>
      <c r="BJ2721" s="10"/>
      <c r="BK2721" s="10"/>
      <c r="BM2721" s="10"/>
    </row>
    <row r="2722" spans="1:65" ht="12.75">
      <c r="A2722" s="9"/>
      <c r="B2722" s="10"/>
      <c r="C2722" s="11"/>
      <c r="D2722" s="12"/>
      <c r="E2722" s="10"/>
      <c r="F2722" s="10"/>
      <c r="G2722" s="10"/>
      <c r="H2722" s="14"/>
      <c r="I2722" s="14"/>
      <c r="J2722" s="14"/>
      <c r="K2722" s="14"/>
      <c r="L2722" s="14"/>
      <c r="M2722" s="15"/>
      <c r="N2722" s="10"/>
      <c r="O2722" s="14"/>
      <c r="P2722" s="14"/>
      <c r="Q2722" s="14"/>
      <c r="R2722" s="14"/>
      <c r="S2722" s="14"/>
      <c r="T2722" s="14"/>
      <c r="U2722" s="14"/>
      <c r="V2722" s="14"/>
      <c r="W2722" s="14"/>
      <c r="X2722" s="14"/>
      <c r="Y2722" s="14"/>
      <c r="Z2722" s="14"/>
      <c r="AA2722" s="16"/>
      <c r="AB2722" s="10"/>
      <c r="AC2722" s="10"/>
      <c r="AD2722" s="10"/>
      <c r="AE2722" s="10"/>
      <c r="AF2722" s="10"/>
      <c r="AG2722" s="10"/>
      <c r="AH2722" s="10"/>
      <c r="AI2722" s="10"/>
      <c r="AJ2722" s="10"/>
      <c r="AK2722" s="10"/>
      <c r="AL2722" s="10"/>
      <c r="AM2722" s="10"/>
      <c r="AN2722" s="10"/>
      <c r="AO2722" s="10"/>
      <c r="AP2722" s="10"/>
      <c r="AQ2722" s="10"/>
      <c r="AR2722" s="10"/>
      <c r="AS2722" s="10"/>
      <c r="AT2722" s="10"/>
      <c r="AU2722" s="10"/>
      <c r="AV2722" s="10"/>
      <c r="AW2722" s="10"/>
      <c r="AX2722" s="10"/>
      <c r="AY2722" s="10"/>
      <c r="AZ2722" s="10"/>
      <c r="BA2722" s="10"/>
      <c r="BB2722" s="10"/>
      <c r="BC2722" s="10"/>
      <c r="BD2722" s="10"/>
      <c r="BE2722" s="10"/>
      <c r="BF2722" s="10"/>
      <c r="BG2722" s="10"/>
      <c r="BH2722" s="10"/>
      <c r="BI2722" s="10"/>
      <c r="BJ2722" s="10"/>
      <c r="BK2722" s="10"/>
      <c r="BM2722" s="10"/>
    </row>
    <row r="2723" spans="1:65" ht="12.75">
      <c r="A2723" s="9"/>
      <c r="B2723" s="10"/>
      <c r="C2723" s="11"/>
      <c r="D2723" s="12"/>
      <c r="E2723" s="10"/>
      <c r="F2723" s="10"/>
      <c r="G2723" s="10"/>
      <c r="H2723" s="14"/>
      <c r="I2723" s="14"/>
      <c r="J2723" s="14"/>
      <c r="K2723" s="14"/>
      <c r="L2723" s="14"/>
      <c r="M2723" s="15"/>
      <c r="N2723" s="10"/>
      <c r="O2723" s="14"/>
      <c r="P2723" s="14"/>
      <c r="Q2723" s="14"/>
      <c r="R2723" s="14"/>
      <c r="S2723" s="14"/>
      <c r="T2723" s="14"/>
      <c r="U2723" s="14"/>
      <c r="V2723" s="14"/>
      <c r="W2723" s="14"/>
      <c r="X2723" s="14"/>
      <c r="Y2723" s="14"/>
      <c r="Z2723" s="14"/>
      <c r="AA2723" s="16"/>
      <c r="AB2723" s="10"/>
      <c r="AC2723" s="10"/>
      <c r="AD2723" s="10"/>
      <c r="AE2723" s="10"/>
      <c r="AF2723" s="10"/>
      <c r="AG2723" s="10"/>
      <c r="AH2723" s="10"/>
      <c r="AI2723" s="10"/>
      <c r="AJ2723" s="10"/>
      <c r="AK2723" s="10"/>
      <c r="AL2723" s="10"/>
      <c r="AM2723" s="10"/>
      <c r="AN2723" s="10"/>
      <c r="AO2723" s="10"/>
      <c r="AP2723" s="10"/>
      <c r="AQ2723" s="10"/>
      <c r="AR2723" s="10"/>
      <c r="AS2723" s="10"/>
      <c r="AT2723" s="10"/>
      <c r="AU2723" s="10"/>
      <c r="AV2723" s="10"/>
      <c r="AW2723" s="10"/>
      <c r="AX2723" s="10"/>
      <c r="AY2723" s="10"/>
      <c r="AZ2723" s="10"/>
      <c r="BA2723" s="10"/>
      <c r="BB2723" s="10"/>
      <c r="BC2723" s="10"/>
      <c r="BD2723" s="10"/>
      <c r="BE2723" s="10"/>
      <c r="BF2723" s="10"/>
      <c r="BG2723" s="10"/>
      <c r="BH2723" s="10"/>
      <c r="BI2723" s="10"/>
      <c r="BJ2723" s="10"/>
      <c r="BK2723" s="10"/>
      <c r="BM2723" s="10"/>
    </row>
    <row r="2724" spans="1:65" ht="12.75">
      <c r="A2724" s="9"/>
      <c r="B2724" s="10"/>
      <c r="C2724" s="11"/>
      <c r="D2724" s="12"/>
      <c r="E2724" s="10"/>
      <c r="F2724" s="10"/>
      <c r="G2724" s="10"/>
      <c r="H2724" s="14"/>
      <c r="I2724" s="14"/>
      <c r="J2724" s="14"/>
      <c r="K2724" s="14"/>
      <c r="L2724" s="14"/>
      <c r="M2724" s="15"/>
      <c r="N2724" s="10"/>
      <c r="O2724" s="14"/>
      <c r="P2724" s="14"/>
      <c r="Q2724" s="14"/>
      <c r="R2724" s="14"/>
      <c r="S2724" s="14"/>
      <c r="T2724" s="14"/>
      <c r="U2724" s="14"/>
      <c r="V2724" s="14"/>
      <c r="W2724" s="14"/>
      <c r="X2724" s="14"/>
      <c r="Y2724" s="14"/>
      <c r="Z2724" s="14"/>
      <c r="AA2724" s="16"/>
      <c r="AB2724" s="10"/>
      <c r="AC2724" s="10"/>
      <c r="AD2724" s="10"/>
      <c r="AE2724" s="10"/>
      <c r="AF2724" s="10"/>
      <c r="AG2724" s="10"/>
      <c r="AH2724" s="10"/>
      <c r="AI2724" s="10"/>
      <c r="AJ2724" s="10"/>
      <c r="AK2724" s="10"/>
      <c r="AL2724" s="10"/>
      <c r="AM2724" s="10"/>
      <c r="AN2724" s="10"/>
      <c r="AO2724" s="10"/>
      <c r="AP2724" s="10"/>
      <c r="AQ2724" s="10"/>
      <c r="AR2724" s="10"/>
      <c r="AS2724" s="10"/>
      <c r="AT2724" s="10"/>
      <c r="AU2724" s="10"/>
      <c r="AV2724" s="10"/>
      <c r="AW2724" s="10"/>
      <c r="AX2724" s="10"/>
      <c r="AY2724" s="10"/>
      <c r="AZ2724" s="10"/>
      <c r="BA2724" s="10"/>
      <c r="BB2724" s="10"/>
      <c r="BC2724" s="10"/>
      <c r="BD2724" s="10"/>
      <c r="BE2724" s="10"/>
      <c r="BF2724" s="10"/>
      <c r="BG2724" s="10"/>
      <c r="BH2724" s="10"/>
      <c r="BI2724" s="10"/>
      <c r="BJ2724" s="10"/>
      <c r="BK2724" s="10"/>
      <c r="BM2724" s="10"/>
    </row>
    <row r="2725" spans="1:65" ht="12.75">
      <c r="A2725" s="9"/>
      <c r="B2725" s="10"/>
      <c r="C2725" s="11"/>
      <c r="D2725" s="12"/>
      <c r="E2725" s="10"/>
      <c r="F2725" s="10"/>
      <c r="G2725" s="10"/>
      <c r="H2725" s="14"/>
      <c r="I2725" s="14"/>
      <c r="J2725" s="14"/>
      <c r="K2725" s="14"/>
      <c r="L2725" s="14"/>
      <c r="M2725" s="15"/>
      <c r="N2725" s="10"/>
      <c r="O2725" s="14"/>
      <c r="P2725" s="14"/>
      <c r="Q2725" s="14"/>
      <c r="R2725" s="14"/>
      <c r="S2725" s="14"/>
      <c r="T2725" s="14"/>
      <c r="U2725" s="14"/>
      <c r="V2725" s="14"/>
      <c r="W2725" s="14"/>
      <c r="X2725" s="14"/>
      <c r="Y2725" s="14"/>
      <c r="Z2725" s="14"/>
      <c r="AA2725" s="16"/>
      <c r="AB2725" s="10"/>
      <c r="AC2725" s="10"/>
      <c r="AD2725" s="10"/>
      <c r="AE2725" s="10"/>
      <c r="AF2725" s="10"/>
      <c r="AG2725" s="10"/>
      <c r="AH2725" s="10"/>
      <c r="AI2725" s="10"/>
      <c r="AJ2725" s="10"/>
      <c r="AK2725" s="10"/>
      <c r="AL2725" s="10"/>
      <c r="AM2725" s="10"/>
      <c r="AN2725" s="10"/>
      <c r="AO2725" s="10"/>
      <c r="AP2725" s="10"/>
      <c r="AQ2725" s="10"/>
      <c r="AR2725" s="10"/>
      <c r="AS2725" s="10"/>
      <c r="AT2725" s="10"/>
      <c r="AU2725" s="10"/>
      <c r="AV2725" s="10"/>
      <c r="AW2725" s="10"/>
      <c r="AX2725" s="10"/>
      <c r="AY2725" s="10"/>
      <c r="AZ2725" s="10"/>
      <c r="BA2725" s="10"/>
      <c r="BB2725" s="10"/>
      <c r="BC2725" s="10"/>
      <c r="BD2725" s="10"/>
      <c r="BE2725" s="10"/>
      <c r="BF2725" s="10"/>
      <c r="BG2725" s="10"/>
      <c r="BH2725" s="10"/>
      <c r="BI2725" s="10"/>
      <c r="BJ2725" s="10"/>
      <c r="BK2725" s="10"/>
      <c r="BM2725" s="10"/>
    </row>
    <row r="2726" spans="1:65" ht="12.75">
      <c r="A2726" s="9"/>
      <c r="B2726" s="10"/>
      <c r="C2726" s="11"/>
      <c r="D2726" s="12"/>
      <c r="E2726" s="10"/>
      <c r="F2726" s="10"/>
      <c r="G2726" s="10"/>
      <c r="H2726" s="14"/>
      <c r="I2726" s="14"/>
      <c r="J2726" s="14"/>
      <c r="K2726" s="14"/>
      <c r="L2726" s="14"/>
      <c r="M2726" s="15"/>
      <c r="N2726" s="10"/>
      <c r="O2726" s="14"/>
      <c r="P2726" s="14"/>
      <c r="Q2726" s="14"/>
      <c r="R2726" s="14"/>
      <c r="S2726" s="14"/>
      <c r="T2726" s="14"/>
      <c r="U2726" s="14"/>
      <c r="V2726" s="14"/>
      <c r="W2726" s="14"/>
      <c r="X2726" s="14"/>
      <c r="Y2726" s="14"/>
      <c r="Z2726" s="14"/>
      <c r="AA2726" s="16"/>
      <c r="AB2726" s="10"/>
      <c r="AC2726" s="10"/>
      <c r="AD2726" s="10"/>
      <c r="AE2726" s="10"/>
      <c r="AF2726" s="10"/>
      <c r="AG2726" s="10"/>
      <c r="AH2726" s="10"/>
      <c r="AI2726" s="10"/>
      <c r="AJ2726" s="10"/>
      <c r="AK2726" s="10"/>
      <c r="AL2726" s="10"/>
      <c r="AM2726" s="10"/>
      <c r="AN2726" s="10"/>
      <c r="AO2726" s="10"/>
      <c r="AP2726" s="10"/>
      <c r="AQ2726" s="10"/>
      <c r="AR2726" s="10"/>
      <c r="AS2726" s="10"/>
      <c r="AT2726" s="10"/>
      <c r="AU2726" s="10"/>
      <c r="AV2726" s="10"/>
      <c r="AW2726" s="10"/>
      <c r="AX2726" s="10"/>
      <c r="AY2726" s="10"/>
      <c r="AZ2726" s="10"/>
      <c r="BA2726" s="10"/>
      <c r="BB2726" s="10"/>
      <c r="BC2726" s="10"/>
      <c r="BD2726" s="10"/>
      <c r="BE2726" s="10"/>
      <c r="BF2726" s="10"/>
      <c r="BG2726" s="10"/>
      <c r="BH2726" s="10"/>
      <c r="BI2726" s="10"/>
      <c r="BJ2726" s="10"/>
      <c r="BK2726" s="10"/>
      <c r="BM2726" s="10"/>
    </row>
    <row r="2727" spans="1:65" ht="12.75">
      <c r="A2727" s="9"/>
      <c r="B2727" s="10"/>
      <c r="C2727" s="11"/>
      <c r="D2727" s="12"/>
      <c r="E2727" s="10"/>
      <c r="F2727" s="10"/>
      <c r="G2727" s="10"/>
      <c r="H2727" s="14"/>
      <c r="I2727" s="14"/>
      <c r="J2727" s="14"/>
      <c r="K2727" s="14"/>
      <c r="L2727" s="14"/>
      <c r="M2727" s="15"/>
      <c r="N2727" s="10"/>
      <c r="O2727" s="14"/>
      <c r="P2727" s="14"/>
      <c r="Q2727" s="14"/>
      <c r="R2727" s="14"/>
      <c r="S2727" s="14"/>
      <c r="T2727" s="14"/>
      <c r="U2727" s="14"/>
      <c r="V2727" s="14"/>
      <c r="W2727" s="14"/>
      <c r="X2727" s="14"/>
      <c r="Y2727" s="14"/>
      <c r="Z2727" s="14"/>
      <c r="AA2727" s="16"/>
      <c r="AB2727" s="10"/>
      <c r="AC2727" s="10"/>
      <c r="AD2727" s="10"/>
      <c r="AE2727" s="10"/>
      <c r="AF2727" s="10"/>
      <c r="AG2727" s="10"/>
      <c r="AH2727" s="10"/>
      <c r="AI2727" s="10"/>
      <c r="AJ2727" s="10"/>
      <c r="AK2727" s="10"/>
      <c r="AL2727" s="1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10"/>
      <c r="BK2727" s="10"/>
      <c r="BM2727" s="10"/>
    </row>
    <row r="2728" spans="1:65" ht="12.75">
      <c r="A2728" s="9"/>
      <c r="B2728" s="10"/>
      <c r="C2728" s="11"/>
      <c r="D2728" s="12"/>
      <c r="E2728" s="10"/>
      <c r="F2728" s="10"/>
      <c r="G2728" s="10"/>
      <c r="H2728" s="14"/>
      <c r="I2728" s="14"/>
      <c r="J2728" s="14"/>
      <c r="K2728" s="14"/>
      <c r="L2728" s="14"/>
      <c r="M2728" s="15"/>
      <c r="N2728" s="10"/>
      <c r="O2728" s="14"/>
      <c r="P2728" s="14"/>
      <c r="Q2728" s="14"/>
      <c r="R2728" s="14"/>
      <c r="S2728" s="14"/>
      <c r="T2728" s="14"/>
      <c r="U2728" s="14"/>
      <c r="V2728" s="14"/>
      <c r="W2728" s="14"/>
      <c r="X2728" s="14"/>
      <c r="Y2728" s="14"/>
      <c r="Z2728" s="14"/>
      <c r="AA2728" s="16"/>
      <c r="AB2728" s="10"/>
      <c r="AC2728" s="10"/>
      <c r="AD2728" s="10"/>
      <c r="AE2728" s="10"/>
      <c r="AF2728" s="10"/>
      <c r="AG2728" s="10"/>
      <c r="AH2728" s="10"/>
      <c r="AI2728" s="10"/>
      <c r="AJ2728" s="10"/>
      <c r="AK2728" s="10"/>
      <c r="AL2728" s="10"/>
      <c r="AM2728" s="10"/>
      <c r="AN2728" s="10"/>
      <c r="AO2728" s="10"/>
      <c r="AP2728" s="10"/>
      <c r="AQ2728" s="10"/>
      <c r="AR2728" s="10"/>
      <c r="AS2728" s="10"/>
      <c r="AT2728" s="10"/>
      <c r="AU2728" s="10"/>
      <c r="AV2728" s="10"/>
      <c r="AW2728" s="10"/>
      <c r="AX2728" s="10"/>
      <c r="AY2728" s="10"/>
      <c r="AZ2728" s="10"/>
      <c r="BA2728" s="10"/>
      <c r="BB2728" s="10"/>
      <c r="BC2728" s="10"/>
      <c r="BD2728" s="10"/>
      <c r="BE2728" s="10"/>
      <c r="BF2728" s="10"/>
      <c r="BG2728" s="10"/>
      <c r="BH2728" s="10"/>
      <c r="BI2728" s="10"/>
      <c r="BJ2728" s="10"/>
      <c r="BK2728" s="10"/>
      <c r="BM2728" s="10"/>
    </row>
    <row r="2729" spans="1:65" ht="12.75">
      <c r="A2729" s="9"/>
      <c r="B2729" s="10"/>
      <c r="C2729" s="11"/>
      <c r="D2729" s="12"/>
      <c r="E2729" s="10"/>
      <c r="F2729" s="10"/>
      <c r="G2729" s="10"/>
      <c r="H2729" s="14"/>
      <c r="I2729" s="14"/>
      <c r="J2729" s="14"/>
      <c r="K2729" s="14"/>
      <c r="L2729" s="14"/>
      <c r="M2729" s="15"/>
      <c r="N2729" s="10"/>
      <c r="O2729" s="14"/>
      <c r="P2729" s="14"/>
      <c r="Q2729" s="14"/>
      <c r="R2729" s="14"/>
      <c r="S2729" s="14"/>
      <c r="T2729" s="14"/>
      <c r="U2729" s="14"/>
      <c r="V2729" s="14"/>
      <c r="W2729" s="14"/>
      <c r="X2729" s="14"/>
      <c r="Y2729" s="14"/>
      <c r="Z2729" s="14"/>
      <c r="AA2729" s="16"/>
      <c r="AB2729" s="10"/>
      <c r="AC2729" s="10"/>
      <c r="AD2729" s="10"/>
      <c r="AE2729" s="10"/>
      <c r="AF2729" s="10"/>
      <c r="AG2729" s="10"/>
      <c r="AH2729" s="10"/>
      <c r="AI2729" s="10"/>
      <c r="AJ2729" s="10"/>
      <c r="AK2729" s="10"/>
      <c r="AL2729" s="1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10"/>
      <c r="BJ2729" s="10"/>
      <c r="BK2729" s="10"/>
      <c r="BM2729" s="10"/>
    </row>
    <row r="2730" spans="1:65" ht="12.75">
      <c r="A2730" s="9"/>
      <c r="B2730" s="10"/>
      <c r="C2730" s="11"/>
      <c r="D2730" s="12"/>
      <c r="E2730" s="10"/>
      <c r="F2730" s="10"/>
      <c r="G2730" s="10"/>
      <c r="H2730" s="14"/>
      <c r="I2730" s="14"/>
      <c r="J2730" s="14"/>
      <c r="K2730" s="14"/>
      <c r="L2730" s="14"/>
      <c r="M2730" s="15"/>
      <c r="N2730" s="10"/>
      <c r="O2730" s="14"/>
      <c r="P2730" s="14"/>
      <c r="Q2730" s="14"/>
      <c r="R2730" s="14"/>
      <c r="S2730" s="14"/>
      <c r="T2730" s="14"/>
      <c r="U2730" s="14"/>
      <c r="V2730" s="14"/>
      <c r="W2730" s="14"/>
      <c r="X2730" s="14"/>
      <c r="Y2730" s="14"/>
      <c r="Z2730" s="14"/>
      <c r="AA2730" s="16"/>
      <c r="AB2730" s="10"/>
      <c r="AC2730" s="10"/>
      <c r="AD2730" s="10"/>
      <c r="AE2730" s="10"/>
      <c r="AF2730" s="10"/>
      <c r="AG2730" s="10"/>
      <c r="AH2730" s="10"/>
      <c r="AI2730" s="10"/>
      <c r="AJ2730" s="10"/>
      <c r="AK2730" s="10"/>
      <c r="AL2730" s="10"/>
      <c r="AM2730" s="10"/>
      <c r="AN2730" s="10"/>
      <c r="AO2730" s="10"/>
      <c r="AP2730" s="10"/>
      <c r="AQ2730" s="10"/>
      <c r="AR2730" s="10"/>
      <c r="AS2730" s="10"/>
      <c r="AT2730" s="10"/>
      <c r="AU2730" s="10"/>
      <c r="AV2730" s="10"/>
      <c r="AW2730" s="10"/>
      <c r="AX2730" s="10"/>
      <c r="AY2730" s="10"/>
      <c r="AZ2730" s="10"/>
      <c r="BA2730" s="10"/>
      <c r="BB2730" s="10"/>
      <c r="BC2730" s="10"/>
      <c r="BD2730" s="10"/>
      <c r="BE2730" s="10"/>
      <c r="BF2730" s="10"/>
      <c r="BG2730" s="10"/>
      <c r="BH2730" s="10"/>
      <c r="BI2730" s="10"/>
      <c r="BJ2730" s="10"/>
      <c r="BK2730" s="10"/>
      <c r="BM2730" s="10"/>
    </row>
    <row r="2731" spans="1:65" ht="12.75">
      <c r="A2731" s="9"/>
      <c r="B2731" s="10"/>
      <c r="C2731" s="11"/>
      <c r="D2731" s="12"/>
      <c r="E2731" s="10"/>
      <c r="F2731" s="10"/>
      <c r="G2731" s="10"/>
      <c r="H2731" s="14"/>
      <c r="I2731" s="14"/>
      <c r="J2731" s="14"/>
      <c r="K2731" s="14"/>
      <c r="L2731" s="14"/>
      <c r="M2731" s="15"/>
      <c r="N2731" s="10"/>
      <c r="O2731" s="14"/>
      <c r="P2731" s="14"/>
      <c r="Q2731" s="14"/>
      <c r="R2731" s="14"/>
      <c r="S2731" s="14"/>
      <c r="T2731" s="14"/>
      <c r="U2731" s="14"/>
      <c r="V2731" s="14"/>
      <c r="W2731" s="14"/>
      <c r="X2731" s="14"/>
      <c r="Y2731" s="14"/>
      <c r="Z2731" s="14"/>
      <c r="AA2731" s="16"/>
      <c r="AB2731" s="10"/>
      <c r="AC2731" s="10"/>
      <c r="AD2731" s="10"/>
      <c r="AE2731" s="10"/>
      <c r="AF2731" s="10"/>
      <c r="AG2731" s="10"/>
      <c r="AH2731" s="10"/>
      <c r="AI2731" s="10"/>
      <c r="AJ2731" s="10"/>
      <c r="AK2731" s="10"/>
      <c r="AL2731" s="10"/>
      <c r="AM2731" s="10"/>
      <c r="AN2731" s="10"/>
      <c r="AO2731" s="10"/>
      <c r="AP2731" s="10"/>
      <c r="AQ2731" s="10"/>
      <c r="AR2731" s="10"/>
      <c r="AS2731" s="10"/>
      <c r="AT2731" s="10"/>
      <c r="AU2731" s="10"/>
      <c r="AV2731" s="10"/>
      <c r="AW2731" s="10"/>
      <c r="AX2731" s="10"/>
      <c r="AY2731" s="10"/>
      <c r="AZ2731" s="10"/>
      <c r="BA2731" s="10"/>
      <c r="BB2731" s="10"/>
      <c r="BC2731" s="10"/>
      <c r="BD2731" s="10"/>
      <c r="BE2731" s="10"/>
      <c r="BF2731" s="10"/>
      <c r="BG2731" s="10"/>
      <c r="BH2731" s="10"/>
      <c r="BI2731" s="10"/>
      <c r="BJ2731" s="10"/>
      <c r="BK2731" s="10"/>
      <c r="BM2731" s="10"/>
    </row>
    <row r="2732" spans="1:65" ht="12.75">
      <c r="A2732" s="9"/>
      <c r="B2732" s="10"/>
      <c r="C2732" s="11"/>
      <c r="D2732" s="12"/>
      <c r="E2732" s="10"/>
      <c r="F2732" s="10"/>
      <c r="G2732" s="10"/>
      <c r="H2732" s="14"/>
      <c r="I2732" s="14"/>
      <c r="J2732" s="14"/>
      <c r="K2732" s="14"/>
      <c r="L2732" s="14"/>
      <c r="M2732" s="15"/>
      <c r="N2732" s="10"/>
      <c r="O2732" s="14"/>
      <c r="P2732" s="14"/>
      <c r="Q2732" s="14"/>
      <c r="R2732" s="14"/>
      <c r="S2732" s="14"/>
      <c r="T2732" s="14"/>
      <c r="U2732" s="14"/>
      <c r="V2732" s="14"/>
      <c r="W2732" s="14"/>
      <c r="X2732" s="14"/>
      <c r="Y2732" s="14"/>
      <c r="Z2732" s="14"/>
      <c r="AA2732" s="16"/>
      <c r="AB2732" s="10"/>
      <c r="AC2732" s="10"/>
      <c r="AD2732" s="10"/>
      <c r="AE2732" s="10"/>
      <c r="AF2732" s="10"/>
      <c r="AG2732" s="10"/>
      <c r="AH2732" s="10"/>
      <c r="AI2732" s="10"/>
      <c r="AJ2732" s="10"/>
      <c r="AK2732" s="10"/>
      <c r="AL2732" s="10"/>
      <c r="AM2732" s="10"/>
      <c r="AN2732" s="10"/>
      <c r="AO2732" s="10"/>
      <c r="AP2732" s="10"/>
      <c r="AQ2732" s="10"/>
      <c r="AR2732" s="10"/>
      <c r="AS2732" s="10"/>
      <c r="AT2732" s="10"/>
      <c r="AU2732" s="10"/>
      <c r="AV2732" s="10"/>
      <c r="AW2732" s="10"/>
      <c r="AX2732" s="10"/>
      <c r="AY2732" s="10"/>
      <c r="AZ2732" s="10"/>
      <c r="BA2732" s="10"/>
      <c r="BB2732" s="10"/>
      <c r="BC2732" s="10"/>
      <c r="BD2732" s="10"/>
      <c r="BE2732" s="10"/>
      <c r="BF2732" s="10"/>
      <c r="BG2732" s="10"/>
      <c r="BH2732" s="10"/>
      <c r="BI2732" s="10"/>
      <c r="BJ2732" s="10"/>
      <c r="BK2732" s="10"/>
      <c r="BM2732" s="10"/>
    </row>
    <row r="2733" spans="1:65" ht="12.75">
      <c r="A2733" s="9"/>
      <c r="B2733" s="10"/>
      <c r="C2733" s="11"/>
      <c r="D2733" s="12"/>
      <c r="E2733" s="10"/>
      <c r="F2733" s="10"/>
      <c r="G2733" s="10"/>
      <c r="H2733" s="14"/>
      <c r="I2733" s="14"/>
      <c r="J2733" s="14"/>
      <c r="K2733" s="14"/>
      <c r="L2733" s="14"/>
      <c r="M2733" s="15"/>
      <c r="N2733" s="10"/>
      <c r="O2733" s="14"/>
      <c r="P2733" s="14"/>
      <c r="Q2733" s="14"/>
      <c r="R2733" s="14"/>
      <c r="S2733" s="14"/>
      <c r="T2733" s="14"/>
      <c r="U2733" s="14"/>
      <c r="V2733" s="14"/>
      <c r="W2733" s="14"/>
      <c r="X2733" s="14"/>
      <c r="Y2733" s="14"/>
      <c r="Z2733" s="14"/>
      <c r="AA2733" s="16"/>
      <c r="AB2733" s="10"/>
      <c r="AC2733" s="10"/>
      <c r="AD2733" s="10"/>
      <c r="AE2733" s="10"/>
      <c r="AF2733" s="10"/>
      <c r="AG2733" s="10"/>
      <c r="AH2733" s="10"/>
      <c r="AI2733" s="10"/>
      <c r="AJ2733" s="10"/>
      <c r="AK2733" s="10"/>
      <c r="AL2733" s="10"/>
      <c r="AM2733" s="10"/>
      <c r="AN2733" s="10"/>
      <c r="AO2733" s="10"/>
      <c r="AP2733" s="10"/>
      <c r="AQ2733" s="10"/>
      <c r="AR2733" s="10"/>
      <c r="AS2733" s="10"/>
      <c r="AT2733" s="10"/>
      <c r="AU2733" s="10"/>
      <c r="AV2733" s="10"/>
      <c r="AW2733" s="10"/>
      <c r="AX2733" s="10"/>
      <c r="AY2733" s="10"/>
      <c r="AZ2733" s="10"/>
      <c r="BA2733" s="10"/>
      <c r="BB2733" s="10"/>
      <c r="BC2733" s="10"/>
      <c r="BD2733" s="10"/>
      <c r="BE2733" s="10"/>
      <c r="BF2733" s="10"/>
      <c r="BG2733" s="10"/>
      <c r="BH2733" s="10"/>
      <c r="BI2733" s="10"/>
      <c r="BJ2733" s="10"/>
      <c r="BK2733" s="10"/>
      <c r="BM2733" s="10"/>
    </row>
    <row r="2734" spans="1:65" ht="12.75">
      <c r="A2734" s="9"/>
      <c r="B2734" s="10"/>
      <c r="C2734" s="11"/>
      <c r="D2734" s="12"/>
      <c r="E2734" s="10"/>
      <c r="F2734" s="10"/>
      <c r="G2734" s="10"/>
      <c r="H2734" s="14"/>
      <c r="I2734" s="14"/>
      <c r="J2734" s="14"/>
      <c r="K2734" s="14"/>
      <c r="L2734" s="14"/>
      <c r="M2734" s="15"/>
      <c r="N2734" s="10"/>
      <c r="O2734" s="14"/>
      <c r="P2734" s="14"/>
      <c r="Q2734" s="14"/>
      <c r="R2734" s="14"/>
      <c r="S2734" s="14"/>
      <c r="T2734" s="14"/>
      <c r="U2734" s="14"/>
      <c r="V2734" s="14"/>
      <c r="W2734" s="14"/>
      <c r="X2734" s="14"/>
      <c r="Y2734" s="14"/>
      <c r="Z2734" s="14"/>
      <c r="AA2734" s="16"/>
      <c r="AB2734" s="10"/>
      <c r="AC2734" s="10"/>
      <c r="AD2734" s="10"/>
      <c r="AE2734" s="10"/>
      <c r="AF2734" s="10"/>
      <c r="AG2734" s="10"/>
      <c r="AH2734" s="10"/>
      <c r="AI2734" s="10"/>
      <c r="AJ2734" s="10"/>
      <c r="AK2734" s="10"/>
      <c r="AL2734" s="10"/>
      <c r="AM2734" s="10"/>
      <c r="AN2734" s="10"/>
      <c r="AO2734" s="10"/>
      <c r="AP2734" s="10"/>
      <c r="AQ2734" s="10"/>
      <c r="AR2734" s="10"/>
      <c r="AS2734" s="10"/>
      <c r="AT2734" s="10"/>
      <c r="AU2734" s="10"/>
      <c r="AV2734" s="10"/>
      <c r="AW2734" s="10"/>
      <c r="AX2734" s="10"/>
      <c r="AY2734" s="10"/>
      <c r="AZ2734" s="10"/>
      <c r="BA2734" s="10"/>
      <c r="BB2734" s="10"/>
      <c r="BC2734" s="10"/>
      <c r="BD2734" s="10"/>
      <c r="BE2734" s="10"/>
      <c r="BF2734" s="10"/>
      <c r="BG2734" s="10"/>
      <c r="BH2734" s="10"/>
      <c r="BI2734" s="10"/>
      <c r="BJ2734" s="10"/>
      <c r="BK2734" s="10"/>
      <c r="BM2734" s="10"/>
    </row>
    <row r="2735" spans="1:65" ht="12.75">
      <c r="A2735" s="9"/>
      <c r="B2735" s="10"/>
      <c r="C2735" s="11"/>
      <c r="D2735" s="12"/>
      <c r="E2735" s="10"/>
      <c r="F2735" s="10"/>
      <c r="G2735" s="10"/>
      <c r="H2735" s="14"/>
      <c r="I2735" s="14"/>
      <c r="J2735" s="14"/>
      <c r="K2735" s="14"/>
      <c r="L2735" s="14"/>
      <c r="M2735" s="15"/>
      <c r="N2735" s="10"/>
      <c r="O2735" s="14"/>
      <c r="P2735" s="14"/>
      <c r="Q2735" s="14"/>
      <c r="R2735" s="14"/>
      <c r="S2735" s="14"/>
      <c r="T2735" s="14"/>
      <c r="U2735" s="14"/>
      <c r="V2735" s="14"/>
      <c r="W2735" s="14"/>
      <c r="X2735" s="14"/>
      <c r="Y2735" s="14"/>
      <c r="Z2735" s="14"/>
      <c r="AA2735" s="16"/>
      <c r="AB2735" s="10"/>
      <c r="AC2735" s="10"/>
      <c r="AD2735" s="10"/>
      <c r="AE2735" s="10"/>
      <c r="AF2735" s="10"/>
      <c r="AG2735" s="10"/>
      <c r="AH2735" s="10"/>
      <c r="AI2735" s="10"/>
      <c r="AJ2735" s="10"/>
      <c r="AK2735" s="10"/>
      <c r="AL2735" s="10"/>
      <c r="AM2735" s="10"/>
      <c r="AN2735" s="10"/>
      <c r="AO2735" s="10"/>
      <c r="AP2735" s="10"/>
      <c r="AQ2735" s="10"/>
      <c r="AR2735" s="10"/>
      <c r="AS2735" s="10"/>
      <c r="AT2735" s="10"/>
      <c r="AU2735" s="10"/>
      <c r="AV2735" s="10"/>
      <c r="AW2735" s="10"/>
      <c r="AX2735" s="10"/>
      <c r="AY2735" s="10"/>
      <c r="AZ2735" s="10"/>
      <c r="BA2735" s="10"/>
      <c r="BB2735" s="10"/>
      <c r="BC2735" s="10"/>
      <c r="BD2735" s="10"/>
      <c r="BE2735" s="10"/>
      <c r="BF2735" s="10"/>
      <c r="BG2735" s="10"/>
      <c r="BH2735" s="10"/>
      <c r="BI2735" s="10"/>
      <c r="BJ2735" s="10"/>
      <c r="BK2735" s="10"/>
      <c r="BM2735" s="10"/>
    </row>
    <row r="2736" spans="1:65" ht="12.75">
      <c r="A2736" s="9"/>
      <c r="B2736" s="10"/>
      <c r="C2736" s="11"/>
      <c r="D2736" s="12"/>
      <c r="E2736" s="10"/>
      <c r="F2736" s="10"/>
      <c r="G2736" s="10"/>
      <c r="H2736" s="14"/>
      <c r="I2736" s="14"/>
      <c r="J2736" s="14"/>
      <c r="K2736" s="14"/>
      <c r="L2736" s="14"/>
      <c r="M2736" s="15"/>
      <c r="N2736" s="10"/>
      <c r="O2736" s="14"/>
      <c r="P2736" s="14"/>
      <c r="Q2736" s="14"/>
      <c r="R2736" s="14"/>
      <c r="S2736" s="14"/>
      <c r="T2736" s="14"/>
      <c r="U2736" s="14"/>
      <c r="V2736" s="14"/>
      <c r="W2736" s="14"/>
      <c r="X2736" s="14"/>
      <c r="Y2736" s="14"/>
      <c r="Z2736" s="14"/>
      <c r="AA2736" s="16"/>
      <c r="AB2736" s="10"/>
      <c r="AC2736" s="10"/>
      <c r="AD2736" s="10"/>
      <c r="AE2736" s="10"/>
      <c r="AF2736" s="10"/>
      <c r="AG2736" s="10"/>
      <c r="AH2736" s="10"/>
      <c r="AI2736" s="10"/>
      <c r="AJ2736" s="10"/>
      <c r="AK2736" s="10"/>
      <c r="AL2736" s="10"/>
      <c r="AM2736" s="10"/>
      <c r="AN2736" s="10"/>
      <c r="AO2736" s="10"/>
      <c r="AP2736" s="10"/>
      <c r="AQ2736" s="10"/>
      <c r="AR2736" s="10"/>
      <c r="AS2736" s="10"/>
      <c r="AT2736" s="10"/>
      <c r="AU2736" s="10"/>
      <c r="AV2736" s="10"/>
      <c r="AW2736" s="10"/>
      <c r="AX2736" s="10"/>
      <c r="AY2736" s="10"/>
      <c r="AZ2736" s="10"/>
      <c r="BA2736" s="10"/>
      <c r="BB2736" s="10"/>
      <c r="BC2736" s="10"/>
      <c r="BD2736" s="10"/>
      <c r="BE2736" s="10"/>
      <c r="BF2736" s="10"/>
      <c r="BG2736" s="10"/>
      <c r="BH2736" s="10"/>
      <c r="BI2736" s="10"/>
      <c r="BJ2736" s="10"/>
      <c r="BK2736" s="10"/>
      <c r="BM2736" s="10"/>
    </row>
    <row r="2737" spans="1:65" ht="12.75">
      <c r="A2737" s="9"/>
      <c r="B2737" s="10"/>
      <c r="C2737" s="11"/>
      <c r="D2737" s="12"/>
      <c r="E2737" s="10"/>
      <c r="F2737" s="10"/>
      <c r="G2737" s="10"/>
      <c r="H2737" s="14"/>
      <c r="I2737" s="14"/>
      <c r="J2737" s="14"/>
      <c r="K2737" s="14"/>
      <c r="L2737" s="14"/>
      <c r="M2737" s="15"/>
      <c r="N2737" s="10"/>
      <c r="O2737" s="14"/>
      <c r="P2737" s="14"/>
      <c r="Q2737" s="14"/>
      <c r="R2737" s="14"/>
      <c r="S2737" s="14"/>
      <c r="T2737" s="14"/>
      <c r="U2737" s="14"/>
      <c r="V2737" s="14"/>
      <c r="W2737" s="14"/>
      <c r="X2737" s="14"/>
      <c r="Y2737" s="14"/>
      <c r="Z2737" s="14"/>
      <c r="AA2737" s="16"/>
      <c r="AB2737" s="10"/>
      <c r="AC2737" s="10"/>
      <c r="AD2737" s="10"/>
      <c r="AE2737" s="10"/>
      <c r="AF2737" s="10"/>
      <c r="AG2737" s="10"/>
      <c r="AH2737" s="10"/>
      <c r="AI2737" s="10"/>
      <c r="AJ2737" s="10"/>
      <c r="AK2737" s="10"/>
      <c r="AL2737" s="10"/>
      <c r="AM2737" s="10"/>
      <c r="AN2737" s="10"/>
      <c r="AO2737" s="10"/>
      <c r="AP2737" s="10"/>
      <c r="AQ2737" s="10"/>
      <c r="AR2737" s="10"/>
      <c r="AS2737" s="10"/>
      <c r="AT2737" s="10"/>
      <c r="AU2737" s="10"/>
      <c r="AV2737" s="10"/>
      <c r="AW2737" s="10"/>
      <c r="AX2737" s="10"/>
      <c r="AY2737" s="10"/>
      <c r="AZ2737" s="10"/>
      <c r="BA2737" s="10"/>
      <c r="BB2737" s="10"/>
      <c r="BC2737" s="10"/>
      <c r="BD2737" s="10"/>
      <c r="BE2737" s="10"/>
      <c r="BF2737" s="10"/>
      <c r="BG2737" s="10"/>
      <c r="BH2737" s="10"/>
      <c r="BI2737" s="10"/>
      <c r="BJ2737" s="10"/>
      <c r="BK2737" s="10"/>
      <c r="BM2737" s="10"/>
    </row>
    <row r="2738" spans="1:65" ht="12.75">
      <c r="A2738" s="9"/>
      <c r="B2738" s="10"/>
      <c r="C2738" s="11"/>
      <c r="D2738" s="12"/>
      <c r="E2738" s="10"/>
      <c r="F2738" s="10"/>
      <c r="G2738" s="10"/>
      <c r="H2738" s="14"/>
      <c r="I2738" s="14"/>
      <c r="J2738" s="14"/>
      <c r="K2738" s="14"/>
      <c r="L2738" s="14"/>
      <c r="M2738" s="15"/>
      <c r="N2738" s="10"/>
      <c r="O2738" s="14"/>
      <c r="P2738" s="14"/>
      <c r="Q2738" s="14"/>
      <c r="R2738" s="14"/>
      <c r="S2738" s="14"/>
      <c r="T2738" s="14"/>
      <c r="U2738" s="14"/>
      <c r="V2738" s="14"/>
      <c r="W2738" s="14"/>
      <c r="X2738" s="14"/>
      <c r="Y2738" s="14"/>
      <c r="Z2738" s="14"/>
      <c r="AA2738" s="16"/>
      <c r="AB2738" s="10"/>
      <c r="AC2738" s="10"/>
      <c r="AD2738" s="10"/>
      <c r="AE2738" s="10"/>
      <c r="AF2738" s="10"/>
      <c r="AG2738" s="10"/>
      <c r="AH2738" s="10"/>
      <c r="AI2738" s="10"/>
      <c r="AJ2738" s="10"/>
      <c r="AK2738" s="10"/>
      <c r="AL2738" s="10"/>
      <c r="AM2738" s="10"/>
      <c r="AN2738" s="10"/>
      <c r="AO2738" s="10"/>
      <c r="AP2738" s="10"/>
      <c r="AQ2738" s="10"/>
      <c r="AR2738" s="10"/>
      <c r="AS2738" s="10"/>
      <c r="AT2738" s="10"/>
      <c r="AU2738" s="10"/>
      <c r="AV2738" s="10"/>
      <c r="AW2738" s="10"/>
      <c r="AX2738" s="10"/>
      <c r="AY2738" s="10"/>
      <c r="AZ2738" s="10"/>
      <c r="BA2738" s="10"/>
      <c r="BB2738" s="10"/>
      <c r="BC2738" s="10"/>
      <c r="BD2738" s="10"/>
      <c r="BE2738" s="10"/>
      <c r="BF2738" s="10"/>
      <c r="BG2738" s="10"/>
      <c r="BH2738" s="10"/>
      <c r="BI2738" s="10"/>
      <c r="BJ2738" s="10"/>
      <c r="BK2738" s="10"/>
      <c r="BM2738" s="10"/>
    </row>
    <row r="2739" spans="1:65" ht="12.75">
      <c r="A2739" s="9"/>
      <c r="B2739" s="10"/>
      <c r="C2739" s="11"/>
      <c r="D2739" s="12"/>
      <c r="E2739" s="10"/>
      <c r="F2739" s="10"/>
      <c r="G2739" s="10"/>
      <c r="H2739" s="14"/>
      <c r="I2739" s="14"/>
      <c r="J2739" s="14"/>
      <c r="K2739" s="14"/>
      <c r="L2739" s="14"/>
      <c r="M2739" s="15"/>
      <c r="N2739" s="10"/>
      <c r="O2739" s="14"/>
      <c r="P2739" s="14"/>
      <c r="Q2739" s="14"/>
      <c r="R2739" s="14"/>
      <c r="S2739" s="14"/>
      <c r="T2739" s="14"/>
      <c r="U2739" s="14"/>
      <c r="V2739" s="14"/>
      <c r="W2739" s="14"/>
      <c r="X2739" s="14"/>
      <c r="Y2739" s="14"/>
      <c r="Z2739" s="14"/>
      <c r="AA2739" s="16"/>
      <c r="AB2739" s="10"/>
      <c r="AC2739" s="10"/>
      <c r="AD2739" s="10"/>
      <c r="AE2739" s="10"/>
      <c r="AF2739" s="10"/>
      <c r="AG2739" s="10"/>
      <c r="AH2739" s="10"/>
      <c r="AI2739" s="10"/>
      <c r="AJ2739" s="10"/>
      <c r="AK2739" s="10"/>
      <c r="AL2739" s="10"/>
      <c r="AM2739" s="10"/>
      <c r="AN2739" s="10"/>
      <c r="AO2739" s="10"/>
      <c r="AP2739" s="10"/>
      <c r="AQ2739" s="10"/>
      <c r="AR2739" s="10"/>
      <c r="AS2739" s="10"/>
      <c r="AT2739" s="10"/>
      <c r="AU2739" s="10"/>
      <c r="AV2739" s="10"/>
      <c r="AW2739" s="10"/>
      <c r="AX2739" s="10"/>
      <c r="AY2739" s="10"/>
      <c r="AZ2739" s="10"/>
      <c r="BA2739" s="10"/>
      <c r="BB2739" s="10"/>
      <c r="BC2739" s="10"/>
      <c r="BD2739" s="10"/>
      <c r="BE2739" s="10"/>
      <c r="BF2739" s="10"/>
      <c r="BG2739" s="10"/>
      <c r="BH2739" s="10"/>
      <c r="BI2739" s="10"/>
      <c r="BJ2739" s="10"/>
      <c r="BK2739" s="10"/>
      <c r="BM2739" s="10"/>
    </row>
    <row r="2740" spans="1:65" ht="12.75">
      <c r="A2740" s="9"/>
      <c r="B2740" s="10"/>
      <c r="C2740" s="11"/>
      <c r="D2740" s="12"/>
      <c r="E2740" s="10"/>
      <c r="F2740" s="10"/>
      <c r="G2740" s="10"/>
      <c r="H2740" s="14"/>
      <c r="I2740" s="14"/>
      <c r="J2740" s="14"/>
      <c r="K2740" s="14"/>
      <c r="L2740" s="14"/>
      <c r="M2740" s="15"/>
      <c r="N2740" s="10"/>
      <c r="O2740" s="14"/>
      <c r="P2740" s="14"/>
      <c r="Q2740" s="14"/>
      <c r="R2740" s="14"/>
      <c r="S2740" s="14"/>
      <c r="T2740" s="14"/>
      <c r="U2740" s="14"/>
      <c r="V2740" s="14"/>
      <c r="W2740" s="14"/>
      <c r="X2740" s="14"/>
      <c r="Y2740" s="14"/>
      <c r="Z2740" s="14"/>
      <c r="AA2740" s="16"/>
      <c r="AB2740" s="10"/>
      <c r="AC2740" s="10"/>
      <c r="AD2740" s="10"/>
      <c r="AE2740" s="10"/>
      <c r="AF2740" s="10"/>
      <c r="AG2740" s="10"/>
      <c r="AH2740" s="10"/>
      <c r="AI2740" s="10"/>
      <c r="AJ2740" s="10"/>
      <c r="AK2740" s="10"/>
      <c r="AL2740" s="10"/>
      <c r="AM2740" s="10"/>
      <c r="AN2740" s="10"/>
      <c r="AO2740" s="10"/>
      <c r="AP2740" s="10"/>
      <c r="AQ2740" s="10"/>
      <c r="AR2740" s="10"/>
      <c r="AS2740" s="10"/>
      <c r="AT2740" s="10"/>
      <c r="AU2740" s="10"/>
      <c r="AV2740" s="10"/>
      <c r="AW2740" s="10"/>
      <c r="AX2740" s="10"/>
      <c r="AY2740" s="10"/>
      <c r="AZ2740" s="10"/>
      <c r="BA2740" s="10"/>
      <c r="BB2740" s="10"/>
      <c r="BC2740" s="10"/>
      <c r="BD2740" s="10"/>
      <c r="BE2740" s="10"/>
      <c r="BF2740" s="10"/>
      <c r="BG2740" s="10"/>
      <c r="BH2740" s="10"/>
      <c r="BI2740" s="10"/>
      <c r="BJ2740" s="10"/>
      <c r="BK2740" s="10"/>
      <c r="BM2740" s="10"/>
    </row>
    <row r="2741" spans="1:65" ht="12.75">
      <c r="A2741" s="9"/>
      <c r="B2741" s="10"/>
      <c r="C2741" s="11"/>
      <c r="D2741" s="12"/>
      <c r="E2741" s="10"/>
      <c r="F2741" s="10"/>
      <c r="G2741" s="10"/>
      <c r="H2741" s="14"/>
      <c r="I2741" s="14"/>
      <c r="J2741" s="14"/>
      <c r="K2741" s="14"/>
      <c r="L2741" s="14"/>
      <c r="M2741" s="15"/>
      <c r="N2741" s="10"/>
      <c r="O2741" s="14"/>
      <c r="P2741" s="14"/>
      <c r="Q2741" s="14"/>
      <c r="R2741" s="14"/>
      <c r="S2741" s="14"/>
      <c r="T2741" s="14"/>
      <c r="U2741" s="14"/>
      <c r="V2741" s="14"/>
      <c r="W2741" s="14"/>
      <c r="X2741" s="14"/>
      <c r="Y2741" s="14"/>
      <c r="Z2741" s="14"/>
      <c r="AA2741" s="16"/>
      <c r="AB2741" s="10"/>
      <c r="AC2741" s="10"/>
      <c r="AD2741" s="10"/>
      <c r="AE2741" s="10"/>
      <c r="AF2741" s="10"/>
      <c r="AG2741" s="10"/>
      <c r="AH2741" s="10"/>
      <c r="AI2741" s="10"/>
      <c r="AJ2741" s="10"/>
      <c r="AK2741" s="10"/>
      <c r="AL2741" s="10"/>
      <c r="AM2741" s="10"/>
      <c r="AN2741" s="10"/>
      <c r="AO2741" s="10"/>
      <c r="AP2741" s="10"/>
      <c r="AQ2741" s="10"/>
      <c r="AR2741" s="10"/>
      <c r="AS2741" s="10"/>
      <c r="AT2741" s="10"/>
      <c r="AU2741" s="10"/>
      <c r="AV2741" s="10"/>
      <c r="AW2741" s="10"/>
      <c r="AX2741" s="10"/>
      <c r="AY2741" s="10"/>
      <c r="AZ2741" s="10"/>
      <c r="BA2741" s="10"/>
      <c r="BB2741" s="10"/>
      <c r="BC2741" s="10"/>
      <c r="BD2741" s="10"/>
      <c r="BE2741" s="10"/>
      <c r="BF2741" s="10"/>
      <c r="BG2741" s="10"/>
      <c r="BH2741" s="10"/>
      <c r="BI2741" s="10"/>
      <c r="BJ2741" s="10"/>
      <c r="BK2741" s="10"/>
      <c r="BM2741" s="10"/>
    </row>
    <row r="2742" spans="1:65" ht="12.75">
      <c r="A2742" s="9"/>
      <c r="B2742" s="10"/>
      <c r="C2742" s="11"/>
      <c r="D2742" s="12"/>
      <c r="E2742" s="10"/>
      <c r="F2742" s="10"/>
      <c r="G2742" s="10"/>
      <c r="H2742" s="14"/>
      <c r="I2742" s="14"/>
      <c r="J2742" s="14"/>
      <c r="K2742" s="14"/>
      <c r="L2742" s="14"/>
      <c r="M2742" s="15"/>
      <c r="N2742" s="10"/>
      <c r="O2742" s="14"/>
      <c r="P2742" s="14"/>
      <c r="Q2742" s="14"/>
      <c r="R2742" s="14"/>
      <c r="S2742" s="14"/>
      <c r="T2742" s="14"/>
      <c r="U2742" s="14"/>
      <c r="V2742" s="14"/>
      <c r="W2742" s="14"/>
      <c r="X2742" s="14"/>
      <c r="Y2742" s="14"/>
      <c r="Z2742" s="14"/>
      <c r="AA2742" s="16"/>
      <c r="AB2742" s="10"/>
      <c r="AC2742" s="10"/>
      <c r="AD2742" s="10"/>
      <c r="AE2742" s="10"/>
      <c r="AF2742" s="10"/>
      <c r="AG2742" s="10"/>
      <c r="AH2742" s="10"/>
      <c r="AI2742" s="10"/>
      <c r="AJ2742" s="10"/>
      <c r="AK2742" s="10"/>
      <c r="AL2742" s="10"/>
      <c r="AM2742" s="10"/>
      <c r="AN2742" s="10"/>
      <c r="AO2742" s="10"/>
      <c r="AP2742" s="10"/>
      <c r="AQ2742" s="10"/>
      <c r="AR2742" s="10"/>
      <c r="AS2742" s="10"/>
      <c r="AT2742" s="10"/>
      <c r="AU2742" s="10"/>
      <c r="AV2742" s="10"/>
      <c r="AW2742" s="10"/>
      <c r="AX2742" s="10"/>
      <c r="AY2742" s="10"/>
      <c r="AZ2742" s="10"/>
      <c r="BA2742" s="10"/>
      <c r="BB2742" s="10"/>
      <c r="BC2742" s="10"/>
      <c r="BD2742" s="10"/>
      <c r="BE2742" s="10"/>
      <c r="BF2742" s="10"/>
      <c r="BG2742" s="10"/>
      <c r="BH2742" s="10"/>
      <c r="BI2742" s="10"/>
      <c r="BJ2742" s="10"/>
      <c r="BK2742" s="10"/>
      <c r="BM2742" s="10"/>
    </row>
    <row r="2743" spans="1:65" ht="12.75">
      <c r="A2743" s="9"/>
      <c r="B2743" s="10"/>
      <c r="C2743" s="11"/>
      <c r="D2743" s="12"/>
      <c r="E2743" s="10"/>
      <c r="F2743" s="10"/>
      <c r="G2743" s="10"/>
      <c r="H2743" s="14"/>
      <c r="I2743" s="14"/>
      <c r="J2743" s="14"/>
      <c r="K2743" s="14"/>
      <c r="L2743" s="14"/>
      <c r="M2743" s="15"/>
      <c r="N2743" s="10"/>
      <c r="O2743" s="14"/>
      <c r="P2743" s="14"/>
      <c r="Q2743" s="14"/>
      <c r="R2743" s="14"/>
      <c r="S2743" s="14"/>
      <c r="T2743" s="14"/>
      <c r="U2743" s="14"/>
      <c r="V2743" s="14"/>
      <c r="W2743" s="14"/>
      <c r="X2743" s="14"/>
      <c r="Y2743" s="14"/>
      <c r="Z2743" s="14"/>
      <c r="AA2743" s="16"/>
      <c r="AB2743" s="10"/>
      <c r="AC2743" s="10"/>
      <c r="AD2743" s="10"/>
      <c r="AE2743" s="10"/>
      <c r="AF2743" s="10"/>
      <c r="AG2743" s="10"/>
      <c r="AH2743" s="10"/>
      <c r="AI2743" s="10"/>
      <c r="AJ2743" s="10"/>
      <c r="AK2743" s="10"/>
      <c r="AL2743" s="10"/>
      <c r="AM2743" s="10"/>
      <c r="AN2743" s="10"/>
      <c r="AO2743" s="10"/>
      <c r="AP2743" s="10"/>
      <c r="AQ2743" s="10"/>
      <c r="AR2743" s="10"/>
      <c r="AS2743" s="10"/>
      <c r="AT2743" s="10"/>
      <c r="AU2743" s="10"/>
      <c r="AV2743" s="10"/>
      <c r="AW2743" s="10"/>
      <c r="AX2743" s="10"/>
      <c r="AY2743" s="10"/>
      <c r="AZ2743" s="10"/>
      <c r="BA2743" s="10"/>
      <c r="BB2743" s="10"/>
      <c r="BC2743" s="10"/>
      <c r="BD2743" s="10"/>
      <c r="BE2743" s="10"/>
      <c r="BF2743" s="10"/>
      <c r="BG2743" s="10"/>
      <c r="BH2743" s="10"/>
      <c r="BI2743" s="10"/>
      <c r="BJ2743" s="10"/>
      <c r="BK2743" s="10"/>
      <c r="BM2743" s="10"/>
    </row>
    <row r="2744" spans="1:65" ht="12.75">
      <c r="A2744" s="9"/>
      <c r="B2744" s="10"/>
      <c r="C2744" s="11"/>
      <c r="D2744" s="12"/>
      <c r="E2744" s="10"/>
      <c r="F2744" s="10"/>
      <c r="G2744" s="10"/>
      <c r="H2744" s="14"/>
      <c r="I2744" s="14"/>
      <c r="J2744" s="14"/>
      <c r="K2744" s="14"/>
      <c r="L2744" s="14"/>
      <c r="M2744" s="15"/>
      <c r="N2744" s="10"/>
      <c r="O2744" s="14"/>
      <c r="P2744" s="14"/>
      <c r="Q2744" s="14"/>
      <c r="R2744" s="14"/>
      <c r="S2744" s="14"/>
      <c r="T2744" s="14"/>
      <c r="U2744" s="14"/>
      <c r="V2744" s="14"/>
      <c r="W2744" s="14"/>
      <c r="X2744" s="14"/>
      <c r="Y2744" s="14"/>
      <c r="Z2744" s="14"/>
      <c r="AA2744" s="16"/>
      <c r="AB2744" s="10"/>
      <c r="AC2744" s="10"/>
      <c r="AD2744" s="10"/>
      <c r="AE2744" s="10"/>
      <c r="AF2744" s="10"/>
      <c r="AG2744" s="10"/>
      <c r="AH2744" s="10"/>
      <c r="AI2744" s="10"/>
      <c r="AJ2744" s="10"/>
      <c r="AK2744" s="10"/>
      <c r="AL2744" s="10"/>
      <c r="AM2744" s="10"/>
      <c r="AN2744" s="10"/>
      <c r="AO2744" s="10"/>
      <c r="AP2744" s="10"/>
      <c r="AQ2744" s="10"/>
      <c r="AR2744" s="10"/>
      <c r="AS2744" s="10"/>
      <c r="AT2744" s="10"/>
      <c r="AU2744" s="10"/>
      <c r="AV2744" s="10"/>
      <c r="AW2744" s="10"/>
      <c r="AX2744" s="10"/>
      <c r="AY2744" s="10"/>
      <c r="AZ2744" s="10"/>
      <c r="BA2744" s="10"/>
      <c r="BB2744" s="10"/>
      <c r="BC2744" s="10"/>
      <c r="BD2744" s="10"/>
      <c r="BE2744" s="10"/>
      <c r="BF2744" s="10"/>
      <c r="BG2744" s="10"/>
      <c r="BH2744" s="10"/>
      <c r="BI2744" s="10"/>
      <c r="BJ2744" s="10"/>
      <c r="BK2744" s="10"/>
      <c r="BM2744" s="10"/>
    </row>
    <row r="2745" spans="1:65" ht="12.75">
      <c r="A2745" s="9"/>
      <c r="B2745" s="10"/>
      <c r="C2745" s="11"/>
      <c r="D2745" s="12"/>
      <c r="E2745" s="10"/>
      <c r="F2745" s="10"/>
      <c r="G2745" s="10"/>
      <c r="H2745" s="14"/>
      <c r="I2745" s="14"/>
      <c r="J2745" s="14"/>
      <c r="K2745" s="14"/>
      <c r="L2745" s="14"/>
      <c r="M2745" s="15"/>
      <c r="N2745" s="10"/>
      <c r="O2745" s="14"/>
      <c r="P2745" s="14"/>
      <c r="Q2745" s="14"/>
      <c r="R2745" s="14"/>
      <c r="S2745" s="14"/>
      <c r="T2745" s="14"/>
      <c r="U2745" s="14"/>
      <c r="V2745" s="14"/>
      <c r="W2745" s="14"/>
      <c r="X2745" s="14"/>
      <c r="Y2745" s="14"/>
      <c r="Z2745" s="14"/>
      <c r="AA2745" s="16"/>
      <c r="AB2745" s="10"/>
      <c r="AC2745" s="10"/>
      <c r="AD2745" s="10"/>
      <c r="AE2745" s="10"/>
      <c r="AF2745" s="10"/>
      <c r="AG2745" s="10"/>
      <c r="AH2745" s="10"/>
      <c r="AI2745" s="10"/>
      <c r="AJ2745" s="10"/>
      <c r="AK2745" s="10"/>
      <c r="AL2745" s="10"/>
      <c r="AM2745" s="10"/>
      <c r="AN2745" s="10"/>
      <c r="AO2745" s="10"/>
      <c r="AP2745" s="10"/>
      <c r="AQ2745" s="10"/>
      <c r="AR2745" s="10"/>
      <c r="AS2745" s="10"/>
      <c r="AT2745" s="10"/>
      <c r="AU2745" s="10"/>
      <c r="AV2745" s="10"/>
      <c r="AW2745" s="10"/>
      <c r="AX2745" s="10"/>
      <c r="AY2745" s="10"/>
      <c r="AZ2745" s="10"/>
      <c r="BA2745" s="10"/>
      <c r="BB2745" s="10"/>
      <c r="BC2745" s="10"/>
      <c r="BD2745" s="10"/>
      <c r="BE2745" s="10"/>
      <c r="BF2745" s="10"/>
      <c r="BG2745" s="10"/>
      <c r="BH2745" s="10"/>
      <c r="BI2745" s="10"/>
      <c r="BJ2745" s="10"/>
      <c r="BK2745" s="10"/>
      <c r="BM2745" s="10"/>
    </row>
    <row r="2746" spans="1:65" ht="12.75">
      <c r="A2746" s="9"/>
      <c r="B2746" s="10"/>
      <c r="C2746" s="11"/>
      <c r="D2746" s="12"/>
      <c r="E2746" s="10"/>
      <c r="F2746" s="10"/>
      <c r="G2746" s="10"/>
      <c r="H2746" s="14"/>
      <c r="I2746" s="14"/>
      <c r="J2746" s="14"/>
      <c r="K2746" s="14"/>
      <c r="L2746" s="14"/>
      <c r="M2746" s="15"/>
      <c r="N2746" s="10"/>
      <c r="O2746" s="14"/>
      <c r="P2746" s="14"/>
      <c r="Q2746" s="14"/>
      <c r="R2746" s="14"/>
      <c r="S2746" s="14"/>
      <c r="T2746" s="14"/>
      <c r="U2746" s="14"/>
      <c r="V2746" s="14"/>
      <c r="W2746" s="14"/>
      <c r="X2746" s="14"/>
      <c r="Y2746" s="14"/>
      <c r="Z2746" s="14"/>
      <c r="AA2746" s="16"/>
      <c r="AB2746" s="10"/>
      <c r="AC2746" s="10"/>
      <c r="AD2746" s="10"/>
      <c r="AE2746" s="10"/>
      <c r="AF2746" s="10"/>
      <c r="AG2746" s="10"/>
      <c r="AH2746" s="10"/>
      <c r="AI2746" s="10"/>
      <c r="AJ2746" s="10"/>
      <c r="AK2746" s="10"/>
      <c r="AL2746" s="10"/>
      <c r="AM2746" s="10"/>
      <c r="AN2746" s="10"/>
      <c r="AO2746" s="10"/>
      <c r="AP2746" s="10"/>
      <c r="AQ2746" s="10"/>
      <c r="AR2746" s="10"/>
      <c r="AS2746" s="10"/>
      <c r="AT2746" s="10"/>
      <c r="AU2746" s="10"/>
      <c r="AV2746" s="10"/>
      <c r="AW2746" s="10"/>
      <c r="AX2746" s="10"/>
      <c r="AY2746" s="10"/>
      <c r="AZ2746" s="10"/>
      <c r="BA2746" s="10"/>
      <c r="BB2746" s="10"/>
      <c r="BC2746" s="10"/>
      <c r="BD2746" s="10"/>
      <c r="BE2746" s="10"/>
      <c r="BF2746" s="10"/>
      <c r="BG2746" s="10"/>
      <c r="BH2746" s="10"/>
      <c r="BI2746" s="10"/>
      <c r="BJ2746" s="10"/>
      <c r="BK2746" s="10"/>
      <c r="BM2746" s="10"/>
    </row>
    <row r="2747" spans="1:65" ht="12.75">
      <c r="A2747" s="9"/>
      <c r="B2747" s="10"/>
      <c r="C2747" s="11"/>
      <c r="D2747" s="12"/>
      <c r="E2747" s="10"/>
      <c r="F2747" s="10"/>
      <c r="G2747" s="10"/>
      <c r="H2747" s="14"/>
      <c r="I2747" s="14"/>
      <c r="J2747" s="14"/>
      <c r="K2747" s="14"/>
      <c r="L2747" s="14"/>
      <c r="M2747" s="15"/>
      <c r="N2747" s="10"/>
      <c r="O2747" s="14"/>
      <c r="P2747" s="14"/>
      <c r="Q2747" s="14"/>
      <c r="R2747" s="14"/>
      <c r="S2747" s="14"/>
      <c r="T2747" s="14"/>
      <c r="U2747" s="14"/>
      <c r="V2747" s="14"/>
      <c r="W2747" s="14"/>
      <c r="X2747" s="14"/>
      <c r="Y2747" s="14"/>
      <c r="Z2747" s="14"/>
      <c r="AA2747" s="16"/>
      <c r="AB2747" s="10"/>
      <c r="AC2747" s="10"/>
      <c r="AD2747" s="10"/>
      <c r="AE2747" s="10"/>
      <c r="AF2747" s="10"/>
      <c r="AG2747" s="10"/>
      <c r="AH2747" s="10"/>
      <c r="AI2747" s="10"/>
      <c r="AJ2747" s="10"/>
      <c r="AK2747" s="10"/>
      <c r="AL2747" s="10"/>
      <c r="AM2747" s="10"/>
      <c r="AN2747" s="10"/>
      <c r="AO2747" s="10"/>
      <c r="AP2747" s="10"/>
      <c r="AQ2747" s="10"/>
      <c r="AR2747" s="10"/>
      <c r="AS2747" s="10"/>
      <c r="AT2747" s="10"/>
      <c r="AU2747" s="10"/>
      <c r="AV2747" s="10"/>
      <c r="AW2747" s="10"/>
      <c r="AX2747" s="10"/>
      <c r="AY2747" s="10"/>
      <c r="AZ2747" s="10"/>
      <c r="BA2747" s="10"/>
      <c r="BB2747" s="10"/>
      <c r="BC2747" s="10"/>
      <c r="BD2747" s="10"/>
      <c r="BE2747" s="10"/>
      <c r="BF2747" s="10"/>
      <c r="BG2747" s="10"/>
      <c r="BH2747" s="10"/>
      <c r="BI2747" s="10"/>
      <c r="BJ2747" s="10"/>
      <c r="BK2747" s="10"/>
      <c r="BM2747" s="10"/>
    </row>
    <row r="2748" spans="1:65" ht="12.75">
      <c r="A2748" s="9"/>
      <c r="B2748" s="10"/>
      <c r="C2748" s="11"/>
      <c r="D2748" s="12"/>
      <c r="E2748" s="10"/>
      <c r="F2748" s="10"/>
      <c r="G2748" s="10"/>
      <c r="H2748" s="14"/>
      <c r="I2748" s="14"/>
      <c r="J2748" s="14"/>
      <c r="K2748" s="14"/>
      <c r="L2748" s="14"/>
      <c r="M2748" s="15"/>
      <c r="N2748" s="10"/>
      <c r="O2748" s="14"/>
      <c r="P2748" s="14"/>
      <c r="Q2748" s="14"/>
      <c r="R2748" s="14"/>
      <c r="S2748" s="14"/>
      <c r="T2748" s="14"/>
      <c r="U2748" s="14"/>
      <c r="V2748" s="14"/>
      <c r="W2748" s="14"/>
      <c r="X2748" s="14"/>
      <c r="Y2748" s="14"/>
      <c r="Z2748" s="14"/>
      <c r="AA2748" s="16"/>
      <c r="AB2748" s="10"/>
      <c r="AC2748" s="10"/>
      <c r="AD2748" s="10"/>
      <c r="AE2748" s="10"/>
      <c r="AF2748" s="10"/>
      <c r="AG2748" s="10"/>
      <c r="AH2748" s="10"/>
      <c r="AI2748" s="10"/>
      <c r="AJ2748" s="10"/>
      <c r="AK2748" s="10"/>
      <c r="AL2748" s="10"/>
      <c r="AM2748" s="10"/>
      <c r="AN2748" s="10"/>
      <c r="AO2748" s="10"/>
      <c r="AP2748" s="10"/>
      <c r="AQ2748" s="10"/>
      <c r="AR2748" s="10"/>
      <c r="AS2748" s="10"/>
      <c r="AT2748" s="10"/>
      <c r="AU2748" s="10"/>
      <c r="AV2748" s="10"/>
      <c r="AW2748" s="10"/>
      <c r="AX2748" s="10"/>
      <c r="AY2748" s="10"/>
      <c r="AZ2748" s="10"/>
      <c r="BA2748" s="10"/>
      <c r="BB2748" s="10"/>
      <c r="BC2748" s="10"/>
      <c r="BD2748" s="10"/>
      <c r="BE2748" s="10"/>
      <c r="BF2748" s="10"/>
      <c r="BG2748" s="10"/>
      <c r="BH2748" s="10"/>
      <c r="BI2748" s="10"/>
      <c r="BJ2748" s="10"/>
      <c r="BK2748" s="10"/>
      <c r="BM2748" s="10"/>
    </row>
    <row r="2749" spans="1:65" ht="12.75">
      <c r="A2749" s="9"/>
      <c r="B2749" s="10"/>
      <c r="C2749" s="11"/>
      <c r="D2749" s="12"/>
      <c r="E2749" s="10"/>
      <c r="F2749" s="10"/>
      <c r="G2749" s="10"/>
      <c r="H2749" s="14"/>
      <c r="I2749" s="14"/>
      <c r="J2749" s="14"/>
      <c r="K2749" s="14"/>
      <c r="L2749" s="14"/>
      <c r="M2749" s="15"/>
      <c r="N2749" s="10"/>
      <c r="O2749" s="14"/>
      <c r="P2749" s="14"/>
      <c r="Q2749" s="14"/>
      <c r="R2749" s="14"/>
      <c r="S2749" s="14"/>
      <c r="T2749" s="14"/>
      <c r="U2749" s="14"/>
      <c r="V2749" s="14"/>
      <c r="W2749" s="14"/>
      <c r="X2749" s="14"/>
      <c r="Y2749" s="14"/>
      <c r="Z2749" s="14"/>
      <c r="AA2749" s="16"/>
      <c r="AB2749" s="10"/>
      <c r="AC2749" s="10"/>
      <c r="AD2749" s="10"/>
      <c r="AE2749" s="10"/>
      <c r="AF2749" s="10"/>
      <c r="AG2749" s="10"/>
      <c r="AH2749" s="10"/>
      <c r="AI2749" s="10"/>
      <c r="AJ2749" s="10"/>
      <c r="AK2749" s="10"/>
      <c r="AL2749" s="10"/>
      <c r="AM2749" s="10"/>
      <c r="AN2749" s="10"/>
      <c r="AO2749" s="10"/>
      <c r="AP2749" s="10"/>
      <c r="AQ2749" s="10"/>
      <c r="AR2749" s="10"/>
      <c r="AS2749" s="10"/>
      <c r="AT2749" s="10"/>
      <c r="AU2749" s="10"/>
      <c r="AV2749" s="10"/>
      <c r="AW2749" s="10"/>
      <c r="AX2749" s="10"/>
      <c r="AY2749" s="10"/>
      <c r="AZ2749" s="10"/>
      <c r="BA2749" s="10"/>
      <c r="BB2749" s="10"/>
      <c r="BC2749" s="10"/>
      <c r="BD2749" s="10"/>
      <c r="BE2749" s="10"/>
      <c r="BF2749" s="10"/>
      <c r="BG2749" s="10"/>
      <c r="BH2749" s="10"/>
      <c r="BI2749" s="10"/>
      <c r="BJ2749" s="10"/>
      <c r="BK2749" s="10"/>
      <c r="BM2749" s="10"/>
    </row>
    <row r="2750" spans="1:65" ht="12.75">
      <c r="A2750" s="9"/>
      <c r="B2750" s="10"/>
      <c r="C2750" s="11"/>
      <c r="D2750" s="12"/>
      <c r="E2750" s="10"/>
      <c r="F2750" s="10"/>
      <c r="G2750" s="10"/>
      <c r="H2750" s="14"/>
      <c r="I2750" s="14"/>
      <c r="J2750" s="14"/>
      <c r="K2750" s="14"/>
      <c r="L2750" s="14"/>
      <c r="M2750" s="15"/>
      <c r="N2750" s="10"/>
      <c r="O2750" s="14"/>
      <c r="P2750" s="14"/>
      <c r="Q2750" s="14"/>
      <c r="R2750" s="14"/>
      <c r="S2750" s="14"/>
      <c r="T2750" s="14"/>
      <c r="U2750" s="14"/>
      <c r="V2750" s="14"/>
      <c r="W2750" s="14"/>
      <c r="X2750" s="14"/>
      <c r="Y2750" s="14"/>
      <c r="Z2750" s="14"/>
      <c r="AA2750" s="16"/>
      <c r="AB2750" s="10"/>
      <c r="AC2750" s="10"/>
      <c r="AD2750" s="10"/>
      <c r="AE2750" s="10"/>
      <c r="AF2750" s="10"/>
      <c r="AG2750" s="10"/>
      <c r="AH2750" s="10"/>
      <c r="AI2750" s="10"/>
      <c r="AJ2750" s="10"/>
      <c r="AK2750" s="10"/>
      <c r="AL2750" s="10"/>
      <c r="AM2750" s="10"/>
      <c r="AN2750" s="10"/>
      <c r="AO2750" s="10"/>
      <c r="AP2750" s="10"/>
      <c r="AQ2750" s="10"/>
      <c r="AR2750" s="10"/>
      <c r="AS2750" s="10"/>
      <c r="AT2750" s="10"/>
      <c r="AU2750" s="10"/>
      <c r="AV2750" s="10"/>
      <c r="AW2750" s="10"/>
      <c r="AX2750" s="10"/>
      <c r="AY2750" s="10"/>
      <c r="AZ2750" s="10"/>
      <c r="BA2750" s="10"/>
      <c r="BB2750" s="10"/>
      <c r="BC2750" s="10"/>
      <c r="BD2750" s="10"/>
      <c r="BE2750" s="10"/>
      <c r="BF2750" s="10"/>
      <c r="BG2750" s="10"/>
      <c r="BH2750" s="10"/>
      <c r="BI2750" s="10"/>
      <c r="BJ2750" s="10"/>
      <c r="BK2750" s="10"/>
      <c r="BM2750" s="10"/>
    </row>
    <row r="2751" spans="1:65" ht="12.75">
      <c r="A2751" s="9"/>
      <c r="B2751" s="10"/>
      <c r="C2751" s="11"/>
      <c r="D2751" s="12"/>
      <c r="E2751" s="10"/>
      <c r="F2751" s="10"/>
      <c r="G2751" s="10"/>
      <c r="H2751" s="14"/>
      <c r="I2751" s="14"/>
      <c r="J2751" s="14"/>
      <c r="K2751" s="14"/>
      <c r="L2751" s="14"/>
      <c r="M2751" s="15"/>
      <c r="N2751" s="10"/>
      <c r="O2751" s="14"/>
      <c r="P2751" s="14"/>
      <c r="Q2751" s="14"/>
      <c r="R2751" s="14"/>
      <c r="S2751" s="14"/>
      <c r="T2751" s="14"/>
      <c r="U2751" s="14"/>
      <c r="V2751" s="14"/>
      <c r="W2751" s="14"/>
      <c r="X2751" s="14"/>
      <c r="Y2751" s="14"/>
      <c r="Z2751" s="14"/>
      <c r="AA2751" s="16"/>
      <c r="AB2751" s="10"/>
      <c r="AC2751" s="10"/>
      <c r="AD2751" s="10"/>
      <c r="AE2751" s="10"/>
      <c r="AF2751" s="10"/>
      <c r="AG2751" s="10"/>
      <c r="AH2751" s="10"/>
      <c r="AI2751" s="10"/>
      <c r="AJ2751" s="10"/>
      <c r="AK2751" s="10"/>
      <c r="AL2751" s="10"/>
      <c r="AM2751" s="10"/>
      <c r="AN2751" s="10"/>
      <c r="AO2751" s="10"/>
      <c r="AP2751" s="10"/>
      <c r="AQ2751" s="10"/>
      <c r="AR2751" s="10"/>
      <c r="AS2751" s="10"/>
      <c r="AT2751" s="10"/>
      <c r="AU2751" s="10"/>
      <c r="AV2751" s="10"/>
      <c r="AW2751" s="10"/>
      <c r="AX2751" s="10"/>
      <c r="AY2751" s="10"/>
      <c r="AZ2751" s="10"/>
      <c r="BA2751" s="10"/>
      <c r="BB2751" s="10"/>
      <c r="BC2751" s="10"/>
      <c r="BD2751" s="10"/>
      <c r="BE2751" s="10"/>
      <c r="BF2751" s="10"/>
      <c r="BG2751" s="10"/>
      <c r="BH2751" s="10"/>
      <c r="BI2751" s="10"/>
      <c r="BJ2751" s="10"/>
      <c r="BK2751" s="10"/>
      <c r="BM2751" s="10"/>
    </row>
    <row r="2752" spans="1:65" ht="12.75">
      <c r="A2752" s="9"/>
      <c r="B2752" s="10"/>
      <c r="C2752" s="11"/>
      <c r="D2752" s="12"/>
      <c r="E2752" s="10"/>
      <c r="F2752" s="10"/>
      <c r="G2752" s="10"/>
      <c r="H2752" s="14"/>
      <c r="I2752" s="14"/>
      <c r="J2752" s="14"/>
      <c r="K2752" s="14"/>
      <c r="L2752" s="14"/>
      <c r="M2752" s="15"/>
      <c r="N2752" s="10"/>
      <c r="O2752" s="14"/>
      <c r="P2752" s="14"/>
      <c r="Q2752" s="14"/>
      <c r="R2752" s="14"/>
      <c r="S2752" s="14"/>
      <c r="T2752" s="14"/>
      <c r="U2752" s="14"/>
      <c r="V2752" s="14"/>
      <c r="W2752" s="14"/>
      <c r="X2752" s="14"/>
      <c r="Y2752" s="14"/>
      <c r="Z2752" s="14"/>
      <c r="AA2752" s="16"/>
      <c r="AB2752" s="10"/>
      <c r="AC2752" s="10"/>
      <c r="AD2752" s="10"/>
      <c r="AE2752" s="10"/>
      <c r="AF2752" s="10"/>
      <c r="AG2752" s="10"/>
      <c r="AH2752" s="10"/>
      <c r="AI2752" s="10"/>
      <c r="AJ2752" s="10"/>
      <c r="AK2752" s="10"/>
      <c r="AL2752" s="10"/>
      <c r="AM2752" s="10"/>
      <c r="AN2752" s="10"/>
      <c r="AO2752" s="10"/>
      <c r="AP2752" s="10"/>
      <c r="AQ2752" s="10"/>
      <c r="AR2752" s="10"/>
      <c r="AS2752" s="10"/>
      <c r="AT2752" s="10"/>
      <c r="AU2752" s="10"/>
      <c r="AV2752" s="10"/>
      <c r="AW2752" s="10"/>
      <c r="AX2752" s="10"/>
      <c r="AY2752" s="10"/>
      <c r="AZ2752" s="10"/>
      <c r="BA2752" s="10"/>
      <c r="BB2752" s="10"/>
      <c r="BC2752" s="10"/>
      <c r="BD2752" s="10"/>
      <c r="BE2752" s="10"/>
      <c r="BF2752" s="10"/>
      <c r="BG2752" s="10"/>
      <c r="BH2752" s="10"/>
      <c r="BI2752" s="10"/>
      <c r="BJ2752" s="10"/>
      <c r="BK2752" s="10"/>
      <c r="BM2752" s="10"/>
    </row>
    <row r="2753" spans="1:65" ht="12.75">
      <c r="A2753" s="9"/>
      <c r="B2753" s="10"/>
      <c r="C2753" s="11"/>
      <c r="D2753" s="12"/>
      <c r="E2753" s="10"/>
      <c r="F2753" s="10"/>
      <c r="G2753" s="10"/>
      <c r="H2753" s="14"/>
      <c r="I2753" s="14"/>
      <c r="J2753" s="14"/>
      <c r="K2753" s="14"/>
      <c r="L2753" s="14"/>
      <c r="M2753" s="15"/>
      <c r="N2753" s="10"/>
      <c r="O2753" s="14"/>
      <c r="P2753" s="14"/>
      <c r="Q2753" s="14"/>
      <c r="R2753" s="14"/>
      <c r="S2753" s="14"/>
      <c r="T2753" s="14"/>
      <c r="U2753" s="14"/>
      <c r="V2753" s="14"/>
      <c r="W2753" s="14"/>
      <c r="X2753" s="14"/>
      <c r="Y2753" s="14"/>
      <c r="Z2753" s="14"/>
      <c r="AA2753" s="16"/>
      <c r="AB2753" s="10"/>
      <c r="AC2753" s="10"/>
      <c r="AD2753" s="10"/>
      <c r="AE2753" s="10"/>
      <c r="AF2753" s="10"/>
      <c r="AG2753" s="10"/>
      <c r="AH2753" s="10"/>
      <c r="AI2753" s="10"/>
      <c r="AJ2753" s="10"/>
      <c r="AK2753" s="10"/>
      <c r="AL2753" s="10"/>
      <c r="AM2753" s="10"/>
      <c r="AN2753" s="10"/>
      <c r="AO2753" s="10"/>
      <c r="AP2753" s="10"/>
      <c r="AQ2753" s="10"/>
      <c r="AR2753" s="10"/>
      <c r="AS2753" s="10"/>
      <c r="AT2753" s="10"/>
      <c r="AU2753" s="10"/>
      <c r="AV2753" s="10"/>
      <c r="AW2753" s="10"/>
      <c r="AX2753" s="10"/>
      <c r="AY2753" s="10"/>
      <c r="AZ2753" s="10"/>
      <c r="BA2753" s="10"/>
      <c r="BB2753" s="10"/>
      <c r="BC2753" s="10"/>
      <c r="BD2753" s="10"/>
      <c r="BE2753" s="10"/>
      <c r="BF2753" s="10"/>
      <c r="BG2753" s="10"/>
      <c r="BH2753" s="10"/>
      <c r="BI2753" s="10"/>
      <c r="BJ2753" s="10"/>
      <c r="BK2753" s="10"/>
      <c r="BM2753" s="10"/>
    </row>
    <row r="2754" spans="1:65" ht="12.75">
      <c r="A2754" s="9"/>
      <c r="B2754" s="10"/>
      <c r="C2754" s="11"/>
      <c r="D2754" s="12"/>
      <c r="E2754" s="10"/>
      <c r="F2754" s="10"/>
      <c r="G2754" s="10"/>
      <c r="H2754" s="14"/>
      <c r="I2754" s="14"/>
      <c r="J2754" s="14"/>
      <c r="K2754" s="14"/>
      <c r="L2754" s="14"/>
      <c r="M2754" s="15"/>
      <c r="N2754" s="10"/>
      <c r="O2754" s="14"/>
      <c r="P2754" s="14"/>
      <c r="Q2754" s="14"/>
      <c r="R2754" s="14"/>
      <c r="S2754" s="14"/>
      <c r="T2754" s="14"/>
      <c r="U2754" s="14"/>
      <c r="V2754" s="14"/>
      <c r="W2754" s="14"/>
      <c r="X2754" s="14"/>
      <c r="Y2754" s="14"/>
      <c r="Z2754" s="14"/>
      <c r="AA2754" s="16"/>
      <c r="AB2754" s="10"/>
      <c r="AC2754" s="10"/>
      <c r="AD2754" s="10"/>
      <c r="AE2754" s="10"/>
      <c r="AF2754" s="10"/>
      <c r="AG2754" s="10"/>
      <c r="AH2754" s="10"/>
      <c r="AI2754" s="10"/>
      <c r="AJ2754" s="10"/>
      <c r="AK2754" s="10"/>
      <c r="AL2754" s="10"/>
      <c r="AM2754" s="10"/>
      <c r="AN2754" s="10"/>
      <c r="AO2754" s="10"/>
      <c r="AP2754" s="10"/>
      <c r="AQ2754" s="10"/>
      <c r="AR2754" s="10"/>
      <c r="AS2754" s="10"/>
      <c r="AT2754" s="10"/>
      <c r="AU2754" s="10"/>
      <c r="AV2754" s="10"/>
      <c r="AW2754" s="10"/>
      <c r="AX2754" s="10"/>
      <c r="AY2754" s="10"/>
      <c r="AZ2754" s="10"/>
      <c r="BA2754" s="10"/>
      <c r="BB2754" s="10"/>
      <c r="BC2754" s="10"/>
      <c r="BD2754" s="10"/>
      <c r="BE2754" s="10"/>
      <c r="BF2754" s="10"/>
      <c r="BG2754" s="10"/>
      <c r="BH2754" s="10"/>
      <c r="BI2754" s="10"/>
      <c r="BJ2754" s="10"/>
      <c r="BK2754" s="10"/>
      <c r="BM2754" s="10"/>
    </row>
    <row r="2755" spans="1:65" ht="12.75">
      <c r="A2755" s="9"/>
      <c r="B2755" s="10"/>
      <c r="C2755" s="11"/>
      <c r="D2755" s="12"/>
      <c r="E2755" s="10"/>
      <c r="F2755" s="10"/>
      <c r="G2755" s="10"/>
      <c r="H2755" s="14"/>
      <c r="I2755" s="14"/>
      <c r="J2755" s="14"/>
      <c r="K2755" s="14"/>
      <c r="L2755" s="14"/>
      <c r="M2755" s="15"/>
      <c r="N2755" s="10"/>
      <c r="O2755" s="14"/>
      <c r="P2755" s="14"/>
      <c r="Q2755" s="14"/>
      <c r="R2755" s="14"/>
      <c r="S2755" s="14"/>
      <c r="T2755" s="14"/>
      <c r="U2755" s="14"/>
      <c r="V2755" s="14"/>
      <c r="W2755" s="14"/>
      <c r="X2755" s="14"/>
      <c r="Y2755" s="14"/>
      <c r="Z2755" s="14"/>
      <c r="AA2755" s="16"/>
      <c r="AB2755" s="10"/>
      <c r="AC2755" s="10"/>
      <c r="AD2755" s="10"/>
      <c r="AE2755" s="10"/>
      <c r="AF2755" s="10"/>
      <c r="AG2755" s="10"/>
      <c r="AH2755" s="10"/>
      <c r="AI2755" s="10"/>
      <c r="AJ2755" s="10"/>
      <c r="AK2755" s="10"/>
      <c r="AL2755" s="10"/>
      <c r="AM2755" s="10"/>
      <c r="AN2755" s="10"/>
      <c r="AO2755" s="10"/>
      <c r="AP2755" s="10"/>
      <c r="AQ2755" s="10"/>
      <c r="AR2755" s="10"/>
      <c r="AS2755" s="10"/>
      <c r="AT2755" s="10"/>
      <c r="AU2755" s="10"/>
      <c r="AV2755" s="10"/>
      <c r="AW2755" s="10"/>
      <c r="AX2755" s="10"/>
      <c r="AY2755" s="10"/>
      <c r="AZ2755" s="10"/>
      <c r="BA2755" s="10"/>
      <c r="BB2755" s="10"/>
      <c r="BC2755" s="10"/>
      <c r="BD2755" s="10"/>
      <c r="BE2755" s="10"/>
      <c r="BF2755" s="10"/>
      <c r="BG2755" s="10"/>
      <c r="BH2755" s="10"/>
      <c r="BI2755" s="10"/>
      <c r="BJ2755" s="10"/>
      <c r="BK2755" s="10"/>
      <c r="BM2755" s="10"/>
    </row>
    <row r="2756" spans="1:65" ht="12.75">
      <c r="A2756" s="9"/>
      <c r="B2756" s="10"/>
      <c r="C2756" s="11"/>
      <c r="D2756" s="12"/>
      <c r="E2756" s="10"/>
      <c r="F2756" s="10"/>
      <c r="G2756" s="10"/>
      <c r="H2756" s="14"/>
      <c r="I2756" s="14"/>
      <c r="J2756" s="14"/>
      <c r="K2756" s="14"/>
      <c r="L2756" s="14"/>
      <c r="M2756" s="15"/>
      <c r="N2756" s="10"/>
      <c r="O2756" s="14"/>
      <c r="P2756" s="14"/>
      <c r="Q2756" s="14"/>
      <c r="R2756" s="14"/>
      <c r="S2756" s="14"/>
      <c r="T2756" s="14"/>
      <c r="U2756" s="14"/>
      <c r="V2756" s="14"/>
      <c r="W2756" s="14"/>
      <c r="X2756" s="14"/>
      <c r="Y2756" s="14"/>
      <c r="Z2756" s="14"/>
      <c r="AA2756" s="16"/>
      <c r="AB2756" s="10"/>
      <c r="AC2756" s="10"/>
      <c r="AD2756" s="10"/>
      <c r="AE2756" s="10"/>
      <c r="AF2756" s="10"/>
      <c r="AG2756" s="10"/>
      <c r="AH2756" s="10"/>
      <c r="AI2756" s="10"/>
      <c r="AJ2756" s="10"/>
      <c r="AK2756" s="10"/>
      <c r="AL2756" s="10"/>
      <c r="AM2756" s="10"/>
      <c r="AN2756" s="10"/>
      <c r="AO2756" s="10"/>
      <c r="AP2756" s="10"/>
      <c r="AQ2756" s="10"/>
      <c r="AR2756" s="10"/>
      <c r="AS2756" s="10"/>
      <c r="AT2756" s="10"/>
      <c r="AU2756" s="10"/>
      <c r="AV2756" s="10"/>
      <c r="AW2756" s="10"/>
      <c r="AX2756" s="10"/>
      <c r="AY2756" s="10"/>
      <c r="AZ2756" s="10"/>
      <c r="BA2756" s="10"/>
      <c r="BB2756" s="10"/>
      <c r="BC2756" s="10"/>
      <c r="BD2756" s="10"/>
      <c r="BE2756" s="10"/>
      <c r="BF2756" s="10"/>
      <c r="BG2756" s="10"/>
      <c r="BH2756" s="10"/>
      <c r="BI2756" s="10"/>
      <c r="BJ2756" s="10"/>
      <c r="BK2756" s="10"/>
      <c r="BM2756" s="10"/>
    </row>
    <row r="2757" spans="1:65" ht="12.75">
      <c r="A2757" s="9"/>
      <c r="B2757" s="10"/>
      <c r="C2757" s="11"/>
      <c r="D2757" s="12"/>
      <c r="E2757" s="10"/>
      <c r="F2757" s="10"/>
      <c r="G2757" s="10"/>
      <c r="H2757" s="14"/>
      <c r="I2757" s="14"/>
      <c r="J2757" s="14"/>
      <c r="K2757" s="14"/>
      <c r="L2757" s="14"/>
      <c r="M2757" s="15"/>
      <c r="N2757" s="10"/>
      <c r="O2757" s="14"/>
      <c r="P2757" s="14"/>
      <c r="Q2757" s="14"/>
      <c r="R2757" s="14"/>
      <c r="S2757" s="14"/>
      <c r="T2757" s="14"/>
      <c r="U2757" s="14"/>
      <c r="V2757" s="14"/>
      <c r="W2757" s="14"/>
      <c r="X2757" s="14"/>
      <c r="Y2757" s="14"/>
      <c r="Z2757" s="14"/>
      <c r="AA2757" s="16"/>
      <c r="AB2757" s="10"/>
      <c r="AC2757" s="10"/>
      <c r="AD2757" s="10"/>
      <c r="AE2757" s="10"/>
      <c r="AF2757" s="10"/>
      <c r="AG2757" s="10"/>
      <c r="AH2757" s="10"/>
      <c r="AI2757" s="10"/>
      <c r="AJ2757" s="10"/>
      <c r="AK2757" s="10"/>
      <c r="AL2757" s="10"/>
      <c r="AM2757" s="10"/>
      <c r="AN2757" s="10"/>
      <c r="AO2757" s="10"/>
      <c r="AP2757" s="10"/>
      <c r="AQ2757" s="10"/>
      <c r="AR2757" s="10"/>
      <c r="AS2757" s="10"/>
      <c r="AT2757" s="10"/>
      <c r="AU2757" s="10"/>
      <c r="AV2757" s="10"/>
      <c r="AW2757" s="10"/>
      <c r="AX2757" s="10"/>
      <c r="AY2757" s="10"/>
      <c r="AZ2757" s="10"/>
      <c r="BA2757" s="10"/>
      <c r="BB2757" s="10"/>
      <c r="BC2757" s="10"/>
      <c r="BD2757" s="10"/>
      <c r="BE2757" s="10"/>
      <c r="BF2757" s="10"/>
      <c r="BG2757" s="10"/>
      <c r="BH2757" s="10"/>
      <c r="BI2757" s="10"/>
      <c r="BJ2757" s="10"/>
      <c r="BK2757" s="10"/>
      <c r="BM2757" s="10"/>
    </row>
    <row r="2758" spans="1:65" ht="12.75">
      <c r="A2758" s="9"/>
      <c r="B2758" s="10"/>
      <c r="C2758" s="11"/>
      <c r="D2758" s="12"/>
      <c r="E2758" s="10"/>
      <c r="F2758" s="10"/>
      <c r="G2758" s="10"/>
      <c r="H2758" s="14"/>
      <c r="I2758" s="14"/>
      <c r="J2758" s="14"/>
      <c r="K2758" s="14"/>
      <c r="L2758" s="14"/>
      <c r="M2758" s="15"/>
      <c r="N2758" s="10"/>
      <c r="O2758" s="14"/>
      <c r="P2758" s="14"/>
      <c r="Q2758" s="14"/>
      <c r="R2758" s="14"/>
      <c r="S2758" s="14"/>
      <c r="T2758" s="14"/>
      <c r="U2758" s="14"/>
      <c r="V2758" s="14"/>
      <c r="W2758" s="14"/>
      <c r="X2758" s="14"/>
      <c r="Y2758" s="14"/>
      <c r="Z2758" s="14"/>
      <c r="AA2758" s="16"/>
      <c r="AB2758" s="10"/>
      <c r="AC2758" s="10"/>
      <c r="AD2758" s="10"/>
      <c r="AE2758" s="10"/>
      <c r="AF2758" s="10"/>
      <c r="AG2758" s="10"/>
      <c r="AH2758" s="10"/>
      <c r="AI2758" s="10"/>
      <c r="AJ2758" s="10"/>
      <c r="AK2758" s="10"/>
      <c r="AL2758" s="10"/>
      <c r="AM2758" s="10"/>
      <c r="AN2758" s="10"/>
      <c r="AO2758" s="10"/>
      <c r="AP2758" s="10"/>
      <c r="AQ2758" s="10"/>
      <c r="AR2758" s="10"/>
      <c r="AS2758" s="10"/>
      <c r="AT2758" s="10"/>
      <c r="AU2758" s="10"/>
      <c r="AV2758" s="10"/>
      <c r="AW2758" s="10"/>
      <c r="AX2758" s="10"/>
      <c r="AY2758" s="10"/>
      <c r="AZ2758" s="10"/>
      <c r="BA2758" s="10"/>
      <c r="BB2758" s="10"/>
      <c r="BC2758" s="10"/>
      <c r="BD2758" s="10"/>
      <c r="BE2758" s="10"/>
      <c r="BF2758" s="10"/>
      <c r="BG2758" s="10"/>
      <c r="BH2758" s="10"/>
      <c r="BI2758" s="10"/>
      <c r="BJ2758" s="10"/>
      <c r="BK2758" s="10"/>
      <c r="BM2758" s="10"/>
    </row>
    <row r="2759" spans="1:65" ht="12.75">
      <c r="A2759" s="9"/>
      <c r="B2759" s="10"/>
      <c r="C2759" s="11"/>
      <c r="D2759" s="12"/>
      <c r="E2759" s="10"/>
      <c r="F2759" s="10"/>
      <c r="G2759" s="10"/>
      <c r="H2759" s="14"/>
      <c r="I2759" s="14"/>
      <c r="J2759" s="14"/>
      <c r="K2759" s="14"/>
      <c r="L2759" s="14"/>
      <c r="M2759" s="15"/>
      <c r="N2759" s="10"/>
      <c r="O2759" s="14"/>
      <c r="P2759" s="14"/>
      <c r="Q2759" s="14"/>
      <c r="R2759" s="14"/>
      <c r="S2759" s="14"/>
      <c r="T2759" s="14"/>
      <c r="U2759" s="14"/>
      <c r="V2759" s="14"/>
      <c r="W2759" s="14"/>
      <c r="X2759" s="14"/>
      <c r="Y2759" s="14"/>
      <c r="Z2759" s="14"/>
      <c r="AA2759" s="16"/>
      <c r="AB2759" s="10"/>
      <c r="AC2759" s="10"/>
      <c r="AD2759" s="10"/>
      <c r="AE2759" s="10"/>
      <c r="AF2759" s="10"/>
      <c r="AG2759" s="10"/>
      <c r="AH2759" s="10"/>
      <c r="AI2759" s="10"/>
      <c r="AJ2759" s="10"/>
      <c r="AK2759" s="10"/>
      <c r="AL2759" s="1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10"/>
      <c r="BJ2759" s="10"/>
      <c r="BK2759" s="10"/>
      <c r="BM2759" s="10"/>
    </row>
    <row r="2760" spans="1:65" ht="12.75">
      <c r="A2760" s="9"/>
      <c r="B2760" s="10"/>
      <c r="C2760" s="11"/>
      <c r="D2760" s="12"/>
      <c r="E2760" s="10"/>
      <c r="F2760" s="10"/>
      <c r="G2760" s="10"/>
      <c r="H2760" s="14"/>
      <c r="I2760" s="14"/>
      <c r="J2760" s="14"/>
      <c r="K2760" s="14"/>
      <c r="L2760" s="14"/>
      <c r="M2760" s="15"/>
      <c r="N2760" s="10"/>
      <c r="O2760" s="14"/>
      <c r="P2760" s="14"/>
      <c r="Q2760" s="14"/>
      <c r="R2760" s="14"/>
      <c r="S2760" s="14"/>
      <c r="T2760" s="14"/>
      <c r="U2760" s="14"/>
      <c r="V2760" s="14"/>
      <c r="W2760" s="14"/>
      <c r="X2760" s="14"/>
      <c r="Y2760" s="14"/>
      <c r="Z2760" s="14"/>
      <c r="AA2760" s="16"/>
      <c r="AB2760" s="10"/>
      <c r="AC2760" s="10"/>
      <c r="AD2760" s="10"/>
      <c r="AE2760" s="10"/>
      <c r="AF2760" s="10"/>
      <c r="AG2760" s="10"/>
      <c r="AH2760" s="10"/>
      <c r="AI2760" s="10"/>
      <c r="AJ2760" s="10"/>
      <c r="AK2760" s="10"/>
      <c r="AL2760" s="10"/>
      <c r="AM2760" s="10"/>
      <c r="AN2760" s="10"/>
      <c r="AO2760" s="10"/>
      <c r="AP2760" s="10"/>
      <c r="AQ2760" s="10"/>
      <c r="AR2760" s="10"/>
      <c r="AS2760" s="10"/>
      <c r="AT2760" s="10"/>
      <c r="AU2760" s="10"/>
      <c r="AV2760" s="10"/>
      <c r="AW2760" s="10"/>
      <c r="AX2760" s="10"/>
      <c r="AY2760" s="10"/>
      <c r="AZ2760" s="10"/>
      <c r="BA2760" s="10"/>
      <c r="BB2760" s="10"/>
      <c r="BC2760" s="10"/>
      <c r="BD2760" s="10"/>
      <c r="BE2760" s="10"/>
      <c r="BF2760" s="10"/>
      <c r="BG2760" s="10"/>
      <c r="BH2760" s="10"/>
      <c r="BI2760" s="10"/>
      <c r="BJ2760" s="10"/>
      <c r="BK2760" s="10"/>
      <c r="BM2760" s="10"/>
    </row>
    <row r="2761" spans="1:65" ht="12.75">
      <c r="A2761" s="9"/>
      <c r="B2761" s="10"/>
      <c r="C2761" s="11"/>
      <c r="D2761" s="12"/>
      <c r="E2761" s="10"/>
      <c r="F2761" s="10"/>
      <c r="G2761" s="10"/>
      <c r="H2761" s="14"/>
      <c r="I2761" s="14"/>
      <c r="J2761" s="14"/>
      <c r="K2761" s="14"/>
      <c r="L2761" s="14"/>
      <c r="M2761" s="15"/>
      <c r="N2761" s="10"/>
      <c r="O2761" s="14"/>
      <c r="P2761" s="14"/>
      <c r="Q2761" s="14"/>
      <c r="R2761" s="14"/>
      <c r="S2761" s="14"/>
      <c r="T2761" s="14"/>
      <c r="U2761" s="14"/>
      <c r="V2761" s="14"/>
      <c r="W2761" s="14"/>
      <c r="X2761" s="14"/>
      <c r="Y2761" s="14"/>
      <c r="Z2761" s="14"/>
      <c r="AA2761" s="16"/>
      <c r="AB2761" s="10"/>
      <c r="AC2761" s="10"/>
      <c r="AD2761" s="10"/>
      <c r="AE2761" s="10"/>
      <c r="AF2761" s="10"/>
      <c r="AG2761" s="10"/>
      <c r="AH2761" s="10"/>
      <c r="AI2761" s="10"/>
      <c r="AJ2761" s="10"/>
      <c r="AK2761" s="10"/>
      <c r="AL2761" s="10"/>
      <c r="AM2761" s="10"/>
      <c r="AN2761" s="10"/>
      <c r="AO2761" s="10"/>
      <c r="AP2761" s="10"/>
      <c r="AQ2761" s="10"/>
      <c r="AR2761" s="10"/>
      <c r="AS2761" s="10"/>
      <c r="AT2761" s="10"/>
      <c r="AU2761" s="10"/>
      <c r="AV2761" s="10"/>
      <c r="AW2761" s="10"/>
      <c r="AX2761" s="10"/>
      <c r="AY2761" s="10"/>
      <c r="AZ2761" s="10"/>
      <c r="BA2761" s="10"/>
      <c r="BB2761" s="10"/>
      <c r="BC2761" s="10"/>
      <c r="BD2761" s="10"/>
      <c r="BE2761" s="10"/>
      <c r="BF2761" s="10"/>
      <c r="BG2761" s="10"/>
      <c r="BH2761" s="10"/>
      <c r="BI2761" s="10"/>
      <c r="BJ2761" s="10"/>
      <c r="BK2761" s="10"/>
      <c r="BM2761" s="10"/>
    </row>
    <row r="2762" spans="1:65" ht="12.75">
      <c r="A2762" s="9"/>
      <c r="B2762" s="10"/>
      <c r="C2762" s="11"/>
      <c r="D2762" s="12"/>
      <c r="E2762" s="10"/>
      <c r="F2762" s="10"/>
      <c r="G2762" s="10"/>
      <c r="H2762" s="14"/>
      <c r="I2762" s="14"/>
      <c r="J2762" s="14"/>
      <c r="K2762" s="14"/>
      <c r="L2762" s="14"/>
      <c r="M2762" s="15"/>
      <c r="N2762" s="10"/>
      <c r="O2762" s="14"/>
      <c r="P2762" s="14"/>
      <c r="Q2762" s="14"/>
      <c r="R2762" s="14"/>
      <c r="S2762" s="14"/>
      <c r="T2762" s="14"/>
      <c r="U2762" s="14"/>
      <c r="V2762" s="14"/>
      <c r="W2762" s="14"/>
      <c r="X2762" s="14"/>
      <c r="Y2762" s="14"/>
      <c r="Z2762" s="14"/>
      <c r="AA2762" s="16"/>
      <c r="AB2762" s="10"/>
      <c r="AC2762" s="10"/>
      <c r="AD2762" s="10"/>
      <c r="AE2762" s="10"/>
      <c r="AF2762" s="10"/>
      <c r="AG2762" s="10"/>
      <c r="AH2762" s="10"/>
      <c r="AI2762" s="10"/>
      <c r="AJ2762" s="10"/>
      <c r="AK2762" s="10"/>
      <c r="AL2762" s="10"/>
      <c r="AM2762" s="10"/>
      <c r="AN2762" s="10"/>
      <c r="AO2762" s="10"/>
      <c r="AP2762" s="10"/>
      <c r="AQ2762" s="10"/>
      <c r="AR2762" s="10"/>
      <c r="AS2762" s="10"/>
      <c r="AT2762" s="10"/>
      <c r="AU2762" s="10"/>
      <c r="AV2762" s="10"/>
      <c r="AW2762" s="10"/>
      <c r="AX2762" s="10"/>
      <c r="AY2762" s="10"/>
      <c r="AZ2762" s="10"/>
      <c r="BA2762" s="10"/>
      <c r="BB2762" s="10"/>
      <c r="BC2762" s="10"/>
      <c r="BD2762" s="10"/>
      <c r="BE2762" s="10"/>
      <c r="BF2762" s="10"/>
      <c r="BG2762" s="10"/>
      <c r="BH2762" s="10"/>
      <c r="BI2762" s="10"/>
      <c r="BJ2762" s="10"/>
      <c r="BK2762" s="10"/>
      <c r="BM2762" s="10"/>
    </row>
    <row r="2763" spans="1:65" ht="12.75">
      <c r="A2763" s="9"/>
      <c r="B2763" s="10"/>
      <c r="C2763" s="11"/>
      <c r="D2763" s="12"/>
      <c r="E2763" s="10"/>
      <c r="F2763" s="10"/>
      <c r="G2763" s="10"/>
      <c r="H2763" s="14"/>
      <c r="I2763" s="14"/>
      <c r="J2763" s="14"/>
      <c r="K2763" s="14"/>
      <c r="L2763" s="14"/>
      <c r="M2763" s="15"/>
      <c r="N2763" s="10"/>
      <c r="O2763" s="14"/>
      <c r="P2763" s="14"/>
      <c r="Q2763" s="14"/>
      <c r="R2763" s="14"/>
      <c r="S2763" s="14"/>
      <c r="T2763" s="14"/>
      <c r="U2763" s="14"/>
      <c r="V2763" s="14"/>
      <c r="W2763" s="14"/>
      <c r="X2763" s="14"/>
      <c r="Y2763" s="14"/>
      <c r="Z2763" s="14"/>
      <c r="AA2763" s="16"/>
      <c r="AB2763" s="10"/>
      <c r="AC2763" s="10"/>
      <c r="AD2763" s="10"/>
      <c r="AE2763" s="10"/>
      <c r="AF2763" s="10"/>
      <c r="AG2763" s="10"/>
      <c r="AH2763" s="10"/>
      <c r="AI2763" s="10"/>
      <c r="AJ2763" s="10"/>
      <c r="AK2763" s="10"/>
      <c r="AL2763" s="10"/>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10"/>
      <c r="BJ2763" s="10"/>
      <c r="BK2763" s="10"/>
      <c r="BM2763" s="10"/>
    </row>
    <row r="2764" spans="1:65" ht="12.75">
      <c r="A2764" s="9"/>
      <c r="B2764" s="10"/>
      <c r="C2764" s="11"/>
      <c r="D2764" s="12"/>
      <c r="E2764" s="10"/>
      <c r="F2764" s="10"/>
      <c r="G2764" s="10"/>
      <c r="H2764" s="14"/>
      <c r="I2764" s="14"/>
      <c r="J2764" s="14"/>
      <c r="K2764" s="14"/>
      <c r="L2764" s="14"/>
      <c r="M2764" s="15"/>
      <c r="N2764" s="10"/>
      <c r="O2764" s="14"/>
      <c r="P2764" s="14"/>
      <c r="Q2764" s="14"/>
      <c r="R2764" s="14"/>
      <c r="S2764" s="14"/>
      <c r="T2764" s="14"/>
      <c r="U2764" s="14"/>
      <c r="V2764" s="14"/>
      <c r="W2764" s="14"/>
      <c r="X2764" s="14"/>
      <c r="Y2764" s="14"/>
      <c r="Z2764" s="14"/>
      <c r="AA2764" s="16"/>
      <c r="AB2764" s="10"/>
      <c r="AC2764" s="10"/>
      <c r="AD2764" s="10"/>
      <c r="AE2764" s="10"/>
      <c r="AF2764" s="10"/>
      <c r="AG2764" s="10"/>
      <c r="AH2764" s="10"/>
      <c r="AI2764" s="10"/>
      <c r="AJ2764" s="10"/>
      <c r="AK2764" s="10"/>
      <c r="AL2764" s="10"/>
      <c r="AM2764" s="10"/>
      <c r="AN2764" s="10"/>
      <c r="AO2764" s="10"/>
      <c r="AP2764" s="10"/>
      <c r="AQ2764" s="10"/>
      <c r="AR2764" s="10"/>
      <c r="AS2764" s="10"/>
      <c r="AT2764" s="10"/>
      <c r="AU2764" s="10"/>
      <c r="AV2764" s="10"/>
      <c r="AW2764" s="10"/>
      <c r="AX2764" s="10"/>
      <c r="AY2764" s="10"/>
      <c r="AZ2764" s="10"/>
      <c r="BA2764" s="10"/>
      <c r="BB2764" s="10"/>
      <c r="BC2764" s="10"/>
      <c r="BD2764" s="10"/>
      <c r="BE2764" s="10"/>
      <c r="BF2764" s="10"/>
      <c r="BG2764" s="10"/>
      <c r="BH2764" s="10"/>
      <c r="BI2764" s="10"/>
      <c r="BJ2764" s="10"/>
      <c r="BK2764" s="10"/>
      <c r="BM2764" s="10"/>
    </row>
    <row r="2765" spans="1:65" ht="12.75">
      <c r="A2765" s="9"/>
      <c r="B2765" s="10"/>
      <c r="C2765" s="11"/>
      <c r="D2765" s="12"/>
      <c r="E2765" s="10"/>
      <c r="F2765" s="10"/>
      <c r="G2765" s="10"/>
      <c r="H2765" s="14"/>
      <c r="I2765" s="14"/>
      <c r="J2765" s="14"/>
      <c r="K2765" s="14"/>
      <c r="L2765" s="14"/>
      <c r="M2765" s="15"/>
      <c r="N2765" s="10"/>
      <c r="O2765" s="14"/>
      <c r="P2765" s="14"/>
      <c r="Q2765" s="14"/>
      <c r="R2765" s="14"/>
      <c r="S2765" s="14"/>
      <c r="T2765" s="14"/>
      <c r="U2765" s="14"/>
      <c r="V2765" s="14"/>
      <c r="W2765" s="14"/>
      <c r="X2765" s="14"/>
      <c r="Y2765" s="14"/>
      <c r="Z2765" s="14"/>
      <c r="AA2765" s="16"/>
      <c r="AB2765" s="10"/>
      <c r="AC2765" s="10"/>
      <c r="AD2765" s="10"/>
      <c r="AE2765" s="10"/>
      <c r="AF2765" s="10"/>
      <c r="AG2765" s="10"/>
      <c r="AH2765" s="10"/>
      <c r="AI2765" s="10"/>
      <c r="AJ2765" s="10"/>
      <c r="AK2765" s="10"/>
      <c r="AL2765" s="1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0"/>
      <c r="BM2765" s="10"/>
    </row>
    <row r="2766" spans="1:65" ht="12.75">
      <c r="A2766" s="9"/>
      <c r="B2766" s="10"/>
      <c r="C2766" s="11"/>
      <c r="D2766" s="12"/>
      <c r="E2766" s="10"/>
      <c r="F2766" s="10"/>
      <c r="G2766" s="10"/>
      <c r="H2766" s="14"/>
      <c r="I2766" s="14"/>
      <c r="J2766" s="14"/>
      <c r="K2766" s="14"/>
      <c r="L2766" s="14"/>
      <c r="M2766" s="15"/>
      <c r="N2766" s="10"/>
      <c r="O2766" s="14"/>
      <c r="P2766" s="14"/>
      <c r="Q2766" s="14"/>
      <c r="R2766" s="14"/>
      <c r="S2766" s="14"/>
      <c r="T2766" s="14"/>
      <c r="U2766" s="14"/>
      <c r="V2766" s="14"/>
      <c r="W2766" s="14"/>
      <c r="X2766" s="14"/>
      <c r="Y2766" s="14"/>
      <c r="Z2766" s="14"/>
      <c r="AA2766" s="16"/>
      <c r="AB2766" s="10"/>
      <c r="AC2766" s="10"/>
      <c r="AD2766" s="10"/>
      <c r="AE2766" s="10"/>
      <c r="AF2766" s="10"/>
      <c r="AG2766" s="10"/>
      <c r="AH2766" s="10"/>
      <c r="AI2766" s="10"/>
      <c r="AJ2766" s="10"/>
      <c r="AK2766" s="10"/>
      <c r="AL2766" s="10"/>
      <c r="AM2766" s="10"/>
      <c r="AN2766" s="10"/>
      <c r="AO2766" s="10"/>
      <c r="AP2766" s="10"/>
      <c r="AQ2766" s="10"/>
      <c r="AR2766" s="10"/>
      <c r="AS2766" s="10"/>
      <c r="AT2766" s="10"/>
      <c r="AU2766" s="10"/>
      <c r="AV2766" s="10"/>
      <c r="AW2766" s="10"/>
      <c r="AX2766" s="10"/>
      <c r="AY2766" s="10"/>
      <c r="AZ2766" s="10"/>
      <c r="BA2766" s="10"/>
      <c r="BB2766" s="10"/>
      <c r="BC2766" s="10"/>
      <c r="BD2766" s="10"/>
      <c r="BE2766" s="10"/>
      <c r="BF2766" s="10"/>
      <c r="BG2766" s="10"/>
      <c r="BH2766" s="10"/>
      <c r="BI2766" s="10"/>
      <c r="BJ2766" s="10"/>
      <c r="BK2766" s="10"/>
      <c r="BM2766" s="10"/>
    </row>
    <row r="2767" spans="1:65" ht="12.75">
      <c r="A2767" s="9"/>
      <c r="B2767" s="10"/>
      <c r="C2767" s="11"/>
      <c r="D2767" s="12"/>
      <c r="E2767" s="10"/>
      <c r="F2767" s="10"/>
      <c r="G2767" s="10"/>
      <c r="H2767" s="14"/>
      <c r="I2767" s="14"/>
      <c r="J2767" s="14"/>
      <c r="K2767" s="14"/>
      <c r="L2767" s="14"/>
      <c r="M2767" s="15"/>
      <c r="N2767" s="10"/>
      <c r="O2767" s="14"/>
      <c r="P2767" s="14"/>
      <c r="Q2767" s="14"/>
      <c r="R2767" s="14"/>
      <c r="S2767" s="14"/>
      <c r="T2767" s="14"/>
      <c r="U2767" s="14"/>
      <c r="V2767" s="14"/>
      <c r="W2767" s="14"/>
      <c r="X2767" s="14"/>
      <c r="Y2767" s="14"/>
      <c r="Z2767" s="14"/>
      <c r="AA2767" s="16"/>
      <c r="AB2767" s="10"/>
      <c r="AC2767" s="10"/>
      <c r="AD2767" s="10"/>
      <c r="AE2767" s="10"/>
      <c r="AF2767" s="10"/>
      <c r="AG2767" s="10"/>
      <c r="AH2767" s="10"/>
      <c r="AI2767" s="10"/>
      <c r="AJ2767" s="10"/>
      <c r="AK2767" s="10"/>
      <c r="AL2767" s="10"/>
      <c r="AM2767" s="10"/>
      <c r="AN2767" s="10"/>
      <c r="AO2767" s="10"/>
      <c r="AP2767" s="10"/>
      <c r="AQ2767" s="10"/>
      <c r="AR2767" s="10"/>
      <c r="AS2767" s="10"/>
      <c r="AT2767" s="10"/>
      <c r="AU2767" s="10"/>
      <c r="AV2767" s="10"/>
      <c r="AW2767" s="10"/>
      <c r="AX2767" s="10"/>
      <c r="AY2767" s="10"/>
      <c r="AZ2767" s="10"/>
      <c r="BA2767" s="10"/>
      <c r="BB2767" s="10"/>
      <c r="BC2767" s="10"/>
      <c r="BD2767" s="10"/>
      <c r="BE2767" s="10"/>
      <c r="BF2767" s="10"/>
      <c r="BG2767" s="10"/>
      <c r="BH2767" s="10"/>
      <c r="BI2767" s="10"/>
      <c r="BJ2767" s="10"/>
      <c r="BK2767" s="10"/>
      <c r="BM2767" s="10"/>
    </row>
    <row r="2768" spans="1:65" ht="12.75">
      <c r="A2768" s="9"/>
      <c r="B2768" s="10"/>
      <c r="C2768" s="11"/>
      <c r="D2768" s="12"/>
      <c r="E2768" s="10"/>
      <c r="F2768" s="10"/>
      <c r="G2768" s="10"/>
      <c r="H2768" s="14"/>
      <c r="I2768" s="14"/>
      <c r="J2768" s="14"/>
      <c r="K2768" s="14"/>
      <c r="L2768" s="14"/>
      <c r="M2768" s="15"/>
      <c r="N2768" s="10"/>
      <c r="O2768" s="14"/>
      <c r="P2768" s="14"/>
      <c r="Q2768" s="14"/>
      <c r="R2768" s="14"/>
      <c r="S2768" s="14"/>
      <c r="T2768" s="14"/>
      <c r="U2768" s="14"/>
      <c r="V2768" s="14"/>
      <c r="W2768" s="14"/>
      <c r="X2768" s="14"/>
      <c r="Y2768" s="14"/>
      <c r="Z2768" s="14"/>
      <c r="AA2768" s="16"/>
      <c r="AB2768" s="10"/>
      <c r="AC2768" s="10"/>
      <c r="AD2768" s="10"/>
      <c r="AE2768" s="10"/>
      <c r="AF2768" s="10"/>
      <c r="AG2768" s="10"/>
      <c r="AH2768" s="10"/>
      <c r="AI2768" s="10"/>
      <c r="AJ2768" s="10"/>
      <c r="AK2768" s="10"/>
      <c r="AL2768" s="1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10"/>
      <c r="BJ2768" s="10"/>
      <c r="BK2768" s="10"/>
      <c r="BM2768" s="10"/>
    </row>
    <row r="2769" spans="1:65" ht="12.75">
      <c r="A2769" s="9"/>
      <c r="B2769" s="10"/>
      <c r="C2769" s="11"/>
      <c r="D2769" s="12"/>
      <c r="E2769" s="10"/>
      <c r="F2769" s="10"/>
      <c r="G2769" s="10"/>
      <c r="H2769" s="14"/>
      <c r="I2769" s="14"/>
      <c r="J2769" s="14"/>
      <c r="K2769" s="14"/>
      <c r="L2769" s="14"/>
      <c r="M2769" s="15"/>
      <c r="N2769" s="10"/>
      <c r="O2769" s="14"/>
      <c r="P2769" s="14"/>
      <c r="Q2769" s="14"/>
      <c r="R2769" s="14"/>
      <c r="S2769" s="14"/>
      <c r="T2769" s="14"/>
      <c r="U2769" s="14"/>
      <c r="V2769" s="14"/>
      <c r="W2769" s="14"/>
      <c r="X2769" s="14"/>
      <c r="Y2769" s="14"/>
      <c r="Z2769" s="14"/>
      <c r="AA2769" s="16"/>
      <c r="AB2769" s="10"/>
      <c r="AC2769" s="10"/>
      <c r="AD2769" s="10"/>
      <c r="AE2769" s="10"/>
      <c r="AF2769" s="10"/>
      <c r="AG2769" s="10"/>
      <c r="AH2769" s="10"/>
      <c r="AI2769" s="10"/>
      <c r="AJ2769" s="10"/>
      <c r="AK2769" s="10"/>
      <c r="AL2769" s="10"/>
      <c r="AM2769" s="10"/>
      <c r="AN2769" s="10"/>
      <c r="AO2769" s="10"/>
      <c r="AP2769" s="10"/>
      <c r="AQ2769" s="10"/>
      <c r="AR2769" s="10"/>
      <c r="AS2769" s="10"/>
      <c r="AT2769" s="10"/>
      <c r="AU2769" s="10"/>
      <c r="AV2769" s="10"/>
      <c r="AW2769" s="10"/>
      <c r="AX2769" s="10"/>
      <c r="AY2769" s="10"/>
      <c r="AZ2769" s="10"/>
      <c r="BA2769" s="10"/>
      <c r="BB2769" s="10"/>
      <c r="BC2769" s="10"/>
      <c r="BD2769" s="10"/>
      <c r="BE2769" s="10"/>
      <c r="BF2769" s="10"/>
      <c r="BG2769" s="10"/>
      <c r="BH2769" s="10"/>
      <c r="BI2769" s="10"/>
      <c r="BJ2769" s="10"/>
      <c r="BK2769" s="10"/>
      <c r="BM2769" s="10"/>
    </row>
    <row r="2770" spans="1:65" ht="12.75">
      <c r="A2770" s="9"/>
      <c r="B2770" s="10"/>
      <c r="C2770" s="11"/>
      <c r="D2770" s="12"/>
      <c r="E2770" s="10"/>
      <c r="F2770" s="10"/>
      <c r="G2770" s="10"/>
      <c r="H2770" s="14"/>
      <c r="I2770" s="14"/>
      <c r="J2770" s="14"/>
      <c r="K2770" s="14"/>
      <c r="L2770" s="14"/>
      <c r="M2770" s="15"/>
      <c r="N2770" s="10"/>
      <c r="O2770" s="14"/>
      <c r="P2770" s="14"/>
      <c r="Q2770" s="14"/>
      <c r="R2770" s="14"/>
      <c r="S2770" s="14"/>
      <c r="T2770" s="14"/>
      <c r="U2770" s="14"/>
      <c r="V2770" s="14"/>
      <c r="W2770" s="14"/>
      <c r="X2770" s="14"/>
      <c r="Y2770" s="14"/>
      <c r="Z2770" s="14"/>
      <c r="AA2770" s="16"/>
      <c r="AB2770" s="10"/>
      <c r="AC2770" s="10"/>
      <c r="AD2770" s="10"/>
      <c r="AE2770" s="10"/>
      <c r="AF2770" s="10"/>
      <c r="AG2770" s="10"/>
      <c r="AH2770" s="10"/>
      <c r="AI2770" s="10"/>
      <c r="AJ2770" s="10"/>
      <c r="AK2770" s="10"/>
      <c r="AL2770" s="10"/>
      <c r="AM2770" s="10"/>
      <c r="AN2770" s="10"/>
      <c r="AO2770" s="10"/>
      <c r="AP2770" s="10"/>
      <c r="AQ2770" s="10"/>
      <c r="AR2770" s="10"/>
      <c r="AS2770" s="10"/>
      <c r="AT2770" s="10"/>
      <c r="AU2770" s="10"/>
      <c r="AV2770" s="10"/>
      <c r="AW2770" s="10"/>
      <c r="AX2770" s="10"/>
      <c r="AY2770" s="10"/>
      <c r="AZ2770" s="10"/>
      <c r="BA2770" s="10"/>
      <c r="BB2770" s="10"/>
      <c r="BC2770" s="10"/>
      <c r="BD2770" s="10"/>
      <c r="BE2770" s="10"/>
      <c r="BF2770" s="10"/>
      <c r="BG2770" s="10"/>
      <c r="BH2770" s="10"/>
      <c r="BI2770" s="10"/>
      <c r="BJ2770" s="10"/>
      <c r="BK2770" s="10"/>
      <c r="BM2770" s="10"/>
    </row>
    <row r="2771" spans="1:65" ht="12.75">
      <c r="A2771" s="9"/>
      <c r="B2771" s="10"/>
      <c r="C2771" s="11"/>
      <c r="D2771" s="12"/>
      <c r="E2771" s="10"/>
      <c r="F2771" s="10"/>
      <c r="G2771" s="10"/>
      <c r="H2771" s="14"/>
      <c r="I2771" s="14"/>
      <c r="J2771" s="14"/>
      <c r="K2771" s="14"/>
      <c r="L2771" s="14"/>
      <c r="M2771" s="15"/>
      <c r="N2771" s="10"/>
      <c r="O2771" s="14"/>
      <c r="P2771" s="14"/>
      <c r="Q2771" s="14"/>
      <c r="R2771" s="14"/>
      <c r="S2771" s="14"/>
      <c r="T2771" s="14"/>
      <c r="U2771" s="14"/>
      <c r="V2771" s="14"/>
      <c r="W2771" s="14"/>
      <c r="X2771" s="14"/>
      <c r="Y2771" s="14"/>
      <c r="Z2771" s="14"/>
      <c r="AA2771" s="16"/>
      <c r="AB2771" s="10"/>
      <c r="AC2771" s="10"/>
      <c r="AD2771" s="10"/>
      <c r="AE2771" s="10"/>
      <c r="AF2771" s="10"/>
      <c r="AG2771" s="10"/>
      <c r="AH2771" s="10"/>
      <c r="AI2771" s="10"/>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M2771" s="10"/>
    </row>
    <row r="2772" spans="1:65" ht="12.75">
      <c r="A2772" s="9"/>
      <c r="B2772" s="10"/>
      <c r="C2772" s="11"/>
      <c r="D2772" s="12"/>
      <c r="E2772" s="10"/>
      <c r="F2772" s="10"/>
      <c r="G2772" s="10"/>
      <c r="H2772" s="14"/>
      <c r="I2772" s="14"/>
      <c r="J2772" s="14"/>
      <c r="K2772" s="14"/>
      <c r="L2772" s="14"/>
      <c r="M2772" s="15"/>
      <c r="N2772" s="10"/>
      <c r="O2772" s="14"/>
      <c r="P2772" s="14"/>
      <c r="Q2772" s="14"/>
      <c r="R2772" s="14"/>
      <c r="S2772" s="14"/>
      <c r="T2772" s="14"/>
      <c r="U2772" s="14"/>
      <c r="V2772" s="14"/>
      <c r="W2772" s="14"/>
      <c r="X2772" s="14"/>
      <c r="Y2772" s="14"/>
      <c r="Z2772" s="14"/>
      <c r="AA2772" s="16"/>
      <c r="AB2772" s="10"/>
      <c r="AC2772" s="10"/>
      <c r="AD2772" s="10"/>
      <c r="AE2772" s="10"/>
      <c r="AF2772" s="10"/>
      <c r="AG2772" s="10"/>
      <c r="AH2772" s="10"/>
      <c r="AI2772" s="10"/>
      <c r="AJ2772" s="10"/>
      <c r="AK2772" s="10"/>
      <c r="AL2772" s="10"/>
      <c r="AM2772" s="10"/>
      <c r="AN2772" s="10"/>
      <c r="AO2772" s="10"/>
      <c r="AP2772" s="10"/>
      <c r="AQ2772" s="10"/>
      <c r="AR2772" s="10"/>
      <c r="AS2772" s="10"/>
      <c r="AT2772" s="10"/>
      <c r="AU2772" s="10"/>
      <c r="AV2772" s="10"/>
      <c r="AW2772" s="10"/>
      <c r="AX2772" s="10"/>
      <c r="AY2772" s="10"/>
      <c r="AZ2772" s="10"/>
      <c r="BA2772" s="10"/>
      <c r="BB2772" s="10"/>
      <c r="BC2772" s="10"/>
      <c r="BD2772" s="10"/>
      <c r="BE2772" s="10"/>
      <c r="BF2772" s="10"/>
      <c r="BG2772" s="10"/>
      <c r="BH2772" s="10"/>
      <c r="BI2772" s="10"/>
      <c r="BJ2772" s="10"/>
      <c r="BK2772" s="10"/>
      <c r="BM2772" s="10"/>
    </row>
    <row r="2773" spans="1:65" ht="12.75">
      <c r="A2773" s="9"/>
      <c r="B2773" s="10"/>
      <c r="C2773" s="11"/>
      <c r="D2773" s="12"/>
      <c r="E2773" s="10"/>
      <c r="F2773" s="10"/>
      <c r="G2773" s="10"/>
      <c r="H2773" s="14"/>
      <c r="I2773" s="14"/>
      <c r="J2773" s="14"/>
      <c r="K2773" s="14"/>
      <c r="L2773" s="14"/>
      <c r="M2773" s="15"/>
      <c r="N2773" s="10"/>
      <c r="O2773" s="14"/>
      <c r="P2773" s="14"/>
      <c r="Q2773" s="14"/>
      <c r="R2773" s="14"/>
      <c r="S2773" s="14"/>
      <c r="T2773" s="14"/>
      <c r="U2773" s="14"/>
      <c r="V2773" s="14"/>
      <c r="W2773" s="14"/>
      <c r="X2773" s="14"/>
      <c r="Y2773" s="14"/>
      <c r="Z2773" s="14"/>
      <c r="AA2773" s="16"/>
      <c r="AB2773" s="10"/>
      <c r="AC2773" s="10"/>
      <c r="AD2773" s="10"/>
      <c r="AE2773" s="10"/>
      <c r="AF2773" s="10"/>
      <c r="AG2773" s="10"/>
      <c r="AH2773" s="10"/>
      <c r="AI2773" s="10"/>
      <c r="AJ2773" s="10"/>
      <c r="AK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10"/>
      <c r="BK2773" s="10"/>
      <c r="BM2773" s="10"/>
    </row>
    <row r="2774" spans="1:65" ht="12.75">
      <c r="A2774" s="9"/>
      <c r="B2774" s="10"/>
      <c r="C2774" s="11"/>
      <c r="D2774" s="12"/>
      <c r="E2774" s="10"/>
      <c r="F2774" s="10"/>
      <c r="G2774" s="10"/>
      <c r="H2774" s="14"/>
      <c r="I2774" s="14"/>
      <c r="J2774" s="14"/>
      <c r="K2774" s="14"/>
      <c r="L2774" s="14"/>
      <c r="M2774" s="15"/>
      <c r="N2774" s="10"/>
      <c r="O2774" s="14"/>
      <c r="P2774" s="14"/>
      <c r="Q2774" s="14"/>
      <c r="R2774" s="14"/>
      <c r="S2774" s="14"/>
      <c r="T2774" s="14"/>
      <c r="U2774" s="14"/>
      <c r="V2774" s="14"/>
      <c r="W2774" s="14"/>
      <c r="X2774" s="14"/>
      <c r="Y2774" s="14"/>
      <c r="Z2774" s="14"/>
      <c r="AA2774" s="16"/>
      <c r="AB2774" s="10"/>
      <c r="AC2774" s="10"/>
      <c r="AD2774" s="10"/>
      <c r="AE2774" s="10"/>
      <c r="AF2774" s="10"/>
      <c r="AG2774" s="10"/>
      <c r="AH2774" s="10"/>
      <c r="AI2774" s="10"/>
      <c r="AJ2774" s="10"/>
      <c r="AK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M2774" s="10"/>
    </row>
    <row r="2775" spans="1:65" ht="12.75">
      <c r="A2775" s="9"/>
      <c r="B2775" s="10"/>
      <c r="C2775" s="11"/>
      <c r="D2775" s="12"/>
      <c r="E2775" s="10"/>
      <c r="F2775" s="10"/>
      <c r="G2775" s="10"/>
      <c r="H2775" s="14"/>
      <c r="I2775" s="14"/>
      <c r="J2775" s="14"/>
      <c r="K2775" s="14"/>
      <c r="L2775" s="14"/>
      <c r="M2775" s="15"/>
      <c r="N2775" s="10"/>
      <c r="O2775" s="14"/>
      <c r="P2775" s="14"/>
      <c r="Q2775" s="14"/>
      <c r="R2775" s="14"/>
      <c r="S2775" s="14"/>
      <c r="T2775" s="14"/>
      <c r="U2775" s="14"/>
      <c r="V2775" s="14"/>
      <c r="W2775" s="14"/>
      <c r="X2775" s="14"/>
      <c r="Y2775" s="14"/>
      <c r="Z2775" s="14"/>
      <c r="AA2775" s="16"/>
      <c r="AB2775" s="10"/>
      <c r="AC2775" s="10"/>
      <c r="AD2775" s="10"/>
      <c r="AE2775" s="10"/>
      <c r="AF2775" s="10"/>
      <c r="AG2775" s="10"/>
      <c r="AH2775" s="10"/>
      <c r="AI2775" s="10"/>
      <c r="AJ2775" s="10"/>
      <c r="AK2775" s="10"/>
      <c r="AL2775" s="10"/>
      <c r="AM2775" s="10"/>
      <c r="AN2775" s="10"/>
      <c r="AO2775" s="10"/>
      <c r="AP2775" s="10"/>
      <c r="AQ2775" s="10"/>
      <c r="AR2775" s="10"/>
      <c r="AS2775" s="10"/>
      <c r="AT2775" s="10"/>
      <c r="AU2775" s="10"/>
      <c r="AV2775" s="10"/>
      <c r="AW2775" s="10"/>
      <c r="AX2775" s="10"/>
      <c r="AY2775" s="10"/>
      <c r="AZ2775" s="10"/>
      <c r="BA2775" s="10"/>
      <c r="BB2775" s="10"/>
      <c r="BC2775" s="10"/>
      <c r="BD2775" s="10"/>
      <c r="BE2775" s="10"/>
      <c r="BF2775" s="10"/>
      <c r="BG2775" s="10"/>
      <c r="BH2775" s="10"/>
      <c r="BI2775" s="10"/>
      <c r="BJ2775" s="10"/>
      <c r="BK2775" s="10"/>
      <c r="BM2775" s="10"/>
    </row>
    <row r="2776" spans="1:65" ht="12.75">
      <c r="A2776" s="9"/>
      <c r="B2776" s="10"/>
      <c r="C2776" s="11"/>
      <c r="D2776" s="12"/>
      <c r="E2776" s="10"/>
      <c r="F2776" s="10"/>
      <c r="G2776" s="10"/>
      <c r="H2776" s="14"/>
      <c r="I2776" s="14"/>
      <c r="J2776" s="14"/>
      <c r="K2776" s="14"/>
      <c r="L2776" s="14"/>
      <c r="M2776" s="15"/>
      <c r="N2776" s="10"/>
      <c r="O2776" s="14"/>
      <c r="P2776" s="14"/>
      <c r="Q2776" s="14"/>
      <c r="R2776" s="14"/>
      <c r="S2776" s="14"/>
      <c r="T2776" s="14"/>
      <c r="U2776" s="14"/>
      <c r="V2776" s="14"/>
      <c r="W2776" s="14"/>
      <c r="X2776" s="14"/>
      <c r="Y2776" s="14"/>
      <c r="Z2776" s="14"/>
      <c r="AA2776" s="16"/>
      <c r="AB2776" s="10"/>
      <c r="AC2776" s="10"/>
      <c r="AD2776" s="10"/>
      <c r="AE2776" s="10"/>
      <c r="AF2776" s="10"/>
      <c r="AG2776" s="10"/>
      <c r="AH2776" s="10"/>
      <c r="AI2776" s="10"/>
      <c r="AJ2776" s="10"/>
      <c r="AK2776" s="10"/>
      <c r="AL2776" s="1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10"/>
      <c r="BK2776" s="10"/>
      <c r="BM2776" s="10"/>
    </row>
    <row r="2777" spans="1:65" ht="12.75">
      <c r="A2777" s="9"/>
      <c r="B2777" s="10"/>
      <c r="C2777" s="11"/>
      <c r="D2777" s="12"/>
      <c r="E2777" s="10"/>
      <c r="F2777" s="10"/>
      <c r="G2777" s="10"/>
      <c r="H2777" s="14"/>
      <c r="I2777" s="14"/>
      <c r="J2777" s="14"/>
      <c r="K2777" s="14"/>
      <c r="L2777" s="14"/>
      <c r="M2777" s="15"/>
      <c r="N2777" s="10"/>
      <c r="O2777" s="14"/>
      <c r="P2777" s="14"/>
      <c r="Q2777" s="14"/>
      <c r="R2777" s="14"/>
      <c r="S2777" s="14"/>
      <c r="T2777" s="14"/>
      <c r="U2777" s="14"/>
      <c r="V2777" s="14"/>
      <c r="W2777" s="14"/>
      <c r="X2777" s="14"/>
      <c r="Y2777" s="14"/>
      <c r="Z2777" s="14"/>
      <c r="AA2777" s="16"/>
      <c r="AB2777" s="10"/>
      <c r="AC2777" s="10"/>
      <c r="AD2777" s="10"/>
      <c r="AE2777" s="10"/>
      <c r="AF2777" s="10"/>
      <c r="AG2777" s="10"/>
      <c r="AH2777" s="10"/>
      <c r="AI2777" s="10"/>
      <c r="AJ2777" s="10"/>
      <c r="AK2777" s="10"/>
      <c r="AL2777" s="10"/>
      <c r="AM2777" s="10"/>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M2777" s="10"/>
    </row>
    <row r="2778" spans="1:65" ht="12.75">
      <c r="A2778" s="9"/>
      <c r="B2778" s="10"/>
      <c r="C2778" s="11"/>
      <c r="D2778" s="12"/>
      <c r="E2778" s="10"/>
      <c r="F2778" s="10"/>
      <c r="G2778" s="10"/>
      <c r="H2778" s="14"/>
      <c r="I2778" s="14"/>
      <c r="J2778" s="14"/>
      <c r="K2778" s="14"/>
      <c r="L2778" s="14"/>
      <c r="M2778" s="15"/>
      <c r="N2778" s="10"/>
      <c r="O2778" s="14"/>
      <c r="P2778" s="14"/>
      <c r="Q2778" s="14"/>
      <c r="R2778" s="14"/>
      <c r="S2778" s="14"/>
      <c r="T2778" s="14"/>
      <c r="U2778" s="14"/>
      <c r="V2778" s="14"/>
      <c r="W2778" s="14"/>
      <c r="X2778" s="14"/>
      <c r="Y2778" s="14"/>
      <c r="Z2778" s="14"/>
      <c r="AA2778" s="16"/>
      <c r="AB2778" s="10"/>
      <c r="AC2778" s="10"/>
      <c r="AD2778" s="10"/>
      <c r="AE2778" s="10"/>
      <c r="AF2778" s="10"/>
      <c r="AG2778" s="10"/>
      <c r="AH2778" s="10"/>
      <c r="AI2778" s="10"/>
      <c r="AJ2778" s="10"/>
      <c r="AK2778" s="10"/>
      <c r="AL2778" s="10"/>
      <c r="AM2778" s="10"/>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M2778" s="10"/>
    </row>
    <row r="2779" spans="1:65" ht="12.75">
      <c r="A2779" s="9"/>
      <c r="B2779" s="10"/>
      <c r="C2779" s="11"/>
      <c r="D2779" s="12"/>
      <c r="E2779" s="10"/>
      <c r="F2779" s="10"/>
      <c r="G2779" s="10"/>
      <c r="H2779" s="14"/>
      <c r="I2779" s="14"/>
      <c r="J2779" s="14"/>
      <c r="K2779" s="14"/>
      <c r="L2779" s="14"/>
      <c r="M2779" s="15"/>
      <c r="N2779" s="10"/>
      <c r="O2779" s="14"/>
      <c r="P2779" s="14"/>
      <c r="Q2779" s="14"/>
      <c r="R2779" s="14"/>
      <c r="S2779" s="14"/>
      <c r="T2779" s="14"/>
      <c r="U2779" s="14"/>
      <c r="V2779" s="14"/>
      <c r="W2779" s="14"/>
      <c r="X2779" s="14"/>
      <c r="Y2779" s="14"/>
      <c r="Z2779" s="14"/>
      <c r="AA2779" s="16"/>
      <c r="AB2779" s="10"/>
      <c r="AC2779" s="10"/>
      <c r="AD2779" s="10"/>
      <c r="AE2779" s="10"/>
      <c r="AF2779" s="10"/>
      <c r="AG2779" s="10"/>
      <c r="AH2779" s="10"/>
      <c r="AI2779" s="10"/>
      <c r="AJ2779" s="10"/>
      <c r="AK2779" s="10"/>
      <c r="AL2779" s="10"/>
      <c r="AM2779" s="10"/>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10"/>
      <c r="BJ2779" s="10"/>
      <c r="BK2779" s="10"/>
      <c r="BM2779" s="10"/>
    </row>
    <row r="2780" spans="1:65" ht="12.75">
      <c r="A2780" s="9"/>
      <c r="B2780" s="10"/>
      <c r="C2780" s="11"/>
      <c r="D2780" s="12"/>
      <c r="E2780" s="10"/>
      <c r="F2780" s="10"/>
      <c r="G2780" s="10"/>
      <c r="H2780" s="14"/>
      <c r="I2780" s="14"/>
      <c r="J2780" s="14"/>
      <c r="K2780" s="14"/>
      <c r="L2780" s="14"/>
      <c r="M2780" s="15"/>
      <c r="N2780" s="10"/>
      <c r="O2780" s="14"/>
      <c r="P2780" s="14"/>
      <c r="Q2780" s="14"/>
      <c r="R2780" s="14"/>
      <c r="S2780" s="14"/>
      <c r="T2780" s="14"/>
      <c r="U2780" s="14"/>
      <c r="V2780" s="14"/>
      <c r="W2780" s="14"/>
      <c r="X2780" s="14"/>
      <c r="Y2780" s="14"/>
      <c r="Z2780" s="14"/>
      <c r="AA2780" s="16"/>
      <c r="AB2780" s="10"/>
      <c r="AC2780" s="10"/>
      <c r="AD2780" s="10"/>
      <c r="AE2780" s="10"/>
      <c r="AF2780" s="10"/>
      <c r="AG2780" s="10"/>
      <c r="AH2780" s="10"/>
      <c r="AI2780" s="10"/>
      <c r="AJ2780" s="10"/>
      <c r="AK2780" s="10"/>
      <c r="AL2780" s="10"/>
      <c r="AM2780" s="10"/>
      <c r="AN2780" s="10"/>
      <c r="AO2780" s="10"/>
      <c r="AP2780" s="10"/>
      <c r="AQ2780" s="10"/>
      <c r="AR2780" s="10"/>
      <c r="AS2780" s="10"/>
      <c r="AT2780" s="10"/>
      <c r="AU2780" s="10"/>
      <c r="AV2780" s="10"/>
      <c r="AW2780" s="10"/>
      <c r="AX2780" s="10"/>
      <c r="AY2780" s="10"/>
      <c r="AZ2780" s="10"/>
      <c r="BA2780" s="10"/>
      <c r="BB2780" s="10"/>
      <c r="BC2780" s="10"/>
      <c r="BD2780" s="10"/>
      <c r="BE2780" s="10"/>
      <c r="BF2780" s="10"/>
      <c r="BG2780" s="10"/>
      <c r="BH2780" s="10"/>
      <c r="BI2780" s="10"/>
      <c r="BJ2780" s="10"/>
      <c r="BK2780" s="10"/>
      <c r="BM2780" s="10"/>
    </row>
    <row r="2781" spans="1:65" ht="12.75">
      <c r="A2781" s="9"/>
      <c r="B2781" s="10"/>
      <c r="C2781" s="11"/>
      <c r="D2781" s="12"/>
      <c r="E2781" s="10"/>
      <c r="F2781" s="10"/>
      <c r="G2781" s="10"/>
      <c r="H2781" s="14"/>
      <c r="I2781" s="14"/>
      <c r="J2781" s="14"/>
      <c r="K2781" s="14"/>
      <c r="L2781" s="14"/>
      <c r="M2781" s="15"/>
      <c r="N2781" s="10"/>
      <c r="O2781" s="14"/>
      <c r="P2781" s="14"/>
      <c r="Q2781" s="14"/>
      <c r="R2781" s="14"/>
      <c r="S2781" s="14"/>
      <c r="T2781" s="14"/>
      <c r="U2781" s="14"/>
      <c r="V2781" s="14"/>
      <c r="W2781" s="14"/>
      <c r="X2781" s="14"/>
      <c r="Y2781" s="14"/>
      <c r="Z2781" s="14"/>
      <c r="AA2781" s="16"/>
      <c r="AB2781" s="10"/>
      <c r="AC2781" s="10"/>
      <c r="AD2781" s="10"/>
      <c r="AE2781" s="10"/>
      <c r="AF2781" s="10"/>
      <c r="AG2781" s="10"/>
      <c r="AH2781" s="10"/>
      <c r="AI2781" s="10"/>
      <c r="AJ2781" s="10"/>
      <c r="AK2781" s="10"/>
      <c r="AL2781" s="10"/>
      <c r="AM2781" s="10"/>
      <c r="AN2781" s="10"/>
      <c r="AO2781" s="10"/>
      <c r="AP2781" s="10"/>
      <c r="AQ2781" s="10"/>
      <c r="AR2781" s="10"/>
      <c r="AS2781" s="10"/>
      <c r="AT2781" s="10"/>
      <c r="AU2781" s="10"/>
      <c r="AV2781" s="10"/>
      <c r="AW2781" s="10"/>
      <c r="AX2781" s="10"/>
      <c r="AY2781" s="10"/>
      <c r="AZ2781" s="10"/>
      <c r="BA2781" s="10"/>
      <c r="BB2781" s="10"/>
      <c r="BC2781" s="10"/>
      <c r="BD2781" s="10"/>
      <c r="BE2781" s="10"/>
      <c r="BF2781" s="10"/>
      <c r="BG2781" s="10"/>
      <c r="BH2781" s="10"/>
      <c r="BI2781" s="10"/>
      <c r="BJ2781" s="10"/>
      <c r="BK2781" s="10"/>
      <c r="BM2781" s="10"/>
    </row>
    <row r="2782" spans="1:65" ht="12.75">
      <c r="A2782" s="9"/>
      <c r="B2782" s="10"/>
      <c r="C2782" s="11"/>
      <c r="D2782" s="12"/>
      <c r="E2782" s="10"/>
      <c r="F2782" s="10"/>
      <c r="G2782" s="10"/>
      <c r="H2782" s="14"/>
      <c r="I2782" s="14"/>
      <c r="J2782" s="14"/>
      <c r="K2782" s="14"/>
      <c r="L2782" s="14"/>
      <c r="M2782" s="15"/>
      <c r="N2782" s="10"/>
      <c r="O2782" s="14"/>
      <c r="P2782" s="14"/>
      <c r="Q2782" s="14"/>
      <c r="R2782" s="14"/>
      <c r="S2782" s="14"/>
      <c r="T2782" s="14"/>
      <c r="U2782" s="14"/>
      <c r="V2782" s="14"/>
      <c r="W2782" s="14"/>
      <c r="X2782" s="14"/>
      <c r="Y2782" s="14"/>
      <c r="Z2782" s="14"/>
      <c r="AA2782" s="16"/>
      <c r="AB2782" s="10"/>
      <c r="AC2782" s="10"/>
      <c r="AD2782" s="10"/>
      <c r="AE2782" s="10"/>
      <c r="AF2782" s="10"/>
      <c r="AG2782" s="10"/>
      <c r="AH2782" s="10"/>
      <c r="AI2782" s="10"/>
      <c r="AJ2782" s="10"/>
      <c r="AK2782" s="10"/>
      <c r="AL2782" s="10"/>
      <c r="AM2782" s="10"/>
      <c r="AN2782" s="10"/>
      <c r="AO2782" s="10"/>
      <c r="AP2782" s="10"/>
      <c r="AQ2782" s="10"/>
      <c r="AR2782" s="10"/>
      <c r="AS2782" s="10"/>
      <c r="AT2782" s="10"/>
      <c r="AU2782" s="10"/>
      <c r="AV2782" s="10"/>
      <c r="AW2782" s="10"/>
      <c r="AX2782" s="10"/>
      <c r="AY2782" s="10"/>
      <c r="AZ2782" s="10"/>
      <c r="BA2782" s="10"/>
      <c r="BB2782" s="10"/>
      <c r="BC2782" s="10"/>
      <c r="BD2782" s="10"/>
      <c r="BE2782" s="10"/>
      <c r="BF2782" s="10"/>
      <c r="BG2782" s="10"/>
      <c r="BH2782" s="10"/>
      <c r="BI2782" s="10"/>
      <c r="BJ2782" s="10"/>
      <c r="BK2782" s="10"/>
      <c r="BM2782" s="10"/>
    </row>
    <row r="2783" spans="1:65" ht="12.75">
      <c r="A2783" s="9"/>
      <c r="B2783" s="10"/>
      <c r="C2783" s="11"/>
      <c r="D2783" s="12"/>
      <c r="E2783" s="10"/>
      <c r="F2783" s="10"/>
      <c r="G2783" s="10"/>
      <c r="H2783" s="14"/>
      <c r="I2783" s="14"/>
      <c r="J2783" s="14"/>
      <c r="K2783" s="14"/>
      <c r="L2783" s="14"/>
      <c r="M2783" s="15"/>
      <c r="N2783" s="10"/>
      <c r="O2783" s="14"/>
      <c r="P2783" s="14"/>
      <c r="Q2783" s="14"/>
      <c r="R2783" s="14"/>
      <c r="S2783" s="14"/>
      <c r="T2783" s="14"/>
      <c r="U2783" s="14"/>
      <c r="V2783" s="14"/>
      <c r="W2783" s="14"/>
      <c r="X2783" s="14"/>
      <c r="Y2783" s="14"/>
      <c r="Z2783" s="14"/>
      <c r="AA2783" s="16"/>
      <c r="AB2783" s="10"/>
      <c r="AC2783" s="10"/>
      <c r="AD2783" s="10"/>
      <c r="AE2783" s="10"/>
      <c r="AF2783" s="10"/>
      <c r="AG2783" s="10"/>
      <c r="AH2783" s="10"/>
      <c r="AI2783" s="10"/>
      <c r="AJ2783" s="10"/>
      <c r="AK2783" s="10"/>
      <c r="AL2783" s="10"/>
      <c r="AM2783" s="10"/>
      <c r="AN2783" s="10"/>
      <c r="AO2783" s="10"/>
      <c r="AP2783" s="10"/>
      <c r="AQ2783" s="10"/>
      <c r="AR2783" s="10"/>
      <c r="AS2783" s="10"/>
      <c r="AT2783" s="10"/>
      <c r="AU2783" s="10"/>
      <c r="AV2783" s="10"/>
      <c r="AW2783" s="10"/>
      <c r="AX2783" s="10"/>
      <c r="AY2783" s="10"/>
      <c r="AZ2783" s="10"/>
      <c r="BA2783" s="10"/>
      <c r="BB2783" s="10"/>
      <c r="BC2783" s="10"/>
      <c r="BD2783" s="10"/>
      <c r="BE2783" s="10"/>
      <c r="BF2783" s="10"/>
      <c r="BG2783" s="10"/>
      <c r="BH2783" s="10"/>
      <c r="BI2783" s="10"/>
      <c r="BJ2783" s="10"/>
      <c r="BK2783" s="10"/>
      <c r="BM2783" s="10"/>
    </row>
    <row r="2784" spans="1:65" ht="12.75">
      <c r="A2784" s="9"/>
      <c r="B2784" s="10"/>
      <c r="C2784" s="11"/>
      <c r="D2784" s="12"/>
      <c r="E2784" s="10"/>
      <c r="F2784" s="10"/>
      <c r="G2784" s="10"/>
      <c r="H2784" s="14"/>
      <c r="I2784" s="14"/>
      <c r="J2784" s="14"/>
      <c r="K2784" s="14"/>
      <c r="L2784" s="14"/>
      <c r="M2784" s="15"/>
      <c r="N2784" s="10"/>
      <c r="O2784" s="14"/>
      <c r="P2784" s="14"/>
      <c r="Q2784" s="14"/>
      <c r="R2784" s="14"/>
      <c r="S2784" s="14"/>
      <c r="T2784" s="14"/>
      <c r="U2784" s="14"/>
      <c r="V2784" s="14"/>
      <c r="W2784" s="14"/>
      <c r="X2784" s="14"/>
      <c r="Y2784" s="14"/>
      <c r="Z2784" s="14"/>
      <c r="AA2784" s="16"/>
      <c r="AB2784" s="10"/>
      <c r="AC2784" s="10"/>
      <c r="AD2784" s="10"/>
      <c r="AE2784" s="10"/>
      <c r="AF2784" s="10"/>
      <c r="AG2784" s="10"/>
      <c r="AH2784" s="10"/>
      <c r="AI2784" s="10"/>
      <c r="AJ2784" s="10"/>
      <c r="AK2784" s="10"/>
      <c r="AL2784" s="1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10"/>
      <c r="BK2784" s="10"/>
      <c r="BM2784" s="10"/>
    </row>
    <row r="2785" spans="1:65" ht="12.75">
      <c r="A2785" s="9"/>
      <c r="B2785" s="10"/>
      <c r="C2785" s="11"/>
      <c r="D2785" s="12"/>
      <c r="E2785" s="10"/>
      <c r="F2785" s="10"/>
      <c r="G2785" s="10"/>
      <c r="H2785" s="14"/>
      <c r="I2785" s="14"/>
      <c r="J2785" s="14"/>
      <c r="K2785" s="14"/>
      <c r="L2785" s="14"/>
      <c r="M2785" s="15"/>
      <c r="N2785" s="10"/>
      <c r="O2785" s="14"/>
      <c r="P2785" s="14"/>
      <c r="Q2785" s="14"/>
      <c r="R2785" s="14"/>
      <c r="S2785" s="14"/>
      <c r="T2785" s="14"/>
      <c r="U2785" s="14"/>
      <c r="V2785" s="14"/>
      <c r="W2785" s="14"/>
      <c r="X2785" s="14"/>
      <c r="Y2785" s="14"/>
      <c r="Z2785" s="14"/>
      <c r="AA2785" s="16"/>
      <c r="AB2785" s="10"/>
      <c r="AC2785" s="10"/>
      <c r="AD2785" s="10"/>
      <c r="AE2785" s="10"/>
      <c r="AF2785" s="10"/>
      <c r="AG2785" s="10"/>
      <c r="AH2785" s="10"/>
      <c r="AI2785" s="10"/>
      <c r="AJ2785" s="10"/>
      <c r="AK2785" s="10"/>
      <c r="AL2785" s="10"/>
      <c r="AM2785" s="10"/>
      <c r="AN2785" s="10"/>
      <c r="AO2785" s="10"/>
      <c r="AP2785" s="10"/>
      <c r="AQ2785" s="10"/>
      <c r="AR2785" s="10"/>
      <c r="AS2785" s="10"/>
      <c r="AT2785" s="10"/>
      <c r="AU2785" s="10"/>
      <c r="AV2785" s="10"/>
      <c r="AW2785" s="10"/>
      <c r="AX2785" s="10"/>
      <c r="AY2785" s="10"/>
      <c r="AZ2785" s="10"/>
      <c r="BA2785" s="10"/>
      <c r="BB2785" s="10"/>
      <c r="BC2785" s="10"/>
      <c r="BD2785" s="10"/>
      <c r="BE2785" s="10"/>
      <c r="BF2785" s="10"/>
      <c r="BG2785" s="10"/>
      <c r="BH2785" s="10"/>
      <c r="BI2785" s="10"/>
      <c r="BJ2785" s="10"/>
      <c r="BK2785" s="10"/>
      <c r="BM2785" s="10"/>
    </row>
    <row r="2786" spans="1:65" ht="12.75">
      <c r="A2786" s="9"/>
      <c r="B2786" s="10"/>
      <c r="C2786" s="11"/>
      <c r="D2786" s="12"/>
      <c r="E2786" s="10"/>
      <c r="F2786" s="10"/>
      <c r="G2786" s="10"/>
      <c r="H2786" s="14"/>
      <c r="I2786" s="14"/>
      <c r="J2786" s="14"/>
      <c r="K2786" s="14"/>
      <c r="L2786" s="14"/>
      <c r="M2786" s="15"/>
      <c r="N2786" s="10"/>
      <c r="O2786" s="14"/>
      <c r="P2786" s="14"/>
      <c r="Q2786" s="14"/>
      <c r="R2786" s="14"/>
      <c r="S2786" s="14"/>
      <c r="T2786" s="14"/>
      <c r="U2786" s="14"/>
      <c r="V2786" s="14"/>
      <c r="W2786" s="14"/>
      <c r="X2786" s="14"/>
      <c r="Y2786" s="14"/>
      <c r="Z2786" s="14"/>
      <c r="AA2786" s="16"/>
      <c r="AB2786" s="10"/>
      <c r="AC2786" s="10"/>
      <c r="AD2786" s="10"/>
      <c r="AE2786" s="10"/>
      <c r="AF2786" s="10"/>
      <c r="AG2786" s="10"/>
      <c r="AH2786" s="10"/>
      <c r="AI2786" s="10"/>
      <c r="AJ2786" s="10"/>
      <c r="AK2786" s="10"/>
      <c r="AL2786" s="10"/>
      <c r="AM2786" s="10"/>
      <c r="AN2786" s="10"/>
      <c r="AO2786" s="10"/>
      <c r="AP2786" s="10"/>
      <c r="AQ2786" s="10"/>
      <c r="AR2786" s="10"/>
      <c r="AS2786" s="10"/>
      <c r="AT2786" s="10"/>
      <c r="AU2786" s="10"/>
      <c r="AV2786" s="10"/>
      <c r="AW2786" s="10"/>
      <c r="AX2786" s="10"/>
      <c r="AY2786" s="10"/>
      <c r="AZ2786" s="10"/>
      <c r="BA2786" s="10"/>
      <c r="BB2786" s="10"/>
      <c r="BC2786" s="10"/>
      <c r="BD2786" s="10"/>
      <c r="BE2786" s="10"/>
      <c r="BF2786" s="10"/>
      <c r="BG2786" s="10"/>
      <c r="BH2786" s="10"/>
      <c r="BI2786" s="10"/>
      <c r="BJ2786" s="10"/>
      <c r="BK2786" s="10"/>
      <c r="BM2786" s="10"/>
    </row>
    <row r="2787" spans="1:65" ht="12.75">
      <c r="A2787" s="9"/>
      <c r="B2787" s="10"/>
      <c r="C2787" s="11"/>
      <c r="D2787" s="12"/>
      <c r="E2787" s="10"/>
      <c r="F2787" s="10"/>
      <c r="G2787" s="10"/>
      <c r="H2787" s="14"/>
      <c r="I2787" s="14"/>
      <c r="J2787" s="14"/>
      <c r="K2787" s="14"/>
      <c r="L2787" s="14"/>
      <c r="M2787" s="15"/>
      <c r="N2787" s="10"/>
      <c r="O2787" s="14"/>
      <c r="P2787" s="14"/>
      <c r="Q2787" s="14"/>
      <c r="R2787" s="14"/>
      <c r="S2787" s="14"/>
      <c r="T2787" s="14"/>
      <c r="U2787" s="14"/>
      <c r="V2787" s="14"/>
      <c r="W2787" s="14"/>
      <c r="X2787" s="14"/>
      <c r="Y2787" s="14"/>
      <c r="Z2787" s="14"/>
      <c r="AA2787" s="16"/>
      <c r="AB2787" s="10"/>
      <c r="AC2787" s="10"/>
      <c r="AD2787" s="10"/>
      <c r="AE2787" s="10"/>
      <c r="AF2787" s="10"/>
      <c r="AG2787" s="10"/>
      <c r="AH2787" s="10"/>
      <c r="AI2787" s="10"/>
      <c r="AJ2787" s="10"/>
      <c r="AK2787" s="10"/>
      <c r="AL2787" s="10"/>
      <c r="AM2787" s="10"/>
      <c r="AN2787" s="10"/>
      <c r="AO2787" s="10"/>
      <c r="AP2787" s="10"/>
      <c r="AQ2787" s="10"/>
      <c r="AR2787" s="10"/>
      <c r="AS2787" s="10"/>
      <c r="AT2787" s="10"/>
      <c r="AU2787" s="10"/>
      <c r="AV2787" s="10"/>
      <c r="AW2787" s="10"/>
      <c r="AX2787" s="10"/>
      <c r="AY2787" s="10"/>
      <c r="AZ2787" s="10"/>
      <c r="BA2787" s="10"/>
      <c r="BB2787" s="10"/>
      <c r="BC2787" s="10"/>
      <c r="BD2787" s="10"/>
      <c r="BE2787" s="10"/>
      <c r="BF2787" s="10"/>
      <c r="BG2787" s="10"/>
      <c r="BH2787" s="10"/>
      <c r="BI2787" s="10"/>
      <c r="BJ2787" s="10"/>
      <c r="BK2787" s="10"/>
      <c r="BM2787" s="10"/>
    </row>
    <row r="2788" spans="1:65" ht="12.75">
      <c r="A2788" s="9"/>
      <c r="B2788" s="10"/>
      <c r="C2788" s="11"/>
      <c r="D2788" s="12"/>
      <c r="E2788" s="10"/>
      <c r="F2788" s="10"/>
      <c r="G2788" s="10"/>
      <c r="H2788" s="14"/>
      <c r="I2788" s="14"/>
      <c r="J2788" s="14"/>
      <c r="K2788" s="14"/>
      <c r="L2788" s="14"/>
      <c r="M2788" s="15"/>
      <c r="N2788" s="10"/>
      <c r="O2788" s="14"/>
      <c r="P2788" s="14"/>
      <c r="Q2788" s="14"/>
      <c r="R2788" s="14"/>
      <c r="S2788" s="14"/>
      <c r="T2788" s="14"/>
      <c r="U2788" s="14"/>
      <c r="V2788" s="14"/>
      <c r="W2788" s="14"/>
      <c r="X2788" s="14"/>
      <c r="Y2788" s="14"/>
      <c r="Z2788" s="14"/>
      <c r="AA2788" s="16"/>
      <c r="AB2788" s="10"/>
      <c r="AC2788" s="10"/>
      <c r="AD2788" s="10"/>
      <c r="AE2788" s="10"/>
      <c r="AF2788" s="10"/>
      <c r="AG2788" s="10"/>
      <c r="AH2788" s="10"/>
      <c r="AI2788" s="10"/>
      <c r="AJ2788" s="10"/>
      <c r="AK2788" s="10"/>
      <c r="AL2788" s="10"/>
      <c r="AM2788" s="10"/>
      <c r="AN2788" s="10"/>
      <c r="AO2788" s="10"/>
      <c r="AP2788" s="10"/>
      <c r="AQ2788" s="10"/>
      <c r="AR2788" s="10"/>
      <c r="AS2788" s="10"/>
      <c r="AT2788" s="10"/>
      <c r="AU2788" s="10"/>
      <c r="AV2788" s="10"/>
      <c r="AW2788" s="10"/>
      <c r="AX2788" s="10"/>
      <c r="AY2788" s="10"/>
      <c r="AZ2788" s="10"/>
      <c r="BA2788" s="10"/>
      <c r="BB2788" s="10"/>
      <c r="BC2788" s="10"/>
      <c r="BD2788" s="10"/>
      <c r="BE2788" s="10"/>
      <c r="BF2788" s="10"/>
      <c r="BG2788" s="10"/>
      <c r="BH2788" s="10"/>
      <c r="BI2788" s="10"/>
      <c r="BJ2788" s="10"/>
      <c r="BK2788" s="10"/>
      <c r="BM2788" s="10"/>
    </row>
    <row r="2789" spans="1:65" ht="12.75">
      <c r="A2789" s="9"/>
      <c r="B2789" s="10"/>
      <c r="C2789" s="11"/>
      <c r="D2789" s="12"/>
      <c r="E2789" s="10"/>
      <c r="F2789" s="10"/>
      <c r="G2789" s="10"/>
      <c r="H2789" s="14"/>
      <c r="I2789" s="14"/>
      <c r="J2789" s="14"/>
      <c r="K2789" s="14"/>
      <c r="L2789" s="14"/>
      <c r="M2789" s="15"/>
      <c r="N2789" s="10"/>
      <c r="O2789" s="14"/>
      <c r="P2789" s="14"/>
      <c r="Q2789" s="14"/>
      <c r="R2789" s="14"/>
      <c r="S2789" s="14"/>
      <c r="T2789" s="14"/>
      <c r="U2789" s="14"/>
      <c r="V2789" s="14"/>
      <c r="W2789" s="14"/>
      <c r="X2789" s="14"/>
      <c r="Y2789" s="14"/>
      <c r="Z2789" s="14"/>
      <c r="AA2789" s="16"/>
      <c r="AB2789" s="10"/>
      <c r="AC2789" s="10"/>
      <c r="AD2789" s="10"/>
      <c r="AE2789" s="10"/>
      <c r="AF2789" s="10"/>
      <c r="AG2789" s="10"/>
      <c r="AH2789" s="10"/>
      <c r="AI2789" s="10"/>
      <c r="AJ2789" s="10"/>
      <c r="AK2789" s="10"/>
      <c r="AL2789" s="10"/>
      <c r="AM2789" s="10"/>
      <c r="AN2789" s="10"/>
      <c r="AO2789" s="10"/>
      <c r="AP2789" s="10"/>
      <c r="AQ2789" s="10"/>
      <c r="AR2789" s="10"/>
      <c r="AS2789" s="10"/>
      <c r="AT2789" s="10"/>
      <c r="AU2789" s="10"/>
      <c r="AV2789" s="10"/>
      <c r="AW2789" s="10"/>
      <c r="AX2789" s="10"/>
      <c r="AY2789" s="10"/>
      <c r="AZ2789" s="10"/>
      <c r="BA2789" s="10"/>
      <c r="BB2789" s="10"/>
      <c r="BC2789" s="10"/>
      <c r="BD2789" s="10"/>
      <c r="BE2789" s="10"/>
      <c r="BF2789" s="10"/>
      <c r="BG2789" s="10"/>
      <c r="BH2789" s="10"/>
      <c r="BI2789" s="10"/>
      <c r="BJ2789" s="10"/>
      <c r="BK2789" s="10"/>
      <c r="BM2789" s="10"/>
    </row>
    <row r="2790" spans="1:65" ht="12.75">
      <c r="A2790" s="9"/>
      <c r="B2790" s="10"/>
      <c r="C2790" s="11"/>
      <c r="D2790" s="12"/>
      <c r="E2790" s="10"/>
      <c r="F2790" s="10"/>
      <c r="G2790" s="10"/>
      <c r="H2790" s="14"/>
      <c r="I2790" s="14"/>
      <c r="J2790" s="14"/>
      <c r="K2790" s="14"/>
      <c r="L2790" s="14"/>
      <c r="M2790" s="15"/>
      <c r="N2790" s="10"/>
      <c r="O2790" s="14"/>
      <c r="P2790" s="14"/>
      <c r="Q2790" s="14"/>
      <c r="R2790" s="14"/>
      <c r="S2790" s="14"/>
      <c r="T2790" s="14"/>
      <c r="U2790" s="14"/>
      <c r="V2790" s="14"/>
      <c r="W2790" s="14"/>
      <c r="X2790" s="14"/>
      <c r="Y2790" s="14"/>
      <c r="Z2790" s="14"/>
      <c r="AA2790" s="16"/>
      <c r="AB2790" s="10"/>
      <c r="AC2790" s="10"/>
      <c r="AD2790" s="10"/>
      <c r="AE2790" s="10"/>
      <c r="AF2790" s="10"/>
      <c r="AG2790" s="10"/>
      <c r="AH2790" s="10"/>
      <c r="AI2790" s="10"/>
      <c r="AJ2790" s="10"/>
      <c r="AK2790" s="10"/>
      <c r="AL2790" s="10"/>
      <c r="AM2790" s="10"/>
      <c r="AN2790" s="10"/>
      <c r="AO2790" s="10"/>
      <c r="AP2790" s="10"/>
      <c r="AQ2790" s="10"/>
      <c r="AR2790" s="10"/>
      <c r="AS2790" s="10"/>
      <c r="AT2790" s="10"/>
      <c r="AU2790" s="10"/>
      <c r="AV2790" s="10"/>
      <c r="AW2790" s="10"/>
      <c r="AX2790" s="10"/>
      <c r="AY2790" s="10"/>
      <c r="AZ2790" s="10"/>
      <c r="BA2790" s="10"/>
      <c r="BB2790" s="10"/>
      <c r="BC2790" s="10"/>
      <c r="BD2790" s="10"/>
      <c r="BE2790" s="10"/>
      <c r="BF2790" s="10"/>
      <c r="BG2790" s="10"/>
      <c r="BH2790" s="10"/>
      <c r="BI2790" s="10"/>
      <c r="BJ2790" s="10"/>
      <c r="BK2790" s="10"/>
      <c r="BM2790" s="10"/>
    </row>
    <row r="2791" spans="1:65" ht="12.75">
      <c r="A2791" s="9"/>
      <c r="B2791" s="10"/>
      <c r="C2791" s="11"/>
      <c r="D2791" s="12"/>
      <c r="E2791" s="10"/>
      <c r="F2791" s="10"/>
      <c r="G2791" s="10"/>
      <c r="H2791" s="14"/>
      <c r="I2791" s="14"/>
      <c r="J2791" s="14"/>
      <c r="K2791" s="14"/>
      <c r="L2791" s="14"/>
      <c r="M2791" s="15"/>
      <c r="N2791" s="10"/>
      <c r="O2791" s="14"/>
      <c r="P2791" s="14"/>
      <c r="Q2791" s="14"/>
      <c r="R2791" s="14"/>
      <c r="S2791" s="14"/>
      <c r="T2791" s="14"/>
      <c r="U2791" s="14"/>
      <c r="V2791" s="14"/>
      <c r="W2791" s="14"/>
      <c r="X2791" s="14"/>
      <c r="Y2791" s="14"/>
      <c r="Z2791" s="14"/>
      <c r="AA2791" s="16"/>
      <c r="AB2791" s="10"/>
      <c r="AC2791" s="10"/>
      <c r="AD2791" s="10"/>
      <c r="AE2791" s="10"/>
      <c r="AF2791" s="10"/>
      <c r="AG2791" s="10"/>
      <c r="AH2791" s="10"/>
      <c r="AI2791" s="10"/>
      <c r="AJ2791" s="10"/>
      <c r="AK2791" s="10"/>
      <c r="AL2791" s="10"/>
      <c r="AM2791" s="10"/>
      <c r="AN2791" s="10"/>
      <c r="AO2791" s="10"/>
      <c r="AP2791" s="10"/>
      <c r="AQ2791" s="10"/>
      <c r="AR2791" s="10"/>
      <c r="AS2791" s="10"/>
      <c r="AT2791" s="10"/>
      <c r="AU2791" s="10"/>
      <c r="AV2791" s="10"/>
      <c r="AW2791" s="10"/>
      <c r="AX2791" s="10"/>
      <c r="AY2791" s="10"/>
      <c r="AZ2791" s="10"/>
      <c r="BA2791" s="10"/>
      <c r="BB2791" s="10"/>
      <c r="BC2791" s="10"/>
      <c r="BD2791" s="10"/>
      <c r="BE2791" s="10"/>
      <c r="BF2791" s="10"/>
      <c r="BG2791" s="10"/>
      <c r="BH2791" s="10"/>
      <c r="BI2791" s="10"/>
      <c r="BJ2791" s="10"/>
      <c r="BK2791" s="10"/>
      <c r="BM2791" s="10"/>
    </row>
    <row r="2792" spans="1:65" ht="12.75">
      <c r="A2792" s="9"/>
      <c r="B2792" s="10"/>
      <c r="C2792" s="11"/>
      <c r="D2792" s="12"/>
      <c r="E2792" s="10"/>
      <c r="F2792" s="10"/>
      <c r="G2792" s="10"/>
      <c r="H2792" s="14"/>
      <c r="I2792" s="14"/>
      <c r="J2792" s="14"/>
      <c r="K2792" s="14"/>
      <c r="L2792" s="14"/>
      <c r="M2792" s="15"/>
      <c r="N2792" s="10"/>
      <c r="O2792" s="14"/>
      <c r="P2792" s="14"/>
      <c r="Q2792" s="14"/>
      <c r="R2792" s="14"/>
      <c r="S2792" s="14"/>
      <c r="T2792" s="14"/>
      <c r="U2792" s="14"/>
      <c r="V2792" s="14"/>
      <c r="W2792" s="14"/>
      <c r="X2792" s="14"/>
      <c r="Y2792" s="14"/>
      <c r="Z2792" s="14"/>
      <c r="AA2792" s="16"/>
      <c r="AB2792" s="10"/>
      <c r="AC2792" s="10"/>
      <c r="AD2792" s="10"/>
      <c r="AE2792" s="10"/>
      <c r="AF2792" s="10"/>
      <c r="AG2792" s="10"/>
      <c r="AH2792" s="10"/>
      <c r="AI2792" s="10"/>
      <c r="AJ2792" s="10"/>
      <c r="AK2792" s="10"/>
      <c r="AL2792" s="10"/>
      <c r="AM2792" s="10"/>
      <c r="AN2792" s="10"/>
      <c r="AO2792" s="10"/>
      <c r="AP2792" s="10"/>
      <c r="AQ2792" s="10"/>
      <c r="AR2792" s="10"/>
      <c r="AS2792" s="10"/>
      <c r="AT2792" s="10"/>
      <c r="AU2792" s="10"/>
      <c r="AV2792" s="10"/>
      <c r="AW2792" s="10"/>
      <c r="AX2792" s="10"/>
      <c r="AY2792" s="10"/>
      <c r="AZ2792" s="10"/>
      <c r="BA2792" s="10"/>
      <c r="BB2792" s="10"/>
      <c r="BC2792" s="10"/>
      <c r="BD2792" s="10"/>
      <c r="BE2792" s="10"/>
      <c r="BF2792" s="10"/>
      <c r="BG2792" s="10"/>
      <c r="BH2792" s="10"/>
      <c r="BI2792" s="10"/>
      <c r="BJ2792" s="10"/>
      <c r="BK2792" s="10"/>
      <c r="BM2792" s="10"/>
    </row>
    <row r="2793" spans="1:65" ht="12.75">
      <c r="A2793" s="9"/>
      <c r="B2793" s="10"/>
      <c r="C2793" s="11"/>
      <c r="D2793" s="12"/>
      <c r="E2793" s="10"/>
      <c r="F2793" s="10"/>
      <c r="G2793" s="10"/>
      <c r="H2793" s="14"/>
      <c r="I2793" s="14"/>
      <c r="J2793" s="14"/>
      <c r="K2793" s="14"/>
      <c r="L2793" s="14"/>
      <c r="M2793" s="15"/>
      <c r="N2793" s="10"/>
      <c r="O2793" s="14"/>
      <c r="P2793" s="14"/>
      <c r="Q2793" s="14"/>
      <c r="R2793" s="14"/>
      <c r="S2793" s="14"/>
      <c r="T2793" s="14"/>
      <c r="U2793" s="14"/>
      <c r="V2793" s="14"/>
      <c r="W2793" s="14"/>
      <c r="X2793" s="14"/>
      <c r="Y2793" s="14"/>
      <c r="Z2793" s="14"/>
      <c r="AA2793" s="16"/>
      <c r="AB2793" s="10"/>
      <c r="AC2793" s="10"/>
      <c r="AD2793" s="10"/>
      <c r="AE2793" s="10"/>
      <c r="AF2793" s="10"/>
      <c r="AG2793" s="10"/>
      <c r="AH2793" s="10"/>
      <c r="AI2793" s="10"/>
      <c r="AJ2793" s="10"/>
      <c r="AK2793" s="10"/>
      <c r="AL2793" s="10"/>
      <c r="AM2793" s="10"/>
      <c r="AN2793" s="10"/>
      <c r="AO2793" s="10"/>
      <c r="AP2793" s="10"/>
      <c r="AQ2793" s="10"/>
      <c r="AR2793" s="10"/>
      <c r="AS2793" s="10"/>
      <c r="AT2793" s="10"/>
      <c r="AU2793" s="10"/>
      <c r="AV2793" s="10"/>
      <c r="AW2793" s="10"/>
      <c r="AX2793" s="10"/>
      <c r="AY2793" s="10"/>
      <c r="AZ2793" s="10"/>
      <c r="BA2793" s="10"/>
      <c r="BB2793" s="10"/>
      <c r="BC2793" s="10"/>
      <c r="BD2793" s="10"/>
      <c r="BE2793" s="10"/>
      <c r="BF2793" s="10"/>
      <c r="BG2793" s="10"/>
      <c r="BH2793" s="10"/>
      <c r="BI2793" s="10"/>
      <c r="BJ2793" s="10"/>
      <c r="BK2793" s="10"/>
      <c r="BM2793" s="10"/>
    </row>
    <row r="2794" spans="1:65" ht="12.75">
      <c r="A2794" s="9"/>
      <c r="B2794" s="10"/>
      <c r="C2794" s="11"/>
      <c r="D2794" s="12"/>
      <c r="E2794" s="10"/>
      <c r="F2794" s="10"/>
      <c r="G2794" s="10"/>
      <c r="H2794" s="14"/>
      <c r="I2794" s="14"/>
      <c r="J2794" s="14"/>
      <c r="K2794" s="14"/>
      <c r="L2794" s="14"/>
      <c r="M2794" s="15"/>
      <c r="N2794" s="10"/>
      <c r="O2794" s="14"/>
      <c r="P2794" s="14"/>
      <c r="Q2794" s="14"/>
      <c r="R2794" s="14"/>
      <c r="S2794" s="14"/>
      <c r="T2794" s="14"/>
      <c r="U2794" s="14"/>
      <c r="V2794" s="14"/>
      <c r="W2794" s="14"/>
      <c r="X2794" s="14"/>
      <c r="Y2794" s="14"/>
      <c r="Z2794" s="14"/>
      <c r="AA2794" s="16"/>
      <c r="AB2794" s="10"/>
      <c r="AC2794" s="10"/>
      <c r="AD2794" s="10"/>
      <c r="AE2794" s="10"/>
      <c r="AF2794" s="10"/>
      <c r="AG2794" s="10"/>
      <c r="AH2794" s="10"/>
      <c r="AI2794" s="10"/>
      <c r="AJ2794" s="10"/>
      <c r="AK2794" s="10"/>
      <c r="AL2794" s="10"/>
      <c r="AM2794" s="10"/>
      <c r="AN2794" s="10"/>
      <c r="AO2794" s="10"/>
      <c r="AP2794" s="10"/>
      <c r="AQ2794" s="10"/>
      <c r="AR2794" s="10"/>
      <c r="AS2794" s="10"/>
      <c r="AT2794" s="10"/>
      <c r="AU2794" s="10"/>
      <c r="AV2794" s="10"/>
      <c r="AW2794" s="10"/>
      <c r="AX2794" s="10"/>
      <c r="AY2794" s="10"/>
      <c r="AZ2794" s="10"/>
      <c r="BA2794" s="10"/>
      <c r="BB2794" s="10"/>
      <c r="BC2794" s="10"/>
      <c r="BD2794" s="10"/>
      <c r="BE2794" s="10"/>
      <c r="BF2794" s="10"/>
      <c r="BG2794" s="10"/>
      <c r="BH2794" s="10"/>
      <c r="BI2794" s="10"/>
      <c r="BJ2794" s="10"/>
      <c r="BK2794" s="10"/>
      <c r="BM2794" s="10"/>
    </row>
    <row r="2795" spans="1:65" ht="12.75">
      <c r="A2795" s="9"/>
      <c r="B2795" s="10"/>
      <c r="C2795" s="11"/>
      <c r="D2795" s="12"/>
      <c r="E2795" s="10"/>
      <c r="F2795" s="10"/>
      <c r="G2795" s="10"/>
      <c r="H2795" s="14"/>
      <c r="I2795" s="14"/>
      <c r="J2795" s="14"/>
      <c r="K2795" s="14"/>
      <c r="L2795" s="14"/>
      <c r="M2795" s="15"/>
      <c r="N2795" s="10"/>
      <c r="O2795" s="14"/>
      <c r="P2795" s="14"/>
      <c r="Q2795" s="14"/>
      <c r="R2795" s="14"/>
      <c r="S2795" s="14"/>
      <c r="T2795" s="14"/>
      <c r="U2795" s="14"/>
      <c r="V2795" s="14"/>
      <c r="W2795" s="14"/>
      <c r="X2795" s="14"/>
      <c r="Y2795" s="14"/>
      <c r="Z2795" s="14"/>
      <c r="AA2795" s="16"/>
      <c r="AB2795" s="10"/>
      <c r="AC2795" s="10"/>
      <c r="AD2795" s="10"/>
      <c r="AE2795" s="10"/>
      <c r="AF2795" s="10"/>
      <c r="AG2795" s="10"/>
      <c r="AH2795" s="10"/>
      <c r="AI2795" s="10"/>
      <c r="AJ2795" s="10"/>
      <c r="AK2795" s="10"/>
      <c r="AL2795" s="10"/>
      <c r="AM2795" s="10"/>
      <c r="AN2795" s="10"/>
      <c r="AO2795" s="10"/>
      <c r="AP2795" s="10"/>
      <c r="AQ2795" s="10"/>
      <c r="AR2795" s="10"/>
      <c r="AS2795" s="10"/>
      <c r="AT2795" s="10"/>
      <c r="AU2795" s="10"/>
      <c r="AV2795" s="10"/>
      <c r="AW2795" s="10"/>
      <c r="AX2795" s="10"/>
      <c r="AY2795" s="10"/>
      <c r="AZ2795" s="10"/>
      <c r="BA2795" s="10"/>
      <c r="BB2795" s="10"/>
      <c r="BC2795" s="10"/>
      <c r="BD2795" s="10"/>
      <c r="BE2795" s="10"/>
      <c r="BF2795" s="10"/>
      <c r="BG2795" s="10"/>
      <c r="BH2795" s="10"/>
      <c r="BI2795" s="10"/>
      <c r="BJ2795" s="10"/>
      <c r="BK2795" s="10"/>
      <c r="BM2795" s="10"/>
    </row>
    <row r="2796" spans="1:65" ht="12.75">
      <c r="A2796" s="9"/>
      <c r="B2796" s="10"/>
      <c r="C2796" s="11"/>
      <c r="D2796" s="12"/>
      <c r="E2796" s="10"/>
      <c r="F2796" s="10"/>
      <c r="G2796" s="10"/>
      <c r="H2796" s="14"/>
      <c r="I2796" s="14"/>
      <c r="J2796" s="14"/>
      <c r="K2796" s="14"/>
      <c r="L2796" s="14"/>
      <c r="M2796" s="15"/>
      <c r="N2796" s="10"/>
      <c r="O2796" s="14"/>
      <c r="P2796" s="14"/>
      <c r="Q2796" s="14"/>
      <c r="R2796" s="14"/>
      <c r="S2796" s="14"/>
      <c r="T2796" s="14"/>
      <c r="U2796" s="14"/>
      <c r="V2796" s="14"/>
      <c r="W2796" s="14"/>
      <c r="X2796" s="14"/>
      <c r="Y2796" s="14"/>
      <c r="Z2796" s="14"/>
      <c r="AA2796" s="16"/>
      <c r="AB2796" s="10"/>
      <c r="AC2796" s="10"/>
      <c r="AD2796" s="10"/>
      <c r="AE2796" s="10"/>
      <c r="AF2796" s="10"/>
      <c r="AG2796" s="10"/>
      <c r="AH2796" s="10"/>
      <c r="AI2796" s="10"/>
      <c r="AJ2796" s="10"/>
      <c r="AK2796" s="10"/>
      <c r="AL2796" s="10"/>
      <c r="AM2796" s="10"/>
      <c r="AN2796" s="10"/>
      <c r="AO2796" s="10"/>
      <c r="AP2796" s="10"/>
      <c r="AQ2796" s="10"/>
      <c r="AR2796" s="10"/>
      <c r="AS2796" s="10"/>
      <c r="AT2796" s="10"/>
      <c r="AU2796" s="10"/>
      <c r="AV2796" s="10"/>
      <c r="AW2796" s="10"/>
      <c r="AX2796" s="10"/>
      <c r="AY2796" s="10"/>
      <c r="AZ2796" s="10"/>
      <c r="BA2796" s="10"/>
      <c r="BB2796" s="10"/>
      <c r="BC2796" s="10"/>
      <c r="BD2796" s="10"/>
      <c r="BE2796" s="10"/>
      <c r="BF2796" s="10"/>
      <c r="BG2796" s="10"/>
      <c r="BH2796" s="10"/>
      <c r="BI2796" s="10"/>
      <c r="BJ2796" s="10"/>
      <c r="BK2796" s="10"/>
      <c r="BM2796" s="10"/>
    </row>
    <row r="2797" spans="1:65" ht="12.75">
      <c r="A2797" s="9"/>
      <c r="B2797" s="10"/>
      <c r="C2797" s="11"/>
      <c r="D2797" s="12"/>
      <c r="E2797" s="10"/>
      <c r="F2797" s="10"/>
      <c r="G2797" s="10"/>
      <c r="H2797" s="14"/>
      <c r="I2797" s="14"/>
      <c r="J2797" s="14"/>
      <c r="K2797" s="14"/>
      <c r="L2797" s="14"/>
      <c r="M2797" s="15"/>
      <c r="N2797" s="10"/>
      <c r="O2797" s="14"/>
      <c r="P2797" s="14"/>
      <c r="Q2797" s="14"/>
      <c r="R2797" s="14"/>
      <c r="S2797" s="14"/>
      <c r="T2797" s="14"/>
      <c r="U2797" s="14"/>
      <c r="V2797" s="14"/>
      <c r="W2797" s="14"/>
      <c r="X2797" s="14"/>
      <c r="Y2797" s="14"/>
      <c r="Z2797" s="14"/>
      <c r="AA2797" s="16"/>
      <c r="AB2797" s="10"/>
      <c r="AC2797" s="10"/>
      <c r="AD2797" s="10"/>
      <c r="AE2797" s="10"/>
      <c r="AF2797" s="10"/>
      <c r="AG2797" s="10"/>
      <c r="AH2797" s="10"/>
      <c r="AI2797" s="10"/>
      <c r="AJ2797" s="10"/>
      <c r="AK2797" s="10"/>
      <c r="AL2797" s="10"/>
      <c r="AM2797" s="10"/>
      <c r="AN2797" s="10"/>
      <c r="AO2797" s="10"/>
      <c r="AP2797" s="10"/>
      <c r="AQ2797" s="10"/>
      <c r="AR2797" s="10"/>
      <c r="AS2797" s="10"/>
      <c r="AT2797" s="10"/>
      <c r="AU2797" s="10"/>
      <c r="AV2797" s="10"/>
      <c r="AW2797" s="10"/>
      <c r="AX2797" s="10"/>
      <c r="AY2797" s="10"/>
      <c r="AZ2797" s="10"/>
      <c r="BA2797" s="10"/>
      <c r="BB2797" s="10"/>
      <c r="BC2797" s="10"/>
      <c r="BD2797" s="10"/>
      <c r="BE2797" s="10"/>
      <c r="BF2797" s="10"/>
      <c r="BG2797" s="10"/>
      <c r="BH2797" s="10"/>
      <c r="BI2797" s="10"/>
      <c r="BJ2797" s="10"/>
      <c r="BK2797" s="10"/>
      <c r="BM2797" s="10"/>
    </row>
    <row r="2798" spans="1:65" ht="12.75">
      <c r="A2798" s="9"/>
      <c r="B2798" s="10"/>
      <c r="C2798" s="11"/>
      <c r="D2798" s="12"/>
      <c r="E2798" s="10"/>
      <c r="F2798" s="10"/>
      <c r="G2798" s="10"/>
      <c r="H2798" s="14"/>
      <c r="I2798" s="14"/>
      <c r="J2798" s="14"/>
      <c r="K2798" s="14"/>
      <c r="L2798" s="14"/>
      <c r="M2798" s="15"/>
      <c r="N2798" s="10"/>
      <c r="O2798" s="14"/>
      <c r="P2798" s="14"/>
      <c r="Q2798" s="14"/>
      <c r="R2798" s="14"/>
      <c r="S2798" s="14"/>
      <c r="T2798" s="14"/>
      <c r="U2798" s="14"/>
      <c r="V2798" s="14"/>
      <c r="W2798" s="14"/>
      <c r="X2798" s="14"/>
      <c r="Y2798" s="14"/>
      <c r="Z2798" s="14"/>
      <c r="AA2798" s="16"/>
      <c r="AB2798" s="10"/>
      <c r="AC2798" s="10"/>
      <c r="AD2798" s="10"/>
      <c r="AE2798" s="10"/>
      <c r="AF2798" s="10"/>
      <c r="AG2798" s="10"/>
      <c r="AH2798" s="10"/>
      <c r="AI2798" s="10"/>
      <c r="AJ2798" s="10"/>
      <c r="AK2798" s="10"/>
      <c r="AL2798" s="10"/>
      <c r="AM2798" s="10"/>
      <c r="AN2798" s="10"/>
      <c r="AO2798" s="10"/>
      <c r="AP2798" s="10"/>
      <c r="AQ2798" s="10"/>
      <c r="AR2798" s="10"/>
      <c r="AS2798" s="10"/>
      <c r="AT2798" s="10"/>
      <c r="AU2798" s="10"/>
      <c r="AV2798" s="10"/>
      <c r="AW2798" s="10"/>
      <c r="AX2798" s="10"/>
      <c r="AY2798" s="10"/>
      <c r="AZ2798" s="10"/>
      <c r="BA2798" s="10"/>
      <c r="BB2798" s="10"/>
      <c r="BC2798" s="10"/>
      <c r="BD2798" s="10"/>
      <c r="BE2798" s="10"/>
      <c r="BF2798" s="10"/>
      <c r="BG2798" s="10"/>
      <c r="BH2798" s="10"/>
      <c r="BI2798" s="10"/>
      <c r="BJ2798" s="10"/>
      <c r="BK2798" s="10"/>
      <c r="BM2798" s="10"/>
    </row>
    <row r="2799" spans="1:65" ht="12.75">
      <c r="A2799" s="9"/>
      <c r="B2799" s="10"/>
      <c r="C2799" s="11"/>
      <c r="D2799" s="12"/>
      <c r="E2799" s="10"/>
      <c r="F2799" s="10"/>
      <c r="G2799" s="10"/>
      <c r="H2799" s="14"/>
      <c r="I2799" s="14"/>
      <c r="J2799" s="14"/>
      <c r="K2799" s="14"/>
      <c r="L2799" s="14"/>
      <c r="M2799" s="15"/>
      <c r="N2799" s="10"/>
      <c r="O2799" s="14"/>
      <c r="P2799" s="14"/>
      <c r="Q2799" s="14"/>
      <c r="R2799" s="14"/>
      <c r="S2799" s="14"/>
      <c r="T2799" s="14"/>
      <c r="U2799" s="14"/>
      <c r="V2799" s="14"/>
      <c r="W2799" s="14"/>
      <c r="X2799" s="14"/>
      <c r="Y2799" s="14"/>
      <c r="Z2799" s="14"/>
      <c r="AA2799" s="16"/>
      <c r="AB2799" s="10"/>
      <c r="AC2799" s="10"/>
      <c r="AD2799" s="10"/>
      <c r="AE2799" s="10"/>
      <c r="AF2799" s="10"/>
      <c r="AG2799" s="10"/>
      <c r="AH2799" s="10"/>
      <c r="AI2799" s="10"/>
      <c r="AJ2799" s="10"/>
      <c r="AK2799" s="10"/>
      <c r="AL2799" s="10"/>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10"/>
      <c r="BK2799" s="10"/>
      <c r="BM2799" s="10"/>
    </row>
    <row r="2800" spans="1:65" ht="12.75">
      <c r="A2800" s="9"/>
      <c r="B2800" s="10"/>
      <c r="C2800" s="11"/>
      <c r="D2800" s="12"/>
      <c r="E2800" s="10"/>
      <c r="F2800" s="10"/>
      <c r="G2800" s="10"/>
      <c r="H2800" s="14"/>
      <c r="I2800" s="14"/>
      <c r="J2800" s="14"/>
      <c r="K2800" s="14"/>
      <c r="L2800" s="14"/>
      <c r="M2800" s="15"/>
      <c r="N2800" s="10"/>
      <c r="O2800" s="14"/>
      <c r="P2800" s="14"/>
      <c r="Q2800" s="14"/>
      <c r="R2800" s="14"/>
      <c r="S2800" s="14"/>
      <c r="T2800" s="14"/>
      <c r="U2800" s="14"/>
      <c r="V2800" s="14"/>
      <c r="W2800" s="14"/>
      <c r="X2800" s="14"/>
      <c r="Y2800" s="14"/>
      <c r="Z2800" s="14"/>
      <c r="AA2800" s="16"/>
      <c r="AB2800" s="10"/>
      <c r="AC2800" s="10"/>
      <c r="AD2800" s="10"/>
      <c r="AE2800" s="10"/>
      <c r="AF2800" s="10"/>
      <c r="AG2800" s="10"/>
      <c r="AH2800" s="10"/>
      <c r="AI2800" s="10"/>
      <c r="AJ2800" s="10"/>
      <c r="AK2800" s="10"/>
      <c r="AL2800" s="10"/>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0"/>
      <c r="BM2800" s="10"/>
    </row>
    <row r="2801" spans="1:65" ht="12.75">
      <c r="A2801" s="9"/>
      <c r="B2801" s="10"/>
      <c r="C2801" s="11"/>
      <c r="D2801" s="12"/>
      <c r="E2801" s="10"/>
      <c r="F2801" s="10"/>
      <c r="G2801" s="10"/>
      <c r="H2801" s="14"/>
      <c r="I2801" s="14"/>
      <c r="J2801" s="14"/>
      <c r="K2801" s="14"/>
      <c r="L2801" s="14"/>
      <c r="M2801" s="15"/>
      <c r="N2801" s="10"/>
      <c r="O2801" s="14"/>
      <c r="P2801" s="14"/>
      <c r="Q2801" s="14"/>
      <c r="R2801" s="14"/>
      <c r="S2801" s="14"/>
      <c r="T2801" s="14"/>
      <c r="U2801" s="14"/>
      <c r="V2801" s="14"/>
      <c r="W2801" s="14"/>
      <c r="X2801" s="14"/>
      <c r="Y2801" s="14"/>
      <c r="Z2801" s="14"/>
      <c r="AA2801" s="16"/>
      <c r="AB2801" s="10"/>
      <c r="AC2801" s="10"/>
      <c r="AD2801" s="10"/>
      <c r="AE2801" s="10"/>
      <c r="AF2801" s="10"/>
      <c r="AG2801" s="10"/>
      <c r="AH2801" s="10"/>
      <c r="AI2801" s="10"/>
      <c r="AJ2801" s="10"/>
      <c r="AK2801" s="10"/>
      <c r="AL2801" s="1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M2801" s="10"/>
    </row>
    <row r="2802" spans="1:65" ht="12.75">
      <c r="A2802" s="9"/>
      <c r="B2802" s="10"/>
      <c r="C2802" s="11"/>
      <c r="D2802" s="12"/>
      <c r="E2802" s="10"/>
      <c r="F2802" s="10"/>
      <c r="G2802" s="10"/>
      <c r="H2802" s="14"/>
      <c r="I2802" s="14"/>
      <c r="J2802" s="14"/>
      <c r="K2802" s="14"/>
      <c r="L2802" s="14"/>
      <c r="M2802" s="15"/>
      <c r="N2802" s="10"/>
      <c r="O2802" s="14"/>
      <c r="P2802" s="14"/>
      <c r="Q2802" s="14"/>
      <c r="R2802" s="14"/>
      <c r="S2802" s="14"/>
      <c r="T2802" s="14"/>
      <c r="U2802" s="14"/>
      <c r="V2802" s="14"/>
      <c r="W2802" s="14"/>
      <c r="X2802" s="14"/>
      <c r="Y2802" s="14"/>
      <c r="Z2802" s="14"/>
      <c r="AA2802" s="16"/>
      <c r="AB2802" s="10"/>
      <c r="AC2802" s="10"/>
      <c r="AD2802" s="10"/>
      <c r="AE2802" s="10"/>
      <c r="AF2802" s="10"/>
      <c r="AG2802" s="10"/>
      <c r="AH2802" s="10"/>
      <c r="AI2802" s="10"/>
      <c r="AJ2802" s="10"/>
      <c r="AK2802" s="10"/>
      <c r="AL2802" s="10"/>
      <c r="AM2802" s="10"/>
      <c r="AN2802" s="10"/>
      <c r="AO2802" s="10"/>
      <c r="AP2802" s="10"/>
      <c r="AQ2802" s="10"/>
      <c r="AR2802" s="10"/>
      <c r="AS2802" s="10"/>
      <c r="AT2802" s="10"/>
      <c r="AU2802" s="10"/>
      <c r="AV2802" s="10"/>
      <c r="AW2802" s="10"/>
      <c r="AX2802" s="10"/>
      <c r="AY2802" s="10"/>
      <c r="AZ2802" s="10"/>
      <c r="BA2802" s="10"/>
      <c r="BB2802" s="10"/>
      <c r="BC2802" s="10"/>
      <c r="BD2802" s="10"/>
      <c r="BE2802" s="10"/>
      <c r="BF2802" s="10"/>
      <c r="BG2802" s="10"/>
      <c r="BH2802" s="10"/>
      <c r="BI2802" s="10"/>
      <c r="BJ2802" s="10"/>
      <c r="BK2802" s="10"/>
      <c r="BM2802" s="10"/>
    </row>
    <row r="2803" spans="1:65" ht="12.75">
      <c r="A2803" s="9"/>
      <c r="B2803" s="10"/>
      <c r="C2803" s="11"/>
      <c r="D2803" s="12"/>
      <c r="E2803" s="10"/>
      <c r="F2803" s="10"/>
      <c r="G2803" s="10"/>
      <c r="H2803" s="14"/>
      <c r="I2803" s="14"/>
      <c r="J2803" s="14"/>
      <c r="K2803" s="14"/>
      <c r="L2803" s="14"/>
      <c r="M2803" s="15"/>
      <c r="N2803" s="10"/>
      <c r="O2803" s="14"/>
      <c r="P2803" s="14"/>
      <c r="Q2803" s="14"/>
      <c r="R2803" s="14"/>
      <c r="S2803" s="14"/>
      <c r="T2803" s="14"/>
      <c r="U2803" s="14"/>
      <c r="V2803" s="14"/>
      <c r="W2803" s="14"/>
      <c r="X2803" s="14"/>
      <c r="Y2803" s="14"/>
      <c r="Z2803" s="14"/>
      <c r="AA2803" s="16"/>
      <c r="AB2803" s="10"/>
      <c r="AC2803" s="10"/>
      <c r="AD2803" s="10"/>
      <c r="AE2803" s="10"/>
      <c r="AF2803" s="10"/>
      <c r="AG2803" s="10"/>
      <c r="AH2803" s="10"/>
      <c r="AI2803" s="10"/>
      <c r="AJ2803" s="10"/>
      <c r="AK2803" s="10"/>
      <c r="AL2803" s="10"/>
      <c r="AM2803" s="10"/>
      <c r="AN2803" s="10"/>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10"/>
      <c r="BK2803" s="10"/>
      <c r="BM2803" s="10"/>
    </row>
    <row r="2804" spans="1:65" ht="12.75">
      <c r="A2804" s="9"/>
      <c r="B2804" s="10"/>
      <c r="C2804" s="11"/>
      <c r="D2804" s="12"/>
      <c r="E2804" s="10"/>
      <c r="F2804" s="10"/>
      <c r="G2804" s="10"/>
      <c r="H2804" s="14"/>
      <c r="I2804" s="14"/>
      <c r="J2804" s="14"/>
      <c r="K2804" s="14"/>
      <c r="L2804" s="14"/>
      <c r="M2804" s="15"/>
      <c r="N2804" s="10"/>
      <c r="O2804" s="14"/>
      <c r="P2804" s="14"/>
      <c r="Q2804" s="14"/>
      <c r="R2804" s="14"/>
      <c r="S2804" s="14"/>
      <c r="T2804" s="14"/>
      <c r="U2804" s="14"/>
      <c r="V2804" s="14"/>
      <c r="W2804" s="14"/>
      <c r="X2804" s="14"/>
      <c r="Y2804" s="14"/>
      <c r="Z2804" s="14"/>
      <c r="AA2804" s="16"/>
      <c r="AB2804" s="10"/>
      <c r="AC2804" s="10"/>
      <c r="AD2804" s="10"/>
      <c r="AE2804" s="10"/>
      <c r="AF2804" s="10"/>
      <c r="AG2804" s="10"/>
      <c r="AH2804" s="10"/>
      <c r="AI2804" s="10"/>
      <c r="AJ2804" s="10"/>
      <c r="AK2804" s="10"/>
      <c r="AL2804" s="10"/>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0"/>
      <c r="BM2804" s="10"/>
    </row>
    <row r="2805" spans="1:65" ht="12.75">
      <c r="A2805" s="9"/>
      <c r="B2805" s="10"/>
      <c r="C2805" s="11"/>
      <c r="D2805" s="12"/>
      <c r="E2805" s="10"/>
      <c r="F2805" s="10"/>
      <c r="G2805" s="10"/>
      <c r="H2805" s="14"/>
      <c r="I2805" s="14"/>
      <c r="J2805" s="14"/>
      <c r="K2805" s="14"/>
      <c r="L2805" s="14"/>
      <c r="M2805" s="15"/>
      <c r="N2805" s="10"/>
      <c r="O2805" s="14"/>
      <c r="P2805" s="14"/>
      <c r="Q2805" s="14"/>
      <c r="R2805" s="14"/>
      <c r="S2805" s="14"/>
      <c r="T2805" s="14"/>
      <c r="U2805" s="14"/>
      <c r="V2805" s="14"/>
      <c r="W2805" s="14"/>
      <c r="X2805" s="14"/>
      <c r="Y2805" s="14"/>
      <c r="Z2805" s="14"/>
      <c r="AA2805" s="16"/>
      <c r="AB2805" s="10"/>
      <c r="AC2805" s="10"/>
      <c r="AD2805" s="10"/>
      <c r="AE2805" s="10"/>
      <c r="AF2805" s="10"/>
      <c r="AG2805" s="10"/>
      <c r="AH2805" s="10"/>
      <c r="AI2805" s="10"/>
      <c r="AJ2805" s="10"/>
      <c r="AK2805" s="10"/>
      <c r="AL2805" s="1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10"/>
      <c r="BK2805" s="10"/>
      <c r="BM2805" s="10"/>
    </row>
    <row r="2806" spans="1:65" ht="12.75">
      <c r="A2806" s="9"/>
      <c r="B2806" s="10"/>
      <c r="C2806" s="11"/>
      <c r="D2806" s="12"/>
      <c r="E2806" s="10"/>
      <c r="F2806" s="10"/>
      <c r="G2806" s="10"/>
      <c r="H2806" s="14"/>
      <c r="I2806" s="14"/>
      <c r="J2806" s="14"/>
      <c r="K2806" s="14"/>
      <c r="L2806" s="14"/>
      <c r="M2806" s="15"/>
      <c r="N2806" s="10"/>
      <c r="O2806" s="14"/>
      <c r="P2806" s="14"/>
      <c r="Q2806" s="14"/>
      <c r="R2806" s="14"/>
      <c r="S2806" s="14"/>
      <c r="T2806" s="14"/>
      <c r="U2806" s="14"/>
      <c r="V2806" s="14"/>
      <c r="W2806" s="14"/>
      <c r="X2806" s="14"/>
      <c r="Y2806" s="14"/>
      <c r="Z2806" s="14"/>
      <c r="AA2806" s="16"/>
      <c r="AB2806" s="10"/>
      <c r="AC2806" s="10"/>
      <c r="AD2806" s="10"/>
      <c r="AE2806" s="10"/>
      <c r="AF2806" s="10"/>
      <c r="AG2806" s="10"/>
      <c r="AH2806" s="10"/>
      <c r="AI2806" s="10"/>
      <c r="AJ2806" s="10"/>
      <c r="AK2806" s="10"/>
      <c r="AL2806" s="10"/>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10"/>
      <c r="BK2806" s="10"/>
      <c r="BM2806" s="10"/>
    </row>
    <row r="2807" spans="1:65" ht="12.75">
      <c r="A2807" s="9"/>
      <c r="B2807" s="10"/>
      <c r="C2807" s="11"/>
      <c r="D2807" s="12"/>
      <c r="E2807" s="10"/>
      <c r="F2807" s="10"/>
      <c r="G2807" s="10"/>
      <c r="H2807" s="14"/>
      <c r="I2807" s="14"/>
      <c r="J2807" s="14"/>
      <c r="K2807" s="14"/>
      <c r="L2807" s="14"/>
      <c r="M2807" s="15"/>
      <c r="N2807" s="10"/>
      <c r="O2807" s="14"/>
      <c r="P2807" s="14"/>
      <c r="Q2807" s="14"/>
      <c r="R2807" s="14"/>
      <c r="S2807" s="14"/>
      <c r="T2807" s="14"/>
      <c r="U2807" s="14"/>
      <c r="V2807" s="14"/>
      <c r="W2807" s="14"/>
      <c r="X2807" s="14"/>
      <c r="Y2807" s="14"/>
      <c r="Z2807" s="14"/>
      <c r="AA2807" s="16"/>
      <c r="AB2807" s="10"/>
      <c r="AC2807" s="10"/>
      <c r="AD2807" s="10"/>
      <c r="AE2807" s="10"/>
      <c r="AF2807" s="10"/>
      <c r="AG2807" s="10"/>
      <c r="AH2807" s="10"/>
      <c r="AI2807" s="10"/>
      <c r="AJ2807" s="10"/>
      <c r="AK2807" s="10"/>
      <c r="AL2807" s="10"/>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10"/>
      <c r="BK2807" s="10"/>
      <c r="BM2807" s="10"/>
    </row>
    <row r="2808" spans="1:65" ht="12.75">
      <c r="A2808" s="9"/>
      <c r="B2808" s="10"/>
      <c r="C2808" s="11"/>
      <c r="D2808" s="12"/>
      <c r="E2808" s="10"/>
      <c r="F2808" s="10"/>
      <c r="G2808" s="10"/>
      <c r="H2808" s="14"/>
      <c r="I2808" s="14"/>
      <c r="J2808" s="14"/>
      <c r="K2808" s="14"/>
      <c r="L2808" s="14"/>
      <c r="M2808" s="15"/>
      <c r="N2808" s="10"/>
      <c r="O2808" s="14"/>
      <c r="P2808" s="14"/>
      <c r="Q2808" s="14"/>
      <c r="R2808" s="14"/>
      <c r="S2808" s="14"/>
      <c r="T2808" s="14"/>
      <c r="U2808" s="14"/>
      <c r="V2808" s="14"/>
      <c r="W2808" s="14"/>
      <c r="X2808" s="14"/>
      <c r="Y2808" s="14"/>
      <c r="Z2808" s="14"/>
      <c r="AA2808" s="16"/>
      <c r="AB2808" s="10"/>
      <c r="AC2808" s="10"/>
      <c r="AD2808" s="10"/>
      <c r="AE2808" s="10"/>
      <c r="AF2808" s="10"/>
      <c r="AG2808" s="10"/>
      <c r="AH2808" s="10"/>
      <c r="AI2808" s="10"/>
      <c r="AJ2808" s="10"/>
      <c r="AK2808" s="10"/>
      <c r="AL2808" s="10"/>
      <c r="AM2808" s="10"/>
      <c r="AN2808" s="10"/>
      <c r="AO2808" s="10"/>
      <c r="AP2808" s="10"/>
      <c r="AQ2808" s="10"/>
      <c r="AR2808" s="10"/>
      <c r="AS2808" s="10"/>
      <c r="AT2808" s="10"/>
      <c r="AU2808" s="10"/>
      <c r="AV2808" s="10"/>
      <c r="AW2808" s="10"/>
      <c r="AX2808" s="10"/>
      <c r="AY2808" s="10"/>
      <c r="AZ2808" s="10"/>
      <c r="BA2808" s="10"/>
      <c r="BB2808" s="10"/>
      <c r="BC2808" s="10"/>
      <c r="BD2808" s="10"/>
      <c r="BE2808" s="10"/>
      <c r="BF2808" s="10"/>
      <c r="BG2808" s="10"/>
      <c r="BH2808" s="10"/>
      <c r="BI2808" s="10"/>
      <c r="BJ2808" s="10"/>
      <c r="BK2808" s="10"/>
      <c r="BM2808" s="10"/>
    </row>
    <row r="2809" spans="1:65" ht="12.75">
      <c r="A2809" s="9"/>
      <c r="B2809" s="10"/>
      <c r="C2809" s="11"/>
      <c r="D2809" s="12"/>
      <c r="E2809" s="10"/>
      <c r="F2809" s="10"/>
      <c r="G2809" s="10"/>
      <c r="H2809" s="14"/>
      <c r="I2809" s="14"/>
      <c r="J2809" s="14"/>
      <c r="K2809" s="14"/>
      <c r="L2809" s="14"/>
      <c r="M2809" s="15"/>
      <c r="N2809" s="10"/>
      <c r="O2809" s="14"/>
      <c r="P2809" s="14"/>
      <c r="Q2809" s="14"/>
      <c r="R2809" s="14"/>
      <c r="S2809" s="14"/>
      <c r="T2809" s="14"/>
      <c r="U2809" s="14"/>
      <c r="V2809" s="14"/>
      <c r="W2809" s="14"/>
      <c r="X2809" s="14"/>
      <c r="Y2809" s="14"/>
      <c r="Z2809" s="14"/>
      <c r="AA2809" s="16"/>
      <c r="AB2809" s="10"/>
      <c r="AC2809" s="10"/>
      <c r="AD2809" s="10"/>
      <c r="AE2809" s="10"/>
      <c r="AF2809" s="10"/>
      <c r="AG2809" s="10"/>
      <c r="AH2809" s="10"/>
      <c r="AI2809" s="10"/>
      <c r="AJ2809" s="10"/>
      <c r="AK2809" s="10"/>
      <c r="AL2809" s="10"/>
      <c r="AM2809" s="10"/>
      <c r="AN2809" s="10"/>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10"/>
      <c r="BK2809" s="10"/>
      <c r="BM2809" s="10"/>
    </row>
    <row r="2810" spans="1:65" ht="12.75">
      <c r="A2810" s="9"/>
      <c r="B2810" s="10"/>
      <c r="C2810" s="11"/>
      <c r="D2810" s="12"/>
      <c r="E2810" s="10"/>
      <c r="F2810" s="10"/>
      <c r="G2810" s="10"/>
      <c r="H2810" s="14"/>
      <c r="I2810" s="14"/>
      <c r="J2810" s="14"/>
      <c r="K2810" s="14"/>
      <c r="L2810" s="14"/>
      <c r="M2810" s="15"/>
      <c r="N2810" s="10"/>
      <c r="O2810" s="14"/>
      <c r="P2810" s="14"/>
      <c r="Q2810" s="14"/>
      <c r="R2810" s="14"/>
      <c r="S2810" s="14"/>
      <c r="T2810" s="14"/>
      <c r="U2810" s="14"/>
      <c r="V2810" s="14"/>
      <c r="W2810" s="14"/>
      <c r="X2810" s="14"/>
      <c r="Y2810" s="14"/>
      <c r="Z2810" s="14"/>
      <c r="AA2810" s="16"/>
      <c r="AB2810" s="10"/>
      <c r="AC2810" s="10"/>
      <c r="AD2810" s="10"/>
      <c r="AE2810" s="10"/>
      <c r="AF2810" s="10"/>
      <c r="AG2810" s="10"/>
      <c r="AH2810" s="10"/>
      <c r="AI2810" s="10"/>
      <c r="AJ2810" s="10"/>
      <c r="AK2810" s="10"/>
      <c r="AL2810" s="10"/>
      <c r="AM2810" s="10"/>
      <c r="AN2810" s="10"/>
      <c r="AO2810" s="10"/>
      <c r="AP2810" s="10"/>
      <c r="AQ2810" s="10"/>
      <c r="AR2810" s="10"/>
      <c r="AS2810" s="10"/>
      <c r="AT2810" s="10"/>
      <c r="AU2810" s="10"/>
      <c r="AV2810" s="10"/>
      <c r="AW2810" s="10"/>
      <c r="AX2810" s="10"/>
      <c r="AY2810" s="10"/>
      <c r="AZ2810" s="10"/>
      <c r="BA2810" s="10"/>
      <c r="BB2810" s="10"/>
      <c r="BC2810" s="10"/>
      <c r="BD2810" s="10"/>
      <c r="BE2810" s="10"/>
      <c r="BF2810" s="10"/>
      <c r="BG2810" s="10"/>
      <c r="BH2810" s="10"/>
      <c r="BI2810" s="10"/>
      <c r="BJ2810" s="10"/>
      <c r="BK2810" s="10"/>
      <c r="BM2810" s="10"/>
    </row>
    <row r="2811" spans="1:65" ht="12.75">
      <c r="A2811" s="9"/>
      <c r="B2811" s="10"/>
      <c r="C2811" s="11"/>
      <c r="D2811" s="12"/>
      <c r="E2811" s="10"/>
      <c r="F2811" s="10"/>
      <c r="G2811" s="10"/>
      <c r="H2811" s="14"/>
      <c r="I2811" s="14"/>
      <c r="J2811" s="14"/>
      <c r="K2811" s="14"/>
      <c r="L2811" s="14"/>
      <c r="M2811" s="15"/>
      <c r="N2811" s="10"/>
      <c r="O2811" s="14"/>
      <c r="P2811" s="14"/>
      <c r="Q2811" s="14"/>
      <c r="R2811" s="14"/>
      <c r="S2811" s="14"/>
      <c r="T2811" s="14"/>
      <c r="U2811" s="14"/>
      <c r="V2811" s="14"/>
      <c r="W2811" s="14"/>
      <c r="X2811" s="14"/>
      <c r="Y2811" s="14"/>
      <c r="Z2811" s="14"/>
      <c r="AA2811" s="16"/>
      <c r="AB2811" s="10"/>
      <c r="AC2811" s="10"/>
      <c r="AD2811" s="10"/>
      <c r="AE2811" s="10"/>
      <c r="AF2811" s="10"/>
      <c r="AG2811" s="10"/>
      <c r="AH2811" s="10"/>
      <c r="AI2811" s="10"/>
      <c r="AJ2811" s="10"/>
      <c r="AK2811" s="10"/>
      <c r="AL2811" s="10"/>
      <c r="AM2811" s="10"/>
      <c r="AN2811" s="10"/>
      <c r="AO2811" s="10"/>
      <c r="AP2811" s="10"/>
      <c r="AQ2811" s="10"/>
      <c r="AR2811" s="10"/>
      <c r="AS2811" s="10"/>
      <c r="AT2811" s="10"/>
      <c r="AU2811" s="10"/>
      <c r="AV2811" s="10"/>
      <c r="AW2811" s="10"/>
      <c r="AX2811" s="10"/>
      <c r="AY2811" s="10"/>
      <c r="AZ2811" s="10"/>
      <c r="BA2811" s="10"/>
      <c r="BB2811" s="10"/>
      <c r="BC2811" s="10"/>
      <c r="BD2811" s="10"/>
      <c r="BE2811" s="10"/>
      <c r="BF2811" s="10"/>
      <c r="BG2811" s="10"/>
      <c r="BH2811" s="10"/>
      <c r="BI2811" s="10"/>
      <c r="BJ2811" s="10"/>
      <c r="BK2811" s="10"/>
      <c r="BM2811" s="10"/>
    </row>
    <row r="2812" spans="1:65" ht="12.75">
      <c r="A2812" s="9"/>
      <c r="B2812" s="10"/>
      <c r="C2812" s="11"/>
      <c r="D2812" s="12"/>
      <c r="E2812" s="10"/>
      <c r="F2812" s="10"/>
      <c r="G2812" s="10"/>
      <c r="H2812" s="14"/>
      <c r="I2812" s="14"/>
      <c r="J2812" s="14"/>
      <c r="K2812" s="14"/>
      <c r="L2812" s="14"/>
      <c r="M2812" s="15"/>
      <c r="N2812" s="10"/>
      <c r="O2812" s="14"/>
      <c r="P2812" s="14"/>
      <c r="Q2812" s="14"/>
      <c r="R2812" s="14"/>
      <c r="S2812" s="14"/>
      <c r="T2812" s="14"/>
      <c r="U2812" s="14"/>
      <c r="V2812" s="14"/>
      <c r="W2812" s="14"/>
      <c r="X2812" s="14"/>
      <c r="Y2812" s="14"/>
      <c r="Z2812" s="14"/>
      <c r="AA2812" s="16"/>
      <c r="AB2812" s="10"/>
      <c r="AC2812" s="10"/>
      <c r="AD2812" s="10"/>
      <c r="AE2812" s="10"/>
      <c r="AF2812" s="10"/>
      <c r="AG2812" s="10"/>
      <c r="AH2812" s="10"/>
      <c r="AI2812" s="10"/>
      <c r="AJ2812" s="10"/>
      <c r="AK2812" s="10"/>
      <c r="AL2812" s="10"/>
      <c r="AM2812" s="10"/>
      <c r="AN2812" s="10"/>
      <c r="AO2812" s="10"/>
      <c r="AP2812" s="10"/>
      <c r="AQ2812" s="10"/>
      <c r="AR2812" s="10"/>
      <c r="AS2812" s="10"/>
      <c r="AT2812" s="10"/>
      <c r="AU2812" s="10"/>
      <c r="AV2812" s="10"/>
      <c r="AW2812" s="10"/>
      <c r="AX2812" s="10"/>
      <c r="AY2812" s="10"/>
      <c r="AZ2812" s="10"/>
      <c r="BA2812" s="10"/>
      <c r="BB2812" s="10"/>
      <c r="BC2812" s="10"/>
      <c r="BD2812" s="10"/>
      <c r="BE2812" s="10"/>
      <c r="BF2812" s="10"/>
      <c r="BG2812" s="10"/>
      <c r="BH2812" s="10"/>
      <c r="BI2812" s="10"/>
      <c r="BJ2812" s="10"/>
      <c r="BK2812" s="10"/>
      <c r="BM2812" s="10"/>
    </row>
    <row r="2813" spans="1:65" ht="12.75">
      <c r="A2813" s="9"/>
      <c r="B2813" s="10"/>
      <c r="C2813" s="11"/>
      <c r="D2813" s="12"/>
      <c r="E2813" s="10"/>
      <c r="F2813" s="10"/>
      <c r="G2813" s="10"/>
      <c r="H2813" s="14"/>
      <c r="I2813" s="14"/>
      <c r="J2813" s="14"/>
      <c r="K2813" s="14"/>
      <c r="L2813" s="14"/>
      <c r="M2813" s="15"/>
      <c r="N2813" s="10"/>
      <c r="O2813" s="14"/>
      <c r="P2813" s="14"/>
      <c r="Q2813" s="14"/>
      <c r="R2813" s="14"/>
      <c r="S2813" s="14"/>
      <c r="T2813" s="14"/>
      <c r="U2813" s="14"/>
      <c r="V2813" s="14"/>
      <c r="W2813" s="14"/>
      <c r="X2813" s="14"/>
      <c r="Y2813" s="14"/>
      <c r="Z2813" s="14"/>
      <c r="AA2813" s="16"/>
      <c r="AB2813" s="10"/>
      <c r="AC2813" s="10"/>
      <c r="AD2813" s="10"/>
      <c r="AE2813" s="10"/>
      <c r="AF2813" s="10"/>
      <c r="AG2813" s="10"/>
      <c r="AH2813" s="10"/>
      <c r="AI2813" s="10"/>
      <c r="AJ2813" s="10"/>
      <c r="AK2813" s="10"/>
      <c r="AL2813" s="10"/>
      <c r="AM2813" s="10"/>
      <c r="AN2813" s="10"/>
      <c r="AO2813" s="10"/>
      <c r="AP2813" s="10"/>
      <c r="AQ2813" s="10"/>
      <c r="AR2813" s="10"/>
      <c r="AS2813" s="10"/>
      <c r="AT2813" s="10"/>
      <c r="AU2813" s="10"/>
      <c r="AV2813" s="10"/>
      <c r="AW2813" s="10"/>
      <c r="AX2813" s="10"/>
      <c r="AY2813" s="10"/>
      <c r="AZ2813" s="10"/>
      <c r="BA2813" s="10"/>
      <c r="BB2813" s="10"/>
      <c r="BC2813" s="10"/>
      <c r="BD2813" s="10"/>
      <c r="BE2813" s="10"/>
      <c r="BF2813" s="10"/>
      <c r="BG2813" s="10"/>
      <c r="BH2813" s="10"/>
      <c r="BI2813" s="10"/>
      <c r="BJ2813" s="10"/>
      <c r="BK2813" s="10"/>
      <c r="BM2813" s="10"/>
    </row>
    <row r="2814" spans="1:65" ht="12.75">
      <c r="A2814" s="9"/>
      <c r="B2814" s="10"/>
      <c r="C2814" s="11"/>
      <c r="D2814" s="12"/>
      <c r="E2814" s="10"/>
      <c r="F2814" s="10"/>
      <c r="G2814" s="10"/>
      <c r="H2814" s="14"/>
      <c r="I2814" s="14"/>
      <c r="J2814" s="14"/>
      <c r="K2814" s="14"/>
      <c r="L2814" s="14"/>
      <c r="M2814" s="15"/>
      <c r="N2814" s="10"/>
      <c r="O2814" s="14"/>
      <c r="P2814" s="14"/>
      <c r="Q2814" s="14"/>
      <c r="R2814" s="14"/>
      <c r="S2814" s="14"/>
      <c r="T2814" s="14"/>
      <c r="U2814" s="14"/>
      <c r="V2814" s="14"/>
      <c r="W2814" s="14"/>
      <c r="X2814" s="14"/>
      <c r="Y2814" s="14"/>
      <c r="Z2814" s="14"/>
      <c r="AA2814" s="16"/>
      <c r="AB2814" s="10"/>
      <c r="AC2814" s="10"/>
      <c r="AD2814" s="10"/>
      <c r="AE2814" s="10"/>
      <c r="AF2814" s="10"/>
      <c r="AG2814" s="10"/>
      <c r="AH2814" s="10"/>
      <c r="AI2814" s="10"/>
      <c r="AJ2814" s="10"/>
      <c r="AK2814" s="10"/>
      <c r="AL2814" s="1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10"/>
      <c r="BK2814" s="10"/>
      <c r="BM2814" s="10"/>
    </row>
    <row r="2815" spans="1:65" ht="12.75">
      <c r="A2815" s="9"/>
      <c r="B2815" s="10"/>
      <c r="C2815" s="11"/>
      <c r="D2815" s="12"/>
      <c r="E2815" s="10"/>
      <c r="F2815" s="10"/>
      <c r="G2815" s="10"/>
      <c r="H2815" s="14"/>
      <c r="I2815" s="14"/>
      <c r="J2815" s="14"/>
      <c r="K2815" s="14"/>
      <c r="L2815" s="14"/>
      <c r="M2815" s="15"/>
      <c r="N2815" s="10"/>
      <c r="O2815" s="14"/>
      <c r="P2815" s="14"/>
      <c r="Q2815" s="14"/>
      <c r="R2815" s="14"/>
      <c r="S2815" s="14"/>
      <c r="T2815" s="14"/>
      <c r="U2815" s="14"/>
      <c r="V2815" s="14"/>
      <c r="W2815" s="14"/>
      <c r="X2815" s="14"/>
      <c r="Y2815" s="14"/>
      <c r="Z2815" s="14"/>
      <c r="AA2815" s="16"/>
      <c r="AB2815" s="10"/>
      <c r="AC2815" s="10"/>
      <c r="AD2815" s="10"/>
      <c r="AE2815" s="10"/>
      <c r="AF2815" s="10"/>
      <c r="AG2815" s="10"/>
      <c r="AH2815" s="10"/>
      <c r="AI2815" s="10"/>
      <c r="AJ2815" s="10"/>
      <c r="AK2815" s="10"/>
      <c r="AL2815" s="10"/>
      <c r="AM2815" s="10"/>
      <c r="AN2815" s="10"/>
      <c r="AO2815" s="10"/>
      <c r="AP2815" s="10"/>
      <c r="AQ2815" s="10"/>
      <c r="AR2815" s="10"/>
      <c r="AS2815" s="10"/>
      <c r="AT2815" s="10"/>
      <c r="AU2815" s="10"/>
      <c r="AV2815" s="10"/>
      <c r="AW2815" s="10"/>
      <c r="AX2815" s="10"/>
      <c r="AY2815" s="10"/>
      <c r="AZ2815" s="10"/>
      <c r="BA2815" s="10"/>
      <c r="BB2815" s="10"/>
      <c r="BC2815" s="10"/>
      <c r="BD2815" s="10"/>
      <c r="BE2815" s="10"/>
      <c r="BF2815" s="10"/>
      <c r="BG2815" s="10"/>
      <c r="BH2815" s="10"/>
      <c r="BI2815" s="10"/>
      <c r="BJ2815" s="10"/>
      <c r="BK2815" s="10"/>
      <c r="BM2815" s="10"/>
    </row>
    <row r="2816" spans="1:65" ht="12.75">
      <c r="A2816" s="9"/>
      <c r="B2816" s="10"/>
      <c r="C2816" s="11"/>
      <c r="D2816" s="12"/>
      <c r="E2816" s="10"/>
      <c r="F2816" s="10"/>
      <c r="G2816" s="10"/>
      <c r="H2816" s="14"/>
      <c r="I2816" s="14"/>
      <c r="J2816" s="14"/>
      <c r="K2816" s="14"/>
      <c r="L2816" s="14"/>
      <c r="M2816" s="15"/>
      <c r="N2816" s="10"/>
      <c r="O2816" s="14"/>
      <c r="P2816" s="14"/>
      <c r="Q2816" s="14"/>
      <c r="R2816" s="14"/>
      <c r="S2816" s="14"/>
      <c r="T2816" s="14"/>
      <c r="U2816" s="14"/>
      <c r="V2816" s="14"/>
      <c r="W2816" s="14"/>
      <c r="X2816" s="14"/>
      <c r="Y2816" s="14"/>
      <c r="Z2816" s="14"/>
      <c r="AA2816" s="16"/>
      <c r="AB2816" s="10"/>
      <c r="AC2816" s="10"/>
      <c r="AD2816" s="10"/>
      <c r="AE2816" s="10"/>
      <c r="AF2816" s="10"/>
      <c r="AG2816" s="10"/>
      <c r="AH2816" s="10"/>
      <c r="AI2816" s="10"/>
      <c r="AJ2816" s="10"/>
      <c r="AK2816" s="10"/>
      <c r="AL2816" s="10"/>
      <c r="AM2816" s="10"/>
      <c r="AN2816" s="10"/>
      <c r="AO2816" s="10"/>
      <c r="AP2816" s="10"/>
      <c r="AQ2816" s="10"/>
      <c r="AR2816" s="10"/>
      <c r="AS2816" s="10"/>
      <c r="AT2816" s="10"/>
      <c r="AU2816" s="10"/>
      <c r="AV2816" s="10"/>
      <c r="AW2816" s="10"/>
      <c r="AX2816" s="10"/>
      <c r="AY2816" s="10"/>
      <c r="AZ2816" s="10"/>
      <c r="BA2816" s="10"/>
      <c r="BB2816" s="10"/>
      <c r="BC2816" s="10"/>
      <c r="BD2816" s="10"/>
      <c r="BE2816" s="10"/>
      <c r="BF2816" s="10"/>
      <c r="BG2816" s="10"/>
      <c r="BH2816" s="10"/>
      <c r="BI2816" s="10"/>
      <c r="BJ2816" s="10"/>
      <c r="BK2816" s="10"/>
      <c r="BM2816" s="10"/>
    </row>
    <row r="2817" spans="1:65" ht="12.75">
      <c r="A2817" s="9"/>
      <c r="B2817" s="10"/>
      <c r="C2817" s="11"/>
      <c r="D2817" s="12"/>
      <c r="E2817" s="10"/>
      <c r="F2817" s="10"/>
      <c r="G2817" s="10"/>
      <c r="H2817" s="14"/>
      <c r="I2817" s="14"/>
      <c r="J2817" s="14"/>
      <c r="K2817" s="14"/>
      <c r="L2817" s="14"/>
      <c r="M2817" s="15"/>
      <c r="N2817" s="10"/>
      <c r="O2817" s="14"/>
      <c r="P2817" s="14"/>
      <c r="Q2817" s="14"/>
      <c r="R2817" s="14"/>
      <c r="S2817" s="14"/>
      <c r="T2817" s="14"/>
      <c r="U2817" s="14"/>
      <c r="V2817" s="14"/>
      <c r="W2817" s="14"/>
      <c r="X2817" s="14"/>
      <c r="Y2817" s="14"/>
      <c r="Z2817" s="14"/>
      <c r="AA2817" s="16"/>
      <c r="AB2817" s="10"/>
      <c r="AC2817" s="10"/>
      <c r="AD2817" s="10"/>
      <c r="AE2817" s="10"/>
      <c r="AF2817" s="10"/>
      <c r="AG2817" s="10"/>
      <c r="AH2817" s="10"/>
      <c r="AI2817" s="10"/>
      <c r="AJ2817" s="10"/>
      <c r="AK2817" s="10"/>
      <c r="AL2817" s="1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c r="BI2817" s="10"/>
      <c r="BJ2817" s="10"/>
      <c r="BK2817" s="10"/>
      <c r="BM2817" s="10"/>
    </row>
    <row r="2818" spans="1:65" ht="12.75">
      <c r="A2818" s="9"/>
      <c r="B2818" s="10"/>
      <c r="C2818" s="11"/>
      <c r="D2818" s="12"/>
      <c r="E2818" s="10"/>
      <c r="F2818" s="10"/>
      <c r="G2818" s="10"/>
      <c r="H2818" s="14"/>
      <c r="I2818" s="14"/>
      <c r="J2818" s="14"/>
      <c r="K2818" s="14"/>
      <c r="L2818" s="14"/>
      <c r="M2818" s="15"/>
      <c r="N2818" s="10"/>
      <c r="O2818" s="14"/>
      <c r="P2818" s="14"/>
      <c r="Q2818" s="14"/>
      <c r="R2818" s="14"/>
      <c r="S2818" s="14"/>
      <c r="T2818" s="14"/>
      <c r="U2818" s="14"/>
      <c r="V2818" s="14"/>
      <c r="W2818" s="14"/>
      <c r="X2818" s="14"/>
      <c r="Y2818" s="14"/>
      <c r="Z2818" s="14"/>
      <c r="AA2818" s="16"/>
      <c r="AB2818" s="10"/>
      <c r="AC2818" s="10"/>
      <c r="AD2818" s="10"/>
      <c r="AE2818" s="10"/>
      <c r="AF2818" s="10"/>
      <c r="AG2818" s="10"/>
      <c r="AH2818" s="10"/>
      <c r="AI2818" s="10"/>
      <c r="AJ2818" s="10"/>
      <c r="AK2818" s="10"/>
      <c r="AL2818" s="10"/>
      <c r="AM2818" s="10"/>
      <c r="AN2818" s="10"/>
      <c r="AO2818" s="10"/>
      <c r="AP2818" s="10"/>
      <c r="AQ2818" s="10"/>
      <c r="AR2818" s="10"/>
      <c r="AS2818" s="10"/>
      <c r="AT2818" s="10"/>
      <c r="AU2818" s="10"/>
      <c r="AV2818" s="10"/>
      <c r="AW2818" s="10"/>
      <c r="AX2818" s="10"/>
      <c r="AY2818" s="10"/>
      <c r="AZ2818" s="10"/>
      <c r="BA2818" s="10"/>
      <c r="BB2818" s="10"/>
      <c r="BC2818" s="10"/>
      <c r="BD2818" s="10"/>
      <c r="BE2818" s="10"/>
      <c r="BF2818" s="10"/>
      <c r="BG2818" s="10"/>
      <c r="BH2818" s="10"/>
      <c r="BI2818" s="10"/>
      <c r="BJ2818" s="10"/>
      <c r="BK2818" s="10"/>
      <c r="BM2818" s="10"/>
    </row>
    <row r="2819" spans="1:65" ht="12.75">
      <c r="A2819" s="9"/>
      <c r="B2819" s="10"/>
      <c r="C2819" s="11"/>
      <c r="D2819" s="12"/>
      <c r="E2819" s="10"/>
      <c r="F2819" s="10"/>
      <c r="G2819" s="10"/>
      <c r="H2819" s="14"/>
      <c r="I2819" s="14"/>
      <c r="J2819" s="14"/>
      <c r="K2819" s="14"/>
      <c r="L2819" s="14"/>
      <c r="M2819" s="15"/>
      <c r="N2819" s="10"/>
      <c r="O2819" s="14"/>
      <c r="P2819" s="14"/>
      <c r="Q2819" s="14"/>
      <c r="R2819" s="14"/>
      <c r="S2819" s="14"/>
      <c r="T2819" s="14"/>
      <c r="U2819" s="14"/>
      <c r="V2819" s="14"/>
      <c r="W2819" s="14"/>
      <c r="X2819" s="14"/>
      <c r="Y2819" s="14"/>
      <c r="Z2819" s="14"/>
      <c r="AA2819" s="16"/>
      <c r="AB2819" s="10"/>
      <c r="AC2819" s="10"/>
      <c r="AD2819" s="10"/>
      <c r="AE2819" s="10"/>
      <c r="AF2819" s="10"/>
      <c r="AG2819" s="10"/>
      <c r="AH2819" s="10"/>
      <c r="AI2819" s="10"/>
      <c r="AJ2819" s="10"/>
      <c r="AK2819" s="10"/>
      <c r="AL2819" s="1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10"/>
      <c r="BK2819" s="10"/>
      <c r="BM2819" s="10"/>
    </row>
    <row r="2820" spans="1:65" ht="12.75">
      <c r="A2820" s="9"/>
      <c r="B2820" s="10"/>
      <c r="C2820" s="11"/>
      <c r="D2820" s="12"/>
      <c r="E2820" s="10"/>
      <c r="F2820" s="10"/>
      <c r="G2820" s="10"/>
      <c r="H2820" s="14"/>
      <c r="I2820" s="14"/>
      <c r="J2820" s="14"/>
      <c r="K2820" s="14"/>
      <c r="L2820" s="14"/>
      <c r="M2820" s="15"/>
      <c r="N2820" s="10"/>
      <c r="O2820" s="14"/>
      <c r="P2820" s="14"/>
      <c r="Q2820" s="14"/>
      <c r="R2820" s="14"/>
      <c r="S2820" s="14"/>
      <c r="T2820" s="14"/>
      <c r="U2820" s="14"/>
      <c r="V2820" s="14"/>
      <c r="W2820" s="14"/>
      <c r="X2820" s="14"/>
      <c r="Y2820" s="14"/>
      <c r="Z2820" s="14"/>
      <c r="AA2820" s="16"/>
      <c r="AB2820" s="10"/>
      <c r="AC2820" s="10"/>
      <c r="AD2820" s="10"/>
      <c r="AE2820" s="10"/>
      <c r="AF2820" s="10"/>
      <c r="AG2820" s="10"/>
      <c r="AH2820" s="10"/>
      <c r="AI2820" s="10"/>
      <c r="AJ2820" s="10"/>
      <c r="AK2820" s="10"/>
      <c r="AL2820" s="10"/>
      <c r="AM2820" s="10"/>
      <c r="AN2820" s="10"/>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10"/>
      <c r="BK2820" s="10"/>
      <c r="BM2820" s="10"/>
    </row>
    <row r="2821" spans="1:65" ht="12.75">
      <c r="A2821" s="9"/>
      <c r="B2821" s="10"/>
      <c r="C2821" s="11"/>
      <c r="D2821" s="12"/>
      <c r="E2821" s="10"/>
      <c r="F2821" s="10"/>
      <c r="G2821" s="10"/>
      <c r="H2821" s="14"/>
      <c r="I2821" s="14"/>
      <c r="J2821" s="14"/>
      <c r="K2821" s="14"/>
      <c r="L2821" s="14"/>
      <c r="M2821" s="15"/>
      <c r="N2821" s="10"/>
      <c r="O2821" s="14"/>
      <c r="P2821" s="14"/>
      <c r="Q2821" s="14"/>
      <c r="R2821" s="14"/>
      <c r="S2821" s="14"/>
      <c r="T2821" s="14"/>
      <c r="U2821" s="14"/>
      <c r="V2821" s="14"/>
      <c r="W2821" s="14"/>
      <c r="X2821" s="14"/>
      <c r="Y2821" s="14"/>
      <c r="Z2821" s="14"/>
      <c r="AA2821" s="16"/>
      <c r="AB2821" s="10"/>
      <c r="AC2821" s="10"/>
      <c r="AD2821" s="10"/>
      <c r="AE2821" s="10"/>
      <c r="AF2821" s="10"/>
      <c r="AG2821" s="10"/>
      <c r="AH2821" s="10"/>
      <c r="AI2821" s="10"/>
      <c r="AJ2821" s="10"/>
      <c r="AK2821" s="10"/>
      <c r="AL2821" s="10"/>
      <c r="AM2821" s="10"/>
      <c r="AN2821" s="10"/>
      <c r="AO2821" s="10"/>
      <c r="AP2821" s="10"/>
      <c r="AQ2821" s="10"/>
      <c r="AR2821" s="10"/>
      <c r="AS2821" s="10"/>
      <c r="AT2821" s="10"/>
      <c r="AU2821" s="10"/>
      <c r="AV2821" s="10"/>
      <c r="AW2821" s="10"/>
      <c r="AX2821" s="10"/>
      <c r="AY2821" s="10"/>
      <c r="AZ2821" s="10"/>
      <c r="BA2821" s="10"/>
      <c r="BB2821" s="10"/>
      <c r="BC2821" s="10"/>
      <c r="BD2821" s="10"/>
      <c r="BE2821" s="10"/>
      <c r="BF2821" s="10"/>
      <c r="BG2821" s="10"/>
      <c r="BH2821" s="10"/>
      <c r="BI2821" s="10"/>
      <c r="BJ2821" s="10"/>
      <c r="BK2821" s="10"/>
      <c r="BM2821" s="10"/>
    </row>
    <row r="2822" spans="1:65" ht="12.75">
      <c r="A2822" s="9"/>
      <c r="B2822" s="10"/>
      <c r="C2822" s="11"/>
      <c r="D2822" s="12"/>
      <c r="E2822" s="10"/>
      <c r="F2822" s="10"/>
      <c r="G2822" s="10"/>
      <c r="H2822" s="14"/>
      <c r="I2822" s="14"/>
      <c r="J2822" s="14"/>
      <c r="K2822" s="14"/>
      <c r="L2822" s="14"/>
      <c r="M2822" s="15"/>
      <c r="N2822" s="10"/>
      <c r="O2822" s="14"/>
      <c r="P2822" s="14"/>
      <c r="Q2822" s="14"/>
      <c r="R2822" s="14"/>
      <c r="S2822" s="14"/>
      <c r="T2822" s="14"/>
      <c r="U2822" s="14"/>
      <c r="V2822" s="14"/>
      <c r="W2822" s="14"/>
      <c r="X2822" s="14"/>
      <c r="Y2822" s="14"/>
      <c r="Z2822" s="14"/>
      <c r="AA2822" s="16"/>
      <c r="AB2822" s="10"/>
      <c r="AC2822" s="10"/>
      <c r="AD2822" s="10"/>
      <c r="AE2822" s="10"/>
      <c r="AF2822" s="10"/>
      <c r="AG2822" s="10"/>
      <c r="AH2822" s="10"/>
      <c r="AI2822" s="10"/>
      <c r="AJ2822" s="10"/>
      <c r="AK2822" s="10"/>
      <c r="AL2822" s="1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10"/>
      <c r="BJ2822" s="10"/>
      <c r="BK2822" s="10"/>
      <c r="BM2822" s="10"/>
    </row>
    <row r="2823" spans="1:65" ht="12.75">
      <c r="A2823" s="9"/>
      <c r="B2823" s="10"/>
      <c r="C2823" s="11"/>
      <c r="D2823" s="12"/>
      <c r="E2823" s="10"/>
      <c r="F2823" s="10"/>
      <c r="G2823" s="10"/>
      <c r="H2823" s="14"/>
      <c r="I2823" s="14"/>
      <c r="J2823" s="14"/>
      <c r="K2823" s="14"/>
      <c r="L2823" s="14"/>
      <c r="M2823" s="15"/>
      <c r="N2823" s="10"/>
      <c r="O2823" s="14"/>
      <c r="P2823" s="14"/>
      <c r="Q2823" s="14"/>
      <c r="R2823" s="14"/>
      <c r="S2823" s="14"/>
      <c r="T2823" s="14"/>
      <c r="U2823" s="14"/>
      <c r="V2823" s="14"/>
      <c r="W2823" s="14"/>
      <c r="X2823" s="14"/>
      <c r="Y2823" s="14"/>
      <c r="Z2823" s="14"/>
      <c r="AA2823" s="16"/>
      <c r="AB2823" s="10"/>
      <c r="AC2823" s="10"/>
      <c r="AD2823" s="10"/>
      <c r="AE2823" s="10"/>
      <c r="AF2823" s="10"/>
      <c r="AG2823" s="10"/>
      <c r="AH2823" s="10"/>
      <c r="AI2823" s="10"/>
      <c r="AJ2823" s="10"/>
      <c r="AK2823" s="10"/>
      <c r="AL2823" s="10"/>
      <c r="AM2823" s="10"/>
      <c r="AN2823" s="10"/>
      <c r="AO2823" s="10"/>
      <c r="AP2823" s="10"/>
      <c r="AQ2823" s="10"/>
      <c r="AR2823" s="10"/>
      <c r="AS2823" s="10"/>
      <c r="AT2823" s="10"/>
      <c r="AU2823" s="10"/>
      <c r="AV2823" s="10"/>
      <c r="AW2823" s="10"/>
      <c r="AX2823" s="10"/>
      <c r="AY2823" s="10"/>
      <c r="AZ2823" s="10"/>
      <c r="BA2823" s="10"/>
      <c r="BB2823" s="10"/>
      <c r="BC2823" s="10"/>
      <c r="BD2823" s="10"/>
      <c r="BE2823" s="10"/>
      <c r="BF2823" s="10"/>
      <c r="BG2823" s="10"/>
      <c r="BH2823" s="10"/>
      <c r="BI2823" s="10"/>
      <c r="BJ2823" s="10"/>
      <c r="BK2823" s="10"/>
      <c r="BM2823" s="10"/>
    </row>
    <row r="2824" spans="1:65" ht="12.75">
      <c r="A2824" s="9"/>
      <c r="B2824" s="10"/>
      <c r="C2824" s="11"/>
      <c r="D2824" s="12"/>
      <c r="E2824" s="10"/>
      <c r="F2824" s="10"/>
      <c r="G2824" s="10"/>
      <c r="H2824" s="14"/>
      <c r="I2824" s="14"/>
      <c r="J2824" s="14"/>
      <c r="K2824" s="14"/>
      <c r="L2824" s="14"/>
      <c r="M2824" s="15"/>
      <c r="N2824" s="10"/>
      <c r="O2824" s="14"/>
      <c r="P2824" s="14"/>
      <c r="Q2824" s="14"/>
      <c r="R2824" s="14"/>
      <c r="S2824" s="14"/>
      <c r="T2824" s="14"/>
      <c r="U2824" s="14"/>
      <c r="V2824" s="14"/>
      <c r="W2824" s="14"/>
      <c r="X2824" s="14"/>
      <c r="Y2824" s="14"/>
      <c r="Z2824" s="14"/>
      <c r="AA2824" s="16"/>
      <c r="AB2824" s="10"/>
      <c r="AC2824" s="10"/>
      <c r="AD2824" s="10"/>
      <c r="AE2824" s="10"/>
      <c r="AF2824" s="10"/>
      <c r="AG2824" s="10"/>
      <c r="AH2824" s="10"/>
      <c r="AI2824" s="10"/>
      <c r="AJ2824" s="10"/>
      <c r="AK2824" s="10"/>
      <c r="AL2824" s="10"/>
      <c r="AM2824" s="10"/>
      <c r="AN2824" s="10"/>
      <c r="AO2824" s="10"/>
      <c r="AP2824" s="10"/>
      <c r="AQ2824" s="10"/>
      <c r="AR2824" s="10"/>
      <c r="AS2824" s="10"/>
      <c r="AT2824" s="10"/>
      <c r="AU2824" s="10"/>
      <c r="AV2824" s="10"/>
      <c r="AW2824" s="10"/>
      <c r="AX2824" s="10"/>
      <c r="AY2824" s="10"/>
      <c r="AZ2824" s="10"/>
      <c r="BA2824" s="10"/>
      <c r="BB2824" s="10"/>
      <c r="BC2824" s="10"/>
      <c r="BD2824" s="10"/>
      <c r="BE2824" s="10"/>
      <c r="BF2824" s="10"/>
      <c r="BG2824" s="10"/>
      <c r="BH2824" s="10"/>
      <c r="BI2824" s="10"/>
      <c r="BJ2824" s="10"/>
      <c r="BK2824" s="10"/>
      <c r="BM2824" s="10"/>
    </row>
    <row r="2825" spans="1:65" ht="12.75">
      <c r="A2825" s="9"/>
      <c r="B2825" s="10"/>
      <c r="C2825" s="11"/>
      <c r="D2825" s="12"/>
      <c r="E2825" s="10"/>
      <c r="F2825" s="10"/>
      <c r="G2825" s="10"/>
      <c r="H2825" s="14"/>
      <c r="I2825" s="14"/>
      <c r="J2825" s="14"/>
      <c r="K2825" s="14"/>
      <c r="L2825" s="14"/>
      <c r="M2825" s="15"/>
      <c r="N2825" s="10"/>
      <c r="O2825" s="14"/>
      <c r="P2825" s="14"/>
      <c r="Q2825" s="14"/>
      <c r="R2825" s="14"/>
      <c r="S2825" s="14"/>
      <c r="T2825" s="14"/>
      <c r="U2825" s="14"/>
      <c r="V2825" s="14"/>
      <c r="W2825" s="14"/>
      <c r="X2825" s="14"/>
      <c r="Y2825" s="14"/>
      <c r="Z2825" s="14"/>
      <c r="AA2825" s="16"/>
      <c r="AB2825" s="10"/>
      <c r="AC2825" s="10"/>
      <c r="AD2825" s="10"/>
      <c r="AE2825" s="10"/>
      <c r="AF2825" s="10"/>
      <c r="AG2825" s="10"/>
      <c r="AH2825" s="10"/>
      <c r="AI2825" s="10"/>
      <c r="AJ2825" s="10"/>
      <c r="AK2825" s="10"/>
      <c r="AL2825" s="10"/>
      <c r="AM2825" s="10"/>
      <c r="AN2825" s="10"/>
      <c r="AO2825" s="10"/>
      <c r="AP2825" s="10"/>
      <c r="AQ2825" s="10"/>
      <c r="AR2825" s="10"/>
      <c r="AS2825" s="10"/>
      <c r="AT2825" s="10"/>
      <c r="AU2825" s="10"/>
      <c r="AV2825" s="10"/>
      <c r="AW2825" s="10"/>
      <c r="AX2825" s="10"/>
      <c r="AY2825" s="10"/>
      <c r="AZ2825" s="10"/>
      <c r="BA2825" s="10"/>
      <c r="BB2825" s="10"/>
      <c r="BC2825" s="10"/>
      <c r="BD2825" s="10"/>
      <c r="BE2825" s="10"/>
      <c r="BF2825" s="10"/>
      <c r="BG2825" s="10"/>
      <c r="BH2825" s="10"/>
      <c r="BI2825" s="10"/>
      <c r="BJ2825" s="10"/>
      <c r="BK2825" s="10"/>
      <c r="BM2825" s="10"/>
    </row>
    <row r="2826" spans="1:65" ht="12.75">
      <c r="A2826" s="9"/>
      <c r="B2826" s="10"/>
      <c r="C2826" s="11"/>
      <c r="D2826" s="12"/>
      <c r="E2826" s="10"/>
      <c r="F2826" s="10"/>
      <c r="G2826" s="10"/>
      <c r="H2826" s="14"/>
      <c r="I2826" s="14"/>
      <c r="J2826" s="14"/>
      <c r="K2826" s="14"/>
      <c r="L2826" s="14"/>
      <c r="M2826" s="15"/>
      <c r="N2826" s="10"/>
      <c r="O2826" s="14"/>
      <c r="P2826" s="14"/>
      <c r="Q2826" s="14"/>
      <c r="R2826" s="14"/>
      <c r="S2826" s="14"/>
      <c r="T2826" s="14"/>
      <c r="U2826" s="14"/>
      <c r="V2826" s="14"/>
      <c r="W2826" s="14"/>
      <c r="X2826" s="14"/>
      <c r="Y2826" s="14"/>
      <c r="Z2826" s="14"/>
      <c r="AA2826" s="16"/>
      <c r="AB2826" s="10"/>
      <c r="AC2826" s="10"/>
      <c r="AD2826" s="10"/>
      <c r="AE2826" s="10"/>
      <c r="AF2826" s="10"/>
      <c r="AG2826" s="10"/>
      <c r="AH2826" s="10"/>
      <c r="AI2826" s="10"/>
      <c r="AJ2826" s="10"/>
      <c r="AK2826" s="10"/>
      <c r="AL2826" s="10"/>
      <c r="AM2826" s="10"/>
      <c r="AN2826" s="10"/>
      <c r="AO2826" s="10"/>
      <c r="AP2826" s="10"/>
      <c r="AQ2826" s="10"/>
      <c r="AR2826" s="10"/>
      <c r="AS2826" s="10"/>
      <c r="AT2826" s="10"/>
      <c r="AU2826" s="10"/>
      <c r="AV2826" s="10"/>
      <c r="AW2826" s="10"/>
      <c r="AX2826" s="10"/>
      <c r="AY2826" s="10"/>
      <c r="AZ2826" s="10"/>
      <c r="BA2826" s="10"/>
      <c r="BB2826" s="10"/>
      <c r="BC2826" s="10"/>
      <c r="BD2826" s="10"/>
      <c r="BE2826" s="10"/>
      <c r="BF2826" s="10"/>
      <c r="BG2826" s="10"/>
      <c r="BH2826" s="10"/>
      <c r="BI2826" s="10"/>
      <c r="BJ2826" s="10"/>
      <c r="BK2826" s="10"/>
      <c r="BM2826" s="10"/>
    </row>
    <row r="2827" spans="1:65" ht="12.75">
      <c r="A2827" s="9"/>
      <c r="B2827" s="10"/>
      <c r="C2827" s="11"/>
      <c r="D2827" s="12"/>
      <c r="E2827" s="10"/>
      <c r="F2827" s="10"/>
      <c r="G2827" s="10"/>
      <c r="H2827" s="14"/>
      <c r="I2827" s="14"/>
      <c r="J2827" s="14"/>
      <c r="K2827" s="14"/>
      <c r="L2827" s="14"/>
      <c r="M2827" s="15"/>
      <c r="N2827" s="10"/>
      <c r="O2827" s="14"/>
      <c r="P2827" s="14"/>
      <c r="Q2827" s="14"/>
      <c r="R2827" s="14"/>
      <c r="S2827" s="14"/>
      <c r="T2827" s="14"/>
      <c r="U2827" s="14"/>
      <c r="V2827" s="14"/>
      <c r="W2827" s="14"/>
      <c r="X2827" s="14"/>
      <c r="Y2827" s="14"/>
      <c r="Z2827" s="14"/>
      <c r="AA2827" s="16"/>
      <c r="AB2827" s="10"/>
      <c r="AC2827" s="10"/>
      <c r="AD2827" s="10"/>
      <c r="AE2827" s="10"/>
      <c r="AF2827" s="10"/>
      <c r="AG2827" s="10"/>
      <c r="AH2827" s="10"/>
      <c r="AI2827" s="10"/>
      <c r="AJ2827" s="10"/>
      <c r="AK2827" s="10"/>
      <c r="AL2827" s="10"/>
      <c r="AM2827" s="10"/>
      <c r="AN2827" s="10"/>
      <c r="AO2827" s="10"/>
      <c r="AP2827" s="10"/>
      <c r="AQ2827" s="10"/>
      <c r="AR2827" s="10"/>
      <c r="AS2827" s="10"/>
      <c r="AT2827" s="10"/>
      <c r="AU2827" s="10"/>
      <c r="AV2827" s="10"/>
      <c r="AW2827" s="10"/>
      <c r="AX2827" s="10"/>
      <c r="AY2827" s="10"/>
      <c r="AZ2827" s="10"/>
      <c r="BA2827" s="10"/>
      <c r="BB2827" s="10"/>
      <c r="BC2827" s="10"/>
      <c r="BD2827" s="10"/>
      <c r="BE2827" s="10"/>
      <c r="BF2827" s="10"/>
      <c r="BG2827" s="10"/>
      <c r="BH2827" s="10"/>
      <c r="BI2827" s="10"/>
      <c r="BJ2827" s="10"/>
      <c r="BK2827" s="10"/>
      <c r="BM2827" s="10"/>
    </row>
    <row r="2828" spans="1:65" ht="12.75">
      <c r="A2828" s="9"/>
      <c r="B2828" s="10"/>
      <c r="C2828" s="11"/>
      <c r="D2828" s="12"/>
      <c r="E2828" s="10"/>
      <c r="F2828" s="10"/>
      <c r="G2828" s="10"/>
      <c r="H2828" s="14"/>
      <c r="I2828" s="14"/>
      <c r="J2828" s="14"/>
      <c r="K2828" s="14"/>
      <c r="L2828" s="14"/>
      <c r="M2828" s="15"/>
      <c r="N2828" s="10"/>
      <c r="O2828" s="14"/>
      <c r="P2828" s="14"/>
      <c r="Q2828" s="14"/>
      <c r="R2828" s="14"/>
      <c r="S2828" s="14"/>
      <c r="T2828" s="14"/>
      <c r="U2828" s="14"/>
      <c r="V2828" s="14"/>
      <c r="W2828" s="14"/>
      <c r="X2828" s="14"/>
      <c r="Y2828" s="14"/>
      <c r="Z2828" s="14"/>
      <c r="AA2828" s="16"/>
      <c r="AB2828" s="10"/>
      <c r="AC2828" s="10"/>
      <c r="AD2828" s="10"/>
      <c r="AE2828" s="10"/>
      <c r="AF2828" s="10"/>
      <c r="AG2828" s="10"/>
      <c r="AH2828" s="10"/>
      <c r="AI2828" s="10"/>
      <c r="AJ2828" s="10"/>
      <c r="AK2828" s="10"/>
      <c r="AL2828" s="10"/>
      <c r="AM2828" s="10"/>
      <c r="AN2828" s="10"/>
      <c r="AO2828" s="10"/>
      <c r="AP2828" s="10"/>
      <c r="AQ2828" s="10"/>
      <c r="AR2828" s="10"/>
      <c r="AS2828" s="10"/>
      <c r="AT2828" s="10"/>
      <c r="AU2828" s="10"/>
      <c r="AV2828" s="10"/>
      <c r="AW2828" s="10"/>
      <c r="AX2828" s="10"/>
      <c r="AY2828" s="10"/>
      <c r="AZ2828" s="10"/>
      <c r="BA2828" s="10"/>
      <c r="BB2828" s="10"/>
      <c r="BC2828" s="10"/>
      <c r="BD2828" s="10"/>
      <c r="BE2828" s="10"/>
      <c r="BF2828" s="10"/>
      <c r="BG2828" s="10"/>
      <c r="BH2828" s="10"/>
      <c r="BI2828" s="10"/>
      <c r="BJ2828" s="10"/>
      <c r="BK2828" s="10"/>
      <c r="BM2828" s="10"/>
    </row>
    <row r="2829" spans="1:65" ht="12.75">
      <c r="A2829" s="9"/>
      <c r="B2829" s="10"/>
      <c r="C2829" s="11"/>
      <c r="D2829" s="12"/>
      <c r="E2829" s="10"/>
      <c r="F2829" s="10"/>
      <c r="G2829" s="10"/>
      <c r="H2829" s="14"/>
      <c r="I2829" s="14"/>
      <c r="J2829" s="14"/>
      <c r="K2829" s="14"/>
      <c r="L2829" s="14"/>
      <c r="M2829" s="15"/>
      <c r="N2829" s="10"/>
      <c r="O2829" s="14"/>
      <c r="P2829" s="14"/>
      <c r="Q2829" s="14"/>
      <c r="R2829" s="14"/>
      <c r="S2829" s="14"/>
      <c r="T2829" s="14"/>
      <c r="U2829" s="14"/>
      <c r="V2829" s="14"/>
      <c r="W2829" s="14"/>
      <c r="X2829" s="14"/>
      <c r="Y2829" s="14"/>
      <c r="Z2829" s="14"/>
      <c r="AA2829" s="16"/>
      <c r="AB2829" s="10"/>
      <c r="AC2829" s="10"/>
      <c r="AD2829" s="10"/>
      <c r="AE2829" s="10"/>
      <c r="AF2829" s="10"/>
      <c r="AG2829" s="10"/>
      <c r="AH2829" s="10"/>
      <c r="AI2829" s="10"/>
      <c r="AJ2829" s="10"/>
      <c r="AK2829" s="10"/>
      <c r="AL2829" s="10"/>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0"/>
      <c r="BM2829" s="10"/>
    </row>
    <row r="2830" spans="1:65" ht="12.75">
      <c r="A2830" s="9"/>
      <c r="B2830" s="10"/>
      <c r="C2830" s="11"/>
      <c r="D2830" s="12"/>
      <c r="E2830" s="10"/>
      <c r="F2830" s="10"/>
      <c r="G2830" s="10"/>
      <c r="H2830" s="14"/>
      <c r="I2830" s="14"/>
      <c r="J2830" s="14"/>
      <c r="K2830" s="14"/>
      <c r="L2830" s="14"/>
      <c r="M2830" s="15"/>
      <c r="N2830" s="10"/>
      <c r="O2830" s="14"/>
      <c r="P2830" s="14"/>
      <c r="Q2830" s="14"/>
      <c r="R2830" s="14"/>
      <c r="S2830" s="14"/>
      <c r="T2830" s="14"/>
      <c r="U2830" s="14"/>
      <c r="V2830" s="14"/>
      <c r="W2830" s="14"/>
      <c r="X2830" s="14"/>
      <c r="Y2830" s="14"/>
      <c r="Z2830" s="14"/>
      <c r="AA2830" s="16"/>
      <c r="AB2830" s="10"/>
      <c r="AC2830" s="10"/>
      <c r="AD2830" s="10"/>
      <c r="AE2830" s="10"/>
      <c r="AF2830" s="10"/>
      <c r="AG2830" s="10"/>
      <c r="AH2830" s="10"/>
      <c r="AI2830" s="10"/>
      <c r="AJ2830" s="10"/>
      <c r="AK2830" s="10"/>
      <c r="AL2830" s="1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10"/>
      <c r="BK2830" s="10"/>
      <c r="BM2830" s="10"/>
    </row>
    <row r="2831" spans="1:65" ht="12.75">
      <c r="A2831" s="9"/>
      <c r="B2831" s="10"/>
      <c r="C2831" s="11"/>
      <c r="D2831" s="12"/>
      <c r="E2831" s="10"/>
      <c r="F2831" s="10"/>
      <c r="G2831" s="10"/>
      <c r="H2831" s="14"/>
      <c r="I2831" s="14"/>
      <c r="J2831" s="14"/>
      <c r="K2831" s="14"/>
      <c r="L2831" s="14"/>
      <c r="M2831" s="15"/>
      <c r="N2831" s="10"/>
      <c r="O2831" s="14"/>
      <c r="P2831" s="14"/>
      <c r="Q2831" s="14"/>
      <c r="R2831" s="14"/>
      <c r="S2831" s="14"/>
      <c r="T2831" s="14"/>
      <c r="U2831" s="14"/>
      <c r="V2831" s="14"/>
      <c r="W2831" s="14"/>
      <c r="X2831" s="14"/>
      <c r="Y2831" s="14"/>
      <c r="Z2831" s="14"/>
      <c r="AA2831" s="16"/>
      <c r="AB2831" s="10"/>
      <c r="AC2831" s="10"/>
      <c r="AD2831" s="10"/>
      <c r="AE2831" s="10"/>
      <c r="AF2831" s="10"/>
      <c r="AG2831" s="10"/>
      <c r="AH2831" s="10"/>
      <c r="AI2831" s="10"/>
      <c r="AJ2831" s="10"/>
      <c r="AK2831" s="10"/>
      <c r="AL2831" s="10"/>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10"/>
      <c r="BK2831" s="10"/>
      <c r="BM2831" s="10"/>
    </row>
    <row r="2832" spans="1:65" ht="12.75">
      <c r="A2832" s="9"/>
      <c r="B2832" s="10"/>
      <c r="C2832" s="11"/>
      <c r="D2832" s="12"/>
      <c r="E2832" s="10"/>
      <c r="F2832" s="10"/>
      <c r="G2832" s="10"/>
      <c r="H2832" s="14"/>
      <c r="I2832" s="14"/>
      <c r="J2832" s="14"/>
      <c r="K2832" s="14"/>
      <c r="L2832" s="14"/>
      <c r="M2832" s="15"/>
      <c r="N2832" s="10"/>
      <c r="O2832" s="14"/>
      <c r="P2832" s="14"/>
      <c r="Q2832" s="14"/>
      <c r="R2832" s="14"/>
      <c r="S2832" s="14"/>
      <c r="T2832" s="14"/>
      <c r="U2832" s="14"/>
      <c r="V2832" s="14"/>
      <c r="W2832" s="14"/>
      <c r="X2832" s="14"/>
      <c r="Y2832" s="14"/>
      <c r="Z2832" s="14"/>
      <c r="AA2832" s="16"/>
      <c r="AB2832" s="10"/>
      <c r="AC2832" s="10"/>
      <c r="AD2832" s="10"/>
      <c r="AE2832" s="10"/>
      <c r="AF2832" s="10"/>
      <c r="AG2832" s="10"/>
      <c r="AH2832" s="10"/>
      <c r="AI2832" s="10"/>
      <c r="AJ2832" s="10"/>
      <c r="AK2832" s="10"/>
      <c r="AL2832" s="10"/>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c r="BI2832" s="10"/>
      <c r="BJ2832" s="10"/>
      <c r="BK2832" s="10"/>
      <c r="BM2832" s="10"/>
    </row>
    <row r="2833" spans="1:65" ht="12.75">
      <c r="A2833" s="9"/>
      <c r="B2833" s="10"/>
      <c r="C2833" s="11"/>
      <c r="D2833" s="12"/>
      <c r="E2833" s="10"/>
      <c r="F2833" s="10"/>
      <c r="G2833" s="10"/>
      <c r="H2833" s="14"/>
      <c r="I2833" s="14"/>
      <c r="J2833" s="14"/>
      <c r="K2833" s="14"/>
      <c r="L2833" s="14"/>
      <c r="M2833" s="15"/>
      <c r="N2833" s="10"/>
      <c r="O2833" s="14"/>
      <c r="P2833" s="14"/>
      <c r="Q2833" s="14"/>
      <c r="R2833" s="14"/>
      <c r="S2833" s="14"/>
      <c r="T2833" s="14"/>
      <c r="U2833" s="14"/>
      <c r="V2833" s="14"/>
      <c r="W2833" s="14"/>
      <c r="X2833" s="14"/>
      <c r="Y2833" s="14"/>
      <c r="Z2833" s="14"/>
      <c r="AA2833" s="16"/>
      <c r="AB2833" s="10"/>
      <c r="AC2833" s="10"/>
      <c r="AD2833" s="10"/>
      <c r="AE2833" s="10"/>
      <c r="AF2833" s="10"/>
      <c r="AG2833" s="10"/>
      <c r="AH2833" s="10"/>
      <c r="AI2833" s="10"/>
      <c r="AJ2833" s="10"/>
      <c r="AK2833" s="10"/>
      <c r="AL2833" s="10"/>
      <c r="AM2833" s="10"/>
      <c r="AN2833" s="10"/>
      <c r="AO2833" s="10"/>
      <c r="AP2833" s="10"/>
      <c r="AQ2833" s="10"/>
      <c r="AR2833" s="10"/>
      <c r="AS2833" s="10"/>
      <c r="AT2833" s="10"/>
      <c r="AU2833" s="10"/>
      <c r="AV2833" s="10"/>
      <c r="AW2833" s="10"/>
      <c r="AX2833" s="10"/>
      <c r="AY2833" s="10"/>
      <c r="AZ2833" s="10"/>
      <c r="BA2833" s="10"/>
      <c r="BB2833" s="10"/>
      <c r="BC2833" s="10"/>
      <c r="BD2833" s="10"/>
      <c r="BE2833" s="10"/>
      <c r="BF2833" s="10"/>
      <c r="BG2833" s="10"/>
      <c r="BH2833" s="10"/>
      <c r="BI2833" s="10"/>
      <c r="BJ2833" s="10"/>
      <c r="BK2833" s="10"/>
      <c r="BM2833" s="10"/>
    </row>
    <row r="2834" spans="1:65" ht="12.75">
      <c r="A2834" s="9"/>
      <c r="B2834" s="10"/>
      <c r="C2834" s="11"/>
      <c r="D2834" s="12"/>
      <c r="E2834" s="10"/>
      <c r="F2834" s="10"/>
      <c r="G2834" s="10"/>
      <c r="H2834" s="14"/>
      <c r="I2834" s="14"/>
      <c r="J2834" s="14"/>
      <c r="K2834" s="14"/>
      <c r="L2834" s="14"/>
      <c r="M2834" s="15"/>
      <c r="N2834" s="10"/>
      <c r="O2834" s="14"/>
      <c r="P2834" s="14"/>
      <c r="Q2834" s="14"/>
      <c r="R2834" s="14"/>
      <c r="S2834" s="14"/>
      <c r="T2834" s="14"/>
      <c r="U2834" s="14"/>
      <c r="V2834" s="14"/>
      <c r="W2834" s="14"/>
      <c r="X2834" s="14"/>
      <c r="Y2834" s="14"/>
      <c r="Z2834" s="14"/>
      <c r="AA2834" s="16"/>
      <c r="AB2834" s="10"/>
      <c r="AC2834" s="10"/>
      <c r="AD2834" s="10"/>
      <c r="AE2834" s="10"/>
      <c r="AF2834" s="10"/>
      <c r="AG2834" s="10"/>
      <c r="AH2834" s="10"/>
      <c r="AI2834" s="10"/>
      <c r="AJ2834" s="10"/>
      <c r="AK2834" s="10"/>
      <c r="AL2834" s="10"/>
      <c r="AM2834" s="10"/>
      <c r="AN2834" s="10"/>
      <c r="AO2834" s="10"/>
      <c r="AP2834" s="10"/>
      <c r="AQ2834" s="10"/>
      <c r="AR2834" s="10"/>
      <c r="AS2834" s="10"/>
      <c r="AT2834" s="10"/>
      <c r="AU2834" s="10"/>
      <c r="AV2834" s="10"/>
      <c r="AW2834" s="10"/>
      <c r="AX2834" s="10"/>
      <c r="AY2834" s="10"/>
      <c r="AZ2834" s="10"/>
      <c r="BA2834" s="10"/>
      <c r="BB2834" s="10"/>
      <c r="BC2834" s="10"/>
      <c r="BD2834" s="10"/>
      <c r="BE2834" s="10"/>
      <c r="BF2834" s="10"/>
      <c r="BG2834" s="10"/>
      <c r="BH2834" s="10"/>
      <c r="BI2834" s="10"/>
      <c r="BJ2834" s="10"/>
      <c r="BK2834" s="10"/>
      <c r="BM2834" s="10"/>
    </row>
    <row r="2835" spans="1:65" ht="12.75">
      <c r="A2835" s="9"/>
      <c r="B2835" s="10"/>
      <c r="C2835" s="11"/>
      <c r="D2835" s="12"/>
      <c r="E2835" s="10"/>
      <c r="F2835" s="10"/>
      <c r="G2835" s="10"/>
      <c r="H2835" s="14"/>
      <c r="I2835" s="14"/>
      <c r="J2835" s="14"/>
      <c r="K2835" s="14"/>
      <c r="L2835" s="14"/>
      <c r="M2835" s="15"/>
      <c r="N2835" s="10"/>
      <c r="O2835" s="14"/>
      <c r="P2835" s="14"/>
      <c r="Q2835" s="14"/>
      <c r="R2835" s="14"/>
      <c r="S2835" s="14"/>
      <c r="T2835" s="14"/>
      <c r="U2835" s="14"/>
      <c r="V2835" s="14"/>
      <c r="W2835" s="14"/>
      <c r="X2835" s="14"/>
      <c r="Y2835" s="14"/>
      <c r="Z2835" s="14"/>
      <c r="AA2835" s="16"/>
      <c r="AB2835" s="10"/>
      <c r="AC2835" s="10"/>
      <c r="AD2835" s="10"/>
      <c r="AE2835" s="10"/>
      <c r="AF2835" s="10"/>
      <c r="AG2835" s="10"/>
      <c r="AH2835" s="10"/>
      <c r="AI2835" s="10"/>
      <c r="AJ2835" s="10"/>
      <c r="AK2835" s="10"/>
      <c r="AL2835" s="10"/>
      <c r="AM2835" s="10"/>
      <c r="AN2835" s="10"/>
      <c r="AO2835" s="10"/>
      <c r="AP2835" s="10"/>
      <c r="AQ2835" s="10"/>
      <c r="AR2835" s="10"/>
      <c r="AS2835" s="10"/>
      <c r="AT2835" s="10"/>
      <c r="AU2835" s="10"/>
      <c r="AV2835" s="10"/>
      <c r="AW2835" s="10"/>
      <c r="AX2835" s="10"/>
      <c r="AY2835" s="10"/>
      <c r="AZ2835" s="10"/>
      <c r="BA2835" s="10"/>
      <c r="BB2835" s="10"/>
      <c r="BC2835" s="10"/>
      <c r="BD2835" s="10"/>
      <c r="BE2835" s="10"/>
      <c r="BF2835" s="10"/>
      <c r="BG2835" s="10"/>
      <c r="BH2835" s="10"/>
      <c r="BI2835" s="10"/>
      <c r="BJ2835" s="10"/>
      <c r="BK2835" s="10"/>
      <c r="BM2835" s="10"/>
    </row>
    <row r="2836" spans="1:65" ht="12.75">
      <c r="A2836" s="9"/>
      <c r="B2836" s="10"/>
      <c r="C2836" s="11"/>
      <c r="D2836" s="12"/>
      <c r="E2836" s="10"/>
      <c r="F2836" s="10"/>
      <c r="G2836" s="10"/>
      <c r="H2836" s="14"/>
      <c r="I2836" s="14"/>
      <c r="J2836" s="14"/>
      <c r="K2836" s="14"/>
      <c r="L2836" s="14"/>
      <c r="M2836" s="15"/>
      <c r="N2836" s="10"/>
      <c r="O2836" s="14"/>
      <c r="P2836" s="14"/>
      <c r="Q2836" s="14"/>
      <c r="R2836" s="14"/>
      <c r="S2836" s="14"/>
      <c r="T2836" s="14"/>
      <c r="U2836" s="14"/>
      <c r="V2836" s="14"/>
      <c r="W2836" s="14"/>
      <c r="X2836" s="14"/>
      <c r="Y2836" s="14"/>
      <c r="Z2836" s="14"/>
      <c r="AA2836" s="16"/>
      <c r="AB2836" s="10"/>
      <c r="AC2836" s="10"/>
      <c r="AD2836" s="10"/>
      <c r="AE2836" s="10"/>
      <c r="AF2836" s="10"/>
      <c r="AG2836" s="10"/>
      <c r="AH2836" s="10"/>
      <c r="AI2836" s="10"/>
      <c r="AJ2836" s="10"/>
      <c r="AK2836" s="10"/>
      <c r="AL2836" s="10"/>
      <c r="AM2836" s="10"/>
      <c r="AN2836" s="10"/>
      <c r="AO2836" s="10"/>
      <c r="AP2836" s="10"/>
      <c r="AQ2836" s="10"/>
      <c r="AR2836" s="10"/>
      <c r="AS2836" s="10"/>
      <c r="AT2836" s="10"/>
      <c r="AU2836" s="10"/>
      <c r="AV2836" s="10"/>
      <c r="AW2836" s="10"/>
      <c r="AX2836" s="10"/>
      <c r="AY2836" s="10"/>
      <c r="AZ2836" s="10"/>
      <c r="BA2836" s="10"/>
      <c r="BB2836" s="10"/>
      <c r="BC2836" s="10"/>
      <c r="BD2836" s="10"/>
      <c r="BE2836" s="10"/>
      <c r="BF2836" s="10"/>
      <c r="BG2836" s="10"/>
      <c r="BH2836" s="10"/>
      <c r="BI2836" s="10"/>
      <c r="BJ2836" s="10"/>
      <c r="BK2836" s="10"/>
      <c r="BM2836" s="10"/>
    </row>
    <row r="2837" spans="1:65" ht="12.75">
      <c r="A2837" s="9"/>
      <c r="B2837" s="10"/>
      <c r="C2837" s="11"/>
      <c r="D2837" s="12"/>
      <c r="E2837" s="10"/>
      <c r="F2837" s="10"/>
      <c r="G2837" s="10"/>
      <c r="H2837" s="14"/>
      <c r="I2837" s="14"/>
      <c r="J2837" s="14"/>
      <c r="K2837" s="14"/>
      <c r="L2837" s="14"/>
      <c r="M2837" s="15"/>
      <c r="N2837" s="10"/>
      <c r="O2837" s="14"/>
      <c r="P2837" s="14"/>
      <c r="Q2837" s="14"/>
      <c r="R2837" s="14"/>
      <c r="S2837" s="14"/>
      <c r="T2837" s="14"/>
      <c r="U2837" s="14"/>
      <c r="V2837" s="14"/>
      <c r="W2837" s="14"/>
      <c r="X2837" s="14"/>
      <c r="Y2837" s="14"/>
      <c r="Z2837" s="14"/>
      <c r="AA2837" s="16"/>
      <c r="AB2837" s="10"/>
      <c r="AC2837" s="10"/>
      <c r="AD2837" s="10"/>
      <c r="AE2837" s="10"/>
      <c r="AF2837" s="10"/>
      <c r="AG2837" s="10"/>
      <c r="AH2837" s="10"/>
      <c r="AI2837" s="10"/>
      <c r="AJ2837" s="10"/>
      <c r="AK2837" s="10"/>
      <c r="AL2837" s="10"/>
      <c r="AM2837" s="10"/>
      <c r="AN2837" s="10"/>
      <c r="AO2837" s="10"/>
      <c r="AP2837" s="10"/>
      <c r="AQ2837" s="10"/>
      <c r="AR2837" s="10"/>
      <c r="AS2837" s="10"/>
      <c r="AT2837" s="10"/>
      <c r="AU2837" s="10"/>
      <c r="AV2837" s="10"/>
      <c r="AW2837" s="10"/>
      <c r="AX2837" s="10"/>
      <c r="AY2837" s="10"/>
      <c r="AZ2837" s="10"/>
      <c r="BA2837" s="10"/>
      <c r="BB2837" s="10"/>
      <c r="BC2837" s="10"/>
      <c r="BD2837" s="10"/>
      <c r="BE2837" s="10"/>
      <c r="BF2837" s="10"/>
      <c r="BG2837" s="10"/>
      <c r="BH2837" s="10"/>
      <c r="BI2837" s="10"/>
      <c r="BJ2837" s="10"/>
      <c r="BK2837" s="10"/>
      <c r="BM2837" s="10"/>
    </row>
    <row r="2838" spans="1:65" ht="12.75">
      <c r="A2838" s="9"/>
      <c r="B2838" s="10"/>
      <c r="C2838" s="11"/>
      <c r="D2838" s="12"/>
      <c r="E2838" s="10"/>
      <c r="F2838" s="10"/>
      <c r="G2838" s="10"/>
      <c r="H2838" s="14"/>
      <c r="I2838" s="14"/>
      <c r="J2838" s="14"/>
      <c r="K2838" s="14"/>
      <c r="L2838" s="14"/>
      <c r="M2838" s="15"/>
      <c r="N2838" s="10"/>
      <c r="O2838" s="14"/>
      <c r="P2838" s="14"/>
      <c r="Q2838" s="14"/>
      <c r="R2838" s="14"/>
      <c r="S2838" s="14"/>
      <c r="T2838" s="14"/>
      <c r="U2838" s="14"/>
      <c r="V2838" s="14"/>
      <c r="W2838" s="14"/>
      <c r="X2838" s="14"/>
      <c r="Y2838" s="14"/>
      <c r="Z2838" s="14"/>
      <c r="AA2838" s="16"/>
      <c r="AB2838" s="10"/>
      <c r="AC2838" s="10"/>
      <c r="AD2838" s="10"/>
      <c r="AE2838" s="10"/>
      <c r="AF2838" s="10"/>
      <c r="AG2838" s="10"/>
      <c r="AH2838" s="10"/>
      <c r="AI2838" s="10"/>
      <c r="AJ2838" s="10"/>
      <c r="AK2838" s="10"/>
      <c r="AL2838" s="10"/>
      <c r="AM2838" s="10"/>
      <c r="AN2838" s="10"/>
      <c r="AO2838" s="10"/>
      <c r="AP2838" s="10"/>
      <c r="AQ2838" s="10"/>
      <c r="AR2838" s="10"/>
      <c r="AS2838" s="10"/>
      <c r="AT2838" s="10"/>
      <c r="AU2838" s="10"/>
      <c r="AV2838" s="10"/>
      <c r="AW2838" s="10"/>
      <c r="AX2838" s="10"/>
      <c r="AY2838" s="10"/>
      <c r="AZ2838" s="10"/>
      <c r="BA2838" s="10"/>
      <c r="BB2838" s="10"/>
      <c r="BC2838" s="10"/>
      <c r="BD2838" s="10"/>
      <c r="BE2838" s="10"/>
      <c r="BF2838" s="10"/>
      <c r="BG2838" s="10"/>
      <c r="BH2838" s="10"/>
      <c r="BI2838" s="10"/>
      <c r="BJ2838" s="10"/>
      <c r="BK2838" s="10"/>
      <c r="BM2838" s="10"/>
    </row>
    <row r="2839" spans="1:65" ht="12.75">
      <c r="A2839" s="9"/>
      <c r="B2839" s="10"/>
      <c r="C2839" s="11"/>
      <c r="D2839" s="12"/>
      <c r="E2839" s="10"/>
      <c r="F2839" s="10"/>
      <c r="G2839" s="10"/>
      <c r="H2839" s="14"/>
      <c r="I2839" s="14"/>
      <c r="J2839" s="14"/>
      <c r="K2839" s="14"/>
      <c r="L2839" s="14"/>
      <c r="M2839" s="15"/>
      <c r="N2839" s="10"/>
      <c r="O2839" s="14"/>
      <c r="P2839" s="14"/>
      <c r="Q2839" s="14"/>
      <c r="R2839" s="14"/>
      <c r="S2839" s="14"/>
      <c r="T2839" s="14"/>
      <c r="U2839" s="14"/>
      <c r="V2839" s="14"/>
      <c r="W2839" s="14"/>
      <c r="X2839" s="14"/>
      <c r="Y2839" s="14"/>
      <c r="Z2839" s="14"/>
      <c r="AA2839" s="16"/>
      <c r="AB2839" s="10"/>
      <c r="AC2839" s="10"/>
      <c r="AD2839" s="10"/>
      <c r="AE2839" s="10"/>
      <c r="AF2839" s="10"/>
      <c r="AG2839" s="10"/>
      <c r="AH2839" s="10"/>
      <c r="AI2839" s="10"/>
      <c r="AJ2839" s="10"/>
      <c r="AK2839" s="10"/>
      <c r="AL2839" s="10"/>
      <c r="AM2839" s="10"/>
      <c r="AN2839" s="10"/>
      <c r="AO2839" s="10"/>
      <c r="AP2839" s="10"/>
      <c r="AQ2839" s="10"/>
      <c r="AR2839" s="10"/>
      <c r="AS2839" s="10"/>
      <c r="AT2839" s="10"/>
      <c r="AU2839" s="10"/>
      <c r="AV2839" s="10"/>
      <c r="AW2839" s="10"/>
      <c r="AX2839" s="10"/>
      <c r="AY2839" s="10"/>
      <c r="AZ2839" s="10"/>
      <c r="BA2839" s="10"/>
      <c r="BB2839" s="10"/>
      <c r="BC2839" s="10"/>
      <c r="BD2839" s="10"/>
      <c r="BE2839" s="10"/>
      <c r="BF2839" s="10"/>
      <c r="BG2839" s="10"/>
      <c r="BH2839" s="10"/>
      <c r="BI2839" s="10"/>
      <c r="BJ2839" s="10"/>
      <c r="BK2839" s="10"/>
      <c r="BM2839" s="10"/>
    </row>
    <row r="2840" spans="1:65" ht="12.75">
      <c r="A2840" s="9"/>
      <c r="B2840" s="10"/>
      <c r="C2840" s="11"/>
      <c r="D2840" s="12"/>
      <c r="E2840" s="10"/>
      <c r="F2840" s="10"/>
      <c r="G2840" s="10"/>
      <c r="H2840" s="14"/>
      <c r="I2840" s="14"/>
      <c r="J2840" s="14"/>
      <c r="K2840" s="14"/>
      <c r="L2840" s="14"/>
      <c r="M2840" s="15"/>
      <c r="N2840" s="10"/>
      <c r="O2840" s="14"/>
      <c r="P2840" s="14"/>
      <c r="Q2840" s="14"/>
      <c r="R2840" s="14"/>
      <c r="S2840" s="14"/>
      <c r="T2840" s="14"/>
      <c r="U2840" s="14"/>
      <c r="V2840" s="14"/>
      <c r="W2840" s="14"/>
      <c r="X2840" s="14"/>
      <c r="Y2840" s="14"/>
      <c r="Z2840" s="14"/>
      <c r="AA2840" s="16"/>
      <c r="AB2840" s="10"/>
      <c r="AC2840" s="10"/>
      <c r="AD2840" s="10"/>
      <c r="AE2840" s="10"/>
      <c r="AF2840" s="10"/>
      <c r="AG2840" s="10"/>
      <c r="AH2840" s="10"/>
      <c r="AI2840" s="10"/>
      <c r="AJ2840" s="10"/>
      <c r="AK2840" s="10"/>
      <c r="AL2840" s="10"/>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10"/>
      <c r="BK2840" s="10"/>
      <c r="BM2840" s="10"/>
    </row>
    <row r="2841" spans="1:65" ht="12.75">
      <c r="A2841" s="9"/>
      <c r="B2841" s="10"/>
      <c r="C2841" s="11"/>
      <c r="D2841" s="12"/>
      <c r="E2841" s="10"/>
      <c r="F2841" s="10"/>
      <c r="G2841" s="10"/>
      <c r="H2841" s="14"/>
      <c r="I2841" s="14"/>
      <c r="J2841" s="14"/>
      <c r="K2841" s="14"/>
      <c r="L2841" s="14"/>
      <c r="M2841" s="15"/>
      <c r="N2841" s="10"/>
      <c r="O2841" s="14"/>
      <c r="P2841" s="14"/>
      <c r="Q2841" s="14"/>
      <c r="R2841" s="14"/>
      <c r="S2841" s="14"/>
      <c r="T2841" s="14"/>
      <c r="U2841" s="14"/>
      <c r="V2841" s="14"/>
      <c r="W2841" s="14"/>
      <c r="X2841" s="14"/>
      <c r="Y2841" s="14"/>
      <c r="Z2841" s="14"/>
      <c r="AA2841" s="16"/>
      <c r="AB2841" s="10"/>
      <c r="AC2841" s="10"/>
      <c r="AD2841" s="10"/>
      <c r="AE2841" s="10"/>
      <c r="AF2841" s="10"/>
      <c r="AG2841" s="10"/>
      <c r="AH2841" s="10"/>
      <c r="AI2841" s="10"/>
      <c r="AJ2841" s="10"/>
      <c r="AK2841" s="10"/>
      <c r="AL2841" s="10"/>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10"/>
      <c r="BJ2841" s="10"/>
      <c r="BK2841" s="10"/>
      <c r="BM2841" s="10"/>
    </row>
    <row r="2842" spans="1:65" ht="12.75">
      <c r="A2842" s="9"/>
      <c r="B2842" s="10"/>
      <c r="C2842" s="11"/>
      <c r="D2842" s="12"/>
      <c r="E2842" s="10"/>
      <c r="F2842" s="10"/>
      <c r="G2842" s="10"/>
      <c r="H2842" s="14"/>
      <c r="I2842" s="14"/>
      <c r="J2842" s="14"/>
      <c r="K2842" s="14"/>
      <c r="L2842" s="14"/>
      <c r="M2842" s="15"/>
      <c r="N2842" s="10"/>
      <c r="O2842" s="14"/>
      <c r="P2842" s="14"/>
      <c r="Q2842" s="14"/>
      <c r="R2842" s="14"/>
      <c r="S2842" s="14"/>
      <c r="T2842" s="14"/>
      <c r="U2842" s="14"/>
      <c r="V2842" s="14"/>
      <c r="W2842" s="14"/>
      <c r="X2842" s="14"/>
      <c r="Y2842" s="14"/>
      <c r="Z2842" s="14"/>
      <c r="AA2842" s="16"/>
      <c r="AB2842" s="10"/>
      <c r="AC2842" s="10"/>
      <c r="AD2842" s="10"/>
      <c r="AE2842" s="10"/>
      <c r="AF2842" s="10"/>
      <c r="AG2842" s="10"/>
      <c r="AH2842" s="10"/>
      <c r="AI2842" s="10"/>
      <c r="AJ2842" s="10"/>
      <c r="AK2842" s="10"/>
      <c r="AL2842" s="10"/>
      <c r="AM2842" s="10"/>
      <c r="AN2842" s="10"/>
      <c r="AO2842" s="10"/>
      <c r="AP2842" s="10"/>
      <c r="AQ2842" s="10"/>
      <c r="AR2842" s="10"/>
      <c r="AS2842" s="10"/>
      <c r="AT2842" s="10"/>
      <c r="AU2842" s="10"/>
      <c r="AV2842" s="10"/>
      <c r="AW2842" s="10"/>
      <c r="AX2842" s="10"/>
      <c r="AY2842" s="10"/>
      <c r="AZ2842" s="10"/>
      <c r="BA2842" s="10"/>
      <c r="BB2842" s="10"/>
      <c r="BC2842" s="10"/>
      <c r="BD2842" s="10"/>
      <c r="BE2842" s="10"/>
      <c r="BF2842" s="10"/>
      <c r="BG2842" s="10"/>
      <c r="BH2842" s="10"/>
      <c r="BI2842" s="10"/>
      <c r="BJ2842" s="10"/>
      <c r="BK2842" s="10"/>
      <c r="BM2842" s="10"/>
    </row>
    <row r="2843" spans="1:65" ht="12.75">
      <c r="A2843" s="9"/>
      <c r="B2843" s="10"/>
      <c r="C2843" s="11"/>
      <c r="D2843" s="12"/>
      <c r="E2843" s="10"/>
      <c r="F2843" s="10"/>
      <c r="G2843" s="10"/>
      <c r="H2843" s="14"/>
      <c r="I2843" s="14"/>
      <c r="J2843" s="14"/>
      <c r="K2843" s="14"/>
      <c r="L2843" s="14"/>
      <c r="M2843" s="15"/>
      <c r="N2843" s="10"/>
      <c r="O2843" s="14"/>
      <c r="P2843" s="14"/>
      <c r="Q2843" s="14"/>
      <c r="R2843" s="14"/>
      <c r="S2843" s="14"/>
      <c r="T2843" s="14"/>
      <c r="U2843" s="14"/>
      <c r="V2843" s="14"/>
      <c r="W2843" s="14"/>
      <c r="X2843" s="14"/>
      <c r="Y2843" s="14"/>
      <c r="Z2843" s="14"/>
      <c r="AA2843" s="16"/>
      <c r="AB2843" s="10"/>
      <c r="AC2843" s="10"/>
      <c r="AD2843" s="10"/>
      <c r="AE2843" s="10"/>
      <c r="AF2843" s="10"/>
      <c r="AG2843" s="10"/>
      <c r="AH2843" s="10"/>
      <c r="AI2843" s="10"/>
      <c r="AJ2843" s="10"/>
      <c r="AK2843" s="10"/>
      <c r="AL2843" s="10"/>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10"/>
      <c r="BK2843" s="10"/>
      <c r="BM2843" s="10"/>
    </row>
    <row r="2844" spans="1:65" ht="12.75">
      <c r="A2844" s="9"/>
      <c r="B2844" s="10"/>
      <c r="C2844" s="11"/>
      <c r="D2844" s="12"/>
      <c r="E2844" s="10"/>
      <c r="F2844" s="10"/>
      <c r="G2844" s="10"/>
      <c r="H2844" s="14"/>
      <c r="I2844" s="14"/>
      <c r="J2844" s="14"/>
      <c r="K2844" s="14"/>
      <c r="L2844" s="14"/>
      <c r="M2844" s="15"/>
      <c r="N2844" s="10"/>
      <c r="O2844" s="14"/>
      <c r="P2844" s="14"/>
      <c r="Q2844" s="14"/>
      <c r="R2844" s="14"/>
      <c r="S2844" s="14"/>
      <c r="T2844" s="14"/>
      <c r="U2844" s="14"/>
      <c r="V2844" s="14"/>
      <c r="W2844" s="14"/>
      <c r="X2844" s="14"/>
      <c r="Y2844" s="14"/>
      <c r="Z2844" s="14"/>
      <c r="AA2844" s="16"/>
      <c r="AB2844" s="10"/>
      <c r="AC2844" s="10"/>
      <c r="AD2844" s="10"/>
      <c r="AE2844" s="10"/>
      <c r="AF2844" s="10"/>
      <c r="AG2844" s="10"/>
      <c r="AH2844" s="10"/>
      <c r="AI2844" s="10"/>
      <c r="AJ2844" s="10"/>
      <c r="AK2844" s="10"/>
      <c r="AL2844" s="10"/>
      <c r="AM2844" s="10"/>
      <c r="AN2844" s="10"/>
      <c r="AO2844" s="10"/>
      <c r="AP2844" s="10"/>
      <c r="AQ2844" s="10"/>
      <c r="AR2844" s="10"/>
      <c r="AS2844" s="10"/>
      <c r="AT2844" s="10"/>
      <c r="AU2844" s="10"/>
      <c r="AV2844" s="10"/>
      <c r="AW2844" s="10"/>
      <c r="AX2844" s="10"/>
      <c r="AY2844" s="10"/>
      <c r="AZ2844" s="10"/>
      <c r="BA2844" s="10"/>
      <c r="BB2844" s="10"/>
      <c r="BC2844" s="10"/>
      <c r="BD2844" s="10"/>
      <c r="BE2844" s="10"/>
      <c r="BF2844" s="10"/>
      <c r="BG2844" s="10"/>
      <c r="BH2844" s="10"/>
      <c r="BI2844" s="10"/>
      <c r="BJ2844" s="10"/>
      <c r="BK2844" s="10"/>
      <c r="BM2844" s="10"/>
    </row>
    <row r="2845" spans="1:65" ht="12.75">
      <c r="A2845" s="9"/>
      <c r="B2845" s="10"/>
      <c r="C2845" s="11"/>
      <c r="D2845" s="12"/>
      <c r="E2845" s="10"/>
      <c r="F2845" s="10"/>
      <c r="G2845" s="10"/>
      <c r="H2845" s="14"/>
      <c r="I2845" s="14"/>
      <c r="J2845" s="14"/>
      <c r="K2845" s="14"/>
      <c r="L2845" s="14"/>
      <c r="M2845" s="15"/>
      <c r="N2845" s="10"/>
      <c r="O2845" s="14"/>
      <c r="P2845" s="14"/>
      <c r="Q2845" s="14"/>
      <c r="R2845" s="14"/>
      <c r="S2845" s="14"/>
      <c r="T2845" s="14"/>
      <c r="U2845" s="14"/>
      <c r="V2845" s="14"/>
      <c r="W2845" s="14"/>
      <c r="X2845" s="14"/>
      <c r="Y2845" s="14"/>
      <c r="Z2845" s="14"/>
      <c r="AA2845" s="16"/>
      <c r="AB2845" s="10"/>
      <c r="AC2845" s="10"/>
      <c r="AD2845" s="10"/>
      <c r="AE2845" s="10"/>
      <c r="AF2845" s="10"/>
      <c r="AG2845" s="10"/>
      <c r="AH2845" s="10"/>
      <c r="AI2845" s="10"/>
      <c r="AJ2845" s="10"/>
      <c r="AK2845" s="10"/>
      <c r="AL2845" s="10"/>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10"/>
      <c r="BK2845" s="10"/>
      <c r="BM2845" s="10"/>
    </row>
    <row r="2846" spans="1:65" ht="12.75">
      <c r="A2846" s="9"/>
      <c r="B2846" s="10"/>
      <c r="C2846" s="11"/>
      <c r="D2846" s="12"/>
      <c r="E2846" s="10"/>
      <c r="F2846" s="10"/>
      <c r="G2846" s="10"/>
      <c r="H2846" s="14"/>
      <c r="I2846" s="14"/>
      <c r="J2846" s="14"/>
      <c r="K2846" s="14"/>
      <c r="L2846" s="14"/>
      <c r="M2846" s="15"/>
      <c r="N2846" s="10"/>
      <c r="O2846" s="14"/>
      <c r="P2846" s="14"/>
      <c r="Q2846" s="14"/>
      <c r="R2846" s="14"/>
      <c r="S2846" s="14"/>
      <c r="T2846" s="14"/>
      <c r="U2846" s="14"/>
      <c r="V2846" s="14"/>
      <c r="W2846" s="14"/>
      <c r="X2846" s="14"/>
      <c r="Y2846" s="14"/>
      <c r="Z2846" s="14"/>
      <c r="AA2846" s="16"/>
      <c r="AB2846" s="10"/>
      <c r="AC2846" s="10"/>
      <c r="AD2846" s="10"/>
      <c r="AE2846" s="10"/>
      <c r="AF2846" s="10"/>
      <c r="AG2846" s="10"/>
      <c r="AH2846" s="10"/>
      <c r="AI2846" s="10"/>
      <c r="AJ2846" s="10"/>
      <c r="AK2846" s="10"/>
      <c r="AL2846" s="10"/>
      <c r="AM2846" s="10"/>
      <c r="AN2846" s="10"/>
      <c r="AO2846" s="10"/>
      <c r="AP2846" s="10"/>
      <c r="AQ2846" s="10"/>
      <c r="AR2846" s="10"/>
      <c r="AS2846" s="10"/>
      <c r="AT2846" s="10"/>
      <c r="AU2846" s="10"/>
      <c r="AV2846" s="10"/>
      <c r="AW2846" s="10"/>
      <c r="AX2846" s="10"/>
      <c r="AY2846" s="10"/>
      <c r="AZ2846" s="10"/>
      <c r="BA2846" s="10"/>
      <c r="BB2846" s="10"/>
      <c r="BC2846" s="10"/>
      <c r="BD2846" s="10"/>
      <c r="BE2846" s="10"/>
      <c r="BF2846" s="10"/>
      <c r="BG2846" s="10"/>
      <c r="BH2846" s="10"/>
      <c r="BI2846" s="10"/>
      <c r="BJ2846" s="10"/>
      <c r="BK2846" s="10"/>
      <c r="BM2846" s="10"/>
    </row>
    <row r="2847" spans="1:65" ht="12.75">
      <c r="A2847" s="9"/>
      <c r="B2847" s="10"/>
      <c r="C2847" s="11"/>
      <c r="D2847" s="12"/>
      <c r="E2847" s="10"/>
      <c r="F2847" s="10"/>
      <c r="G2847" s="10"/>
      <c r="H2847" s="14"/>
      <c r="I2847" s="14"/>
      <c r="J2847" s="14"/>
      <c r="K2847" s="14"/>
      <c r="L2847" s="14"/>
      <c r="M2847" s="15"/>
      <c r="N2847" s="10"/>
      <c r="O2847" s="14"/>
      <c r="P2847" s="14"/>
      <c r="Q2847" s="14"/>
      <c r="R2847" s="14"/>
      <c r="S2847" s="14"/>
      <c r="T2847" s="14"/>
      <c r="U2847" s="14"/>
      <c r="V2847" s="14"/>
      <c r="W2847" s="14"/>
      <c r="X2847" s="14"/>
      <c r="Y2847" s="14"/>
      <c r="Z2847" s="14"/>
      <c r="AA2847" s="16"/>
      <c r="AB2847" s="10"/>
      <c r="AC2847" s="10"/>
      <c r="AD2847" s="10"/>
      <c r="AE2847" s="10"/>
      <c r="AF2847" s="10"/>
      <c r="AG2847" s="10"/>
      <c r="AH2847" s="10"/>
      <c r="AI2847" s="10"/>
      <c r="AJ2847" s="10"/>
      <c r="AK2847" s="10"/>
      <c r="AL2847" s="10"/>
      <c r="AM2847" s="10"/>
      <c r="AN2847" s="10"/>
      <c r="AO2847" s="10"/>
      <c r="AP2847" s="10"/>
      <c r="AQ2847" s="10"/>
      <c r="AR2847" s="10"/>
      <c r="AS2847" s="10"/>
      <c r="AT2847" s="10"/>
      <c r="AU2847" s="10"/>
      <c r="AV2847" s="10"/>
      <c r="AW2847" s="10"/>
      <c r="AX2847" s="10"/>
      <c r="AY2847" s="10"/>
      <c r="AZ2847" s="10"/>
      <c r="BA2847" s="10"/>
      <c r="BB2847" s="10"/>
      <c r="BC2847" s="10"/>
      <c r="BD2847" s="10"/>
      <c r="BE2847" s="10"/>
      <c r="BF2847" s="10"/>
      <c r="BG2847" s="10"/>
      <c r="BH2847" s="10"/>
      <c r="BI2847" s="10"/>
      <c r="BJ2847" s="10"/>
      <c r="BK2847" s="10"/>
      <c r="BM2847" s="10"/>
    </row>
    <row r="2848" spans="1:65" ht="12.75">
      <c r="A2848" s="9"/>
      <c r="B2848" s="10"/>
      <c r="C2848" s="11"/>
      <c r="D2848" s="12"/>
      <c r="E2848" s="10"/>
      <c r="F2848" s="10"/>
      <c r="G2848" s="10"/>
      <c r="H2848" s="14"/>
      <c r="I2848" s="14"/>
      <c r="J2848" s="14"/>
      <c r="K2848" s="14"/>
      <c r="L2848" s="14"/>
      <c r="M2848" s="15"/>
      <c r="N2848" s="10"/>
      <c r="O2848" s="14"/>
      <c r="P2848" s="14"/>
      <c r="Q2848" s="14"/>
      <c r="R2848" s="14"/>
      <c r="S2848" s="14"/>
      <c r="T2848" s="14"/>
      <c r="U2848" s="14"/>
      <c r="V2848" s="14"/>
      <c r="W2848" s="14"/>
      <c r="X2848" s="14"/>
      <c r="Y2848" s="14"/>
      <c r="Z2848" s="14"/>
      <c r="AA2848" s="16"/>
      <c r="AB2848" s="10"/>
      <c r="AC2848" s="10"/>
      <c r="AD2848" s="10"/>
      <c r="AE2848" s="10"/>
      <c r="AF2848" s="10"/>
      <c r="AG2848" s="10"/>
      <c r="AH2848" s="10"/>
      <c r="AI2848" s="10"/>
      <c r="AJ2848" s="10"/>
      <c r="AK2848" s="10"/>
      <c r="AL2848" s="10"/>
      <c r="AM2848" s="10"/>
      <c r="AN2848" s="10"/>
      <c r="AO2848" s="10"/>
      <c r="AP2848" s="10"/>
      <c r="AQ2848" s="10"/>
      <c r="AR2848" s="10"/>
      <c r="AS2848" s="10"/>
      <c r="AT2848" s="10"/>
      <c r="AU2848" s="10"/>
      <c r="AV2848" s="10"/>
      <c r="AW2848" s="10"/>
      <c r="AX2848" s="10"/>
      <c r="AY2848" s="10"/>
      <c r="AZ2848" s="10"/>
      <c r="BA2848" s="10"/>
      <c r="BB2848" s="10"/>
      <c r="BC2848" s="10"/>
      <c r="BD2848" s="10"/>
      <c r="BE2848" s="10"/>
      <c r="BF2848" s="10"/>
      <c r="BG2848" s="10"/>
      <c r="BH2848" s="10"/>
      <c r="BI2848" s="10"/>
      <c r="BJ2848" s="10"/>
      <c r="BK2848" s="10"/>
      <c r="BM2848" s="10"/>
    </row>
    <row r="2849" spans="1:65" ht="12.75">
      <c r="A2849" s="9"/>
      <c r="B2849" s="10"/>
      <c r="C2849" s="11"/>
      <c r="D2849" s="12"/>
      <c r="E2849" s="10"/>
      <c r="F2849" s="10"/>
      <c r="G2849" s="10"/>
      <c r="H2849" s="14"/>
      <c r="I2849" s="14"/>
      <c r="J2849" s="14"/>
      <c r="K2849" s="14"/>
      <c r="L2849" s="14"/>
      <c r="M2849" s="15"/>
      <c r="N2849" s="10"/>
      <c r="O2849" s="14"/>
      <c r="P2849" s="14"/>
      <c r="Q2849" s="14"/>
      <c r="R2849" s="14"/>
      <c r="S2849" s="14"/>
      <c r="T2849" s="14"/>
      <c r="U2849" s="14"/>
      <c r="V2849" s="14"/>
      <c r="W2849" s="14"/>
      <c r="X2849" s="14"/>
      <c r="Y2849" s="14"/>
      <c r="Z2849" s="14"/>
      <c r="AA2849" s="16"/>
      <c r="AB2849" s="10"/>
      <c r="AC2849" s="10"/>
      <c r="AD2849" s="10"/>
      <c r="AE2849" s="10"/>
      <c r="AF2849" s="10"/>
      <c r="AG2849" s="10"/>
      <c r="AH2849" s="10"/>
      <c r="AI2849" s="10"/>
      <c r="AJ2849" s="10"/>
      <c r="AK2849" s="10"/>
      <c r="AL2849" s="10"/>
      <c r="AM2849" s="10"/>
      <c r="AN2849" s="10"/>
      <c r="AO2849" s="10"/>
      <c r="AP2849" s="10"/>
      <c r="AQ2849" s="10"/>
      <c r="AR2849" s="10"/>
      <c r="AS2849" s="10"/>
      <c r="AT2849" s="10"/>
      <c r="AU2849" s="10"/>
      <c r="AV2849" s="10"/>
      <c r="AW2849" s="10"/>
      <c r="AX2849" s="10"/>
      <c r="AY2849" s="10"/>
      <c r="AZ2849" s="10"/>
      <c r="BA2849" s="10"/>
      <c r="BB2849" s="10"/>
      <c r="BC2849" s="10"/>
      <c r="BD2849" s="10"/>
      <c r="BE2849" s="10"/>
      <c r="BF2849" s="10"/>
      <c r="BG2849" s="10"/>
      <c r="BH2849" s="10"/>
      <c r="BI2849" s="10"/>
      <c r="BJ2849" s="10"/>
      <c r="BK2849" s="10"/>
      <c r="BM2849" s="10"/>
    </row>
    <row r="2850" spans="1:65" ht="12.75">
      <c r="A2850" s="9"/>
      <c r="B2850" s="10"/>
      <c r="C2850" s="11"/>
      <c r="D2850" s="12"/>
      <c r="E2850" s="10"/>
      <c r="F2850" s="10"/>
      <c r="G2850" s="10"/>
      <c r="H2850" s="14"/>
      <c r="I2850" s="14"/>
      <c r="J2850" s="14"/>
      <c r="K2850" s="14"/>
      <c r="L2850" s="14"/>
      <c r="M2850" s="15"/>
      <c r="N2850" s="10"/>
      <c r="O2850" s="14"/>
      <c r="P2850" s="14"/>
      <c r="Q2850" s="14"/>
      <c r="R2850" s="14"/>
      <c r="S2850" s="14"/>
      <c r="T2850" s="14"/>
      <c r="U2850" s="14"/>
      <c r="V2850" s="14"/>
      <c r="W2850" s="14"/>
      <c r="X2850" s="14"/>
      <c r="Y2850" s="14"/>
      <c r="Z2850" s="14"/>
      <c r="AA2850" s="16"/>
      <c r="AB2850" s="10"/>
      <c r="AC2850" s="10"/>
      <c r="AD2850" s="10"/>
      <c r="AE2850" s="10"/>
      <c r="AF2850" s="10"/>
      <c r="AG2850" s="10"/>
      <c r="AH2850" s="10"/>
      <c r="AI2850" s="10"/>
      <c r="AJ2850" s="10"/>
      <c r="AK2850" s="10"/>
      <c r="AL2850" s="10"/>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10"/>
      <c r="BJ2850" s="10"/>
      <c r="BK2850" s="10"/>
      <c r="BM2850" s="10"/>
    </row>
    <row r="2851" spans="1:65" ht="12.75">
      <c r="A2851" s="9"/>
      <c r="B2851" s="10"/>
      <c r="C2851" s="11"/>
      <c r="D2851" s="12"/>
      <c r="E2851" s="10"/>
      <c r="F2851" s="10"/>
      <c r="G2851" s="10"/>
      <c r="H2851" s="14"/>
      <c r="I2851" s="14"/>
      <c r="J2851" s="14"/>
      <c r="K2851" s="14"/>
      <c r="L2851" s="14"/>
      <c r="M2851" s="15"/>
      <c r="N2851" s="10"/>
      <c r="O2851" s="14"/>
      <c r="P2851" s="14"/>
      <c r="Q2851" s="14"/>
      <c r="R2851" s="14"/>
      <c r="S2851" s="14"/>
      <c r="T2851" s="14"/>
      <c r="U2851" s="14"/>
      <c r="V2851" s="14"/>
      <c r="W2851" s="14"/>
      <c r="X2851" s="14"/>
      <c r="Y2851" s="14"/>
      <c r="Z2851" s="14"/>
      <c r="AA2851" s="16"/>
      <c r="AB2851" s="10"/>
      <c r="AC2851" s="10"/>
      <c r="AD2851" s="10"/>
      <c r="AE2851" s="10"/>
      <c r="AF2851" s="10"/>
      <c r="AG2851" s="10"/>
      <c r="AH2851" s="10"/>
      <c r="AI2851" s="10"/>
      <c r="AJ2851" s="10"/>
      <c r="AK2851" s="10"/>
      <c r="AL2851" s="10"/>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10"/>
      <c r="BK2851" s="10"/>
      <c r="BM2851" s="10"/>
    </row>
    <row r="2852" spans="1:65" ht="12.75">
      <c r="A2852" s="9"/>
      <c r="B2852" s="10"/>
      <c r="C2852" s="11"/>
      <c r="D2852" s="12"/>
      <c r="E2852" s="10"/>
      <c r="F2852" s="10"/>
      <c r="G2852" s="10"/>
      <c r="H2852" s="14"/>
      <c r="I2852" s="14"/>
      <c r="J2852" s="14"/>
      <c r="K2852" s="14"/>
      <c r="L2852" s="14"/>
      <c r="M2852" s="15"/>
      <c r="N2852" s="10"/>
      <c r="O2852" s="14"/>
      <c r="P2852" s="14"/>
      <c r="Q2852" s="14"/>
      <c r="R2852" s="14"/>
      <c r="S2852" s="14"/>
      <c r="T2852" s="14"/>
      <c r="U2852" s="14"/>
      <c r="V2852" s="14"/>
      <c r="W2852" s="14"/>
      <c r="X2852" s="14"/>
      <c r="Y2852" s="14"/>
      <c r="Z2852" s="14"/>
      <c r="AA2852" s="16"/>
      <c r="AB2852" s="10"/>
      <c r="AC2852" s="10"/>
      <c r="AD2852" s="10"/>
      <c r="AE2852" s="10"/>
      <c r="AF2852" s="10"/>
      <c r="AG2852" s="10"/>
      <c r="AH2852" s="10"/>
      <c r="AI2852" s="10"/>
      <c r="AJ2852" s="10"/>
      <c r="AK2852" s="10"/>
      <c r="AL2852" s="10"/>
      <c r="AM2852" s="10"/>
      <c r="AN2852" s="10"/>
      <c r="AO2852" s="10"/>
      <c r="AP2852" s="10"/>
      <c r="AQ2852" s="10"/>
      <c r="AR2852" s="10"/>
      <c r="AS2852" s="10"/>
      <c r="AT2852" s="10"/>
      <c r="AU2852" s="10"/>
      <c r="AV2852" s="10"/>
      <c r="AW2852" s="10"/>
      <c r="AX2852" s="10"/>
      <c r="AY2852" s="10"/>
      <c r="AZ2852" s="10"/>
      <c r="BA2852" s="10"/>
      <c r="BB2852" s="10"/>
      <c r="BC2852" s="10"/>
      <c r="BD2852" s="10"/>
      <c r="BE2852" s="10"/>
      <c r="BF2852" s="10"/>
      <c r="BG2852" s="10"/>
      <c r="BH2852" s="10"/>
      <c r="BI2852" s="10"/>
      <c r="BJ2852" s="10"/>
      <c r="BK2852" s="10"/>
      <c r="BM2852" s="10"/>
    </row>
    <row r="2853" spans="1:65" ht="12.75">
      <c r="A2853" s="9"/>
      <c r="B2853" s="10"/>
      <c r="C2853" s="11"/>
      <c r="D2853" s="12"/>
      <c r="E2853" s="10"/>
      <c r="F2853" s="10"/>
      <c r="G2853" s="10"/>
      <c r="H2853" s="14"/>
      <c r="I2853" s="14"/>
      <c r="J2853" s="14"/>
      <c r="K2853" s="14"/>
      <c r="L2853" s="14"/>
      <c r="M2853" s="15"/>
      <c r="N2853" s="10"/>
      <c r="O2853" s="14"/>
      <c r="P2853" s="14"/>
      <c r="Q2853" s="14"/>
      <c r="R2853" s="14"/>
      <c r="S2853" s="14"/>
      <c r="T2853" s="14"/>
      <c r="U2853" s="14"/>
      <c r="V2853" s="14"/>
      <c r="W2853" s="14"/>
      <c r="X2853" s="14"/>
      <c r="Y2853" s="14"/>
      <c r="Z2853" s="14"/>
      <c r="AA2853" s="16"/>
      <c r="AB2853" s="10"/>
      <c r="AC2853" s="10"/>
      <c r="AD2853" s="10"/>
      <c r="AE2853" s="10"/>
      <c r="AF2853" s="10"/>
      <c r="AG2853" s="10"/>
      <c r="AH2853" s="10"/>
      <c r="AI2853" s="10"/>
      <c r="AJ2853" s="10"/>
      <c r="AK2853" s="10"/>
      <c r="AL2853" s="10"/>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c r="BI2853" s="10"/>
      <c r="BJ2853" s="10"/>
      <c r="BK2853" s="10"/>
      <c r="BM2853" s="10"/>
    </row>
    <row r="2854" spans="1:65" ht="12.75">
      <c r="A2854" s="9"/>
      <c r="B2854" s="10"/>
      <c r="C2854" s="11"/>
      <c r="D2854" s="12"/>
      <c r="E2854" s="10"/>
      <c r="F2854" s="10"/>
      <c r="G2854" s="10"/>
      <c r="H2854" s="14"/>
      <c r="I2854" s="14"/>
      <c r="J2854" s="14"/>
      <c r="K2854" s="14"/>
      <c r="L2854" s="14"/>
      <c r="M2854" s="15"/>
      <c r="N2854" s="10"/>
      <c r="O2854" s="14"/>
      <c r="P2854" s="14"/>
      <c r="Q2854" s="14"/>
      <c r="R2854" s="14"/>
      <c r="S2854" s="14"/>
      <c r="T2854" s="14"/>
      <c r="U2854" s="14"/>
      <c r="V2854" s="14"/>
      <c r="W2854" s="14"/>
      <c r="X2854" s="14"/>
      <c r="Y2854" s="14"/>
      <c r="Z2854" s="14"/>
      <c r="AA2854" s="16"/>
      <c r="AB2854" s="10"/>
      <c r="AC2854" s="10"/>
      <c r="AD2854" s="10"/>
      <c r="AE2854" s="10"/>
      <c r="AF2854" s="10"/>
      <c r="AG2854" s="10"/>
      <c r="AH2854" s="10"/>
      <c r="AI2854" s="10"/>
      <c r="AJ2854" s="10"/>
      <c r="AK2854" s="10"/>
      <c r="AL2854" s="10"/>
      <c r="AM2854" s="10"/>
      <c r="AN2854" s="10"/>
      <c r="AO2854" s="10"/>
      <c r="AP2854" s="10"/>
      <c r="AQ2854" s="10"/>
      <c r="AR2854" s="10"/>
      <c r="AS2854" s="10"/>
      <c r="AT2854" s="10"/>
      <c r="AU2854" s="10"/>
      <c r="AV2854" s="10"/>
      <c r="AW2854" s="10"/>
      <c r="AX2854" s="10"/>
      <c r="AY2854" s="10"/>
      <c r="AZ2854" s="10"/>
      <c r="BA2854" s="10"/>
      <c r="BB2854" s="10"/>
      <c r="BC2854" s="10"/>
      <c r="BD2854" s="10"/>
      <c r="BE2854" s="10"/>
      <c r="BF2854" s="10"/>
      <c r="BG2854" s="10"/>
      <c r="BH2854" s="10"/>
      <c r="BI2854" s="10"/>
      <c r="BJ2854" s="10"/>
      <c r="BK2854" s="10"/>
      <c r="BM2854" s="10"/>
    </row>
    <row r="2855" spans="1:65" ht="12.75">
      <c r="A2855" s="9"/>
      <c r="B2855" s="10"/>
      <c r="C2855" s="11"/>
      <c r="D2855" s="12"/>
      <c r="E2855" s="10"/>
      <c r="F2855" s="10"/>
      <c r="G2855" s="10"/>
      <c r="H2855" s="14"/>
      <c r="I2855" s="14"/>
      <c r="J2855" s="14"/>
      <c r="K2855" s="14"/>
      <c r="L2855" s="14"/>
      <c r="M2855" s="15"/>
      <c r="N2855" s="10"/>
      <c r="O2855" s="14"/>
      <c r="P2855" s="14"/>
      <c r="Q2855" s="14"/>
      <c r="R2855" s="14"/>
      <c r="S2855" s="14"/>
      <c r="T2855" s="14"/>
      <c r="U2855" s="14"/>
      <c r="V2855" s="14"/>
      <c r="W2855" s="14"/>
      <c r="X2855" s="14"/>
      <c r="Y2855" s="14"/>
      <c r="Z2855" s="14"/>
      <c r="AA2855" s="16"/>
      <c r="AB2855" s="10"/>
      <c r="AC2855" s="10"/>
      <c r="AD2855" s="10"/>
      <c r="AE2855" s="10"/>
      <c r="AF2855" s="10"/>
      <c r="AG2855" s="10"/>
      <c r="AH2855" s="10"/>
      <c r="AI2855" s="10"/>
      <c r="AJ2855" s="10"/>
      <c r="AK2855" s="10"/>
      <c r="AL2855" s="10"/>
      <c r="AM2855" s="10"/>
      <c r="AN2855" s="10"/>
      <c r="AO2855" s="10"/>
      <c r="AP2855" s="10"/>
      <c r="AQ2855" s="10"/>
      <c r="AR2855" s="10"/>
      <c r="AS2855" s="10"/>
      <c r="AT2855" s="10"/>
      <c r="AU2855" s="10"/>
      <c r="AV2855" s="10"/>
      <c r="AW2855" s="10"/>
      <c r="AX2855" s="10"/>
      <c r="AY2855" s="10"/>
      <c r="AZ2855" s="10"/>
      <c r="BA2855" s="10"/>
      <c r="BB2855" s="10"/>
      <c r="BC2855" s="10"/>
      <c r="BD2855" s="10"/>
      <c r="BE2855" s="10"/>
      <c r="BF2855" s="10"/>
      <c r="BG2855" s="10"/>
      <c r="BH2855" s="10"/>
      <c r="BI2855" s="10"/>
      <c r="BJ2855" s="10"/>
      <c r="BK2855" s="10"/>
      <c r="BM2855" s="10"/>
    </row>
    <row r="2856" spans="1:65" ht="12.75">
      <c r="A2856" s="9"/>
      <c r="B2856" s="10"/>
      <c r="C2856" s="11"/>
      <c r="D2856" s="12"/>
      <c r="E2856" s="10"/>
      <c r="F2856" s="10"/>
      <c r="G2856" s="10"/>
      <c r="H2856" s="14"/>
      <c r="I2856" s="14"/>
      <c r="J2856" s="14"/>
      <c r="K2856" s="14"/>
      <c r="L2856" s="14"/>
      <c r="M2856" s="15"/>
      <c r="N2856" s="10"/>
      <c r="O2856" s="14"/>
      <c r="P2856" s="14"/>
      <c r="Q2856" s="14"/>
      <c r="R2856" s="14"/>
      <c r="S2856" s="14"/>
      <c r="T2856" s="14"/>
      <c r="U2856" s="14"/>
      <c r="V2856" s="14"/>
      <c r="W2856" s="14"/>
      <c r="X2856" s="14"/>
      <c r="Y2856" s="14"/>
      <c r="Z2856" s="14"/>
      <c r="AA2856" s="16"/>
      <c r="AB2856" s="10"/>
      <c r="AC2856" s="10"/>
      <c r="AD2856" s="10"/>
      <c r="AE2856" s="10"/>
      <c r="AF2856" s="10"/>
      <c r="AG2856" s="10"/>
      <c r="AH2856" s="10"/>
      <c r="AI2856" s="10"/>
      <c r="AJ2856" s="10"/>
      <c r="AK2856" s="10"/>
      <c r="AL2856" s="10"/>
      <c r="AM2856" s="10"/>
      <c r="AN2856" s="10"/>
      <c r="AO2856" s="10"/>
      <c r="AP2856" s="10"/>
      <c r="AQ2856" s="10"/>
      <c r="AR2856" s="10"/>
      <c r="AS2856" s="10"/>
      <c r="AT2856" s="10"/>
      <c r="AU2856" s="10"/>
      <c r="AV2856" s="10"/>
      <c r="AW2856" s="10"/>
      <c r="AX2856" s="10"/>
      <c r="AY2856" s="10"/>
      <c r="AZ2856" s="10"/>
      <c r="BA2856" s="10"/>
      <c r="BB2856" s="10"/>
      <c r="BC2856" s="10"/>
      <c r="BD2856" s="10"/>
      <c r="BE2856" s="10"/>
      <c r="BF2856" s="10"/>
      <c r="BG2856" s="10"/>
      <c r="BH2856" s="10"/>
      <c r="BI2856" s="10"/>
      <c r="BJ2856" s="10"/>
      <c r="BK2856" s="10"/>
      <c r="BM2856" s="10"/>
    </row>
    <row r="2857" spans="1:65" ht="12.75">
      <c r="A2857" s="9"/>
      <c r="B2857" s="10"/>
      <c r="C2857" s="11"/>
      <c r="D2857" s="12"/>
      <c r="E2857" s="10"/>
      <c r="F2857" s="10"/>
      <c r="G2857" s="10"/>
      <c r="H2857" s="14"/>
      <c r="I2857" s="14"/>
      <c r="J2857" s="14"/>
      <c r="K2857" s="14"/>
      <c r="L2857" s="14"/>
      <c r="M2857" s="15"/>
      <c r="N2857" s="10"/>
      <c r="O2857" s="14"/>
      <c r="P2857" s="14"/>
      <c r="Q2857" s="14"/>
      <c r="R2857" s="14"/>
      <c r="S2857" s="14"/>
      <c r="T2857" s="14"/>
      <c r="U2857" s="14"/>
      <c r="V2857" s="14"/>
      <c r="W2857" s="14"/>
      <c r="X2857" s="14"/>
      <c r="Y2857" s="14"/>
      <c r="Z2857" s="14"/>
      <c r="AA2857" s="16"/>
      <c r="AB2857" s="10"/>
      <c r="AC2857" s="10"/>
      <c r="AD2857" s="10"/>
      <c r="AE2857" s="10"/>
      <c r="AF2857" s="10"/>
      <c r="AG2857" s="10"/>
      <c r="AH2857" s="10"/>
      <c r="AI2857" s="10"/>
      <c r="AJ2857" s="10"/>
      <c r="AK2857" s="10"/>
      <c r="AL2857" s="10"/>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10"/>
      <c r="BK2857" s="10"/>
      <c r="BM2857" s="10"/>
    </row>
    <row r="2858" spans="1:65" ht="12.75">
      <c r="A2858" s="9"/>
      <c r="B2858" s="10"/>
      <c r="C2858" s="11"/>
      <c r="D2858" s="12"/>
      <c r="E2858" s="10"/>
      <c r="F2858" s="10"/>
      <c r="G2858" s="10"/>
      <c r="H2858" s="14"/>
      <c r="I2858" s="14"/>
      <c r="J2858" s="14"/>
      <c r="K2858" s="14"/>
      <c r="L2858" s="14"/>
      <c r="M2858" s="15"/>
      <c r="N2858" s="10"/>
      <c r="O2858" s="14"/>
      <c r="P2858" s="14"/>
      <c r="Q2858" s="14"/>
      <c r="R2858" s="14"/>
      <c r="S2858" s="14"/>
      <c r="T2858" s="14"/>
      <c r="U2858" s="14"/>
      <c r="V2858" s="14"/>
      <c r="W2858" s="14"/>
      <c r="X2858" s="14"/>
      <c r="Y2858" s="14"/>
      <c r="Z2858" s="14"/>
      <c r="AA2858" s="16"/>
      <c r="AB2858" s="10"/>
      <c r="AC2858" s="10"/>
      <c r="AD2858" s="10"/>
      <c r="AE2858" s="10"/>
      <c r="AF2858" s="10"/>
      <c r="AG2858" s="10"/>
      <c r="AH2858" s="10"/>
      <c r="AI2858" s="10"/>
      <c r="AJ2858" s="10"/>
      <c r="AK2858" s="10"/>
      <c r="AL2858" s="10"/>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10"/>
      <c r="BK2858" s="10"/>
      <c r="BM2858" s="10"/>
    </row>
    <row r="2859" spans="1:65" ht="12.75">
      <c r="A2859" s="9"/>
      <c r="B2859" s="10"/>
      <c r="C2859" s="11"/>
      <c r="D2859" s="12"/>
      <c r="E2859" s="10"/>
      <c r="F2859" s="10"/>
      <c r="G2859" s="10"/>
      <c r="H2859" s="14"/>
      <c r="I2859" s="14"/>
      <c r="J2859" s="14"/>
      <c r="K2859" s="14"/>
      <c r="L2859" s="14"/>
      <c r="M2859" s="15"/>
      <c r="N2859" s="10"/>
      <c r="O2859" s="14"/>
      <c r="P2859" s="14"/>
      <c r="Q2859" s="14"/>
      <c r="R2859" s="14"/>
      <c r="S2859" s="14"/>
      <c r="T2859" s="14"/>
      <c r="U2859" s="14"/>
      <c r="V2859" s="14"/>
      <c r="W2859" s="14"/>
      <c r="X2859" s="14"/>
      <c r="Y2859" s="14"/>
      <c r="Z2859" s="14"/>
      <c r="AA2859" s="16"/>
      <c r="AB2859" s="10"/>
      <c r="AC2859" s="10"/>
      <c r="AD2859" s="10"/>
      <c r="AE2859" s="10"/>
      <c r="AF2859" s="10"/>
      <c r="AG2859" s="10"/>
      <c r="AH2859" s="10"/>
      <c r="AI2859" s="10"/>
      <c r="AJ2859" s="10"/>
      <c r="AK2859" s="10"/>
      <c r="AL2859" s="1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0"/>
      <c r="BM2859" s="10"/>
    </row>
    <row r="2860" spans="1:65" ht="12.75">
      <c r="A2860" s="9"/>
      <c r="B2860" s="10"/>
      <c r="C2860" s="11"/>
      <c r="D2860" s="12"/>
      <c r="E2860" s="10"/>
      <c r="F2860" s="10"/>
      <c r="G2860" s="10"/>
      <c r="H2860" s="14"/>
      <c r="I2860" s="14"/>
      <c r="J2860" s="14"/>
      <c r="K2860" s="14"/>
      <c r="L2860" s="14"/>
      <c r="M2860" s="15"/>
      <c r="N2860" s="10"/>
      <c r="O2860" s="14"/>
      <c r="P2860" s="14"/>
      <c r="Q2860" s="14"/>
      <c r="R2860" s="14"/>
      <c r="S2860" s="14"/>
      <c r="T2860" s="14"/>
      <c r="U2860" s="14"/>
      <c r="V2860" s="14"/>
      <c r="W2860" s="14"/>
      <c r="X2860" s="14"/>
      <c r="Y2860" s="14"/>
      <c r="Z2860" s="14"/>
      <c r="AA2860" s="16"/>
      <c r="AB2860" s="10"/>
      <c r="AC2860" s="10"/>
      <c r="AD2860" s="10"/>
      <c r="AE2860" s="10"/>
      <c r="AF2860" s="10"/>
      <c r="AG2860" s="10"/>
      <c r="AH2860" s="10"/>
      <c r="AI2860" s="10"/>
      <c r="AJ2860" s="10"/>
      <c r="AK2860" s="10"/>
      <c r="AL2860" s="10"/>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10"/>
      <c r="BJ2860" s="10"/>
      <c r="BK2860" s="10"/>
      <c r="BM2860" s="10"/>
    </row>
    <row r="2861" spans="1:65" ht="12.75">
      <c r="A2861" s="9"/>
      <c r="B2861" s="10"/>
      <c r="C2861" s="11"/>
      <c r="D2861" s="12"/>
      <c r="E2861" s="10"/>
      <c r="F2861" s="10"/>
      <c r="G2861" s="10"/>
      <c r="H2861" s="14"/>
      <c r="I2861" s="14"/>
      <c r="J2861" s="14"/>
      <c r="K2861" s="14"/>
      <c r="L2861" s="14"/>
      <c r="M2861" s="15"/>
      <c r="N2861" s="10"/>
      <c r="O2861" s="14"/>
      <c r="P2861" s="14"/>
      <c r="Q2861" s="14"/>
      <c r="R2861" s="14"/>
      <c r="S2861" s="14"/>
      <c r="T2861" s="14"/>
      <c r="U2861" s="14"/>
      <c r="V2861" s="14"/>
      <c r="W2861" s="14"/>
      <c r="X2861" s="14"/>
      <c r="Y2861" s="14"/>
      <c r="Z2861" s="14"/>
      <c r="AA2861" s="16"/>
      <c r="AB2861" s="10"/>
      <c r="AC2861" s="10"/>
      <c r="AD2861" s="10"/>
      <c r="AE2861" s="10"/>
      <c r="AF2861" s="10"/>
      <c r="AG2861" s="10"/>
      <c r="AH2861" s="10"/>
      <c r="AI2861" s="10"/>
      <c r="AJ2861" s="10"/>
      <c r="AK2861" s="10"/>
      <c r="AL2861" s="10"/>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10"/>
      <c r="BJ2861" s="10"/>
      <c r="BK2861" s="10"/>
      <c r="BM2861" s="10"/>
    </row>
    <row r="2862" spans="1:65" ht="12.75">
      <c r="A2862" s="9"/>
      <c r="B2862" s="10"/>
      <c r="C2862" s="11"/>
      <c r="D2862" s="12"/>
      <c r="E2862" s="10"/>
      <c r="F2862" s="10"/>
      <c r="G2862" s="10"/>
      <c r="H2862" s="14"/>
      <c r="I2862" s="14"/>
      <c r="J2862" s="14"/>
      <c r="K2862" s="14"/>
      <c r="L2862" s="14"/>
      <c r="M2862" s="15"/>
      <c r="N2862" s="10"/>
      <c r="O2862" s="14"/>
      <c r="P2862" s="14"/>
      <c r="Q2862" s="14"/>
      <c r="R2862" s="14"/>
      <c r="S2862" s="14"/>
      <c r="T2862" s="14"/>
      <c r="U2862" s="14"/>
      <c r="V2862" s="14"/>
      <c r="W2862" s="14"/>
      <c r="X2862" s="14"/>
      <c r="Y2862" s="14"/>
      <c r="Z2862" s="14"/>
      <c r="AA2862" s="16"/>
      <c r="AB2862" s="10"/>
      <c r="AC2862" s="10"/>
      <c r="AD2862" s="10"/>
      <c r="AE2862" s="10"/>
      <c r="AF2862" s="10"/>
      <c r="AG2862" s="10"/>
      <c r="AH2862" s="10"/>
      <c r="AI2862" s="10"/>
      <c r="AJ2862" s="10"/>
      <c r="AK2862" s="10"/>
      <c r="AL2862" s="10"/>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c r="BI2862" s="10"/>
      <c r="BJ2862" s="10"/>
      <c r="BK2862" s="10"/>
      <c r="BM2862" s="10"/>
    </row>
    <row r="2863" spans="1:65" ht="12.75">
      <c r="A2863" s="9"/>
      <c r="B2863" s="10"/>
      <c r="C2863" s="11"/>
      <c r="D2863" s="12"/>
      <c r="E2863" s="10"/>
      <c r="F2863" s="10"/>
      <c r="G2863" s="10"/>
      <c r="H2863" s="14"/>
      <c r="I2863" s="14"/>
      <c r="J2863" s="14"/>
      <c r="K2863" s="14"/>
      <c r="L2863" s="14"/>
      <c r="M2863" s="15"/>
      <c r="N2863" s="10"/>
      <c r="O2863" s="14"/>
      <c r="P2863" s="14"/>
      <c r="Q2863" s="14"/>
      <c r="R2863" s="14"/>
      <c r="S2863" s="14"/>
      <c r="T2863" s="14"/>
      <c r="U2863" s="14"/>
      <c r="V2863" s="14"/>
      <c r="W2863" s="14"/>
      <c r="X2863" s="14"/>
      <c r="Y2863" s="14"/>
      <c r="Z2863" s="14"/>
      <c r="AA2863" s="16"/>
      <c r="AB2863" s="10"/>
      <c r="AC2863" s="10"/>
      <c r="AD2863" s="10"/>
      <c r="AE2863" s="10"/>
      <c r="AF2863" s="10"/>
      <c r="AG2863" s="10"/>
      <c r="AH2863" s="10"/>
      <c r="AI2863" s="10"/>
      <c r="AJ2863" s="10"/>
      <c r="AK2863" s="10"/>
      <c r="AL2863" s="10"/>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10"/>
      <c r="BJ2863" s="10"/>
      <c r="BK2863" s="10"/>
      <c r="BM2863" s="10"/>
    </row>
    <row r="2864" spans="1:65" ht="12.75">
      <c r="A2864" s="9"/>
      <c r="B2864" s="10"/>
      <c r="C2864" s="11"/>
      <c r="D2864" s="12"/>
      <c r="E2864" s="10"/>
      <c r="F2864" s="10"/>
      <c r="G2864" s="10"/>
      <c r="H2864" s="14"/>
      <c r="I2864" s="14"/>
      <c r="J2864" s="14"/>
      <c r="K2864" s="14"/>
      <c r="L2864" s="14"/>
      <c r="M2864" s="15"/>
      <c r="N2864" s="10"/>
      <c r="O2864" s="14"/>
      <c r="P2864" s="14"/>
      <c r="Q2864" s="14"/>
      <c r="R2864" s="14"/>
      <c r="S2864" s="14"/>
      <c r="T2864" s="14"/>
      <c r="U2864" s="14"/>
      <c r="V2864" s="14"/>
      <c r="W2864" s="14"/>
      <c r="X2864" s="14"/>
      <c r="Y2864" s="14"/>
      <c r="Z2864" s="14"/>
      <c r="AA2864" s="16"/>
      <c r="AB2864" s="10"/>
      <c r="AC2864" s="10"/>
      <c r="AD2864" s="10"/>
      <c r="AE2864" s="10"/>
      <c r="AF2864" s="10"/>
      <c r="AG2864" s="10"/>
      <c r="AH2864" s="10"/>
      <c r="AI2864" s="10"/>
      <c r="AJ2864" s="10"/>
      <c r="AK2864" s="10"/>
      <c r="AL2864" s="10"/>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10"/>
      <c r="BK2864" s="10"/>
      <c r="BM2864" s="10"/>
    </row>
    <row r="2865" spans="1:65" ht="12.75">
      <c r="A2865" s="9"/>
      <c r="B2865" s="10"/>
      <c r="C2865" s="11"/>
      <c r="D2865" s="12"/>
      <c r="E2865" s="10"/>
      <c r="F2865" s="10"/>
      <c r="G2865" s="10"/>
      <c r="H2865" s="14"/>
      <c r="I2865" s="14"/>
      <c r="J2865" s="14"/>
      <c r="K2865" s="14"/>
      <c r="L2865" s="14"/>
      <c r="M2865" s="15"/>
      <c r="N2865" s="10"/>
      <c r="O2865" s="14"/>
      <c r="P2865" s="14"/>
      <c r="Q2865" s="14"/>
      <c r="R2865" s="14"/>
      <c r="S2865" s="14"/>
      <c r="T2865" s="14"/>
      <c r="U2865" s="14"/>
      <c r="V2865" s="14"/>
      <c r="W2865" s="14"/>
      <c r="X2865" s="14"/>
      <c r="Y2865" s="14"/>
      <c r="Z2865" s="14"/>
      <c r="AA2865" s="16"/>
      <c r="AB2865" s="10"/>
      <c r="AC2865" s="10"/>
      <c r="AD2865" s="10"/>
      <c r="AE2865" s="10"/>
      <c r="AF2865" s="10"/>
      <c r="AG2865" s="10"/>
      <c r="AH2865" s="10"/>
      <c r="AI2865" s="10"/>
      <c r="AJ2865" s="10"/>
      <c r="AK2865" s="10"/>
      <c r="AL2865" s="10"/>
      <c r="AM2865" s="10"/>
      <c r="AN2865" s="10"/>
      <c r="AO2865" s="10"/>
      <c r="AP2865" s="10"/>
      <c r="AQ2865" s="10"/>
      <c r="AR2865" s="10"/>
      <c r="AS2865" s="10"/>
      <c r="AT2865" s="10"/>
      <c r="AU2865" s="10"/>
      <c r="AV2865" s="10"/>
      <c r="AW2865" s="10"/>
      <c r="AX2865" s="10"/>
      <c r="AY2865" s="10"/>
      <c r="AZ2865" s="10"/>
      <c r="BA2865" s="10"/>
      <c r="BB2865" s="10"/>
      <c r="BC2865" s="10"/>
      <c r="BD2865" s="10"/>
      <c r="BE2865" s="10"/>
      <c r="BF2865" s="10"/>
      <c r="BG2865" s="10"/>
      <c r="BH2865" s="10"/>
      <c r="BI2865" s="10"/>
      <c r="BJ2865" s="10"/>
      <c r="BK2865" s="10"/>
      <c r="BM2865" s="10"/>
    </row>
    <row r="2866" spans="1:65" ht="12.75">
      <c r="A2866" s="9"/>
      <c r="B2866" s="10"/>
      <c r="C2866" s="11"/>
      <c r="D2866" s="12"/>
      <c r="E2866" s="10"/>
      <c r="F2866" s="10"/>
      <c r="G2866" s="10"/>
      <c r="H2866" s="14"/>
      <c r="I2866" s="14"/>
      <c r="J2866" s="14"/>
      <c r="K2866" s="14"/>
      <c r="L2866" s="14"/>
      <c r="M2866" s="15"/>
      <c r="N2866" s="10"/>
      <c r="O2866" s="14"/>
      <c r="P2866" s="14"/>
      <c r="Q2866" s="14"/>
      <c r="R2866" s="14"/>
      <c r="S2866" s="14"/>
      <c r="T2866" s="14"/>
      <c r="U2866" s="14"/>
      <c r="V2866" s="14"/>
      <c r="W2866" s="14"/>
      <c r="X2866" s="14"/>
      <c r="Y2866" s="14"/>
      <c r="Z2866" s="14"/>
      <c r="AA2866" s="16"/>
      <c r="AB2866" s="10"/>
      <c r="AC2866" s="10"/>
      <c r="AD2866" s="10"/>
      <c r="AE2866" s="10"/>
      <c r="AF2866" s="10"/>
      <c r="AG2866" s="10"/>
      <c r="AH2866" s="10"/>
      <c r="AI2866" s="10"/>
      <c r="AJ2866" s="10"/>
      <c r="AK2866" s="10"/>
      <c r="AL2866" s="10"/>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c r="BI2866" s="10"/>
      <c r="BJ2866" s="10"/>
      <c r="BK2866" s="10"/>
      <c r="BM2866" s="10"/>
    </row>
    <row r="2867" spans="1:65" ht="12.75">
      <c r="A2867" s="9"/>
      <c r="B2867" s="10"/>
      <c r="C2867" s="11"/>
      <c r="D2867" s="12"/>
      <c r="E2867" s="10"/>
      <c r="F2867" s="10"/>
      <c r="G2867" s="10"/>
      <c r="H2867" s="14"/>
      <c r="I2867" s="14"/>
      <c r="J2867" s="14"/>
      <c r="K2867" s="14"/>
      <c r="L2867" s="14"/>
      <c r="M2867" s="15"/>
      <c r="N2867" s="10"/>
      <c r="O2867" s="14"/>
      <c r="P2867" s="14"/>
      <c r="Q2867" s="14"/>
      <c r="R2867" s="14"/>
      <c r="S2867" s="14"/>
      <c r="T2867" s="14"/>
      <c r="U2867" s="14"/>
      <c r="V2867" s="14"/>
      <c r="W2867" s="14"/>
      <c r="X2867" s="14"/>
      <c r="Y2867" s="14"/>
      <c r="Z2867" s="14"/>
      <c r="AA2867" s="16"/>
      <c r="AB2867" s="10"/>
      <c r="AC2867" s="10"/>
      <c r="AD2867" s="10"/>
      <c r="AE2867" s="10"/>
      <c r="AF2867" s="10"/>
      <c r="AG2867" s="10"/>
      <c r="AH2867" s="10"/>
      <c r="AI2867" s="10"/>
      <c r="AJ2867" s="10"/>
      <c r="AK2867" s="10"/>
      <c r="AL2867" s="1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10"/>
      <c r="BK2867" s="10"/>
      <c r="BM2867" s="10"/>
    </row>
    <row r="2868" spans="1:65" ht="12.75">
      <c r="A2868" s="9"/>
      <c r="B2868" s="10"/>
      <c r="C2868" s="11"/>
      <c r="D2868" s="12"/>
      <c r="E2868" s="10"/>
      <c r="F2868" s="10"/>
      <c r="G2868" s="10"/>
      <c r="H2868" s="14"/>
      <c r="I2868" s="14"/>
      <c r="J2868" s="14"/>
      <c r="K2868" s="14"/>
      <c r="L2868" s="14"/>
      <c r="M2868" s="15"/>
      <c r="N2868" s="10"/>
      <c r="O2868" s="14"/>
      <c r="P2868" s="14"/>
      <c r="Q2868" s="14"/>
      <c r="R2868" s="14"/>
      <c r="S2868" s="14"/>
      <c r="T2868" s="14"/>
      <c r="U2868" s="14"/>
      <c r="V2868" s="14"/>
      <c r="W2868" s="14"/>
      <c r="X2868" s="14"/>
      <c r="Y2868" s="14"/>
      <c r="Z2868" s="14"/>
      <c r="AA2868" s="16"/>
      <c r="AB2868" s="10"/>
      <c r="AC2868" s="10"/>
      <c r="AD2868" s="10"/>
      <c r="AE2868" s="10"/>
      <c r="AF2868" s="10"/>
      <c r="AG2868" s="10"/>
      <c r="AH2868" s="10"/>
      <c r="AI2868" s="10"/>
      <c r="AJ2868" s="10"/>
      <c r="AK2868" s="10"/>
      <c r="AL2868" s="10"/>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0"/>
      <c r="BM2868" s="10"/>
    </row>
    <row r="2869" spans="1:65" ht="12.75">
      <c r="A2869" s="9"/>
      <c r="B2869" s="10"/>
      <c r="C2869" s="11"/>
      <c r="D2869" s="12"/>
      <c r="E2869" s="10"/>
      <c r="F2869" s="10"/>
      <c r="G2869" s="10"/>
      <c r="H2869" s="14"/>
      <c r="I2869" s="14"/>
      <c r="J2869" s="14"/>
      <c r="K2869" s="14"/>
      <c r="L2869" s="14"/>
      <c r="M2869" s="15"/>
      <c r="N2869" s="10"/>
      <c r="O2869" s="14"/>
      <c r="P2869" s="14"/>
      <c r="Q2869" s="14"/>
      <c r="R2869" s="14"/>
      <c r="S2869" s="14"/>
      <c r="T2869" s="14"/>
      <c r="U2869" s="14"/>
      <c r="V2869" s="14"/>
      <c r="W2869" s="14"/>
      <c r="X2869" s="14"/>
      <c r="Y2869" s="14"/>
      <c r="Z2869" s="14"/>
      <c r="AA2869" s="16"/>
      <c r="AB2869" s="10"/>
      <c r="AC2869" s="10"/>
      <c r="AD2869" s="10"/>
      <c r="AE2869" s="10"/>
      <c r="AF2869" s="10"/>
      <c r="AG2869" s="10"/>
      <c r="AH2869" s="10"/>
      <c r="AI2869" s="10"/>
      <c r="AJ2869" s="10"/>
      <c r="AK2869" s="10"/>
      <c r="AL2869" s="10"/>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10"/>
      <c r="BK2869" s="10"/>
      <c r="BM2869" s="10"/>
    </row>
    <row r="2870" spans="1:65" ht="12.75">
      <c r="A2870" s="9"/>
      <c r="B2870" s="10"/>
      <c r="C2870" s="11"/>
      <c r="D2870" s="12"/>
      <c r="E2870" s="10"/>
      <c r="F2870" s="10"/>
      <c r="G2870" s="10"/>
      <c r="H2870" s="14"/>
      <c r="I2870" s="14"/>
      <c r="J2870" s="14"/>
      <c r="K2870" s="14"/>
      <c r="L2870" s="14"/>
      <c r="M2870" s="15"/>
      <c r="N2870" s="10"/>
      <c r="O2870" s="14"/>
      <c r="P2870" s="14"/>
      <c r="Q2870" s="14"/>
      <c r="R2870" s="14"/>
      <c r="S2870" s="14"/>
      <c r="T2870" s="14"/>
      <c r="U2870" s="14"/>
      <c r="V2870" s="14"/>
      <c r="W2870" s="14"/>
      <c r="X2870" s="14"/>
      <c r="Y2870" s="14"/>
      <c r="Z2870" s="14"/>
      <c r="AA2870" s="16"/>
      <c r="AB2870" s="10"/>
      <c r="AC2870" s="10"/>
      <c r="AD2870" s="10"/>
      <c r="AE2870" s="10"/>
      <c r="AF2870" s="10"/>
      <c r="AG2870" s="10"/>
      <c r="AH2870" s="10"/>
      <c r="AI2870" s="10"/>
      <c r="AJ2870" s="10"/>
      <c r="AK2870" s="10"/>
      <c r="AL2870" s="10"/>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10"/>
      <c r="BK2870" s="10"/>
      <c r="BM2870" s="10"/>
    </row>
    <row r="2871" spans="1:65" ht="12.75">
      <c r="A2871" s="9"/>
      <c r="B2871" s="10"/>
      <c r="C2871" s="11"/>
      <c r="D2871" s="12"/>
      <c r="E2871" s="10"/>
      <c r="F2871" s="10"/>
      <c r="G2871" s="10"/>
      <c r="H2871" s="14"/>
      <c r="I2871" s="14"/>
      <c r="J2871" s="14"/>
      <c r="K2871" s="14"/>
      <c r="L2871" s="14"/>
      <c r="M2871" s="15"/>
      <c r="N2871" s="10"/>
      <c r="O2871" s="14"/>
      <c r="P2871" s="14"/>
      <c r="Q2871" s="14"/>
      <c r="R2871" s="14"/>
      <c r="S2871" s="14"/>
      <c r="T2871" s="14"/>
      <c r="U2871" s="14"/>
      <c r="V2871" s="14"/>
      <c r="W2871" s="14"/>
      <c r="X2871" s="14"/>
      <c r="Y2871" s="14"/>
      <c r="Z2871" s="14"/>
      <c r="AA2871" s="16"/>
      <c r="AB2871" s="10"/>
      <c r="AC2871" s="10"/>
      <c r="AD2871" s="10"/>
      <c r="AE2871" s="10"/>
      <c r="AF2871" s="10"/>
      <c r="AG2871" s="10"/>
      <c r="AH2871" s="10"/>
      <c r="AI2871" s="10"/>
      <c r="AJ2871" s="10"/>
      <c r="AK2871" s="10"/>
      <c r="AL2871" s="10"/>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c r="BI2871" s="10"/>
      <c r="BJ2871" s="10"/>
      <c r="BK2871" s="10"/>
      <c r="BM2871" s="10"/>
    </row>
    <row r="2872" spans="1:65" ht="12.75">
      <c r="A2872" s="9"/>
      <c r="B2872" s="10"/>
      <c r="C2872" s="11"/>
      <c r="D2872" s="12"/>
      <c r="E2872" s="10"/>
      <c r="F2872" s="10"/>
      <c r="G2872" s="10"/>
      <c r="H2872" s="14"/>
      <c r="I2872" s="14"/>
      <c r="J2872" s="14"/>
      <c r="K2872" s="14"/>
      <c r="L2872" s="14"/>
      <c r="M2872" s="15"/>
      <c r="N2872" s="10"/>
      <c r="O2872" s="14"/>
      <c r="P2872" s="14"/>
      <c r="Q2872" s="14"/>
      <c r="R2872" s="14"/>
      <c r="S2872" s="14"/>
      <c r="T2872" s="14"/>
      <c r="U2872" s="14"/>
      <c r="V2872" s="14"/>
      <c r="W2872" s="14"/>
      <c r="X2872" s="14"/>
      <c r="Y2872" s="14"/>
      <c r="Z2872" s="14"/>
      <c r="AA2872" s="16"/>
      <c r="AB2872" s="10"/>
      <c r="AC2872" s="10"/>
      <c r="AD2872" s="10"/>
      <c r="AE2872" s="10"/>
      <c r="AF2872" s="10"/>
      <c r="AG2872" s="10"/>
      <c r="AH2872" s="10"/>
      <c r="AI2872" s="10"/>
      <c r="AJ2872" s="10"/>
      <c r="AK2872" s="10"/>
      <c r="AL2872" s="10"/>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c r="BI2872" s="10"/>
      <c r="BJ2872" s="10"/>
      <c r="BK2872" s="10"/>
      <c r="BM2872" s="10"/>
    </row>
    <row r="2873" spans="1:65" ht="12.75">
      <c r="A2873" s="9"/>
      <c r="B2873" s="10"/>
      <c r="C2873" s="11"/>
      <c r="D2873" s="12"/>
      <c r="E2873" s="10"/>
      <c r="F2873" s="10"/>
      <c r="G2873" s="10"/>
      <c r="H2873" s="14"/>
      <c r="I2873" s="14"/>
      <c r="J2873" s="14"/>
      <c r="K2873" s="14"/>
      <c r="L2873" s="14"/>
      <c r="M2873" s="15"/>
      <c r="N2873" s="10"/>
      <c r="O2873" s="14"/>
      <c r="P2873" s="14"/>
      <c r="Q2873" s="14"/>
      <c r="R2873" s="14"/>
      <c r="S2873" s="14"/>
      <c r="T2873" s="14"/>
      <c r="U2873" s="14"/>
      <c r="V2873" s="14"/>
      <c r="W2873" s="14"/>
      <c r="X2873" s="14"/>
      <c r="Y2873" s="14"/>
      <c r="Z2873" s="14"/>
      <c r="AA2873" s="16"/>
      <c r="AB2873" s="10"/>
      <c r="AC2873" s="10"/>
      <c r="AD2873" s="10"/>
      <c r="AE2873" s="10"/>
      <c r="AF2873" s="10"/>
      <c r="AG2873" s="10"/>
      <c r="AH2873" s="10"/>
      <c r="AI2873" s="10"/>
      <c r="AJ2873" s="10"/>
      <c r="AK2873" s="10"/>
      <c r="AL2873" s="10"/>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10"/>
      <c r="BK2873" s="10"/>
      <c r="BM2873" s="10"/>
    </row>
    <row r="2874" spans="1:65" ht="12.75">
      <c r="A2874" s="9"/>
      <c r="B2874" s="10"/>
      <c r="C2874" s="11"/>
      <c r="D2874" s="12"/>
      <c r="E2874" s="10"/>
      <c r="F2874" s="10"/>
      <c r="G2874" s="10"/>
      <c r="H2874" s="14"/>
      <c r="I2874" s="14"/>
      <c r="J2874" s="14"/>
      <c r="K2874" s="14"/>
      <c r="L2874" s="14"/>
      <c r="M2874" s="15"/>
      <c r="N2874" s="10"/>
      <c r="O2874" s="14"/>
      <c r="P2874" s="14"/>
      <c r="Q2874" s="14"/>
      <c r="R2874" s="14"/>
      <c r="S2874" s="14"/>
      <c r="T2874" s="14"/>
      <c r="U2874" s="14"/>
      <c r="V2874" s="14"/>
      <c r="W2874" s="14"/>
      <c r="X2874" s="14"/>
      <c r="Y2874" s="14"/>
      <c r="Z2874" s="14"/>
      <c r="AA2874" s="16"/>
      <c r="AB2874" s="10"/>
      <c r="AC2874" s="10"/>
      <c r="AD2874" s="10"/>
      <c r="AE2874" s="10"/>
      <c r="AF2874" s="10"/>
      <c r="AG2874" s="10"/>
      <c r="AH2874" s="10"/>
      <c r="AI2874" s="10"/>
      <c r="AJ2874" s="10"/>
      <c r="AK2874" s="10"/>
      <c r="AL2874" s="10"/>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c r="BI2874" s="10"/>
      <c r="BJ2874" s="10"/>
      <c r="BK2874" s="10"/>
      <c r="BM2874" s="10"/>
    </row>
    <row r="2875" spans="1:65" ht="12.75">
      <c r="A2875" s="9"/>
      <c r="B2875" s="10"/>
      <c r="C2875" s="11"/>
      <c r="D2875" s="12"/>
      <c r="E2875" s="10"/>
      <c r="F2875" s="10"/>
      <c r="G2875" s="10"/>
      <c r="H2875" s="14"/>
      <c r="I2875" s="14"/>
      <c r="J2875" s="14"/>
      <c r="K2875" s="14"/>
      <c r="L2875" s="14"/>
      <c r="M2875" s="15"/>
      <c r="N2875" s="10"/>
      <c r="O2875" s="14"/>
      <c r="P2875" s="14"/>
      <c r="Q2875" s="14"/>
      <c r="R2875" s="14"/>
      <c r="S2875" s="14"/>
      <c r="T2875" s="14"/>
      <c r="U2875" s="14"/>
      <c r="V2875" s="14"/>
      <c r="W2875" s="14"/>
      <c r="X2875" s="14"/>
      <c r="Y2875" s="14"/>
      <c r="Z2875" s="14"/>
      <c r="AA2875" s="16"/>
      <c r="AB2875" s="10"/>
      <c r="AC2875" s="10"/>
      <c r="AD2875" s="10"/>
      <c r="AE2875" s="10"/>
      <c r="AF2875" s="10"/>
      <c r="AG2875" s="10"/>
      <c r="AH2875" s="10"/>
      <c r="AI2875" s="10"/>
      <c r="AJ2875" s="10"/>
      <c r="AK2875" s="10"/>
      <c r="AL2875" s="10"/>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c r="BI2875" s="10"/>
      <c r="BJ2875" s="10"/>
      <c r="BK2875" s="10"/>
      <c r="BM2875" s="10"/>
    </row>
    <row r="2876" spans="1:65" ht="12.75">
      <c r="A2876" s="9"/>
      <c r="B2876" s="10"/>
      <c r="C2876" s="11"/>
      <c r="D2876" s="12"/>
      <c r="E2876" s="10"/>
      <c r="F2876" s="10"/>
      <c r="G2876" s="10"/>
      <c r="H2876" s="14"/>
      <c r="I2876" s="14"/>
      <c r="J2876" s="14"/>
      <c r="K2876" s="14"/>
      <c r="L2876" s="14"/>
      <c r="M2876" s="15"/>
      <c r="N2876" s="10"/>
      <c r="O2876" s="14"/>
      <c r="P2876" s="14"/>
      <c r="Q2876" s="14"/>
      <c r="R2876" s="14"/>
      <c r="S2876" s="14"/>
      <c r="T2876" s="14"/>
      <c r="U2876" s="14"/>
      <c r="V2876" s="14"/>
      <c r="W2876" s="14"/>
      <c r="X2876" s="14"/>
      <c r="Y2876" s="14"/>
      <c r="Z2876" s="14"/>
      <c r="AA2876" s="16"/>
      <c r="AB2876" s="10"/>
      <c r="AC2876" s="10"/>
      <c r="AD2876" s="10"/>
      <c r="AE2876" s="10"/>
      <c r="AF2876" s="10"/>
      <c r="AG2876" s="10"/>
      <c r="AH2876" s="10"/>
      <c r="AI2876" s="10"/>
      <c r="AJ2876" s="10"/>
      <c r="AK2876" s="10"/>
      <c r="AL2876" s="10"/>
      <c r="AM2876" s="10"/>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10"/>
      <c r="BK2876" s="10"/>
      <c r="BM2876" s="10"/>
    </row>
    <row r="2877" spans="1:65" ht="12.75">
      <c r="A2877" s="9"/>
      <c r="B2877" s="10"/>
      <c r="C2877" s="11"/>
      <c r="D2877" s="12"/>
      <c r="E2877" s="10"/>
      <c r="F2877" s="10"/>
      <c r="G2877" s="10"/>
      <c r="H2877" s="14"/>
      <c r="I2877" s="14"/>
      <c r="J2877" s="14"/>
      <c r="K2877" s="14"/>
      <c r="L2877" s="14"/>
      <c r="M2877" s="15"/>
      <c r="N2877" s="10"/>
      <c r="O2877" s="14"/>
      <c r="P2877" s="14"/>
      <c r="Q2877" s="14"/>
      <c r="R2877" s="14"/>
      <c r="S2877" s="14"/>
      <c r="T2877" s="14"/>
      <c r="U2877" s="14"/>
      <c r="V2877" s="14"/>
      <c r="W2877" s="14"/>
      <c r="X2877" s="14"/>
      <c r="Y2877" s="14"/>
      <c r="Z2877" s="14"/>
      <c r="AA2877" s="16"/>
      <c r="AB2877" s="10"/>
      <c r="AC2877" s="10"/>
      <c r="AD2877" s="10"/>
      <c r="AE2877" s="10"/>
      <c r="AF2877" s="10"/>
      <c r="AG2877" s="10"/>
      <c r="AH2877" s="10"/>
      <c r="AI2877" s="10"/>
      <c r="AJ2877" s="10"/>
      <c r="AK2877" s="10"/>
      <c r="AL2877" s="1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0"/>
      <c r="BM2877" s="10"/>
    </row>
    <row r="2878" spans="1:65" ht="12.75">
      <c r="A2878" s="9"/>
      <c r="B2878" s="10"/>
      <c r="C2878" s="11"/>
      <c r="D2878" s="12"/>
      <c r="E2878" s="10"/>
      <c r="F2878" s="10"/>
      <c r="G2878" s="10"/>
      <c r="H2878" s="14"/>
      <c r="I2878" s="14"/>
      <c r="J2878" s="14"/>
      <c r="K2878" s="14"/>
      <c r="L2878" s="14"/>
      <c r="M2878" s="15"/>
      <c r="N2878" s="10"/>
      <c r="O2878" s="14"/>
      <c r="P2878" s="14"/>
      <c r="Q2878" s="14"/>
      <c r="R2878" s="14"/>
      <c r="S2878" s="14"/>
      <c r="T2878" s="14"/>
      <c r="U2878" s="14"/>
      <c r="V2878" s="14"/>
      <c r="W2878" s="14"/>
      <c r="X2878" s="14"/>
      <c r="Y2878" s="14"/>
      <c r="Z2878" s="14"/>
      <c r="AA2878" s="16"/>
      <c r="AB2878" s="10"/>
      <c r="AC2878" s="10"/>
      <c r="AD2878" s="10"/>
      <c r="AE2878" s="10"/>
      <c r="AF2878" s="10"/>
      <c r="AG2878" s="10"/>
      <c r="AH2878" s="10"/>
      <c r="AI2878" s="10"/>
      <c r="AJ2878" s="10"/>
      <c r="AK2878" s="10"/>
      <c r="AL2878" s="10"/>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10"/>
      <c r="BJ2878" s="10"/>
      <c r="BK2878" s="10"/>
      <c r="BM2878" s="10"/>
    </row>
    <row r="2879" spans="1:65" ht="12.75">
      <c r="A2879" s="9"/>
      <c r="B2879" s="10"/>
      <c r="C2879" s="11"/>
      <c r="D2879" s="12"/>
      <c r="E2879" s="10"/>
      <c r="F2879" s="10"/>
      <c r="G2879" s="10"/>
      <c r="H2879" s="14"/>
      <c r="I2879" s="14"/>
      <c r="J2879" s="14"/>
      <c r="K2879" s="14"/>
      <c r="L2879" s="14"/>
      <c r="M2879" s="15"/>
      <c r="N2879" s="10"/>
      <c r="O2879" s="14"/>
      <c r="P2879" s="14"/>
      <c r="Q2879" s="14"/>
      <c r="R2879" s="14"/>
      <c r="S2879" s="14"/>
      <c r="T2879" s="14"/>
      <c r="U2879" s="14"/>
      <c r="V2879" s="14"/>
      <c r="W2879" s="14"/>
      <c r="X2879" s="14"/>
      <c r="Y2879" s="14"/>
      <c r="Z2879" s="14"/>
      <c r="AA2879" s="16"/>
      <c r="AB2879" s="10"/>
      <c r="AC2879" s="10"/>
      <c r="AD2879" s="10"/>
      <c r="AE2879" s="10"/>
      <c r="AF2879" s="10"/>
      <c r="AG2879" s="10"/>
      <c r="AH2879" s="10"/>
      <c r="AI2879" s="10"/>
      <c r="AJ2879" s="10"/>
      <c r="AK2879" s="10"/>
      <c r="AL2879" s="10"/>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10"/>
      <c r="BJ2879" s="10"/>
      <c r="BK2879" s="10"/>
      <c r="BM2879" s="10"/>
    </row>
    <row r="2880" spans="1:65" ht="12.75">
      <c r="A2880" s="9"/>
      <c r="B2880" s="10"/>
      <c r="C2880" s="11"/>
      <c r="D2880" s="12"/>
      <c r="E2880" s="10"/>
      <c r="F2880" s="10"/>
      <c r="G2880" s="10"/>
      <c r="H2880" s="14"/>
      <c r="I2880" s="14"/>
      <c r="J2880" s="14"/>
      <c r="K2880" s="14"/>
      <c r="L2880" s="14"/>
      <c r="M2880" s="15"/>
      <c r="N2880" s="10"/>
      <c r="O2880" s="14"/>
      <c r="P2880" s="14"/>
      <c r="Q2880" s="14"/>
      <c r="R2880" s="14"/>
      <c r="S2880" s="14"/>
      <c r="T2880" s="14"/>
      <c r="U2880" s="14"/>
      <c r="V2880" s="14"/>
      <c r="W2880" s="14"/>
      <c r="X2880" s="14"/>
      <c r="Y2880" s="14"/>
      <c r="Z2880" s="14"/>
      <c r="AA2880" s="16"/>
      <c r="AB2880" s="10"/>
      <c r="AC2880" s="10"/>
      <c r="AD2880" s="10"/>
      <c r="AE2880" s="10"/>
      <c r="AF2880" s="10"/>
      <c r="AG2880" s="10"/>
      <c r="AH2880" s="10"/>
      <c r="AI2880" s="10"/>
      <c r="AJ2880" s="10"/>
      <c r="AK2880" s="10"/>
      <c r="AL2880" s="10"/>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10"/>
      <c r="BJ2880" s="10"/>
      <c r="BK2880" s="10"/>
      <c r="BM2880" s="10"/>
    </row>
    <row r="2881" spans="1:65" ht="12.75">
      <c r="A2881" s="9"/>
      <c r="B2881" s="10"/>
      <c r="C2881" s="11"/>
      <c r="D2881" s="12"/>
      <c r="E2881" s="10"/>
      <c r="F2881" s="10"/>
      <c r="G2881" s="10"/>
      <c r="H2881" s="14"/>
      <c r="I2881" s="14"/>
      <c r="J2881" s="14"/>
      <c r="K2881" s="14"/>
      <c r="L2881" s="14"/>
      <c r="M2881" s="15"/>
      <c r="N2881" s="10"/>
      <c r="O2881" s="14"/>
      <c r="P2881" s="14"/>
      <c r="Q2881" s="14"/>
      <c r="R2881" s="14"/>
      <c r="S2881" s="14"/>
      <c r="T2881" s="14"/>
      <c r="U2881" s="14"/>
      <c r="V2881" s="14"/>
      <c r="W2881" s="14"/>
      <c r="X2881" s="14"/>
      <c r="Y2881" s="14"/>
      <c r="Z2881" s="14"/>
      <c r="AA2881" s="16"/>
      <c r="AB2881" s="10"/>
      <c r="AC2881" s="10"/>
      <c r="AD2881" s="10"/>
      <c r="AE2881" s="10"/>
      <c r="AF2881" s="10"/>
      <c r="AG2881" s="10"/>
      <c r="AH2881" s="10"/>
      <c r="AI2881" s="10"/>
      <c r="AJ2881" s="10"/>
      <c r="AK2881" s="10"/>
      <c r="AL2881" s="10"/>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10"/>
      <c r="BK2881" s="10"/>
      <c r="BM2881" s="10"/>
    </row>
    <row r="2882" spans="1:65" ht="12.75">
      <c r="A2882" s="9"/>
      <c r="B2882" s="10"/>
      <c r="C2882" s="11"/>
      <c r="D2882" s="12"/>
      <c r="E2882" s="10"/>
      <c r="F2882" s="10"/>
      <c r="G2882" s="10"/>
      <c r="H2882" s="14"/>
      <c r="I2882" s="14"/>
      <c r="J2882" s="14"/>
      <c r="K2882" s="14"/>
      <c r="L2882" s="14"/>
      <c r="M2882" s="15"/>
      <c r="N2882" s="10"/>
      <c r="O2882" s="14"/>
      <c r="P2882" s="14"/>
      <c r="Q2882" s="14"/>
      <c r="R2882" s="14"/>
      <c r="S2882" s="14"/>
      <c r="T2882" s="14"/>
      <c r="U2882" s="14"/>
      <c r="V2882" s="14"/>
      <c r="W2882" s="14"/>
      <c r="X2882" s="14"/>
      <c r="Y2882" s="14"/>
      <c r="Z2882" s="14"/>
      <c r="AA2882" s="16"/>
      <c r="AB2882" s="10"/>
      <c r="AC2882" s="10"/>
      <c r="AD2882" s="10"/>
      <c r="AE2882" s="10"/>
      <c r="AF2882" s="10"/>
      <c r="AG2882" s="10"/>
      <c r="AH2882" s="10"/>
      <c r="AI2882" s="10"/>
      <c r="AJ2882" s="10"/>
      <c r="AK2882" s="10"/>
      <c r="AL2882" s="1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M2882" s="10"/>
    </row>
    <row r="2883" spans="1:65" ht="12.75">
      <c r="A2883" s="9"/>
      <c r="B2883" s="10"/>
      <c r="C2883" s="11"/>
      <c r="D2883" s="12"/>
      <c r="E2883" s="10"/>
      <c r="F2883" s="10"/>
      <c r="G2883" s="10"/>
      <c r="H2883" s="14"/>
      <c r="I2883" s="14"/>
      <c r="J2883" s="14"/>
      <c r="K2883" s="14"/>
      <c r="L2883" s="14"/>
      <c r="M2883" s="15"/>
      <c r="N2883" s="10"/>
      <c r="O2883" s="14"/>
      <c r="P2883" s="14"/>
      <c r="Q2883" s="14"/>
      <c r="R2883" s="14"/>
      <c r="S2883" s="14"/>
      <c r="T2883" s="14"/>
      <c r="U2883" s="14"/>
      <c r="V2883" s="14"/>
      <c r="W2883" s="14"/>
      <c r="X2883" s="14"/>
      <c r="Y2883" s="14"/>
      <c r="Z2883" s="14"/>
      <c r="AA2883" s="16"/>
      <c r="AB2883" s="10"/>
      <c r="AC2883" s="10"/>
      <c r="AD2883" s="10"/>
      <c r="AE2883" s="10"/>
      <c r="AF2883" s="10"/>
      <c r="AG2883" s="10"/>
      <c r="AH2883" s="10"/>
      <c r="AI2883" s="10"/>
      <c r="AJ2883" s="10"/>
      <c r="AK2883" s="10"/>
      <c r="AL2883" s="10"/>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10"/>
      <c r="BK2883" s="10"/>
      <c r="BM2883" s="10"/>
    </row>
    <row r="2884" spans="1:65" ht="12.75">
      <c r="A2884" s="9"/>
      <c r="B2884" s="10"/>
      <c r="C2884" s="11"/>
      <c r="D2884" s="12"/>
      <c r="E2884" s="10"/>
      <c r="F2884" s="10"/>
      <c r="G2884" s="10"/>
      <c r="H2884" s="14"/>
      <c r="I2884" s="14"/>
      <c r="J2884" s="14"/>
      <c r="K2884" s="14"/>
      <c r="L2884" s="14"/>
      <c r="M2884" s="15"/>
      <c r="N2884" s="10"/>
      <c r="O2884" s="14"/>
      <c r="P2884" s="14"/>
      <c r="Q2884" s="14"/>
      <c r="R2884" s="14"/>
      <c r="S2884" s="14"/>
      <c r="T2884" s="14"/>
      <c r="U2884" s="14"/>
      <c r="V2884" s="14"/>
      <c r="W2884" s="14"/>
      <c r="X2884" s="14"/>
      <c r="Y2884" s="14"/>
      <c r="Z2884" s="14"/>
      <c r="AA2884" s="16"/>
      <c r="AB2884" s="10"/>
      <c r="AC2884" s="10"/>
      <c r="AD2884" s="10"/>
      <c r="AE2884" s="10"/>
      <c r="AF2884" s="10"/>
      <c r="AG2884" s="10"/>
      <c r="AH2884" s="10"/>
      <c r="AI2884" s="10"/>
      <c r="AJ2884" s="10"/>
      <c r="AK2884" s="10"/>
      <c r="AL2884" s="10"/>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10"/>
      <c r="BK2884" s="10"/>
      <c r="BM2884" s="10"/>
    </row>
    <row r="2885" spans="1:65" ht="12.75">
      <c r="A2885" s="9"/>
      <c r="B2885" s="10"/>
      <c r="C2885" s="11"/>
      <c r="D2885" s="12"/>
      <c r="E2885" s="10"/>
      <c r="F2885" s="10"/>
      <c r="G2885" s="10"/>
      <c r="H2885" s="14"/>
      <c r="I2885" s="14"/>
      <c r="J2885" s="14"/>
      <c r="K2885" s="14"/>
      <c r="L2885" s="14"/>
      <c r="M2885" s="15"/>
      <c r="N2885" s="10"/>
      <c r="O2885" s="14"/>
      <c r="P2885" s="14"/>
      <c r="Q2885" s="14"/>
      <c r="R2885" s="14"/>
      <c r="S2885" s="14"/>
      <c r="T2885" s="14"/>
      <c r="U2885" s="14"/>
      <c r="V2885" s="14"/>
      <c r="W2885" s="14"/>
      <c r="X2885" s="14"/>
      <c r="Y2885" s="14"/>
      <c r="Z2885" s="14"/>
      <c r="AA2885" s="16"/>
      <c r="AB2885" s="10"/>
      <c r="AC2885" s="10"/>
      <c r="AD2885" s="10"/>
      <c r="AE2885" s="10"/>
      <c r="AF2885" s="10"/>
      <c r="AG2885" s="10"/>
      <c r="AH2885" s="10"/>
      <c r="AI2885" s="10"/>
      <c r="AJ2885" s="10"/>
      <c r="AK2885" s="10"/>
      <c r="AL2885" s="10"/>
      <c r="AM2885" s="10"/>
      <c r="AN2885" s="10"/>
      <c r="AO2885" s="10"/>
      <c r="AP2885" s="10"/>
      <c r="AQ2885" s="10"/>
      <c r="AR2885" s="10"/>
      <c r="AS2885" s="10"/>
      <c r="AT2885" s="10"/>
      <c r="AU2885" s="10"/>
      <c r="AV2885" s="10"/>
      <c r="AW2885" s="10"/>
      <c r="AX2885" s="10"/>
      <c r="AY2885" s="10"/>
      <c r="AZ2885" s="10"/>
      <c r="BA2885" s="10"/>
      <c r="BB2885" s="10"/>
      <c r="BC2885" s="10"/>
      <c r="BD2885" s="10"/>
      <c r="BE2885" s="10"/>
      <c r="BF2885" s="10"/>
      <c r="BG2885" s="10"/>
      <c r="BH2885" s="10"/>
      <c r="BI2885" s="10"/>
      <c r="BJ2885" s="10"/>
      <c r="BK2885" s="10"/>
      <c r="BM2885" s="10"/>
    </row>
    <row r="2886" spans="1:65" ht="12.75">
      <c r="A2886" s="9"/>
      <c r="B2886" s="10"/>
      <c r="C2886" s="11"/>
      <c r="D2886" s="12"/>
      <c r="E2886" s="10"/>
      <c r="F2886" s="10"/>
      <c r="G2886" s="10"/>
      <c r="H2886" s="14"/>
      <c r="I2886" s="14"/>
      <c r="J2886" s="14"/>
      <c r="K2886" s="14"/>
      <c r="L2886" s="14"/>
      <c r="M2886" s="15"/>
      <c r="N2886" s="10"/>
      <c r="O2886" s="14"/>
      <c r="P2886" s="14"/>
      <c r="Q2886" s="14"/>
      <c r="R2886" s="14"/>
      <c r="S2886" s="14"/>
      <c r="T2886" s="14"/>
      <c r="U2886" s="14"/>
      <c r="V2886" s="14"/>
      <c r="W2886" s="14"/>
      <c r="X2886" s="14"/>
      <c r="Y2886" s="14"/>
      <c r="Z2886" s="14"/>
      <c r="AA2886" s="16"/>
      <c r="AB2886" s="10"/>
      <c r="AC2886" s="10"/>
      <c r="AD2886" s="10"/>
      <c r="AE2886" s="10"/>
      <c r="AF2886" s="10"/>
      <c r="AG2886" s="10"/>
      <c r="AH2886" s="10"/>
      <c r="AI2886" s="10"/>
      <c r="AJ2886" s="10"/>
      <c r="AK2886" s="10"/>
      <c r="AL2886" s="10"/>
      <c r="AM2886" s="10"/>
      <c r="AN2886" s="10"/>
      <c r="AO2886" s="10"/>
      <c r="AP2886" s="10"/>
      <c r="AQ2886" s="10"/>
      <c r="AR2886" s="10"/>
      <c r="AS2886" s="10"/>
      <c r="AT2886" s="10"/>
      <c r="AU2886" s="10"/>
      <c r="AV2886" s="10"/>
      <c r="AW2886" s="10"/>
      <c r="AX2886" s="10"/>
      <c r="AY2886" s="10"/>
      <c r="AZ2886" s="10"/>
      <c r="BA2886" s="10"/>
      <c r="BB2886" s="10"/>
      <c r="BC2886" s="10"/>
      <c r="BD2886" s="10"/>
      <c r="BE2886" s="10"/>
      <c r="BF2886" s="10"/>
      <c r="BG2886" s="10"/>
      <c r="BH2886" s="10"/>
      <c r="BI2886" s="10"/>
      <c r="BJ2886" s="10"/>
      <c r="BK2886" s="10"/>
      <c r="BM2886" s="10"/>
    </row>
    <row r="2887" spans="1:65" ht="12.75">
      <c r="A2887" s="9"/>
      <c r="B2887" s="10"/>
      <c r="C2887" s="11"/>
      <c r="D2887" s="12"/>
      <c r="E2887" s="10"/>
      <c r="F2887" s="10"/>
      <c r="G2887" s="10"/>
      <c r="H2887" s="14"/>
      <c r="I2887" s="14"/>
      <c r="J2887" s="14"/>
      <c r="K2887" s="14"/>
      <c r="L2887" s="14"/>
      <c r="M2887" s="15"/>
      <c r="N2887" s="10"/>
      <c r="O2887" s="14"/>
      <c r="P2887" s="14"/>
      <c r="Q2887" s="14"/>
      <c r="R2887" s="14"/>
      <c r="S2887" s="14"/>
      <c r="T2887" s="14"/>
      <c r="U2887" s="14"/>
      <c r="V2887" s="14"/>
      <c r="W2887" s="14"/>
      <c r="X2887" s="14"/>
      <c r="Y2887" s="14"/>
      <c r="Z2887" s="14"/>
      <c r="AA2887" s="16"/>
      <c r="AB2887" s="10"/>
      <c r="AC2887" s="10"/>
      <c r="AD2887" s="10"/>
      <c r="AE2887" s="10"/>
      <c r="AF2887" s="10"/>
      <c r="AG2887" s="10"/>
      <c r="AH2887" s="10"/>
      <c r="AI2887" s="10"/>
      <c r="AJ2887" s="10"/>
      <c r="AK2887" s="10"/>
      <c r="AL2887" s="10"/>
      <c r="AM2887" s="10"/>
      <c r="AN2887" s="10"/>
      <c r="AO2887" s="10"/>
      <c r="AP2887" s="10"/>
      <c r="AQ2887" s="10"/>
      <c r="AR2887" s="10"/>
      <c r="AS2887" s="10"/>
      <c r="AT2887" s="10"/>
      <c r="AU2887" s="10"/>
      <c r="AV2887" s="10"/>
      <c r="AW2887" s="10"/>
      <c r="AX2887" s="10"/>
      <c r="AY2887" s="10"/>
      <c r="AZ2887" s="10"/>
      <c r="BA2887" s="10"/>
      <c r="BB2887" s="10"/>
      <c r="BC2887" s="10"/>
      <c r="BD2887" s="10"/>
      <c r="BE2887" s="10"/>
      <c r="BF2887" s="10"/>
      <c r="BG2887" s="10"/>
      <c r="BH2887" s="10"/>
      <c r="BI2887" s="10"/>
      <c r="BJ2887" s="10"/>
      <c r="BK2887" s="10"/>
      <c r="BM2887" s="10"/>
    </row>
    <row r="2888" spans="1:65" ht="12.75">
      <c r="A2888" s="9"/>
      <c r="B2888" s="10"/>
      <c r="C2888" s="11"/>
      <c r="D2888" s="12"/>
      <c r="E2888" s="10"/>
      <c r="F2888" s="10"/>
      <c r="G2888" s="10"/>
      <c r="H2888" s="14"/>
      <c r="I2888" s="14"/>
      <c r="J2888" s="14"/>
      <c r="K2888" s="14"/>
      <c r="L2888" s="14"/>
      <c r="M2888" s="15"/>
      <c r="N2888" s="10"/>
      <c r="O2888" s="14"/>
      <c r="P2888" s="14"/>
      <c r="Q2888" s="14"/>
      <c r="R2888" s="14"/>
      <c r="S2888" s="14"/>
      <c r="T2888" s="14"/>
      <c r="U2888" s="14"/>
      <c r="V2888" s="14"/>
      <c r="W2888" s="14"/>
      <c r="X2888" s="14"/>
      <c r="Y2888" s="14"/>
      <c r="Z2888" s="14"/>
      <c r="AA2888" s="16"/>
      <c r="AB2888" s="10"/>
      <c r="AC2888" s="10"/>
      <c r="AD2888" s="10"/>
      <c r="AE2888" s="10"/>
      <c r="AF2888" s="10"/>
      <c r="AG2888" s="10"/>
      <c r="AH2888" s="10"/>
      <c r="AI2888" s="10"/>
      <c r="AJ2888" s="10"/>
      <c r="AK2888" s="10"/>
      <c r="AL2888" s="1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10"/>
      <c r="BJ2888" s="10"/>
      <c r="BK2888" s="10"/>
      <c r="BM2888" s="10"/>
    </row>
    <row r="2889" spans="1:65" ht="12.75">
      <c r="A2889" s="9"/>
      <c r="B2889" s="10"/>
      <c r="C2889" s="11"/>
      <c r="D2889" s="12"/>
      <c r="E2889" s="10"/>
      <c r="F2889" s="10"/>
      <c r="G2889" s="10"/>
      <c r="H2889" s="14"/>
      <c r="I2889" s="14"/>
      <c r="J2889" s="14"/>
      <c r="K2889" s="14"/>
      <c r="L2889" s="14"/>
      <c r="M2889" s="15"/>
      <c r="N2889" s="10"/>
      <c r="O2889" s="14"/>
      <c r="P2889" s="14"/>
      <c r="Q2889" s="14"/>
      <c r="R2889" s="14"/>
      <c r="S2889" s="14"/>
      <c r="T2889" s="14"/>
      <c r="U2889" s="14"/>
      <c r="V2889" s="14"/>
      <c r="W2889" s="14"/>
      <c r="X2889" s="14"/>
      <c r="Y2889" s="14"/>
      <c r="Z2889" s="14"/>
      <c r="AA2889" s="16"/>
      <c r="AB2889" s="10"/>
      <c r="AC2889" s="10"/>
      <c r="AD2889" s="10"/>
      <c r="AE2889" s="10"/>
      <c r="AF2889" s="10"/>
      <c r="AG2889" s="10"/>
      <c r="AH2889" s="10"/>
      <c r="AI2889" s="10"/>
      <c r="AJ2889" s="10"/>
      <c r="AK2889" s="10"/>
      <c r="AL2889" s="10"/>
      <c r="AM2889" s="10"/>
      <c r="AN2889" s="10"/>
      <c r="AO2889" s="10"/>
      <c r="AP2889" s="10"/>
      <c r="AQ2889" s="10"/>
      <c r="AR2889" s="10"/>
      <c r="AS2889" s="10"/>
      <c r="AT2889" s="10"/>
      <c r="AU2889" s="10"/>
      <c r="AV2889" s="10"/>
      <c r="AW2889" s="10"/>
      <c r="AX2889" s="10"/>
      <c r="AY2889" s="10"/>
      <c r="AZ2889" s="10"/>
      <c r="BA2889" s="10"/>
      <c r="BB2889" s="10"/>
      <c r="BC2889" s="10"/>
      <c r="BD2889" s="10"/>
      <c r="BE2889" s="10"/>
      <c r="BF2889" s="10"/>
      <c r="BG2889" s="10"/>
      <c r="BH2889" s="10"/>
      <c r="BI2889" s="10"/>
      <c r="BJ2889" s="10"/>
      <c r="BK2889" s="10"/>
      <c r="BM2889" s="10"/>
    </row>
    <row r="2890" spans="1:65" ht="12.75">
      <c r="A2890" s="9"/>
      <c r="B2890" s="10"/>
      <c r="C2890" s="11"/>
      <c r="D2890" s="12"/>
      <c r="E2890" s="10"/>
      <c r="F2890" s="10"/>
      <c r="G2890" s="10"/>
      <c r="H2890" s="14"/>
      <c r="I2890" s="14"/>
      <c r="J2890" s="14"/>
      <c r="K2890" s="14"/>
      <c r="L2890" s="14"/>
      <c r="M2890" s="15"/>
      <c r="N2890" s="10"/>
      <c r="O2890" s="14"/>
      <c r="P2890" s="14"/>
      <c r="Q2890" s="14"/>
      <c r="R2890" s="14"/>
      <c r="S2890" s="14"/>
      <c r="T2890" s="14"/>
      <c r="U2890" s="14"/>
      <c r="V2890" s="14"/>
      <c r="W2890" s="14"/>
      <c r="X2890" s="14"/>
      <c r="Y2890" s="14"/>
      <c r="Z2890" s="14"/>
      <c r="AA2890" s="16"/>
      <c r="AB2890" s="10"/>
      <c r="AC2890" s="10"/>
      <c r="AD2890" s="10"/>
      <c r="AE2890" s="10"/>
      <c r="AF2890" s="10"/>
      <c r="AG2890" s="10"/>
      <c r="AH2890" s="10"/>
      <c r="AI2890" s="10"/>
      <c r="AJ2890" s="10"/>
      <c r="AK2890" s="10"/>
      <c r="AL2890" s="10"/>
      <c r="AM2890" s="10"/>
      <c r="AN2890" s="10"/>
      <c r="AO2890" s="10"/>
      <c r="AP2890" s="10"/>
      <c r="AQ2890" s="10"/>
      <c r="AR2890" s="10"/>
      <c r="AS2890" s="10"/>
      <c r="AT2890" s="10"/>
      <c r="AU2890" s="10"/>
      <c r="AV2890" s="10"/>
      <c r="AW2890" s="10"/>
      <c r="AX2890" s="10"/>
      <c r="AY2890" s="10"/>
      <c r="AZ2890" s="10"/>
      <c r="BA2890" s="10"/>
      <c r="BB2890" s="10"/>
      <c r="BC2890" s="10"/>
      <c r="BD2890" s="10"/>
      <c r="BE2890" s="10"/>
      <c r="BF2890" s="10"/>
      <c r="BG2890" s="10"/>
      <c r="BH2890" s="10"/>
      <c r="BI2890" s="10"/>
      <c r="BJ2890" s="10"/>
      <c r="BK2890" s="10"/>
      <c r="BM2890" s="10"/>
    </row>
    <row r="2891" spans="1:65" ht="12.75">
      <c r="A2891" s="9"/>
      <c r="B2891" s="10"/>
      <c r="C2891" s="11"/>
      <c r="D2891" s="12"/>
      <c r="E2891" s="10"/>
      <c r="F2891" s="10"/>
      <c r="G2891" s="10"/>
      <c r="H2891" s="14"/>
      <c r="I2891" s="14"/>
      <c r="J2891" s="14"/>
      <c r="K2891" s="14"/>
      <c r="L2891" s="14"/>
      <c r="M2891" s="15"/>
      <c r="N2891" s="10"/>
      <c r="O2891" s="14"/>
      <c r="P2891" s="14"/>
      <c r="Q2891" s="14"/>
      <c r="R2891" s="14"/>
      <c r="S2891" s="14"/>
      <c r="T2891" s="14"/>
      <c r="U2891" s="14"/>
      <c r="V2891" s="14"/>
      <c r="W2891" s="14"/>
      <c r="X2891" s="14"/>
      <c r="Y2891" s="14"/>
      <c r="Z2891" s="14"/>
      <c r="AA2891" s="16"/>
      <c r="AB2891" s="10"/>
      <c r="AC2891" s="10"/>
      <c r="AD2891" s="10"/>
      <c r="AE2891" s="10"/>
      <c r="AF2891" s="10"/>
      <c r="AG2891" s="10"/>
      <c r="AH2891" s="10"/>
      <c r="AI2891" s="10"/>
      <c r="AJ2891" s="10"/>
      <c r="AK2891" s="10"/>
      <c r="AL2891" s="10"/>
      <c r="AM2891" s="10"/>
      <c r="AN2891" s="10"/>
      <c r="AO2891" s="10"/>
      <c r="AP2891" s="10"/>
      <c r="AQ2891" s="10"/>
      <c r="AR2891" s="10"/>
      <c r="AS2891" s="10"/>
      <c r="AT2891" s="10"/>
      <c r="AU2891" s="10"/>
      <c r="AV2891" s="10"/>
      <c r="AW2891" s="10"/>
      <c r="AX2891" s="10"/>
      <c r="AY2891" s="10"/>
      <c r="AZ2891" s="10"/>
      <c r="BA2891" s="10"/>
      <c r="BB2891" s="10"/>
      <c r="BC2891" s="10"/>
      <c r="BD2891" s="10"/>
      <c r="BE2891" s="10"/>
      <c r="BF2891" s="10"/>
      <c r="BG2891" s="10"/>
      <c r="BH2891" s="10"/>
      <c r="BI2891" s="10"/>
      <c r="BJ2891" s="10"/>
      <c r="BK2891" s="10"/>
      <c r="BM2891" s="10"/>
    </row>
    <row r="2892" spans="1:65" ht="12.75">
      <c r="A2892" s="9"/>
      <c r="B2892" s="10"/>
      <c r="C2892" s="11"/>
      <c r="D2892" s="12"/>
      <c r="E2892" s="10"/>
      <c r="F2892" s="10"/>
      <c r="G2892" s="10"/>
      <c r="H2892" s="14"/>
      <c r="I2892" s="14"/>
      <c r="J2892" s="14"/>
      <c r="K2892" s="14"/>
      <c r="L2892" s="14"/>
      <c r="M2892" s="15"/>
      <c r="N2892" s="10"/>
      <c r="O2892" s="14"/>
      <c r="P2892" s="14"/>
      <c r="Q2892" s="14"/>
      <c r="R2892" s="14"/>
      <c r="S2892" s="14"/>
      <c r="T2892" s="14"/>
      <c r="U2892" s="14"/>
      <c r="V2892" s="14"/>
      <c r="W2892" s="14"/>
      <c r="X2892" s="14"/>
      <c r="Y2892" s="14"/>
      <c r="Z2892" s="14"/>
      <c r="AA2892" s="16"/>
      <c r="AB2892" s="10"/>
      <c r="AC2892" s="10"/>
      <c r="AD2892" s="10"/>
      <c r="AE2892" s="10"/>
      <c r="AF2892" s="10"/>
      <c r="AG2892" s="10"/>
      <c r="AH2892" s="10"/>
      <c r="AI2892" s="10"/>
      <c r="AJ2892" s="10"/>
      <c r="AK2892" s="10"/>
      <c r="AL2892" s="10"/>
      <c r="AM2892" s="10"/>
      <c r="AN2892" s="10"/>
      <c r="AO2892" s="10"/>
      <c r="AP2892" s="10"/>
      <c r="AQ2892" s="10"/>
      <c r="AR2892" s="10"/>
      <c r="AS2892" s="10"/>
      <c r="AT2892" s="10"/>
      <c r="AU2892" s="10"/>
      <c r="AV2892" s="10"/>
      <c r="AW2892" s="10"/>
      <c r="AX2892" s="10"/>
      <c r="AY2892" s="10"/>
      <c r="AZ2892" s="10"/>
      <c r="BA2892" s="10"/>
      <c r="BB2892" s="10"/>
      <c r="BC2892" s="10"/>
      <c r="BD2892" s="10"/>
      <c r="BE2892" s="10"/>
      <c r="BF2892" s="10"/>
      <c r="BG2892" s="10"/>
      <c r="BH2892" s="10"/>
      <c r="BI2892" s="10"/>
      <c r="BJ2892" s="10"/>
      <c r="BK2892" s="10"/>
      <c r="BM2892" s="10"/>
    </row>
    <row r="2893" spans="1:65" ht="12.75">
      <c r="A2893" s="9"/>
      <c r="B2893" s="10"/>
      <c r="C2893" s="11"/>
      <c r="D2893" s="12"/>
      <c r="E2893" s="10"/>
      <c r="F2893" s="10"/>
      <c r="G2893" s="10"/>
      <c r="H2893" s="14"/>
      <c r="I2893" s="14"/>
      <c r="J2893" s="14"/>
      <c r="K2893" s="14"/>
      <c r="L2893" s="14"/>
      <c r="M2893" s="15"/>
      <c r="N2893" s="10"/>
      <c r="O2893" s="14"/>
      <c r="P2893" s="14"/>
      <c r="Q2893" s="14"/>
      <c r="R2893" s="14"/>
      <c r="S2893" s="14"/>
      <c r="T2893" s="14"/>
      <c r="U2893" s="14"/>
      <c r="V2893" s="14"/>
      <c r="W2893" s="14"/>
      <c r="X2893" s="14"/>
      <c r="Y2893" s="14"/>
      <c r="Z2893" s="14"/>
      <c r="AA2893" s="16"/>
      <c r="AB2893" s="10"/>
      <c r="AC2893" s="10"/>
      <c r="AD2893" s="10"/>
      <c r="AE2893" s="10"/>
      <c r="AF2893" s="10"/>
      <c r="AG2893" s="10"/>
      <c r="AH2893" s="10"/>
      <c r="AI2893" s="10"/>
      <c r="AJ2893" s="10"/>
      <c r="AK2893" s="10"/>
      <c r="AL2893" s="10"/>
      <c r="AM2893" s="10"/>
      <c r="AN2893" s="10"/>
      <c r="AO2893" s="10"/>
      <c r="AP2893" s="10"/>
      <c r="AQ2893" s="10"/>
      <c r="AR2893" s="10"/>
      <c r="AS2893" s="10"/>
      <c r="AT2893" s="10"/>
      <c r="AU2893" s="10"/>
      <c r="AV2893" s="10"/>
      <c r="AW2893" s="10"/>
      <c r="AX2893" s="10"/>
      <c r="AY2893" s="10"/>
      <c r="AZ2893" s="10"/>
      <c r="BA2893" s="10"/>
      <c r="BB2893" s="10"/>
      <c r="BC2893" s="10"/>
      <c r="BD2893" s="10"/>
      <c r="BE2893" s="10"/>
      <c r="BF2893" s="10"/>
      <c r="BG2893" s="10"/>
      <c r="BH2893" s="10"/>
      <c r="BI2893" s="10"/>
      <c r="BJ2893" s="10"/>
      <c r="BK2893" s="10"/>
      <c r="BM2893" s="10"/>
    </row>
    <row r="2894" spans="1:65" ht="12.75">
      <c r="A2894" s="9"/>
      <c r="B2894" s="10"/>
      <c r="C2894" s="11"/>
      <c r="D2894" s="12"/>
      <c r="E2894" s="10"/>
      <c r="F2894" s="10"/>
      <c r="G2894" s="10"/>
      <c r="H2894" s="14"/>
      <c r="I2894" s="14"/>
      <c r="J2894" s="14"/>
      <c r="K2894" s="14"/>
      <c r="L2894" s="14"/>
      <c r="M2894" s="15"/>
      <c r="N2894" s="10"/>
      <c r="O2894" s="14"/>
      <c r="P2894" s="14"/>
      <c r="Q2894" s="14"/>
      <c r="R2894" s="14"/>
      <c r="S2894" s="14"/>
      <c r="T2894" s="14"/>
      <c r="U2894" s="14"/>
      <c r="V2894" s="14"/>
      <c r="W2894" s="14"/>
      <c r="X2894" s="14"/>
      <c r="Y2894" s="14"/>
      <c r="Z2894" s="14"/>
      <c r="AA2894" s="16"/>
      <c r="AB2894" s="10"/>
      <c r="AC2894" s="10"/>
      <c r="AD2894" s="10"/>
      <c r="AE2894" s="10"/>
      <c r="AF2894" s="10"/>
      <c r="AG2894" s="10"/>
      <c r="AH2894" s="10"/>
      <c r="AI2894" s="10"/>
      <c r="AJ2894" s="10"/>
      <c r="AK2894" s="10"/>
      <c r="AL2894" s="10"/>
      <c r="AM2894" s="10"/>
      <c r="AN2894" s="10"/>
      <c r="AO2894" s="10"/>
      <c r="AP2894" s="10"/>
      <c r="AQ2894" s="10"/>
      <c r="AR2894" s="10"/>
      <c r="AS2894" s="10"/>
      <c r="AT2894" s="10"/>
      <c r="AU2894" s="10"/>
      <c r="AV2894" s="10"/>
      <c r="AW2894" s="10"/>
      <c r="AX2894" s="10"/>
      <c r="AY2894" s="10"/>
      <c r="AZ2894" s="10"/>
      <c r="BA2894" s="10"/>
      <c r="BB2894" s="10"/>
      <c r="BC2894" s="10"/>
      <c r="BD2894" s="10"/>
      <c r="BE2894" s="10"/>
      <c r="BF2894" s="10"/>
      <c r="BG2894" s="10"/>
      <c r="BH2894" s="10"/>
      <c r="BI2894" s="10"/>
      <c r="BJ2894" s="10"/>
      <c r="BK2894" s="10"/>
      <c r="BM2894" s="10"/>
    </row>
    <row r="2895" spans="1:65" ht="12.75">
      <c r="A2895" s="9"/>
      <c r="B2895" s="10"/>
      <c r="C2895" s="11"/>
      <c r="D2895" s="12"/>
      <c r="E2895" s="10"/>
      <c r="F2895" s="10"/>
      <c r="G2895" s="10"/>
      <c r="H2895" s="14"/>
      <c r="I2895" s="14"/>
      <c r="J2895" s="14"/>
      <c r="K2895" s="14"/>
      <c r="L2895" s="14"/>
      <c r="M2895" s="15"/>
      <c r="N2895" s="10"/>
      <c r="O2895" s="14"/>
      <c r="P2895" s="14"/>
      <c r="Q2895" s="14"/>
      <c r="R2895" s="14"/>
      <c r="S2895" s="14"/>
      <c r="T2895" s="14"/>
      <c r="U2895" s="14"/>
      <c r="V2895" s="14"/>
      <c r="W2895" s="14"/>
      <c r="X2895" s="14"/>
      <c r="Y2895" s="14"/>
      <c r="Z2895" s="14"/>
      <c r="AA2895" s="16"/>
      <c r="AB2895" s="10"/>
      <c r="AC2895" s="10"/>
      <c r="AD2895" s="10"/>
      <c r="AE2895" s="10"/>
      <c r="AF2895" s="10"/>
      <c r="AG2895" s="10"/>
      <c r="AH2895" s="10"/>
      <c r="AI2895" s="10"/>
      <c r="AJ2895" s="10"/>
      <c r="AK2895" s="10"/>
      <c r="AL2895" s="10"/>
      <c r="AM2895" s="10"/>
      <c r="AN2895" s="10"/>
      <c r="AO2895" s="10"/>
      <c r="AP2895" s="10"/>
      <c r="AQ2895" s="10"/>
      <c r="AR2895" s="10"/>
      <c r="AS2895" s="10"/>
      <c r="AT2895" s="10"/>
      <c r="AU2895" s="10"/>
      <c r="AV2895" s="10"/>
      <c r="AW2895" s="10"/>
      <c r="AX2895" s="10"/>
      <c r="AY2895" s="10"/>
      <c r="AZ2895" s="10"/>
      <c r="BA2895" s="10"/>
      <c r="BB2895" s="10"/>
      <c r="BC2895" s="10"/>
      <c r="BD2895" s="10"/>
      <c r="BE2895" s="10"/>
      <c r="BF2895" s="10"/>
      <c r="BG2895" s="10"/>
      <c r="BH2895" s="10"/>
      <c r="BI2895" s="10"/>
      <c r="BJ2895" s="10"/>
      <c r="BK2895" s="10"/>
      <c r="BM2895" s="10"/>
    </row>
    <row r="2896" spans="1:65" ht="12.75">
      <c r="A2896" s="9"/>
      <c r="B2896" s="10"/>
      <c r="C2896" s="11"/>
      <c r="D2896" s="12"/>
      <c r="E2896" s="10"/>
      <c r="F2896" s="10"/>
      <c r="G2896" s="10"/>
      <c r="H2896" s="14"/>
      <c r="I2896" s="14"/>
      <c r="J2896" s="14"/>
      <c r="K2896" s="14"/>
      <c r="L2896" s="14"/>
      <c r="M2896" s="15"/>
      <c r="N2896" s="10"/>
      <c r="O2896" s="14"/>
      <c r="P2896" s="14"/>
      <c r="Q2896" s="14"/>
      <c r="R2896" s="14"/>
      <c r="S2896" s="14"/>
      <c r="T2896" s="14"/>
      <c r="U2896" s="14"/>
      <c r="V2896" s="14"/>
      <c r="W2896" s="14"/>
      <c r="X2896" s="14"/>
      <c r="Y2896" s="14"/>
      <c r="Z2896" s="14"/>
      <c r="AA2896" s="16"/>
      <c r="AB2896" s="10"/>
      <c r="AC2896" s="10"/>
      <c r="AD2896" s="10"/>
      <c r="AE2896" s="10"/>
      <c r="AF2896" s="10"/>
      <c r="AG2896" s="10"/>
      <c r="AH2896" s="10"/>
      <c r="AI2896" s="10"/>
      <c r="AJ2896" s="10"/>
      <c r="AK2896" s="10"/>
      <c r="AL2896" s="10"/>
      <c r="AM2896" s="10"/>
      <c r="AN2896" s="10"/>
      <c r="AO2896" s="10"/>
      <c r="AP2896" s="10"/>
      <c r="AQ2896" s="10"/>
      <c r="AR2896" s="10"/>
      <c r="AS2896" s="10"/>
      <c r="AT2896" s="10"/>
      <c r="AU2896" s="10"/>
      <c r="AV2896" s="10"/>
      <c r="AW2896" s="10"/>
      <c r="AX2896" s="10"/>
      <c r="AY2896" s="10"/>
      <c r="AZ2896" s="10"/>
      <c r="BA2896" s="10"/>
      <c r="BB2896" s="10"/>
      <c r="BC2896" s="10"/>
      <c r="BD2896" s="10"/>
      <c r="BE2896" s="10"/>
      <c r="BF2896" s="10"/>
      <c r="BG2896" s="10"/>
      <c r="BH2896" s="10"/>
      <c r="BI2896" s="10"/>
      <c r="BJ2896" s="10"/>
      <c r="BK2896" s="10"/>
      <c r="BM2896" s="10"/>
    </row>
    <row r="2897" spans="1:65" ht="12.75">
      <c r="A2897" s="9"/>
      <c r="B2897" s="10"/>
      <c r="C2897" s="11"/>
      <c r="D2897" s="12"/>
      <c r="E2897" s="10"/>
      <c r="F2897" s="10"/>
      <c r="G2897" s="10"/>
      <c r="H2897" s="14"/>
      <c r="I2897" s="14"/>
      <c r="J2897" s="14"/>
      <c r="K2897" s="14"/>
      <c r="L2897" s="14"/>
      <c r="M2897" s="15"/>
      <c r="N2897" s="10"/>
      <c r="O2897" s="14"/>
      <c r="P2897" s="14"/>
      <c r="Q2897" s="14"/>
      <c r="R2897" s="14"/>
      <c r="S2897" s="14"/>
      <c r="T2897" s="14"/>
      <c r="U2897" s="14"/>
      <c r="V2897" s="14"/>
      <c r="W2897" s="14"/>
      <c r="X2897" s="14"/>
      <c r="Y2897" s="14"/>
      <c r="Z2897" s="14"/>
      <c r="AA2897" s="16"/>
      <c r="AB2897" s="10"/>
      <c r="AC2897" s="10"/>
      <c r="AD2897" s="10"/>
      <c r="AE2897" s="10"/>
      <c r="AF2897" s="10"/>
      <c r="AG2897" s="10"/>
      <c r="AH2897" s="10"/>
      <c r="AI2897" s="10"/>
      <c r="AJ2897" s="10"/>
      <c r="AK2897" s="10"/>
      <c r="AL2897" s="10"/>
      <c r="AM2897" s="10"/>
      <c r="AN2897" s="10"/>
      <c r="AO2897" s="10"/>
      <c r="AP2897" s="10"/>
      <c r="AQ2897" s="10"/>
      <c r="AR2897" s="10"/>
      <c r="AS2897" s="10"/>
      <c r="AT2897" s="10"/>
      <c r="AU2897" s="10"/>
      <c r="AV2897" s="10"/>
      <c r="AW2897" s="10"/>
      <c r="AX2897" s="10"/>
      <c r="AY2897" s="10"/>
      <c r="AZ2897" s="10"/>
      <c r="BA2897" s="10"/>
      <c r="BB2897" s="10"/>
      <c r="BC2897" s="10"/>
      <c r="BD2897" s="10"/>
      <c r="BE2897" s="10"/>
      <c r="BF2897" s="10"/>
      <c r="BG2897" s="10"/>
      <c r="BH2897" s="10"/>
      <c r="BI2897" s="10"/>
      <c r="BJ2897" s="10"/>
      <c r="BK2897" s="10"/>
      <c r="BM2897" s="10"/>
    </row>
    <row r="2898" spans="1:65" ht="12.75">
      <c r="A2898" s="9"/>
      <c r="B2898" s="10"/>
      <c r="C2898" s="11"/>
      <c r="D2898" s="12"/>
      <c r="E2898" s="10"/>
      <c r="F2898" s="10"/>
      <c r="G2898" s="10"/>
      <c r="H2898" s="14"/>
      <c r="I2898" s="14"/>
      <c r="J2898" s="14"/>
      <c r="K2898" s="14"/>
      <c r="L2898" s="14"/>
      <c r="M2898" s="15"/>
      <c r="N2898" s="10"/>
      <c r="O2898" s="14"/>
      <c r="P2898" s="14"/>
      <c r="Q2898" s="14"/>
      <c r="R2898" s="14"/>
      <c r="S2898" s="14"/>
      <c r="T2898" s="14"/>
      <c r="U2898" s="14"/>
      <c r="V2898" s="14"/>
      <c r="W2898" s="14"/>
      <c r="X2898" s="14"/>
      <c r="Y2898" s="14"/>
      <c r="Z2898" s="14"/>
      <c r="AA2898" s="16"/>
      <c r="AB2898" s="10"/>
      <c r="AC2898" s="10"/>
      <c r="AD2898" s="10"/>
      <c r="AE2898" s="10"/>
      <c r="AF2898" s="10"/>
      <c r="AG2898" s="10"/>
      <c r="AH2898" s="10"/>
      <c r="AI2898" s="10"/>
      <c r="AJ2898" s="10"/>
      <c r="AK2898" s="10"/>
      <c r="AL2898" s="10"/>
      <c r="AM2898" s="10"/>
      <c r="AN2898" s="10"/>
      <c r="AO2898" s="10"/>
      <c r="AP2898" s="10"/>
      <c r="AQ2898" s="10"/>
      <c r="AR2898" s="10"/>
      <c r="AS2898" s="10"/>
      <c r="AT2898" s="10"/>
      <c r="AU2898" s="10"/>
      <c r="AV2898" s="10"/>
      <c r="AW2898" s="10"/>
      <c r="AX2898" s="10"/>
      <c r="AY2898" s="10"/>
      <c r="AZ2898" s="10"/>
      <c r="BA2898" s="10"/>
      <c r="BB2898" s="10"/>
      <c r="BC2898" s="10"/>
      <c r="BD2898" s="10"/>
      <c r="BE2898" s="10"/>
      <c r="BF2898" s="10"/>
      <c r="BG2898" s="10"/>
      <c r="BH2898" s="10"/>
      <c r="BI2898" s="10"/>
      <c r="BJ2898" s="10"/>
      <c r="BK2898" s="10"/>
      <c r="BM2898" s="10"/>
    </row>
    <row r="2899" spans="1:65" ht="12.75">
      <c r="A2899" s="9"/>
      <c r="B2899" s="10"/>
      <c r="C2899" s="11"/>
      <c r="D2899" s="12"/>
      <c r="E2899" s="10"/>
      <c r="F2899" s="10"/>
      <c r="G2899" s="10"/>
      <c r="H2899" s="14"/>
      <c r="I2899" s="14"/>
      <c r="J2899" s="14"/>
      <c r="K2899" s="14"/>
      <c r="L2899" s="14"/>
      <c r="M2899" s="15"/>
      <c r="N2899" s="10"/>
      <c r="O2899" s="14"/>
      <c r="P2899" s="14"/>
      <c r="Q2899" s="14"/>
      <c r="R2899" s="14"/>
      <c r="S2899" s="14"/>
      <c r="T2899" s="14"/>
      <c r="U2899" s="14"/>
      <c r="V2899" s="14"/>
      <c r="W2899" s="14"/>
      <c r="X2899" s="14"/>
      <c r="Y2899" s="14"/>
      <c r="Z2899" s="14"/>
      <c r="AA2899" s="16"/>
      <c r="AB2899" s="10"/>
      <c r="AC2899" s="10"/>
      <c r="AD2899" s="10"/>
      <c r="AE2899" s="10"/>
      <c r="AF2899" s="10"/>
      <c r="AG2899" s="10"/>
      <c r="AH2899" s="10"/>
      <c r="AI2899" s="10"/>
      <c r="AJ2899" s="10"/>
      <c r="AK2899" s="10"/>
      <c r="AL2899" s="10"/>
      <c r="AM2899" s="10"/>
      <c r="AN2899" s="10"/>
      <c r="AO2899" s="10"/>
      <c r="AP2899" s="10"/>
      <c r="AQ2899" s="10"/>
      <c r="AR2899" s="10"/>
      <c r="AS2899" s="10"/>
      <c r="AT2899" s="10"/>
      <c r="AU2899" s="10"/>
      <c r="AV2899" s="10"/>
      <c r="AW2899" s="10"/>
      <c r="AX2899" s="10"/>
      <c r="AY2899" s="10"/>
      <c r="AZ2899" s="10"/>
      <c r="BA2899" s="10"/>
      <c r="BB2899" s="10"/>
      <c r="BC2899" s="10"/>
      <c r="BD2899" s="10"/>
      <c r="BE2899" s="10"/>
      <c r="BF2899" s="10"/>
      <c r="BG2899" s="10"/>
      <c r="BH2899" s="10"/>
      <c r="BI2899" s="10"/>
      <c r="BJ2899" s="10"/>
      <c r="BK2899" s="10"/>
      <c r="BM2899" s="10"/>
    </row>
    <row r="2900" spans="1:65" ht="12.75">
      <c r="A2900" s="9"/>
      <c r="B2900" s="10"/>
      <c r="C2900" s="11"/>
      <c r="D2900" s="12"/>
      <c r="E2900" s="10"/>
      <c r="F2900" s="10"/>
      <c r="G2900" s="10"/>
      <c r="H2900" s="14"/>
      <c r="I2900" s="14"/>
      <c r="J2900" s="14"/>
      <c r="K2900" s="14"/>
      <c r="L2900" s="14"/>
      <c r="M2900" s="15"/>
      <c r="N2900" s="10"/>
      <c r="O2900" s="14"/>
      <c r="P2900" s="14"/>
      <c r="Q2900" s="14"/>
      <c r="R2900" s="14"/>
      <c r="S2900" s="14"/>
      <c r="T2900" s="14"/>
      <c r="U2900" s="14"/>
      <c r="V2900" s="14"/>
      <c r="W2900" s="14"/>
      <c r="X2900" s="14"/>
      <c r="Y2900" s="14"/>
      <c r="Z2900" s="14"/>
      <c r="AA2900" s="16"/>
      <c r="AB2900" s="10"/>
      <c r="AC2900" s="10"/>
      <c r="AD2900" s="10"/>
      <c r="AE2900" s="10"/>
      <c r="AF2900" s="10"/>
      <c r="AG2900" s="10"/>
      <c r="AH2900" s="10"/>
      <c r="AI2900" s="10"/>
      <c r="AJ2900" s="10"/>
      <c r="AK2900" s="10"/>
      <c r="AL2900" s="1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10"/>
      <c r="BK2900" s="10"/>
      <c r="BM2900" s="10"/>
    </row>
    <row r="2901" spans="1:65" ht="12.75">
      <c r="A2901" s="9"/>
      <c r="B2901" s="10"/>
      <c r="C2901" s="11"/>
      <c r="D2901" s="12"/>
      <c r="E2901" s="10"/>
      <c r="F2901" s="10"/>
      <c r="G2901" s="10"/>
      <c r="H2901" s="14"/>
      <c r="I2901" s="14"/>
      <c r="J2901" s="14"/>
      <c r="K2901" s="14"/>
      <c r="L2901" s="14"/>
      <c r="M2901" s="15"/>
      <c r="N2901" s="10"/>
      <c r="O2901" s="14"/>
      <c r="P2901" s="14"/>
      <c r="Q2901" s="14"/>
      <c r="R2901" s="14"/>
      <c r="S2901" s="14"/>
      <c r="T2901" s="14"/>
      <c r="U2901" s="14"/>
      <c r="V2901" s="14"/>
      <c r="W2901" s="14"/>
      <c r="X2901" s="14"/>
      <c r="Y2901" s="14"/>
      <c r="Z2901" s="14"/>
      <c r="AA2901" s="16"/>
      <c r="AB2901" s="10"/>
      <c r="AC2901" s="10"/>
      <c r="AD2901" s="10"/>
      <c r="AE2901" s="10"/>
      <c r="AF2901" s="10"/>
      <c r="AG2901" s="10"/>
      <c r="AH2901" s="10"/>
      <c r="AI2901" s="10"/>
      <c r="AJ2901" s="10"/>
      <c r="AK2901" s="10"/>
      <c r="AL2901" s="10"/>
      <c r="AM2901" s="10"/>
      <c r="AN2901" s="10"/>
      <c r="AO2901" s="10"/>
      <c r="AP2901" s="10"/>
      <c r="AQ2901" s="10"/>
      <c r="AR2901" s="10"/>
      <c r="AS2901" s="10"/>
      <c r="AT2901" s="10"/>
      <c r="AU2901" s="10"/>
      <c r="AV2901" s="10"/>
      <c r="AW2901" s="10"/>
      <c r="AX2901" s="10"/>
      <c r="AY2901" s="10"/>
      <c r="AZ2901" s="10"/>
      <c r="BA2901" s="10"/>
      <c r="BB2901" s="10"/>
      <c r="BC2901" s="10"/>
      <c r="BD2901" s="10"/>
      <c r="BE2901" s="10"/>
      <c r="BF2901" s="10"/>
      <c r="BG2901" s="10"/>
      <c r="BH2901" s="10"/>
      <c r="BI2901" s="10"/>
      <c r="BJ2901" s="10"/>
      <c r="BK2901" s="10"/>
      <c r="BM2901" s="10"/>
    </row>
    <row r="2902" spans="1:65" ht="12.75">
      <c r="A2902" s="9"/>
      <c r="B2902" s="10"/>
      <c r="C2902" s="11"/>
      <c r="D2902" s="12"/>
      <c r="E2902" s="10"/>
      <c r="F2902" s="10"/>
      <c r="G2902" s="10"/>
      <c r="H2902" s="14"/>
      <c r="I2902" s="14"/>
      <c r="J2902" s="14"/>
      <c r="K2902" s="14"/>
      <c r="L2902" s="14"/>
      <c r="M2902" s="15"/>
      <c r="N2902" s="10"/>
      <c r="O2902" s="14"/>
      <c r="P2902" s="14"/>
      <c r="Q2902" s="14"/>
      <c r="R2902" s="14"/>
      <c r="S2902" s="14"/>
      <c r="T2902" s="14"/>
      <c r="U2902" s="14"/>
      <c r="V2902" s="14"/>
      <c r="W2902" s="14"/>
      <c r="X2902" s="14"/>
      <c r="Y2902" s="14"/>
      <c r="Z2902" s="14"/>
      <c r="AA2902" s="16"/>
      <c r="AB2902" s="10"/>
      <c r="AC2902" s="10"/>
      <c r="AD2902" s="10"/>
      <c r="AE2902" s="10"/>
      <c r="AF2902" s="10"/>
      <c r="AG2902" s="10"/>
      <c r="AH2902" s="10"/>
      <c r="AI2902" s="10"/>
      <c r="AJ2902" s="10"/>
      <c r="AK2902" s="10"/>
      <c r="AL2902" s="10"/>
      <c r="AM2902" s="10"/>
      <c r="AN2902" s="10"/>
      <c r="AO2902" s="10"/>
      <c r="AP2902" s="10"/>
      <c r="AQ2902" s="10"/>
      <c r="AR2902" s="10"/>
      <c r="AS2902" s="10"/>
      <c r="AT2902" s="10"/>
      <c r="AU2902" s="10"/>
      <c r="AV2902" s="10"/>
      <c r="AW2902" s="10"/>
      <c r="AX2902" s="10"/>
      <c r="AY2902" s="10"/>
      <c r="AZ2902" s="10"/>
      <c r="BA2902" s="10"/>
      <c r="BB2902" s="10"/>
      <c r="BC2902" s="10"/>
      <c r="BD2902" s="10"/>
      <c r="BE2902" s="10"/>
      <c r="BF2902" s="10"/>
      <c r="BG2902" s="10"/>
      <c r="BH2902" s="10"/>
      <c r="BI2902" s="10"/>
      <c r="BJ2902" s="10"/>
      <c r="BK2902" s="10"/>
      <c r="BM2902" s="10"/>
    </row>
    <row r="2903" spans="1:65" ht="12.75">
      <c r="A2903" s="9"/>
      <c r="B2903" s="10"/>
      <c r="C2903" s="11"/>
      <c r="D2903" s="12"/>
      <c r="E2903" s="10"/>
      <c r="F2903" s="10"/>
      <c r="G2903" s="10"/>
      <c r="H2903" s="14"/>
      <c r="I2903" s="14"/>
      <c r="J2903" s="14"/>
      <c r="K2903" s="14"/>
      <c r="L2903" s="14"/>
      <c r="M2903" s="15"/>
      <c r="N2903" s="10"/>
      <c r="O2903" s="14"/>
      <c r="P2903" s="14"/>
      <c r="Q2903" s="14"/>
      <c r="R2903" s="14"/>
      <c r="S2903" s="14"/>
      <c r="T2903" s="14"/>
      <c r="U2903" s="14"/>
      <c r="V2903" s="14"/>
      <c r="W2903" s="14"/>
      <c r="X2903" s="14"/>
      <c r="Y2903" s="14"/>
      <c r="Z2903" s="14"/>
      <c r="AA2903" s="16"/>
      <c r="AB2903" s="10"/>
      <c r="AC2903" s="10"/>
      <c r="AD2903" s="10"/>
      <c r="AE2903" s="10"/>
      <c r="AF2903" s="10"/>
      <c r="AG2903" s="10"/>
      <c r="AH2903" s="10"/>
      <c r="AI2903" s="10"/>
      <c r="AJ2903" s="10"/>
      <c r="AK2903" s="10"/>
      <c r="AL2903" s="10"/>
      <c r="AM2903" s="10"/>
      <c r="AN2903" s="10"/>
      <c r="AO2903" s="10"/>
      <c r="AP2903" s="10"/>
      <c r="AQ2903" s="10"/>
      <c r="AR2903" s="10"/>
      <c r="AS2903" s="10"/>
      <c r="AT2903" s="10"/>
      <c r="AU2903" s="10"/>
      <c r="AV2903" s="10"/>
      <c r="AW2903" s="10"/>
      <c r="AX2903" s="10"/>
      <c r="AY2903" s="10"/>
      <c r="AZ2903" s="10"/>
      <c r="BA2903" s="10"/>
      <c r="BB2903" s="10"/>
      <c r="BC2903" s="10"/>
      <c r="BD2903" s="10"/>
      <c r="BE2903" s="10"/>
      <c r="BF2903" s="10"/>
      <c r="BG2903" s="10"/>
      <c r="BH2903" s="10"/>
      <c r="BI2903" s="10"/>
      <c r="BJ2903" s="10"/>
      <c r="BK2903" s="10"/>
      <c r="BM2903" s="10"/>
    </row>
    <row r="2904" spans="1:65" ht="12.75">
      <c r="A2904" s="9"/>
      <c r="B2904" s="10"/>
      <c r="C2904" s="11"/>
      <c r="D2904" s="12"/>
      <c r="E2904" s="10"/>
      <c r="F2904" s="10"/>
      <c r="G2904" s="10"/>
      <c r="H2904" s="14"/>
      <c r="I2904" s="14"/>
      <c r="J2904" s="14"/>
      <c r="K2904" s="14"/>
      <c r="L2904" s="14"/>
      <c r="M2904" s="15"/>
      <c r="N2904" s="10"/>
      <c r="O2904" s="14"/>
      <c r="P2904" s="14"/>
      <c r="Q2904" s="14"/>
      <c r="R2904" s="14"/>
      <c r="S2904" s="14"/>
      <c r="T2904" s="14"/>
      <c r="U2904" s="14"/>
      <c r="V2904" s="14"/>
      <c r="W2904" s="14"/>
      <c r="X2904" s="14"/>
      <c r="Y2904" s="14"/>
      <c r="Z2904" s="14"/>
      <c r="AA2904" s="16"/>
      <c r="AB2904" s="10"/>
      <c r="AC2904" s="10"/>
      <c r="AD2904" s="10"/>
      <c r="AE2904" s="10"/>
      <c r="AF2904" s="10"/>
      <c r="AG2904" s="10"/>
      <c r="AH2904" s="10"/>
      <c r="AI2904" s="10"/>
      <c r="AJ2904" s="10"/>
      <c r="AK2904" s="10"/>
      <c r="AL2904" s="1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10"/>
      <c r="BJ2904" s="10"/>
      <c r="BK2904" s="10"/>
      <c r="BM2904" s="10"/>
    </row>
    <row r="2905" spans="1:65" ht="12.75">
      <c r="A2905" s="9"/>
      <c r="B2905" s="10"/>
      <c r="C2905" s="11"/>
      <c r="D2905" s="12"/>
      <c r="E2905" s="10"/>
      <c r="F2905" s="10"/>
      <c r="G2905" s="10"/>
      <c r="H2905" s="14"/>
      <c r="I2905" s="14"/>
      <c r="J2905" s="14"/>
      <c r="K2905" s="14"/>
      <c r="L2905" s="14"/>
      <c r="M2905" s="15"/>
      <c r="N2905" s="10"/>
      <c r="O2905" s="14"/>
      <c r="P2905" s="14"/>
      <c r="Q2905" s="14"/>
      <c r="R2905" s="14"/>
      <c r="S2905" s="14"/>
      <c r="T2905" s="14"/>
      <c r="U2905" s="14"/>
      <c r="V2905" s="14"/>
      <c r="W2905" s="14"/>
      <c r="X2905" s="14"/>
      <c r="Y2905" s="14"/>
      <c r="Z2905" s="14"/>
      <c r="AA2905" s="16"/>
      <c r="AB2905" s="10"/>
      <c r="AC2905" s="10"/>
      <c r="AD2905" s="10"/>
      <c r="AE2905" s="10"/>
      <c r="AF2905" s="10"/>
      <c r="AG2905" s="10"/>
      <c r="AH2905" s="10"/>
      <c r="AI2905" s="10"/>
      <c r="AJ2905" s="10"/>
      <c r="AK2905" s="10"/>
      <c r="AL2905" s="10"/>
      <c r="AM2905" s="10"/>
      <c r="AN2905" s="10"/>
      <c r="AO2905" s="10"/>
      <c r="AP2905" s="10"/>
      <c r="AQ2905" s="10"/>
      <c r="AR2905" s="10"/>
      <c r="AS2905" s="10"/>
      <c r="AT2905" s="10"/>
      <c r="AU2905" s="10"/>
      <c r="AV2905" s="10"/>
      <c r="AW2905" s="10"/>
      <c r="AX2905" s="10"/>
      <c r="AY2905" s="10"/>
      <c r="AZ2905" s="10"/>
      <c r="BA2905" s="10"/>
      <c r="BB2905" s="10"/>
      <c r="BC2905" s="10"/>
      <c r="BD2905" s="10"/>
      <c r="BE2905" s="10"/>
      <c r="BF2905" s="10"/>
      <c r="BG2905" s="10"/>
      <c r="BH2905" s="10"/>
      <c r="BI2905" s="10"/>
      <c r="BJ2905" s="10"/>
      <c r="BK2905" s="10"/>
      <c r="BM2905" s="10"/>
    </row>
    <row r="2906" spans="1:65" ht="12.75">
      <c r="A2906" s="9"/>
      <c r="B2906" s="10"/>
      <c r="C2906" s="11"/>
      <c r="D2906" s="12"/>
      <c r="E2906" s="10"/>
      <c r="F2906" s="10"/>
      <c r="G2906" s="10"/>
      <c r="H2906" s="14"/>
      <c r="I2906" s="14"/>
      <c r="J2906" s="14"/>
      <c r="K2906" s="14"/>
      <c r="L2906" s="14"/>
      <c r="M2906" s="15"/>
      <c r="N2906" s="10"/>
      <c r="O2906" s="14"/>
      <c r="P2906" s="14"/>
      <c r="Q2906" s="14"/>
      <c r="R2906" s="14"/>
      <c r="S2906" s="14"/>
      <c r="T2906" s="14"/>
      <c r="U2906" s="14"/>
      <c r="V2906" s="14"/>
      <c r="W2906" s="14"/>
      <c r="X2906" s="14"/>
      <c r="Y2906" s="14"/>
      <c r="Z2906" s="14"/>
      <c r="AA2906" s="16"/>
      <c r="AB2906" s="10"/>
      <c r="AC2906" s="10"/>
      <c r="AD2906" s="10"/>
      <c r="AE2906" s="10"/>
      <c r="AF2906" s="10"/>
      <c r="AG2906" s="10"/>
      <c r="AH2906" s="10"/>
      <c r="AI2906" s="10"/>
      <c r="AJ2906" s="10"/>
      <c r="AK2906" s="10"/>
      <c r="AL2906" s="10"/>
      <c r="AM2906" s="10"/>
      <c r="AN2906" s="10"/>
      <c r="AO2906" s="10"/>
      <c r="AP2906" s="10"/>
      <c r="AQ2906" s="10"/>
      <c r="AR2906" s="10"/>
      <c r="AS2906" s="10"/>
      <c r="AT2906" s="10"/>
      <c r="AU2906" s="10"/>
      <c r="AV2906" s="10"/>
      <c r="AW2906" s="10"/>
      <c r="AX2906" s="10"/>
      <c r="AY2906" s="10"/>
      <c r="AZ2906" s="10"/>
      <c r="BA2906" s="10"/>
      <c r="BB2906" s="10"/>
      <c r="BC2906" s="10"/>
      <c r="BD2906" s="10"/>
      <c r="BE2906" s="10"/>
      <c r="BF2906" s="10"/>
      <c r="BG2906" s="10"/>
      <c r="BH2906" s="10"/>
      <c r="BI2906" s="10"/>
      <c r="BJ2906" s="10"/>
      <c r="BK2906" s="10"/>
      <c r="BM2906" s="10"/>
    </row>
    <row r="2907" spans="1:65" ht="12.75">
      <c r="A2907" s="9"/>
      <c r="B2907" s="10"/>
      <c r="C2907" s="11"/>
      <c r="D2907" s="12"/>
      <c r="E2907" s="10"/>
      <c r="F2907" s="10"/>
      <c r="G2907" s="10"/>
      <c r="H2907" s="14"/>
      <c r="I2907" s="14"/>
      <c r="J2907" s="14"/>
      <c r="K2907" s="14"/>
      <c r="L2907" s="14"/>
      <c r="M2907" s="15"/>
      <c r="N2907" s="10"/>
      <c r="O2907" s="14"/>
      <c r="P2907" s="14"/>
      <c r="Q2907" s="14"/>
      <c r="R2907" s="14"/>
      <c r="S2907" s="14"/>
      <c r="T2907" s="14"/>
      <c r="U2907" s="14"/>
      <c r="V2907" s="14"/>
      <c r="W2907" s="14"/>
      <c r="X2907" s="14"/>
      <c r="Y2907" s="14"/>
      <c r="Z2907" s="14"/>
      <c r="AA2907" s="16"/>
      <c r="AB2907" s="10"/>
      <c r="AC2907" s="10"/>
      <c r="AD2907" s="10"/>
      <c r="AE2907" s="10"/>
      <c r="AF2907" s="10"/>
      <c r="AG2907" s="10"/>
      <c r="AH2907" s="10"/>
      <c r="AI2907" s="10"/>
      <c r="AJ2907" s="10"/>
      <c r="AK2907" s="10"/>
      <c r="AL2907" s="1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10"/>
      <c r="BJ2907" s="10"/>
      <c r="BK2907" s="10"/>
      <c r="BM2907" s="10"/>
    </row>
    <row r="2908" spans="1:65" ht="12.75">
      <c r="A2908" s="9"/>
      <c r="B2908" s="10"/>
      <c r="C2908" s="11"/>
      <c r="D2908" s="12"/>
      <c r="E2908" s="10"/>
      <c r="F2908" s="10"/>
      <c r="G2908" s="10"/>
      <c r="H2908" s="14"/>
      <c r="I2908" s="14"/>
      <c r="J2908" s="14"/>
      <c r="K2908" s="14"/>
      <c r="L2908" s="14"/>
      <c r="M2908" s="15"/>
      <c r="N2908" s="10"/>
      <c r="O2908" s="14"/>
      <c r="P2908" s="14"/>
      <c r="Q2908" s="14"/>
      <c r="R2908" s="14"/>
      <c r="S2908" s="14"/>
      <c r="T2908" s="14"/>
      <c r="U2908" s="14"/>
      <c r="V2908" s="14"/>
      <c r="W2908" s="14"/>
      <c r="X2908" s="14"/>
      <c r="Y2908" s="14"/>
      <c r="Z2908" s="14"/>
      <c r="AA2908" s="16"/>
      <c r="AB2908" s="10"/>
      <c r="AC2908" s="10"/>
      <c r="AD2908" s="10"/>
      <c r="AE2908" s="10"/>
      <c r="AF2908" s="10"/>
      <c r="AG2908" s="10"/>
      <c r="AH2908" s="10"/>
      <c r="AI2908" s="10"/>
      <c r="AJ2908" s="10"/>
      <c r="AK2908" s="10"/>
      <c r="AL2908" s="10"/>
      <c r="AM2908" s="10"/>
      <c r="AN2908" s="10"/>
      <c r="AO2908" s="10"/>
      <c r="AP2908" s="10"/>
      <c r="AQ2908" s="10"/>
      <c r="AR2908" s="10"/>
      <c r="AS2908" s="10"/>
      <c r="AT2908" s="10"/>
      <c r="AU2908" s="10"/>
      <c r="AV2908" s="10"/>
      <c r="AW2908" s="10"/>
      <c r="AX2908" s="10"/>
      <c r="AY2908" s="10"/>
      <c r="AZ2908" s="10"/>
      <c r="BA2908" s="10"/>
      <c r="BB2908" s="10"/>
      <c r="BC2908" s="10"/>
      <c r="BD2908" s="10"/>
      <c r="BE2908" s="10"/>
      <c r="BF2908" s="10"/>
      <c r="BG2908" s="10"/>
      <c r="BH2908" s="10"/>
      <c r="BI2908" s="10"/>
      <c r="BJ2908" s="10"/>
      <c r="BK2908" s="10"/>
      <c r="BM2908" s="10"/>
    </row>
    <row r="2909" spans="1:65" ht="12.75">
      <c r="A2909" s="9"/>
      <c r="B2909" s="10"/>
      <c r="C2909" s="11"/>
      <c r="D2909" s="12"/>
      <c r="E2909" s="10"/>
      <c r="F2909" s="10"/>
      <c r="G2909" s="10"/>
      <c r="H2909" s="14"/>
      <c r="I2909" s="14"/>
      <c r="J2909" s="14"/>
      <c r="K2909" s="14"/>
      <c r="L2909" s="14"/>
      <c r="M2909" s="15"/>
      <c r="N2909" s="10"/>
      <c r="O2909" s="14"/>
      <c r="P2909" s="14"/>
      <c r="Q2909" s="14"/>
      <c r="R2909" s="14"/>
      <c r="S2909" s="14"/>
      <c r="T2909" s="14"/>
      <c r="U2909" s="14"/>
      <c r="V2909" s="14"/>
      <c r="W2909" s="14"/>
      <c r="X2909" s="14"/>
      <c r="Y2909" s="14"/>
      <c r="Z2909" s="14"/>
      <c r="AA2909" s="16"/>
      <c r="AB2909" s="10"/>
      <c r="AC2909" s="10"/>
      <c r="AD2909" s="10"/>
      <c r="AE2909" s="10"/>
      <c r="AF2909" s="10"/>
      <c r="AG2909" s="10"/>
      <c r="AH2909" s="10"/>
      <c r="AI2909" s="10"/>
      <c r="AJ2909" s="10"/>
      <c r="AK2909" s="10"/>
      <c r="AL2909" s="1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c r="BI2909" s="10"/>
      <c r="BJ2909" s="10"/>
      <c r="BK2909" s="10"/>
      <c r="BM2909" s="10"/>
    </row>
    <row r="2910" spans="1:65" ht="12.75">
      <c r="A2910" s="9"/>
      <c r="B2910" s="10"/>
      <c r="C2910" s="11"/>
      <c r="D2910" s="12"/>
      <c r="E2910" s="10"/>
      <c r="F2910" s="10"/>
      <c r="G2910" s="10"/>
      <c r="H2910" s="14"/>
      <c r="I2910" s="14"/>
      <c r="J2910" s="14"/>
      <c r="K2910" s="14"/>
      <c r="L2910" s="14"/>
      <c r="M2910" s="15"/>
      <c r="N2910" s="10"/>
      <c r="O2910" s="14"/>
      <c r="P2910" s="14"/>
      <c r="Q2910" s="14"/>
      <c r="R2910" s="14"/>
      <c r="S2910" s="14"/>
      <c r="T2910" s="14"/>
      <c r="U2910" s="14"/>
      <c r="V2910" s="14"/>
      <c r="W2910" s="14"/>
      <c r="X2910" s="14"/>
      <c r="Y2910" s="14"/>
      <c r="Z2910" s="14"/>
      <c r="AA2910" s="16"/>
      <c r="AB2910" s="10"/>
      <c r="AC2910" s="10"/>
      <c r="AD2910" s="10"/>
      <c r="AE2910" s="10"/>
      <c r="AF2910" s="10"/>
      <c r="AG2910" s="10"/>
      <c r="AH2910" s="10"/>
      <c r="AI2910" s="10"/>
      <c r="AJ2910" s="10"/>
      <c r="AK2910" s="10"/>
      <c r="AL2910" s="10"/>
      <c r="AM2910" s="10"/>
      <c r="AN2910" s="10"/>
      <c r="AO2910" s="10"/>
      <c r="AP2910" s="10"/>
      <c r="AQ2910" s="10"/>
      <c r="AR2910" s="10"/>
      <c r="AS2910" s="10"/>
      <c r="AT2910" s="10"/>
      <c r="AU2910" s="10"/>
      <c r="AV2910" s="10"/>
      <c r="AW2910" s="10"/>
      <c r="AX2910" s="10"/>
      <c r="AY2910" s="10"/>
      <c r="AZ2910" s="10"/>
      <c r="BA2910" s="10"/>
      <c r="BB2910" s="10"/>
      <c r="BC2910" s="10"/>
      <c r="BD2910" s="10"/>
      <c r="BE2910" s="10"/>
      <c r="BF2910" s="10"/>
      <c r="BG2910" s="10"/>
      <c r="BH2910" s="10"/>
      <c r="BI2910" s="10"/>
      <c r="BJ2910" s="10"/>
      <c r="BK2910" s="10"/>
      <c r="BM2910" s="10"/>
    </row>
    <row r="2911" spans="1:65" ht="12.75">
      <c r="A2911" s="9"/>
      <c r="B2911" s="10"/>
      <c r="C2911" s="11"/>
      <c r="D2911" s="12"/>
      <c r="E2911" s="10"/>
      <c r="F2911" s="10"/>
      <c r="G2911" s="10"/>
      <c r="H2911" s="14"/>
      <c r="I2911" s="14"/>
      <c r="J2911" s="14"/>
      <c r="K2911" s="14"/>
      <c r="L2911" s="14"/>
      <c r="M2911" s="15"/>
      <c r="N2911" s="10"/>
      <c r="O2911" s="14"/>
      <c r="P2911" s="14"/>
      <c r="Q2911" s="14"/>
      <c r="R2911" s="14"/>
      <c r="S2911" s="14"/>
      <c r="T2911" s="14"/>
      <c r="U2911" s="14"/>
      <c r="V2911" s="14"/>
      <c r="W2911" s="14"/>
      <c r="X2911" s="14"/>
      <c r="Y2911" s="14"/>
      <c r="Z2911" s="14"/>
      <c r="AA2911" s="16"/>
      <c r="AB2911" s="10"/>
      <c r="AC2911" s="10"/>
      <c r="AD2911" s="10"/>
      <c r="AE2911" s="10"/>
      <c r="AF2911" s="10"/>
      <c r="AG2911" s="10"/>
      <c r="AH2911" s="10"/>
      <c r="AI2911" s="10"/>
      <c r="AJ2911" s="10"/>
      <c r="AK2911" s="10"/>
      <c r="AL2911" s="1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c r="BI2911" s="10"/>
      <c r="BJ2911" s="10"/>
      <c r="BK2911" s="10"/>
      <c r="BM2911" s="10"/>
    </row>
    <row r="2912" spans="1:65" ht="12.75">
      <c r="A2912" s="9"/>
      <c r="B2912" s="10"/>
      <c r="C2912" s="11"/>
      <c r="D2912" s="12"/>
      <c r="E2912" s="10"/>
      <c r="F2912" s="10"/>
      <c r="G2912" s="10"/>
      <c r="H2912" s="14"/>
      <c r="I2912" s="14"/>
      <c r="J2912" s="14"/>
      <c r="K2912" s="14"/>
      <c r="L2912" s="14"/>
      <c r="M2912" s="15"/>
      <c r="N2912" s="10"/>
      <c r="O2912" s="14"/>
      <c r="P2912" s="14"/>
      <c r="Q2912" s="14"/>
      <c r="R2912" s="14"/>
      <c r="S2912" s="14"/>
      <c r="T2912" s="14"/>
      <c r="U2912" s="14"/>
      <c r="V2912" s="14"/>
      <c r="W2912" s="14"/>
      <c r="X2912" s="14"/>
      <c r="Y2912" s="14"/>
      <c r="Z2912" s="14"/>
      <c r="AA2912" s="16"/>
      <c r="AB2912" s="10"/>
      <c r="AC2912" s="10"/>
      <c r="AD2912" s="10"/>
      <c r="AE2912" s="10"/>
      <c r="AF2912" s="10"/>
      <c r="AG2912" s="10"/>
      <c r="AH2912" s="10"/>
      <c r="AI2912" s="10"/>
      <c r="AJ2912" s="10"/>
      <c r="AK2912" s="10"/>
      <c r="AL2912" s="10"/>
      <c r="AM2912" s="10"/>
      <c r="AN2912" s="10"/>
      <c r="AO2912" s="10"/>
      <c r="AP2912" s="10"/>
      <c r="AQ2912" s="10"/>
      <c r="AR2912" s="10"/>
      <c r="AS2912" s="10"/>
      <c r="AT2912" s="10"/>
      <c r="AU2912" s="10"/>
      <c r="AV2912" s="10"/>
      <c r="AW2912" s="10"/>
      <c r="AX2912" s="10"/>
      <c r="AY2912" s="10"/>
      <c r="AZ2912" s="10"/>
      <c r="BA2912" s="10"/>
      <c r="BB2912" s="10"/>
      <c r="BC2912" s="10"/>
      <c r="BD2912" s="10"/>
      <c r="BE2912" s="10"/>
      <c r="BF2912" s="10"/>
      <c r="BG2912" s="10"/>
      <c r="BH2912" s="10"/>
      <c r="BI2912" s="10"/>
      <c r="BJ2912" s="10"/>
      <c r="BK2912" s="10"/>
      <c r="BM2912" s="10"/>
    </row>
    <row r="2913" spans="1:65" ht="12.75">
      <c r="A2913" s="9"/>
      <c r="B2913" s="10"/>
      <c r="C2913" s="11"/>
      <c r="D2913" s="12"/>
      <c r="E2913" s="10"/>
      <c r="F2913" s="10"/>
      <c r="G2913" s="10"/>
      <c r="H2913" s="14"/>
      <c r="I2913" s="14"/>
      <c r="J2913" s="14"/>
      <c r="K2913" s="14"/>
      <c r="L2913" s="14"/>
      <c r="M2913" s="15"/>
      <c r="N2913" s="10"/>
      <c r="O2913" s="14"/>
      <c r="P2913" s="14"/>
      <c r="Q2913" s="14"/>
      <c r="R2913" s="14"/>
      <c r="S2913" s="14"/>
      <c r="T2913" s="14"/>
      <c r="U2913" s="14"/>
      <c r="V2913" s="14"/>
      <c r="W2913" s="14"/>
      <c r="X2913" s="14"/>
      <c r="Y2913" s="14"/>
      <c r="Z2913" s="14"/>
      <c r="AA2913" s="16"/>
      <c r="AB2913" s="10"/>
      <c r="AC2913" s="10"/>
      <c r="AD2913" s="10"/>
      <c r="AE2913" s="10"/>
      <c r="AF2913" s="10"/>
      <c r="AG2913" s="10"/>
      <c r="AH2913" s="10"/>
      <c r="AI2913" s="10"/>
      <c r="AJ2913" s="10"/>
      <c r="AK2913" s="10"/>
      <c r="AL2913" s="10"/>
      <c r="AM2913" s="10"/>
      <c r="AN2913" s="10"/>
      <c r="AO2913" s="10"/>
      <c r="AP2913" s="10"/>
      <c r="AQ2913" s="10"/>
      <c r="AR2913" s="10"/>
      <c r="AS2913" s="10"/>
      <c r="AT2913" s="10"/>
      <c r="AU2913" s="10"/>
      <c r="AV2913" s="10"/>
      <c r="AW2913" s="10"/>
      <c r="AX2913" s="10"/>
      <c r="AY2913" s="10"/>
      <c r="AZ2913" s="10"/>
      <c r="BA2913" s="10"/>
      <c r="BB2913" s="10"/>
      <c r="BC2913" s="10"/>
      <c r="BD2913" s="10"/>
      <c r="BE2913" s="10"/>
      <c r="BF2913" s="10"/>
      <c r="BG2913" s="10"/>
      <c r="BH2913" s="10"/>
      <c r="BI2913" s="10"/>
      <c r="BJ2913" s="10"/>
      <c r="BK2913" s="10"/>
      <c r="BM2913" s="10"/>
    </row>
    <row r="2914" spans="1:65" ht="12.75">
      <c r="A2914" s="9"/>
      <c r="B2914" s="10"/>
      <c r="C2914" s="11"/>
      <c r="D2914" s="12"/>
      <c r="E2914" s="10"/>
      <c r="F2914" s="10"/>
      <c r="G2914" s="10"/>
      <c r="H2914" s="14"/>
      <c r="I2914" s="14"/>
      <c r="J2914" s="14"/>
      <c r="K2914" s="14"/>
      <c r="L2914" s="14"/>
      <c r="M2914" s="15"/>
      <c r="N2914" s="10"/>
      <c r="O2914" s="14"/>
      <c r="P2914" s="14"/>
      <c r="Q2914" s="14"/>
      <c r="R2914" s="14"/>
      <c r="S2914" s="14"/>
      <c r="T2914" s="14"/>
      <c r="U2914" s="14"/>
      <c r="V2914" s="14"/>
      <c r="W2914" s="14"/>
      <c r="X2914" s="14"/>
      <c r="Y2914" s="14"/>
      <c r="Z2914" s="14"/>
      <c r="AA2914" s="16"/>
      <c r="AB2914" s="10"/>
      <c r="AC2914" s="10"/>
      <c r="AD2914" s="10"/>
      <c r="AE2914" s="10"/>
      <c r="AF2914" s="10"/>
      <c r="AG2914" s="10"/>
      <c r="AH2914" s="10"/>
      <c r="AI2914" s="10"/>
      <c r="AJ2914" s="10"/>
      <c r="AK2914" s="10"/>
      <c r="AL2914" s="10"/>
      <c r="AM2914" s="10"/>
      <c r="AN2914" s="10"/>
      <c r="AO2914" s="10"/>
      <c r="AP2914" s="10"/>
      <c r="AQ2914" s="10"/>
      <c r="AR2914" s="10"/>
      <c r="AS2914" s="10"/>
      <c r="AT2914" s="10"/>
      <c r="AU2914" s="10"/>
      <c r="AV2914" s="10"/>
      <c r="AW2914" s="10"/>
      <c r="AX2914" s="10"/>
      <c r="AY2914" s="10"/>
      <c r="AZ2914" s="10"/>
      <c r="BA2914" s="10"/>
      <c r="BB2914" s="10"/>
      <c r="BC2914" s="10"/>
      <c r="BD2914" s="10"/>
      <c r="BE2914" s="10"/>
      <c r="BF2914" s="10"/>
      <c r="BG2914" s="10"/>
      <c r="BH2914" s="10"/>
      <c r="BI2914" s="10"/>
      <c r="BJ2914" s="10"/>
      <c r="BK2914" s="10"/>
      <c r="BM2914" s="10"/>
    </row>
    <row r="2915" spans="1:65" ht="12.75">
      <c r="A2915" s="9"/>
      <c r="B2915" s="10"/>
      <c r="C2915" s="11"/>
      <c r="D2915" s="12"/>
      <c r="E2915" s="10"/>
      <c r="F2915" s="10"/>
      <c r="G2915" s="10"/>
      <c r="H2915" s="14"/>
      <c r="I2915" s="14"/>
      <c r="J2915" s="14"/>
      <c r="K2915" s="14"/>
      <c r="L2915" s="14"/>
      <c r="M2915" s="15"/>
      <c r="N2915" s="10"/>
      <c r="O2915" s="14"/>
      <c r="P2915" s="14"/>
      <c r="Q2915" s="14"/>
      <c r="R2915" s="14"/>
      <c r="S2915" s="14"/>
      <c r="T2915" s="14"/>
      <c r="U2915" s="14"/>
      <c r="V2915" s="14"/>
      <c r="W2915" s="14"/>
      <c r="X2915" s="14"/>
      <c r="Y2915" s="14"/>
      <c r="Z2915" s="14"/>
      <c r="AA2915" s="16"/>
      <c r="AB2915" s="10"/>
      <c r="AC2915" s="10"/>
      <c r="AD2915" s="10"/>
      <c r="AE2915" s="10"/>
      <c r="AF2915" s="10"/>
      <c r="AG2915" s="10"/>
      <c r="AH2915" s="10"/>
      <c r="AI2915" s="10"/>
      <c r="AJ2915" s="10"/>
      <c r="AK2915" s="10"/>
      <c r="AL2915" s="10"/>
      <c r="AM2915" s="10"/>
      <c r="AN2915" s="10"/>
      <c r="AO2915" s="10"/>
      <c r="AP2915" s="10"/>
      <c r="AQ2915" s="10"/>
      <c r="AR2915" s="10"/>
      <c r="AS2915" s="10"/>
      <c r="AT2915" s="10"/>
      <c r="AU2915" s="10"/>
      <c r="AV2915" s="10"/>
      <c r="AW2915" s="10"/>
      <c r="AX2915" s="10"/>
      <c r="AY2915" s="10"/>
      <c r="AZ2915" s="10"/>
      <c r="BA2915" s="10"/>
      <c r="BB2915" s="10"/>
      <c r="BC2915" s="10"/>
      <c r="BD2915" s="10"/>
      <c r="BE2915" s="10"/>
      <c r="BF2915" s="10"/>
      <c r="BG2915" s="10"/>
      <c r="BH2915" s="10"/>
      <c r="BI2915" s="10"/>
      <c r="BJ2915" s="10"/>
      <c r="BK2915" s="10"/>
      <c r="BM2915" s="10"/>
    </row>
    <row r="2916" spans="1:65" ht="12.75">
      <c r="A2916" s="9"/>
      <c r="B2916" s="10"/>
      <c r="C2916" s="11"/>
      <c r="D2916" s="12"/>
      <c r="E2916" s="10"/>
      <c r="F2916" s="10"/>
      <c r="G2916" s="10"/>
      <c r="H2916" s="14"/>
      <c r="I2916" s="14"/>
      <c r="J2916" s="14"/>
      <c r="K2916" s="14"/>
      <c r="L2916" s="14"/>
      <c r="M2916" s="15"/>
      <c r="N2916" s="10"/>
      <c r="O2916" s="14"/>
      <c r="P2916" s="14"/>
      <c r="Q2916" s="14"/>
      <c r="R2916" s="14"/>
      <c r="S2916" s="14"/>
      <c r="T2916" s="14"/>
      <c r="U2916" s="14"/>
      <c r="V2916" s="14"/>
      <c r="W2916" s="14"/>
      <c r="X2916" s="14"/>
      <c r="Y2916" s="14"/>
      <c r="Z2916" s="14"/>
      <c r="AA2916" s="16"/>
      <c r="AB2916" s="10"/>
      <c r="AC2916" s="10"/>
      <c r="AD2916" s="10"/>
      <c r="AE2916" s="10"/>
      <c r="AF2916" s="10"/>
      <c r="AG2916" s="10"/>
      <c r="AH2916" s="10"/>
      <c r="AI2916" s="10"/>
      <c r="AJ2916" s="10"/>
      <c r="AK2916" s="10"/>
      <c r="AL2916" s="10"/>
      <c r="AM2916" s="10"/>
      <c r="AN2916" s="10"/>
      <c r="AO2916" s="10"/>
      <c r="AP2916" s="10"/>
      <c r="AQ2916" s="10"/>
      <c r="AR2916" s="10"/>
      <c r="AS2916" s="10"/>
      <c r="AT2916" s="10"/>
      <c r="AU2916" s="10"/>
      <c r="AV2916" s="10"/>
      <c r="AW2916" s="10"/>
      <c r="AX2916" s="10"/>
      <c r="AY2916" s="10"/>
      <c r="AZ2916" s="10"/>
      <c r="BA2916" s="10"/>
      <c r="BB2916" s="10"/>
      <c r="BC2916" s="10"/>
      <c r="BD2916" s="10"/>
      <c r="BE2916" s="10"/>
      <c r="BF2916" s="10"/>
      <c r="BG2916" s="10"/>
      <c r="BH2916" s="10"/>
      <c r="BI2916" s="10"/>
      <c r="BJ2916" s="10"/>
      <c r="BK2916" s="10"/>
      <c r="BM2916" s="10"/>
    </row>
    <row r="2917" spans="1:65" ht="12.75">
      <c r="A2917" s="9"/>
      <c r="B2917" s="10"/>
      <c r="C2917" s="11"/>
      <c r="D2917" s="12"/>
      <c r="E2917" s="10"/>
      <c r="F2917" s="10"/>
      <c r="G2917" s="10"/>
      <c r="H2917" s="14"/>
      <c r="I2917" s="14"/>
      <c r="J2917" s="14"/>
      <c r="K2917" s="14"/>
      <c r="L2917" s="14"/>
      <c r="M2917" s="15"/>
      <c r="N2917" s="10"/>
      <c r="O2917" s="14"/>
      <c r="P2917" s="14"/>
      <c r="Q2917" s="14"/>
      <c r="R2917" s="14"/>
      <c r="S2917" s="14"/>
      <c r="T2917" s="14"/>
      <c r="U2917" s="14"/>
      <c r="V2917" s="14"/>
      <c r="W2917" s="14"/>
      <c r="X2917" s="14"/>
      <c r="Y2917" s="14"/>
      <c r="Z2917" s="14"/>
      <c r="AA2917" s="16"/>
      <c r="AB2917" s="10"/>
      <c r="AC2917" s="10"/>
      <c r="AD2917" s="10"/>
      <c r="AE2917" s="10"/>
      <c r="AF2917" s="10"/>
      <c r="AG2917" s="10"/>
      <c r="AH2917" s="10"/>
      <c r="AI2917" s="10"/>
      <c r="AJ2917" s="10"/>
      <c r="AK2917" s="10"/>
      <c r="AL2917" s="10"/>
      <c r="AM2917" s="10"/>
      <c r="AN2917" s="10"/>
      <c r="AO2917" s="10"/>
      <c r="AP2917" s="10"/>
      <c r="AQ2917" s="10"/>
      <c r="AR2917" s="10"/>
      <c r="AS2917" s="10"/>
      <c r="AT2917" s="10"/>
      <c r="AU2917" s="10"/>
      <c r="AV2917" s="10"/>
      <c r="AW2917" s="10"/>
      <c r="AX2917" s="10"/>
      <c r="AY2917" s="10"/>
      <c r="AZ2917" s="10"/>
      <c r="BA2917" s="10"/>
      <c r="BB2917" s="10"/>
      <c r="BC2917" s="10"/>
      <c r="BD2917" s="10"/>
      <c r="BE2917" s="10"/>
      <c r="BF2917" s="10"/>
      <c r="BG2917" s="10"/>
      <c r="BH2917" s="10"/>
      <c r="BI2917" s="10"/>
      <c r="BJ2917" s="10"/>
      <c r="BK2917" s="10"/>
      <c r="BM2917" s="10"/>
    </row>
    <row r="2918" spans="1:65" ht="12.75">
      <c r="A2918" s="9"/>
      <c r="B2918" s="10"/>
      <c r="C2918" s="11"/>
      <c r="D2918" s="12"/>
      <c r="E2918" s="10"/>
      <c r="F2918" s="10"/>
      <c r="G2918" s="10"/>
      <c r="H2918" s="14"/>
      <c r="I2918" s="14"/>
      <c r="J2918" s="14"/>
      <c r="K2918" s="14"/>
      <c r="L2918" s="14"/>
      <c r="M2918" s="15"/>
      <c r="N2918" s="10"/>
      <c r="O2918" s="14"/>
      <c r="P2918" s="14"/>
      <c r="Q2918" s="14"/>
      <c r="R2918" s="14"/>
      <c r="S2918" s="14"/>
      <c r="T2918" s="14"/>
      <c r="U2918" s="14"/>
      <c r="V2918" s="14"/>
      <c r="W2918" s="14"/>
      <c r="X2918" s="14"/>
      <c r="Y2918" s="14"/>
      <c r="Z2918" s="14"/>
      <c r="AA2918" s="16"/>
      <c r="AB2918" s="10"/>
      <c r="AC2918" s="10"/>
      <c r="AD2918" s="10"/>
      <c r="AE2918" s="10"/>
      <c r="AF2918" s="10"/>
      <c r="AG2918" s="10"/>
      <c r="AH2918" s="10"/>
      <c r="AI2918" s="10"/>
      <c r="AJ2918" s="10"/>
      <c r="AK2918" s="10"/>
      <c r="AL2918" s="10"/>
      <c r="AM2918" s="10"/>
      <c r="AN2918" s="10"/>
      <c r="AO2918" s="10"/>
      <c r="AP2918" s="10"/>
      <c r="AQ2918" s="10"/>
      <c r="AR2918" s="10"/>
      <c r="AS2918" s="10"/>
      <c r="AT2918" s="10"/>
      <c r="AU2918" s="10"/>
      <c r="AV2918" s="10"/>
      <c r="AW2918" s="10"/>
      <c r="AX2918" s="10"/>
      <c r="AY2918" s="10"/>
      <c r="AZ2918" s="10"/>
      <c r="BA2918" s="10"/>
      <c r="BB2918" s="10"/>
      <c r="BC2918" s="10"/>
      <c r="BD2918" s="10"/>
      <c r="BE2918" s="10"/>
      <c r="BF2918" s="10"/>
      <c r="BG2918" s="10"/>
      <c r="BH2918" s="10"/>
      <c r="BI2918" s="10"/>
      <c r="BJ2918" s="10"/>
      <c r="BK2918" s="10"/>
      <c r="BM2918" s="10"/>
    </row>
    <row r="2919" spans="1:65" ht="12.75">
      <c r="A2919" s="9"/>
      <c r="B2919" s="10"/>
      <c r="C2919" s="11"/>
      <c r="D2919" s="12"/>
      <c r="E2919" s="10"/>
      <c r="F2919" s="10"/>
      <c r="G2919" s="10"/>
      <c r="H2919" s="14"/>
      <c r="I2919" s="14"/>
      <c r="J2919" s="14"/>
      <c r="K2919" s="14"/>
      <c r="L2919" s="14"/>
      <c r="M2919" s="15"/>
      <c r="N2919" s="10"/>
      <c r="O2919" s="14"/>
      <c r="P2919" s="14"/>
      <c r="Q2919" s="14"/>
      <c r="R2919" s="14"/>
      <c r="S2919" s="14"/>
      <c r="T2919" s="14"/>
      <c r="U2919" s="14"/>
      <c r="V2919" s="14"/>
      <c r="W2919" s="14"/>
      <c r="X2919" s="14"/>
      <c r="Y2919" s="14"/>
      <c r="Z2919" s="14"/>
      <c r="AA2919" s="16"/>
      <c r="AB2919" s="10"/>
      <c r="AC2919" s="10"/>
      <c r="AD2919" s="10"/>
      <c r="AE2919" s="10"/>
      <c r="AF2919" s="10"/>
      <c r="AG2919" s="10"/>
      <c r="AH2919" s="10"/>
      <c r="AI2919" s="10"/>
      <c r="AJ2919" s="10"/>
      <c r="AK2919" s="10"/>
      <c r="AL2919" s="10"/>
      <c r="AM2919" s="10"/>
      <c r="AN2919" s="10"/>
      <c r="AO2919" s="10"/>
      <c r="AP2919" s="10"/>
      <c r="AQ2919" s="10"/>
      <c r="AR2919" s="10"/>
      <c r="AS2919" s="10"/>
      <c r="AT2919" s="10"/>
      <c r="AU2919" s="10"/>
      <c r="AV2919" s="10"/>
      <c r="AW2919" s="10"/>
      <c r="AX2919" s="10"/>
      <c r="AY2919" s="10"/>
      <c r="AZ2919" s="10"/>
      <c r="BA2919" s="10"/>
      <c r="BB2919" s="10"/>
      <c r="BC2919" s="10"/>
      <c r="BD2919" s="10"/>
      <c r="BE2919" s="10"/>
      <c r="BF2919" s="10"/>
      <c r="BG2919" s="10"/>
      <c r="BH2919" s="10"/>
      <c r="BI2919" s="10"/>
      <c r="BJ2919" s="10"/>
      <c r="BK2919" s="10"/>
      <c r="BM2919" s="10"/>
    </row>
    <row r="2920" spans="1:65" ht="12.75">
      <c r="A2920" s="9"/>
      <c r="B2920" s="10"/>
      <c r="C2920" s="11"/>
      <c r="D2920" s="12"/>
      <c r="E2920" s="10"/>
      <c r="F2920" s="10"/>
      <c r="G2920" s="10"/>
      <c r="H2920" s="14"/>
      <c r="I2920" s="14"/>
      <c r="J2920" s="14"/>
      <c r="K2920" s="14"/>
      <c r="L2920" s="14"/>
      <c r="M2920" s="15"/>
      <c r="N2920" s="10"/>
      <c r="O2920" s="14"/>
      <c r="P2920" s="14"/>
      <c r="Q2920" s="14"/>
      <c r="R2920" s="14"/>
      <c r="S2920" s="14"/>
      <c r="T2920" s="14"/>
      <c r="U2920" s="14"/>
      <c r="V2920" s="14"/>
      <c r="W2920" s="14"/>
      <c r="X2920" s="14"/>
      <c r="Y2920" s="14"/>
      <c r="Z2920" s="14"/>
      <c r="AA2920" s="16"/>
      <c r="AB2920" s="10"/>
      <c r="AC2920" s="10"/>
      <c r="AD2920" s="10"/>
      <c r="AE2920" s="10"/>
      <c r="AF2920" s="10"/>
      <c r="AG2920" s="10"/>
      <c r="AH2920" s="10"/>
      <c r="AI2920" s="10"/>
      <c r="AJ2920" s="10"/>
      <c r="AK2920" s="10"/>
      <c r="AL2920" s="10"/>
      <c r="AM2920" s="10"/>
      <c r="AN2920" s="10"/>
      <c r="AO2920" s="10"/>
      <c r="AP2920" s="10"/>
      <c r="AQ2920" s="10"/>
      <c r="AR2920" s="10"/>
      <c r="AS2920" s="10"/>
      <c r="AT2920" s="10"/>
      <c r="AU2920" s="10"/>
      <c r="AV2920" s="10"/>
      <c r="AW2920" s="10"/>
      <c r="AX2920" s="10"/>
      <c r="AY2920" s="10"/>
      <c r="AZ2920" s="10"/>
      <c r="BA2920" s="10"/>
      <c r="BB2920" s="10"/>
      <c r="BC2920" s="10"/>
      <c r="BD2920" s="10"/>
      <c r="BE2920" s="10"/>
      <c r="BF2920" s="10"/>
      <c r="BG2920" s="10"/>
      <c r="BH2920" s="10"/>
      <c r="BI2920" s="10"/>
      <c r="BJ2920" s="10"/>
      <c r="BK2920" s="10"/>
      <c r="BM2920" s="10"/>
    </row>
    <row r="2921" spans="1:65" ht="12.75">
      <c r="A2921" s="9"/>
      <c r="B2921" s="10"/>
      <c r="C2921" s="11"/>
      <c r="D2921" s="12"/>
      <c r="E2921" s="10"/>
      <c r="F2921" s="10"/>
      <c r="G2921" s="10"/>
      <c r="H2921" s="14"/>
      <c r="I2921" s="14"/>
      <c r="J2921" s="14"/>
      <c r="K2921" s="14"/>
      <c r="L2921" s="14"/>
      <c r="M2921" s="15"/>
      <c r="N2921" s="10"/>
      <c r="O2921" s="14"/>
      <c r="P2921" s="14"/>
      <c r="Q2921" s="14"/>
      <c r="R2921" s="14"/>
      <c r="S2921" s="14"/>
      <c r="T2921" s="14"/>
      <c r="U2921" s="14"/>
      <c r="V2921" s="14"/>
      <c r="W2921" s="14"/>
      <c r="X2921" s="14"/>
      <c r="Y2921" s="14"/>
      <c r="Z2921" s="14"/>
      <c r="AA2921" s="16"/>
      <c r="AB2921" s="10"/>
      <c r="AC2921" s="10"/>
      <c r="AD2921" s="10"/>
      <c r="AE2921" s="10"/>
      <c r="AF2921" s="10"/>
      <c r="AG2921" s="10"/>
      <c r="AH2921" s="10"/>
      <c r="AI2921" s="10"/>
      <c r="AJ2921" s="10"/>
      <c r="AK2921" s="10"/>
      <c r="AL2921" s="10"/>
      <c r="AM2921" s="10"/>
      <c r="AN2921" s="10"/>
      <c r="AO2921" s="10"/>
      <c r="AP2921" s="10"/>
      <c r="AQ2921" s="10"/>
      <c r="AR2921" s="10"/>
      <c r="AS2921" s="10"/>
      <c r="AT2921" s="10"/>
      <c r="AU2921" s="10"/>
      <c r="AV2921" s="10"/>
      <c r="AW2921" s="10"/>
      <c r="AX2921" s="10"/>
      <c r="AY2921" s="10"/>
      <c r="AZ2921" s="10"/>
      <c r="BA2921" s="10"/>
      <c r="BB2921" s="10"/>
      <c r="BC2921" s="10"/>
      <c r="BD2921" s="10"/>
      <c r="BE2921" s="10"/>
      <c r="BF2921" s="10"/>
      <c r="BG2921" s="10"/>
      <c r="BH2921" s="10"/>
      <c r="BI2921" s="10"/>
      <c r="BJ2921" s="10"/>
      <c r="BK2921" s="10"/>
      <c r="BM2921" s="10"/>
    </row>
    <row r="2922" spans="1:65" ht="12.75">
      <c r="A2922" s="9"/>
      <c r="B2922" s="10"/>
      <c r="C2922" s="11"/>
      <c r="D2922" s="12"/>
      <c r="E2922" s="10"/>
      <c r="F2922" s="10"/>
      <c r="G2922" s="10"/>
      <c r="H2922" s="14"/>
      <c r="I2922" s="14"/>
      <c r="J2922" s="14"/>
      <c r="K2922" s="14"/>
      <c r="L2922" s="14"/>
      <c r="M2922" s="15"/>
      <c r="N2922" s="10"/>
      <c r="O2922" s="14"/>
      <c r="P2922" s="14"/>
      <c r="Q2922" s="14"/>
      <c r="R2922" s="14"/>
      <c r="S2922" s="14"/>
      <c r="T2922" s="14"/>
      <c r="U2922" s="14"/>
      <c r="V2922" s="14"/>
      <c r="W2922" s="14"/>
      <c r="X2922" s="14"/>
      <c r="Y2922" s="14"/>
      <c r="Z2922" s="14"/>
      <c r="AA2922" s="16"/>
      <c r="AB2922" s="10"/>
      <c r="AC2922" s="10"/>
      <c r="AD2922" s="10"/>
      <c r="AE2922" s="10"/>
      <c r="AF2922" s="10"/>
      <c r="AG2922" s="10"/>
      <c r="AH2922" s="10"/>
      <c r="AI2922" s="10"/>
      <c r="AJ2922" s="10"/>
      <c r="AK2922" s="10"/>
      <c r="AL2922" s="10"/>
      <c r="AM2922" s="10"/>
      <c r="AN2922" s="10"/>
      <c r="AO2922" s="10"/>
      <c r="AP2922" s="10"/>
      <c r="AQ2922" s="10"/>
      <c r="AR2922" s="10"/>
      <c r="AS2922" s="10"/>
      <c r="AT2922" s="10"/>
      <c r="AU2922" s="10"/>
      <c r="AV2922" s="10"/>
      <c r="AW2922" s="10"/>
      <c r="AX2922" s="10"/>
      <c r="AY2922" s="10"/>
      <c r="AZ2922" s="10"/>
      <c r="BA2922" s="10"/>
      <c r="BB2922" s="10"/>
      <c r="BC2922" s="10"/>
      <c r="BD2922" s="10"/>
      <c r="BE2922" s="10"/>
      <c r="BF2922" s="10"/>
      <c r="BG2922" s="10"/>
      <c r="BH2922" s="10"/>
      <c r="BI2922" s="10"/>
      <c r="BJ2922" s="10"/>
      <c r="BK2922" s="10"/>
      <c r="BM2922" s="10"/>
    </row>
    <row r="2923" spans="1:65" ht="12.75">
      <c r="A2923" s="9"/>
      <c r="B2923" s="10"/>
      <c r="C2923" s="11"/>
      <c r="D2923" s="12"/>
      <c r="E2923" s="10"/>
      <c r="F2923" s="10"/>
      <c r="G2923" s="10"/>
      <c r="H2923" s="14"/>
      <c r="I2923" s="14"/>
      <c r="J2923" s="14"/>
      <c r="K2923" s="14"/>
      <c r="L2923" s="14"/>
      <c r="M2923" s="15"/>
      <c r="N2923" s="10"/>
      <c r="O2923" s="14"/>
      <c r="P2923" s="14"/>
      <c r="Q2923" s="14"/>
      <c r="R2923" s="14"/>
      <c r="S2923" s="14"/>
      <c r="T2923" s="14"/>
      <c r="U2923" s="14"/>
      <c r="V2923" s="14"/>
      <c r="W2923" s="14"/>
      <c r="X2923" s="14"/>
      <c r="Y2923" s="14"/>
      <c r="Z2923" s="14"/>
      <c r="AA2923" s="16"/>
      <c r="AB2923" s="10"/>
      <c r="AC2923" s="10"/>
      <c r="AD2923" s="10"/>
      <c r="AE2923" s="10"/>
      <c r="AF2923" s="10"/>
      <c r="AG2923" s="10"/>
      <c r="AH2923" s="10"/>
      <c r="AI2923" s="10"/>
      <c r="AJ2923" s="10"/>
      <c r="AK2923" s="10"/>
      <c r="AL2923" s="10"/>
      <c r="AM2923" s="10"/>
      <c r="AN2923" s="10"/>
      <c r="AO2923" s="10"/>
      <c r="AP2923" s="10"/>
      <c r="AQ2923" s="10"/>
      <c r="AR2923" s="10"/>
      <c r="AS2923" s="10"/>
      <c r="AT2923" s="10"/>
      <c r="AU2923" s="10"/>
      <c r="AV2923" s="10"/>
      <c r="AW2923" s="10"/>
      <c r="AX2923" s="10"/>
      <c r="AY2923" s="10"/>
      <c r="AZ2923" s="10"/>
      <c r="BA2923" s="10"/>
      <c r="BB2923" s="10"/>
      <c r="BC2923" s="10"/>
      <c r="BD2923" s="10"/>
      <c r="BE2923" s="10"/>
      <c r="BF2923" s="10"/>
      <c r="BG2923" s="10"/>
      <c r="BH2923" s="10"/>
      <c r="BI2923" s="10"/>
      <c r="BJ2923" s="10"/>
      <c r="BK2923" s="10"/>
      <c r="BM2923" s="10"/>
    </row>
    <row r="2924" spans="1:65" ht="12.75">
      <c r="A2924" s="9"/>
      <c r="B2924" s="10"/>
      <c r="C2924" s="11"/>
      <c r="D2924" s="12"/>
      <c r="E2924" s="10"/>
      <c r="F2924" s="10"/>
      <c r="G2924" s="10"/>
      <c r="H2924" s="14"/>
      <c r="I2924" s="14"/>
      <c r="J2924" s="14"/>
      <c r="K2924" s="14"/>
      <c r="L2924" s="14"/>
      <c r="M2924" s="15"/>
      <c r="N2924" s="10"/>
      <c r="O2924" s="14"/>
      <c r="P2924" s="14"/>
      <c r="Q2924" s="14"/>
      <c r="R2924" s="14"/>
      <c r="S2924" s="14"/>
      <c r="T2924" s="14"/>
      <c r="U2924" s="14"/>
      <c r="V2924" s="14"/>
      <c r="W2924" s="14"/>
      <c r="X2924" s="14"/>
      <c r="Y2924" s="14"/>
      <c r="Z2924" s="14"/>
      <c r="AA2924" s="16"/>
      <c r="AB2924" s="10"/>
      <c r="AC2924" s="10"/>
      <c r="AD2924" s="10"/>
      <c r="AE2924" s="10"/>
      <c r="AF2924" s="10"/>
      <c r="AG2924" s="10"/>
      <c r="AH2924" s="10"/>
      <c r="AI2924" s="10"/>
      <c r="AJ2924" s="10"/>
      <c r="AK2924" s="10"/>
      <c r="AL2924" s="10"/>
      <c r="AM2924" s="10"/>
      <c r="AN2924" s="10"/>
      <c r="AO2924" s="10"/>
      <c r="AP2924" s="10"/>
      <c r="AQ2924" s="10"/>
      <c r="AR2924" s="10"/>
      <c r="AS2924" s="10"/>
      <c r="AT2924" s="10"/>
      <c r="AU2924" s="10"/>
      <c r="AV2924" s="10"/>
      <c r="AW2924" s="10"/>
      <c r="AX2924" s="10"/>
      <c r="AY2924" s="10"/>
      <c r="AZ2924" s="10"/>
      <c r="BA2924" s="10"/>
      <c r="BB2924" s="10"/>
      <c r="BC2924" s="10"/>
      <c r="BD2924" s="10"/>
      <c r="BE2924" s="10"/>
      <c r="BF2924" s="10"/>
      <c r="BG2924" s="10"/>
      <c r="BH2924" s="10"/>
      <c r="BI2924" s="10"/>
      <c r="BJ2924" s="10"/>
      <c r="BK2924" s="10"/>
      <c r="BM2924" s="10"/>
    </row>
    <row r="2925" spans="1:65" ht="12.75">
      <c r="A2925" s="9"/>
      <c r="B2925" s="10"/>
      <c r="C2925" s="11"/>
      <c r="D2925" s="12"/>
      <c r="E2925" s="10"/>
      <c r="F2925" s="10"/>
      <c r="G2925" s="10"/>
      <c r="H2925" s="14"/>
      <c r="I2925" s="14"/>
      <c r="J2925" s="14"/>
      <c r="K2925" s="14"/>
      <c r="L2925" s="14"/>
      <c r="M2925" s="15"/>
      <c r="N2925" s="10"/>
      <c r="O2925" s="14"/>
      <c r="P2925" s="14"/>
      <c r="Q2925" s="14"/>
      <c r="R2925" s="14"/>
      <c r="S2925" s="14"/>
      <c r="T2925" s="14"/>
      <c r="U2925" s="14"/>
      <c r="V2925" s="14"/>
      <c r="W2925" s="14"/>
      <c r="X2925" s="14"/>
      <c r="Y2925" s="14"/>
      <c r="Z2925" s="14"/>
      <c r="AA2925" s="16"/>
      <c r="AB2925" s="10"/>
      <c r="AC2925" s="10"/>
      <c r="AD2925" s="10"/>
      <c r="AE2925" s="10"/>
      <c r="AF2925" s="10"/>
      <c r="AG2925" s="10"/>
      <c r="AH2925" s="10"/>
      <c r="AI2925" s="10"/>
      <c r="AJ2925" s="10"/>
      <c r="AK2925" s="10"/>
      <c r="AL2925" s="10"/>
      <c r="AM2925" s="10"/>
      <c r="AN2925" s="10"/>
      <c r="AO2925" s="10"/>
      <c r="AP2925" s="10"/>
      <c r="AQ2925" s="10"/>
      <c r="AR2925" s="10"/>
      <c r="AS2925" s="10"/>
      <c r="AT2925" s="10"/>
      <c r="AU2925" s="10"/>
      <c r="AV2925" s="10"/>
      <c r="AW2925" s="10"/>
      <c r="AX2925" s="10"/>
      <c r="AY2925" s="10"/>
      <c r="AZ2925" s="10"/>
      <c r="BA2925" s="10"/>
      <c r="BB2925" s="10"/>
      <c r="BC2925" s="10"/>
      <c r="BD2925" s="10"/>
      <c r="BE2925" s="10"/>
      <c r="BF2925" s="10"/>
      <c r="BG2925" s="10"/>
      <c r="BH2925" s="10"/>
      <c r="BI2925" s="10"/>
      <c r="BJ2925" s="10"/>
      <c r="BK2925" s="10"/>
      <c r="BM2925" s="10"/>
    </row>
    <row r="2926" spans="1:65" ht="12.75">
      <c r="A2926" s="9"/>
      <c r="B2926" s="10"/>
      <c r="C2926" s="11"/>
      <c r="D2926" s="12"/>
      <c r="E2926" s="10"/>
      <c r="F2926" s="10"/>
      <c r="G2926" s="10"/>
      <c r="H2926" s="14"/>
      <c r="I2926" s="14"/>
      <c r="J2926" s="14"/>
      <c r="K2926" s="14"/>
      <c r="L2926" s="14"/>
      <c r="M2926" s="15"/>
      <c r="N2926" s="10"/>
      <c r="O2926" s="14"/>
      <c r="P2926" s="14"/>
      <c r="Q2926" s="14"/>
      <c r="R2926" s="14"/>
      <c r="S2926" s="14"/>
      <c r="T2926" s="14"/>
      <c r="U2926" s="14"/>
      <c r="V2926" s="14"/>
      <c r="W2926" s="14"/>
      <c r="X2926" s="14"/>
      <c r="Y2926" s="14"/>
      <c r="Z2926" s="14"/>
      <c r="AA2926" s="16"/>
      <c r="AB2926" s="10"/>
      <c r="AC2926" s="10"/>
      <c r="AD2926" s="10"/>
      <c r="AE2926" s="10"/>
      <c r="AF2926" s="10"/>
      <c r="AG2926" s="10"/>
      <c r="AH2926" s="10"/>
      <c r="AI2926" s="10"/>
      <c r="AJ2926" s="10"/>
      <c r="AK2926" s="10"/>
      <c r="AL2926" s="10"/>
      <c r="AM2926" s="10"/>
      <c r="AN2926" s="10"/>
      <c r="AO2926" s="10"/>
      <c r="AP2926" s="10"/>
      <c r="AQ2926" s="10"/>
      <c r="AR2926" s="10"/>
      <c r="AS2926" s="10"/>
      <c r="AT2926" s="10"/>
      <c r="AU2926" s="10"/>
      <c r="AV2926" s="10"/>
      <c r="AW2926" s="10"/>
      <c r="AX2926" s="10"/>
      <c r="AY2926" s="10"/>
      <c r="AZ2926" s="10"/>
      <c r="BA2926" s="10"/>
      <c r="BB2926" s="10"/>
      <c r="BC2926" s="10"/>
      <c r="BD2926" s="10"/>
      <c r="BE2926" s="10"/>
      <c r="BF2926" s="10"/>
      <c r="BG2926" s="10"/>
      <c r="BH2926" s="10"/>
      <c r="BI2926" s="10"/>
      <c r="BJ2926" s="10"/>
      <c r="BK2926" s="10"/>
      <c r="BM2926" s="10"/>
    </row>
    <row r="2927" spans="1:65" ht="12.75">
      <c r="A2927" s="9"/>
      <c r="B2927" s="10"/>
      <c r="C2927" s="11"/>
      <c r="D2927" s="12"/>
      <c r="E2927" s="10"/>
      <c r="F2927" s="10"/>
      <c r="G2927" s="10"/>
      <c r="H2927" s="14"/>
      <c r="I2927" s="14"/>
      <c r="J2927" s="14"/>
      <c r="K2927" s="14"/>
      <c r="L2927" s="14"/>
      <c r="M2927" s="15"/>
      <c r="N2927" s="10"/>
      <c r="O2927" s="14"/>
      <c r="P2927" s="14"/>
      <c r="Q2927" s="14"/>
      <c r="R2927" s="14"/>
      <c r="S2927" s="14"/>
      <c r="T2927" s="14"/>
      <c r="U2927" s="14"/>
      <c r="V2927" s="14"/>
      <c r="W2927" s="14"/>
      <c r="X2927" s="14"/>
      <c r="Y2927" s="14"/>
      <c r="Z2927" s="14"/>
      <c r="AA2927" s="16"/>
      <c r="AB2927" s="10"/>
      <c r="AC2927" s="10"/>
      <c r="AD2927" s="10"/>
      <c r="AE2927" s="10"/>
      <c r="AF2927" s="10"/>
      <c r="AG2927" s="10"/>
      <c r="AH2927" s="10"/>
      <c r="AI2927" s="10"/>
      <c r="AJ2927" s="10"/>
      <c r="AK2927" s="10"/>
      <c r="AL2927" s="10"/>
      <c r="AM2927" s="10"/>
      <c r="AN2927" s="10"/>
      <c r="AO2927" s="10"/>
      <c r="AP2927" s="10"/>
      <c r="AQ2927" s="10"/>
      <c r="AR2927" s="10"/>
      <c r="AS2927" s="10"/>
      <c r="AT2927" s="10"/>
      <c r="AU2927" s="10"/>
      <c r="AV2927" s="10"/>
      <c r="AW2927" s="10"/>
      <c r="AX2927" s="10"/>
      <c r="AY2927" s="10"/>
      <c r="AZ2927" s="10"/>
      <c r="BA2927" s="10"/>
      <c r="BB2927" s="10"/>
      <c r="BC2927" s="10"/>
      <c r="BD2927" s="10"/>
      <c r="BE2927" s="10"/>
      <c r="BF2927" s="10"/>
      <c r="BG2927" s="10"/>
      <c r="BH2927" s="10"/>
      <c r="BI2927" s="10"/>
      <c r="BJ2927" s="10"/>
      <c r="BK2927" s="10"/>
      <c r="BM2927" s="10"/>
    </row>
    <row r="2928" spans="1:65" ht="12.75">
      <c r="A2928" s="9"/>
      <c r="B2928" s="10"/>
      <c r="C2928" s="11"/>
      <c r="D2928" s="12"/>
      <c r="E2928" s="10"/>
      <c r="F2928" s="10"/>
      <c r="G2928" s="10"/>
      <c r="H2928" s="14"/>
      <c r="I2928" s="14"/>
      <c r="J2928" s="14"/>
      <c r="K2928" s="14"/>
      <c r="L2928" s="14"/>
      <c r="M2928" s="15"/>
      <c r="N2928" s="10"/>
      <c r="O2928" s="14"/>
      <c r="P2928" s="14"/>
      <c r="Q2928" s="14"/>
      <c r="R2928" s="14"/>
      <c r="S2928" s="14"/>
      <c r="T2928" s="14"/>
      <c r="U2928" s="14"/>
      <c r="V2928" s="14"/>
      <c r="W2928" s="14"/>
      <c r="X2928" s="14"/>
      <c r="Y2928" s="14"/>
      <c r="Z2928" s="14"/>
      <c r="AA2928" s="16"/>
      <c r="AB2928" s="10"/>
      <c r="AC2928" s="10"/>
      <c r="AD2928" s="10"/>
      <c r="AE2928" s="10"/>
      <c r="AF2928" s="10"/>
      <c r="AG2928" s="10"/>
      <c r="AH2928" s="10"/>
      <c r="AI2928" s="10"/>
      <c r="AJ2928" s="10"/>
      <c r="AK2928" s="10"/>
      <c r="AL2928" s="10"/>
      <c r="AM2928" s="10"/>
      <c r="AN2928" s="10"/>
      <c r="AO2928" s="10"/>
      <c r="AP2928" s="10"/>
      <c r="AQ2928" s="10"/>
      <c r="AR2928" s="10"/>
      <c r="AS2928" s="10"/>
      <c r="AT2928" s="10"/>
      <c r="AU2928" s="10"/>
      <c r="AV2928" s="10"/>
      <c r="AW2928" s="10"/>
      <c r="AX2928" s="10"/>
      <c r="AY2928" s="10"/>
      <c r="AZ2928" s="10"/>
      <c r="BA2928" s="10"/>
      <c r="BB2928" s="10"/>
      <c r="BC2928" s="10"/>
      <c r="BD2928" s="10"/>
      <c r="BE2928" s="10"/>
      <c r="BF2928" s="10"/>
      <c r="BG2928" s="10"/>
      <c r="BH2928" s="10"/>
      <c r="BI2928" s="10"/>
      <c r="BJ2928" s="10"/>
      <c r="BK2928" s="10"/>
      <c r="BM2928" s="10"/>
    </row>
    <row r="2929" spans="1:65" ht="12.75">
      <c r="A2929" s="9"/>
      <c r="B2929" s="10"/>
      <c r="C2929" s="11"/>
      <c r="D2929" s="12"/>
      <c r="E2929" s="10"/>
      <c r="F2929" s="10"/>
      <c r="G2929" s="10"/>
      <c r="H2929" s="14"/>
      <c r="I2929" s="14"/>
      <c r="J2929" s="14"/>
      <c r="K2929" s="14"/>
      <c r="L2929" s="14"/>
      <c r="M2929" s="15"/>
      <c r="N2929" s="10"/>
      <c r="O2929" s="14"/>
      <c r="P2929" s="14"/>
      <c r="Q2929" s="14"/>
      <c r="R2929" s="14"/>
      <c r="S2929" s="14"/>
      <c r="T2929" s="14"/>
      <c r="U2929" s="14"/>
      <c r="V2929" s="14"/>
      <c r="W2929" s="14"/>
      <c r="X2929" s="14"/>
      <c r="Y2929" s="14"/>
      <c r="Z2929" s="14"/>
      <c r="AA2929" s="16"/>
      <c r="AB2929" s="10"/>
      <c r="AC2929" s="10"/>
      <c r="AD2929" s="10"/>
      <c r="AE2929" s="10"/>
      <c r="AF2929" s="10"/>
      <c r="AG2929" s="10"/>
      <c r="AH2929" s="10"/>
      <c r="AI2929" s="10"/>
      <c r="AJ2929" s="10"/>
      <c r="AK2929" s="10"/>
      <c r="AL2929" s="10"/>
      <c r="AM2929" s="10"/>
      <c r="AN2929" s="10"/>
      <c r="AO2929" s="10"/>
      <c r="AP2929" s="10"/>
      <c r="AQ2929" s="10"/>
      <c r="AR2929" s="10"/>
      <c r="AS2929" s="10"/>
      <c r="AT2929" s="10"/>
      <c r="AU2929" s="10"/>
      <c r="AV2929" s="10"/>
      <c r="AW2929" s="10"/>
      <c r="AX2929" s="10"/>
      <c r="AY2929" s="10"/>
      <c r="AZ2929" s="10"/>
      <c r="BA2929" s="10"/>
      <c r="BB2929" s="10"/>
      <c r="BC2929" s="10"/>
      <c r="BD2929" s="10"/>
      <c r="BE2929" s="10"/>
      <c r="BF2929" s="10"/>
      <c r="BG2929" s="10"/>
      <c r="BH2929" s="10"/>
      <c r="BI2929" s="10"/>
      <c r="BJ2929" s="10"/>
      <c r="BK2929" s="10"/>
      <c r="BM2929" s="10"/>
    </row>
    <row r="2930" spans="1:65" ht="12.75">
      <c r="A2930" s="9"/>
      <c r="B2930" s="10"/>
      <c r="C2930" s="11"/>
      <c r="D2930" s="12"/>
      <c r="E2930" s="10"/>
      <c r="F2930" s="10"/>
      <c r="G2930" s="10"/>
      <c r="H2930" s="14"/>
      <c r="I2930" s="14"/>
      <c r="J2930" s="14"/>
      <c r="K2930" s="14"/>
      <c r="L2930" s="14"/>
      <c r="M2930" s="15"/>
      <c r="N2930" s="10"/>
      <c r="O2930" s="14"/>
      <c r="P2930" s="14"/>
      <c r="Q2930" s="14"/>
      <c r="R2930" s="14"/>
      <c r="S2930" s="14"/>
      <c r="T2930" s="14"/>
      <c r="U2930" s="14"/>
      <c r="V2930" s="14"/>
      <c r="W2930" s="14"/>
      <c r="X2930" s="14"/>
      <c r="Y2930" s="14"/>
      <c r="Z2930" s="14"/>
      <c r="AA2930" s="16"/>
      <c r="AB2930" s="10"/>
      <c r="AC2930" s="10"/>
      <c r="AD2930" s="10"/>
      <c r="AE2930" s="10"/>
      <c r="AF2930" s="10"/>
      <c r="AG2930" s="10"/>
      <c r="AH2930" s="10"/>
      <c r="AI2930" s="10"/>
      <c r="AJ2930" s="10"/>
      <c r="AK2930" s="10"/>
      <c r="AL2930" s="10"/>
      <c r="AM2930" s="10"/>
      <c r="AN2930" s="10"/>
      <c r="AO2930" s="10"/>
      <c r="AP2930" s="10"/>
      <c r="AQ2930" s="10"/>
      <c r="AR2930" s="10"/>
      <c r="AS2930" s="10"/>
      <c r="AT2930" s="10"/>
      <c r="AU2930" s="10"/>
      <c r="AV2930" s="10"/>
      <c r="AW2930" s="10"/>
      <c r="AX2930" s="10"/>
      <c r="AY2930" s="10"/>
      <c r="AZ2930" s="10"/>
      <c r="BA2930" s="10"/>
      <c r="BB2930" s="10"/>
      <c r="BC2930" s="10"/>
      <c r="BD2930" s="10"/>
      <c r="BE2930" s="10"/>
      <c r="BF2930" s="10"/>
      <c r="BG2930" s="10"/>
      <c r="BH2930" s="10"/>
      <c r="BI2930" s="10"/>
      <c r="BJ2930" s="10"/>
      <c r="BK2930" s="10"/>
      <c r="BM2930" s="10"/>
    </row>
    <row r="2931" spans="1:65" ht="12.75">
      <c r="A2931" s="9"/>
      <c r="B2931" s="10"/>
      <c r="C2931" s="11"/>
      <c r="D2931" s="12"/>
      <c r="E2931" s="10"/>
      <c r="F2931" s="10"/>
      <c r="G2931" s="10"/>
      <c r="H2931" s="14"/>
      <c r="I2931" s="14"/>
      <c r="J2931" s="14"/>
      <c r="K2931" s="14"/>
      <c r="L2931" s="14"/>
      <c r="M2931" s="15"/>
      <c r="N2931" s="10"/>
      <c r="O2931" s="14"/>
      <c r="P2931" s="14"/>
      <c r="Q2931" s="14"/>
      <c r="R2931" s="14"/>
      <c r="S2931" s="14"/>
      <c r="T2931" s="14"/>
      <c r="U2931" s="14"/>
      <c r="V2931" s="14"/>
      <c r="W2931" s="14"/>
      <c r="X2931" s="14"/>
      <c r="Y2931" s="14"/>
      <c r="Z2931" s="14"/>
      <c r="AA2931" s="16"/>
      <c r="AB2931" s="10"/>
      <c r="AC2931" s="10"/>
      <c r="AD2931" s="10"/>
      <c r="AE2931" s="10"/>
      <c r="AF2931" s="10"/>
      <c r="AG2931" s="10"/>
      <c r="AH2931" s="10"/>
      <c r="AI2931" s="10"/>
      <c r="AJ2931" s="10"/>
      <c r="AK2931" s="10"/>
      <c r="AL2931" s="10"/>
      <c r="AM2931" s="10"/>
      <c r="AN2931" s="10"/>
      <c r="AO2931" s="10"/>
      <c r="AP2931" s="10"/>
      <c r="AQ2931" s="10"/>
      <c r="AR2931" s="10"/>
      <c r="AS2931" s="10"/>
      <c r="AT2931" s="10"/>
      <c r="AU2931" s="10"/>
      <c r="AV2931" s="10"/>
      <c r="AW2931" s="10"/>
      <c r="AX2931" s="10"/>
      <c r="AY2931" s="10"/>
      <c r="AZ2931" s="10"/>
      <c r="BA2931" s="10"/>
      <c r="BB2931" s="10"/>
      <c r="BC2931" s="10"/>
      <c r="BD2931" s="10"/>
      <c r="BE2931" s="10"/>
      <c r="BF2931" s="10"/>
      <c r="BG2931" s="10"/>
      <c r="BH2931" s="10"/>
      <c r="BI2931" s="10"/>
      <c r="BJ2931" s="10"/>
      <c r="BK2931" s="10"/>
      <c r="BM2931" s="10"/>
    </row>
    <row r="2932" spans="1:65" ht="12.75">
      <c r="A2932" s="9"/>
      <c r="B2932" s="10"/>
      <c r="C2932" s="11"/>
      <c r="D2932" s="12"/>
      <c r="E2932" s="10"/>
      <c r="F2932" s="10"/>
      <c r="G2932" s="10"/>
      <c r="H2932" s="14"/>
      <c r="I2932" s="14"/>
      <c r="J2932" s="14"/>
      <c r="K2932" s="14"/>
      <c r="L2932" s="14"/>
      <c r="M2932" s="15"/>
      <c r="N2932" s="10"/>
      <c r="O2932" s="14"/>
      <c r="P2932" s="14"/>
      <c r="Q2932" s="14"/>
      <c r="R2932" s="14"/>
      <c r="S2932" s="14"/>
      <c r="T2932" s="14"/>
      <c r="U2932" s="14"/>
      <c r="V2932" s="14"/>
      <c r="W2932" s="14"/>
      <c r="X2932" s="14"/>
      <c r="Y2932" s="14"/>
      <c r="Z2932" s="14"/>
      <c r="AA2932" s="16"/>
      <c r="AB2932" s="10"/>
      <c r="AC2932" s="10"/>
      <c r="AD2932" s="10"/>
      <c r="AE2932" s="10"/>
      <c r="AF2932" s="10"/>
      <c r="AG2932" s="10"/>
      <c r="AH2932" s="10"/>
      <c r="AI2932" s="10"/>
      <c r="AJ2932" s="10"/>
      <c r="AK2932" s="10"/>
      <c r="AL2932" s="10"/>
      <c r="AM2932" s="10"/>
      <c r="AN2932" s="10"/>
      <c r="AO2932" s="10"/>
      <c r="AP2932" s="10"/>
      <c r="AQ2932" s="10"/>
      <c r="AR2932" s="10"/>
      <c r="AS2932" s="10"/>
      <c r="AT2932" s="10"/>
      <c r="AU2932" s="10"/>
      <c r="AV2932" s="10"/>
      <c r="AW2932" s="10"/>
      <c r="AX2932" s="10"/>
      <c r="AY2932" s="10"/>
      <c r="AZ2932" s="10"/>
      <c r="BA2932" s="10"/>
      <c r="BB2932" s="10"/>
      <c r="BC2932" s="10"/>
      <c r="BD2932" s="10"/>
      <c r="BE2932" s="10"/>
      <c r="BF2932" s="10"/>
      <c r="BG2932" s="10"/>
      <c r="BH2932" s="10"/>
      <c r="BI2932" s="10"/>
      <c r="BJ2932" s="10"/>
      <c r="BK2932" s="10"/>
      <c r="BM2932" s="10"/>
    </row>
    <row r="2933" spans="1:65" ht="12.75">
      <c r="A2933" s="9"/>
      <c r="B2933" s="10"/>
      <c r="C2933" s="11"/>
      <c r="D2933" s="12"/>
      <c r="E2933" s="10"/>
      <c r="F2933" s="10"/>
      <c r="G2933" s="10"/>
      <c r="H2933" s="14"/>
      <c r="I2933" s="14"/>
      <c r="J2933" s="14"/>
      <c r="K2933" s="14"/>
      <c r="L2933" s="14"/>
      <c r="M2933" s="15"/>
      <c r="N2933" s="10"/>
      <c r="O2933" s="14"/>
      <c r="P2933" s="14"/>
      <c r="Q2933" s="14"/>
      <c r="R2933" s="14"/>
      <c r="S2933" s="14"/>
      <c r="T2933" s="14"/>
      <c r="U2933" s="14"/>
      <c r="V2933" s="14"/>
      <c r="W2933" s="14"/>
      <c r="X2933" s="14"/>
      <c r="Y2933" s="14"/>
      <c r="Z2933" s="14"/>
      <c r="AA2933" s="16"/>
      <c r="AB2933" s="10"/>
      <c r="AC2933" s="10"/>
      <c r="AD2933" s="10"/>
      <c r="AE2933" s="10"/>
      <c r="AF2933" s="10"/>
      <c r="AG2933" s="10"/>
      <c r="AH2933" s="10"/>
      <c r="AI2933" s="10"/>
      <c r="AJ2933" s="10"/>
      <c r="AK2933" s="10"/>
      <c r="AL2933" s="10"/>
      <c r="AM2933" s="10"/>
      <c r="AN2933" s="10"/>
      <c r="AO2933" s="10"/>
      <c r="AP2933" s="10"/>
      <c r="AQ2933" s="10"/>
      <c r="AR2933" s="10"/>
      <c r="AS2933" s="10"/>
      <c r="AT2933" s="10"/>
      <c r="AU2933" s="10"/>
      <c r="AV2933" s="10"/>
      <c r="AW2933" s="10"/>
      <c r="AX2933" s="10"/>
      <c r="AY2933" s="10"/>
      <c r="AZ2933" s="10"/>
      <c r="BA2933" s="10"/>
      <c r="BB2933" s="10"/>
      <c r="BC2933" s="10"/>
      <c r="BD2933" s="10"/>
      <c r="BE2933" s="10"/>
      <c r="BF2933" s="10"/>
      <c r="BG2933" s="10"/>
      <c r="BH2933" s="10"/>
      <c r="BI2933" s="10"/>
      <c r="BJ2933" s="10"/>
      <c r="BK2933" s="10"/>
      <c r="BM2933" s="10"/>
    </row>
    <row r="2934" spans="1:65" ht="12.75">
      <c r="A2934" s="9"/>
      <c r="B2934" s="10"/>
      <c r="C2934" s="11"/>
      <c r="D2934" s="12"/>
      <c r="E2934" s="10"/>
      <c r="F2934" s="10"/>
      <c r="G2934" s="10"/>
      <c r="H2934" s="14"/>
      <c r="I2934" s="14"/>
      <c r="J2934" s="14"/>
      <c r="K2934" s="14"/>
      <c r="L2934" s="14"/>
      <c r="M2934" s="15"/>
      <c r="N2934" s="10"/>
      <c r="O2934" s="14"/>
      <c r="P2934" s="14"/>
      <c r="Q2934" s="14"/>
      <c r="R2934" s="14"/>
      <c r="S2934" s="14"/>
      <c r="T2934" s="14"/>
      <c r="U2934" s="14"/>
      <c r="V2934" s="14"/>
      <c r="W2934" s="14"/>
      <c r="X2934" s="14"/>
      <c r="Y2934" s="14"/>
      <c r="Z2934" s="14"/>
      <c r="AA2934" s="16"/>
      <c r="AB2934" s="10"/>
      <c r="AC2934" s="10"/>
      <c r="AD2934" s="10"/>
      <c r="AE2934" s="10"/>
      <c r="AF2934" s="10"/>
      <c r="AG2934" s="10"/>
      <c r="AH2934" s="10"/>
      <c r="AI2934" s="10"/>
      <c r="AJ2934" s="10"/>
      <c r="AK2934" s="10"/>
      <c r="AL2934" s="10"/>
      <c r="AM2934" s="10"/>
      <c r="AN2934" s="10"/>
      <c r="AO2934" s="10"/>
      <c r="AP2934" s="10"/>
      <c r="AQ2934" s="10"/>
      <c r="AR2934" s="10"/>
      <c r="AS2934" s="10"/>
      <c r="AT2934" s="10"/>
      <c r="AU2934" s="10"/>
      <c r="AV2934" s="10"/>
      <c r="AW2934" s="10"/>
      <c r="AX2934" s="10"/>
      <c r="AY2934" s="10"/>
      <c r="AZ2934" s="10"/>
      <c r="BA2934" s="10"/>
      <c r="BB2934" s="10"/>
      <c r="BC2934" s="10"/>
      <c r="BD2934" s="10"/>
      <c r="BE2934" s="10"/>
      <c r="BF2934" s="10"/>
      <c r="BG2934" s="10"/>
      <c r="BH2934" s="10"/>
      <c r="BI2934" s="10"/>
      <c r="BJ2934" s="10"/>
      <c r="BK2934" s="10"/>
      <c r="BM2934" s="10"/>
    </row>
    <row r="2935" spans="1:65" ht="12.75">
      <c r="A2935" s="9"/>
      <c r="B2935" s="10"/>
      <c r="C2935" s="11"/>
      <c r="D2935" s="12"/>
      <c r="E2935" s="10"/>
      <c r="F2935" s="10"/>
      <c r="G2935" s="10"/>
      <c r="H2935" s="14"/>
      <c r="I2935" s="14"/>
      <c r="J2935" s="14"/>
      <c r="K2935" s="14"/>
      <c r="L2935" s="14"/>
      <c r="M2935" s="15"/>
      <c r="N2935" s="10"/>
      <c r="O2935" s="14"/>
      <c r="P2935" s="14"/>
      <c r="Q2935" s="14"/>
      <c r="R2935" s="14"/>
      <c r="S2935" s="14"/>
      <c r="T2935" s="14"/>
      <c r="U2935" s="14"/>
      <c r="V2935" s="14"/>
      <c r="W2935" s="14"/>
      <c r="X2935" s="14"/>
      <c r="Y2935" s="14"/>
      <c r="Z2935" s="14"/>
      <c r="AA2935" s="16"/>
      <c r="AB2935" s="10"/>
      <c r="AC2935" s="10"/>
      <c r="AD2935" s="10"/>
      <c r="AE2935" s="10"/>
      <c r="AF2935" s="10"/>
      <c r="AG2935" s="10"/>
      <c r="AH2935" s="10"/>
      <c r="AI2935" s="10"/>
      <c r="AJ2935" s="10"/>
      <c r="AK2935" s="10"/>
      <c r="AL2935" s="10"/>
      <c r="AM2935" s="10"/>
      <c r="AN2935" s="10"/>
      <c r="AO2935" s="10"/>
      <c r="AP2935" s="10"/>
      <c r="AQ2935" s="10"/>
      <c r="AR2935" s="10"/>
      <c r="AS2935" s="10"/>
      <c r="AT2935" s="10"/>
      <c r="AU2935" s="10"/>
      <c r="AV2935" s="10"/>
      <c r="AW2935" s="10"/>
      <c r="AX2935" s="10"/>
      <c r="AY2935" s="10"/>
      <c r="AZ2935" s="10"/>
      <c r="BA2935" s="10"/>
      <c r="BB2935" s="10"/>
      <c r="BC2935" s="10"/>
      <c r="BD2935" s="10"/>
      <c r="BE2935" s="10"/>
      <c r="BF2935" s="10"/>
      <c r="BG2935" s="10"/>
      <c r="BH2935" s="10"/>
      <c r="BI2935" s="10"/>
      <c r="BJ2935" s="10"/>
      <c r="BK2935" s="10"/>
      <c r="BM2935" s="10"/>
    </row>
    <row r="2936" spans="1:65" ht="12.75">
      <c r="A2936" s="9"/>
      <c r="B2936" s="10"/>
      <c r="C2936" s="11"/>
      <c r="D2936" s="12"/>
      <c r="E2936" s="10"/>
      <c r="F2936" s="10"/>
      <c r="G2936" s="10"/>
      <c r="H2936" s="14"/>
      <c r="I2936" s="14"/>
      <c r="J2936" s="14"/>
      <c r="K2936" s="14"/>
      <c r="L2936" s="14"/>
      <c r="M2936" s="15"/>
      <c r="N2936" s="10"/>
      <c r="O2936" s="14"/>
      <c r="P2936" s="14"/>
      <c r="Q2936" s="14"/>
      <c r="R2936" s="14"/>
      <c r="S2936" s="14"/>
      <c r="T2936" s="14"/>
      <c r="U2936" s="14"/>
      <c r="V2936" s="14"/>
      <c r="W2936" s="14"/>
      <c r="X2936" s="14"/>
      <c r="Y2936" s="14"/>
      <c r="Z2936" s="14"/>
      <c r="AA2936" s="16"/>
      <c r="AB2936" s="10"/>
      <c r="AC2936" s="10"/>
      <c r="AD2936" s="10"/>
      <c r="AE2936" s="10"/>
      <c r="AF2936" s="10"/>
      <c r="AG2936" s="10"/>
      <c r="AH2936" s="10"/>
      <c r="AI2936" s="10"/>
      <c r="AJ2936" s="10"/>
      <c r="AK2936" s="10"/>
      <c r="AL2936" s="10"/>
      <c r="AM2936" s="10"/>
      <c r="AN2936" s="10"/>
      <c r="AO2936" s="10"/>
      <c r="AP2936" s="10"/>
      <c r="AQ2936" s="10"/>
      <c r="AR2936" s="10"/>
      <c r="AS2936" s="10"/>
      <c r="AT2936" s="10"/>
      <c r="AU2936" s="10"/>
      <c r="AV2936" s="10"/>
      <c r="AW2936" s="10"/>
      <c r="AX2936" s="10"/>
      <c r="AY2936" s="10"/>
      <c r="AZ2936" s="10"/>
      <c r="BA2936" s="10"/>
      <c r="BB2936" s="10"/>
      <c r="BC2936" s="10"/>
      <c r="BD2936" s="10"/>
      <c r="BE2936" s="10"/>
      <c r="BF2936" s="10"/>
      <c r="BG2936" s="10"/>
      <c r="BH2936" s="10"/>
      <c r="BI2936" s="10"/>
      <c r="BJ2936" s="10"/>
      <c r="BK2936" s="10"/>
      <c r="BM2936" s="10"/>
    </row>
    <row r="2937" spans="1:65" ht="12.75">
      <c r="A2937" s="9"/>
      <c r="B2937" s="10"/>
      <c r="C2937" s="11"/>
      <c r="D2937" s="12"/>
      <c r="E2937" s="10"/>
      <c r="F2937" s="10"/>
      <c r="G2937" s="10"/>
      <c r="H2937" s="14"/>
      <c r="I2937" s="14"/>
      <c r="J2937" s="14"/>
      <c r="K2937" s="14"/>
      <c r="L2937" s="14"/>
      <c r="M2937" s="15"/>
      <c r="N2937" s="10"/>
      <c r="O2937" s="14"/>
      <c r="P2937" s="14"/>
      <c r="Q2937" s="14"/>
      <c r="R2937" s="14"/>
      <c r="S2937" s="14"/>
      <c r="T2937" s="14"/>
      <c r="U2937" s="14"/>
      <c r="V2937" s="14"/>
      <c r="W2937" s="14"/>
      <c r="X2937" s="14"/>
      <c r="Y2937" s="14"/>
      <c r="Z2937" s="14"/>
      <c r="AA2937" s="16"/>
      <c r="AB2937" s="10"/>
      <c r="AC2937" s="10"/>
      <c r="AD2937" s="10"/>
      <c r="AE2937" s="10"/>
      <c r="AF2937" s="10"/>
      <c r="AG2937" s="10"/>
      <c r="AH2937" s="10"/>
      <c r="AI2937" s="10"/>
      <c r="AJ2937" s="10"/>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c r="BF2937" s="10"/>
      <c r="BG2937" s="10"/>
      <c r="BH2937" s="10"/>
      <c r="BI2937" s="10"/>
      <c r="BJ2937" s="10"/>
      <c r="BK2937" s="10"/>
      <c r="BM2937" s="10"/>
    </row>
    <row r="2938" spans="1:65" ht="12.75">
      <c r="A2938" s="9"/>
      <c r="B2938" s="10"/>
      <c r="C2938" s="11"/>
      <c r="D2938" s="12"/>
      <c r="E2938" s="10"/>
      <c r="F2938" s="10"/>
      <c r="G2938" s="10"/>
      <c r="H2938" s="14"/>
      <c r="I2938" s="14"/>
      <c r="J2938" s="14"/>
      <c r="K2938" s="14"/>
      <c r="L2938" s="14"/>
      <c r="M2938" s="15"/>
      <c r="N2938" s="10"/>
      <c r="O2938" s="14"/>
      <c r="P2938" s="14"/>
      <c r="Q2938" s="14"/>
      <c r="R2938" s="14"/>
      <c r="S2938" s="14"/>
      <c r="T2938" s="14"/>
      <c r="U2938" s="14"/>
      <c r="V2938" s="14"/>
      <c r="W2938" s="14"/>
      <c r="X2938" s="14"/>
      <c r="Y2938" s="14"/>
      <c r="Z2938" s="14"/>
      <c r="AA2938" s="16"/>
      <c r="AB2938" s="10"/>
      <c r="AC2938" s="10"/>
      <c r="AD2938" s="10"/>
      <c r="AE2938" s="10"/>
      <c r="AF2938" s="10"/>
      <c r="AG2938" s="10"/>
      <c r="AH2938" s="10"/>
      <c r="AI2938" s="10"/>
      <c r="AJ2938" s="10"/>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c r="BF2938" s="10"/>
      <c r="BG2938" s="10"/>
      <c r="BH2938" s="10"/>
      <c r="BI2938" s="10"/>
      <c r="BJ2938" s="10"/>
      <c r="BK2938" s="10"/>
      <c r="BM2938" s="10"/>
    </row>
    <row r="2939" spans="1:65" ht="12.75">
      <c r="A2939" s="9"/>
      <c r="B2939" s="10"/>
      <c r="C2939" s="11"/>
      <c r="D2939" s="12"/>
      <c r="E2939" s="10"/>
      <c r="F2939" s="10"/>
      <c r="G2939" s="10"/>
      <c r="H2939" s="14"/>
      <c r="I2939" s="14"/>
      <c r="J2939" s="14"/>
      <c r="K2939" s="14"/>
      <c r="L2939" s="14"/>
      <c r="M2939" s="15"/>
      <c r="N2939" s="10"/>
      <c r="O2939" s="14"/>
      <c r="P2939" s="14"/>
      <c r="Q2939" s="14"/>
      <c r="R2939" s="14"/>
      <c r="S2939" s="14"/>
      <c r="T2939" s="14"/>
      <c r="U2939" s="14"/>
      <c r="V2939" s="14"/>
      <c r="W2939" s="14"/>
      <c r="X2939" s="14"/>
      <c r="Y2939" s="14"/>
      <c r="Z2939" s="14"/>
      <c r="AA2939" s="16"/>
      <c r="AB2939" s="10"/>
      <c r="AC2939" s="10"/>
      <c r="AD2939" s="10"/>
      <c r="AE2939" s="10"/>
      <c r="AF2939" s="10"/>
      <c r="AG2939" s="10"/>
      <c r="AH2939" s="10"/>
      <c r="AI2939" s="10"/>
      <c r="AJ2939" s="10"/>
      <c r="AK2939" s="10"/>
      <c r="AL2939" s="10"/>
      <c r="AM2939" s="10"/>
      <c r="AN2939" s="10"/>
      <c r="AO2939" s="10"/>
      <c r="AP2939" s="10"/>
      <c r="AQ2939" s="10"/>
      <c r="AR2939" s="10"/>
      <c r="AS2939" s="10"/>
      <c r="AT2939" s="10"/>
      <c r="AU2939" s="10"/>
      <c r="AV2939" s="10"/>
      <c r="AW2939" s="10"/>
      <c r="AX2939" s="10"/>
      <c r="AY2939" s="10"/>
      <c r="AZ2939" s="10"/>
      <c r="BA2939" s="10"/>
      <c r="BB2939" s="10"/>
      <c r="BC2939" s="10"/>
      <c r="BD2939" s="10"/>
      <c r="BE2939" s="10"/>
      <c r="BF2939" s="10"/>
      <c r="BG2939" s="10"/>
      <c r="BH2939" s="10"/>
      <c r="BI2939" s="10"/>
      <c r="BJ2939" s="10"/>
      <c r="BK2939" s="10"/>
      <c r="BM2939" s="10"/>
    </row>
    <row r="2940" spans="1:65" ht="12.75">
      <c r="A2940" s="9"/>
      <c r="B2940" s="10"/>
      <c r="C2940" s="11"/>
      <c r="D2940" s="12"/>
      <c r="E2940" s="10"/>
      <c r="F2940" s="10"/>
      <c r="G2940" s="10"/>
      <c r="H2940" s="14"/>
      <c r="I2940" s="14"/>
      <c r="J2940" s="14"/>
      <c r="K2940" s="14"/>
      <c r="L2940" s="14"/>
      <c r="M2940" s="15"/>
      <c r="N2940" s="10"/>
      <c r="O2940" s="14"/>
      <c r="P2940" s="14"/>
      <c r="Q2940" s="14"/>
      <c r="R2940" s="14"/>
      <c r="S2940" s="14"/>
      <c r="T2940" s="14"/>
      <c r="U2940" s="14"/>
      <c r="V2940" s="14"/>
      <c r="W2940" s="14"/>
      <c r="X2940" s="14"/>
      <c r="Y2940" s="14"/>
      <c r="Z2940" s="14"/>
      <c r="AA2940" s="16"/>
      <c r="AB2940" s="10"/>
      <c r="AC2940" s="10"/>
      <c r="AD2940" s="10"/>
      <c r="AE2940" s="10"/>
      <c r="AF2940" s="10"/>
      <c r="AG2940" s="10"/>
      <c r="AH2940" s="10"/>
      <c r="AI2940" s="10"/>
      <c r="AJ2940" s="10"/>
      <c r="AK2940" s="10"/>
      <c r="AL2940" s="10"/>
      <c r="AM2940" s="10"/>
      <c r="AN2940" s="10"/>
      <c r="AO2940" s="10"/>
      <c r="AP2940" s="10"/>
      <c r="AQ2940" s="10"/>
      <c r="AR2940" s="10"/>
      <c r="AS2940" s="10"/>
      <c r="AT2940" s="10"/>
      <c r="AU2940" s="10"/>
      <c r="AV2940" s="10"/>
      <c r="AW2940" s="10"/>
      <c r="AX2940" s="10"/>
      <c r="AY2940" s="10"/>
      <c r="AZ2940" s="10"/>
      <c r="BA2940" s="10"/>
      <c r="BB2940" s="10"/>
      <c r="BC2940" s="10"/>
      <c r="BD2940" s="10"/>
      <c r="BE2940" s="10"/>
      <c r="BF2940" s="10"/>
      <c r="BG2940" s="10"/>
      <c r="BH2940" s="10"/>
      <c r="BI2940" s="10"/>
      <c r="BJ2940" s="10"/>
      <c r="BK2940" s="10"/>
      <c r="BM2940" s="10"/>
    </row>
    <row r="2941" spans="1:65" ht="12.75">
      <c r="A2941" s="9"/>
      <c r="B2941" s="10"/>
      <c r="C2941" s="11"/>
      <c r="D2941" s="12"/>
      <c r="E2941" s="10"/>
      <c r="F2941" s="10"/>
      <c r="G2941" s="10"/>
      <c r="H2941" s="14"/>
      <c r="I2941" s="14"/>
      <c r="J2941" s="14"/>
      <c r="K2941" s="14"/>
      <c r="L2941" s="14"/>
      <c r="M2941" s="15"/>
      <c r="N2941" s="10"/>
      <c r="O2941" s="14"/>
      <c r="P2941" s="14"/>
      <c r="Q2941" s="14"/>
      <c r="R2941" s="14"/>
      <c r="S2941" s="14"/>
      <c r="T2941" s="14"/>
      <c r="U2941" s="14"/>
      <c r="V2941" s="14"/>
      <c r="W2941" s="14"/>
      <c r="X2941" s="14"/>
      <c r="Y2941" s="14"/>
      <c r="Z2941" s="14"/>
      <c r="AA2941" s="16"/>
      <c r="AB2941" s="10"/>
      <c r="AC2941" s="10"/>
      <c r="AD2941" s="10"/>
      <c r="AE2941" s="10"/>
      <c r="AF2941" s="10"/>
      <c r="AG2941" s="10"/>
      <c r="AH2941" s="10"/>
      <c r="AI2941" s="10"/>
      <c r="AJ2941" s="10"/>
      <c r="AK2941" s="10"/>
      <c r="AL2941" s="10"/>
      <c r="AM2941" s="10"/>
      <c r="AN2941" s="10"/>
      <c r="AO2941" s="10"/>
      <c r="AP2941" s="10"/>
      <c r="AQ2941" s="10"/>
      <c r="AR2941" s="10"/>
      <c r="AS2941" s="10"/>
      <c r="AT2941" s="10"/>
      <c r="AU2941" s="10"/>
      <c r="AV2941" s="10"/>
      <c r="AW2941" s="10"/>
      <c r="AX2941" s="10"/>
      <c r="AY2941" s="10"/>
      <c r="AZ2941" s="10"/>
      <c r="BA2941" s="10"/>
      <c r="BB2941" s="10"/>
      <c r="BC2941" s="10"/>
      <c r="BD2941" s="10"/>
      <c r="BE2941" s="10"/>
      <c r="BF2941" s="10"/>
      <c r="BG2941" s="10"/>
      <c r="BH2941" s="10"/>
      <c r="BI2941" s="10"/>
      <c r="BJ2941" s="10"/>
      <c r="BK2941" s="10"/>
      <c r="BM2941" s="10"/>
    </row>
    <row r="2942" spans="1:65" ht="12.75">
      <c r="A2942" s="9"/>
      <c r="B2942" s="10"/>
      <c r="C2942" s="11"/>
      <c r="D2942" s="12"/>
      <c r="E2942" s="10"/>
      <c r="F2942" s="10"/>
      <c r="G2942" s="10"/>
      <c r="H2942" s="14"/>
      <c r="I2942" s="14"/>
      <c r="J2942" s="14"/>
      <c r="K2942" s="14"/>
      <c r="L2942" s="14"/>
      <c r="M2942" s="15"/>
      <c r="N2942" s="10"/>
      <c r="O2942" s="14"/>
      <c r="P2942" s="14"/>
      <c r="Q2942" s="14"/>
      <c r="R2942" s="14"/>
      <c r="S2942" s="14"/>
      <c r="T2942" s="14"/>
      <c r="U2942" s="14"/>
      <c r="V2942" s="14"/>
      <c r="W2942" s="14"/>
      <c r="X2942" s="14"/>
      <c r="Y2942" s="14"/>
      <c r="Z2942" s="14"/>
      <c r="AA2942" s="16"/>
      <c r="AB2942" s="10"/>
      <c r="AC2942" s="10"/>
      <c r="AD2942" s="10"/>
      <c r="AE2942" s="10"/>
      <c r="AF2942" s="10"/>
      <c r="AG2942" s="10"/>
      <c r="AH2942" s="10"/>
      <c r="AI2942" s="10"/>
      <c r="AJ2942" s="10"/>
      <c r="AK2942" s="10"/>
      <c r="AL2942" s="10"/>
      <c r="AM2942" s="10"/>
      <c r="AN2942" s="10"/>
      <c r="AO2942" s="10"/>
      <c r="AP2942" s="10"/>
      <c r="AQ2942" s="10"/>
      <c r="AR2942" s="10"/>
      <c r="AS2942" s="10"/>
      <c r="AT2942" s="10"/>
      <c r="AU2942" s="10"/>
      <c r="AV2942" s="10"/>
      <c r="AW2942" s="10"/>
      <c r="AX2942" s="10"/>
      <c r="AY2942" s="10"/>
      <c r="AZ2942" s="10"/>
      <c r="BA2942" s="10"/>
      <c r="BB2942" s="10"/>
      <c r="BC2942" s="10"/>
      <c r="BD2942" s="10"/>
      <c r="BE2942" s="10"/>
      <c r="BF2942" s="10"/>
      <c r="BG2942" s="10"/>
      <c r="BH2942" s="10"/>
      <c r="BI2942" s="10"/>
      <c r="BJ2942" s="10"/>
      <c r="BK2942" s="10"/>
      <c r="BM2942" s="10"/>
    </row>
    <row r="2943" spans="1:65" ht="12.75">
      <c r="A2943" s="9"/>
      <c r="B2943" s="10"/>
      <c r="C2943" s="11"/>
      <c r="D2943" s="12"/>
      <c r="E2943" s="10"/>
      <c r="F2943" s="10"/>
      <c r="G2943" s="10"/>
      <c r="H2943" s="14"/>
      <c r="I2943" s="14"/>
      <c r="J2943" s="14"/>
      <c r="K2943" s="14"/>
      <c r="L2943" s="14"/>
      <c r="M2943" s="15"/>
      <c r="N2943" s="10"/>
      <c r="O2943" s="14"/>
      <c r="P2943" s="14"/>
      <c r="Q2943" s="14"/>
      <c r="R2943" s="14"/>
      <c r="S2943" s="14"/>
      <c r="T2943" s="14"/>
      <c r="U2943" s="14"/>
      <c r="V2943" s="14"/>
      <c r="W2943" s="14"/>
      <c r="X2943" s="14"/>
      <c r="Y2943" s="14"/>
      <c r="Z2943" s="14"/>
      <c r="AA2943" s="16"/>
      <c r="AB2943" s="10"/>
      <c r="AC2943" s="10"/>
      <c r="AD2943" s="10"/>
      <c r="AE2943" s="10"/>
      <c r="AF2943" s="10"/>
      <c r="AG2943" s="10"/>
      <c r="AH2943" s="10"/>
      <c r="AI2943" s="10"/>
      <c r="AJ2943" s="10"/>
      <c r="AK2943" s="10"/>
      <c r="AL2943" s="10"/>
      <c r="AM2943" s="10"/>
      <c r="AN2943" s="10"/>
      <c r="AO2943" s="10"/>
      <c r="AP2943" s="10"/>
      <c r="AQ2943" s="10"/>
      <c r="AR2943" s="10"/>
      <c r="AS2943" s="10"/>
      <c r="AT2943" s="10"/>
      <c r="AU2943" s="10"/>
      <c r="AV2943" s="10"/>
      <c r="AW2943" s="10"/>
      <c r="AX2943" s="10"/>
      <c r="AY2943" s="10"/>
      <c r="AZ2943" s="10"/>
      <c r="BA2943" s="10"/>
      <c r="BB2943" s="10"/>
      <c r="BC2943" s="10"/>
      <c r="BD2943" s="10"/>
      <c r="BE2943" s="10"/>
      <c r="BF2943" s="10"/>
      <c r="BG2943" s="10"/>
      <c r="BH2943" s="10"/>
      <c r="BI2943" s="10"/>
      <c r="BJ2943" s="10"/>
      <c r="BK2943" s="10"/>
      <c r="BM2943" s="10"/>
    </row>
    <row r="2944" spans="1:65" ht="12.75">
      <c r="A2944" s="9"/>
      <c r="B2944" s="10"/>
      <c r="C2944" s="11"/>
      <c r="D2944" s="12"/>
      <c r="E2944" s="10"/>
      <c r="F2944" s="10"/>
      <c r="G2944" s="10"/>
      <c r="H2944" s="14"/>
      <c r="I2944" s="14"/>
      <c r="J2944" s="14"/>
      <c r="K2944" s="14"/>
      <c r="L2944" s="14"/>
      <c r="M2944" s="15"/>
      <c r="N2944" s="10"/>
      <c r="O2944" s="14"/>
      <c r="P2944" s="14"/>
      <c r="Q2944" s="14"/>
      <c r="R2944" s="14"/>
      <c r="S2944" s="14"/>
      <c r="T2944" s="14"/>
      <c r="U2944" s="14"/>
      <c r="V2944" s="14"/>
      <c r="W2944" s="14"/>
      <c r="X2944" s="14"/>
      <c r="Y2944" s="14"/>
      <c r="Z2944" s="14"/>
      <c r="AA2944" s="16"/>
      <c r="AB2944" s="10"/>
      <c r="AC2944" s="10"/>
      <c r="AD2944" s="10"/>
      <c r="AE2944" s="10"/>
      <c r="AF2944" s="10"/>
      <c r="AG2944" s="10"/>
      <c r="AH2944" s="10"/>
      <c r="AI2944" s="10"/>
      <c r="AJ2944" s="10"/>
      <c r="AK2944" s="10"/>
      <c r="AL2944" s="10"/>
      <c r="AM2944" s="10"/>
      <c r="AN2944" s="10"/>
      <c r="AO2944" s="10"/>
      <c r="AP2944" s="10"/>
      <c r="AQ2944" s="10"/>
      <c r="AR2944" s="10"/>
      <c r="AS2944" s="10"/>
      <c r="AT2944" s="10"/>
      <c r="AU2944" s="10"/>
      <c r="AV2944" s="10"/>
      <c r="AW2944" s="10"/>
      <c r="AX2944" s="10"/>
      <c r="AY2944" s="10"/>
      <c r="AZ2944" s="10"/>
      <c r="BA2944" s="10"/>
      <c r="BB2944" s="10"/>
      <c r="BC2944" s="10"/>
      <c r="BD2944" s="10"/>
      <c r="BE2944" s="10"/>
      <c r="BF2944" s="10"/>
      <c r="BG2944" s="10"/>
      <c r="BH2944" s="10"/>
      <c r="BI2944" s="10"/>
      <c r="BJ2944" s="10"/>
      <c r="BK2944" s="10"/>
      <c r="BM2944" s="10"/>
    </row>
    <row r="2945" spans="1:65" ht="12.75">
      <c r="A2945" s="9"/>
      <c r="B2945" s="10"/>
      <c r="C2945" s="11"/>
      <c r="D2945" s="12"/>
      <c r="E2945" s="10"/>
      <c r="F2945" s="10"/>
      <c r="G2945" s="10"/>
      <c r="H2945" s="14"/>
      <c r="I2945" s="14"/>
      <c r="J2945" s="14"/>
      <c r="K2945" s="14"/>
      <c r="L2945" s="14"/>
      <c r="M2945" s="15"/>
      <c r="N2945" s="10"/>
      <c r="O2945" s="14"/>
      <c r="P2945" s="14"/>
      <c r="Q2945" s="14"/>
      <c r="R2945" s="14"/>
      <c r="S2945" s="14"/>
      <c r="T2945" s="14"/>
      <c r="U2945" s="14"/>
      <c r="V2945" s="14"/>
      <c r="W2945" s="14"/>
      <c r="X2945" s="14"/>
      <c r="Y2945" s="14"/>
      <c r="Z2945" s="14"/>
      <c r="AA2945" s="16"/>
      <c r="AB2945" s="10"/>
      <c r="AC2945" s="10"/>
      <c r="AD2945" s="10"/>
      <c r="AE2945" s="10"/>
      <c r="AF2945" s="10"/>
      <c r="AG2945" s="10"/>
      <c r="AH2945" s="10"/>
      <c r="AI2945" s="10"/>
      <c r="AJ2945" s="10"/>
      <c r="AK2945" s="10"/>
      <c r="AL2945" s="1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10"/>
      <c r="BJ2945" s="10"/>
      <c r="BK2945" s="10"/>
      <c r="BM2945" s="10"/>
    </row>
    <row r="2946" spans="1:65" ht="12.75">
      <c r="A2946" s="9"/>
      <c r="B2946" s="10"/>
      <c r="C2946" s="11"/>
      <c r="D2946" s="12"/>
      <c r="E2946" s="10"/>
      <c r="F2946" s="10"/>
      <c r="G2946" s="10"/>
      <c r="H2946" s="14"/>
      <c r="I2946" s="14"/>
      <c r="J2946" s="14"/>
      <c r="K2946" s="14"/>
      <c r="L2946" s="14"/>
      <c r="M2946" s="15"/>
      <c r="N2946" s="10"/>
      <c r="O2946" s="14"/>
      <c r="P2946" s="14"/>
      <c r="Q2946" s="14"/>
      <c r="R2946" s="14"/>
      <c r="S2946" s="14"/>
      <c r="T2946" s="14"/>
      <c r="U2946" s="14"/>
      <c r="V2946" s="14"/>
      <c r="W2946" s="14"/>
      <c r="X2946" s="14"/>
      <c r="Y2946" s="14"/>
      <c r="Z2946" s="14"/>
      <c r="AA2946" s="16"/>
      <c r="AB2946" s="10"/>
      <c r="AC2946" s="10"/>
      <c r="AD2946" s="10"/>
      <c r="AE2946" s="10"/>
      <c r="AF2946" s="10"/>
      <c r="AG2946" s="10"/>
      <c r="AH2946" s="10"/>
      <c r="AI2946" s="10"/>
      <c r="AJ2946" s="10"/>
      <c r="AK2946" s="10"/>
      <c r="AL2946" s="10"/>
      <c r="AM2946" s="10"/>
      <c r="AN2946" s="10"/>
      <c r="AO2946" s="10"/>
      <c r="AP2946" s="10"/>
      <c r="AQ2946" s="10"/>
      <c r="AR2946" s="10"/>
      <c r="AS2946" s="10"/>
      <c r="AT2946" s="10"/>
      <c r="AU2946" s="10"/>
      <c r="AV2946" s="10"/>
      <c r="AW2946" s="10"/>
      <c r="AX2946" s="10"/>
      <c r="AY2946" s="10"/>
      <c r="AZ2946" s="10"/>
      <c r="BA2946" s="10"/>
      <c r="BB2946" s="10"/>
      <c r="BC2946" s="10"/>
      <c r="BD2946" s="10"/>
      <c r="BE2946" s="10"/>
      <c r="BF2946" s="10"/>
      <c r="BG2946" s="10"/>
      <c r="BH2946" s="10"/>
      <c r="BI2946" s="10"/>
      <c r="BJ2946" s="10"/>
      <c r="BK2946" s="10"/>
      <c r="BM2946" s="10"/>
    </row>
    <row r="2947" spans="1:65" ht="12.75">
      <c r="A2947" s="9"/>
      <c r="B2947" s="10"/>
      <c r="C2947" s="11"/>
      <c r="D2947" s="12"/>
      <c r="E2947" s="10"/>
      <c r="F2947" s="10"/>
      <c r="G2947" s="10"/>
      <c r="H2947" s="14"/>
      <c r="I2947" s="14"/>
      <c r="J2947" s="14"/>
      <c r="K2947" s="14"/>
      <c r="L2947" s="14"/>
      <c r="M2947" s="15"/>
      <c r="N2947" s="10"/>
      <c r="O2947" s="14"/>
      <c r="P2947" s="14"/>
      <c r="Q2947" s="14"/>
      <c r="R2947" s="14"/>
      <c r="S2947" s="14"/>
      <c r="T2947" s="14"/>
      <c r="U2947" s="14"/>
      <c r="V2947" s="14"/>
      <c r="W2947" s="14"/>
      <c r="X2947" s="14"/>
      <c r="Y2947" s="14"/>
      <c r="Z2947" s="14"/>
      <c r="AA2947" s="16"/>
      <c r="AB2947" s="10"/>
      <c r="AC2947" s="10"/>
      <c r="AD2947" s="10"/>
      <c r="AE2947" s="10"/>
      <c r="AF2947" s="10"/>
      <c r="AG2947" s="10"/>
      <c r="AH2947" s="10"/>
      <c r="AI2947" s="10"/>
      <c r="AJ2947" s="10"/>
      <c r="AK2947" s="10"/>
      <c r="AL2947" s="10"/>
      <c r="AM2947" s="10"/>
      <c r="AN2947" s="10"/>
      <c r="AO2947" s="10"/>
      <c r="AP2947" s="10"/>
      <c r="AQ2947" s="10"/>
      <c r="AR2947" s="10"/>
      <c r="AS2947" s="10"/>
      <c r="AT2947" s="10"/>
      <c r="AU2947" s="10"/>
      <c r="AV2947" s="10"/>
      <c r="AW2947" s="10"/>
      <c r="AX2947" s="10"/>
      <c r="AY2947" s="10"/>
      <c r="AZ2947" s="10"/>
      <c r="BA2947" s="10"/>
      <c r="BB2947" s="10"/>
      <c r="BC2947" s="10"/>
      <c r="BD2947" s="10"/>
      <c r="BE2947" s="10"/>
      <c r="BF2947" s="10"/>
      <c r="BG2947" s="10"/>
      <c r="BH2947" s="10"/>
      <c r="BI2947" s="10"/>
      <c r="BJ2947" s="10"/>
      <c r="BK2947" s="10"/>
      <c r="BM2947" s="10"/>
    </row>
    <row r="2948" spans="1:65" ht="12.75">
      <c r="A2948" s="9"/>
      <c r="B2948" s="10"/>
      <c r="C2948" s="11"/>
      <c r="D2948" s="12"/>
      <c r="E2948" s="10"/>
      <c r="F2948" s="10"/>
      <c r="G2948" s="10"/>
      <c r="H2948" s="14"/>
      <c r="I2948" s="14"/>
      <c r="J2948" s="14"/>
      <c r="K2948" s="14"/>
      <c r="L2948" s="14"/>
      <c r="M2948" s="15"/>
      <c r="N2948" s="10"/>
      <c r="O2948" s="14"/>
      <c r="P2948" s="14"/>
      <c r="Q2948" s="14"/>
      <c r="R2948" s="14"/>
      <c r="S2948" s="14"/>
      <c r="T2948" s="14"/>
      <c r="U2948" s="14"/>
      <c r="V2948" s="14"/>
      <c r="W2948" s="14"/>
      <c r="X2948" s="14"/>
      <c r="Y2948" s="14"/>
      <c r="Z2948" s="14"/>
      <c r="AA2948" s="16"/>
      <c r="AB2948" s="10"/>
      <c r="AC2948" s="10"/>
      <c r="AD2948" s="10"/>
      <c r="AE2948" s="10"/>
      <c r="AF2948" s="10"/>
      <c r="AG2948" s="10"/>
      <c r="AH2948" s="10"/>
      <c r="AI2948" s="10"/>
      <c r="AJ2948" s="10"/>
      <c r="AK2948" s="10"/>
      <c r="AL2948" s="10"/>
      <c r="AM2948" s="10"/>
      <c r="AN2948" s="10"/>
      <c r="AO2948" s="10"/>
      <c r="AP2948" s="10"/>
      <c r="AQ2948" s="10"/>
      <c r="AR2948" s="10"/>
      <c r="AS2948" s="10"/>
      <c r="AT2948" s="10"/>
      <c r="AU2948" s="10"/>
      <c r="AV2948" s="10"/>
      <c r="AW2948" s="10"/>
      <c r="AX2948" s="10"/>
      <c r="AY2948" s="10"/>
      <c r="AZ2948" s="10"/>
      <c r="BA2948" s="10"/>
      <c r="BB2948" s="10"/>
      <c r="BC2948" s="10"/>
      <c r="BD2948" s="10"/>
      <c r="BE2948" s="10"/>
      <c r="BF2948" s="10"/>
      <c r="BG2948" s="10"/>
      <c r="BH2948" s="10"/>
      <c r="BI2948" s="10"/>
      <c r="BJ2948" s="10"/>
      <c r="BK2948" s="10"/>
      <c r="BM2948" s="10"/>
    </row>
    <row r="2949" spans="1:65" ht="12.75">
      <c r="A2949" s="9"/>
      <c r="B2949" s="10"/>
      <c r="C2949" s="11"/>
      <c r="D2949" s="12"/>
      <c r="E2949" s="10"/>
      <c r="F2949" s="10"/>
      <c r="G2949" s="10"/>
      <c r="H2949" s="14"/>
      <c r="I2949" s="14"/>
      <c r="J2949" s="14"/>
      <c r="K2949" s="14"/>
      <c r="L2949" s="14"/>
      <c r="M2949" s="15"/>
      <c r="N2949" s="10"/>
      <c r="O2949" s="14"/>
      <c r="P2949" s="14"/>
      <c r="Q2949" s="14"/>
      <c r="R2949" s="14"/>
      <c r="S2949" s="14"/>
      <c r="T2949" s="14"/>
      <c r="U2949" s="14"/>
      <c r="V2949" s="14"/>
      <c r="W2949" s="14"/>
      <c r="X2949" s="14"/>
      <c r="Y2949" s="14"/>
      <c r="Z2949" s="14"/>
      <c r="AA2949" s="16"/>
      <c r="AB2949" s="10"/>
      <c r="AC2949" s="10"/>
      <c r="AD2949" s="10"/>
      <c r="AE2949" s="10"/>
      <c r="AF2949" s="10"/>
      <c r="AG2949" s="10"/>
      <c r="AH2949" s="10"/>
      <c r="AI2949" s="10"/>
      <c r="AJ2949" s="10"/>
      <c r="AK2949" s="10"/>
      <c r="AL2949" s="10"/>
      <c r="AM2949" s="10"/>
      <c r="AN2949" s="10"/>
      <c r="AO2949" s="10"/>
      <c r="AP2949" s="10"/>
      <c r="AQ2949" s="10"/>
      <c r="AR2949" s="10"/>
      <c r="AS2949" s="10"/>
      <c r="AT2949" s="10"/>
      <c r="AU2949" s="10"/>
      <c r="AV2949" s="10"/>
      <c r="AW2949" s="10"/>
      <c r="AX2949" s="10"/>
      <c r="AY2949" s="10"/>
      <c r="AZ2949" s="10"/>
      <c r="BA2949" s="10"/>
      <c r="BB2949" s="10"/>
      <c r="BC2949" s="10"/>
      <c r="BD2949" s="10"/>
      <c r="BE2949" s="10"/>
      <c r="BF2949" s="10"/>
      <c r="BG2949" s="10"/>
      <c r="BH2949" s="10"/>
      <c r="BI2949" s="10"/>
      <c r="BJ2949" s="10"/>
      <c r="BK2949" s="10"/>
      <c r="BM2949" s="10"/>
    </row>
    <row r="2950" spans="1:65" ht="12.75">
      <c r="A2950" s="9"/>
      <c r="B2950" s="10"/>
      <c r="C2950" s="11"/>
      <c r="D2950" s="12"/>
      <c r="E2950" s="10"/>
      <c r="F2950" s="10"/>
      <c r="G2950" s="10"/>
      <c r="H2950" s="14"/>
      <c r="I2950" s="14"/>
      <c r="J2950" s="14"/>
      <c r="K2950" s="14"/>
      <c r="L2950" s="14"/>
      <c r="M2950" s="15"/>
      <c r="N2950" s="10"/>
      <c r="O2950" s="14"/>
      <c r="P2950" s="14"/>
      <c r="Q2950" s="14"/>
      <c r="R2950" s="14"/>
      <c r="S2950" s="14"/>
      <c r="T2950" s="14"/>
      <c r="U2950" s="14"/>
      <c r="V2950" s="14"/>
      <c r="W2950" s="14"/>
      <c r="X2950" s="14"/>
      <c r="Y2950" s="14"/>
      <c r="Z2950" s="14"/>
      <c r="AA2950" s="16"/>
      <c r="AB2950" s="10"/>
      <c r="AC2950" s="10"/>
      <c r="AD2950" s="10"/>
      <c r="AE2950" s="10"/>
      <c r="AF2950" s="10"/>
      <c r="AG2950" s="10"/>
      <c r="AH2950" s="10"/>
      <c r="AI2950" s="10"/>
      <c r="AJ2950" s="10"/>
      <c r="AK2950" s="10"/>
      <c r="AL2950" s="10"/>
      <c r="AM2950" s="10"/>
      <c r="AN2950" s="10"/>
      <c r="AO2950" s="10"/>
      <c r="AP2950" s="10"/>
      <c r="AQ2950" s="10"/>
      <c r="AR2950" s="10"/>
      <c r="AS2950" s="10"/>
      <c r="AT2950" s="10"/>
      <c r="AU2950" s="10"/>
      <c r="AV2950" s="10"/>
      <c r="AW2950" s="10"/>
      <c r="AX2950" s="10"/>
      <c r="AY2950" s="10"/>
      <c r="AZ2950" s="10"/>
      <c r="BA2950" s="10"/>
      <c r="BB2950" s="10"/>
      <c r="BC2950" s="10"/>
      <c r="BD2950" s="10"/>
      <c r="BE2950" s="10"/>
      <c r="BF2950" s="10"/>
      <c r="BG2950" s="10"/>
      <c r="BH2950" s="10"/>
      <c r="BI2950" s="10"/>
      <c r="BJ2950" s="10"/>
      <c r="BK2950" s="10"/>
      <c r="BM2950" s="10"/>
    </row>
    <row r="2951" spans="1:65" ht="12.75">
      <c r="A2951" s="9"/>
      <c r="B2951" s="10"/>
      <c r="C2951" s="11"/>
      <c r="D2951" s="12"/>
      <c r="E2951" s="10"/>
      <c r="F2951" s="10"/>
      <c r="G2951" s="10"/>
      <c r="H2951" s="14"/>
      <c r="I2951" s="14"/>
      <c r="J2951" s="14"/>
      <c r="K2951" s="14"/>
      <c r="L2951" s="14"/>
      <c r="M2951" s="15"/>
      <c r="N2951" s="10"/>
      <c r="O2951" s="14"/>
      <c r="P2951" s="14"/>
      <c r="Q2951" s="14"/>
      <c r="R2951" s="14"/>
      <c r="S2951" s="14"/>
      <c r="T2951" s="14"/>
      <c r="U2951" s="14"/>
      <c r="V2951" s="14"/>
      <c r="W2951" s="14"/>
      <c r="X2951" s="14"/>
      <c r="Y2951" s="14"/>
      <c r="Z2951" s="14"/>
      <c r="AA2951" s="16"/>
      <c r="AB2951" s="10"/>
      <c r="AC2951" s="10"/>
      <c r="AD2951" s="10"/>
      <c r="AE2951" s="10"/>
      <c r="AF2951" s="10"/>
      <c r="AG2951" s="10"/>
      <c r="AH2951" s="10"/>
      <c r="AI2951" s="10"/>
      <c r="AJ2951" s="10"/>
      <c r="AK2951" s="10"/>
      <c r="AL2951" s="10"/>
      <c r="AM2951" s="10"/>
      <c r="AN2951" s="10"/>
      <c r="AO2951" s="10"/>
      <c r="AP2951" s="10"/>
      <c r="AQ2951" s="10"/>
      <c r="AR2951" s="10"/>
      <c r="AS2951" s="10"/>
      <c r="AT2951" s="10"/>
      <c r="AU2951" s="10"/>
      <c r="AV2951" s="10"/>
      <c r="AW2951" s="10"/>
      <c r="AX2951" s="10"/>
      <c r="AY2951" s="10"/>
      <c r="AZ2951" s="10"/>
      <c r="BA2951" s="10"/>
      <c r="BB2951" s="10"/>
      <c r="BC2951" s="10"/>
      <c r="BD2951" s="10"/>
      <c r="BE2951" s="10"/>
      <c r="BF2951" s="10"/>
      <c r="BG2951" s="10"/>
      <c r="BH2951" s="10"/>
      <c r="BI2951" s="10"/>
      <c r="BJ2951" s="10"/>
      <c r="BK2951" s="10"/>
      <c r="BM2951" s="10"/>
    </row>
    <row r="2952" spans="1:65" ht="12.75">
      <c r="A2952" s="9"/>
      <c r="B2952" s="10"/>
      <c r="C2952" s="11"/>
      <c r="D2952" s="12"/>
      <c r="E2952" s="10"/>
      <c r="F2952" s="10"/>
      <c r="G2952" s="10"/>
      <c r="H2952" s="14"/>
      <c r="I2952" s="14"/>
      <c r="J2952" s="14"/>
      <c r="K2952" s="14"/>
      <c r="L2952" s="14"/>
      <c r="M2952" s="15"/>
      <c r="N2952" s="10"/>
      <c r="O2952" s="14"/>
      <c r="P2952" s="14"/>
      <c r="Q2952" s="14"/>
      <c r="R2952" s="14"/>
      <c r="S2952" s="14"/>
      <c r="T2952" s="14"/>
      <c r="U2952" s="14"/>
      <c r="V2952" s="14"/>
      <c r="W2952" s="14"/>
      <c r="X2952" s="14"/>
      <c r="Y2952" s="14"/>
      <c r="Z2952" s="14"/>
      <c r="AA2952" s="16"/>
      <c r="AB2952" s="10"/>
      <c r="AC2952" s="10"/>
      <c r="AD2952" s="10"/>
      <c r="AE2952" s="10"/>
      <c r="AF2952" s="10"/>
      <c r="AG2952" s="10"/>
      <c r="AH2952" s="10"/>
      <c r="AI2952" s="10"/>
      <c r="AJ2952" s="10"/>
      <c r="AK2952" s="10"/>
      <c r="AL2952" s="10"/>
      <c r="AM2952" s="10"/>
      <c r="AN2952" s="10"/>
      <c r="AO2952" s="10"/>
      <c r="AP2952" s="10"/>
      <c r="AQ2952" s="10"/>
      <c r="AR2952" s="10"/>
      <c r="AS2952" s="10"/>
      <c r="AT2952" s="10"/>
      <c r="AU2952" s="10"/>
      <c r="AV2952" s="10"/>
      <c r="AW2952" s="10"/>
      <c r="AX2952" s="10"/>
      <c r="AY2952" s="10"/>
      <c r="AZ2952" s="10"/>
      <c r="BA2952" s="10"/>
      <c r="BB2952" s="10"/>
      <c r="BC2952" s="10"/>
      <c r="BD2952" s="10"/>
      <c r="BE2952" s="10"/>
      <c r="BF2952" s="10"/>
      <c r="BG2952" s="10"/>
      <c r="BH2952" s="10"/>
      <c r="BI2952" s="10"/>
      <c r="BJ2952" s="10"/>
      <c r="BK2952" s="10"/>
      <c r="BM2952" s="10"/>
    </row>
    <row r="2953" spans="1:65" ht="12.75">
      <c r="A2953" s="9"/>
      <c r="B2953" s="10"/>
      <c r="C2953" s="11"/>
      <c r="D2953" s="12"/>
      <c r="E2953" s="10"/>
      <c r="F2953" s="10"/>
      <c r="G2953" s="10"/>
      <c r="H2953" s="14"/>
      <c r="I2953" s="14"/>
      <c r="J2953" s="14"/>
      <c r="K2953" s="14"/>
      <c r="L2953" s="14"/>
      <c r="M2953" s="15"/>
      <c r="N2953" s="10"/>
      <c r="O2953" s="14"/>
      <c r="P2953" s="14"/>
      <c r="Q2953" s="14"/>
      <c r="R2953" s="14"/>
      <c r="S2953" s="14"/>
      <c r="T2953" s="14"/>
      <c r="U2953" s="14"/>
      <c r="V2953" s="14"/>
      <c r="W2953" s="14"/>
      <c r="X2953" s="14"/>
      <c r="Y2953" s="14"/>
      <c r="Z2953" s="14"/>
      <c r="AA2953" s="16"/>
      <c r="AB2953" s="10"/>
      <c r="AC2953" s="10"/>
      <c r="AD2953" s="10"/>
      <c r="AE2953" s="10"/>
      <c r="AF2953" s="10"/>
      <c r="AG2953" s="10"/>
      <c r="AH2953" s="10"/>
      <c r="AI2953" s="10"/>
      <c r="AJ2953" s="10"/>
      <c r="AK2953" s="10"/>
      <c r="AL2953" s="10"/>
      <c r="AM2953" s="10"/>
      <c r="AN2953" s="10"/>
      <c r="AO2953" s="10"/>
      <c r="AP2953" s="10"/>
      <c r="AQ2953" s="10"/>
      <c r="AR2953" s="10"/>
      <c r="AS2953" s="10"/>
      <c r="AT2953" s="10"/>
      <c r="AU2953" s="10"/>
      <c r="AV2953" s="10"/>
      <c r="AW2953" s="10"/>
      <c r="AX2953" s="10"/>
      <c r="AY2953" s="10"/>
      <c r="AZ2953" s="10"/>
      <c r="BA2953" s="10"/>
      <c r="BB2953" s="10"/>
      <c r="BC2953" s="10"/>
      <c r="BD2953" s="10"/>
      <c r="BE2953" s="10"/>
      <c r="BF2953" s="10"/>
      <c r="BG2953" s="10"/>
      <c r="BH2953" s="10"/>
      <c r="BI2953" s="10"/>
      <c r="BJ2953" s="10"/>
      <c r="BK2953" s="10"/>
      <c r="BM2953" s="10"/>
    </row>
    <row r="2959" spans="1:65" ht="12.75">
      <c r="A2959" s="9"/>
      <c r="B2959" s="10"/>
      <c r="C2959" s="11"/>
      <c r="D2959" s="12"/>
      <c r="E2959" s="10"/>
      <c r="F2959" s="10"/>
      <c r="G2959" s="10"/>
      <c r="H2959" s="14"/>
      <c r="I2959" s="14"/>
      <c r="J2959" s="14"/>
      <c r="K2959" s="14"/>
      <c r="L2959" s="14"/>
      <c r="M2959" s="15"/>
      <c r="N2959" s="10"/>
      <c r="O2959" s="14"/>
      <c r="P2959" s="14"/>
      <c r="Q2959" s="14"/>
      <c r="R2959" s="14"/>
      <c r="S2959" s="14"/>
      <c r="T2959" s="14"/>
      <c r="U2959" s="14"/>
      <c r="V2959" s="14"/>
      <c r="W2959" s="14"/>
      <c r="X2959" s="14"/>
      <c r="Y2959" s="14"/>
      <c r="Z2959" s="14"/>
      <c r="AA2959" s="16"/>
      <c r="AB2959" s="10"/>
      <c r="AC2959" s="10"/>
      <c r="AD2959" s="10"/>
      <c r="AE2959" s="10"/>
      <c r="AF2959" s="10"/>
      <c r="AG2959" s="10"/>
      <c r="AH2959" s="10"/>
      <c r="AI2959" s="10"/>
      <c r="AJ2959" s="10"/>
      <c r="AK2959" s="10"/>
      <c r="AL2959" s="1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10"/>
      <c r="BJ2959" s="10"/>
      <c r="BK2959" s="10"/>
      <c r="BM2959" s="10"/>
    </row>
    <row r="2960" spans="1:65" ht="12.75">
      <c r="A2960" s="9"/>
      <c r="B2960" s="10"/>
      <c r="C2960" s="11"/>
      <c r="D2960" s="12"/>
      <c r="E2960" s="10"/>
      <c r="F2960" s="10"/>
      <c r="G2960" s="10"/>
      <c r="H2960" s="14"/>
      <c r="I2960" s="14"/>
      <c r="J2960" s="14"/>
      <c r="K2960" s="14"/>
      <c r="L2960" s="14"/>
      <c r="M2960" s="15"/>
      <c r="N2960" s="10"/>
      <c r="O2960" s="14"/>
      <c r="P2960" s="14"/>
      <c r="Q2960" s="14"/>
      <c r="R2960" s="14"/>
      <c r="S2960" s="14"/>
      <c r="T2960" s="14"/>
      <c r="U2960" s="14"/>
      <c r="V2960" s="14"/>
      <c r="W2960" s="14"/>
      <c r="X2960" s="14"/>
      <c r="Y2960" s="14"/>
      <c r="Z2960" s="14"/>
      <c r="AA2960" s="16"/>
      <c r="AB2960" s="10"/>
      <c r="AC2960" s="10"/>
      <c r="AD2960" s="10"/>
      <c r="AE2960" s="10"/>
      <c r="AF2960" s="10"/>
      <c r="AG2960" s="10"/>
      <c r="AH2960" s="10"/>
      <c r="AI2960" s="10"/>
      <c r="AJ2960" s="10"/>
      <c r="AK2960" s="10"/>
      <c r="AL2960" s="10"/>
      <c r="AM2960" s="10"/>
      <c r="AN2960" s="10"/>
      <c r="AO2960" s="10"/>
      <c r="AP2960" s="10"/>
      <c r="AQ2960" s="10"/>
      <c r="AR2960" s="10"/>
      <c r="AS2960" s="10"/>
      <c r="AT2960" s="10"/>
      <c r="AU2960" s="10"/>
      <c r="AV2960" s="10"/>
      <c r="AW2960" s="10"/>
      <c r="AX2960" s="10"/>
      <c r="AY2960" s="10"/>
      <c r="AZ2960" s="10"/>
      <c r="BA2960" s="10"/>
      <c r="BB2960" s="10"/>
      <c r="BC2960" s="10"/>
      <c r="BD2960" s="10"/>
      <c r="BE2960" s="10"/>
      <c r="BF2960" s="10"/>
      <c r="BG2960" s="10"/>
      <c r="BH2960" s="10"/>
      <c r="BI2960" s="10"/>
      <c r="BJ2960" s="10"/>
      <c r="BK2960" s="10"/>
      <c r="BM2960" s="10"/>
    </row>
    <row r="2961" spans="1:65" ht="12.75">
      <c r="A2961" s="9"/>
      <c r="B2961" s="10"/>
      <c r="C2961" s="11"/>
      <c r="D2961" s="12"/>
      <c r="E2961" s="10"/>
      <c r="F2961" s="10"/>
      <c r="G2961" s="10"/>
      <c r="H2961" s="14"/>
      <c r="I2961" s="14"/>
      <c r="J2961" s="14"/>
      <c r="K2961" s="14"/>
      <c r="L2961" s="14"/>
      <c r="M2961" s="15"/>
      <c r="N2961" s="10"/>
      <c r="O2961" s="14"/>
      <c r="P2961" s="14"/>
      <c r="Q2961" s="14"/>
      <c r="R2961" s="14"/>
      <c r="S2961" s="14"/>
      <c r="T2961" s="14"/>
      <c r="U2961" s="14"/>
      <c r="V2961" s="14"/>
      <c r="W2961" s="14"/>
      <c r="X2961" s="14"/>
      <c r="Y2961" s="14"/>
      <c r="Z2961" s="14"/>
      <c r="AA2961" s="16"/>
      <c r="AB2961" s="10"/>
      <c r="AC2961" s="10"/>
      <c r="AD2961" s="10"/>
      <c r="AE2961" s="10"/>
      <c r="AF2961" s="10"/>
      <c r="AG2961" s="10"/>
      <c r="AH2961" s="10"/>
      <c r="AI2961" s="10"/>
      <c r="AJ2961" s="10"/>
      <c r="AK2961" s="10"/>
      <c r="AL2961" s="10"/>
      <c r="AM2961" s="10"/>
      <c r="AN2961" s="10"/>
      <c r="AO2961" s="10"/>
      <c r="AP2961" s="10"/>
      <c r="AQ2961" s="10"/>
      <c r="AR2961" s="10"/>
      <c r="AS2961" s="10"/>
      <c r="AT2961" s="10"/>
      <c r="AU2961" s="10"/>
      <c r="AV2961" s="10"/>
      <c r="AW2961" s="10"/>
      <c r="AX2961" s="10"/>
      <c r="AY2961" s="10"/>
      <c r="AZ2961" s="10"/>
      <c r="BA2961" s="10"/>
      <c r="BB2961" s="10"/>
      <c r="BC2961" s="10"/>
      <c r="BD2961" s="10"/>
      <c r="BE2961" s="10"/>
      <c r="BF2961" s="10"/>
      <c r="BG2961" s="10"/>
      <c r="BH2961" s="10"/>
      <c r="BI2961" s="10"/>
      <c r="BJ2961" s="10"/>
      <c r="BK2961" s="10"/>
      <c r="BM2961" s="10"/>
    </row>
    <row r="2962" spans="1:65" ht="12.75">
      <c r="A2962" s="9"/>
      <c r="B2962" s="10"/>
      <c r="C2962" s="11"/>
      <c r="D2962" s="12"/>
      <c r="E2962" s="10"/>
      <c r="F2962" s="10"/>
      <c r="G2962" s="10"/>
      <c r="H2962" s="14"/>
      <c r="I2962" s="14"/>
      <c r="J2962" s="14"/>
      <c r="K2962" s="14"/>
      <c r="L2962" s="14"/>
      <c r="M2962" s="15"/>
      <c r="N2962" s="10"/>
      <c r="O2962" s="14"/>
      <c r="P2962" s="14"/>
      <c r="Q2962" s="14"/>
      <c r="R2962" s="14"/>
      <c r="S2962" s="14"/>
      <c r="T2962" s="14"/>
      <c r="U2962" s="14"/>
      <c r="V2962" s="14"/>
      <c r="W2962" s="14"/>
      <c r="X2962" s="14"/>
      <c r="Y2962" s="14"/>
      <c r="Z2962" s="14"/>
      <c r="AA2962" s="16"/>
      <c r="AB2962" s="10"/>
      <c r="AC2962" s="10"/>
      <c r="AD2962" s="10"/>
      <c r="AE2962" s="10"/>
      <c r="AF2962" s="10"/>
      <c r="AG2962" s="10"/>
      <c r="AH2962" s="10"/>
      <c r="AI2962" s="10"/>
      <c r="AJ2962" s="10"/>
      <c r="AK2962" s="10"/>
      <c r="AL2962" s="10"/>
      <c r="AM2962" s="10"/>
      <c r="AN2962" s="10"/>
      <c r="AO2962" s="10"/>
      <c r="AP2962" s="10"/>
      <c r="AQ2962" s="10"/>
      <c r="AR2962" s="10"/>
      <c r="AS2962" s="10"/>
      <c r="AT2962" s="10"/>
      <c r="AU2962" s="10"/>
      <c r="AV2962" s="10"/>
      <c r="AW2962" s="10"/>
      <c r="AX2962" s="10"/>
      <c r="AY2962" s="10"/>
      <c r="AZ2962" s="10"/>
      <c r="BA2962" s="10"/>
      <c r="BB2962" s="10"/>
      <c r="BC2962" s="10"/>
      <c r="BD2962" s="10"/>
      <c r="BE2962" s="10"/>
      <c r="BF2962" s="10"/>
      <c r="BG2962" s="10"/>
      <c r="BH2962" s="10"/>
      <c r="BI2962" s="10"/>
      <c r="BJ2962" s="10"/>
      <c r="BK2962" s="10"/>
      <c r="BM2962" s="10"/>
    </row>
    <row r="2963" spans="1:65" ht="12.75">
      <c r="A2963" s="9"/>
      <c r="B2963" s="10"/>
      <c r="C2963" s="11"/>
      <c r="D2963" s="12"/>
      <c r="E2963" s="10"/>
      <c r="F2963" s="10"/>
      <c r="G2963" s="10"/>
      <c r="H2963" s="14"/>
      <c r="I2963" s="14"/>
      <c r="J2963" s="14"/>
      <c r="K2963" s="14"/>
      <c r="L2963" s="14"/>
      <c r="M2963" s="15"/>
      <c r="N2963" s="10"/>
      <c r="O2963" s="14"/>
      <c r="P2963" s="14"/>
      <c r="Q2963" s="14"/>
      <c r="R2963" s="14"/>
      <c r="S2963" s="14"/>
      <c r="T2963" s="14"/>
      <c r="U2963" s="14"/>
      <c r="V2963" s="14"/>
      <c r="W2963" s="14"/>
      <c r="X2963" s="14"/>
      <c r="Y2963" s="14"/>
      <c r="Z2963" s="14"/>
      <c r="AA2963" s="16"/>
      <c r="AB2963" s="10"/>
      <c r="AC2963" s="10"/>
      <c r="AD2963" s="10"/>
      <c r="AE2963" s="10"/>
      <c r="AF2963" s="10"/>
      <c r="AG2963" s="10"/>
      <c r="AH2963" s="10"/>
      <c r="AI2963" s="10"/>
      <c r="AJ2963" s="10"/>
      <c r="AK2963" s="10"/>
      <c r="AL2963" s="10"/>
      <c r="AM2963" s="10"/>
      <c r="AN2963" s="10"/>
      <c r="AO2963" s="10"/>
      <c r="AP2963" s="10"/>
      <c r="AQ2963" s="10"/>
      <c r="AR2963" s="10"/>
      <c r="AS2963" s="10"/>
      <c r="AT2963" s="10"/>
      <c r="AU2963" s="10"/>
      <c r="AV2963" s="10"/>
      <c r="AW2963" s="10"/>
      <c r="AX2963" s="10"/>
      <c r="AY2963" s="10"/>
      <c r="AZ2963" s="10"/>
      <c r="BA2963" s="10"/>
      <c r="BB2963" s="10"/>
      <c r="BC2963" s="10"/>
      <c r="BD2963" s="10"/>
      <c r="BE2963" s="10"/>
      <c r="BF2963" s="10"/>
      <c r="BG2963" s="10"/>
      <c r="BH2963" s="10"/>
      <c r="BI2963" s="10"/>
      <c r="BJ2963" s="10"/>
      <c r="BK2963" s="10"/>
      <c r="BM2963" s="10"/>
    </row>
    <row r="2964" spans="1:65" ht="12.75">
      <c r="A2964" s="9"/>
      <c r="B2964" s="10"/>
      <c r="C2964" s="11"/>
      <c r="D2964" s="12"/>
      <c r="E2964" s="10"/>
      <c r="F2964" s="10"/>
      <c r="G2964" s="10"/>
      <c r="H2964" s="14"/>
      <c r="I2964" s="14"/>
      <c r="J2964" s="14"/>
      <c r="K2964" s="14"/>
      <c r="L2964" s="14"/>
      <c r="M2964" s="15"/>
      <c r="N2964" s="10"/>
      <c r="O2964" s="14"/>
      <c r="P2964" s="14"/>
      <c r="Q2964" s="14"/>
      <c r="R2964" s="14"/>
      <c r="S2964" s="14"/>
      <c r="T2964" s="14"/>
      <c r="U2964" s="14"/>
      <c r="V2964" s="14"/>
      <c r="W2964" s="14"/>
      <c r="X2964" s="14"/>
      <c r="Y2964" s="14"/>
      <c r="Z2964" s="14"/>
      <c r="AA2964" s="16"/>
      <c r="AB2964" s="10"/>
      <c r="AC2964" s="10"/>
      <c r="AD2964" s="10"/>
      <c r="AE2964" s="10"/>
      <c r="AF2964" s="10"/>
      <c r="AG2964" s="10"/>
      <c r="AH2964" s="10"/>
      <c r="AI2964" s="10"/>
      <c r="AJ2964" s="10"/>
      <c r="AK2964" s="10"/>
      <c r="AL2964" s="10"/>
      <c r="AM2964" s="10"/>
      <c r="AN2964" s="10"/>
      <c r="AO2964" s="10"/>
      <c r="AP2964" s="10"/>
      <c r="AQ2964" s="10"/>
      <c r="AR2964" s="10"/>
      <c r="AS2964" s="10"/>
      <c r="AT2964" s="10"/>
      <c r="AU2964" s="10"/>
      <c r="AV2964" s="10"/>
      <c r="AW2964" s="10"/>
      <c r="AX2964" s="10"/>
      <c r="AY2964" s="10"/>
      <c r="AZ2964" s="10"/>
      <c r="BA2964" s="10"/>
      <c r="BB2964" s="10"/>
      <c r="BC2964" s="10"/>
      <c r="BD2964" s="10"/>
      <c r="BE2964" s="10"/>
      <c r="BF2964" s="10"/>
      <c r="BG2964" s="10"/>
      <c r="BH2964" s="10"/>
      <c r="BI2964" s="10"/>
      <c r="BJ2964" s="10"/>
      <c r="BK2964" s="10"/>
      <c r="BM2964" s="10"/>
    </row>
    <row r="2965" spans="1:65" ht="12.75">
      <c r="A2965" s="9"/>
      <c r="B2965" s="10"/>
      <c r="C2965" s="11"/>
      <c r="D2965" s="12"/>
      <c r="E2965" s="10"/>
      <c r="F2965" s="10"/>
      <c r="G2965" s="10"/>
      <c r="H2965" s="14"/>
      <c r="I2965" s="14"/>
      <c r="J2965" s="14"/>
      <c r="K2965" s="14"/>
      <c r="L2965" s="14"/>
      <c r="M2965" s="15"/>
      <c r="N2965" s="10"/>
      <c r="O2965" s="14"/>
      <c r="P2965" s="14"/>
      <c r="Q2965" s="14"/>
      <c r="R2965" s="14"/>
      <c r="S2965" s="14"/>
      <c r="T2965" s="14"/>
      <c r="U2965" s="14"/>
      <c r="V2965" s="14"/>
      <c r="W2965" s="14"/>
      <c r="X2965" s="14"/>
      <c r="Y2965" s="14"/>
      <c r="Z2965" s="14"/>
      <c r="AA2965" s="16"/>
      <c r="AB2965" s="10"/>
      <c r="AC2965" s="10"/>
      <c r="AD2965" s="10"/>
      <c r="AE2965" s="10"/>
      <c r="AF2965" s="10"/>
      <c r="AG2965" s="10"/>
      <c r="AH2965" s="10"/>
      <c r="AI2965" s="10"/>
      <c r="AJ2965" s="10"/>
      <c r="AK2965" s="10"/>
      <c r="AL2965" s="10"/>
      <c r="AM2965" s="10"/>
      <c r="AN2965" s="10"/>
      <c r="AO2965" s="10"/>
      <c r="AP2965" s="10"/>
      <c r="AQ2965" s="10"/>
      <c r="AR2965" s="10"/>
      <c r="AS2965" s="10"/>
      <c r="AT2965" s="10"/>
      <c r="AU2965" s="10"/>
      <c r="AV2965" s="10"/>
      <c r="AW2965" s="10"/>
      <c r="AX2965" s="10"/>
      <c r="AY2965" s="10"/>
      <c r="AZ2965" s="10"/>
      <c r="BA2965" s="10"/>
      <c r="BB2965" s="10"/>
      <c r="BC2965" s="10"/>
      <c r="BD2965" s="10"/>
      <c r="BE2965" s="10"/>
      <c r="BF2965" s="10"/>
      <c r="BG2965" s="10"/>
      <c r="BH2965" s="10"/>
      <c r="BI2965" s="10"/>
      <c r="BJ2965" s="10"/>
      <c r="BK2965" s="10"/>
      <c r="BM2965" s="10"/>
    </row>
    <row r="2966" spans="1:65" ht="12.75">
      <c r="A2966" s="9"/>
      <c r="B2966" s="10"/>
      <c r="C2966" s="11"/>
      <c r="D2966" s="12"/>
      <c r="E2966" s="10"/>
      <c r="F2966" s="10"/>
      <c r="G2966" s="10"/>
      <c r="H2966" s="14"/>
      <c r="I2966" s="14"/>
      <c r="J2966" s="14"/>
      <c r="K2966" s="14"/>
      <c r="L2966" s="14"/>
      <c r="M2966" s="15"/>
      <c r="N2966" s="10"/>
      <c r="O2966" s="14"/>
      <c r="P2966" s="14"/>
      <c r="Q2966" s="14"/>
      <c r="R2966" s="14"/>
      <c r="S2966" s="14"/>
      <c r="T2966" s="14"/>
      <c r="U2966" s="14"/>
      <c r="V2966" s="14"/>
      <c r="W2966" s="14"/>
      <c r="X2966" s="14"/>
      <c r="Y2966" s="14"/>
      <c r="Z2966" s="14"/>
      <c r="AA2966" s="16"/>
      <c r="AB2966" s="10"/>
      <c r="AC2966" s="10"/>
      <c r="AD2966" s="10"/>
      <c r="AE2966" s="10"/>
      <c r="AF2966" s="10"/>
      <c r="AG2966" s="10"/>
      <c r="AH2966" s="10"/>
      <c r="AI2966" s="10"/>
      <c r="AJ2966" s="10"/>
      <c r="AK2966" s="10"/>
      <c r="AL2966" s="10"/>
      <c r="AM2966" s="10"/>
      <c r="AN2966" s="10"/>
      <c r="AO2966" s="10"/>
      <c r="AP2966" s="10"/>
      <c r="AQ2966" s="10"/>
      <c r="AR2966" s="10"/>
      <c r="AS2966" s="10"/>
      <c r="AT2966" s="10"/>
      <c r="AU2966" s="10"/>
      <c r="AV2966" s="10"/>
      <c r="AW2966" s="10"/>
      <c r="AX2966" s="10"/>
      <c r="AY2966" s="10"/>
      <c r="AZ2966" s="10"/>
      <c r="BA2966" s="10"/>
      <c r="BB2966" s="10"/>
      <c r="BC2966" s="10"/>
      <c r="BD2966" s="10"/>
      <c r="BE2966" s="10"/>
      <c r="BF2966" s="10"/>
      <c r="BG2966" s="10"/>
      <c r="BH2966" s="10"/>
      <c r="BI2966" s="10"/>
      <c r="BJ2966" s="10"/>
      <c r="BK2966" s="10"/>
      <c r="BM2966" s="10"/>
    </row>
    <row r="2967" spans="1:65" ht="12.75">
      <c r="A2967" s="9"/>
      <c r="B2967" s="10"/>
      <c r="C2967" s="11"/>
      <c r="D2967" s="12"/>
      <c r="E2967" s="10"/>
      <c r="F2967" s="10"/>
      <c r="G2967" s="10"/>
      <c r="H2967" s="14"/>
      <c r="I2967" s="14"/>
      <c r="J2967" s="14"/>
      <c r="K2967" s="14"/>
      <c r="L2967" s="14"/>
      <c r="M2967" s="15"/>
      <c r="N2967" s="10"/>
      <c r="O2967" s="14"/>
      <c r="P2967" s="14"/>
      <c r="Q2967" s="14"/>
      <c r="R2967" s="14"/>
      <c r="S2967" s="14"/>
      <c r="T2967" s="14"/>
      <c r="U2967" s="14"/>
      <c r="V2967" s="14"/>
      <c r="W2967" s="14"/>
      <c r="X2967" s="14"/>
      <c r="Y2967" s="14"/>
      <c r="Z2967" s="14"/>
      <c r="AA2967" s="16"/>
      <c r="AB2967" s="10"/>
      <c r="AC2967" s="10"/>
      <c r="AD2967" s="10"/>
      <c r="AE2967" s="10"/>
      <c r="AF2967" s="10"/>
      <c r="AG2967" s="10"/>
      <c r="AH2967" s="10"/>
      <c r="AI2967" s="10"/>
      <c r="AJ2967" s="10"/>
      <c r="AK2967" s="10"/>
      <c r="AL2967" s="10"/>
      <c r="AM2967" s="10"/>
      <c r="AN2967" s="10"/>
      <c r="AO2967" s="10"/>
      <c r="AP2967" s="10"/>
      <c r="AQ2967" s="10"/>
      <c r="AR2967" s="10"/>
      <c r="AS2967" s="10"/>
      <c r="AT2967" s="10"/>
      <c r="AU2967" s="10"/>
      <c r="AV2967" s="10"/>
      <c r="AW2967" s="10"/>
      <c r="AX2967" s="10"/>
      <c r="AY2967" s="10"/>
      <c r="AZ2967" s="10"/>
      <c r="BA2967" s="10"/>
      <c r="BB2967" s="10"/>
      <c r="BC2967" s="10"/>
      <c r="BD2967" s="10"/>
      <c r="BE2967" s="10"/>
      <c r="BF2967" s="10"/>
      <c r="BG2967" s="10"/>
      <c r="BH2967" s="10"/>
      <c r="BI2967" s="10"/>
      <c r="BJ2967" s="10"/>
      <c r="BK2967" s="10"/>
      <c r="BM2967" s="10"/>
    </row>
    <row r="2968" spans="1:65" ht="12.75">
      <c r="A2968" s="9"/>
      <c r="B2968" s="10"/>
      <c r="C2968" s="11"/>
      <c r="D2968" s="12"/>
      <c r="E2968" s="10"/>
      <c r="F2968" s="10"/>
      <c r="G2968" s="10"/>
      <c r="H2968" s="14"/>
      <c r="I2968" s="14"/>
      <c r="J2968" s="14"/>
      <c r="K2968" s="14"/>
      <c r="L2968" s="14"/>
      <c r="M2968" s="15"/>
      <c r="N2968" s="10"/>
      <c r="O2968" s="14"/>
      <c r="P2968" s="14"/>
      <c r="Q2968" s="14"/>
      <c r="R2968" s="14"/>
      <c r="S2968" s="14"/>
      <c r="T2968" s="14"/>
      <c r="U2968" s="14"/>
      <c r="V2968" s="14"/>
      <c r="W2968" s="14"/>
      <c r="X2968" s="14"/>
      <c r="Y2968" s="14"/>
      <c r="Z2968" s="14"/>
      <c r="AA2968" s="16"/>
      <c r="AB2968" s="10"/>
      <c r="AC2968" s="10"/>
      <c r="AD2968" s="10"/>
      <c r="AE2968" s="10"/>
      <c r="AF2968" s="10"/>
      <c r="AG2968" s="10"/>
      <c r="AH2968" s="10"/>
      <c r="AI2968" s="10"/>
      <c r="AJ2968" s="10"/>
      <c r="AK2968" s="10"/>
      <c r="AL2968" s="10"/>
      <c r="AM2968" s="10"/>
      <c r="AN2968" s="10"/>
      <c r="AO2968" s="10"/>
      <c r="AP2968" s="10"/>
      <c r="AQ2968" s="10"/>
      <c r="AR2968" s="10"/>
      <c r="AS2968" s="10"/>
      <c r="AT2968" s="10"/>
      <c r="AU2968" s="10"/>
      <c r="AV2968" s="10"/>
      <c r="AW2968" s="10"/>
      <c r="AX2968" s="10"/>
      <c r="AY2968" s="10"/>
      <c r="AZ2968" s="10"/>
      <c r="BA2968" s="10"/>
      <c r="BB2968" s="10"/>
      <c r="BC2968" s="10"/>
      <c r="BD2968" s="10"/>
      <c r="BE2968" s="10"/>
      <c r="BF2968" s="10"/>
      <c r="BG2968" s="10"/>
      <c r="BH2968" s="10"/>
      <c r="BI2968" s="10"/>
      <c r="BJ2968" s="10"/>
      <c r="BK2968" s="10"/>
      <c r="BM2968" s="10"/>
    </row>
    <row r="2969" spans="1:65" ht="12.75">
      <c r="A2969" s="9"/>
      <c r="B2969" s="10"/>
      <c r="C2969" s="11"/>
      <c r="D2969" s="12"/>
      <c r="E2969" s="10"/>
      <c r="F2969" s="10"/>
      <c r="G2969" s="10"/>
      <c r="H2969" s="14"/>
      <c r="I2969" s="14"/>
      <c r="J2969" s="14"/>
      <c r="K2969" s="14"/>
      <c r="L2969" s="14"/>
      <c r="M2969" s="15"/>
      <c r="N2969" s="10"/>
      <c r="O2969" s="14"/>
      <c r="P2969" s="14"/>
      <c r="Q2969" s="14"/>
      <c r="R2969" s="14"/>
      <c r="S2969" s="14"/>
      <c r="T2969" s="14"/>
      <c r="U2969" s="14"/>
      <c r="V2969" s="14"/>
      <c r="W2969" s="14"/>
      <c r="X2969" s="14"/>
      <c r="Y2969" s="14"/>
      <c r="Z2969" s="14"/>
      <c r="AA2969" s="16"/>
      <c r="AB2969" s="10"/>
      <c r="AC2969" s="10"/>
      <c r="AD2969" s="10"/>
      <c r="AE2969" s="10"/>
      <c r="AF2969" s="10"/>
      <c r="AG2969" s="10"/>
      <c r="AH2969" s="10"/>
      <c r="AI2969" s="10"/>
      <c r="AJ2969" s="10"/>
      <c r="AK2969" s="10"/>
      <c r="AL2969" s="10"/>
      <c r="AM2969" s="10"/>
      <c r="AN2969" s="10"/>
      <c r="AO2969" s="10"/>
      <c r="AP2969" s="10"/>
      <c r="AQ2969" s="10"/>
      <c r="AR2969" s="10"/>
      <c r="AS2969" s="10"/>
      <c r="AT2969" s="10"/>
      <c r="AU2969" s="10"/>
      <c r="AV2969" s="10"/>
      <c r="AW2969" s="10"/>
      <c r="AX2969" s="10"/>
      <c r="AY2969" s="10"/>
      <c r="AZ2969" s="10"/>
      <c r="BA2969" s="10"/>
      <c r="BB2969" s="10"/>
      <c r="BC2969" s="10"/>
      <c r="BD2969" s="10"/>
      <c r="BE2969" s="10"/>
      <c r="BF2969" s="10"/>
      <c r="BG2969" s="10"/>
      <c r="BH2969" s="10"/>
      <c r="BI2969" s="10"/>
      <c r="BJ2969" s="10"/>
      <c r="BK2969" s="10"/>
      <c r="BM2969" s="10"/>
    </row>
    <row r="2970" spans="1:65" ht="12.75">
      <c r="A2970" s="9"/>
      <c r="B2970" s="10"/>
      <c r="C2970" s="11"/>
      <c r="D2970" s="12"/>
      <c r="E2970" s="10"/>
      <c r="F2970" s="10"/>
      <c r="G2970" s="10"/>
      <c r="H2970" s="14"/>
      <c r="I2970" s="14"/>
      <c r="J2970" s="14"/>
      <c r="K2970" s="14"/>
      <c r="L2970" s="14"/>
      <c r="M2970" s="15"/>
      <c r="N2970" s="10"/>
      <c r="O2970" s="14"/>
      <c r="P2970" s="14"/>
      <c r="Q2970" s="14"/>
      <c r="R2970" s="14"/>
      <c r="S2970" s="14"/>
      <c r="T2970" s="14"/>
      <c r="U2970" s="14"/>
      <c r="V2970" s="14"/>
      <c r="W2970" s="14"/>
      <c r="X2970" s="14"/>
      <c r="Y2970" s="14"/>
      <c r="Z2970" s="14"/>
      <c r="AA2970" s="16"/>
      <c r="AB2970" s="10"/>
      <c r="AC2970" s="10"/>
      <c r="AD2970" s="10"/>
      <c r="AE2970" s="10"/>
      <c r="AF2970" s="10"/>
      <c r="AG2970" s="10"/>
      <c r="AH2970" s="10"/>
      <c r="AI2970" s="10"/>
      <c r="AJ2970" s="10"/>
      <c r="AK2970" s="10"/>
      <c r="AL2970" s="10"/>
      <c r="AM2970" s="10"/>
      <c r="AN2970" s="10"/>
      <c r="AO2970" s="10"/>
      <c r="AP2970" s="10"/>
      <c r="AQ2970" s="10"/>
      <c r="AR2970" s="10"/>
      <c r="AS2970" s="10"/>
      <c r="AT2970" s="10"/>
      <c r="AU2970" s="10"/>
      <c r="AV2970" s="10"/>
      <c r="AW2970" s="10"/>
      <c r="AX2970" s="10"/>
      <c r="AY2970" s="10"/>
      <c r="AZ2970" s="10"/>
      <c r="BA2970" s="10"/>
      <c r="BB2970" s="10"/>
      <c r="BC2970" s="10"/>
      <c r="BD2970" s="10"/>
      <c r="BE2970" s="10"/>
      <c r="BF2970" s="10"/>
      <c r="BG2970" s="10"/>
      <c r="BH2970" s="10"/>
      <c r="BI2970" s="10"/>
      <c r="BJ2970" s="10"/>
      <c r="BK2970" s="10"/>
      <c r="BM2970" s="10"/>
    </row>
    <row r="2971" spans="1:65" ht="12.75">
      <c r="A2971" s="9"/>
      <c r="B2971" s="10"/>
      <c r="C2971" s="11"/>
      <c r="D2971" s="12"/>
      <c r="E2971" s="10"/>
      <c r="F2971" s="10"/>
      <c r="G2971" s="10"/>
      <c r="H2971" s="14"/>
      <c r="I2971" s="14"/>
      <c r="J2971" s="14"/>
      <c r="K2971" s="14"/>
      <c r="L2971" s="14"/>
      <c r="M2971" s="15"/>
      <c r="N2971" s="10"/>
      <c r="O2971" s="14"/>
      <c r="P2971" s="14"/>
      <c r="Q2971" s="14"/>
      <c r="R2971" s="14"/>
      <c r="S2971" s="14"/>
      <c r="T2971" s="14"/>
      <c r="U2971" s="14"/>
      <c r="V2971" s="14"/>
      <c r="W2971" s="14"/>
      <c r="X2971" s="14"/>
      <c r="Y2971" s="14"/>
      <c r="Z2971" s="14"/>
      <c r="AA2971" s="16"/>
      <c r="AB2971" s="10"/>
      <c r="AC2971" s="10"/>
      <c r="AD2971" s="10"/>
      <c r="AE2971" s="10"/>
      <c r="AF2971" s="10"/>
      <c r="AG2971" s="10"/>
      <c r="AH2971" s="10"/>
      <c r="AI2971" s="10"/>
      <c r="AJ2971" s="10"/>
      <c r="AK2971" s="10"/>
      <c r="AL2971" s="10"/>
      <c r="AM2971" s="10"/>
      <c r="AN2971" s="10"/>
      <c r="AO2971" s="10"/>
      <c r="AP2971" s="10"/>
      <c r="AQ2971" s="10"/>
      <c r="AR2971" s="10"/>
      <c r="AS2971" s="10"/>
      <c r="AT2971" s="10"/>
      <c r="AU2971" s="10"/>
      <c r="AV2971" s="10"/>
      <c r="AW2971" s="10"/>
      <c r="AX2971" s="10"/>
      <c r="AY2971" s="10"/>
      <c r="AZ2971" s="10"/>
      <c r="BA2971" s="10"/>
      <c r="BB2971" s="10"/>
      <c r="BC2971" s="10"/>
      <c r="BD2971" s="10"/>
      <c r="BE2971" s="10"/>
      <c r="BF2971" s="10"/>
      <c r="BG2971" s="10"/>
      <c r="BH2971" s="10"/>
      <c r="BI2971" s="10"/>
      <c r="BJ2971" s="10"/>
      <c r="BK2971" s="10"/>
      <c r="BM2971" s="10"/>
    </row>
    <row r="2972" spans="1:65" ht="12.75">
      <c r="A2972" s="9"/>
      <c r="B2972" s="10"/>
      <c r="C2972" s="11"/>
      <c r="D2972" s="12"/>
      <c r="E2972" s="10"/>
      <c r="F2972" s="10"/>
      <c r="G2972" s="10"/>
      <c r="H2972" s="14"/>
      <c r="I2972" s="14"/>
      <c r="J2972" s="14"/>
      <c r="K2972" s="14"/>
      <c r="L2972" s="14"/>
      <c r="M2972" s="15"/>
      <c r="N2972" s="10"/>
      <c r="O2972" s="14"/>
      <c r="P2972" s="14"/>
      <c r="Q2972" s="14"/>
      <c r="R2972" s="14"/>
      <c r="S2972" s="14"/>
      <c r="T2972" s="14"/>
      <c r="U2972" s="14"/>
      <c r="V2972" s="14"/>
      <c r="W2972" s="14"/>
      <c r="X2972" s="14"/>
      <c r="Y2972" s="14"/>
      <c r="Z2972" s="14"/>
      <c r="AA2972" s="16"/>
      <c r="AB2972" s="10"/>
      <c r="AC2972" s="10"/>
      <c r="AD2972" s="10"/>
      <c r="AE2972" s="10"/>
      <c r="AF2972" s="10"/>
      <c r="AG2972" s="10"/>
      <c r="AH2972" s="10"/>
      <c r="AI2972" s="10"/>
      <c r="AJ2972" s="10"/>
      <c r="AK2972" s="10"/>
      <c r="AL2972" s="10"/>
      <c r="AM2972" s="10"/>
      <c r="AN2972" s="10"/>
      <c r="AO2972" s="10"/>
      <c r="AP2972" s="10"/>
      <c r="AQ2972" s="10"/>
      <c r="AR2972" s="10"/>
      <c r="AS2972" s="10"/>
      <c r="AT2972" s="10"/>
      <c r="AU2972" s="10"/>
      <c r="AV2972" s="10"/>
      <c r="AW2972" s="10"/>
      <c r="AX2972" s="10"/>
      <c r="AY2972" s="10"/>
      <c r="AZ2972" s="10"/>
      <c r="BA2972" s="10"/>
      <c r="BB2972" s="10"/>
      <c r="BC2972" s="10"/>
      <c r="BD2972" s="10"/>
      <c r="BE2972" s="10"/>
      <c r="BF2972" s="10"/>
      <c r="BG2972" s="10"/>
      <c r="BH2972" s="10"/>
      <c r="BI2972" s="10"/>
      <c r="BJ2972" s="10"/>
      <c r="BK2972" s="10"/>
      <c r="BM2972" s="10"/>
    </row>
    <row r="2973" spans="1:65" ht="12.75">
      <c r="A2973" s="9"/>
      <c r="B2973" s="10"/>
      <c r="C2973" s="11"/>
      <c r="D2973" s="12"/>
      <c r="E2973" s="10"/>
      <c r="F2973" s="10"/>
      <c r="G2973" s="10"/>
      <c r="H2973" s="14"/>
      <c r="I2973" s="14"/>
      <c r="J2973" s="14"/>
      <c r="K2973" s="14"/>
      <c r="L2973" s="14"/>
      <c r="M2973" s="15"/>
      <c r="N2973" s="10"/>
      <c r="O2973" s="14"/>
      <c r="P2973" s="14"/>
      <c r="Q2973" s="14"/>
      <c r="R2973" s="14"/>
      <c r="S2973" s="14"/>
      <c r="T2973" s="14"/>
      <c r="U2973" s="14"/>
      <c r="V2973" s="14"/>
      <c r="W2973" s="14"/>
      <c r="X2973" s="14"/>
      <c r="Y2973" s="14"/>
      <c r="Z2973" s="14"/>
      <c r="AA2973" s="16"/>
      <c r="AB2973" s="10"/>
      <c r="AC2973" s="10"/>
      <c r="AD2973" s="10"/>
      <c r="AE2973" s="10"/>
      <c r="AF2973" s="10"/>
      <c r="AG2973" s="10"/>
      <c r="AH2973" s="10"/>
      <c r="AI2973" s="10"/>
      <c r="AJ2973" s="10"/>
      <c r="AK2973" s="10"/>
      <c r="AL2973" s="10"/>
      <c r="AM2973" s="10"/>
      <c r="AN2973" s="10"/>
      <c r="AO2973" s="10"/>
      <c r="AP2973" s="10"/>
      <c r="AQ2973" s="10"/>
      <c r="AR2973" s="10"/>
      <c r="AS2973" s="10"/>
      <c r="AT2973" s="10"/>
      <c r="AU2973" s="10"/>
      <c r="AV2973" s="10"/>
      <c r="AW2973" s="10"/>
      <c r="AX2973" s="10"/>
      <c r="AY2973" s="10"/>
      <c r="AZ2973" s="10"/>
      <c r="BA2973" s="10"/>
      <c r="BB2973" s="10"/>
      <c r="BC2973" s="10"/>
      <c r="BD2973" s="10"/>
      <c r="BE2973" s="10"/>
      <c r="BF2973" s="10"/>
      <c r="BG2973" s="10"/>
      <c r="BH2973" s="10"/>
      <c r="BI2973" s="10"/>
      <c r="BJ2973" s="10"/>
      <c r="BK2973" s="10"/>
      <c r="BM2973" s="10"/>
    </row>
    <row r="2974" spans="1:65" ht="12.75">
      <c r="A2974" s="9"/>
      <c r="B2974" s="10"/>
      <c r="C2974" s="11"/>
      <c r="D2974" s="12"/>
      <c r="E2974" s="10"/>
      <c r="F2974" s="10"/>
      <c r="G2974" s="10"/>
      <c r="H2974" s="14"/>
      <c r="I2974" s="14"/>
      <c r="J2974" s="14"/>
      <c r="K2974" s="14"/>
      <c r="L2974" s="14"/>
      <c r="M2974" s="15"/>
      <c r="N2974" s="10"/>
      <c r="O2974" s="14"/>
      <c r="P2974" s="14"/>
      <c r="Q2974" s="14"/>
      <c r="R2974" s="14"/>
      <c r="S2974" s="14"/>
      <c r="T2974" s="14"/>
      <c r="U2974" s="14"/>
      <c r="V2974" s="14"/>
      <c r="W2974" s="14"/>
      <c r="X2974" s="14"/>
      <c r="Y2974" s="14"/>
      <c r="Z2974" s="14"/>
      <c r="AA2974" s="16"/>
      <c r="AB2974" s="10"/>
      <c r="AC2974" s="10"/>
      <c r="AD2974" s="10"/>
      <c r="AE2974" s="10"/>
      <c r="AF2974" s="10"/>
      <c r="AG2974" s="10"/>
      <c r="AH2974" s="10"/>
      <c r="AI2974" s="10"/>
      <c r="AJ2974" s="10"/>
      <c r="AK2974" s="10"/>
      <c r="AL2974" s="10"/>
      <c r="AM2974" s="10"/>
      <c r="AN2974" s="10"/>
      <c r="AO2974" s="10"/>
      <c r="AP2974" s="10"/>
      <c r="AQ2974" s="10"/>
      <c r="AR2974" s="10"/>
      <c r="AS2974" s="10"/>
      <c r="AT2974" s="10"/>
      <c r="AU2974" s="10"/>
      <c r="AV2974" s="10"/>
      <c r="AW2974" s="10"/>
      <c r="AX2974" s="10"/>
      <c r="AY2974" s="10"/>
      <c r="AZ2974" s="10"/>
      <c r="BA2974" s="10"/>
      <c r="BB2974" s="10"/>
      <c r="BC2974" s="10"/>
      <c r="BD2974" s="10"/>
      <c r="BE2974" s="10"/>
      <c r="BF2974" s="10"/>
      <c r="BG2974" s="10"/>
      <c r="BH2974" s="10"/>
      <c r="BI2974" s="10"/>
      <c r="BJ2974" s="10"/>
      <c r="BK2974" s="10"/>
      <c r="BM2974" s="10"/>
    </row>
    <row r="2975" spans="1:65" ht="12.75">
      <c r="A2975" s="9"/>
      <c r="B2975" s="10"/>
      <c r="C2975" s="11"/>
      <c r="D2975" s="12"/>
      <c r="E2975" s="10"/>
      <c r="F2975" s="10"/>
      <c r="G2975" s="10"/>
      <c r="H2975" s="14"/>
      <c r="I2975" s="14"/>
      <c r="J2975" s="14"/>
      <c r="K2975" s="14"/>
      <c r="L2975" s="14"/>
      <c r="M2975" s="15"/>
      <c r="N2975" s="10"/>
      <c r="O2975" s="14"/>
      <c r="P2975" s="14"/>
      <c r="Q2975" s="14"/>
      <c r="R2975" s="14"/>
      <c r="S2975" s="14"/>
      <c r="T2975" s="14"/>
      <c r="U2975" s="14"/>
      <c r="V2975" s="14"/>
      <c r="W2975" s="14"/>
      <c r="X2975" s="14"/>
      <c r="Y2975" s="14"/>
      <c r="Z2975" s="14"/>
      <c r="AA2975" s="16"/>
      <c r="AB2975" s="10"/>
      <c r="AC2975" s="10"/>
      <c r="AD2975" s="10"/>
      <c r="AE2975" s="10"/>
      <c r="AF2975" s="10"/>
      <c r="AG2975" s="10"/>
      <c r="AH2975" s="10"/>
      <c r="AI2975" s="10"/>
      <c r="AJ2975" s="10"/>
      <c r="AK2975" s="10"/>
      <c r="AL2975" s="10"/>
      <c r="AM2975" s="10"/>
      <c r="AN2975" s="10"/>
      <c r="AO2975" s="10"/>
      <c r="AP2975" s="10"/>
      <c r="AQ2975" s="10"/>
      <c r="AR2975" s="10"/>
      <c r="AS2975" s="10"/>
      <c r="AT2975" s="10"/>
      <c r="AU2975" s="10"/>
      <c r="AV2975" s="10"/>
      <c r="AW2975" s="10"/>
      <c r="AX2975" s="10"/>
      <c r="AY2975" s="10"/>
      <c r="AZ2975" s="10"/>
      <c r="BA2975" s="10"/>
      <c r="BB2975" s="10"/>
      <c r="BC2975" s="10"/>
      <c r="BD2975" s="10"/>
      <c r="BE2975" s="10"/>
      <c r="BF2975" s="10"/>
      <c r="BG2975" s="10"/>
      <c r="BH2975" s="10"/>
      <c r="BI2975" s="10"/>
      <c r="BJ2975" s="10"/>
      <c r="BK2975" s="10"/>
      <c r="BM2975" s="10"/>
    </row>
    <row r="2976" spans="1:65" ht="12.75">
      <c r="A2976" s="9"/>
      <c r="B2976" s="10"/>
      <c r="C2976" s="11"/>
      <c r="D2976" s="12"/>
      <c r="E2976" s="10"/>
      <c r="F2976" s="10"/>
      <c r="G2976" s="10"/>
      <c r="H2976" s="14"/>
      <c r="I2976" s="14"/>
      <c r="J2976" s="14"/>
      <c r="K2976" s="14"/>
      <c r="L2976" s="14"/>
      <c r="M2976" s="15"/>
      <c r="N2976" s="10"/>
      <c r="O2976" s="14"/>
      <c r="P2976" s="14"/>
      <c r="Q2976" s="14"/>
      <c r="R2976" s="14"/>
      <c r="S2976" s="14"/>
      <c r="T2976" s="14"/>
      <c r="U2976" s="14"/>
      <c r="V2976" s="14"/>
      <c r="W2976" s="14"/>
      <c r="X2976" s="14"/>
      <c r="Y2976" s="14"/>
      <c r="Z2976" s="14"/>
      <c r="AA2976" s="16"/>
      <c r="AB2976" s="10"/>
      <c r="AC2976" s="10"/>
      <c r="AD2976" s="10"/>
      <c r="AE2976" s="10"/>
      <c r="AF2976" s="10"/>
      <c r="AG2976" s="10"/>
      <c r="AH2976" s="10"/>
      <c r="AI2976" s="10"/>
      <c r="AJ2976" s="10"/>
      <c r="AK2976" s="10"/>
      <c r="AL2976" s="10"/>
      <c r="AM2976" s="10"/>
      <c r="AN2976" s="10"/>
      <c r="AO2976" s="10"/>
      <c r="AP2976" s="10"/>
      <c r="AQ2976" s="10"/>
      <c r="AR2976" s="10"/>
      <c r="AS2976" s="10"/>
      <c r="AT2976" s="10"/>
      <c r="AU2976" s="10"/>
      <c r="AV2976" s="10"/>
      <c r="AW2976" s="10"/>
      <c r="AX2976" s="10"/>
      <c r="AY2976" s="10"/>
      <c r="AZ2976" s="10"/>
      <c r="BA2976" s="10"/>
      <c r="BB2976" s="10"/>
      <c r="BC2976" s="10"/>
      <c r="BD2976" s="10"/>
      <c r="BE2976" s="10"/>
      <c r="BF2976" s="10"/>
      <c r="BG2976" s="10"/>
      <c r="BH2976" s="10"/>
      <c r="BI2976" s="10"/>
      <c r="BJ2976" s="10"/>
      <c r="BK2976" s="10"/>
      <c r="BM2976" s="10"/>
    </row>
    <row r="2977" spans="1:65" ht="12.75">
      <c r="A2977" s="9"/>
      <c r="B2977" s="10"/>
      <c r="C2977" s="11"/>
      <c r="D2977" s="12"/>
      <c r="E2977" s="10"/>
      <c r="F2977" s="10"/>
      <c r="G2977" s="10"/>
      <c r="H2977" s="14"/>
      <c r="I2977" s="14"/>
      <c r="J2977" s="14"/>
      <c r="K2977" s="14"/>
      <c r="L2977" s="14"/>
      <c r="M2977" s="15"/>
      <c r="N2977" s="10"/>
      <c r="O2977" s="14"/>
      <c r="P2977" s="14"/>
      <c r="Q2977" s="14"/>
      <c r="R2977" s="14"/>
      <c r="S2977" s="14"/>
      <c r="T2977" s="14"/>
      <c r="U2977" s="14"/>
      <c r="V2977" s="14"/>
      <c r="W2977" s="14"/>
      <c r="X2977" s="14"/>
      <c r="Y2977" s="14"/>
      <c r="Z2977" s="14"/>
      <c r="AA2977" s="16"/>
      <c r="AB2977" s="10"/>
      <c r="AC2977" s="10"/>
      <c r="AD2977" s="10"/>
      <c r="AE2977" s="10"/>
      <c r="AF2977" s="10"/>
      <c r="AG2977" s="10"/>
      <c r="AH2977" s="10"/>
      <c r="AI2977" s="10"/>
      <c r="AJ2977" s="10"/>
      <c r="AK2977" s="10"/>
      <c r="AL2977" s="10"/>
      <c r="AM2977" s="10"/>
      <c r="AN2977" s="10"/>
      <c r="AO2977" s="10"/>
      <c r="AP2977" s="10"/>
      <c r="AQ2977" s="10"/>
      <c r="AR2977" s="10"/>
      <c r="AS2977" s="10"/>
      <c r="AT2977" s="10"/>
      <c r="AU2977" s="10"/>
      <c r="AV2977" s="10"/>
      <c r="AW2977" s="10"/>
      <c r="AX2977" s="10"/>
      <c r="AY2977" s="10"/>
      <c r="AZ2977" s="10"/>
      <c r="BA2977" s="10"/>
      <c r="BB2977" s="10"/>
      <c r="BC2977" s="10"/>
      <c r="BD2977" s="10"/>
      <c r="BE2977" s="10"/>
      <c r="BF2977" s="10"/>
      <c r="BG2977" s="10"/>
      <c r="BH2977" s="10"/>
      <c r="BI2977" s="10"/>
      <c r="BJ2977" s="10"/>
      <c r="BK2977" s="10"/>
      <c r="BM2977" s="10"/>
    </row>
    <row r="2978" spans="1:65" ht="12.75">
      <c r="A2978" s="9"/>
      <c r="B2978" s="10"/>
      <c r="C2978" s="11"/>
      <c r="D2978" s="12"/>
      <c r="E2978" s="10"/>
      <c r="F2978" s="10"/>
      <c r="G2978" s="10"/>
      <c r="H2978" s="14"/>
      <c r="I2978" s="14"/>
      <c r="J2978" s="14"/>
      <c r="K2978" s="14"/>
      <c r="L2978" s="14"/>
      <c r="M2978" s="15"/>
      <c r="N2978" s="10"/>
      <c r="O2978" s="14"/>
      <c r="P2978" s="14"/>
      <c r="Q2978" s="14"/>
      <c r="R2978" s="14"/>
      <c r="S2978" s="14"/>
      <c r="T2978" s="14"/>
      <c r="U2978" s="14"/>
      <c r="V2978" s="14"/>
      <c r="W2978" s="14"/>
      <c r="X2978" s="14"/>
      <c r="Y2978" s="14"/>
      <c r="Z2978" s="14"/>
      <c r="AA2978" s="16"/>
      <c r="AB2978" s="10"/>
      <c r="AC2978" s="10"/>
      <c r="AD2978" s="10"/>
      <c r="AE2978" s="10"/>
      <c r="AF2978" s="10"/>
      <c r="AG2978" s="10"/>
      <c r="AH2978" s="10"/>
      <c r="AI2978" s="10"/>
      <c r="AJ2978" s="10"/>
      <c r="AK2978" s="10"/>
      <c r="AL2978" s="10"/>
      <c r="AM2978" s="10"/>
      <c r="AN2978" s="10"/>
      <c r="AO2978" s="10"/>
      <c r="AP2978" s="10"/>
      <c r="AQ2978" s="10"/>
      <c r="AR2978" s="10"/>
      <c r="AS2978" s="10"/>
      <c r="AT2978" s="10"/>
      <c r="AU2978" s="10"/>
      <c r="AV2978" s="10"/>
      <c r="AW2978" s="10"/>
      <c r="AX2978" s="10"/>
      <c r="AY2978" s="10"/>
      <c r="AZ2978" s="10"/>
      <c r="BA2978" s="10"/>
      <c r="BB2978" s="10"/>
      <c r="BC2978" s="10"/>
      <c r="BD2978" s="10"/>
      <c r="BE2978" s="10"/>
      <c r="BF2978" s="10"/>
      <c r="BG2978" s="10"/>
      <c r="BH2978" s="10"/>
      <c r="BI2978" s="10"/>
      <c r="BJ2978" s="10"/>
      <c r="BK2978" s="10"/>
      <c r="BM2978" s="10"/>
    </row>
    <row r="2979" spans="1:65" ht="12.75">
      <c r="A2979" s="9"/>
      <c r="B2979" s="10"/>
      <c r="C2979" s="11"/>
      <c r="D2979" s="12"/>
      <c r="E2979" s="10"/>
      <c r="F2979" s="10"/>
      <c r="G2979" s="10"/>
      <c r="H2979" s="14"/>
      <c r="I2979" s="14"/>
      <c r="J2979" s="14"/>
      <c r="K2979" s="14"/>
      <c r="L2979" s="14"/>
      <c r="M2979" s="15"/>
      <c r="N2979" s="10"/>
      <c r="O2979" s="14"/>
      <c r="P2979" s="14"/>
      <c r="Q2979" s="14"/>
      <c r="R2979" s="14"/>
      <c r="S2979" s="14"/>
      <c r="T2979" s="14"/>
      <c r="U2979" s="14"/>
      <c r="V2979" s="14"/>
      <c r="W2979" s="14"/>
      <c r="X2979" s="14"/>
      <c r="Y2979" s="14"/>
      <c r="Z2979" s="14"/>
      <c r="AA2979" s="16"/>
      <c r="AB2979" s="10"/>
      <c r="AC2979" s="10"/>
      <c r="AD2979" s="10"/>
      <c r="AE2979" s="10"/>
      <c r="AF2979" s="10"/>
      <c r="AG2979" s="10"/>
      <c r="AH2979" s="10"/>
      <c r="AI2979" s="10"/>
      <c r="AJ2979" s="10"/>
      <c r="AK2979" s="10"/>
      <c r="AL2979" s="10"/>
      <c r="AM2979" s="10"/>
      <c r="AN2979" s="10"/>
      <c r="AO2979" s="10"/>
      <c r="AP2979" s="10"/>
      <c r="AQ2979" s="10"/>
      <c r="AR2979" s="10"/>
      <c r="AS2979" s="10"/>
      <c r="AT2979" s="10"/>
      <c r="AU2979" s="10"/>
      <c r="AV2979" s="10"/>
      <c r="AW2979" s="10"/>
      <c r="AX2979" s="10"/>
      <c r="AY2979" s="10"/>
      <c r="AZ2979" s="10"/>
      <c r="BA2979" s="10"/>
      <c r="BB2979" s="10"/>
      <c r="BC2979" s="10"/>
      <c r="BD2979" s="10"/>
      <c r="BE2979" s="10"/>
      <c r="BF2979" s="10"/>
      <c r="BG2979" s="10"/>
      <c r="BH2979" s="10"/>
      <c r="BI2979" s="10"/>
      <c r="BJ2979" s="10"/>
      <c r="BK2979" s="10"/>
      <c r="BM2979" s="10"/>
    </row>
    <row r="2980" spans="1:65" ht="12.75">
      <c r="A2980" s="9"/>
      <c r="B2980" s="10"/>
      <c r="C2980" s="11"/>
      <c r="D2980" s="12"/>
      <c r="E2980" s="10"/>
      <c r="F2980" s="10"/>
      <c r="G2980" s="10"/>
      <c r="H2980" s="14"/>
      <c r="I2980" s="14"/>
      <c r="J2980" s="14"/>
      <c r="K2980" s="14"/>
      <c r="L2980" s="14"/>
      <c r="M2980" s="15"/>
      <c r="N2980" s="10"/>
      <c r="O2980" s="14"/>
      <c r="P2980" s="14"/>
      <c r="Q2980" s="14"/>
      <c r="R2980" s="14"/>
      <c r="S2980" s="14"/>
      <c r="T2980" s="14"/>
      <c r="U2980" s="14"/>
      <c r="V2980" s="14"/>
      <c r="W2980" s="14"/>
      <c r="X2980" s="14"/>
      <c r="Y2980" s="14"/>
      <c r="Z2980" s="14"/>
      <c r="AA2980" s="16"/>
      <c r="AB2980" s="10"/>
      <c r="AC2980" s="10"/>
      <c r="AD2980" s="10"/>
      <c r="AE2980" s="10"/>
      <c r="AF2980" s="10"/>
      <c r="AG2980" s="10"/>
      <c r="AH2980" s="10"/>
      <c r="AI2980" s="10"/>
      <c r="AJ2980" s="10"/>
      <c r="AK2980" s="10"/>
      <c r="AL2980" s="1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10"/>
      <c r="BJ2980" s="10"/>
      <c r="BK2980" s="10"/>
      <c r="BM2980" s="10"/>
    </row>
    <row r="2981" spans="1:65" ht="12.75">
      <c r="A2981" s="9"/>
      <c r="B2981" s="10"/>
      <c r="C2981" s="11"/>
      <c r="D2981" s="12"/>
      <c r="E2981" s="10"/>
      <c r="F2981" s="10"/>
      <c r="G2981" s="10"/>
      <c r="H2981" s="14"/>
      <c r="I2981" s="14"/>
      <c r="J2981" s="14"/>
      <c r="K2981" s="14"/>
      <c r="L2981" s="14"/>
      <c r="M2981" s="15"/>
      <c r="N2981" s="10"/>
      <c r="O2981" s="14"/>
      <c r="P2981" s="14"/>
      <c r="Q2981" s="14"/>
      <c r="R2981" s="14"/>
      <c r="S2981" s="14"/>
      <c r="T2981" s="14"/>
      <c r="U2981" s="14"/>
      <c r="V2981" s="14"/>
      <c r="W2981" s="14"/>
      <c r="X2981" s="14"/>
      <c r="Y2981" s="14"/>
      <c r="Z2981" s="14"/>
      <c r="AA2981" s="16"/>
      <c r="AB2981" s="10"/>
      <c r="AC2981" s="10"/>
      <c r="AD2981" s="10"/>
      <c r="AE2981" s="10"/>
      <c r="AF2981" s="10"/>
      <c r="AG2981" s="10"/>
      <c r="AH2981" s="10"/>
      <c r="AI2981" s="10"/>
      <c r="AJ2981" s="10"/>
      <c r="AK2981" s="10"/>
      <c r="AL2981" s="10"/>
      <c r="AM2981" s="10"/>
      <c r="AN2981" s="10"/>
      <c r="AO2981" s="10"/>
      <c r="AP2981" s="10"/>
      <c r="AQ2981" s="10"/>
      <c r="AR2981" s="10"/>
      <c r="AS2981" s="10"/>
      <c r="AT2981" s="10"/>
      <c r="AU2981" s="10"/>
      <c r="AV2981" s="10"/>
      <c r="AW2981" s="10"/>
      <c r="AX2981" s="10"/>
      <c r="AY2981" s="10"/>
      <c r="AZ2981" s="10"/>
      <c r="BA2981" s="10"/>
      <c r="BB2981" s="10"/>
      <c r="BC2981" s="10"/>
      <c r="BD2981" s="10"/>
      <c r="BE2981" s="10"/>
      <c r="BF2981" s="10"/>
      <c r="BG2981" s="10"/>
      <c r="BH2981" s="10"/>
      <c r="BI2981" s="10"/>
      <c r="BJ2981" s="10"/>
      <c r="BK2981" s="10"/>
      <c r="BM2981" s="10"/>
    </row>
    <row r="2982" spans="1:65" ht="12.75">
      <c r="A2982" s="9"/>
      <c r="B2982" s="10"/>
      <c r="C2982" s="11"/>
      <c r="D2982" s="12"/>
      <c r="E2982" s="10"/>
      <c r="F2982" s="10"/>
      <c r="G2982" s="10"/>
      <c r="H2982" s="14"/>
      <c r="I2982" s="14"/>
      <c r="J2982" s="14"/>
      <c r="K2982" s="14"/>
      <c r="L2982" s="14"/>
      <c r="M2982" s="15"/>
      <c r="N2982" s="10"/>
      <c r="O2982" s="14"/>
      <c r="P2982" s="14"/>
      <c r="Q2982" s="14"/>
      <c r="R2982" s="14"/>
      <c r="S2982" s="14"/>
      <c r="T2982" s="14"/>
      <c r="U2982" s="14"/>
      <c r="V2982" s="14"/>
      <c r="W2982" s="14"/>
      <c r="X2982" s="14"/>
      <c r="Y2982" s="14"/>
      <c r="Z2982" s="14"/>
      <c r="AA2982" s="16"/>
      <c r="AB2982" s="10"/>
      <c r="AC2982" s="10"/>
      <c r="AD2982" s="10"/>
      <c r="AE2982" s="10"/>
      <c r="AF2982" s="10"/>
      <c r="AG2982" s="10"/>
      <c r="AH2982" s="10"/>
      <c r="AI2982" s="10"/>
      <c r="AJ2982" s="10"/>
      <c r="AK2982" s="10"/>
      <c r="AL2982" s="10"/>
      <c r="AM2982" s="10"/>
      <c r="AN2982" s="10"/>
      <c r="AO2982" s="10"/>
      <c r="AP2982" s="10"/>
      <c r="AQ2982" s="10"/>
      <c r="AR2982" s="10"/>
      <c r="AS2982" s="10"/>
      <c r="AT2982" s="10"/>
      <c r="AU2982" s="10"/>
      <c r="AV2982" s="10"/>
      <c r="AW2982" s="10"/>
      <c r="AX2982" s="10"/>
      <c r="AY2982" s="10"/>
      <c r="AZ2982" s="10"/>
      <c r="BA2982" s="10"/>
      <c r="BB2982" s="10"/>
      <c r="BC2982" s="10"/>
      <c r="BD2982" s="10"/>
      <c r="BE2982" s="10"/>
      <c r="BF2982" s="10"/>
      <c r="BG2982" s="10"/>
      <c r="BH2982" s="10"/>
      <c r="BI2982" s="10"/>
      <c r="BJ2982" s="10"/>
      <c r="BK2982" s="10"/>
      <c r="BM2982" s="10"/>
    </row>
    <row r="2983" spans="1:65" ht="12.75">
      <c r="A2983" s="9"/>
      <c r="B2983" s="10"/>
      <c r="C2983" s="11"/>
      <c r="D2983" s="12"/>
      <c r="E2983" s="10"/>
      <c r="F2983" s="10"/>
      <c r="G2983" s="10"/>
      <c r="H2983" s="14"/>
      <c r="I2983" s="14"/>
      <c r="J2983" s="14"/>
      <c r="K2983" s="14"/>
      <c r="L2983" s="14"/>
      <c r="M2983" s="15"/>
      <c r="N2983" s="10"/>
      <c r="O2983" s="14"/>
      <c r="P2983" s="14"/>
      <c r="Q2983" s="14"/>
      <c r="R2983" s="14"/>
      <c r="S2983" s="14"/>
      <c r="T2983" s="14"/>
      <c r="U2983" s="14"/>
      <c r="V2983" s="14"/>
      <c r="W2983" s="14"/>
      <c r="X2983" s="14"/>
      <c r="Y2983" s="14"/>
      <c r="Z2983" s="14"/>
      <c r="AA2983" s="16"/>
      <c r="AB2983" s="10"/>
      <c r="AC2983" s="10"/>
      <c r="AD2983" s="10"/>
      <c r="AE2983" s="10"/>
      <c r="AF2983" s="10"/>
      <c r="AG2983" s="10"/>
      <c r="AH2983" s="10"/>
      <c r="AI2983" s="10"/>
      <c r="AJ2983" s="10"/>
      <c r="AK2983" s="10"/>
      <c r="AL2983" s="10"/>
      <c r="AM2983" s="10"/>
      <c r="AN2983" s="10"/>
      <c r="AO2983" s="10"/>
      <c r="AP2983" s="10"/>
      <c r="AQ2983" s="10"/>
      <c r="AR2983" s="10"/>
      <c r="AS2983" s="10"/>
      <c r="AT2983" s="10"/>
      <c r="AU2983" s="10"/>
      <c r="AV2983" s="10"/>
      <c r="AW2983" s="10"/>
      <c r="AX2983" s="10"/>
      <c r="AY2983" s="10"/>
      <c r="AZ2983" s="10"/>
      <c r="BA2983" s="10"/>
      <c r="BB2983" s="10"/>
      <c r="BC2983" s="10"/>
      <c r="BD2983" s="10"/>
      <c r="BE2983" s="10"/>
      <c r="BF2983" s="10"/>
      <c r="BG2983" s="10"/>
      <c r="BH2983" s="10"/>
      <c r="BI2983" s="10"/>
      <c r="BJ2983" s="10"/>
      <c r="BK2983" s="10"/>
      <c r="BM2983" s="10"/>
    </row>
    <row r="2984" spans="1:65" ht="12.75">
      <c r="A2984" s="9"/>
      <c r="B2984" s="10"/>
      <c r="C2984" s="11"/>
      <c r="D2984" s="12"/>
      <c r="E2984" s="10"/>
      <c r="F2984" s="10"/>
      <c r="G2984" s="10"/>
      <c r="H2984" s="14"/>
      <c r="I2984" s="14"/>
      <c r="J2984" s="14"/>
      <c r="K2984" s="14"/>
      <c r="L2984" s="14"/>
      <c r="M2984" s="15"/>
      <c r="N2984" s="10"/>
      <c r="O2984" s="14"/>
      <c r="P2984" s="14"/>
      <c r="Q2984" s="14"/>
      <c r="R2984" s="14"/>
      <c r="S2984" s="14"/>
      <c r="T2984" s="14"/>
      <c r="U2984" s="14"/>
      <c r="V2984" s="14"/>
      <c r="W2984" s="14"/>
      <c r="X2984" s="14"/>
      <c r="Y2984" s="14"/>
      <c r="Z2984" s="14"/>
      <c r="AA2984" s="16"/>
      <c r="AB2984" s="10"/>
      <c r="AC2984" s="10"/>
      <c r="AD2984" s="10"/>
      <c r="AE2984" s="10"/>
      <c r="AF2984" s="10"/>
      <c r="AG2984" s="10"/>
      <c r="AH2984" s="10"/>
      <c r="AI2984" s="10"/>
      <c r="AJ2984" s="10"/>
      <c r="AK2984" s="10"/>
      <c r="AL2984" s="1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10"/>
      <c r="BJ2984" s="10"/>
      <c r="BK2984" s="10"/>
      <c r="BM2984" s="10"/>
    </row>
    <row r="2985" spans="1:65" ht="12.75">
      <c r="A2985" s="9"/>
      <c r="B2985" s="10"/>
      <c r="C2985" s="11"/>
      <c r="D2985" s="12"/>
      <c r="E2985" s="10"/>
      <c r="F2985" s="10"/>
      <c r="G2985" s="10"/>
      <c r="H2985" s="14"/>
      <c r="I2985" s="14"/>
      <c r="J2985" s="14"/>
      <c r="K2985" s="14"/>
      <c r="L2985" s="14"/>
      <c r="M2985" s="15"/>
      <c r="N2985" s="10"/>
      <c r="O2985" s="14"/>
      <c r="P2985" s="14"/>
      <c r="Q2985" s="14"/>
      <c r="R2985" s="14"/>
      <c r="S2985" s="14"/>
      <c r="T2985" s="14"/>
      <c r="U2985" s="14"/>
      <c r="V2985" s="14"/>
      <c r="W2985" s="14"/>
      <c r="X2985" s="14"/>
      <c r="Y2985" s="14"/>
      <c r="Z2985" s="14"/>
      <c r="AA2985" s="16"/>
      <c r="AB2985" s="10"/>
      <c r="AC2985" s="10"/>
      <c r="AD2985" s="10"/>
      <c r="AE2985" s="10"/>
      <c r="AF2985" s="10"/>
      <c r="AG2985" s="10"/>
      <c r="AH2985" s="10"/>
      <c r="AI2985" s="10"/>
      <c r="AJ2985" s="10"/>
      <c r="AK2985" s="10"/>
      <c r="AL2985" s="10"/>
      <c r="AM2985" s="10"/>
      <c r="AN2985" s="10"/>
      <c r="AO2985" s="10"/>
      <c r="AP2985" s="10"/>
      <c r="AQ2985" s="10"/>
      <c r="AR2985" s="10"/>
      <c r="AS2985" s="10"/>
      <c r="AT2985" s="10"/>
      <c r="AU2985" s="10"/>
      <c r="AV2985" s="10"/>
      <c r="AW2985" s="10"/>
      <c r="AX2985" s="10"/>
      <c r="AY2985" s="10"/>
      <c r="AZ2985" s="10"/>
      <c r="BA2985" s="10"/>
      <c r="BB2985" s="10"/>
      <c r="BC2985" s="10"/>
      <c r="BD2985" s="10"/>
      <c r="BE2985" s="10"/>
      <c r="BF2985" s="10"/>
      <c r="BG2985" s="10"/>
      <c r="BH2985" s="10"/>
      <c r="BI2985" s="10"/>
      <c r="BJ2985" s="10"/>
      <c r="BK2985" s="10"/>
      <c r="BM2985" s="10"/>
    </row>
    <row r="2986" spans="1:65" ht="12.75">
      <c r="A2986" s="9"/>
      <c r="B2986" s="10"/>
      <c r="C2986" s="11"/>
      <c r="D2986" s="12"/>
      <c r="E2986" s="10"/>
      <c r="F2986" s="10"/>
      <c r="G2986" s="10"/>
      <c r="H2986" s="14"/>
      <c r="I2986" s="14"/>
      <c r="J2986" s="14"/>
      <c r="K2986" s="14"/>
      <c r="L2986" s="14"/>
      <c r="M2986" s="15"/>
      <c r="N2986" s="10"/>
      <c r="O2986" s="14"/>
      <c r="P2986" s="14"/>
      <c r="Q2986" s="14"/>
      <c r="R2986" s="14"/>
      <c r="S2986" s="14"/>
      <c r="T2986" s="14"/>
      <c r="U2986" s="14"/>
      <c r="V2986" s="14"/>
      <c r="W2986" s="14"/>
      <c r="X2986" s="14"/>
      <c r="Y2986" s="14"/>
      <c r="Z2986" s="14"/>
      <c r="AA2986" s="16"/>
      <c r="AB2986" s="10"/>
      <c r="AC2986" s="10"/>
      <c r="AD2986" s="10"/>
      <c r="AE2986" s="10"/>
      <c r="AF2986" s="10"/>
      <c r="AG2986" s="10"/>
      <c r="AH2986" s="10"/>
      <c r="AI2986" s="10"/>
      <c r="AJ2986" s="10"/>
      <c r="AK2986" s="10"/>
      <c r="AL2986" s="1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M2986" s="10"/>
    </row>
    <row r="2987" spans="1:65" ht="12.75">
      <c r="A2987" s="9"/>
      <c r="B2987" s="10"/>
      <c r="C2987" s="11"/>
      <c r="D2987" s="12"/>
      <c r="E2987" s="10"/>
      <c r="F2987" s="10"/>
      <c r="G2987" s="10"/>
      <c r="H2987" s="14"/>
      <c r="I2987" s="14"/>
      <c r="J2987" s="14"/>
      <c r="K2987" s="14"/>
      <c r="L2987" s="14"/>
      <c r="M2987" s="15"/>
      <c r="N2987" s="10"/>
      <c r="O2987" s="14"/>
      <c r="P2987" s="14"/>
      <c r="Q2987" s="14"/>
      <c r="R2987" s="14"/>
      <c r="S2987" s="14"/>
      <c r="T2987" s="14"/>
      <c r="U2987" s="14"/>
      <c r="V2987" s="14"/>
      <c r="W2987" s="14"/>
      <c r="X2987" s="14"/>
      <c r="Y2987" s="14"/>
      <c r="Z2987" s="14"/>
      <c r="AA2987" s="16"/>
      <c r="AB2987" s="10"/>
      <c r="AC2987" s="10"/>
      <c r="AD2987" s="10"/>
      <c r="AE2987" s="10"/>
      <c r="AF2987" s="10"/>
      <c r="AG2987" s="10"/>
      <c r="AH2987" s="10"/>
      <c r="AI2987" s="10"/>
      <c r="AJ2987" s="10"/>
      <c r="AK2987" s="10"/>
      <c r="AL2987" s="10"/>
      <c r="AM2987" s="10"/>
      <c r="AN2987" s="10"/>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10"/>
      <c r="BJ2987" s="10"/>
      <c r="BK2987" s="10"/>
      <c r="BM2987" s="10"/>
    </row>
    <row r="2988" spans="1:65" ht="12.75">
      <c r="A2988" s="9"/>
      <c r="B2988" s="10"/>
      <c r="C2988" s="11"/>
      <c r="D2988" s="12"/>
      <c r="E2988" s="10"/>
      <c r="F2988" s="10"/>
      <c r="G2988" s="10"/>
      <c r="H2988" s="14"/>
      <c r="I2988" s="14"/>
      <c r="J2988" s="14"/>
      <c r="K2988" s="14"/>
      <c r="L2988" s="14"/>
      <c r="M2988" s="15"/>
      <c r="N2988" s="10"/>
      <c r="O2988" s="14"/>
      <c r="P2988" s="14"/>
      <c r="Q2988" s="14"/>
      <c r="R2988" s="14"/>
      <c r="S2988" s="14"/>
      <c r="T2988" s="14"/>
      <c r="U2988" s="14"/>
      <c r="V2988" s="14"/>
      <c r="W2988" s="14"/>
      <c r="X2988" s="14"/>
      <c r="Y2988" s="14"/>
      <c r="Z2988" s="14"/>
      <c r="AA2988" s="16"/>
      <c r="AB2988" s="10"/>
      <c r="AC2988" s="10"/>
      <c r="AD2988" s="10"/>
      <c r="AE2988" s="10"/>
      <c r="AF2988" s="10"/>
      <c r="AG2988" s="10"/>
      <c r="AH2988" s="10"/>
      <c r="AI2988" s="10"/>
      <c r="AJ2988" s="10"/>
      <c r="AK2988" s="10"/>
      <c r="AL2988" s="10"/>
      <c r="AM2988" s="10"/>
      <c r="AN2988" s="10"/>
      <c r="AO2988" s="10"/>
      <c r="AP2988" s="10"/>
      <c r="AQ2988" s="10"/>
      <c r="AR2988" s="10"/>
      <c r="AS2988" s="10"/>
      <c r="AT2988" s="10"/>
      <c r="AU2988" s="10"/>
      <c r="AV2988" s="10"/>
      <c r="AW2988" s="10"/>
      <c r="AX2988" s="10"/>
      <c r="AY2988" s="10"/>
      <c r="AZ2988" s="10"/>
      <c r="BA2988" s="10"/>
      <c r="BB2988" s="10"/>
      <c r="BC2988" s="10"/>
      <c r="BD2988" s="10"/>
      <c r="BE2988" s="10"/>
      <c r="BF2988" s="10"/>
      <c r="BG2988" s="10"/>
      <c r="BH2988" s="10"/>
      <c r="BI2988" s="10"/>
      <c r="BJ2988" s="10"/>
      <c r="BK2988" s="10"/>
      <c r="BM2988" s="10"/>
    </row>
    <row r="2989" spans="1:65" ht="12.75">
      <c r="A2989" s="9"/>
      <c r="B2989" s="10"/>
      <c r="C2989" s="11"/>
      <c r="D2989" s="12"/>
      <c r="E2989" s="10"/>
      <c r="F2989" s="10"/>
      <c r="G2989" s="10"/>
      <c r="H2989" s="14"/>
      <c r="I2989" s="14"/>
      <c r="J2989" s="14"/>
      <c r="K2989" s="14"/>
      <c r="L2989" s="14"/>
      <c r="M2989" s="15"/>
      <c r="N2989" s="10"/>
      <c r="O2989" s="14"/>
      <c r="P2989" s="14"/>
      <c r="Q2989" s="14"/>
      <c r="R2989" s="14"/>
      <c r="S2989" s="14"/>
      <c r="T2989" s="14"/>
      <c r="U2989" s="14"/>
      <c r="V2989" s="14"/>
      <c r="W2989" s="14"/>
      <c r="X2989" s="14"/>
      <c r="Y2989" s="14"/>
      <c r="Z2989" s="14"/>
      <c r="AA2989" s="16"/>
      <c r="AB2989" s="10"/>
      <c r="AC2989" s="10"/>
      <c r="AD2989" s="10"/>
      <c r="AE2989" s="10"/>
      <c r="AF2989" s="10"/>
      <c r="AG2989" s="10"/>
      <c r="AH2989" s="10"/>
      <c r="AI2989" s="10"/>
      <c r="AJ2989" s="10"/>
      <c r="AK2989" s="10"/>
      <c r="AL2989" s="10"/>
      <c r="AM2989" s="10"/>
      <c r="AN2989" s="10"/>
      <c r="AO2989" s="10"/>
      <c r="AP2989" s="10"/>
      <c r="AQ2989" s="10"/>
      <c r="AR2989" s="10"/>
      <c r="AS2989" s="10"/>
      <c r="AT2989" s="10"/>
      <c r="AU2989" s="10"/>
      <c r="AV2989" s="10"/>
      <c r="AW2989" s="10"/>
      <c r="AX2989" s="10"/>
      <c r="AY2989" s="10"/>
      <c r="AZ2989" s="10"/>
      <c r="BA2989" s="10"/>
      <c r="BB2989" s="10"/>
      <c r="BC2989" s="10"/>
      <c r="BD2989" s="10"/>
      <c r="BE2989" s="10"/>
      <c r="BF2989" s="10"/>
      <c r="BG2989" s="10"/>
      <c r="BH2989" s="10"/>
      <c r="BI2989" s="10"/>
      <c r="BJ2989" s="10"/>
      <c r="BK2989" s="10"/>
      <c r="BM2989" s="10"/>
    </row>
    <row r="2990" spans="1:65" ht="12.75">
      <c r="A2990" s="9"/>
      <c r="B2990" s="10"/>
      <c r="C2990" s="11"/>
      <c r="D2990" s="12"/>
      <c r="E2990" s="10"/>
      <c r="F2990" s="10"/>
      <c r="G2990" s="10"/>
      <c r="H2990" s="14"/>
      <c r="I2990" s="14"/>
      <c r="J2990" s="14"/>
      <c r="K2990" s="14"/>
      <c r="L2990" s="14"/>
      <c r="M2990" s="15"/>
      <c r="N2990" s="10"/>
      <c r="O2990" s="14"/>
      <c r="P2990" s="14"/>
      <c r="Q2990" s="14"/>
      <c r="R2990" s="14"/>
      <c r="S2990" s="14"/>
      <c r="T2990" s="14"/>
      <c r="U2990" s="14"/>
      <c r="V2990" s="14"/>
      <c r="W2990" s="14"/>
      <c r="X2990" s="14"/>
      <c r="Y2990" s="14"/>
      <c r="Z2990" s="14"/>
      <c r="AA2990" s="16"/>
      <c r="AB2990" s="10"/>
      <c r="AC2990" s="10"/>
      <c r="AD2990" s="10"/>
      <c r="AE2990" s="10"/>
      <c r="AF2990" s="10"/>
      <c r="AG2990" s="10"/>
      <c r="AH2990" s="10"/>
      <c r="AI2990" s="10"/>
      <c r="AJ2990" s="10"/>
      <c r="AK2990" s="10"/>
      <c r="AL2990" s="10"/>
      <c r="AM2990" s="10"/>
      <c r="AN2990" s="10"/>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10"/>
      <c r="BK2990" s="10"/>
      <c r="BM2990" s="10"/>
    </row>
    <row r="2991" spans="1:65" ht="12.75">
      <c r="A2991" s="9"/>
      <c r="B2991" s="10"/>
      <c r="C2991" s="11"/>
      <c r="D2991" s="12"/>
      <c r="E2991" s="10"/>
      <c r="F2991" s="10"/>
      <c r="G2991" s="10"/>
      <c r="H2991" s="14"/>
      <c r="I2991" s="14"/>
      <c r="J2991" s="14"/>
      <c r="K2991" s="14"/>
      <c r="L2991" s="14"/>
      <c r="M2991" s="15"/>
      <c r="N2991" s="10"/>
      <c r="O2991" s="14"/>
      <c r="P2991" s="14"/>
      <c r="Q2991" s="14"/>
      <c r="R2991" s="14"/>
      <c r="S2991" s="14"/>
      <c r="T2991" s="14"/>
      <c r="U2991" s="14"/>
      <c r="V2991" s="14"/>
      <c r="W2991" s="14"/>
      <c r="X2991" s="14"/>
      <c r="Y2991" s="14"/>
      <c r="Z2991" s="14"/>
      <c r="AA2991" s="16"/>
      <c r="AB2991" s="10"/>
      <c r="AC2991" s="10"/>
      <c r="AD2991" s="10"/>
      <c r="AE2991" s="10"/>
      <c r="AF2991" s="10"/>
      <c r="AG2991" s="10"/>
      <c r="AH2991" s="10"/>
      <c r="AI2991" s="10"/>
      <c r="AJ2991" s="10"/>
      <c r="AK2991" s="10"/>
      <c r="AL2991" s="1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10"/>
      <c r="BK2991" s="10"/>
      <c r="BM2991" s="10"/>
    </row>
    <row r="2992" spans="1:65" ht="12.75">
      <c r="A2992" s="9"/>
      <c r="B2992" s="10"/>
      <c r="C2992" s="11"/>
      <c r="D2992" s="12"/>
      <c r="E2992" s="10"/>
      <c r="F2992" s="10"/>
      <c r="G2992" s="10"/>
      <c r="H2992" s="14"/>
      <c r="I2992" s="14"/>
      <c r="J2992" s="14"/>
      <c r="K2992" s="14"/>
      <c r="L2992" s="14"/>
      <c r="M2992" s="15"/>
      <c r="N2992" s="10"/>
      <c r="O2992" s="14"/>
      <c r="P2992" s="14"/>
      <c r="Q2992" s="14"/>
      <c r="R2992" s="14"/>
      <c r="S2992" s="14"/>
      <c r="T2992" s="14"/>
      <c r="U2992" s="14"/>
      <c r="V2992" s="14"/>
      <c r="W2992" s="14"/>
      <c r="X2992" s="14"/>
      <c r="Y2992" s="14"/>
      <c r="Z2992" s="14"/>
      <c r="AA2992" s="16"/>
      <c r="AB2992" s="10"/>
      <c r="AC2992" s="10"/>
      <c r="AD2992" s="10"/>
      <c r="AE2992" s="10"/>
      <c r="AF2992" s="10"/>
      <c r="AG2992" s="10"/>
      <c r="AH2992" s="10"/>
      <c r="AI2992" s="10"/>
      <c r="AJ2992" s="10"/>
      <c r="AK2992" s="10"/>
      <c r="AL2992" s="10"/>
      <c r="AM2992" s="10"/>
      <c r="AN2992" s="10"/>
      <c r="AO2992" s="10"/>
      <c r="AP2992" s="10"/>
      <c r="AQ2992" s="10"/>
      <c r="AR2992" s="10"/>
      <c r="AS2992" s="10"/>
      <c r="AT2992" s="10"/>
      <c r="AU2992" s="10"/>
      <c r="AV2992" s="10"/>
      <c r="AW2992" s="10"/>
      <c r="AX2992" s="10"/>
      <c r="AY2992" s="10"/>
      <c r="AZ2992" s="10"/>
      <c r="BA2992" s="10"/>
      <c r="BB2992" s="10"/>
      <c r="BC2992" s="10"/>
      <c r="BD2992" s="10"/>
      <c r="BE2992" s="10"/>
      <c r="BF2992" s="10"/>
      <c r="BG2992" s="10"/>
      <c r="BH2992" s="10"/>
      <c r="BI2992" s="10"/>
      <c r="BJ2992" s="10"/>
      <c r="BK2992" s="10"/>
      <c r="BM2992" s="10"/>
    </row>
    <row r="2993" spans="1:65" ht="12.75">
      <c r="A2993" s="9"/>
      <c r="B2993" s="10"/>
      <c r="C2993" s="11"/>
      <c r="D2993" s="12"/>
      <c r="E2993" s="10"/>
      <c r="F2993" s="10"/>
      <c r="G2993" s="10"/>
      <c r="H2993" s="14"/>
      <c r="I2993" s="14"/>
      <c r="J2993" s="14"/>
      <c r="K2993" s="14"/>
      <c r="L2993" s="14"/>
      <c r="M2993" s="15"/>
      <c r="N2993" s="10"/>
      <c r="O2993" s="14"/>
      <c r="P2993" s="14"/>
      <c r="Q2993" s="14"/>
      <c r="R2993" s="14"/>
      <c r="S2993" s="14"/>
      <c r="T2993" s="14"/>
      <c r="U2993" s="14"/>
      <c r="V2993" s="14"/>
      <c r="W2993" s="14"/>
      <c r="X2993" s="14"/>
      <c r="Y2993" s="14"/>
      <c r="Z2993" s="14"/>
      <c r="AA2993" s="16"/>
      <c r="AB2993" s="10"/>
      <c r="AC2993" s="10"/>
      <c r="AD2993" s="10"/>
      <c r="AE2993" s="10"/>
      <c r="AF2993" s="10"/>
      <c r="AG2993" s="10"/>
      <c r="AH2993" s="10"/>
      <c r="AI2993" s="10"/>
      <c r="AJ2993" s="10"/>
      <c r="AK2993" s="10"/>
      <c r="AL2993" s="10"/>
      <c r="AM2993" s="10"/>
      <c r="AN2993" s="10"/>
      <c r="AO2993" s="10"/>
      <c r="AP2993" s="10"/>
      <c r="AQ2993" s="10"/>
      <c r="AR2993" s="10"/>
      <c r="AS2993" s="10"/>
      <c r="AT2993" s="10"/>
      <c r="AU2993" s="10"/>
      <c r="AV2993" s="10"/>
      <c r="AW2993" s="10"/>
      <c r="AX2993" s="10"/>
      <c r="AY2993" s="10"/>
      <c r="AZ2993" s="10"/>
      <c r="BA2993" s="10"/>
      <c r="BB2993" s="10"/>
      <c r="BC2993" s="10"/>
      <c r="BD2993" s="10"/>
      <c r="BE2993" s="10"/>
      <c r="BF2993" s="10"/>
      <c r="BG2993" s="10"/>
      <c r="BH2993" s="10"/>
      <c r="BI2993" s="10"/>
      <c r="BJ2993" s="10"/>
      <c r="BK2993" s="10"/>
      <c r="BM2993" s="10"/>
    </row>
    <row r="2994" spans="1:65" ht="12.75">
      <c r="A2994" s="9"/>
      <c r="B2994" s="10"/>
      <c r="C2994" s="11"/>
      <c r="D2994" s="12"/>
      <c r="E2994" s="10"/>
      <c r="F2994" s="10"/>
      <c r="G2994" s="10"/>
      <c r="H2994" s="14"/>
      <c r="I2994" s="14"/>
      <c r="J2994" s="14"/>
      <c r="K2994" s="14"/>
      <c r="L2994" s="14"/>
      <c r="M2994" s="15"/>
      <c r="N2994" s="10"/>
      <c r="O2994" s="14"/>
      <c r="P2994" s="14"/>
      <c r="Q2994" s="14"/>
      <c r="R2994" s="14"/>
      <c r="S2994" s="14"/>
      <c r="T2994" s="14"/>
      <c r="U2994" s="14"/>
      <c r="V2994" s="14"/>
      <c r="W2994" s="14"/>
      <c r="X2994" s="14"/>
      <c r="Y2994" s="14"/>
      <c r="Z2994" s="14"/>
      <c r="AA2994" s="16"/>
      <c r="AB2994" s="10"/>
      <c r="AC2994" s="10"/>
      <c r="AD2994" s="10"/>
      <c r="AE2994" s="10"/>
      <c r="AF2994" s="10"/>
      <c r="AG2994" s="10"/>
      <c r="AH2994" s="10"/>
      <c r="AI2994" s="10"/>
      <c r="AJ2994" s="10"/>
      <c r="AK2994" s="10"/>
      <c r="AL2994" s="10"/>
      <c r="AM2994" s="10"/>
      <c r="AN2994" s="10"/>
      <c r="AO2994" s="10"/>
      <c r="AP2994" s="10"/>
      <c r="AQ2994" s="10"/>
      <c r="AR2994" s="10"/>
      <c r="AS2994" s="10"/>
      <c r="AT2994" s="10"/>
      <c r="AU2994" s="10"/>
      <c r="AV2994" s="10"/>
      <c r="AW2994" s="10"/>
      <c r="AX2994" s="10"/>
      <c r="AY2994" s="10"/>
      <c r="AZ2994" s="10"/>
      <c r="BA2994" s="10"/>
      <c r="BB2994" s="10"/>
      <c r="BC2994" s="10"/>
      <c r="BD2994" s="10"/>
      <c r="BE2994" s="10"/>
      <c r="BF2994" s="10"/>
      <c r="BG2994" s="10"/>
      <c r="BH2994" s="10"/>
      <c r="BI2994" s="10"/>
      <c r="BJ2994" s="10"/>
      <c r="BK2994" s="10"/>
      <c r="BM2994" s="10"/>
    </row>
    <row r="2995" spans="1:65" ht="12.75">
      <c r="A2995" s="9"/>
      <c r="B2995" s="10"/>
      <c r="C2995" s="11"/>
      <c r="D2995" s="12"/>
      <c r="E2995" s="10"/>
      <c r="F2995" s="10"/>
      <c r="G2995" s="10"/>
      <c r="H2995" s="14"/>
      <c r="I2995" s="14"/>
      <c r="J2995" s="14"/>
      <c r="K2995" s="14"/>
      <c r="L2995" s="14"/>
      <c r="M2995" s="15"/>
      <c r="N2995" s="10"/>
      <c r="O2995" s="14"/>
      <c r="P2995" s="14"/>
      <c r="Q2995" s="14"/>
      <c r="R2995" s="14"/>
      <c r="S2995" s="14"/>
      <c r="T2995" s="14"/>
      <c r="U2995" s="14"/>
      <c r="V2995" s="14"/>
      <c r="W2995" s="14"/>
      <c r="X2995" s="14"/>
      <c r="Y2995" s="14"/>
      <c r="Z2995" s="14"/>
      <c r="AA2995" s="16"/>
      <c r="AB2995" s="10"/>
      <c r="AC2995" s="10"/>
      <c r="AD2995" s="10"/>
      <c r="AE2995" s="10"/>
      <c r="AF2995" s="10"/>
      <c r="AG2995" s="10"/>
      <c r="AH2995" s="10"/>
      <c r="AI2995" s="10"/>
      <c r="AJ2995" s="10"/>
      <c r="AK2995" s="10"/>
      <c r="AL2995" s="10"/>
      <c r="AM2995" s="10"/>
      <c r="AN2995" s="10"/>
      <c r="AO2995" s="10"/>
      <c r="AP2995" s="10"/>
      <c r="AQ2995" s="10"/>
      <c r="AR2995" s="10"/>
      <c r="AS2995" s="10"/>
      <c r="AT2995" s="10"/>
      <c r="AU2995" s="10"/>
      <c r="AV2995" s="10"/>
      <c r="AW2995" s="10"/>
      <c r="AX2995" s="10"/>
      <c r="AY2995" s="10"/>
      <c r="AZ2995" s="10"/>
      <c r="BA2995" s="10"/>
      <c r="BB2995" s="10"/>
      <c r="BC2995" s="10"/>
      <c r="BD2995" s="10"/>
      <c r="BE2995" s="10"/>
      <c r="BF2995" s="10"/>
      <c r="BG2995" s="10"/>
      <c r="BH2995" s="10"/>
      <c r="BI2995" s="10"/>
      <c r="BJ2995" s="10"/>
      <c r="BK2995" s="10"/>
      <c r="BM2995" s="10"/>
    </row>
    <row r="2996" spans="1:65" ht="12.75">
      <c r="A2996" s="9"/>
      <c r="B2996" s="10"/>
      <c r="C2996" s="11"/>
      <c r="D2996" s="12"/>
      <c r="E2996" s="10"/>
      <c r="F2996" s="10"/>
      <c r="G2996" s="10"/>
      <c r="H2996" s="14"/>
      <c r="I2996" s="14"/>
      <c r="J2996" s="14"/>
      <c r="K2996" s="14"/>
      <c r="L2996" s="14"/>
      <c r="M2996" s="15"/>
      <c r="N2996" s="10"/>
      <c r="O2996" s="14"/>
      <c r="P2996" s="14"/>
      <c r="Q2996" s="14"/>
      <c r="R2996" s="14"/>
      <c r="S2996" s="14"/>
      <c r="T2996" s="14"/>
      <c r="U2996" s="14"/>
      <c r="V2996" s="14"/>
      <c r="W2996" s="14"/>
      <c r="X2996" s="14"/>
      <c r="Y2996" s="14"/>
      <c r="Z2996" s="14"/>
      <c r="AA2996" s="16"/>
      <c r="AB2996" s="10"/>
      <c r="AC2996" s="10"/>
      <c r="AD2996" s="10"/>
      <c r="AE2996" s="10"/>
      <c r="AF2996" s="10"/>
      <c r="AG2996" s="10"/>
      <c r="AH2996" s="10"/>
      <c r="AI2996" s="10"/>
      <c r="AJ2996" s="10"/>
      <c r="AK2996" s="10"/>
      <c r="AL2996" s="10"/>
      <c r="AM2996" s="10"/>
      <c r="AN2996" s="10"/>
      <c r="AO2996" s="10"/>
      <c r="AP2996" s="10"/>
      <c r="AQ2996" s="10"/>
      <c r="AR2996" s="10"/>
      <c r="AS2996" s="10"/>
      <c r="AT2996" s="10"/>
      <c r="AU2996" s="10"/>
      <c r="AV2996" s="10"/>
      <c r="AW2996" s="10"/>
      <c r="AX2996" s="10"/>
      <c r="AY2996" s="10"/>
      <c r="AZ2996" s="10"/>
      <c r="BA2996" s="10"/>
      <c r="BB2996" s="10"/>
      <c r="BC2996" s="10"/>
      <c r="BD2996" s="10"/>
      <c r="BE2996" s="10"/>
      <c r="BF2996" s="10"/>
      <c r="BG2996" s="10"/>
      <c r="BH2996" s="10"/>
      <c r="BI2996" s="10"/>
      <c r="BJ2996" s="10"/>
      <c r="BK2996" s="10"/>
      <c r="BM2996" s="10"/>
    </row>
    <row r="2997" spans="1:65" ht="12.75">
      <c r="A2997" s="9"/>
      <c r="B2997" s="10"/>
      <c r="C2997" s="11"/>
      <c r="D2997" s="12"/>
      <c r="E2997" s="10"/>
      <c r="F2997" s="10"/>
      <c r="G2997" s="10"/>
      <c r="H2997" s="14"/>
      <c r="I2997" s="14"/>
      <c r="J2997" s="14"/>
      <c r="K2997" s="14"/>
      <c r="L2997" s="14"/>
      <c r="M2997" s="15"/>
      <c r="N2997" s="10"/>
      <c r="O2997" s="14"/>
      <c r="P2997" s="14"/>
      <c r="Q2997" s="14"/>
      <c r="R2997" s="14"/>
      <c r="S2997" s="14"/>
      <c r="T2997" s="14"/>
      <c r="U2997" s="14"/>
      <c r="V2997" s="14"/>
      <c r="W2997" s="14"/>
      <c r="X2997" s="14"/>
      <c r="Y2997" s="14"/>
      <c r="Z2997" s="14"/>
      <c r="AA2997" s="16"/>
      <c r="AB2997" s="10"/>
      <c r="AC2997" s="10"/>
      <c r="AD2997" s="10"/>
      <c r="AE2997" s="10"/>
      <c r="AF2997" s="10"/>
      <c r="AG2997" s="10"/>
      <c r="AH2997" s="10"/>
      <c r="AI2997" s="10"/>
      <c r="AJ2997" s="10"/>
      <c r="AK2997" s="10"/>
      <c r="AL2997" s="10"/>
      <c r="AM2997" s="10"/>
      <c r="AN2997" s="10"/>
      <c r="AO2997" s="10"/>
      <c r="AP2997" s="10"/>
      <c r="AQ2997" s="10"/>
      <c r="AR2997" s="10"/>
      <c r="AS2997" s="10"/>
      <c r="AT2997" s="10"/>
      <c r="AU2997" s="10"/>
      <c r="AV2997" s="10"/>
      <c r="AW2997" s="10"/>
      <c r="AX2997" s="10"/>
      <c r="AY2997" s="10"/>
      <c r="AZ2997" s="10"/>
      <c r="BA2997" s="10"/>
      <c r="BB2997" s="10"/>
      <c r="BC2997" s="10"/>
      <c r="BD2997" s="10"/>
      <c r="BE2997" s="10"/>
      <c r="BF2997" s="10"/>
      <c r="BG2997" s="10"/>
      <c r="BH2997" s="10"/>
      <c r="BI2997" s="10"/>
      <c r="BJ2997" s="10"/>
      <c r="BK2997" s="10"/>
      <c r="BM2997" s="10"/>
    </row>
    <row r="2998" spans="1:65" ht="12.75">
      <c r="A2998" s="9"/>
      <c r="B2998" s="10"/>
      <c r="C2998" s="11"/>
      <c r="D2998" s="12"/>
      <c r="E2998" s="10"/>
      <c r="F2998" s="10"/>
      <c r="G2998" s="10"/>
      <c r="H2998" s="14"/>
      <c r="I2998" s="14"/>
      <c r="J2998" s="14"/>
      <c r="K2998" s="14"/>
      <c r="L2998" s="14"/>
      <c r="M2998" s="15"/>
      <c r="N2998" s="10"/>
      <c r="O2998" s="14"/>
      <c r="P2998" s="14"/>
      <c r="Q2998" s="14"/>
      <c r="R2998" s="14"/>
      <c r="S2998" s="14"/>
      <c r="T2998" s="14"/>
      <c r="U2998" s="14"/>
      <c r="V2998" s="14"/>
      <c r="W2998" s="14"/>
      <c r="X2998" s="14"/>
      <c r="Y2998" s="14"/>
      <c r="Z2998" s="14"/>
      <c r="AA2998" s="16"/>
      <c r="AB2998" s="10"/>
      <c r="AC2998" s="10"/>
      <c r="AD2998" s="10"/>
      <c r="AE2998" s="10"/>
      <c r="AF2998" s="10"/>
      <c r="AG2998" s="10"/>
      <c r="AH2998" s="10"/>
      <c r="AI2998" s="10"/>
      <c r="AJ2998" s="10"/>
      <c r="AK2998" s="10"/>
      <c r="AL2998" s="10"/>
      <c r="AM2998" s="10"/>
      <c r="AN2998" s="10"/>
      <c r="AO2998" s="10"/>
      <c r="AP2998" s="10"/>
      <c r="AQ2998" s="10"/>
      <c r="AR2998" s="10"/>
      <c r="AS2998" s="10"/>
      <c r="AT2998" s="10"/>
      <c r="AU2998" s="10"/>
      <c r="AV2998" s="10"/>
      <c r="AW2998" s="10"/>
      <c r="AX2998" s="10"/>
      <c r="AY2998" s="10"/>
      <c r="AZ2998" s="10"/>
      <c r="BA2998" s="10"/>
      <c r="BB2998" s="10"/>
      <c r="BC2998" s="10"/>
      <c r="BD2998" s="10"/>
      <c r="BE2998" s="10"/>
      <c r="BF2998" s="10"/>
      <c r="BG2998" s="10"/>
      <c r="BH2998" s="10"/>
      <c r="BI2998" s="10"/>
      <c r="BJ2998" s="10"/>
      <c r="BK2998" s="10"/>
      <c r="BM2998" s="10"/>
    </row>
    <row r="2999" spans="1:65" ht="12.75">
      <c r="A2999" s="9"/>
      <c r="B2999" s="10"/>
      <c r="C2999" s="11"/>
      <c r="D2999" s="12"/>
      <c r="E2999" s="10"/>
      <c r="F2999" s="10"/>
      <c r="G2999" s="10"/>
      <c r="H2999" s="14"/>
      <c r="I2999" s="14"/>
      <c r="J2999" s="14"/>
      <c r="K2999" s="14"/>
      <c r="L2999" s="14"/>
      <c r="M2999" s="15"/>
      <c r="N2999" s="10"/>
      <c r="O2999" s="14"/>
      <c r="P2999" s="14"/>
      <c r="Q2999" s="14"/>
      <c r="R2999" s="14"/>
      <c r="S2999" s="14"/>
      <c r="T2999" s="14"/>
      <c r="U2999" s="14"/>
      <c r="V2999" s="14"/>
      <c r="W2999" s="14"/>
      <c r="X2999" s="14"/>
      <c r="Y2999" s="14"/>
      <c r="Z2999" s="14"/>
      <c r="AA2999" s="16"/>
      <c r="AB2999" s="10"/>
      <c r="AC2999" s="10"/>
      <c r="AD2999" s="10"/>
      <c r="AE2999" s="10"/>
      <c r="AF2999" s="10"/>
      <c r="AG2999" s="10"/>
      <c r="AH2999" s="10"/>
      <c r="AI2999" s="10"/>
      <c r="AJ2999" s="10"/>
      <c r="AK2999" s="10"/>
      <c r="AL2999" s="10"/>
      <c r="AM2999" s="10"/>
      <c r="AN2999" s="10"/>
      <c r="AO2999" s="10"/>
      <c r="AP2999" s="10"/>
      <c r="AQ2999" s="10"/>
      <c r="AR2999" s="10"/>
      <c r="AS2999" s="10"/>
      <c r="AT2999" s="10"/>
      <c r="AU2999" s="10"/>
      <c r="AV2999" s="10"/>
      <c r="AW2999" s="10"/>
      <c r="AX2999" s="10"/>
      <c r="AY2999" s="10"/>
      <c r="AZ2999" s="10"/>
      <c r="BA2999" s="10"/>
      <c r="BB2999" s="10"/>
      <c r="BC2999" s="10"/>
      <c r="BD2999" s="10"/>
      <c r="BE2999" s="10"/>
      <c r="BF2999" s="10"/>
      <c r="BG2999" s="10"/>
      <c r="BH2999" s="10"/>
      <c r="BI2999" s="10"/>
      <c r="BJ2999" s="10"/>
      <c r="BK2999" s="10"/>
      <c r="BM2999" s="10"/>
    </row>
    <row r="3000" spans="1:65" ht="12.75">
      <c r="A3000" s="9"/>
      <c r="B3000" s="10"/>
      <c r="C3000" s="11"/>
      <c r="D3000" s="12"/>
      <c r="E3000" s="10"/>
      <c r="F3000" s="10"/>
      <c r="G3000" s="10"/>
      <c r="H3000" s="14"/>
      <c r="I3000" s="14"/>
      <c r="J3000" s="14"/>
      <c r="K3000" s="14"/>
      <c r="L3000" s="14"/>
      <c r="M3000" s="15"/>
      <c r="N3000" s="10"/>
      <c r="O3000" s="14"/>
      <c r="P3000" s="14"/>
      <c r="Q3000" s="14"/>
      <c r="R3000" s="14"/>
      <c r="S3000" s="14"/>
      <c r="T3000" s="14"/>
      <c r="U3000" s="14"/>
      <c r="V3000" s="14"/>
      <c r="W3000" s="14"/>
      <c r="X3000" s="14"/>
      <c r="Y3000" s="14"/>
      <c r="Z3000" s="14"/>
      <c r="AA3000" s="16"/>
      <c r="AB3000" s="10"/>
      <c r="AC3000" s="10"/>
      <c r="AD3000" s="10"/>
      <c r="AE3000" s="10"/>
      <c r="AF3000" s="10"/>
      <c r="AG3000" s="10"/>
      <c r="AH3000" s="10"/>
      <c r="AI3000" s="10"/>
      <c r="AJ3000" s="10"/>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M3000" s="10"/>
    </row>
    <row r="3001" spans="1:65" ht="12.75">
      <c r="A3001" s="9"/>
      <c r="B3001" s="10"/>
      <c r="C3001" s="11"/>
      <c r="D3001" s="12"/>
      <c r="E3001" s="10"/>
      <c r="F3001" s="10"/>
      <c r="G3001" s="10"/>
      <c r="H3001" s="14"/>
      <c r="I3001" s="14"/>
      <c r="J3001" s="14"/>
      <c r="K3001" s="14"/>
      <c r="L3001" s="14"/>
      <c r="M3001" s="15"/>
      <c r="N3001" s="10"/>
      <c r="O3001" s="14"/>
      <c r="P3001" s="14"/>
      <c r="Q3001" s="14"/>
      <c r="R3001" s="14"/>
      <c r="S3001" s="14"/>
      <c r="T3001" s="14"/>
      <c r="U3001" s="14"/>
      <c r="V3001" s="14"/>
      <c r="W3001" s="14"/>
      <c r="X3001" s="14"/>
      <c r="Y3001" s="14"/>
      <c r="Z3001" s="14"/>
      <c r="AA3001" s="16"/>
      <c r="AB3001" s="10"/>
      <c r="AC3001" s="10"/>
      <c r="AD3001" s="10"/>
      <c r="AE3001" s="10"/>
      <c r="AF3001" s="10"/>
      <c r="AG3001" s="10"/>
      <c r="AH3001" s="10"/>
      <c r="AI3001" s="10"/>
      <c r="AJ3001" s="10"/>
      <c r="AK3001" s="10"/>
      <c r="AL3001" s="10"/>
      <c r="AM3001" s="10"/>
      <c r="AN3001" s="10"/>
      <c r="AO3001" s="10"/>
      <c r="AP3001" s="10"/>
      <c r="AQ3001" s="10"/>
      <c r="AR3001" s="10"/>
      <c r="AS3001" s="10"/>
      <c r="AT3001" s="10"/>
      <c r="AU3001" s="10"/>
      <c r="AV3001" s="10"/>
      <c r="AW3001" s="10"/>
      <c r="AX3001" s="10"/>
      <c r="AY3001" s="10"/>
      <c r="AZ3001" s="10"/>
      <c r="BA3001" s="10"/>
      <c r="BB3001" s="10"/>
      <c r="BC3001" s="10"/>
      <c r="BD3001" s="10"/>
      <c r="BE3001" s="10"/>
      <c r="BF3001" s="10"/>
      <c r="BG3001" s="10"/>
      <c r="BH3001" s="10"/>
      <c r="BI3001" s="10"/>
      <c r="BJ3001" s="10"/>
      <c r="BK3001" s="10"/>
      <c r="BM3001" s="10"/>
    </row>
    <row r="3002" spans="1:65" ht="12.75">
      <c r="A3002" s="9"/>
      <c r="B3002" s="10"/>
      <c r="C3002" s="11"/>
      <c r="D3002" s="12"/>
      <c r="E3002" s="10"/>
      <c r="F3002" s="10"/>
      <c r="G3002" s="10"/>
      <c r="H3002" s="14"/>
      <c r="I3002" s="14"/>
      <c r="J3002" s="14"/>
      <c r="K3002" s="14"/>
      <c r="L3002" s="14"/>
      <c r="M3002" s="15"/>
      <c r="N3002" s="10"/>
      <c r="O3002" s="14"/>
      <c r="P3002" s="14"/>
      <c r="Q3002" s="14"/>
      <c r="R3002" s="14"/>
      <c r="S3002" s="14"/>
      <c r="T3002" s="14"/>
      <c r="U3002" s="14"/>
      <c r="V3002" s="14"/>
      <c r="W3002" s="14"/>
      <c r="X3002" s="14"/>
      <c r="Y3002" s="14"/>
      <c r="Z3002" s="14"/>
      <c r="AA3002" s="16"/>
      <c r="AB3002" s="10"/>
      <c r="AC3002" s="10"/>
      <c r="AD3002" s="10"/>
      <c r="AE3002" s="10"/>
      <c r="AF3002" s="10"/>
      <c r="AG3002" s="10"/>
      <c r="AH3002" s="10"/>
      <c r="AI3002" s="10"/>
      <c r="AJ3002" s="10"/>
      <c r="AK3002" s="10"/>
      <c r="AL3002" s="10"/>
      <c r="AM3002" s="10"/>
      <c r="AN3002" s="10"/>
      <c r="AO3002" s="10"/>
      <c r="AP3002" s="10"/>
      <c r="AQ3002" s="10"/>
      <c r="AR3002" s="10"/>
      <c r="AS3002" s="10"/>
      <c r="AT3002" s="10"/>
      <c r="AU3002" s="10"/>
      <c r="AV3002" s="10"/>
      <c r="AW3002" s="10"/>
      <c r="AX3002" s="10"/>
      <c r="AY3002" s="10"/>
      <c r="AZ3002" s="10"/>
      <c r="BA3002" s="10"/>
      <c r="BB3002" s="10"/>
      <c r="BC3002" s="10"/>
      <c r="BD3002" s="10"/>
      <c r="BE3002" s="10"/>
      <c r="BF3002" s="10"/>
      <c r="BG3002" s="10"/>
      <c r="BH3002" s="10"/>
      <c r="BI3002" s="10"/>
      <c r="BJ3002" s="10"/>
      <c r="BK3002" s="10"/>
      <c r="BM3002" s="10"/>
    </row>
    <row r="3003" spans="1:65" ht="12.75">
      <c r="A3003" s="9"/>
      <c r="B3003" s="10"/>
      <c r="C3003" s="11"/>
      <c r="D3003" s="12"/>
      <c r="E3003" s="10"/>
      <c r="F3003" s="10"/>
      <c r="G3003" s="10"/>
      <c r="H3003" s="14"/>
      <c r="I3003" s="14"/>
      <c r="J3003" s="14"/>
      <c r="K3003" s="14"/>
      <c r="L3003" s="14"/>
      <c r="M3003" s="15"/>
      <c r="N3003" s="10"/>
      <c r="O3003" s="14"/>
      <c r="P3003" s="14"/>
      <c r="Q3003" s="14"/>
      <c r="R3003" s="14"/>
      <c r="S3003" s="14"/>
      <c r="T3003" s="14"/>
      <c r="U3003" s="14"/>
      <c r="V3003" s="14"/>
      <c r="W3003" s="14"/>
      <c r="X3003" s="14"/>
      <c r="Y3003" s="14"/>
      <c r="Z3003" s="14"/>
      <c r="AA3003" s="16"/>
      <c r="AB3003" s="10"/>
      <c r="AC3003" s="10"/>
      <c r="AD3003" s="10"/>
      <c r="AE3003" s="10"/>
      <c r="AF3003" s="10"/>
      <c r="AG3003" s="10"/>
      <c r="AH3003" s="10"/>
      <c r="AI3003" s="10"/>
      <c r="AJ3003" s="10"/>
      <c r="AK3003" s="10"/>
      <c r="AL3003" s="10"/>
      <c r="AM3003" s="10"/>
      <c r="AN3003" s="10"/>
      <c r="AO3003" s="10"/>
      <c r="AP3003" s="10"/>
      <c r="AQ3003" s="10"/>
      <c r="AR3003" s="10"/>
      <c r="AS3003" s="10"/>
      <c r="AT3003" s="10"/>
      <c r="AU3003" s="10"/>
      <c r="AV3003" s="10"/>
      <c r="AW3003" s="10"/>
      <c r="AX3003" s="10"/>
      <c r="AY3003" s="10"/>
      <c r="AZ3003" s="10"/>
      <c r="BA3003" s="10"/>
      <c r="BB3003" s="10"/>
      <c r="BC3003" s="10"/>
      <c r="BD3003" s="10"/>
      <c r="BE3003" s="10"/>
      <c r="BF3003" s="10"/>
      <c r="BG3003" s="10"/>
      <c r="BH3003" s="10"/>
      <c r="BI3003" s="10"/>
      <c r="BJ3003" s="10"/>
      <c r="BK3003" s="10"/>
      <c r="BM3003" s="10"/>
    </row>
    <row r="3004" spans="1:65" ht="12.75">
      <c r="A3004" s="9"/>
      <c r="B3004" s="10"/>
      <c r="C3004" s="11"/>
      <c r="D3004" s="12"/>
      <c r="E3004" s="10"/>
      <c r="F3004" s="10"/>
      <c r="G3004" s="10"/>
      <c r="H3004" s="14"/>
      <c r="I3004" s="14"/>
      <c r="J3004" s="14"/>
      <c r="K3004" s="14"/>
      <c r="L3004" s="14"/>
      <c r="M3004" s="15"/>
      <c r="N3004" s="10"/>
      <c r="O3004" s="14"/>
      <c r="P3004" s="14"/>
      <c r="Q3004" s="14"/>
      <c r="R3004" s="14"/>
      <c r="S3004" s="14"/>
      <c r="T3004" s="14"/>
      <c r="U3004" s="14"/>
      <c r="V3004" s="14"/>
      <c r="W3004" s="14"/>
      <c r="X3004" s="14"/>
      <c r="Y3004" s="14"/>
      <c r="Z3004" s="14"/>
      <c r="AA3004" s="16"/>
      <c r="AB3004" s="10"/>
      <c r="AC3004" s="10"/>
      <c r="AD3004" s="10"/>
      <c r="AE3004" s="10"/>
      <c r="AF3004" s="10"/>
      <c r="AG3004" s="10"/>
      <c r="AH3004" s="10"/>
      <c r="AI3004" s="10"/>
      <c r="AJ3004" s="10"/>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10"/>
      <c r="BK3004" s="10"/>
      <c r="BM3004" s="10"/>
    </row>
    <row r="3005" spans="1:65" ht="12.75">
      <c r="A3005" s="9"/>
      <c r="B3005" s="10"/>
      <c r="C3005" s="11"/>
      <c r="D3005" s="12"/>
      <c r="E3005" s="10"/>
      <c r="F3005" s="10"/>
      <c r="G3005" s="10"/>
      <c r="H3005" s="14"/>
      <c r="I3005" s="14"/>
      <c r="J3005" s="14"/>
      <c r="K3005" s="14"/>
      <c r="L3005" s="14"/>
      <c r="M3005" s="15"/>
      <c r="N3005" s="10"/>
      <c r="O3005" s="14"/>
      <c r="P3005" s="14"/>
      <c r="Q3005" s="14"/>
      <c r="R3005" s="14"/>
      <c r="S3005" s="14"/>
      <c r="T3005" s="14"/>
      <c r="U3005" s="14"/>
      <c r="V3005" s="14"/>
      <c r="W3005" s="14"/>
      <c r="X3005" s="14"/>
      <c r="Y3005" s="14"/>
      <c r="Z3005" s="14"/>
      <c r="AA3005" s="16"/>
      <c r="AB3005" s="10"/>
      <c r="AC3005" s="10"/>
      <c r="AD3005" s="10"/>
      <c r="AE3005" s="10"/>
      <c r="AF3005" s="10"/>
      <c r="AG3005" s="10"/>
      <c r="AH3005" s="10"/>
      <c r="AI3005" s="10"/>
      <c r="AJ3005" s="10"/>
      <c r="AK3005" s="10"/>
      <c r="AL3005" s="10"/>
      <c r="AM3005" s="10"/>
      <c r="AN3005" s="10"/>
      <c r="AO3005" s="10"/>
      <c r="AP3005" s="10"/>
      <c r="AQ3005" s="10"/>
      <c r="AR3005" s="10"/>
      <c r="AS3005" s="10"/>
      <c r="AT3005" s="10"/>
      <c r="AU3005" s="10"/>
      <c r="AV3005" s="10"/>
      <c r="AW3005" s="10"/>
      <c r="AX3005" s="10"/>
      <c r="AY3005" s="10"/>
      <c r="AZ3005" s="10"/>
      <c r="BA3005" s="10"/>
      <c r="BB3005" s="10"/>
      <c r="BC3005" s="10"/>
      <c r="BD3005" s="10"/>
      <c r="BE3005" s="10"/>
      <c r="BF3005" s="10"/>
      <c r="BG3005" s="10"/>
      <c r="BH3005" s="10"/>
      <c r="BI3005" s="10"/>
      <c r="BJ3005" s="10"/>
      <c r="BK3005" s="10"/>
      <c r="BM3005" s="10"/>
    </row>
    <row r="3006" spans="1:65" ht="12.75">
      <c r="A3006" s="9"/>
      <c r="B3006" s="10"/>
      <c r="C3006" s="11"/>
      <c r="D3006" s="12"/>
      <c r="E3006" s="10"/>
      <c r="F3006" s="10"/>
      <c r="G3006" s="10"/>
      <c r="H3006" s="14"/>
      <c r="I3006" s="14"/>
      <c r="J3006" s="14"/>
      <c r="K3006" s="14"/>
      <c r="L3006" s="14"/>
      <c r="M3006" s="15"/>
      <c r="N3006" s="10"/>
      <c r="O3006" s="14"/>
      <c r="P3006" s="14"/>
      <c r="Q3006" s="14"/>
      <c r="R3006" s="14"/>
      <c r="S3006" s="14"/>
      <c r="T3006" s="14"/>
      <c r="U3006" s="14"/>
      <c r="V3006" s="14"/>
      <c r="W3006" s="14"/>
      <c r="X3006" s="14"/>
      <c r="Y3006" s="14"/>
      <c r="Z3006" s="14"/>
      <c r="AA3006" s="16"/>
      <c r="AB3006" s="10"/>
      <c r="AC3006" s="10"/>
      <c r="AD3006" s="10"/>
      <c r="AE3006" s="10"/>
      <c r="AF3006" s="10"/>
      <c r="AG3006" s="10"/>
      <c r="AH3006" s="10"/>
      <c r="AI3006" s="10"/>
      <c r="AJ3006" s="10"/>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10"/>
      <c r="BK3006" s="10"/>
      <c r="BM3006" s="10"/>
    </row>
    <row r="3007" spans="1:65" ht="12.75">
      <c r="A3007" s="9"/>
      <c r="B3007" s="10"/>
      <c r="C3007" s="11"/>
      <c r="D3007" s="12"/>
      <c r="E3007" s="10"/>
      <c r="F3007" s="10"/>
      <c r="G3007" s="10"/>
      <c r="H3007" s="14"/>
      <c r="I3007" s="14"/>
      <c r="J3007" s="14"/>
      <c r="K3007" s="14"/>
      <c r="L3007" s="14"/>
      <c r="M3007" s="15"/>
      <c r="N3007" s="10"/>
      <c r="O3007" s="14"/>
      <c r="P3007" s="14"/>
      <c r="Q3007" s="14"/>
      <c r="R3007" s="14"/>
      <c r="S3007" s="14"/>
      <c r="T3007" s="14"/>
      <c r="U3007" s="14"/>
      <c r="V3007" s="14"/>
      <c r="W3007" s="14"/>
      <c r="X3007" s="14"/>
      <c r="Y3007" s="14"/>
      <c r="Z3007" s="14"/>
      <c r="AA3007" s="16"/>
      <c r="AB3007" s="10"/>
      <c r="AC3007" s="10"/>
      <c r="AD3007" s="10"/>
      <c r="AE3007" s="10"/>
      <c r="AF3007" s="10"/>
      <c r="AG3007" s="10"/>
      <c r="AH3007" s="10"/>
      <c r="AI3007" s="10"/>
      <c r="AJ3007" s="10"/>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10"/>
      <c r="BK3007" s="10"/>
      <c r="BM3007" s="10"/>
    </row>
    <row r="3008" spans="1:65" ht="12.75">
      <c r="A3008" s="9"/>
      <c r="B3008" s="10"/>
      <c r="C3008" s="11"/>
      <c r="D3008" s="12"/>
      <c r="E3008" s="10"/>
      <c r="F3008" s="10"/>
      <c r="G3008" s="10"/>
      <c r="H3008" s="14"/>
      <c r="I3008" s="14"/>
      <c r="J3008" s="14"/>
      <c r="K3008" s="14"/>
      <c r="L3008" s="14"/>
      <c r="M3008" s="15"/>
      <c r="N3008" s="10"/>
      <c r="O3008" s="14"/>
      <c r="P3008" s="14"/>
      <c r="Q3008" s="14"/>
      <c r="R3008" s="14"/>
      <c r="S3008" s="14"/>
      <c r="T3008" s="14"/>
      <c r="U3008" s="14"/>
      <c r="V3008" s="14"/>
      <c r="W3008" s="14"/>
      <c r="X3008" s="14"/>
      <c r="Y3008" s="14"/>
      <c r="Z3008" s="14"/>
      <c r="AA3008" s="16"/>
      <c r="AB3008" s="10"/>
      <c r="AC3008" s="10"/>
      <c r="AD3008" s="10"/>
      <c r="AE3008" s="10"/>
      <c r="AF3008" s="10"/>
      <c r="AG3008" s="10"/>
      <c r="AH3008" s="10"/>
      <c r="AI3008" s="10"/>
      <c r="AJ3008" s="10"/>
      <c r="AK3008" s="10"/>
      <c r="AL3008" s="10"/>
      <c r="AM3008" s="10"/>
      <c r="AN3008" s="10"/>
      <c r="AO3008" s="10"/>
      <c r="AP3008" s="10"/>
      <c r="AQ3008" s="10"/>
      <c r="AR3008" s="10"/>
      <c r="AS3008" s="10"/>
      <c r="AT3008" s="10"/>
      <c r="AU3008" s="10"/>
      <c r="AV3008" s="10"/>
      <c r="AW3008" s="10"/>
      <c r="AX3008" s="10"/>
      <c r="AY3008" s="10"/>
      <c r="AZ3008" s="10"/>
      <c r="BA3008" s="10"/>
      <c r="BB3008" s="10"/>
      <c r="BC3008" s="10"/>
      <c r="BD3008" s="10"/>
      <c r="BE3008" s="10"/>
      <c r="BF3008" s="10"/>
      <c r="BG3008" s="10"/>
      <c r="BH3008" s="10"/>
      <c r="BI3008" s="10"/>
      <c r="BJ3008" s="10"/>
      <c r="BK3008" s="10"/>
      <c r="BM3008" s="10"/>
    </row>
    <row r="3009" spans="1:65" ht="12.75">
      <c r="A3009" s="9"/>
      <c r="B3009" s="10"/>
      <c r="C3009" s="11"/>
      <c r="D3009" s="12"/>
      <c r="E3009" s="10"/>
      <c r="F3009" s="10"/>
      <c r="G3009" s="10"/>
      <c r="H3009" s="14"/>
      <c r="I3009" s="14"/>
      <c r="J3009" s="14"/>
      <c r="K3009" s="14"/>
      <c r="L3009" s="14"/>
      <c r="M3009" s="15"/>
      <c r="N3009" s="10"/>
      <c r="O3009" s="14"/>
      <c r="P3009" s="14"/>
      <c r="Q3009" s="14"/>
      <c r="R3009" s="14"/>
      <c r="S3009" s="14"/>
      <c r="T3009" s="14"/>
      <c r="U3009" s="14"/>
      <c r="V3009" s="14"/>
      <c r="W3009" s="14"/>
      <c r="X3009" s="14"/>
      <c r="Y3009" s="14"/>
      <c r="Z3009" s="14"/>
      <c r="AA3009" s="16"/>
      <c r="AB3009" s="10"/>
      <c r="AC3009" s="10"/>
      <c r="AD3009" s="10"/>
      <c r="AE3009" s="10"/>
      <c r="AF3009" s="10"/>
      <c r="AG3009" s="10"/>
      <c r="AH3009" s="10"/>
      <c r="AI3009" s="10"/>
      <c r="AJ3009" s="10"/>
      <c r="AK3009" s="10"/>
      <c r="AL3009" s="10"/>
      <c r="AM3009" s="10"/>
      <c r="AN3009" s="10"/>
      <c r="AO3009" s="10"/>
      <c r="AP3009" s="10"/>
      <c r="AQ3009" s="10"/>
      <c r="AR3009" s="10"/>
      <c r="AS3009" s="10"/>
      <c r="AT3009" s="10"/>
      <c r="AU3009" s="10"/>
      <c r="AV3009" s="10"/>
      <c r="AW3009" s="10"/>
      <c r="AX3009" s="10"/>
      <c r="AY3009" s="10"/>
      <c r="AZ3009" s="10"/>
      <c r="BA3009" s="10"/>
      <c r="BB3009" s="10"/>
      <c r="BC3009" s="10"/>
      <c r="BD3009" s="10"/>
      <c r="BE3009" s="10"/>
      <c r="BF3009" s="10"/>
      <c r="BG3009" s="10"/>
      <c r="BH3009" s="10"/>
      <c r="BI3009" s="10"/>
      <c r="BJ3009" s="10"/>
      <c r="BK3009" s="10"/>
      <c r="BM3009" s="10"/>
    </row>
    <row r="3010" spans="1:65" ht="12.75">
      <c r="A3010" s="9"/>
      <c r="B3010" s="10"/>
      <c r="C3010" s="11"/>
      <c r="D3010" s="12"/>
      <c r="E3010" s="10"/>
      <c r="F3010" s="10"/>
      <c r="G3010" s="10"/>
      <c r="H3010" s="14"/>
      <c r="I3010" s="14"/>
      <c r="J3010" s="14"/>
      <c r="K3010" s="14"/>
      <c r="L3010" s="14"/>
      <c r="M3010" s="15"/>
      <c r="N3010" s="10"/>
      <c r="O3010" s="14"/>
      <c r="P3010" s="14"/>
      <c r="Q3010" s="14"/>
      <c r="R3010" s="14"/>
      <c r="S3010" s="14"/>
      <c r="T3010" s="14"/>
      <c r="U3010" s="14"/>
      <c r="V3010" s="14"/>
      <c r="W3010" s="14"/>
      <c r="X3010" s="14"/>
      <c r="Y3010" s="14"/>
      <c r="Z3010" s="14"/>
      <c r="AA3010" s="16"/>
      <c r="AB3010" s="10"/>
      <c r="AC3010" s="10"/>
      <c r="AD3010" s="10"/>
      <c r="AE3010" s="10"/>
      <c r="AF3010" s="10"/>
      <c r="AG3010" s="10"/>
      <c r="AH3010" s="10"/>
      <c r="AI3010" s="10"/>
      <c r="AJ3010" s="10"/>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10"/>
      <c r="BJ3010" s="10"/>
      <c r="BK3010" s="10"/>
      <c r="BM3010" s="10"/>
    </row>
    <row r="3011" spans="1:65" ht="12.75">
      <c r="A3011" s="9"/>
      <c r="B3011" s="10"/>
      <c r="C3011" s="11"/>
      <c r="D3011" s="12"/>
      <c r="E3011" s="10"/>
      <c r="F3011" s="10"/>
      <c r="G3011" s="10"/>
      <c r="H3011" s="14"/>
      <c r="I3011" s="14"/>
      <c r="J3011" s="14"/>
      <c r="K3011" s="14"/>
      <c r="L3011" s="14"/>
      <c r="M3011" s="15"/>
      <c r="N3011" s="10"/>
      <c r="O3011" s="14"/>
      <c r="P3011" s="14"/>
      <c r="Q3011" s="14"/>
      <c r="R3011" s="14"/>
      <c r="S3011" s="14"/>
      <c r="T3011" s="14"/>
      <c r="U3011" s="14"/>
      <c r="V3011" s="14"/>
      <c r="W3011" s="14"/>
      <c r="X3011" s="14"/>
      <c r="Y3011" s="14"/>
      <c r="Z3011" s="14"/>
      <c r="AA3011" s="16"/>
      <c r="AB3011" s="10"/>
      <c r="AC3011" s="10"/>
      <c r="AD3011" s="10"/>
      <c r="AE3011" s="10"/>
      <c r="AF3011" s="10"/>
      <c r="AG3011" s="10"/>
      <c r="AH3011" s="10"/>
      <c r="AI3011" s="10"/>
      <c r="AJ3011" s="10"/>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10"/>
      <c r="BJ3011" s="10"/>
      <c r="BK3011" s="10"/>
      <c r="BM3011" s="10"/>
    </row>
    <row r="3012" spans="1:65" ht="12.75">
      <c r="A3012" s="9"/>
      <c r="B3012" s="10"/>
      <c r="C3012" s="11"/>
      <c r="D3012" s="12"/>
      <c r="E3012" s="10"/>
      <c r="F3012" s="10"/>
      <c r="G3012" s="10"/>
      <c r="H3012" s="14"/>
      <c r="I3012" s="14"/>
      <c r="J3012" s="14"/>
      <c r="K3012" s="14"/>
      <c r="L3012" s="14"/>
      <c r="M3012" s="15"/>
      <c r="N3012" s="10"/>
      <c r="O3012" s="14"/>
      <c r="P3012" s="14"/>
      <c r="Q3012" s="14"/>
      <c r="R3012" s="14"/>
      <c r="S3012" s="14"/>
      <c r="T3012" s="14"/>
      <c r="U3012" s="14"/>
      <c r="V3012" s="14"/>
      <c r="W3012" s="14"/>
      <c r="X3012" s="14"/>
      <c r="Y3012" s="14"/>
      <c r="Z3012" s="14"/>
      <c r="AA3012" s="16"/>
      <c r="AB3012" s="10"/>
      <c r="AC3012" s="10"/>
      <c r="AD3012" s="10"/>
      <c r="AE3012" s="10"/>
      <c r="AF3012" s="10"/>
      <c r="AG3012" s="10"/>
      <c r="AH3012" s="10"/>
      <c r="AI3012" s="10"/>
      <c r="AJ3012" s="10"/>
      <c r="AK3012" s="10"/>
      <c r="AL3012" s="1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M3012" s="10"/>
    </row>
    <row r="3013" spans="1:65" ht="12.75">
      <c r="A3013" s="9"/>
      <c r="B3013" s="10"/>
      <c r="C3013" s="11"/>
      <c r="D3013" s="12"/>
      <c r="E3013" s="10"/>
      <c r="F3013" s="10"/>
      <c r="G3013" s="10"/>
      <c r="H3013" s="14"/>
      <c r="I3013" s="14"/>
      <c r="J3013" s="14"/>
      <c r="K3013" s="14"/>
      <c r="L3013" s="14"/>
      <c r="M3013" s="15"/>
      <c r="N3013" s="10"/>
      <c r="O3013" s="14"/>
      <c r="P3013" s="14"/>
      <c r="Q3013" s="14"/>
      <c r="R3013" s="14"/>
      <c r="S3013" s="14"/>
      <c r="T3013" s="14"/>
      <c r="U3013" s="14"/>
      <c r="V3013" s="14"/>
      <c r="W3013" s="14"/>
      <c r="X3013" s="14"/>
      <c r="Y3013" s="14"/>
      <c r="Z3013" s="14"/>
      <c r="AA3013" s="16"/>
      <c r="AB3013" s="10"/>
      <c r="AC3013" s="10"/>
      <c r="AD3013" s="10"/>
      <c r="AE3013" s="10"/>
      <c r="AF3013" s="10"/>
      <c r="AG3013" s="10"/>
      <c r="AH3013" s="10"/>
      <c r="AI3013" s="10"/>
      <c r="AJ3013" s="10"/>
      <c r="AK3013" s="10"/>
      <c r="AL3013" s="10"/>
      <c r="AM3013" s="10"/>
      <c r="AN3013" s="10"/>
      <c r="AO3013" s="10"/>
      <c r="AP3013" s="10"/>
      <c r="AQ3013" s="10"/>
      <c r="AR3013" s="10"/>
      <c r="AS3013" s="10"/>
      <c r="AT3013" s="10"/>
      <c r="AU3013" s="10"/>
      <c r="AV3013" s="10"/>
      <c r="AW3013" s="10"/>
      <c r="AX3013" s="10"/>
      <c r="AY3013" s="10"/>
      <c r="AZ3013" s="10"/>
      <c r="BA3013" s="10"/>
      <c r="BB3013" s="10"/>
      <c r="BC3013" s="10"/>
      <c r="BD3013" s="10"/>
      <c r="BE3013" s="10"/>
      <c r="BF3013" s="10"/>
      <c r="BG3013" s="10"/>
      <c r="BH3013" s="10"/>
      <c r="BI3013" s="10"/>
      <c r="BJ3013" s="10"/>
      <c r="BK3013" s="10"/>
      <c r="BM3013" s="10"/>
    </row>
    <row r="3014" spans="1:65" ht="12.75">
      <c r="A3014" s="9"/>
      <c r="B3014" s="10"/>
      <c r="C3014" s="11"/>
      <c r="D3014" s="12"/>
      <c r="E3014" s="10"/>
      <c r="F3014" s="10"/>
      <c r="G3014" s="10"/>
      <c r="H3014" s="14"/>
      <c r="I3014" s="14"/>
      <c r="J3014" s="14"/>
      <c r="K3014" s="14"/>
      <c r="L3014" s="14"/>
      <c r="M3014" s="15"/>
      <c r="N3014" s="10"/>
      <c r="O3014" s="14"/>
      <c r="P3014" s="14"/>
      <c r="Q3014" s="14"/>
      <c r="R3014" s="14"/>
      <c r="S3014" s="14"/>
      <c r="T3014" s="14"/>
      <c r="U3014" s="14"/>
      <c r="V3014" s="14"/>
      <c r="W3014" s="14"/>
      <c r="X3014" s="14"/>
      <c r="Y3014" s="14"/>
      <c r="Z3014" s="14"/>
      <c r="AA3014" s="16"/>
      <c r="AB3014" s="10"/>
      <c r="AC3014" s="10"/>
      <c r="AD3014" s="10"/>
      <c r="AE3014" s="10"/>
      <c r="AF3014" s="10"/>
      <c r="AG3014" s="10"/>
      <c r="AH3014" s="10"/>
      <c r="AI3014" s="10"/>
      <c r="AJ3014" s="10"/>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10"/>
      <c r="BJ3014" s="10"/>
      <c r="BK3014" s="10"/>
      <c r="BM3014" s="10"/>
    </row>
    <row r="3015" spans="1:65" ht="12.75">
      <c r="A3015" s="9"/>
      <c r="B3015" s="10"/>
      <c r="C3015" s="11"/>
      <c r="D3015" s="12"/>
      <c r="E3015" s="10"/>
      <c r="F3015" s="10"/>
      <c r="G3015" s="10"/>
      <c r="H3015" s="14"/>
      <c r="I3015" s="14"/>
      <c r="J3015" s="14"/>
      <c r="K3015" s="14"/>
      <c r="L3015" s="14"/>
      <c r="M3015" s="15"/>
      <c r="N3015" s="10"/>
      <c r="O3015" s="14"/>
      <c r="P3015" s="14"/>
      <c r="Q3015" s="14"/>
      <c r="R3015" s="14"/>
      <c r="S3015" s="14"/>
      <c r="T3015" s="14"/>
      <c r="U3015" s="14"/>
      <c r="V3015" s="14"/>
      <c r="W3015" s="14"/>
      <c r="X3015" s="14"/>
      <c r="Y3015" s="14"/>
      <c r="Z3015" s="14"/>
      <c r="AA3015" s="16"/>
      <c r="AB3015" s="10"/>
      <c r="AC3015" s="10"/>
      <c r="AD3015" s="10"/>
      <c r="AE3015" s="10"/>
      <c r="AF3015" s="10"/>
      <c r="AG3015" s="10"/>
      <c r="AH3015" s="10"/>
      <c r="AI3015" s="10"/>
      <c r="AJ3015" s="10"/>
      <c r="AK3015" s="10"/>
      <c r="AL3015" s="10"/>
      <c r="AM3015" s="10"/>
      <c r="AN3015" s="10"/>
      <c r="AO3015" s="10"/>
      <c r="AP3015" s="10"/>
      <c r="AQ3015" s="10"/>
      <c r="AR3015" s="10"/>
      <c r="AS3015" s="10"/>
      <c r="AT3015" s="10"/>
      <c r="AU3015" s="10"/>
      <c r="AV3015" s="10"/>
      <c r="AW3015" s="10"/>
      <c r="AX3015" s="10"/>
      <c r="AY3015" s="10"/>
      <c r="AZ3015" s="10"/>
      <c r="BA3015" s="10"/>
      <c r="BB3015" s="10"/>
      <c r="BC3015" s="10"/>
      <c r="BD3015" s="10"/>
      <c r="BE3015" s="10"/>
      <c r="BF3015" s="10"/>
      <c r="BG3015" s="10"/>
      <c r="BH3015" s="10"/>
      <c r="BI3015" s="10"/>
      <c r="BJ3015" s="10"/>
      <c r="BK3015" s="10"/>
      <c r="BM3015" s="10"/>
    </row>
    <row r="3016" spans="1:65" ht="12.75">
      <c r="A3016" s="9"/>
      <c r="B3016" s="10"/>
      <c r="C3016" s="11"/>
      <c r="D3016" s="12"/>
      <c r="E3016" s="10"/>
      <c r="F3016" s="10"/>
      <c r="G3016" s="10"/>
      <c r="H3016" s="14"/>
      <c r="I3016" s="14"/>
      <c r="J3016" s="14"/>
      <c r="K3016" s="14"/>
      <c r="L3016" s="14"/>
      <c r="M3016" s="15"/>
      <c r="N3016" s="10"/>
      <c r="O3016" s="14"/>
      <c r="P3016" s="14"/>
      <c r="Q3016" s="14"/>
      <c r="R3016" s="14"/>
      <c r="S3016" s="14"/>
      <c r="T3016" s="14"/>
      <c r="U3016" s="14"/>
      <c r="V3016" s="14"/>
      <c r="W3016" s="14"/>
      <c r="X3016" s="14"/>
      <c r="Y3016" s="14"/>
      <c r="Z3016" s="14"/>
      <c r="AA3016" s="16"/>
      <c r="AB3016" s="10"/>
      <c r="AC3016" s="10"/>
      <c r="AD3016" s="10"/>
      <c r="AE3016" s="10"/>
      <c r="AF3016" s="10"/>
      <c r="AG3016" s="10"/>
      <c r="AH3016" s="10"/>
      <c r="AI3016" s="10"/>
      <c r="AJ3016" s="10"/>
      <c r="AK3016" s="10"/>
      <c r="AL3016" s="10"/>
      <c r="AM3016" s="10"/>
      <c r="AN3016" s="10"/>
      <c r="AO3016" s="10"/>
      <c r="AP3016" s="10"/>
      <c r="AQ3016" s="10"/>
      <c r="AR3016" s="10"/>
      <c r="AS3016" s="10"/>
      <c r="AT3016" s="10"/>
      <c r="AU3016" s="10"/>
      <c r="AV3016" s="10"/>
      <c r="AW3016" s="10"/>
      <c r="AX3016" s="10"/>
      <c r="AY3016" s="10"/>
      <c r="AZ3016" s="10"/>
      <c r="BA3016" s="10"/>
      <c r="BB3016" s="10"/>
      <c r="BC3016" s="10"/>
      <c r="BD3016" s="10"/>
      <c r="BE3016" s="10"/>
      <c r="BF3016" s="10"/>
      <c r="BG3016" s="10"/>
      <c r="BH3016" s="10"/>
      <c r="BI3016" s="10"/>
      <c r="BJ3016" s="10"/>
      <c r="BK3016" s="10"/>
      <c r="BM3016" s="10"/>
    </row>
    <row r="3017" spans="1:65" ht="12.75">
      <c r="A3017" s="9"/>
      <c r="B3017" s="10"/>
      <c r="C3017" s="11"/>
      <c r="D3017" s="12"/>
      <c r="E3017" s="10"/>
      <c r="F3017" s="10"/>
      <c r="G3017" s="10"/>
      <c r="H3017" s="14"/>
      <c r="I3017" s="14"/>
      <c r="J3017" s="14"/>
      <c r="K3017" s="14"/>
      <c r="L3017" s="14"/>
      <c r="M3017" s="15"/>
      <c r="N3017" s="10"/>
      <c r="O3017" s="14"/>
      <c r="P3017" s="14"/>
      <c r="Q3017" s="14"/>
      <c r="R3017" s="14"/>
      <c r="S3017" s="14"/>
      <c r="T3017" s="14"/>
      <c r="U3017" s="14"/>
      <c r="V3017" s="14"/>
      <c r="W3017" s="14"/>
      <c r="X3017" s="14"/>
      <c r="Y3017" s="14"/>
      <c r="Z3017" s="14"/>
      <c r="AA3017" s="16"/>
      <c r="AB3017" s="10"/>
      <c r="AC3017" s="10"/>
      <c r="AD3017" s="10"/>
      <c r="AE3017" s="10"/>
      <c r="AF3017" s="10"/>
      <c r="AG3017" s="10"/>
      <c r="AH3017" s="10"/>
      <c r="AI3017" s="10"/>
      <c r="AJ3017" s="10"/>
      <c r="AK3017" s="10"/>
      <c r="AL3017" s="10"/>
      <c r="AM3017" s="10"/>
      <c r="AN3017" s="10"/>
      <c r="AO3017" s="10"/>
      <c r="AP3017" s="10"/>
      <c r="AQ3017" s="10"/>
      <c r="AR3017" s="10"/>
      <c r="AS3017" s="10"/>
      <c r="AT3017" s="10"/>
      <c r="AU3017" s="10"/>
      <c r="AV3017" s="10"/>
      <c r="AW3017" s="10"/>
      <c r="AX3017" s="10"/>
      <c r="AY3017" s="10"/>
      <c r="AZ3017" s="10"/>
      <c r="BA3017" s="10"/>
      <c r="BB3017" s="10"/>
      <c r="BC3017" s="10"/>
      <c r="BD3017" s="10"/>
      <c r="BE3017" s="10"/>
      <c r="BF3017" s="10"/>
      <c r="BG3017" s="10"/>
      <c r="BH3017" s="10"/>
      <c r="BI3017" s="10"/>
      <c r="BJ3017" s="10"/>
      <c r="BK3017" s="10"/>
      <c r="BM3017" s="10"/>
    </row>
    <row r="3018" spans="1:65" ht="12.75">
      <c r="A3018" s="9"/>
      <c r="B3018" s="10"/>
      <c r="C3018" s="11"/>
      <c r="D3018" s="12"/>
      <c r="E3018" s="10"/>
      <c r="F3018" s="10"/>
      <c r="G3018" s="10"/>
      <c r="H3018" s="14"/>
      <c r="I3018" s="14"/>
      <c r="J3018" s="14"/>
      <c r="K3018" s="14"/>
      <c r="L3018" s="14"/>
      <c r="M3018" s="15"/>
      <c r="N3018" s="10"/>
      <c r="O3018" s="14"/>
      <c r="P3018" s="14"/>
      <c r="Q3018" s="14"/>
      <c r="R3018" s="14"/>
      <c r="S3018" s="14"/>
      <c r="T3018" s="14"/>
      <c r="U3018" s="14"/>
      <c r="V3018" s="14"/>
      <c r="W3018" s="14"/>
      <c r="X3018" s="14"/>
      <c r="Y3018" s="14"/>
      <c r="Z3018" s="14"/>
      <c r="AA3018" s="16"/>
      <c r="AB3018" s="10"/>
      <c r="AC3018" s="10"/>
      <c r="AD3018" s="10"/>
      <c r="AE3018" s="10"/>
      <c r="AF3018" s="10"/>
      <c r="AG3018" s="10"/>
      <c r="AH3018" s="10"/>
      <c r="AI3018" s="10"/>
      <c r="AJ3018" s="10"/>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10"/>
      <c r="BK3018" s="10"/>
      <c r="BM3018" s="10"/>
    </row>
    <row r="3019" spans="1:65" ht="12.75">
      <c r="A3019" s="9"/>
      <c r="B3019" s="10"/>
      <c r="C3019" s="11"/>
      <c r="D3019" s="12"/>
      <c r="E3019" s="10"/>
      <c r="F3019" s="10"/>
      <c r="G3019" s="10"/>
      <c r="H3019" s="14"/>
      <c r="I3019" s="14"/>
      <c r="J3019" s="14"/>
      <c r="K3019" s="14"/>
      <c r="L3019" s="14"/>
      <c r="M3019" s="15"/>
      <c r="N3019" s="10"/>
      <c r="O3019" s="14"/>
      <c r="P3019" s="14"/>
      <c r="Q3019" s="14"/>
      <c r="R3019" s="14"/>
      <c r="S3019" s="14"/>
      <c r="T3019" s="14"/>
      <c r="U3019" s="14"/>
      <c r="V3019" s="14"/>
      <c r="W3019" s="14"/>
      <c r="X3019" s="14"/>
      <c r="Y3019" s="14"/>
      <c r="Z3019" s="14"/>
      <c r="AA3019" s="16"/>
      <c r="AB3019" s="10"/>
      <c r="AC3019" s="10"/>
      <c r="AD3019" s="10"/>
      <c r="AE3019" s="10"/>
      <c r="AF3019" s="10"/>
      <c r="AG3019" s="10"/>
      <c r="AH3019" s="10"/>
      <c r="AI3019" s="10"/>
      <c r="AJ3019" s="10"/>
      <c r="AK3019" s="10"/>
      <c r="AL3019" s="10"/>
      <c r="AM3019" s="10"/>
      <c r="AN3019" s="10"/>
      <c r="AO3019" s="10"/>
      <c r="AP3019" s="10"/>
      <c r="AQ3019" s="10"/>
      <c r="AR3019" s="10"/>
      <c r="AS3019" s="10"/>
      <c r="AT3019" s="10"/>
      <c r="AU3019" s="10"/>
      <c r="AV3019" s="10"/>
      <c r="AW3019" s="10"/>
      <c r="AX3019" s="10"/>
      <c r="AY3019" s="10"/>
      <c r="AZ3019" s="10"/>
      <c r="BA3019" s="10"/>
      <c r="BB3019" s="10"/>
      <c r="BC3019" s="10"/>
      <c r="BD3019" s="10"/>
      <c r="BE3019" s="10"/>
      <c r="BF3019" s="10"/>
      <c r="BG3019" s="10"/>
      <c r="BH3019" s="10"/>
      <c r="BI3019" s="10"/>
      <c r="BJ3019" s="10"/>
      <c r="BK3019" s="10"/>
      <c r="BM3019" s="10"/>
    </row>
    <row r="3020" spans="1:65" ht="12.75">
      <c r="A3020" s="9"/>
      <c r="B3020" s="10"/>
      <c r="C3020" s="11"/>
      <c r="D3020" s="12"/>
      <c r="E3020" s="10"/>
      <c r="F3020" s="10"/>
      <c r="G3020" s="10"/>
      <c r="H3020" s="14"/>
      <c r="I3020" s="14"/>
      <c r="J3020" s="14"/>
      <c r="K3020" s="14"/>
      <c r="L3020" s="14"/>
      <c r="M3020" s="15"/>
      <c r="N3020" s="10"/>
      <c r="O3020" s="14"/>
      <c r="P3020" s="14"/>
      <c r="Q3020" s="14"/>
      <c r="R3020" s="14"/>
      <c r="S3020" s="14"/>
      <c r="T3020" s="14"/>
      <c r="U3020" s="14"/>
      <c r="V3020" s="14"/>
      <c r="W3020" s="14"/>
      <c r="X3020" s="14"/>
      <c r="Y3020" s="14"/>
      <c r="Z3020" s="14"/>
      <c r="AA3020" s="16"/>
      <c r="AB3020" s="10"/>
      <c r="AC3020" s="10"/>
      <c r="AD3020" s="10"/>
      <c r="AE3020" s="10"/>
      <c r="AF3020" s="10"/>
      <c r="AG3020" s="10"/>
      <c r="AH3020" s="10"/>
      <c r="AI3020" s="10"/>
      <c r="AJ3020" s="10"/>
      <c r="AK3020" s="10"/>
      <c r="AL3020" s="10"/>
      <c r="AM3020" s="10"/>
      <c r="AN3020" s="10"/>
      <c r="AO3020" s="10"/>
      <c r="AP3020" s="10"/>
      <c r="AQ3020" s="10"/>
      <c r="AR3020" s="10"/>
      <c r="AS3020" s="10"/>
      <c r="AT3020" s="10"/>
      <c r="AU3020" s="10"/>
      <c r="AV3020" s="10"/>
      <c r="AW3020" s="10"/>
      <c r="AX3020" s="10"/>
      <c r="AY3020" s="10"/>
      <c r="AZ3020" s="10"/>
      <c r="BA3020" s="10"/>
      <c r="BB3020" s="10"/>
      <c r="BC3020" s="10"/>
      <c r="BD3020" s="10"/>
      <c r="BE3020" s="10"/>
      <c r="BF3020" s="10"/>
      <c r="BG3020" s="10"/>
      <c r="BH3020" s="10"/>
      <c r="BI3020" s="10"/>
      <c r="BJ3020" s="10"/>
      <c r="BK3020" s="10"/>
      <c r="BM3020" s="10"/>
    </row>
    <row r="3021" spans="1:65" ht="12.75">
      <c r="A3021" s="9"/>
      <c r="B3021" s="10"/>
      <c r="C3021" s="11"/>
      <c r="D3021" s="12"/>
      <c r="E3021" s="10"/>
      <c r="F3021" s="10"/>
      <c r="G3021" s="10"/>
      <c r="H3021" s="14"/>
      <c r="I3021" s="14"/>
      <c r="J3021" s="14"/>
      <c r="K3021" s="14"/>
      <c r="L3021" s="14"/>
      <c r="M3021" s="15"/>
      <c r="N3021" s="10"/>
      <c r="O3021" s="14"/>
      <c r="P3021" s="14"/>
      <c r="Q3021" s="14"/>
      <c r="R3021" s="14"/>
      <c r="S3021" s="14"/>
      <c r="T3021" s="14"/>
      <c r="U3021" s="14"/>
      <c r="V3021" s="14"/>
      <c r="W3021" s="14"/>
      <c r="X3021" s="14"/>
      <c r="Y3021" s="14"/>
      <c r="Z3021" s="14"/>
      <c r="AA3021" s="16"/>
      <c r="AB3021" s="10"/>
      <c r="AC3021" s="10"/>
      <c r="AD3021" s="10"/>
      <c r="AE3021" s="10"/>
      <c r="AF3021" s="10"/>
      <c r="AG3021" s="10"/>
      <c r="AH3021" s="10"/>
      <c r="AI3021" s="10"/>
      <c r="AJ3021" s="10"/>
      <c r="AK3021" s="10"/>
      <c r="AL3021" s="10"/>
      <c r="AM3021" s="10"/>
      <c r="AN3021" s="10"/>
      <c r="AO3021" s="10"/>
      <c r="AP3021" s="10"/>
      <c r="AQ3021" s="10"/>
      <c r="AR3021" s="10"/>
      <c r="AS3021" s="10"/>
      <c r="AT3021" s="10"/>
      <c r="AU3021" s="10"/>
      <c r="AV3021" s="10"/>
      <c r="AW3021" s="10"/>
      <c r="AX3021" s="10"/>
      <c r="AY3021" s="10"/>
      <c r="AZ3021" s="10"/>
      <c r="BA3021" s="10"/>
      <c r="BB3021" s="10"/>
      <c r="BC3021" s="10"/>
      <c r="BD3021" s="10"/>
      <c r="BE3021" s="10"/>
      <c r="BF3021" s="10"/>
      <c r="BG3021" s="10"/>
      <c r="BH3021" s="10"/>
      <c r="BI3021" s="10"/>
      <c r="BJ3021" s="10"/>
      <c r="BK3021" s="10"/>
      <c r="BM3021" s="10"/>
    </row>
    <row r="3022" spans="1:65" ht="12.75">
      <c r="A3022" s="9"/>
      <c r="B3022" s="10"/>
      <c r="C3022" s="11"/>
      <c r="D3022" s="12"/>
      <c r="E3022" s="10"/>
      <c r="F3022" s="10"/>
      <c r="G3022" s="10"/>
      <c r="H3022" s="14"/>
      <c r="I3022" s="14"/>
      <c r="J3022" s="14"/>
      <c r="K3022" s="14"/>
      <c r="L3022" s="14"/>
      <c r="M3022" s="15"/>
      <c r="N3022" s="10"/>
      <c r="O3022" s="14"/>
      <c r="P3022" s="14"/>
      <c r="Q3022" s="14"/>
      <c r="R3022" s="14"/>
      <c r="S3022" s="14"/>
      <c r="T3022" s="14"/>
      <c r="U3022" s="14"/>
      <c r="V3022" s="14"/>
      <c r="W3022" s="14"/>
      <c r="X3022" s="14"/>
      <c r="Y3022" s="14"/>
      <c r="Z3022" s="14"/>
      <c r="AA3022" s="16"/>
      <c r="AB3022" s="10"/>
      <c r="AC3022" s="10"/>
      <c r="AD3022" s="10"/>
      <c r="AE3022" s="10"/>
      <c r="AF3022" s="10"/>
      <c r="AG3022" s="10"/>
      <c r="AH3022" s="10"/>
      <c r="AI3022" s="10"/>
      <c r="AJ3022" s="10"/>
      <c r="AK3022" s="10"/>
      <c r="AL3022" s="10"/>
      <c r="AM3022" s="10"/>
      <c r="AN3022" s="10"/>
      <c r="AO3022" s="10"/>
      <c r="AP3022" s="10"/>
      <c r="AQ3022" s="10"/>
      <c r="AR3022" s="10"/>
      <c r="AS3022" s="10"/>
      <c r="AT3022" s="10"/>
      <c r="AU3022" s="10"/>
      <c r="AV3022" s="10"/>
      <c r="AW3022" s="10"/>
      <c r="AX3022" s="10"/>
      <c r="AY3022" s="10"/>
      <c r="AZ3022" s="10"/>
      <c r="BA3022" s="10"/>
      <c r="BB3022" s="10"/>
      <c r="BC3022" s="10"/>
      <c r="BD3022" s="10"/>
      <c r="BE3022" s="10"/>
      <c r="BF3022" s="10"/>
      <c r="BG3022" s="10"/>
      <c r="BH3022" s="10"/>
      <c r="BI3022" s="10"/>
      <c r="BJ3022" s="10"/>
      <c r="BK3022" s="10"/>
      <c r="BM3022" s="10"/>
    </row>
    <row r="3023" spans="1:65" ht="12.75">
      <c r="A3023" s="9"/>
      <c r="B3023" s="10"/>
      <c r="C3023" s="11"/>
      <c r="D3023" s="12"/>
      <c r="E3023" s="10"/>
      <c r="F3023" s="10"/>
      <c r="G3023" s="10"/>
      <c r="H3023" s="14"/>
      <c r="I3023" s="14"/>
      <c r="J3023" s="14"/>
      <c r="K3023" s="14"/>
      <c r="L3023" s="14"/>
      <c r="M3023" s="15"/>
      <c r="N3023" s="10"/>
      <c r="O3023" s="14"/>
      <c r="P3023" s="14"/>
      <c r="Q3023" s="14"/>
      <c r="R3023" s="14"/>
      <c r="S3023" s="14"/>
      <c r="T3023" s="14"/>
      <c r="U3023" s="14"/>
      <c r="V3023" s="14"/>
      <c r="W3023" s="14"/>
      <c r="X3023" s="14"/>
      <c r="Y3023" s="14"/>
      <c r="Z3023" s="14"/>
      <c r="AA3023" s="16"/>
      <c r="AB3023" s="10"/>
      <c r="AC3023" s="10"/>
      <c r="AD3023" s="10"/>
      <c r="AE3023" s="10"/>
      <c r="AF3023" s="10"/>
      <c r="AG3023" s="10"/>
      <c r="AH3023" s="10"/>
      <c r="AI3023" s="10"/>
      <c r="AJ3023" s="10"/>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10"/>
      <c r="BJ3023" s="10"/>
      <c r="BK3023" s="10"/>
      <c r="BM3023" s="10"/>
    </row>
    <row r="3024" spans="1:65" ht="12.75">
      <c r="A3024" s="9"/>
      <c r="B3024" s="10"/>
      <c r="C3024" s="11"/>
      <c r="D3024" s="12"/>
      <c r="E3024" s="10"/>
      <c r="F3024" s="10"/>
      <c r="G3024" s="10"/>
      <c r="H3024" s="14"/>
      <c r="I3024" s="14"/>
      <c r="J3024" s="14"/>
      <c r="K3024" s="14"/>
      <c r="L3024" s="14"/>
      <c r="M3024" s="15"/>
      <c r="N3024" s="10"/>
      <c r="O3024" s="14"/>
      <c r="P3024" s="14"/>
      <c r="Q3024" s="14"/>
      <c r="R3024" s="14"/>
      <c r="S3024" s="14"/>
      <c r="T3024" s="14"/>
      <c r="U3024" s="14"/>
      <c r="V3024" s="14"/>
      <c r="W3024" s="14"/>
      <c r="X3024" s="14"/>
      <c r="Y3024" s="14"/>
      <c r="Z3024" s="14"/>
      <c r="AA3024" s="16"/>
      <c r="AB3024" s="10"/>
      <c r="AC3024" s="10"/>
      <c r="AD3024" s="10"/>
      <c r="AE3024" s="10"/>
      <c r="AF3024" s="10"/>
      <c r="AG3024" s="10"/>
      <c r="AH3024" s="10"/>
      <c r="AI3024" s="10"/>
      <c r="AJ3024" s="10"/>
      <c r="AK3024" s="10"/>
      <c r="AL3024" s="10"/>
      <c r="AM3024" s="10"/>
      <c r="AN3024" s="10"/>
      <c r="AO3024" s="10"/>
      <c r="AP3024" s="10"/>
      <c r="AQ3024" s="10"/>
      <c r="AR3024" s="10"/>
      <c r="AS3024" s="10"/>
      <c r="AT3024" s="10"/>
      <c r="AU3024" s="10"/>
      <c r="AV3024" s="10"/>
      <c r="AW3024" s="10"/>
      <c r="AX3024" s="10"/>
      <c r="AY3024" s="10"/>
      <c r="AZ3024" s="10"/>
      <c r="BA3024" s="10"/>
      <c r="BB3024" s="10"/>
      <c r="BC3024" s="10"/>
      <c r="BD3024" s="10"/>
      <c r="BE3024" s="10"/>
      <c r="BF3024" s="10"/>
      <c r="BG3024" s="10"/>
      <c r="BH3024" s="10"/>
      <c r="BI3024" s="10"/>
      <c r="BJ3024" s="10"/>
      <c r="BK3024" s="10"/>
      <c r="BM3024" s="10"/>
    </row>
    <row r="3025" spans="1:65" ht="12.75">
      <c r="A3025" s="9"/>
      <c r="B3025" s="10"/>
      <c r="C3025" s="11"/>
      <c r="D3025" s="12"/>
      <c r="E3025" s="10"/>
      <c r="F3025" s="10"/>
      <c r="G3025" s="10"/>
      <c r="H3025" s="14"/>
      <c r="I3025" s="14"/>
      <c r="J3025" s="14"/>
      <c r="K3025" s="14"/>
      <c r="L3025" s="14"/>
      <c r="M3025" s="15"/>
      <c r="N3025" s="10"/>
      <c r="O3025" s="14"/>
      <c r="P3025" s="14"/>
      <c r="Q3025" s="14"/>
      <c r="R3025" s="14"/>
      <c r="S3025" s="14"/>
      <c r="T3025" s="14"/>
      <c r="U3025" s="14"/>
      <c r="V3025" s="14"/>
      <c r="W3025" s="14"/>
      <c r="X3025" s="14"/>
      <c r="Y3025" s="14"/>
      <c r="Z3025" s="14"/>
      <c r="AA3025" s="16"/>
      <c r="AB3025" s="10"/>
      <c r="AC3025" s="10"/>
      <c r="AD3025" s="10"/>
      <c r="AE3025" s="10"/>
      <c r="AF3025" s="10"/>
      <c r="AG3025" s="10"/>
      <c r="AH3025" s="10"/>
      <c r="AI3025" s="10"/>
      <c r="AJ3025" s="10"/>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10"/>
      <c r="BJ3025" s="10"/>
      <c r="BK3025" s="10"/>
      <c r="BM3025" s="10"/>
    </row>
    <row r="3026" spans="1:65" ht="12.75">
      <c r="A3026" s="9"/>
      <c r="B3026" s="10"/>
      <c r="C3026" s="11"/>
      <c r="D3026" s="12"/>
      <c r="E3026" s="10"/>
      <c r="F3026" s="10"/>
      <c r="G3026" s="10"/>
      <c r="H3026" s="14"/>
      <c r="I3026" s="14"/>
      <c r="J3026" s="14"/>
      <c r="K3026" s="14"/>
      <c r="L3026" s="14"/>
      <c r="M3026" s="15"/>
      <c r="N3026" s="10"/>
      <c r="O3026" s="14"/>
      <c r="P3026" s="14"/>
      <c r="Q3026" s="14"/>
      <c r="R3026" s="14"/>
      <c r="S3026" s="14"/>
      <c r="T3026" s="14"/>
      <c r="U3026" s="14"/>
      <c r="V3026" s="14"/>
      <c r="W3026" s="14"/>
      <c r="X3026" s="14"/>
      <c r="Y3026" s="14"/>
      <c r="Z3026" s="14"/>
      <c r="AA3026" s="16"/>
      <c r="AB3026" s="10"/>
      <c r="AC3026" s="10"/>
      <c r="AD3026" s="10"/>
      <c r="AE3026" s="10"/>
      <c r="AF3026" s="10"/>
      <c r="AG3026" s="10"/>
      <c r="AH3026" s="10"/>
      <c r="AI3026" s="10"/>
      <c r="AJ3026" s="10"/>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10"/>
      <c r="BK3026" s="10"/>
      <c r="BM3026" s="10"/>
    </row>
    <row r="3027" spans="1:65" ht="12.75">
      <c r="A3027" s="9"/>
      <c r="B3027" s="10"/>
      <c r="C3027" s="11"/>
      <c r="D3027" s="12"/>
      <c r="E3027" s="10"/>
      <c r="F3027" s="10"/>
      <c r="G3027" s="10"/>
      <c r="H3027" s="14"/>
      <c r="I3027" s="14"/>
      <c r="J3027" s="14"/>
      <c r="K3027" s="14"/>
      <c r="L3027" s="14"/>
      <c r="M3027" s="15"/>
      <c r="N3027" s="10"/>
      <c r="O3027" s="14"/>
      <c r="P3027" s="14"/>
      <c r="Q3027" s="14"/>
      <c r="R3027" s="14"/>
      <c r="S3027" s="14"/>
      <c r="T3027" s="14"/>
      <c r="U3027" s="14"/>
      <c r="V3027" s="14"/>
      <c r="W3027" s="14"/>
      <c r="X3027" s="14"/>
      <c r="Y3027" s="14"/>
      <c r="Z3027" s="14"/>
      <c r="AA3027" s="16"/>
      <c r="AB3027" s="10"/>
      <c r="AC3027" s="10"/>
      <c r="AD3027" s="10"/>
      <c r="AE3027" s="10"/>
      <c r="AF3027" s="10"/>
      <c r="AG3027" s="10"/>
      <c r="AH3027" s="10"/>
      <c r="AI3027" s="10"/>
      <c r="AJ3027" s="10"/>
      <c r="AK3027" s="10"/>
      <c r="AL3027" s="10"/>
      <c r="AM3027" s="10"/>
      <c r="AN3027" s="10"/>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10"/>
      <c r="BJ3027" s="10"/>
      <c r="BK3027" s="10"/>
      <c r="BM3027" s="10"/>
    </row>
    <row r="3028" spans="1:65" ht="12.75">
      <c r="A3028" s="9"/>
      <c r="B3028" s="10"/>
      <c r="C3028" s="11"/>
      <c r="D3028" s="12"/>
      <c r="E3028" s="10"/>
      <c r="F3028" s="10"/>
      <c r="G3028" s="10"/>
      <c r="H3028" s="14"/>
      <c r="I3028" s="14"/>
      <c r="J3028" s="14"/>
      <c r="K3028" s="14"/>
      <c r="L3028" s="14"/>
      <c r="M3028" s="15"/>
      <c r="N3028" s="10"/>
      <c r="O3028" s="14"/>
      <c r="P3028" s="14"/>
      <c r="Q3028" s="14"/>
      <c r="R3028" s="14"/>
      <c r="S3028" s="14"/>
      <c r="T3028" s="14"/>
      <c r="U3028" s="14"/>
      <c r="V3028" s="14"/>
      <c r="W3028" s="14"/>
      <c r="X3028" s="14"/>
      <c r="Y3028" s="14"/>
      <c r="Z3028" s="14"/>
      <c r="AA3028" s="16"/>
      <c r="AB3028" s="10"/>
      <c r="AC3028" s="10"/>
      <c r="AD3028" s="10"/>
      <c r="AE3028" s="10"/>
      <c r="AF3028" s="10"/>
      <c r="AG3028" s="10"/>
      <c r="AH3028" s="10"/>
      <c r="AI3028" s="10"/>
      <c r="AJ3028" s="10"/>
      <c r="AK3028" s="10"/>
      <c r="AL3028" s="10"/>
      <c r="AM3028" s="10"/>
      <c r="AN3028" s="10"/>
      <c r="AO3028" s="10"/>
      <c r="AP3028" s="10"/>
      <c r="AQ3028" s="10"/>
      <c r="AR3028" s="10"/>
      <c r="AS3028" s="10"/>
      <c r="AT3028" s="10"/>
      <c r="AU3028" s="10"/>
      <c r="AV3028" s="10"/>
      <c r="AW3028" s="10"/>
      <c r="AX3028" s="10"/>
      <c r="AY3028" s="10"/>
      <c r="AZ3028" s="10"/>
      <c r="BA3028" s="10"/>
      <c r="BB3028" s="10"/>
      <c r="BC3028" s="10"/>
      <c r="BD3028" s="10"/>
      <c r="BE3028" s="10"/>
      <c r="BF3028" s="10"/>
      <c r="BG3028" s="10"/>
      <c r="BH3028" s="10"/>
      <c r="BI3028" s="10"/>
      <c r="BJ3028" s="10"/>
      <c r="BK3028" s="10"/>
      <c r="BM3028" s="10"/>
    </row>
    <row r="3029" spans="1:65" ht="12.75">
      <c r="A3029" s="9"/>
      <c r="B3029" s="10"/>
      <c r="C3029" s="11"/>
      <c r="D3029" s="12"/>
      <c r="E3029" s="10"/>
      <c r="F3029" s="10"/>
      <c r="G3029" s="10"/>
      <c r="H3029" s="14"/>
      <c r="I3029" s="14"/>
      <c r="J3029" s="14"/>
      <c r="K3029" s="14"/>
      <c r="L3029" s="14"/>
      <c r="M3029" s="15"/>
      <c r="N3029" s="10"/>
      <c r="O3029" s="14"/>
      <c r="P3029" s="14"/>
      <c r="Q3029" s="14"/>
      <c r="R3029" s="14"/>
      <c r="S3029" s="14"/>
      <c r="T3029" s="14"/>
      <c r="U3029" s="14"/>
      <c r="V3029" s="14"/>
      <c r="W3029" s="14"/>
      <c r="X3029" s="14"/>
      <c r="Y3029" s="14"/>
      <c r="Z3029" s="14"/>
      <c r="AA3029" s="16"/>
      <c r="AB3029" s="10"/>
      <c r="AC3029" s="10"/>
      <c r="AD3029" s="10"/>
      <c r="AE3029" s="10"/>
      <c r="AF3029" s="10"/>
      <c r="AG3029" s="10"/>
      <c r="AH3029" s="10"/>
      <c r="AI3029" s="10"/>
      <c r="AJ3029" s="10"/>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10"/>
      <c r="BJ3029" s="10"/>
      <c r="BK3029" s="10"/>
      <c r="BM3029" s="10"/>
    </row>
    <row r="3030" spans="1:65" ht="12.75">
      <c r="A3030" s="9"/>
      <c r="B3030" s="10"/>
      <c r="C3030" s="11"/>
      <c r="D3030" s="12"/>
      <c r="E3030" s="10"/>
      <c r="F3030" s="10"/>
      <c r="G3030" s="10"/>
      <c r="H3030" s="14"/>
      <c r="I3030" s="14"/>
      <c r="J3030" s="14"/>
      <c r="K3030" s="14"/>
      <c r="L3030" s="14"/>
      <c r="M3030" s="15"/>
      <c r="N3030" s="10"/>
      <c r="O3030" s="14"/>
      <c r="P3030" s="14"/>
      <c r="Q3030" s="14"/>
      <c r="R3030" s="14"/>
      <c r="S3030" s="14"/>
      <c r="T3030" s="14"/>
      <c r="U3030" s="14"/>
      <c r="V3030" s="14"/>
      <c r="W3030" s="14"/>
      <c r="X3030" s="14"/>
      <c r="Y3030" s="14"/>
      <c r="Z3030" s="14"/>
      <c r="AA3030" s="16"/>
      <c r="AB3030" s="10"/>
      <c r="AC3030" s="10"/>
      <c r="AD3030" s="10"/>
      <c r="AE3030" s="10"/>
      <c r="AF3030" s="10"/>
      <c r="AG3030" s="10"/>
      <c r="AH3030" s="10"/>
      <c r="AI3030" s="10"/>
      <c r="AJ3030" s="10"/>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10"/>
      <c r="BJ3030" s="10"/>
      <c r="BK3030" s="10"/>
      <c r="BM3030" s="10"/>
    </row>
    <row r="3031" spans="1:65" ht="12.75">
      <c r="A3031" s="9"/>
      <c r="B3031" s="10"/>
      <c r="C3031" s="11"/>
      <c r="D3031" s="12"/>
      <c r="E3031" s="10"/>
      <c r="F3031" s="10"/>
      <c r="G3031" s="10"/>
      <c r="H3031" s="14"/>
      <c r="I3031" s="14"/>
      <c r="J3031" s="14"/>
      <c r="K3031" s="14"/>
      <c r="L3031" s="14"/>
      <c r="M3031" s="15"/>
      <c r="N3031" s="10"/>
      <c r="O3031" s="14"/>
      <c r="P3031" s="14"/>
      <c r="Q3031" s="14"/>
      <c r="R3031" s="14"/>
      <c r="S3031" s="14"/>
      <c r="T3031" s="14"/>
      <c r="U3031" s="14"/>
      <c r="V3031" s="14"/>
      <c r="W3031" s="14"/>
      <c r="X3031" s="14"/>
      <c r="Y3031" s="14"/>
      <c r="Z3031" s="14"/>
      <c r="AA3031" s="16"/>
      <c r="AB3031" s="10"/>
      <c r="AC3031" s="10"/>
      <c r="AD3031" s="10"/>
      <c r="AE3031" s="10"/>
      <c r="AF3031" s="10"/>
      <c r="AG3031" s="10"/>
      <c r="AH3031" s="10"/>
      <c r="AI3031" s="10"/>
      <c r="AJ3031" s="10"/>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M3031" s="10"/>
    </row>
    <row r="3032" spans="1:65" ht="12.75">
      <c r="A3032" s="9"/>
      <c r="B3032" s="10"/>
      <c r="C3032" s="11"/>
      <c r="D3032" s="12"/>
      <c r="E3032" s="10"/>
      <c r="F3032" s="10"/>
      <c r="G3032" s="10"/>
      <c r="H3032" s="14"/>
      <c r="I3032" s="14"/>
      <c r="J3032" s="14"/>
      <c r="K3032" s="14"/>
      <c r="L3032" s="14"/>
      <c r="M3032" s="15"/>
      <c r="N3032" s="10"/>
      <c r="O3032" s="14"/>
      <c r="P3032" s="14"/>
      <c r="Q3032" s="14"/>
      <c r="R3032" s="14"/>
      <c r="S3032" s="14"/>
      <c r="T3032" s="14"/>
      <c r="U3032" s="14"/>
      <c r="V3032" s="14"/>
      <c r="W3032" s="14"/>
      <c r="X3032" s="14"/>
      <c r="Y3032" s="14"/>
      <c r="Z3032" s="14"/>
      <c r="AA3032" s="16"/>
      <c r="AB3032" s="10"/>
      <c r="AC3032" s="10"/>
      <c r="AD3032" s="10"/>
      <c r="AE3032" s="10"/>
      <c r="AF3032" s="10"/>
      <c r="AG3032" s="10"/>
      <c r="AH3032" s="10"/>
      <c r="AI3032" s="10"/>
      <c r="AJ3032" s="10"/>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10"/>
      <c r="BJ3032" s="10"/>
      <c r="BK3032" s="10"/>
      <c r="BM3032" s="10"/>
    </row>
    <row r="3033" spans="1:65" ht="12.75">
      <c r="A3033" s="9"/>
      <c r="B3033" s="10"/>
      <c r="C3033" s="11"/>
      <c r="D3033" s="12"/>
      <c r="E3033" s="10"/>
      <c r="F3033" s="10"/>
      <c r="G3033" s="10"/>
      <c r="H3033" s="14"/>
      <c r="I3033" s="14"/>
      <c r="J3033" s="14"/>
      <c r="K3033" s="14"/>
      <c r="L3033" s="14"/>
      <c r="M3033" s="15"/>
      <c r="N3033" s="10"/>
      <c r="O3033" s="14"/>
      <c r="P3033" s="14"/>
      <c r="Q3033" s="14"/>
      <c r="R3033" s="14"/>
      <c r="S3033" s="14"/>
      <c r="T3033" s="14"/>
      <c r="U3033" s="14"/>
      <c r="V3033" s="14"/>
      <c r="W3033" s="14"/>
      <c r="X3033" s="14"/>
      <c r="Y3033" s="14"/>
      <c r="Z3033" s="14"/>
      <c r="AA3033" s="16"/>
      <c r="AB3033" s="10"/>
      <c r="AC3033" s="10"/>
      <c r="AD3033" s="10"/>
      <c r="AE3033" s="10"/>
      <c r="AF3033" s="10"/>
      <c r="AG3033" s="10"/>
      <c r="AH3033" s="10"/>
      <c r="AI3033" s="10"/>
      <c r="AJ3033" s="10"/>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10"/>
      <c r="BJ3033" s="10"/>
      <c r="BK3033" s="10"/>
      <c r="BM3033" s="10"/>
    </row>
    <row r="3034" spans="1:65" ht="12.75">
      <c r="A3034" s="9"/>
      <c r="B3034" s="10"/>
      <c r="C3034" s="11"/>
      <c r="D3034" s="12"/>
      <c r="E3034" s="10"/>
      <c r="F3034" s="10"/>
      <c r="G3034" s="10"/>
      <c r="H3034" s="14"/>
      <c r="I3034" s="14"/>
      <c r="J3034" s="14"/>
      <c r="K3034" s="14"/>
      <c r="L3034" s="14"/>
      <c r="M3034" s="15"/>
      <c r="N3034" s="10"/>
      <c r="O3034" s="14"/>
      <c r="P3034" s="14"/>
      <c r="Q3034" s="14"/>
      <c r="R3034" s="14"/>
      <c r="S3034" s="14"/>
      <c r="T3034" s="14"/>
      <c r="U3034" s="14"/>
      <c r="V3034" s="14"/>
      <c r="W3034" s="14"/>
      <c r="X3034" s="14"/>
      <c r="Y3034" s="14"/>
      <c r="Z3034" s="14"/>
      <c r="AA3034" s="16"/>
      <c r="AB3034" s="10"/>
      <c r="AC3034" s="10"/>
      <c r="AD3034" s="10"/>
      <c r="AE3034" s="10"/>
      <c r="AF3034" s="10"/>
      <c r="AG3034" s="10"/>
      <c r="AH3034" s="10"/>
      <c r="AI3034" s="10"/>
      <c r="AJ3034" s="10"/>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10"/>
      <c r="BJ3034" s="10"/>
      <c r="BK3034" s="10"/>
      <c r="BM3034" s="10"/>
    </row>
    <row r="3035" spans="1:65" ht="12.75">
      <c r="A3035" s="9"/>
      <c r="B3035" s="10"/>
      <c r="C3035" s="11"/>
      <c r="D3035" s="12"/>
      <c r="E3035" s="10"/>
      <c r="F3035" s="10"/>
      <c r="G3035" s="10"/>
      <c r="H3035" s="14"/>
      <c r="I3035" s="14"/>
      <c r="J3035" s="14"/>
      <c r="K3035" s="14"/>
      <c r="L3035" s="14"/>
      <c r="M3035" s="15"/>
      <c r="N3035" s="10"/>
      <c r="O3035" s="14"/>
      <c r="P3035" s="14"/>
      <c r="Q3035" s="14"/>
      <c r="R3035" s="14"/>
      <c r="S3035" s="14"/>
      <c r="T3035" s="14"/>
      <c r="U3035" s="14"/>
      <c r="V3035" s="14"/>
      <c r="W3035" s="14"/>
      <c r="X3035" s="14"/>
      <c r="Y3035" s="14"/>
      <c r="Z3035" s="14"/>
      <c r="AA3035" s="16"/>
      <c r="AB3035" s="10"/>
      <c r="AC3035" s="10"/>
      <c r="AD3035" s="10"/>
      <c r="AE3035" s="10"/>
      <c r="AF3035" s="10"/>
      <c r="AG3035" s="10"/>
      <c r="AH3035" s="10"/>
      <c r="AI3035" s="10"/>
      <c r="AJ3035" s="10"/>
      <c r="AK3035" s="10"/>
      <c r="AL3035" s="1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10"/>
      <c r="BJ3035" s="10"/>
      <c r="BK3035" s="10"/>
      <c r="BM3035" s="10"/>
    </row>
    <row r="3036" spans="1:65" ht="12.75">
      <c r="A3036" s="9"/>
      <c r="B3036" s="10"/>
      <c r="C3036" s="11"/>
      <c r="D3036" s="12"/>
      <c r="E3036" s="10"/>
      <c r="F3036" s="10"/>
      <c r="G3036" s="10"/>
      <c r="H3036" s="14"/>
      <c r="I3036" s="14"/>
      <c r="J3036" s="14"/>
      <c r="K3036" s="14"/>
      <c r="L3036" s="14"/>
      <c r="M3036" s="15"/>
      <c r="N3036" s="10"/>
      <c r="O3036" s="14"/>
      <c r="P3036" s="14"/>
      <c r="Q3036" s="14"/>
      <c r="R3036" s="14"/>
      <c r="S3036" s="14"/>
      <c r="T3036" s="14"/>
      <c r="U3036" s="14"/>
      <c r="V3036" s="14"/>
      <c r="W3036" s="14"/>
      <c r="X3036" s="14"/>
      <c r="Y3036" s="14"/>
      <c r="Z3036" s="14"/>
      <c r="AA3036" s="16"/>
      <c r="AB3036" s="10"/>
      <c r="AC3036" s="10"/>
      <c r="AD3036" s="10"/>
      <c r="AE3036" s="10"/>
      <c r="AF3036" s="10"/>
      <c r="AG3036" s="10"/>
      <c r="AH3036" s="10"/>
      <c r="AI3036" s="10"/>
      <c r="AJ3036" s="10"/>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10"/>
      <c r="BJ3036" s="10"/>
      <c r="BK3036" s="10"/>
      <c r="BM3036" s="10"/>
    </row>
    <row r="3037" spans="1:65" ht="12.75">
      <c r="A3037" s="9"/>
      <c r="B3037" s="10"/>
      <c r="C3037" s="11"/>
      <c r="D3037" s="12"/>
      <c r="E3037" s="10"/>
      <c r="F3037" s="10"/>
      <c r="G3037" s="10"/>
      <c r="H3037" s="14"/>
      <c r="I3037" s="14"/>
      <c r="J3037" s="14"/>
      <c r="K3037" s="14"/>
      <c r="L3037" s="14"/>
      <c r="M3037" s="15"/>
      <c r="N3037" s="10"/>
      <c r="O3037" s="14"/>
      <c r="P3037" s="14"/>
      <c r="Q3037" s="14"/>
      <c r="R3037" s="14"/>
      <c r="S3037" s="14"/>
      <c r="T3037" s="14"/>
      <c r="U3037" s="14"/>
      <c r="V3037" s="14"/>
      <c r="W3037" s="14"/>
      <c r="X3037" s="14"/>
      <c r="Y3037" s="14"/>
      <c r="Z3037" s="14"/>
      <c r="AA3037" s="16"/>
      <c r="AB3037" s="10"/>
      <c r="AC3037" s="10"/>
      <c r="AD3037" s="10"/>
      <c r="AE3037" s="10"/>
      <c r="AF3037" s="10"/>
      <c r="AG3037" s="10"/>
      <c r="AH3037" s="10"/>
      <c r="AI3037" s="10"/>
      <c r="AJ3037" s="10"/>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10"/>
      <c r="BJ3037" s="10"/>
      <c r="BK3037" s="10"/>
      <c r="BM3037" s="10"/>
    </row>
    <row r="3038" spans="1:65" ht="12.75">
      <c r="A3038" s="9"/>
      <c r="B3038" s="10"/>
      <c r="C3038" s="11"/>
      <c r="D3038" s="12"/>
      <c r="E3038" s="10"/>
      <c r="F3038" s="10"/>
      <c r="G3038" s="10"/>
      <c r="H3038" s="14"/>
      <c r="I3038" s="14"/>
      <c r="J3038" s="14"/>
      <c r="K3038" s="14"/>
      <c r="L3038" s="14"/>
      <c r="M3038" s="15"/>
      <c r="N3038" s="10"/>
      <c r="O3038" s="14"/>
      <c r="P3038" s="14"/>
      <c r="Q3038" s="14"/>
      <c r="R3038" s="14"/>
      <c r="S3038" s="14"/>
      <c r="T3038" s="14"/>
      <c r="U3038" s="14"/>
      <c r="V3038" s="14"/>
      <c r="W3038" s="14"/>
      <c r="X3038" s="14"/>
      <c r="Y3038" s="14"/>
      <c r="Z3038" s="14"/>
      <c r="AA3038" s="16"/>
      <c r="AB3038" s="10"/>
      <c r="AC3038" s="10"/>
      <c r="AD3038" s="10"/>
      <c r="AE3038" s="10"/>
      <c r="AF3038" s="10"/>
      <c r="AG3038" s="10"/>
      <c r="AH3038" s="10"/>
      <c r="AI3038" s="10"/>
      <c r="AJ3038" s="10"/>
      <c r="AK3038" s="10"/>
      <c r="AL3038" s="10"/>
      <c r="AM3038" s="10"/>
      <c r="AN3038" s="10"/>
      <c r="AO3038" s="10"/>
      <c r="AP3038" s="10"/>
      <c r="AQ3038" s="10"/>
      <c r="AR3038" s="10"/>
      <c r="AS3038" s="10"/>
      <c r="AT3038" s="10"/>
      <c r="AU3038" s="10"/>
      <c r="AV3038" s="10"/>
      <c r="AW3038" s="10"/>
      <c r="AX3038" s="10"/>
      <c r="AY3038" s="10"/>
      <c r="AZ3038" s="10"/>
      <c r="BA3038" s="10"/>
      <c r="BB3038" s="10"/>
      <c r="BC3038" s="10"/>
      <c r="BD3038" s="10"/>
      <c r="BE3038" s="10"/>
      <c r="BF3038" s="10"/>
      <c r="BG3038" s="10"/>
      <c r="BH3038" s="10"/>
      <c r="BI3038" s="10"/>
      <c r="BJ3038" s="10"/>
      <c r="BK3038" s="10"/>
      <c r="BM3038" s="10"/>
    </row>
    <row r="3039" spans="1:65" ht="12.75">
      <c r="A3039" s="9"/>
      <c r="B3039" s="10"/>
      <c r="C3039" s="11"/>
      <c r="D3039" s="12"/>
      <c r="E3039" s="10"/>
      <c r="F3039" s="10"/>
      <c r="G3039" s="10"/>
      <c r="H3039" s="14"/>
      <c r="I3039" s="14"/>
      <c r="J3039" s="14"/>
      <c r="K3039" s="14"/>
      <c r="L3039" s="14"/>
      <c r="M3039" s="15"/>
      <c r="N3039" s="10"/>
      <c r="O3039" s="14"/>
      <c r="P3039" s="14"/>
      <c r="Q3039" s="14"/>
      <c r="R3039" s="14"/>
      <c r="S3039" s="14"/>
      <c r="T3039" s="14"/>
      <c r="U3039" s="14"/>
      <c r="V3039" s="14"/>
      <c r="W3039" s="14"/>
      <c r="X3039" s="14"/>
      <c r="Y3039" s="14"/>
      <c r="Z3039" s="14"/>
      <c r="AA3039" s="16"/>
      <c r="AB3039" s="10"/>
      <c r="AC3039" s="10"/>
      <c r="AD3039" s="10"/>
      <c r="AE3039" s="10"/>
      <c r="AF3039" s="10"/>
      <c r="AG3039" s="10"/>
      <c r="AH3039" s="10"/>
      <c r="AI3039" s="10"/>
      <c r="AJ3039" s="10"/>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M3039" s="10"/>
    </row>
    <row r="3040" spans="1:65" ht="12.75">
      <c r="A3040" s="9"/>
      <c r="B3040" s="10"/>
      <c r="C3040" s="11"/>
      <c r="D3040" s="12"/>
      <c r="E3040" s="10"/>
      <c r="F3040" s="10"/>
      <c r="G3040" s="10"/>
      <c r="H3040" s="14"/>
      <c r="I3040" s="14"/>
      <c r="J3040" s="14"/>
      <c r="K3040" s="14"/>
      <c r="L3040" s="14"/>
      <c r="M3040" s="15"/>
      <c r="N3040" s="10"/>
      <c r="O3040" s="14"/>
      <c r="P3040" s="14"/>
      <c r="Q3040" s="14"/>
      <c r="R3040" s="14"/>
      <c r="S3040" s="14"/>
      <c r="T3040" s="14"/>
      <c r="U3040" s="14"/>
      <c r="V3040" s="14"/>
      <c r="W3040" s="14"/>
      <c r="X3040" s="14"/>
      <c r="Y3040" s="14"/>
      <c r="Z3040" s="14"/>
      <c r="AA3040" s="16"/>
      <c r="AB3040" s="10"/>
      <c r="AC3040" s="10"/>
      <c r="AD3040" s="10"/>
      <c r="AE3040" s="10"/>
      <c r="AF3040" s="10"/>
      <c r="AG3040" s="10"/>
      <c r="AH3040" s="10"/>
      <c r="AI3040" s="10"/>
      <c r="AJ3040" s="10"/>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10"/>
      <c r="BJ3040" s="10"/>
      <c r="BK3040" s="10"/>
      <c r="BM3040" s="10"/>
    </row>
    <row r="3041" spans="1:65" ht="12.75">
      <c r="A3041" s="9"/>
      <c r="B3041" s="10"/>
      <c r="C3041" s="11"/>
      <c r="D3041" s="12"/>
      <c r="E3041" s="10"/>
      <c r="F3041" s="10"/>
      <c r="G3041" s="10"/>
      <c r="H3041" s="14"/>
      <c r="I3041" s="14"/>
      <c r="J3041" s="14"/>
      <c r="K3041" s="14"/>
      <c r="L3041" s="14"/>
      <c r="M3041" s="15"/>
      <c r="N3041" s="10"/>
      <c r="O3041" s="14"/>
      <c r="P3041" s="14"/>
      <c r="Q3041" s="14"/>
      <c r="R3041" s="14"/>
      <c r="S3041" s="14"/>
      <c r="T3041" s="14"/>
      <c r="U3041" s="14"/>
      <c r="V3041" s="14"/>
      <c r="W3041" s="14"/>
      <c r="X3041" s="14"/>
      <c r="Y3041" s="14"/>
      <c r="Z3041" s="14"/>
      <c r="AA3041" s="16"/>
      <c r="AB3041" s="10"/>
      <c r="AC3041" s="10"/>
      <c r="AD3041" s="10"/>
      <c r="AE3041" s="10"/>
      <c r="AF3041" s="10"/>
      <c r="AG3041" s="10"/>
      <c r="AH3041" s="10"/>
      <c r="AI3041" s="10"/>
      <c r="AJ3041" s="10"/>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10"/>
      <c r="BJ3041" s="10"/>
      <c r="BK3041" s="10"/>
      <c r="BM3041" s="10"/>
    </row>
    <row r="3042" spans="1:65" ht="12.75">
      <c r="A3042" s="9"/>
      <c r="B3042" s="10"/>
      <c r="C3042" s="11"/>
      <c r="D3042" s="12"/>
      <c r="E3042" s="10"/>
      <c r="F3042" s="10"/>
      <c r="G3042" s="10"/>
      <c r="H3042" s="14"/>
      <c r="I3042" s="14"/>
      <c r="J3042" s="14"/>
      <c r="K3042" s="14"/>
      <c r="L3042" s="14"/>
      <c r="M3042" s="15"/>
      <c r="N3042" s="10"/>
      <c r="O3042" s="14"/>
      <c r="P3042" s="14"/>
      <c r="Q3042" s="14"/>
      <c r="R3042" s="14"/>
      <c r="S3042" s="14"/>
      <c r="T3042" s="14"/>
      <c r="U3042" s="14"/>
      <c r="V3042" s="14"/>
      <c r="W3042" s="14"/>
      <c r="X3042" s="14"/>
      <c r="Y3042" s="14"/>
      <c r="Z3042" s="14"/>
      <c r="AA3042" s="16"/>
      <c r="AB3042" s="10"/>
      <c r="AC3042" s="10"/>
      <c r="AD3042" s="10"/>
      <c r="AE3042" s="10"/>
      <c r="AF3042" s="10"/>
      <c r="AG3042" s="10"/>
      <c r="AH3042" s="10"/>
      <c r="AI3042" s="10"/>
      <c r="AJ3042" s="10"/>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10"/>
      <c r="BJ3042" s="10"/>
      <c r="BK3042" s="10"/>
      <c r="BM3042" s="10"/>
    </row>
    <row r="3043" spans="1:65" ht="12.75">
      <c r="A3043" s="9"/>
      <c r="B3043" s="10"/>
      <c r="C3043" s="11"/>
      <c r="D3043" s="12"/>
      <c r="E3043" s="10"/>
      <c r="F3043" s="10"/>
      <c r="G3043" s="10"/>
      <c r="H3043" s="14"/>
      <c r="I3043" s="14"/>
      <c r="J3043" s="14"/>
      <c r="K3043" s="14"/>
      <c r="L3043" s="14"/>
      <c r="M3043" s="15"/>
      <c r="N3043" s="10"/>
      <c r="O3043" s="14"/>
      <c r="P3043" s="14"/>
      <c r="Q3043" s="14"/>
      <c r="R3043" s="14"/>
      <c r="S3043" s="14"/>
      <c r="T3043" s="14"/>
      <c r="U3043" s="14"/>
      <c r="V3043" s="14"/>
      <c r="W3043" s="14"/>
      <c r="X3043" s="14"/>
      <c r="Y3043" s="14"/>
      <c r="Z3043" s="14"/>
      <c r="AA3043" s="16"/>
      <c r="AB3043" s="10"/>
      <c r="AC3043" s="10"/>
      <c r="AD3043" s="10"/>
      <c r="AE3043" s="10"/>
      <c r="AF3043" s="10"/>
      <c r="AG3043" s="10"/>
      <c r="AH3043" s="10"/>
      <c r="AI3043" s="10"/>
      <c r="AJ3043" s="10"/>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10"/>
      <c r="BJ3043" s="10"/>
      <c r="BK3043" s="10"/>
      <c r="BM3043" s="10"/>
    </row>
    <row r="3044" spans="1:65" ht="12.75">
      <c r="A3044" s="9"/>
      <c r="B3044" s="10"/>
      <c r="C3044" s="11"/>
      <c r="D3044" s="12"/>
      <c r="E3044" s="10"/>
      <c r="F3044" s="10"/>
      <c r="G3044" s="10"/>
      <c r="H3044" s="14"/>
      <c r="I3044" s="14"/>
      <c r="J3044" s="14"/>
      <c r="K3044" s="14"/>
      <c r="L3044" s="14"/>
      <c r="M3044" s="15"/>
      <c r="N3044" s="10"/>
      <c r="O3044" s="14"/>
      <c r="P3044" s="14"/>
      <c r="Q3044" s="14"/>
      <c r="R3044" s="14"/>
      <c r="S3044" s="14"/>
      <c r="T3044" s="14"/>
      <c r="U3044" s="14"/>
      <c r="V3044" s="14"/>
      <c r="W3044" s="14"/>
      <c r="X3044" s="14"/>
      <c r="Y3044" s="14"/>
      <c r="Z3044" s="14"/>
      <c r="AA3044" s="16"/>
      <c r="AB3044" s="10"/>
      <c r="AC3044" s="10"/>
      <c r="AD3044" s="10"/>
      <c r="AE3044" s="10"/>
      <c r="AF3044" s="10"/>
      <c r="AG3044" s="10"/>
      <c r="AH3044" s="10"/>
      <c r="AI3044" s="10"/>
      <c r="AJ3044" s="10"/>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10"/>
      <c r="BJ3044" s="10"/>
      <c r="BK3044" s="10"/>
      <c r="BM3044" s="10"/>
    </row>
    <row r="3045" spans="1:65" ht="12.75">
      <c r="A3045" s="9"/>
      <c r="B3045" s="10"/>
      <c r="C3045" s="11"/>
      <c r="D3045" s="12"/>
      <c r="E3045" s="10"/>
      <c r="F3045" s="10"/>
      <c r="G3045" s="10"/>
      <c r="H3045" s="14"/>
      <c r="I3045" s="14"/>
      <c r="J3045" s="14"/>
      <c r="K3045" s="14"/>
      <c r="L3045" s="14"/>
      <c r="M3045" s="15"/>
      <c r="N3045" s="10"/>
      <c r="O3045" s="14"/>
      <c r="P3045" s="14"/>
      <c r="Q3045" s="14"/>
      <c r="R3045" s="14"/>
      <c r="S3045" s="14"/>
      <c r="T3045" s="14"/>
      <c r="U3045" s="14"/>
      <c r="V3045" s="14"/>
      <c r="W3045" s="14"/>
      <c r="X3045" s="14"/>
      <c r="Y3045" s="14"/>
      <c r="Z3045" s="14"/>
      <c r="AA3045" s="16"/>
      <c r="AB3045" s="10"/>
      <c r="AC3045" s="10"/>
      <c r="AD3045" s="10"/>
      <c r="AE3045" s="10"/>
      <c r="AF3045" s="10"/>
      <c r="AG3045" s="10"/>
      <c r="AH3045" s="10"/>
      <c r="AI3045" s="10"/>
      <c r="AJ3045" s="10"/>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10"/>
      <c r="BJ3045" s="10"/>
      <c r="BK3045" s="10"/>
      <c r="BM3045" s="10"/>
    </row>
    <row r="3046" spans="1:65" ht="12.75">
      <c r="A3046" s="9"/>
      <c r="B3046" s="10"/>
      <c r="C3046" s="11"/>
      <c r="D3046" s="12"/>
      <c r="E3046" s="10"/>
      <c r="F3046" s="10"/>
      <c r="G3046" s="10"/>
      <c r="H3046" s="14"/>
      <c r="I3046" s="14"/>
      <c r="J3046" s="14"/>
      <c r="K3046" s="14"/>
      <c r="L3046" s="14"/>
      <c r="M3046" s="15"/>
      <c r="N3046" s="10"/>
      <c r="O3046" s="14"/>
      <c r="P3046" s="14"/>
      <c r="Q3046" s="14"/>
      <c r="R3046" s="14"/>
      <c r="S3046" s="14"/>
      <c r="T3046" s="14"/>
      <c r="U3046" s="14"/>
      <c r="V3046" s="14"/>
      <c r="W3046" s="14"/>
      <c r="X3046" s="14"/>
      <c r="Y3046" s="14"/>
      <c r="Z3046" s="14"/>
      <c r="AA3046" s="16"/>
      <c r="AB3046" s="10"/>
      <c r="AC3046" s="10"/>
      <c r="AD3046" s="10"/>
      <c r="AE3046" s="10"/>
      <c r="AF3046" s="10"/>
      <c r="AG3046" s="10"/>
      <c r="AH3046" s="10"/>
      <c r="AI3046" s="10"/>
      <c r="AJ3046" s="10"/>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10"/>
      <c r="BJ3046" s="10"/>
      <c r="BK3046" s="10"/>
      <c r="BM3046" s="10"/>
    </row>
    <row r="3047" spans="1:65" ht="12.75">
      <c r="A3047" s="9"/>
      <c r="B3047" s="10"/>
      <c r="C3047" s="11"/>
      <c r="D3047" s="12"/>
      <c r="E3047" s="10"/>
      <c r="F3047" s="10"/>
      <c r="G3047" s="10"/>
      <c r="H3047" s="14"/>
      <c r="I3047" s="14"/>
      <c r="J3047" s="14"/>
      <c r="K3047" s="14"/>
      <c r="L3047" s="14"/>
      <c r="M3047" s="15"/>
      <c r="N3047" s="10"/>
      <c r="O3047" s="14"/>
      <c r="P3047" s="14"/>
      <c r="Q3047" s="14"/>
      <c r="R3047" s="14"/>
      <c r="S3047" s="14"/>
      <c r="T3047" s="14"/>
      <c r="U3047" s="14"/>
      <c r="V3047" s="14"/>
      <c r="W3047" s="14"/>
      <c r="X3047" s="14"/>
      <c r="Y3047" s="14"/>
      <c r="Z3047" s="14"/>
      <c r="AA3047" s="16"/>
      <c r="AB3047" s="10"/>
      <c r="AC3047" s="10"/>
      <c r="AD3047" s="10"/>
      <c r="AE3047" s="10"/>
      <c r="AF3047" s="10"/>
      <c r="AG3047" s="10"/>
      <c r="AH3047" s="10"/>
      <c r="AI3047" s="10"/>
      <c r="AJ3047" s="10"/>
      <c r="AK3047" s="10"/>
      <c r="AL3047" s="10"/>
      <c r="AM3047" s="10"/>
      <c r="AN3047" s="10"/>
      <c r="AO3047" s="10"/>
      <c r="AP3047" s="10"/>
      <c r="AQ3047" s="10"/>
      <c r="AR3047" s="10"/>
      <c r="AS3047" s="10"/>
      <c r="AT3047" s="10"/>
      <c r="AU3047" s="10"/>
      <c r="AV3047" s="10"/>
      <c r="AW3047" s="10"/>
      <c r="AX3047" s="10"/>
      <c r="AY3047" s="10"/>
      <c r="AZ3047" s="10"/>
      <c r="BA3047" s="10"/>
      <c r="BB3047" s="10"/>
      <c r="BC3047" s="10"/>
      <c r="BD3047" s="10"/>
      <c r="BE3047" s="10"/>
      <c r="BF3047" s="10"/>
      <c r="BG3047" s="10"/>
      <c r="BH3047" s="10"/>
      <c r="BI3047" s="10"/>
      <c r="BJ3047" s="10"/>
      <c r="BK3047" s="10"/>
      <c r="BM3047" s="10"/>
    </row>
    <row r="3048" spans="1:65" ht="12.75">
      <c r="A3048" s="9"/>
      <c r="B3048" s="10"/>
      <c r="C3048" s="11"/>
      <c r="D3048" s="12"/>
      <c r="E3048" s="10"/>
      <c r="F3048" s="10"/>
      <c r="G3048" s="10"/>
      <c r="H3048" s="14"/>
      <c r="I3048" s="14"/>
      <c r="J3048" s="14"/>
      <c r="K3048" s="14"/>
      <c r="L3048" s="14"/>
      <c r="M3048" s="15"/>
      <c r="N3048" s="10"/>
      <c r="O3048" s="14"/>
      <c r="P3048" s="14"/>
      <c r="Q3048" s="14"/>
      <c r="R3048" s="14"/>
      <c r="S3048" s="14"/>
      <c r="T3048" s="14"/>
      <c r="U3048" s="14"/>
      <c r="V3048" s="14"/>
      <c r="W3048" s="14"/>
      <c r="X3048" s="14"/>
      <c r="Y3048" s="14"/>
      <c r="Z3048" s="14"/>
      <c r="AA3048" s="16"/>
      <c r="AB3048" s="10"/>
      <c r="AC3048" s="10"/>
      <c r="AD3048" s="10"/>
      <c r="AE3048" s="10"/>
      <c r="AF3048" s="10"/>
      <c r="AG3048" s="10"/>
      <c r="AH3048" s="10"/>
      <c r="AI3048" s="10"/>
      <c r="AJ3048" s="10"/>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10"/>
      <c r="BJ3048" s="10"/>
      <c r="BK3048" s="10"/>
      <c r="BM3048" s="10"/>
    </row>
    <row r="3049" spans="1:65" ht="12.75">
      <c r="A3049" s="9"/>
      <c r="B3049" s="10"/>
      <c r="C3049" s="11"/>
      <c r="D3049" s="12"/>
      <c r="E3049" s="10"/>
      <c r="F3049" s="10"/>
      <c r="G3049" s="10"/>
      <c r="H3049" s="14"/>
      <c r="I3049" s="14"/>
      <c r="J3049" s="14"/>
      <c r="K3049" s="14"/>
      <c r="L3049" s="14"/>
      <c r="M3049" s="15"/>
      <c r="N3049" s="10"/>
      <c r="O3049" s="14"/>
      <c r="P3049" s="14"/>
      <c r="Q3049" s="14"/>
      <c r="R3049" s="14"/>
      <c r="S3049" s="14"/>
      <c r="T3049" s="14"/>
      <c r="U3049" s="14"/>
      <c r="V3049" s="14"/>
      <c r="W3049" s="14"/>
      <c r="X3049" s="14"/>
      <c r="Y3049" s="14"/>
      <c r="Z3049" s="14"/>
      <c r="AA3049" s="16"/>
      <c r="AB3049" s="10"/>
      <c r="AC3049" s="10"/>
      <c r="AD3049" s="10"/>
      <c r="AE3049" s="10"/>
      <c r="AF3049" s="10"/>
      <c r="AG3049" s="10"/>
      <c r="AH3049" s="10"/>
      <c r="AI3049" s="10"/>
      <c r="AJ3049" s="10"/>
      <c r="AK3049" s="10"/>
      <c r="AL3049" s="1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M3049" s="10"/>
    </row>
    <row r="3050" spans="1:65" ht="12.75">
      <c r="A3050" s="9"/>
      <c r="B3050" s="10"/>
      <c r="C3050" s="11"/>
      <c r="D3050" s="12"/>
      <c r="E3050" s="10"/>
      <c r="F3050" s="10"/>
      <c r="G3050" s="10"/>
      <c r="H3050" s="14"/>
      <c r="I3050" s="14"/>
      <c r="J3050" s="14"/>
      <c r="K3050" s="14"/>
      <c r="L3050" s="14"/>
      <c r="M3050" s="15"/>
      <c r="N3050" s="10"/>
      <c r="O3050" s="14"/>
      <c r="P3050" s="14"/>
      <c r="Q3050" s="14"/>
      <c r="R3050" s="14"/>
      <c r="S3050" s="14"/>
      <c r="T3050" s="14"/>
      <c r="U3050" s="14"/>
      <c r="V3050" s="14"/>
      <c r="W3050" s="14"/>
      <c r="X3050" s="14"/>
      <c r="Y3050" s="14"/>
      <c r="Z3050" s="14"/>
      <c r="AA3050" s="16"/>
      <c r="AB3050" s="10"/>
      <c r="AC3050" s="10"/>
      <c r="AD3050" s="10"/>
      <c r="AE3050" s="10"/>
      <c r="AF3050" s="10"/>
      <c r="AG3050" s="10"/>
      <c r="AH3050" s="10"/>
      <c r="AI3050" s="10"/>
      <c r="AJ3050" s="10"/>
      <c r="AK3050" s="10"/>
      <c r="AL3050" s="10"/>
      <c r="AM3050" s="10"/>
      <c r="AN3050" s="10"/>
      <c r="AO3050" s="10"/>
      <c r="AP3050" s="10"/>
      <c r="AQ3050" s="10"/>
      <c r="AR3050" s="10"/>
      <c r="AS3050" s="10"/>
      <c r="AT3050" s="10"/>
      <c r="AU3050" s="10"/>
      <c r="AV3050" s="10"/>
      <c r="AW3050" s="10"/>
      <c r="AX3050" s="10"/>
      <c r="AY3050" s="10"/>
      <c r="AZ3050" s="10"/>
      <c r="BA3050" s="10"/>
      <c r="BB3050" s="10"/>
      <c r="BC3050" s="10"/>
      <c r="BD3050" s="10"/>
      <c r="BE3050" s="10"/>
      <c r="BF3050" s="10"/>
      <c r="BG3050" s="10"/>
      <c r="BH3050" s="10"/>
      <c r="BI3050" s="10"/>
      <c r="BJ3050" s="10"/>
      <c r="BK3050" s="10"/>
      <c r="BM3050" s="10"/>
    </row>
    <row r="3051" spans="1:65" ht="12.75">
      <c r="A3051" s="9"/>
      <c r="B3051" s="10"/>
      <c r="C3051" s="11"/>
      <c r="D3051" s="12"/>
      <c r="E3051" s="10"/>
      <c r="F3051" s="10"/>
      <c r="G3051" s="10"/>
      <c r="H3051" s="14"/>
      <c r="I3051" s="14"/>
      <c r="J3051" s="14"/>
      <c r="K3051" s="14"/>
      <c r="L3051" s="14"/>
      <c r="M3051" s="15"/>
      <c r="N3051" s="10"/>
      <c r="O3051" s="14"/>
      <c r="P3051" s="14"/>
      <c r="Q3051" s="14"/>
      <c r="R3051" s="14"/>
      <c r="S3051" s="14"/>
      <c r="T3051" s="14"/>
      <c r="U3051" s="14"/>
      <c r="V3051" s="14"/>
      <c r="W3051" s="14"/>
      <c r="X3051" s="14"/>
      <c r="Y3051" s="14"/>
      <c r="Z3051" s="14"/>
      <c r="AA3051" s="16"/>
      <c r="AB3051" s="10"/>
      <c r="AC3051" s="10"/>
      <c r="AD3051" s="10"/>
      <c r="AE3051" s="10"/>
      <c r="AF3051" s="10"/>
      <c r="AG3051" s="10"/>
      <c r="AH3051" s="10"/>
      <c r="AI3051" s="10"/>
      <c r="AJ3051" s="10"/>
      <c r="AK3051" s="10"/>
      <c r="AL3051" s="10"/>
      <c r="AM3051" s="10"/>
      <c r="AN3051" s="10"/>
      <c r="AO3051" s="10"/>
      <c r="AP3051" s="10"/>
      <c r="AQ3051" s="10"/>
      <c r="AR3051" s="10"/>
      <c r="AS3051" s="10"/>
      <c r="AT3051" s="10"/>
      <c r="AU3051" s="10"/>
      <c r="AV3051" s="10"/>
      <c r="AW3051" s="10"/>
      <c r="AX3051" s="10"/>
      <c r="AY3051" s="10"/>
      <c r="AZ3051" s="10"/>
      <c r="BA3051" s="10"/>
      <c r="BB3051" s="10"/>
      <c r="BC3051" s="10"/>
      <c r="BD3051" s="10"/>
      <c r="BE3051" s="10"/>
      <c r="BF3051" s="10"/>
      <c r="BG3051" s="10"/>
      <c r="BH3051" s="10"/>
      <c r="BI3051" s="10"/>
      <c r="BJ3051" s="10"/>
      <c r="BK3051" s="10"/>
      <c r="BM3051" s="10"/>
    </row>
    <row r="3052" spans="1:65" ht="12.75">
      <c r="A3052" s="9"/>
      <c r="B3052" s="10"/>
      <c r="C3052" s="11"/>
      <c r="D3052" s="12"/>
      <c r="E3052" s="10"/>
      <c r="F3052" s="10"/>
      <c r="G3052" s="10"/>
      <c r="H3052" s="14"/>
      <c r="I3052" s="14"/>
      <c r="J3052" s="14"/>
      <c r="K3052" s="14"/>
      <c r="L3052" s="14"/>
      <c r="M3052" s="15"/>
      <c r="N3052" s="10"/>
      <c r="O3052" s="14"/>
      <c r="P3052" s="14"/>
      <c r="Q3052" s="14"/>
      <c r="R3052" s="14"/>
      <c r="S3052" s="14"/>
      <c r="T3052" s="14"/>
      <c r="U3052" s="14"/>
      <c r="V3052" s="14"/>
      <c r="W3052" s="14"/>
      <c r="X3052" s="14"/>
      <c r="Y3052" s="14"/>
      <c r="Z3052" s="14"/>
      <c r="AA3052" s="16"/>
      <c r="AB3052" s="10"/>
      <c r="AC3052" s="10"/>
      <c r="AD3052" s="10"/>
      <c r="AE3052" s="10"/>
      <c r="AF3052" s="10"/>
      <c r="AG3052" s="10"/>
      <c r="AH3052" s="10"/>
      <c r="AI3052" s="10"/>
      <c r="AJ3052" s="10"/>
      <c r="AK3052" s="10"/>
      <c r="AL3052" s="10"/>
      <c r="AM3052" s="10"/>
      <c r="AN3052" s="10"/>
      <c r="AO3052" s="10"/>
      <c r="AP3052" s="10"/>
      <c r="AQ3052" s="10"/>
      <c r="AR3052" s="10"/>
      <c r="AS3052" s="10"/>
      <c r="AT3052" s="10"/>
      <c r="AU3052" s="10"/>
      <c r="AV3052" s="10"/>
      <c r="AW3052" s="10"/>
      <c r="AX3052" s="10"/>
      <c r="AY3052" s="10"/>
      <c r="AZ3052" s="10"/>
      <c r="BA3052" s="10"/>
      <c r="BB3052" s="10"/>
      <c r="BC3052" s="10"/>
      <c r="BD3052" s="10"/>
      <c r="BE3052" s="10"/>
      <c r="BF3052" s="10"/>
      <c r="BG3052" s="10"/>
      <c r="BH3052" s="10"/>
      <c r="BI3052" s="10"/>
      <c r="BJ3052" s="10"/>
      <c r="BK3052" s="10"/>
      <c r="BM3052" s="10"/>
    </row>
    <row r="3053" spans="1:65" ht="12.75">
      <c r="A3053" s="9"/>
      <c r="B3053" s="10"/>
      <c r="C3053" s="11"/>
      <c r="D3053" s="12"/>
      <c r="E3053" s="10"/>
      <c r="F3053" s="10"/>
      <c r="G3053" s="10"/>
      <c r="H3053" s="14"/>
      <c r="I3053" s="14"/>
      <c r="J3053" s="14"/>
      <c r="K3053" s="14"/>
      <c r="L3053" s="14"/>
      <c r="M3053" s="15"/>
      <c r="N3053" s="10"/>
      <c r="O3053" s="14"/>
      <c r="P3053" s="14"/>
      <c r="Q3053" s="14"/>
      <c r="R3053" s="14"/>
      <c r="S3053" s="14"/>
      <c r="T3053" s="14"/>
      <c r="U3053" s="14"/>
      <c r="V3053" s="14"/>
      <c r="W3053" s="14"/>
      <c r="X3053" s="14"/>
      <c r="Y3053" s="14"/>
      <c r="Z3053" s="14"/>
      <c r="AA3053" s="16"/>
      <c r="AB3053" s="10"/>
      <c r="AC3053" s="10"/>
      <c r="AD3053" s="10"/>
      <c r="AE3053" s="10"/>
      <c r="AF3053" s="10"/>
      <c r="AG3053" s="10"/>
      <c r="AH3053" s="10"/>
      <c r="AI3053" s="10"/>
      <c r="AJ3053" s="10"/>
      <c r="AK3053" s="10"/>
      <c r="AL3053" s="10"/>
      <c r="AM3053" s="10"/>
      <c r="AN3053" s="10"/>
      <c r="AO3053" s="10"/>
      <c r="AP3053" s="10"/>
      <c r="AQ3053" s="10"/>
      <c r="AR3053" s="10"/>
      <c r="AS3053" s="10"/>
      <c r="AT3053" s="10"/>
      <c r="AU3053" s="10"/>
      <c r="AV3053" s="10"/>
      <c r="AW3053" s="10"/>
      <c r="AX3053" s="10"/>
      <c r="AY3053" s="10"/>
      <c r="AZ3053" s="10"/>
      <c r="BA3053" s="10"/>
      <c r="BB3053" s="10"/>
      <c r="BC3053" s="10"/>
      <c r="BD3053" s="10"/>
      <c r="BE3053" s="10"/>
      <c r="BF3053" s="10"/>
      <c r="BG3053" s="10"/>
      <c r="BH3053" s="10"/>
      <c r="BI3053" s="10"/>
      <c r="BJ3053" s="10"/>
      <c r="BK3053" s="10"/>
      <c r="BM3053" s="10"/>
    </row>
    <row r="3054" spans="1:65" ht="12.75">
      <c r="A3054" s="9"/>
      <c r="B3054" s="10"/>
      <c r="C3054" s="11"/>
      <c r="D3054" s="12"/>
      <c r="E3054" s="10"/>
      <c r="F3054" s="10"/>
      <c r="G3054" s="10"/>
      <c r="H3054" s="14"/>
      <c r="I3054" s="14"/>
      <c r="J3054" s="14"/>
      <c r="K3054" s="14"/>
      <c r="L3054" s="14"/>
      <c r="M3054" s="15"/>
      <c r="N3054" s="10"/>
      <c r="O3054" s="14"/>
      <c r="P3054" s="14"/>
      <c r="Q3054" s="14"/>
      <c r="R3054" s="14"/>
      <c r="S3054" s="14"/>
      <c r="T3054" s="14"/>
      <c r="U3054" s="14"/>
      <c r="V3054" s="14"/>
      <c r="W3054" s="14"/>
      <c r="X3054" s="14"/>
      <c r="Y3054" s="14"/>
      <c r="Z3054" s="14"/>
      <c r="AA3054" s="16"/>
      <c r="AB3054" s="10"/>
      <c r="AC3054" s="10"/>
      <c r="AD3054" s="10"/>
      <c r="AE3054" s="10"/>
      <c r="AF3054" s="10"/>
      <c r="AG3054" s="10"/>
      <c r="AH3054" s="10"/>
      <c r="AI3054" s="10"/>
      <c r="AJ3054" s="10"/>
      <c r="AK3054" s="10"/>
      <c r="AL3054" s="10"/>
      <c r="AM3054" s="10"/>
      <c r="AN3054" s="10"/>
      <c r="AO3054" s="10"/>
      <c r="AP3054" s="10"/>
      <c r="AQ3054" s="10"/>
      <c r="AR3054" s="10"/>
      <c r="AS3054" s="10"/>
      <c r="AT3054" s="10"/>
      <c r="AU3054" s="10"/>
      <c r="AV3054" s="10"/>
      <c r="AW3054" s="10"/>
      <c r="AX3054" s="10"/>
      <c r="AY3054" s="10"/>
      <c r="AZ3054" s="10"/>
      <c r="BA3054" s="10"/>
      <c r="BB3054" s="10"/>
      <c r="BC3054" s="10"/>
      <c r="BD3054" s="10"/>
      <c r="BE3054" s="10"/>
      <c r="BF3054" s="10"/>
      <c r="BG3054" s="10"/>
      <c r="BH3054" s="10"/>
      <c r="BI3054" s="10"/>
      <c r="BJ3054" s="10"/>
      <c r="BK3054" s="10"/>
      <c r="BM3054" s="10"/>
    </row>
    <row r="3055" spans="1:65" ht="12.75">
      <c r="A3055" s="9"/>
      <c r="B3055" s="10"/>
      <c r="C3055" s="11"/>
      <c r="D3055" s="12"/>
      <c r="E3055" s="10"/>
      <c r="F3055" s="10"/>
      <c r="G3055" s="10"/>
      <c r="H3055" s="14"/>
      <c r="I3055" s="14"/>
      <c r="J3055" s="14"/>
      <c r="K3055" s="14"/>
      <c r="L3055" s="14"/>
      <c r="M3055" s="15"/>
      <c r="N3055" s="10"/>
      <c r="O3055" s="14"/>
      <c r="P3055" s="14"/>
      <c r="Q3055" s="14"/>
      <c r="R3055" s="14"/>
      <c r="S3055" s="14"/>
      <c r="T3055" s="14"/>
      <c r="U3055" s="14"/>
      <c r="V3055" s="14"/>
      <c r="W3055" s="14"/>
      <c r="X3055" s="14"/>
      <c r="Y3055" s="14"/>
      <c r="Z3055" s="14"/>
      <c r="AA3055" s="16"/>
      <c r="AB3055" s="10"/>
      <c r="AC3055" s="10"/>
      <c r="AD3055" s="10"/>
      <c r="AE3055" s="10"/>
      <c r="AF3055" s="10"/>
      <c r="AG3055" s="10"/>
      <c r="AH3055" s="10"/>
      <c r="AI3055" s="10"/>
      <c r="AJ3055" s="10"/>
      <c r="AK3055" s="10"/>
      <c r="AL3055" s="10"/>
      <c r="AM3055" s="10"/>
      <c r="AN3055" s="10"/>
      <c r="AO3055" s="10"/>
      <c r="AP3055" s="10"/>
      <c r="AQ3055" s="10"/>
      <c r="AR3055" s="10"/>
      <c r="AS3055" s="10"/>
      <c r="AT3055" s="10"/>
      <c r="AU3055" s="10"/>
      <c r="AV3055" s="10"/>
      <c r="AW3055" s="10"/>
      <c r="AX3055" s="10"/>
      <c r="AY3055" s="10"/>
      <c r="AZ3055" s="10"/>
      <c r="BA3055" s="10"/>
      <c r="BB3055" s="10"/>
      <c r="BC3055" s="10"/>
      <c r="BD3055" s="10"/>
      <c r="BE3055" s="10"/>
      <c r="BF3055" s="10"/>
      <c r="BG3055" s="10"/>
      <c r="BH3055" s="10"/>
      <c r="BI3055" s="10"/>
      <c r="BJ3055" s="10"/>
      <c r="BK3055" s="10"/>
      <c r="BM3055" s="10"/>
    </row>
    <row r="3056" spans="1:65" ht="12.75">
      <c r="A3056" s="9"/>
      <c r="B3056" s="10"/>
      <c r="C3056" s="11"/>
      <c r="D3056" s="12"/>
      <c r="E3056" s="10"/>
      <c r="F3056" s="10"/>
      <c r="G3056" s="10"/>
      <c r="H3056" s="14"/>
      <c r="I3056" s="14"/>
      <c r="J3056" s="14"/>
      <c r="K3056" s="14"/>
      <c r="L3056" s="14"/>
      <c r="M3056" s="15"/>
      <c r="N3056" s="10"/>
      <c r="O3056" s="14"/>
      <c r="P3056" s="14"/>
      <c r="Q3056" s="14"/>
      <c r="R3056" s="14"/>
      <c r="S3056" s="14"/>
      <c r="T3056" s="14"/>
      <c r="U3056" s="14"/>
      <c r="V3056" s="14"/>
      <c r="W3056" s="14"/>
      <c r="X3056" s="14"/>
      <c r="Y3056" s="14"/>
      <c r="Z3056" s="14"/>
      <c r="AA3056" s="16"/>
      <c r="AB3056" s="10"/>
      <c r="AC3056" s="10"/>
      <c r="AD3056" s="10"/>
      <c r="AE3056" s="10"/>
      <c r="AF3056" s="10"/>
      <c r="AG3056" s="10"/>
      <c r="AH3056" s="10"/>
      <c r="AI3056" s="10"/>
      <c r="AJ3056" s="10"/>
      <c r="AK3056" s="10"/>
      <c r="AL3056" s="10"/>
      <c r="AM3056" s="10"/>
      <c r="AN3056" s="10"/>
      <c r="AO3056" s="10"/>
      <c r="AP3056" s="10"/>
      <c r="AQ3056" s="10"/>
      <c r="AR3056" s="10"/>
      <c r="AS3056" s="10"/>
      <c r="AT3056" s="10"/>
      <c r="AU3056" s="10"/>
      <c r="AV3056" s="10"/>
      <c r="AW3056" s="10"/>
      <c r="AX3056" s="10"/>
      <c r="AY3056" s="10"/>
      <c r="AZ3056" s="10"/>
      <c r="BA3056" s="10"/>
      <c r="BB3056" s="10"/>
      <c r="BC3056" s="10"/>
      <c r="BD3056" s="10"/>
      <c r="BE3056" s="10"/>
      <c r="BF3056" s="10"/>
      <c r="BG3056" s="10"/>
      <c r="BH3056" s="10"/>
      <c r="BI3056" s="10"/>
      <c r="BJ3056" s="10"/>
      <c r="BK3056" s="10"/>
      <c r="BM3056" s="10"/>
    </row>
    <row r="3057" spans="1:65" ht="12.75">
      <c r="A3057" s="9"/>
      <c r="B3057" s="10"/>
      <c r="C3057" s="11"/>
      <c r="D3057" s="12"/>
      <c r="E3057" s="10"/>
      <c r="F3057" s="10"/>
      <c r="G3057" s="10"/>
      <c r="H3057" s="14"/>
      <c r="I3057" s="14"/>
      <c r="J3057" s="14"/>
      <c r="K3057" s="14"/>
      <c r="L3057" s="14"/>
      <c r="M3057" s="15"/>
      <c r="N3057" s="10"/>
      <c r="O3057" s="14"/>
      <c r="P3057" s="14"/>
      <c r="Q3057" s="14"/>
      <c r="R3057" s="14"/>
      <c r="S3057" s="14"/>
      <c r="T3057" s="14"/>
      <c r="U3057" s="14"/>
      <c r="V3057" s="14"/>
      <c r="W3057" s="14"/>
      <c r="X3057" s="14"/>
      <c r="Y3057" s="14"/>
      <c r="Z3057" s="14"/>
      <c r="AA3057" s="16"/>
      <c r="AB3057" s="10"/>
      <c r="AC3057" s="10"/>
      <c r="AD3057" s="10"/>
      <c r="AE3057" s="10"/>
      <c r="AF3057" s="10"/>
      <c r="AG3057" s="10"/>
      <c r="AH3057" s="10"/>
      <c r="AI3057" s="10"/>
      <c r="AJ3057" s="10"/>
      <c r="AK3057" s="10"/>
      <c r="AL3057" s="10"/>
      <c r="AM3057" s="10"/>
      <c r="AN3057" s="10"/>
      <c r="AO3057" s="10"/>
      <c r="AP3057" s="10"/>
      <c r="AQ3057" s="10"/>
      <c r="AR3057" s="10"/>
      <c r="AS3057" s="10"/>
      <c r="AT3057" s="10"/>
      <c r="AU3057" s="10"/>
      <c r="AV3057" s="10"/>
      <c r="AW3057" s="10"/>
      <c r="AX3057" s="10"/>
      <c r="AY3057" s="10"/>
      <c r="AZ3057" s="10"/>
      <c r="BA3057" s="10"/>
      <c r="BB3057" s="10"/>
      <c r="BC3057" s="10"/>
      <c r="BD3057" s="10"/>
      <c r="BE3057" s="10"/>
      <c r="BF3057" s="10"/>
      <c r="BG3057" s="10"/>
      <c r="BH3057" s="10"/>
      <c r="BI3057" s="10"/>
      <c r="BJ3057" s="10"/>
      <c r="BK3057" s="10"/>
      <c r="BM3057" s="10"/>
    </row>
    <row r="3058" spans="1:65" ht="12.75">
      <c r="A3058" s="9"/>
      <c r="B3058" s="10"/>
      <c r="C3058" s="11"/>
      <c r="D3058" s="12"/>
      <c r="E3058" s="10"/>
      <c r="F3058" s="10"/>
      <c r="G3058" s="10"/>
      <c r="H3058" s="14"/>
      <c r="I3058" s="14"/>
      <c r="J3058" s="14"/>
      <c r="K3058" s="14"/>
      <c r="L3058" s="14"/>
      <c r="M3058" s="15"/>
      <c r="N3058" s="10"/>
      <c r="O3058" s="14"/>
      <c r="P3058" s="14"/>
      <c r="Q3058" s="14"/>
      <c r="R3058" s="14"/>
      <c r="S3058" s="14"/>
      <c r="T3058" s="14"/>
      <c r="U3058" s="14"/>
      <c r="V3058" s="14"/>
      <c r="W3058" s="14"/>
      <c r="X3058" s="14"/>
      <c r="Y3058" s="14"/>
      <c r="Z3058" s="14"/>
      <c r="AA3058" s="16"/>
      <c r="AB3058" s="10"/>
      <c r="AC3058" s="10"/>
      <c r="AD3058" s="10"/>
      <c r="AE3058" s="10"/>
      <c r="AF3058" s="10"/>
      <c r="AG3058" s="10"/>
      <c r="AH3058" s="10"/>
      <c r="AI3058" s="10"/>
      <c r="AJ3058" s="10"/>
      <c r="AK3058" s="10"/>
      <c r="AL3058" s="10"/>
      <c r="AM3058" s="10"/>
      <c r="AN3058" s="10"/>
      <c r="AO3058" s="10"/>
      <c r="AP3058" s="10"/>
      <c r="AQ3058" s="10"/>
      <c r="AR3058" s="10"/>
      <c r="AS3058" s="10"/>
      <c r="AT3058" s="10"/>
      <c r="AU3058" s="10"/>
      <c r="AV3058" s="10"/>
      <c r="AW3058" s="10"/>
      <c r="AX3058" s="10"/>
      <c r="AY3058" s="10"/>
      <c r="AZ3058" s="10"/>
      <c r="BA3058" s="10"/>
      <c r="BB3058" s="10"/>
      <c r="BC3058" s="10"/>
      <c r="BD3058" s="10"/>
      <c r="BE3058" s="10"/>
      <c r="BF3058" s="10"/>
      <c r="BG3058" s="10"/>
      <c r="BH3058" s="10"/>
      <c r="BI3058" s="10"/>
      <c r="BJ3058" s="10"/>
      <c r="BK3058" s="10"/>
      <c r="BM3058" s="10"/>
    </row>
    <row r="3059" spans="1:65" ht="12.75">
      <c r="A3059" s="9"/>
      <c r="B3059" s="10"/>
      <c r="C3059" s="11"/>
      <c r="D3059" s="12"/>
      <c r="E3059" s="10"/>
      <c r="F3059" s="10"/>
      <c r="G3059" s="10"/>
      <c r="H3059" s="14"/>
      <c r="I3059" s="14"/>
      <c r="J3059" s="14"/>
      <c r="K3059" s="14"/>
      <c r="L3059" s="14"/>
      <c r="M3059" s="15"/>
      <c r="N3059" s="10"/>
      <c r="O3059" s="14"/>
      <c r="P3059" s="14"/>
      <c r="Q3059" s="14"/>
      <c r="R3059" s="14"/>
      <c r="S3059" s="14"/>
      <c r="T3059" s="14"/>
      <c r="U3059" s="14"/>
      <c r="V3059" s="14"/>
      <c r="W3059" s="14"/>
      <c r="X3059" s="14"/>
      <c r="Y3059" s="14"/>
      <c r="Z3059" s="14"/>
      <c r="AA3059" s="16"/>
      <c r="AB3059" s="10"/>
      <c r="AC3059" s="10"/>
      <c r="AD3059" s="10"/>
      <c r="AE3059" s="10"/>
      <c r="AF3059" s="10"/>
      <c r="AG3059" s="10"/>
      <c r="AH3059" s="10"/>
      <c r="AI3059" s="10"/>
      <c r="AJ3059" s="10"/>
      <c r="AK3059" s="10"/>
      <c r="AL3059" s="10"/>
      <c r="AM3059" s="10"/>
      <c r="AN3059" s="10"/>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10"/>
      <c r="BJ3059" s="10"/>
      <c r="BK3059" s="10"/>
      <c r="BM3059" s="10"/>
    </row>
    <row r="3060" spans="1:65" ht="12.75">
      <c r="A3060" s="9"/>
      <c r="B3060" s="10"/>
      <c r="C3060" s="11"/>
      <c r="D3060" s="12"/>
      <c r="E3060" s="10"/>
      <c r="F3060" s="10"/>
      <c r="G3060" s="10"/>
      <c r="H3060" s="14"/>
      <c r="I3060" s="14"/>
      <c r="J3060" s="14"/>
      <c r="K3060" s="14"/>
      <c r="L3060" s="14"/>
      <c r="M3060" s="15"/>
      <c r="N3060" s="10"/>
      <c r="O3060" s="14"/>
      <c r="P3060" s="14"/>
      <c r="Q3060" s="14"/>
      <c r="R3060" s="14"/>
      <c r="S3060" s="14"/>
      <c r="T3060" s="14"/>
      <c r="U3060" s="14"/>
      <c r="V3060" s="14"/>
      <c r="W3060" s="14"/>
      <c r="X3060" s="14"/>
      <c r="Y3060" s="14"/>
      <c r="Z3060" s="14"/>
      <c r="AA3060" s="16"/>
      <c r="AB3060" s="10"/>
      <c r="AC3060" s="10"/>
      <c r="AD3060" s="10"/>
      <c r="AE3060" s="10"/>
      <c r="AF3060" s="10"/>
      <c r="AG3060" s="10"/>
      <c r="AH3060" s="10"/>
      <c r="AI3060" s="10"/>
      <c r="AJ3060" s="10"/>
      <c r="AK3060" s="10"/>
      <c r="AL3060" s="10"/>
      <c r="AM3060" s="10"/>
      <c r="AN3060" s="10"/>
      <c r="AO3060" s="10"/>
      <c r="AP3060" s="10"/>
      <c r="AQ3060" s="10"/>
      <c r="AR3060" s="10"/>
      <c r="AS3060" s="10"/>
      <c r="AT3060" s="10"/>
      <c r="AU3060" s="10"/>
      <c r="AV3060" s="10"/>
      <c r="AW3060" s="10"/>
      <c r="AX3060" s="10"/>
      <c r="AY3060" s="10"/>
      <c r="AZ3060" s="10"/>
      <c r="BA3060" s="10"/>
      <c r="BB3060" s="10"/>
      <c r="BC3060" s="10"/>
      <c r="BD3060" s="10"/>
      <c r="BE3060" s="10"/>
      <c r="BF3060" s="10"/>
      <c r="BG3060" s="10"/>
      <c r="BH3060" s="10"/>
      <c r="BI3060" s="10"/>
      <c r="BJ3060" s="10"/>
      <c r="BK3060" s="10"/>
      <c r="BM3060" s="10"/>
    </row>
    <row r="3061" spans="1:65" ht="12.75">
      <c r="A3061" s="9"/>
      <c r="B3061" s="10"/>
      <c r="C3061" s="11"/>
      <c r="D3061" s="12"/>
      <c r="E3061" s="10"/>
      <c r="F3061" s="10"/>
      <c r="G3061" s="10"/>
      <c r="H3061" s="14"/>
      <c r="I3061" s="14"/>
      <c r="J3061" s="14"/>
      <c r="K3061" s="14"/>
      <c r="L3061" s="14"/>
      <c r="M3061" s="15"/>
      <c r="N3061" s="10"/>
      <c r="O3061" s="14"/>
      <c r="P3061" s="14"/>
      <c r="Q3061" s="14"/>
      <c r="R3061" s="14"/>
      <c r="S3061" s="14"/>
      <c r="T3061" s="14"/>
      <c r="U3061" s="14"/>
      <c r="V3061" s="14"/>
      <c r="W3061" s="14"/>
      <c r="X3061" s="14"/>
      <c r="Y3061" s="14"/>
      <c r="Z3061" s="14"/>
      <c r="AA3061" s="16"/>
      <c r="AB3061" s="10"/>
      <c r="AC3061" s="10"/>
      <c r="AD3061" s="10"/>
      <c r="AE3061" s="10"/>
      <c r="AF3061" s="10"/>
      <c r="AG3061" s="10"/>
      <c r="AH3061" s="10"/>
      <c r="AI3061" s="10"/>
      <c r="AJ3061" s="10"/>
      <c r="AK3061" s="10"/>
      <c r="AL3061" s="10"/>
      <c r="AM3061" s="10"/>
      <c r="AN3061" s="10"/>
      <c r="AO3061" s="10"/>
      <c r="AP3061" s="10"/>
      <c r="AQ3061" s="10"/>
      <c r="AR3061" s="10"/>
      <c r="AS3061" s="10"/>
      <c r="AT3061" s="10"/>
      <c r="AU3061" s="10"/>
      <c r="AV3061" s="10"/>
      <c r="AW3061" s="10"/>
      <c r="AX3061" s="10"/>
      <c r="AY3061" s="10"/>
      <c r="AZ3061" s="10"/>
      <c r="BA3061" s="10"/>
      <c r="BB3061" s="10"/>
      <c r="BC3061" s="10"/>
      <c r="BD3061" s="10"/>
      <c r="BE3061" s="10"/>
      <c r="BF3061" s="10"/>
      <c r="BG3061" s="10"/>
      <c r="BH3061" s="10"/>
      <c r="BI3061" s="10"/>
      <c r="BJ3061" s="10"/>
      <c r="BK3061" s="10"/>
      <c r="BM3061" s="10"/>
    </row>
    <row r="3062" spans="1:65" ht="12.75">
      <c r="A3062" s="9"/>
      <c r="B3062" s="10"/>
      <c r="C3062" s="11"/>
      <c r="D3062" s="12"/>
      <c r="E3062" s="10"/>
      <c r="F3062" s="10"/>
      <c r="G3062" s="10"/>
      <c r="H3062" s="14"/>
      <c r="I3062" s="14"/>
      <c r="J3062" s="14"/>
      <c r="K3062" s="14"/>
      <c r="L3062" s="14"/>
      <c r="M3062" s="15"/>
      <c r="N3062" s="10"/>
      <c r="O3062" s="14"/>
      <c r="P3062" s="14"/>
      <c r="Q3062" s="14"/>
      <c r="R3062" s="14"/>
      <c r="S3062" s="14"/>
      <c r="T3062" s="14"/>
      <c r="U3062" s="14"/>
      <c r="V3062" s="14"/>
      <c r="W3062" s="14"/>
      <c r="X3062" s="14"/>
      <c r="Y3062" s="14"/>
      <c r="Z3062" s="14"/>
      <c r="AA3062" s="16"/>
      <c r="AB3062" s="10"/>
      <c r="AC3062" s="10"/>
      <c r="AD3062" s="10"/>
      <c r="AE3062" s="10"/>
      <c r="AF3062" s="10"/>
      <c r="AG3062" s="10"/>
      <c r="AH3062" s="10"/>
      <c r="AI3062" s="10"/>
      <c r="AJ3062" s="10"/>
      <c r="AK3062" s="10"/>
      <c r="AL3062" s="10"/>
      <c r="AM3062" s="10"/>
      <c r="AN3062" s="10"/>
      <c r="AO3062" s="10"/>
      <c r="AP3062" s="10"/>
      <c r="AQ3062" s="10"/>
      <c r="AR3062" s="10"/>
      <c r="AS3062" s="10"/>
      <c r="AT3062" s="10"/>
      <c r="AU3062" s="10"/>
      <c r="AV3062" s="10"/>
      <c r="AW3062" s="10"/>
      <c r="AX3062" s="10"/>
      <c r="AY3062" s="10"/>
      <c r="AZ3062" s="10"/>
      <c r="BA3062" s="10"/>
      <c r="BB3062" s="10"/>
      <c r="BC3062" s="10"/>
      <c r="BD3062" s="10"/>
      <c r="BE3062" s="10"/>
      <c r="BF3062" s="10"/>
      <c r="BG3062" s="10"/>
      <c r="BH3062" s="10"/>
      <c r="BI3062" s="10"/>
      <c r="BJ3062" s="10"/>
      <c r="BK3062" s="10"/>
      <c r="BM3062" s="10"/>
    </row>
    <row r="3063" spans="1:65" ht="12.75">
      <c r="A3063" s="9"/>
      <c r="B3063" s="10"/>
      <c r="C3063" s="11"/>
      <c r="D3063" s="12"/>
      <c r="E3063" s="10"/>
      <c r="F3063" s="10"/>
      <c r="G3063" s="10"/>
      <c r="H3063" s="14"/>
      <c r="I3063" s="14"/>
      <c r="J3063" s="14"/>
      <c r="K3063" s="14"/>
      <c r="L3063" s="14"/>
      <c r="M3063" s="15"/>
      <c r="N3063" s="10"/>
      <c r="O3063" s="14"/>
      <c r="P3063" s="14"/>
      <c r="Q3063" s="14"/>
      <c r="R3063" s="14"/>
      <c r="S3063" s="14"/>
      <c r="T3063" s="14"/>
      <c r="U3063" s="14"/>
      <c r="V3063" s="14"/>
      <c r="W3063" s="14"/>
      <c r="X3063" s="14"/>
      <c r="Y3063" s="14"/>
      <c r="Z3063" s="14"/>
      <c r="AA3063" s="16"/>
      <c r="AB3063" s="10"/>
      <c r="AC3063" s="10"/>
      <c r="AD3063" s="10"/>
      <c r="AE3063" s="10"/>
      <c r="AF3063" s="10"/>
      <c r="AG3063" s="10"/>
      <c r="AH3063" s="10"/>
      <c r="AI3063" s="10"/>
      <c r="AJ3063" s="10"/>
      <c r="AK3063" s="10"/>
      <c r="AL3063" s="10"/>
      <c r="AM3063" s="10"/>
      <c r="AN3063" s="10"/>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10"/>
      <c r="BJ3063" s="10"/>
      <c r="BK3063" s="10"/>
      <c r="BM3063" s="10"/>
    </row>
    <row r="3064" spans="1:65" ht="12.75">
      <c r="A3064" s="9"/>
      <c r="B3064" s="10"/>
      <c r="C3064" s="11"/>
      <c r="D3064" s="12"/>
      <c r="E3064" s="10"/>
      <c r="F3064" s="10"/>
      <c r="G3064" s="10"/>
      <c r="H3064" s="14"/>
      <c r="I3064" s="14"/>
      <c r="J3064" s="14"/>
      <c r="K3064" s="14"/>
      <c r="L3064" s="14"/>
      <c r="M3064" s="15"/>
      <c r="N3064" s="10"/>
      <c r="O3064" s="14"/>
      <c r="P3064" s="14"/>
      <c r="Q3064" s="14"/>
      <c r="R3064" s="14"/>
      <c r="S3064" s="14"/>
      <c r="T3064" s="14"/>
      <c r="U3064" s="14"/>
      <c r="V3064" s="14"/>
      <c r="W3064" s="14"/>
      <c r="X3064" s="14"/>
      <c r="Y3064" s="14"/>
      <c r="Z3064" s="14"/>
      <c r="AA3064" s="16"/>
      <c r="AB3064" s="10"/>
      <c r="AC3064" s="10"/>
      <c r="AD3064" s="10"/>
      <c r="AE3064" s="10"/>
      <c r="AF3064" s="10"/>
      <c r="AG3064" s="10"/>
      <c r="AH3064" s="10"/>
      <c r="AI3064" s="10"/>
      <c r="AJ3064" s="10"/>
      <c r="AK3064" s="10"/>
      <c r="AL3064" s="1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c r="BI3064" s="10"/>
      <c r="BJ3064" s="10"/>
      <c r="BK3064" s="10"/>
      <c r="BM3064" s="10"/>
    </row>
    <row r="3065" spans="1:65" ht="12.75">
      <c r="A3065" s="9"/>
      <c r="B3065" s="10"/>
      <c r="C3065" s="11"/>
      <c r="D3065" s="12"/>
      <c r="E3065" s="10"/>
      <c r="F3065" s="10"/>
      <c r="G3065" s="10"/>
      <c r="H3065" s="14"/>
      <c r="I3065" s="14"/>
      <c r="J3065" s="14"/>
      <c r="K3065" s="14"/>
      <c r="L3065" s="14"/>
      <c r="M3065" s="15"/>
      <c r="N3065" s="10"/>
      <c r="O3065" s="14"/>
      <c r="P3065" s="14"/>
      <c r="Q3065" s="14"/>
      <c r="R3065" s="14"/>
      <c r="S3065" s="14"/>
      <c r="T3065" s="14"/>
      <c r="U3065" s="14"/>
      <c r="V3065" s="14"/>
      <c r="W3065" s="14"/>
      <c r="X3065" s="14"/>
      <c r="Y3065" s="14"/>
      <c r="Z3065" s="14"/>
      <c r="AA3065" s="16"/>
      <c r="AB3065" s="10"/>
      <c r="AC3065" s="10"/>
      <c r="AD3065" s="10"/>
      <c r="AE3065" s="10"/>
      <c r="AF3065" s="10"/>
      <c r="AG3065" s="10"/>
      <c r="AH3065" s="10"/>
      <c r="AI3065" s="10"/>
      <c r="AJ3065" s="10"/>
      <c r="AK3065" s="10"/>
      <c r="AL3065" s="10"/>
      <c r="AM3065" s="10"/>
      <c r="AN3065" s="10"/>
      <c r="AO3065" s="10"/>
      <c r="AP3065" s="10"/>
      <c r="AQ3065" s="10"/>
      <c r="AR3065" s="10"/>
      <c r="AS3065" s="10"/>
      <c r="AT3065" s="10"/>
      <c r="AU3065" s="10"/>
      <c r="AV3065" s="10"/>
      <c r="AW3065" s="10"/>
      <c r="AX3065" s="10"/>
      <c r="AY3065" s="10"/>
      <c r="AZ3065" s="10"/>
      <c r="BA3065" s="10"/>
      <c r="BB3065" s="10"/>
      <c r="BC3065" s="10"/>
      <c r="BD3065" s="10"/>
      <c r="BE3065" s="10"/>
      <c r="BF3065" s="10"/>
      <c r="BG3065" s="10"/>
      <c r="BH3065" s="10"/>
      <c r="BI3065" s="10"/>
      <c r="BJ3065" s="10"/>
      <c r="BK3065" s="10"/>
      <c r="BM3065" s="10"/>
    </row>
    <row r="3066" spans="1:65" ht="12.75">
      <c r="A3066" s="9"/>
      <c r="B3066" s="10"/>
      <c r="C3066" s="11"/>
      <c r="D3066" s="12"/>
      <c r="E3066" s="10"/>
      <c r="F3066" s="10"/>
      <c r="G3066" s="10"/>
      <c r="H3066" s="14"/>
      <c r="I3066" s="14"/>
      <c r="J3066" s="14"/>
      <c r="K3066" s="14"/>
      <c r="L3066" s="14"/>
      <c r="M3066" s="15"/>
      <c r="N3066" s="10"/>
      <c r="O3066" s="14"/>
      <c r="P3066" s="14"/>
      <c r="Q3066" s="14"/>
      <c r="R3066" s="14"/>
      <c r="S3066" s="14"/>
      <c r="T3066" s="14"/>
      <c r="U3066" s="14"/>
      <c r="V3066" s="14"/>
      <c r="W3066" s="14"/>
      <c r="X3066" s="14"/>
      <c r="Y3066" s="14"/>
      <c r="Z3066" s="14"/>
      <c r="AA3066" s="16"/>
      <c r="AB3066" s="10"/>
      <c r="AC3066" s="10"/>
      <c r="AD3066" s="10"/>
      <c r="AE3066" s="10"/>
      <c r="AF3066" s="10"/>
      <c r="AG3066" s="10"/>
      <c r="AH3066" s="10"/>
      <c r="AI3066" s="10"/>
      <c r="AJ3066" s="10"/>
      <c r="AK3066" s="10"/>
      <c r="AL3066" s="10"/>
      <c r="AM3066" s="10"/>
      <c r="AN3066" s="10"/>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10"/>
      <c r="BJ3066" s="10"/>
      <c r="BK3066" s="10"/>
      <c r="BM3066" s="10"/>
    </row>
    <row r="3067" spans="1:65" ht="12.75">
      <c r="A3067" s="9"/>
      <c r="B3067" s="10"/>
      <c r="C3067" s="11"/>
      <c r="D3067" s="12"/>
      <c r="E3067" s="10"/>
      <c r="F3067" s="10"/>
      <c r="G3067" s="10"/>
      <c r="H3067" s="14"/>
      <c r="I3067" s="14"/>
      <c r="J3067" s="14"/>
      <c r="K3067" s="14"/>
      <c r="L3067" s="14"/>
      <c r="M3067" s="15"/>
      <c r="N3067" s="10"/>
      <c r="O3067" s="14"/>
      <c r="P3067" s="14"/>
      <c r="Q3067" s="14"/>
      <c r="R3067" s="14"/>
      <c r="S3067" s="14"/>
      <c r="T3067" s="14"/>
      <c r="U3067" s="14"/>
      <c r="V3067" s="14"/>
      <c r="W3067" s="14"/>
      <c r="X3067" s="14"/>
      <c r="Y3067" s="14"/>
      <c r="Z3067" s="14"/>
      <c r="AA3067" s="16"/>
      <c r="AB3067" s="10"/>
      <c r="AC3067" s="10"/>
      <c r="AD3067" s="10"/>
      <c r="AE3067" s="10"/>
      <c r="AF3067" s="10"/>
      <c r="AG3067" s="10"/>
      <c r="AH3067" s="10"/>
      <c r="AI3067" s="10"/>
      <c r="AJ3067" s="10"/>
      <c r="AK3067" s="10"/>
      <c r="AL3067" s="10"/>
      <c r="AM3067" s="10"/>
      <c r="AN3067" s="10"/>
      <c r="AO3067" s="10"/>
      <c r="AP3067" s="10"/>
      <c r="AQ3067" s="10"/>
      <c r="AR3067" s="10"/>
      <c r="AS3067" s="10"/>
      <c r="AT3067" s="10"/>
      <c r="AU3067" s="10"/>
      <c r="AV3067" s="10"/>
      <c r="AW3067" s="10"/>
      <c r="AX3067" s="10"/>
      <c r="AY3067" s="10"/>
      <c r="AZ3067" s="10"/>
      <c r="BA3067" s="10"/>
      <c r="BB3067" s="10"/>
      <c r="BC3067" s="10"/>
      <c r="BD3067" s="10"/>
      <c r="BE3067" s="10"/>
      <c r="BF3067" s="10"/>
      <c r="BG3067" s="10"/>
      <c r="BH3067" s="10"/>
      <c r="BI3067" s="10"/>
      <c r="BJ3067" s="10"/>
      <c r="BK3067" s="10"/>
      <c r="BM3067" s="10"/>
    </row>
    <row r="3068" spans="1:65" ht="12.75">
      <c r="A3068" s="9"/>
      <c r="B3068" s="10"/>
      <c r="C3068" s="11"/>
      <c r="D3068" s="12"/>
      <c r="E3068" s="10"/>
      <c r="F3068" s="10"/>
      <c r="G3068" s="10"/>
      <c r="H3068" s="14"/>
      <c r="I3068" s="14"/>
      <c r="J3068" s="14"/>
      <c r="K3068" s="14"/>
      <c r="L3068" s="14"/>
      <c r="M3068" s="15"/>
      <c r="N3068" s="10"/>
      <c r="O3068" s="14"/>
      <c r="P3068" s="14"/>
      <c r="Q3068" s="14"/>
      <c r="R3068" s="14"/>
      <c r="S3068" s="14"/>
      <c r="T3068" s="14"/>
      <c r="U3068" s="14"/>
      <c r="V3068" s="14"/>
      <c r="W3068" s="14"/>
      <c r="X3068" s="14"/>
      <c r="Y3068" s="14"/>
      <c r="Z3068" s="14"/>
      <c r="AA3068" s="16"/>
      <c r="AB3068" s="10"/>
      <c r="AC3068" s="10"/>
      <c r="AD3068" s="10"/>
      <c r="AE3068" s="10"/>
      <c r="AF3068" s="10"/>
      <c r="AG3068" s="10"/>
      <c r="AH3068" s="10"/>
      <c r="AI3068" s="10"/>
      <c r="AJ3068" s="10"/>
      <c r="AK3068" s="10"/>
      <c r="AL3068" s="10"/>
      <c r="AM3068" s="10"/>
      <c r="AN3068" s="10"/>
      <c r="AO3068" s="10"/>
      <c r="AP3068" s="10"/>
      <c r="AQ3068" s="10"/>
      <c r="AR3068" s="10"/>
      <c r="AS3068" s="10"/>
      <c r="AT3068" s="10"/>
      <c r="AU3068" s="10"/>
      <c r="AV3068" s="10"/>
      <c r="AW3068" s="10"/>
      <c r="AX3068" s="10"/>
      <c r="AY3068" s="10"/>
      <c r="AZ3068" s="10"/>
      <c r="BA3068" s="10"/>
      <c r="BB3068" s="10"/>
      <c r="BC3068" s="10"/>
      <c r="BD3068" s="10"/>
      <c r="BE3068" s="10"/>
      <c r="BF3068" s="10"/>
      <c r="BG3068" s="10"/>
      <c r="BH3068" s="10"/>
      <c r="BI3068" s="10"/>
      <c r="BJ3068" s="10"/>
      <c r="BK3068" s="10"/>
      <c r="BM3068" s="10"/>
    </row>
    <row r="3069" spans="1:65" ht="12.75">
      <c r="A3069" s="9"/>
      <c r="B3069" s="10"/>
      <c r="C3069" s="11"/>
      <c r="D3069" s="12"/>
      <c r="E3069" s="10"/>
      <c r="F3069" s="10"/>
      <c r="G3069" s="10"/>
      <c r="H3069" s="14"/>
      <c r="I3069" s="14"/>
      <c r="J3069" s="14"/>
      <c r="K3069" s="14"/>
      <c r="L3069" s="14"/>
      <c r="M3069" s="15"/>
      <c r="N3069" s="10"/>
      <c r="O3069" s="14"/>
      <c r="P3069" s="14"/>
      <c r="Q3069" s="14"/>
      <c r="R3069" s="14"/>
      <c r="S3069" s="14"/>
      <c r="T3069" s="14"/>
      <c r="U3069" s="14"/>
      <c r="V3069" s="14"/>
      <c r="W3069" s="14"/>
      <c r="X3069" s="14"/>
      <c r="Y3069" s="14"/>
      <c r="Z3069" s="14"/>
      <c r="AA3069" s="16"/>
      <c r="AB3069" s="10"/>
      <c r="AC3069" s="10"/>
      <c r="AD3069" s="10"/>
      <c r="AE3069" s="10"/>
      <c r="AF3069" s="10"/>
      <c r="AG3069" s="10"/>
      <c r="AH3069" s="10"/>
      <c r="AI3069" s="10"/>
      <c r="AJ3069" s="10"/>
      <c r="AK3069" s="10"/>
      <c r="AL3069" s="10"/>
      <c r="AM3069" s="10"/>
      <c r="AN3069" s="10"/>
      <c r="AO3069" s="10"/>
      <c r="AP3069" s="10"/>
      <c r="AQ3069" s="10"/>
      <c r="AR3069" s="10"/>
      <c r="AS3069" s="10"/>
      <c r="AT3069" s="10"/>
      <c r="AU3069" s="10"/>
      <c r="AV3069" s="10"/>
      <c r="AW3069" s="10"/>
      <c r="AX3069" s="10"/>
      <c r="AY3069" s="10"/>
      <c r="AZ3069" s="10"/>
      <c r="BA3069" s="10"/>
      <c r="BB3069" s="10"/>
      <c r="BC3069" s="10"/>
      <c r="BD3069" s="10"/>
      <c r="BE3069" s="10"/>
      <c r="BF3069" s="10"/>
      <c r="BG3069" s="10"/>
      <c r="BH3069" s="10"/>
      <c r="BI3069" s="10"/>
      <c r="BJ3069" s="10"/>
      <c r="BK3069" s="10"/>
      <c r="BM3069" s="10"/>
    </row>
    <row r="3070" spans="1:65" ht="12.75">
      <c r="A3070" s="9"/>
      <c r="B3070" s="10"/>
      <c r="C3070" s="11"/>
      <c r="D3070" s="12"/>
      <c r="E3070" s="10"/>
      <c r="F3070" s="10"/>
      <c r="G3070" s="10"/>
      <c r="H3070" s="14"/>
      <c r="I3070" s="14"/>
      <c r="J3070" s="14"/>
      <c r="K3070" s="14"/>
      <c r="L3070" s="14"/>
      <c r="M3070" s="15"/>
      <c r="N3070" s="10"/>
      <c r="O3070" s="14"/>
      <c r="P3070" s="14"/>
      <c r="Q3070" s="14"/>
      <c r="R3070" s="14"/>
      <c r="S3070" s="14"/>
      <c r="T3070" s="14"/>
      <c r="U3070" s="14"/>
      <c r="V3070" s="14"/>
      <c r="W3070" s="14"/>
      <c r="X3070" s="14"/>
      <c r="Y3070" s="14"/>
      <c r="Z3070" s="14"/>
      <c r="AA3070" s="16"/>
      <c r="AB3070" s="10"/>
      <c r="AC3070" s="10"/>
      <c r="AD3070" s="10"/>
      <c r="AE3070" s="10"/>
      <c r="AF3070" s="10"/>
      <c r="AG3070" s="10"/>
      <c r="AH3070" s="10"/>
      <c r="AI3070" s="10"/>
      <c r="AJ3070" s="10"/>
      <c r="AK3070" s="10"/>
      <c r="AL3070" s="10"/>
      <c r="AM3070" s="10"/>
      <c r="AN3070" s="10"/>
      <c r="AO3070" s="10"/>
      <c r="AP3070" s="10"/>
      <c r="AQ3070" s="10"/>
      <c r="AR3070" s="10"/>
      <c r="AS3070" s="10"/>
      <c r="AT3070" s="10"/>
      <c r="AU3070" s="10"/>
      <c r="AV3070" s="10"/>
      <c r="AW3070" s="10"/>
      <c r="AX3070" s="10"/>
      <c r="AY3070" s="10"/>
      <c r="AZ3070" s="10"/>
      <c r="BA3070" s="10"/>
      <c r="BB3070" s="10"/>
      <c r="BC3070" s="10"/>
      <c r="BD3070" s="10"/>
      <c r="BE3070" s="10"/>
      <c r="BF3070" s="10"/>
      <c r="BG3070" s="10"/>
      <c r="BH3070" s="10"/>
      <c r="BI3070" s="10"/>
      <c r="BJ3070" s="10"/>
      <c r="BK3070" s="10"/>
      <c r="BM3070" s="10"/>
    </row>
    <row r="3071" spans="1:65" ht="12.75">
      <c r="A3071" s="9"/>
      <c r="B3071" s="10"/>
      <c r="C3071" s="11"/>
      <c r="D3071" s="12"/>
      <c r="E3071" s="10"/>
      <c r="F3071" s="10"/>
      <c r="G3071" s="10"/>
      <c r="H3071" s="14"/>
      <c r="I3071" s="14"/>
      <c r="J3071" s="14"/>
      <c r="K3071" s="14"/>
      <c r="L3071" s="14"/>
      <c r="M3071" s="15"/>
      <c r="N3071" s="10"/>
      <c r="O3071" s="14"/>
      <c r="P3071" s="14"/>
      <c r="Q3071" s="14"/>
      <c r="R3071" s="14"/>
      <c r="S3071" s="14"/>
      <c r="T3071" s="14"/>
      <c r="U3071" s="14"/>
      <c r="V3071" s="14"/>
      <c r="W3071" s="14"/>
      <c r="X3071" s="14"/>
      <c r="Y3071" s="14"/>
      <c r="Z3071" s="14"/>
      <c r="AA3071" s="16"/>
      <c r="AB3071" s="10"/>
      <c r="AC3071" s="10"/>
      <c r="AD3071" s="10"/>
      <c r="AE3071" s="10"/>
      <c r="AF3071" s="10"/>
      <c r="AG3071" s="10"/>
      <c r="AH3071" s="10"/>
      <c r="AI3071" s="10"/>
      <c r="AJ3071" s="10"/>
      <c r="AK3071" s="10"/>
      <c r="AL3071" s="10"/>
      <c r="AM3071" s="10"/>
      <c r="AN3071" s="10"/>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10"/>
      <c r="BJ3071" s="10"/>
      <c r="BK3071" s="10"/>
      <c r="BM3071" s="10"/>
    </row>
    <row r="3072" spans="1:65" ht="12.75">
      <c r="A3072" s="9"/>
      <c r="B3072" s="10"/>
      <c r="C3072" s="11"/>
      <c r="D3072" s="12"/>
      <c r="E3072" s="10"/>
      <c r="F3072" s="10"/>
      <c r="G3072" s="10"/>
      <c r="H3072" s="14"/>
      <c r="I3072" s="14"/>
      <c r="J3072" s="14"/>
      <c r="K3072" s="14"/>
      <c r="L3072" s="14"/>
      <c r="M3072" s="15"/>
      <c r="N3072" s="10"/>
      <c r="O3072" s="14"/>
      <c r="P3072" s="14"/>
      <c r="Q3072" s="14"/>
      <c r="R3072" s="14"/>
      <c r="S3072" s="14"/>
      <c r="T3072" s="14"/>
      <c r="U3072" s="14"/>
      <c r="V3072" s="14"/>
      <c r="W3072" s="14"/>
      <c r="X3072" s="14"/>
      <c r="Y3072" s="14"/>
      <c r="Z3072" s="14"/>
      <c r="AA3072" s="16"/>
      <c r="AB3072" s="10"/>
      <c r="AC3072" s="10"/>
      <c r="AD3072" s="10"/>
      <c r="AE3072" s="10"/>
      <c r="AF3072" s="10"/>
      <c r="AG3072" s="10"/>
      <c r="AH3072" s="10"/>
      <c r="AI3072" s="10"/>
      <c r="AJ3072" s="10"/>
      <c r="AK3072" s="10"/>
      <c r="AL3072" s="10"/>
      <c r="AM3072" s="10"/>
      <c r="AN3072" s="10"/>
      <c r="AO3072" s="10"/>
      <c r="AP3072" s="10"/>
      <c r="AQ3072" s="10"/>
      <c r="AR3072" s="10"/>
      <c r="AS3072" s="10"/>
      <c r="AT3072" s="10"/>
      <c r="AU3072" s="10"/>
      <c r="AV3072" s="10"/>
      <c r="AW3072" s="10"/>
      <c r="AX3072" s="10"/>
      <c r="AY3072" s="10"/>
      <c r="AZ3072" s="10"/>
      <c r="BA3072" s="10"/>
      <c r="BB3072" s="10"/>
      <c r="BC3072" s="10"/>
      <c r="BD3072" s="10"/>
      <c r="BE3072" s="10"/>
      <c r="BF3072" s="10"/>
      <c r="BG3072" s="10"/>
      <c r="BH3072" s="10"/>
      <c r="BI3072" s="10"/>
      <c r="BJ3072" s="10"/>
      <c r="BK3072" s="10"/>
      <c r="BM3072" s="10"/>
    </row>
    <row r="3073" spans="1:65" ht="12.75">
      <c r="A3073" s="9"/>
      <c r="B3073" s="10"/>
      <c r="C3073" s="11"/>
      <c r="D3073" s="12"/>
      <c r="E3073" s="10"/>
      <c r="F3073" s="10"/>
      <c r="G3073" s="10"/>
      <c r="H3073" s="14"/>
      <c r="I3073" s="14"/>
      <c r="J3073" s="14"/>
      <c r="K3073" s="14"/>
      <c r="L3073" s="14"/>
      <c r="M3073" s="15"/>
      <c r="N3073" s="10"/>
      <c r="O3073" s="14"/>
      <c r="P3073" s="14"/>
      <c r="Q3073" s="14"/>
      <c r="R3073" s="14"/>
      <c r="S3073" s="14"/>
      <c r="T3073" s="14"/>
      <c r="U3073" s="14"/>
      <c r="V3073" s="14"/>
      <c r="W3073" s="14"/>
      <c r="X3073" s="14"/>
      <c r="Y3073" s="14"/>
      <c r="Z3073" s="14"/>
      <c r="AA3073" s="16"/>
      <c r="AB3073" s="10"/>
      <c r="AC3073" s="10"/>
      <c r="AD3073" s="10"/>
      <c r="AE3073" s="10"/>
      <c r="AF3073" s="10"/>
      <c r="AG3073" s="10"/>
      <c r="AH3073" s="10"/>
      <c r="AI3073" s="10"/>
      <c r="AJ3073" s="10"/>
      <c r="AK3073" s="10"/>
      <c r="AL3073" s="10"/>
      <c r="AM3073" s="10"/>
      <c r="AN3073" s="10"/>
      <c r="AO3073" s="10"/>
      <c r="AP3073" s="10"/>
      <c r="AQ3073" s="10"/>
      <c r="AR3073" s="10"/>
      <c r="AS3073" s="10"/>
      <c r="AT3073" s="10"/>
      <c r="AU3073" s="10"/>
      <c r="AV3073" s="10"/>
      <c r="AW3073" s="10"/>
      <c r="AX3073" s="10"/>
      <c r="AY3073" s="10"/>
      <c r="AZ3073" s="10"/>
      <c r="BA3073" s="10"/>
      <c r="BB3073" s="10"/>
      <c r="BC3073" s="10"/>
      <c r="BD3073" s="10"/>
      <c r="BE3073" s="10"/>
      <c r="BF3073" s="10"/>
      <c r="BG3073" s="10"/>
      <c r="BH3073" s="10"/>
      <c r="BI3073" s="10"/>
      <c r="BJ3073" s="10"/>
      <c r="BK3073" s="10"/>
      <c r="BM3073" s="10"/>
    </row>
    <row r="3074" spans="1:65" ht="12.75">
      <c r="A3074" s="9"/>
      <c r="B3074" s="10"/>
      <c r="C3074" s="11"/>
      <c r="D3074" s="12"/>
      <c r="E3074" s="10"/>
      <c r="F3074" s="10"/>
      <c r="G3074" s="10"/>
      <c r="H3074" s="14"/>
      <c r="I3074" s="14"/>
      <c r="J3074" s="14"/>
      <c r="K3074" s="14"/>
      <c r="L3074" s="14"/>
      <c r="M3074" s="15"/>
      <c r="N3074" s="10"/>
      <c r="O3074" s="14"/>
      <c r="P3074" s="14"/>
      <c r="Q3074" s="14"/>
      <c r="R3074" s="14"/>
      <c r="S3074" s="14"/>
      <c r="T3074" s="14"/>
      <c r="U3074" s="14"/>
      <c r="V3074" s="14"/>
      <c r="W3074" s="14"/>
      <c r="X3074" s="14"/>
      <c r="Y3074" s="14"/>
      <c r="Z3074" s="14"/>
      <c r="AA3074" s="16"/>
      <c r="AB3074" s="10"/>
      <c r="AC3074" s="10"/>
      <c r="AD3074" s="10"/>
      <c r="AE3074" s="10"/>
      <c r="AF3074" s="10"/>
      <c r="AG3074" s="10"/>
      <c r="AH3074" s="10"/>
      <c r="AI3074" s="10"/>
      <c r="AJ3074" s="10"/>
      <c r="AK3074" s="10"/>
      <c r="AL3074" s="10"/>
      <c r="AM3074" s="10"/>
      <c r="AN3074" s="10"/>
      <c r="AO3074" s="10"/>
      <c r="AP3074" s="10"/>
      <c r="AQ3074" s="10"/>
      <c r="AR3074" s="10"/>
      <c r="AS3074" s="10"/>
      <c r="AT3074" s="10"/>
      <c r="AU3074" s="10"/>
      <c r="AV3074" s="10"/>
      <c r="AW3074" s="10"/>
      <c r="AX3074" s="10"/>
      <c r="AY3074" s="10"/>
      <c r="AZ3074" s="10"/>
      <c r="BA3074" s="10"/>
      <c r="BB3074" s="10"/>
      <c r="BC3074" s="10"/>
      <c r="BD3074" s="10"/>
      <c r="BE3074" s="10"/>
      <c r="BF3074" s="10"/>
      <c r="BG3074" s="10"/>
      <c r="BH3074" s="10"/>
      <c r="BI3074" s="10"/>
      <c r="BJ3074" s="10"/>
      <c r="BK3074" s="10"/>
      <c r="BM3074" s="10"/>
    </row>
    <row r="3075" spans="1:65" ht="12.75">
      <c r="A3075" s="9"/>
      <c r="B3075" s="10"/>
      <c r="C3075" s="11"/>
      <c r="D3075" s="12"/>
      <c r="E3075" s="10"/>
      <c r="F3075" s="10"/>
      <c r="G3075" s="10"/>
      <c r="H3075" s="14"/>
      <c r="I3075" s="14"/>
      <c r="J3075" s="14"/>
      <c r="K3075" s="14"/>
      <c r="L3075" s="14"/>
      <c r="M3075" s="15"/>
      <c r="N3075" s="10"/>
      <c r="O3075" s="14"/>
      <c r="P3075" s="14"/>
      <c r="Q3075" s="14"/>
      <c r="R3075" s="14"/>
      <c r="S3075" s="14"/>
      <c r="T3075" s="14"/>
      <c r="U3075" s="14"/>
      <c r="V3075" s="14"/>
      <c r="W3075" s="14"/>
      <c r="X3075" s="14"/>
      <c r="Y3075" s="14"/>
      <c r="Z3075" s="14"/>
      <c r="AA3075" s="16"/>
      <c r="AB3075" s="10"/>
      <c r="AC3075" s="10"/>
      <c r="AD3075" s="10"/>
      <c r="AE3075" s="10"/>
      <c r="AF3075" s="10"/>
      <c r="AG3075" s="10"/>
      <c r="AH3075" s="10"/>
      <c r="AI3075" s="10"/>
      <c r="AJ3075" s="10"/>
      <c r="AK3075" s="10"/>
      <c r="AL3075" s="10"/>
      <c r="AM3075" s="10"/>
      <c r="AN3075" s="10"/>
      <c r="AO3075" s="10"/>
      <c r="AP3075" s="10"/>
      <c r="AQ3075" s="10"/>
      <c r="AR3075" s="10"/>
      <c r="AS3075" s="10"/>
      <c r="AT3075" s="10"/>
      <c r="AU3075" s="10"/>
      <c r="AV3075" s="10"/>
      <c r="AW3075" s="10"/>
      <c r="AX3075" s="10"/>
      <c r="AY3075" s="10"/>
      <c r="AZ3075" s="10"/>
      <c r="BA3075" s="10"/>
      <c r="BB3075" s="10"/>
      <c r="BC3075" s="10"/>
      <c r="BD3075" s="10"/>
      <c r="BE3075" s="10"/>
      <c r="BF3075" s="10"/>
      <c r="BG3075" s="10"/>
      <c r="BH3075" s="10"/>
      <c r="BI3075" s="10"/>
      <c r="BJ3075" s="10"/>
      <c r="BK3075" s="10"/>
      <c r="BM3075" s="10"/>
    </row>
    <row r="3076" spans="1:65" ht="12.75">
      <c r="A3076" s="9"/>
      <c r="B3076" s="10"/>
      <c r="C3076" s="11"/>
      <c r="D3076" s="12"/>
      <c r="E3076" s="10"/>
      <c r="F3076" s="10"/>
      <c r="G3076" s="10"/>
      <c r="H3076" s="14"/>
      <c r="I3076" s="14"/>
      <c r="J3076" s="14"/>
      <c r="K3076" s="14"/>
      <c r="L3076" s="14"/>
      <c r="M3076" s="15"/>
      <c r="N3076" s="10"/>
      <c r="O3076" s="14"/>
      <c r="P3076" s="14"/>
      <c r="Q3076" s="14"/>
      <c r="R3076" s="14"/>
      <c r="S3076" s="14"/>
      <c r="T3076" s="14"/>
      <c r="U3076" s="14"/>
      <c r="V3076" s="14"/>
      <c r="W3076" s="14"/>
      <c r="X3076" s="14"/>
      <c r="Y3076" s="14"/>
      <c r="Z3076" s="14"/>
      <c r="AA3076" s="16"/>
      <c r="AB3076" s="10"/>
      <c r="AC3076" s="10"/>
      <c r="AD3076" s="10"/>
      <c r="AE3076" s="10"/>
      <c r="AF3076" s="10"/>
      <c r="AG3076" s="10"/>
      <c r="AH3076" s="10"/>
      <c r="AI3076" s="10"/>
      <c r="AJ3076" s="10"/>
      <c r="AK3076" s="10"/>
      <c r="AL3076" s="10"/>
      <c r="AM3076" s="10"/>
      <c r="AN3076" s="10"/>
      <c r="AO3076" s="10"/>
      <c r="AP3076" s="10"/>
      <c r="AQ3076" s="10"/>
      <c r="AR3076" s="10"/>
      <c r="AS3076" s="10"/>
      <c r="AT3076" s="10"/>
      <c r="AU3076" s="10"/>
      <c r="AV3076" s="10"/>
      <c r="AW3076" s="10"/>
      <c r="AX3076" s="10"/>
      <c r="AY3076" s="10"/>
      <c r="AZ3076" s="10"/>
      <c r="BA3076" s="10"/>
      <c r="BB3076" s="10"/>
      <c r="BC3076" s="10"/>
      <c r="BD3076" s="10"/>
      <c r="BE3076" s="10"/>
      <c r="BF3076" s="10"/>
      <c r="BG3076" s="10"/>
      <c r="BH3076" s="10"/>
      <c r="BI3076" s="10"/>
      <c r="BJ3076" s="10"/>
      <c r="BK3076" s="10"/>
      <c r="BM3076" s="10"/>
    </row>
    <row r="3077" spans="1:65" ht="12.75">
      <c r="A3077" s="9"/>
      <c r="B3077" s="10"/>
      <c r="C3077" s="11"/>
      <c r="D3077" s="12"/>
      <c r="E3077" s="10"/>
      <c r="F3077" s="10"/>
      <c r="G3077" s="10"/>
      <c r="H3077" s="14"/>
      <c r="I3077" s="14"/>
      <c r="J3077" s="14"/>
      <c r="K3077" s="14"/>
      <c r="L3077" s="14"/>
      <c r="M3077" s="15"/>
      <c r="N3077" s="10"/>
      <c r="O3077" s="14"/>
      <c r="P3077" s="14"/>
      <c r="Q3077" s="14"/>
      <c r="R3077" s="14"/>
      <c r="S3077" s="14"/>
      <c r="T3077" s="14"/>
      <c r="U3077" s="14"/>
      <c r="V3077" s="14"/>
      <c r="W3077" s="14"/>
      <c r="X3077" s="14"/>
      <c r="Y3077" s="14"/>
      <c r="Z3077" s="14"/>
      <c r="AA3077" s="16"/>
      <c r="AB3077" s="10"/>
      <c r="AC3077" s="10"/>
      <c r="AD3077" s="10"/>
      <c r="AE3077" s="10"/>
      <c r="AF3077" s="10"/>
      <c r="AG3077" s="10"/>
      <c r="AH3077" s="10"/>
      <c r="AI3077" s="10"/>
      <c r="AJ3077" s="10"/>
      <c r="AK3077" s="10"/>
      <c r="AL3077" s="10"/>
      <c r="AM3077" s="10"/>
      <c r="AN3077" s="10"/>
      <c r="AO3077" s="10"/>
      <c r="AP3077" s="10"/>
      <c r="AQ3077" s="10"/>
      <c r="AR3077" s="10"/>
      <c r="AS3077" s="10"/>
      <c r="AT3077" s="10"/>
      <c r="AU3077" s="10"/>
      <c r="AV3077" s="10"/>
      <c r="AW3077" s="10"/>
      <c r="AX3077" s="10"/>
      <c r="AY3077" s="10"/>
      <c r="AZ3077" s="10"/>
      <c r="BA3077" s="10"/>
      <c r="BB3077" s="10"/>
      <c r="BC3077" s="10"/>
      <c r="BD3077" s="10"/>
      <c r="BE3077" s="10"/>
      <c r="BF3077" s="10"/>
      <c r="BG3077" s="10"/>
      <c r="BH3077" s="10"/>
      <c r="BI3077" s="10"/>
      <c r="BJ3077" s="10"/>
      <c r="BK3077" s="10"/>
      <c r="BM3077" s="10"/>
    </row>
    <row r="3078" spans="1:65" ht="12.75">
      <c r="A3078" s="9"/>
      <c r="B3078" s="10"/>
      <c r="C3078" s="11"/>
      <c r="D3078" s="12"/>
      <c r="E3078" s="10"/>
      <c r="F3078" s="10"/>
      <c r="G3078" s="10"/>
      <c r="H3078" s="14"/>
      <c r="I3078" s="14"/>
      <c r="J3078" s="14"/>
      <c r="K3078" s="14"/>
      <c r="L3078" s="14"/>
      <c r="M3078" s="15"/>
      <c r="N3078" s="10"/>
      <c r="O3078" s="14"/>
      <c r="P3078" s="14"/>
      <c r="Q3078" s="14"/>
      <c r="R3078" s="14"/>
      <c r="S3078" s="14"/>
      <c r="T3078" s="14"/>
      <c r="U3078" s="14"/>
      <c r="V3078" s="14"/>
      <c r="W3078" s="14"/>
      <c r="X3078" s="14"/>
      <c r="Y3078" s="14"/>
      <c r="Z3078" s="14"/>
      <c r="AA3078" s="16"/>
      <c r="AB3078" s="10"/>
      <c r="AC3078" s="10"/>
      <c r="AD3078" s="10"/>
      <c r="AE3078" s="10"/>
      <c r="AF3078" s="10"/>
      <c r="AG3078" s="10"/>
      <c r="AH3078" s="10"/>
      <c r="AI3078" s="10"/>
      <c r="AJ3078" s="10"/>
      <c r="AK3078" s="10"/>
      <c r="AL3078" s="10"/>
      <c r="AM3078" s="10"/>
      <c r="AN3078" s="10"/>
      <c r="AO3078" s="10"/>
      <c r="AP3078" s="10"/>
      <c r="AQ3078" s="10"/>
      <c r="AR3078" s="10"/>
      <c r="AS3078" s="10"/>
      <c r="AT3078" s="10"/>
      <c r="AU3078" s="10"/>
      <c r="AV3078" s="10"/>
      <c r="AW3078" s="10"/>
      <c r="AX3078" s="10"/>
      <c r="AY3078" s="10"/>
      <c r="AZ3078" s="10"/>
      <c r="BA3078" s="10"/>
      <c r="BB3078" s="10"/>
      <c r="BC3078" s="10"/>
      <c r="BD3078" s="10"/>
      <c r="BE3078" s="10"/>
      <c r="BF3078" s="10"/>
      <c r="BG3078" s="10"/>
      <c r="BH3078" s="10"/>
      <c r="BI3078" s="10"/>
      <c r="BJ3078" s="10"/>
      <c r="BK3078" s="10"/>
      <c r="BM3078" s="10"/>
    </row>
    <row r="3079" spans="1:65" ht="12.75">
      <c r="A3079" s="9"/>
      <c r="B3079" s="10"/>
      <c r="C3079" s="11"/>
      <c r="D3079" s="12"/>
      <c r="E3079" s="10"/>
      <c r="F3079" s="10"/>
      <c r="G3079" s="10"/>
      <c r="H3079" s="14"/>
      <c r="I3079" s="14"/>
      <c r="J3079" s="14"/>
      <c r="K3079" s="14"/>
      <c r="L3079" s="14"/>
      <c r="M3079" s="15"/>
      <c r="N3079" s="10"/>
      <c r="O3079" s="14"/>
      <c r="P3079" s="14"/>
      <c r="Q3079" s="14"/>
      <c r="R3079" s="14"/>
      <c r="S3079" s="14"/>
      <c r="T3079" s="14"/>
      <c r="U3079" s="14"/>
      <c r="V3079" s="14"/>
      <c r="W3079" s="14"/>
      <c r="X3079" s="14"/>
      <c r="Y3079" s="14"/>
      <c r="Z3079" s="14"/>
      <c r="AA3079" s="16"/>
      <c r="AB3079" s="10"/>
      <c r="AC3079" s="10"/>
      <c r="AD3079" s="10"/>
      <c r="AE3079" s="10"/>
      <c r="AF3079" s="10"/>
      <c r="AG3079" s="10"/>
      <c r="AH3079" s="10"/>
      <c r="AI3079" s="10"/>
      <c r="AJ3079" s="10"/>
      <c r="AK3079" s="10"/>
      <c r="AL3079" s="10"/>
      <c r="AM3079" s="10"/>
      <c r="AN3079" s="10"/>
      <c r="AO3079" s="10"/>
      <c r="AP3079" s="10"/>
      <c r="AQ3079" s="10"/>
      <c r="AR3079" s="10"/>
      <c r="AS3079" s="10"/>
      <c r="AT3079" s="10"/>
      <c r="AU3079" s="10"/>
      <c r="AV3079" s="10"/>
      <c r="AW3079" s="10"/>
      <c r="AX3079" s="10"/>
      <c r="AY3079" s="10"/>
      <c r="AZ3079" s="10"/>
      <c r="BA3079" s="10"/>
      <c r="BB3079" s="10"/>
      <c r="BC3079" s="10"/>
      <c r="BD3079" s="10"/>
      <c r="BE3079" s="10"/>
      <c r="BF3079" s="10"/>
      <c r="BG3079" s="10"/>
      <c r="BH3079" s="10"/>
      <c r="BI3079" s="10"/>
      <c r="BJ3079" s="10"/>
      <c r="BK3079" s="10"/>
      <c r="BM3079" s="10"/>
    </row>
    <row r="3080" spans="1:65" ht="12.75">
      <c r="A3080" s="9"/>
      <c r="B3080" s="10"/>
      <c r="C3080" s="11"/>
      <c r="D3080" s="12"/>
      <c r="E3080" s="10"/>
      <c r="F3080" s="10"/>
      <c r="G3080" s="10"/>
      <c r="H3080" s="14"/>
      <c r="I3080" s="14"/>
      <c r="J3080" s="14"/>
      <c r="K3080" s="14"/>
      <c r="L3080" s="14"/>
      <c r="M3080" s="15"/>
      <c r="N3080" s="10"/>
      <c r="O3080" s="14"/>
      <c r="P3080" s="14"/>
      <c r="Q3080" s="14"/>
      <c r="R3080" s="14"/>
      <c r="S3080" s="14"/>
      <c r="T3080" s="14"/>
      <c r="U3080" s="14"/>
      <c r="V3080" s="14"/>
      <c r="W3080" s="14"/>
      <c r="X3080" s="14"/>
      <c r="Y3080" s="14"/>
      <c r="Z3080" s="14"/>
      <c r="AA3080" s="16"/>
      <c r="AB3080" s="10"/>
      <c r="AC3080" s="10"/>
      <c r="AD3080" s="10"/>
      <c r="AE3080" s="10"/>
      <c r="AF3080" s="10"/>
      <c r="AG3080" s="10"/>
      <c r="AH3080" s="10"/>
      <c r="AI3080" s="10"/>
      <c r="AJ3080" s="10"/>
      <c r="AK3080" s="10"/>
      <c r="AL3080" s="10"/>
      <c r="AM3080" s="10"/>
      <c r="AN3080" s="10"/>
      <c r="AO3080" s="10"/>
      <c r="AP3080" s="10"/>
      <c r="AQ3080" s="10"/>
      <c r="AR3080" s="10"/>
      <c r="AS3080" s="10"/>
      <c r="AT3080" s="10"/>
      <c r="AU3080" s="10"/>
      <c r="AV3080" s="10"/>
      <c r="AW3080" s="10"/>
      <c r="AX3080" s="10"/>
      <c r="AY3080" s="10"/>
      <c r="AZ3080" s="10"/>
      <c r="BA3080" s="10"/>
      <c r="BB3080" s="10"/>
      <c r="BC3080" s="10"/>
      <c r="BD3080" s="10"/>
      <c r="BE3080" s="10"/>
      <c r="BF3080" s="10"/>
      <c r="BG3080" s="10"/>
      <c r="BH3080" s="10"/>
      <c r="BI3080" s="10"/>
      <c r="BJ3080" s="10"/>
      <c r="BK3080" s="10"/>
      <c r="BM3080" s="10"/>
    </row>
    <row r="3081" spans="1:65" ht="12.75">
      <c r="A3081" s="9"/>
      <c r="B3081" s="10"/>
      <c r="C3081" s="11"/>
      <c r="D3081" s="12"/>
      <c r="E3081" s="10"/>
      <c r="F3081" s="10"/>
      <c r="G3081" s="10"/>
      <c r="H3081" s="14"/>
      <c r="I3081" s="14"/>
      <c r="J3081" s="14"/>
      <c r="K3081" s="14"/>
      <c r="L3081" s="14"/>
      <c r="M3081" s="15"/>
      <c r="N3081" s="10"/>
      <c r="O3081" s="14"/>
      <c r="P3081" s="14"/>
      <c r="Q3081" s="14"/>
      <c r="R3081" s="14"/>
      <c r="S3081" s="14"/>
      <c r="T3081" s="14"/>
      <c r="U3081" s="14"/>
      <c r="V3081" s="14"/>
      <c r="W3081" s="14"/>
      <c r="X3081" s="14"/>
      <c r="Y3081" s="14"/>
      <c r="Z3081" s="14"/>
      <c r="AA3081" s="16"/>
      <c r="AB3081" s="10"/>
      <c r="AC3081" s="10"/>
      <c r="AD3081" s="10"/>
      <c r="AE3081" s="10"/>
      <c r="AF3081" s="10"/>
      <c r="AG3081" s="10"/>
      <c r="AH3081" s="10"/>
      <c r="AI3081" s="10"/>
      <c r="AJ3081" s="10"/>
      <c r="AK3081" s="10"/>
      <c r="AL3081" s="10"/>
      <c r="AM3081" s="10"/>
      <c r="AN3081" s="10"/>
      <c r="AO3081" s="10"/>
      <c r="AP3081" s="10"/>
      <c r="AQ3081" s="10"/>
      <c r="AR3081" s="10"/>
      <c r="AS3081" s="10"/>
      <c r="AT3081" s="10"/>
      <c r="AU3081" s="10"/>
      <c r="AV3081" s="10"/>
      <c r="AW3081" s="10"/>
      <c r="AX3081" s="10"/>
      <c r="AY3081" s="10"/>
      <c r="AZ3081" s="10"/>
      <c r="BA3081" s="10"/>
      <c r="BB3081" s="10"/>
      <c r="BC3081" s="10"/>
      <c r="BD3081" s="10"/>
      <c r="BE3081" s="10"/>
      <c r="BF3081" s="10"/>
      <c r="BG3081" s="10"/>
      <c r="BH3081" s="10"/>
      <c r="BI3081" s="10"/>
      <c r="BJ3081" s="10"/>
      <c r="BK3081" s="10"/>
      <c r="BM3081" s="10"/>
    </row>
    <row r="3082" spans="1:65" ht="12.75">
      <c r="A3082" s="9"/>
      <c r="B3082" s="10"/>
      <c r="C3082" s="11"/>
      <c r="D3082" s="12"/>
      <c r="E3082" s="10"/>
      <c r="F3082" s="10"/>
      <c r="G3082" s="10"/>
      <c r="H3082" s="14"/>
      <c r="I3082" s="14"/>
      <c r="J3082" s="14"/>
      <c r="K3082" s="14"/>
      <c r="L3082" s="14"/>
      <c r="M3082" s="15"/>
      <c r="N3082" s="10"/>
      <c r="O3082" s="14"/>
      <c r="P3082" s="14"/>
      <c r="Q3082" s="14"/>
      <c r="R3082" s="14"/>
      <c r="S3082" s="14"/>
      <c r="T3082" s="14"/>
      <c r="U3082" s="14"/>
      <c r="V3082" s="14"/>
      <c r="W3082" s="14"/>
      <c r="X3082" s="14"/>
      <c r="Y3082" s="14"/>
      <c r="Z3082" s="14"/>
      <c r="AA3082" s="16"/>
      <c r="AB3082" s="10"/>
      <c r="AC3082" s="10"/>
      <c r="AD3082" s="10"/>
      <c r="AE3082" s="10"/>
      <c r="AF3082" s="10"/>
      <c r="AG3082" s="10"/>
      <c r="AH3082" s="10"/>
      <c r="AI3082" s="10"/>
      <c r="AJ3082" s="10"/>
      <c r="AK3082" s="10"/>
      <c r="AL3082" s="10"/>
      <c r="AM3082" s="10"/>
      <c r="AN3082" s="10"/>
      <c r="AO3082" s="10"/>
      <c r="AP3082" s="10"/>
      <c r="AQ3082" s="10"/>
      <c r="AR3082" s="10"/>
      <c r="AS3082" s="10"/>
      <c r="AT3082" s="10"/>
      <c r="AU3082" s="10"/>
      <c r="AV3082" s="10"/>
      <c r="AW3082" s="10"/>
      <c r="AX3082" s="10"/>
      <c r="AY3082" s="10"/>
      <c r="AZ3082" s="10"/>
      <c r="BA3082" s="10"/>
      <c r="BB3082" s="10"/>
      <c r="BC3082" s="10"/>
      <c r="BD3082" s="10"/>
      <c r="BE3082" s="10"/>
      <c r="BF3082" s="10"/>
      <c r="BG3082" s="10"/>
      <c r="BH3082" s="10"/>
      <c r="BI3082" s="10"/>
      <c r="BJ3082" s="10"/>
      <c r="BK3082" s="10"/>
      <c r="BM3082" s="10"/>
    </row>
    <row r="3083" spans="1:65" ht="12.75">
      <c r="A3083" s="9"/>
      <c r="B3083" s="10"/>
      <c r="C3083" s="11"/>
      <c r="D3083" s="12"/>
      <c r="E3083" s="10"/>
      <c r="F3083" s="10"/>
      <c r="G3083" s="10"/>
      <c r="H3083" s="14"/>
      <c r="I3083" s="14"/>
      <c r="J3083" s="14"/>
      <c r="K3083" s="14"/>
      <c r="L3083" s="14"/>
      <c r="M3083" s="15"/>
      <c r="N3083" s="10"/>
      <c r="O3083" s="14"/>
      <c r="P3083" s="14"/>
      <c r="Q3083" s="14"/>
      <c r="R3083" s="14"/>
      <c r="S3083" s="14"/>
      <c r="T3083" s="14"/>
      <c r="U3083" s="14"/>
      <c r="V3083" s="14"/>
      <c r="W3083" s="14"/>
      <c r="X3083" s="14"/>
      <c r="Y3083" s="14"/>
      <c r="Z3083" s="14"/>
      <c r="AA3083" s="16"/>
      <c r="AB3083" s="10"/>
      <c r="AC3083" s="10"/>
      <c r="AD3083" s="10"/>
      <c r="AE3083" s="10"/>
      <c r="AF3083" s="10"/>
      <c r="AG3083" s="10"/>
      <c r="AH3083" s="10"/>
      <c r="AI3083" s="10"/>
      <c r="AJ3083" s="10"/>
      <c r="AK3083" s="10"/>
      <c r="AL3083" s="1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10"/>
      <c r="BJ3083" s="10"/>
      <c r="BK3083" s="10"/>
      <c r="BM3083" s="10"/>
    </row>
    <row r="3084" spans="1:65" ht="12.75">
      <c r="A3084" s="9"/>
      <c r="B3084" s="10"/>
      <c r="C3084" s="11"/>
      <c r="D3084" s="12"/>
      <c r="E3084" s="10"/>
      <c r="F3084" s="10"/>
      <c r="G3084" s="10"/>
      <c r="H3084" s="14"/>
      <c r="I3084" s="14"/>
      <c r="J3084" s="14"/>
      <c r="K3084" s="14"/>
      <c r="L3084" s="14"/>
      <c r="M3084" s="15"/>
      <c r="N3084" s="10"/>
      <c r="O3084" s="14"/>
      <c r="P3084" s="14"/>
      <c r="Q3084" s="14"/>
      <c r="R3084" s="14"/>
      <c r="S3084" s="14"/>
      <c r="T3084" s="14"/>
      <c r="U3084" s="14"/>
      <c r="V3084" s="14"/>
      <c r="W3084" s="14"/>
      <c r="X3084" s="14"/>
      <c r="Y3084" s="14"/>
      <c r="Z3084" s="14"/>
      <c r="AA3084" s="16"/>
      <c r="AB3084" s="10"/>
      <c r="AC3084" s="10"/>
      <c r="AD3084" s="10"/>
      <c r="AE3084" s="10"/>
      <c r="AF3084" s="10"/>
      <c r="AG3084" s="10"/>
      <c r="AH3084" s="10"/>
      <c r="AI3084" s="10"/>
      <c r="AJ3084" s="10"/>
      <c r="AK3084" s="10"/>
      <c r="AL3084" s="10"/>
      <c r="AM3084" s="10"/>
      <c r="AN3084" s="10"/>
      <c r="AO3084" s="10"/>
      <c r="AP3084" s="10"/>
      <c r="AQ3084" s="10"/>
      <c r="AR3084" s="10"/>
      <c r="AS3084" s="10"/>
      <c r="AT3084" s="10"/>
      <c r="AU3084" s="10"/>
      <c r="AV3084" s="10"/>
      <c r="AW3084" s="10"/>
      <c r="AX3084" s="10"/>
      <c r="AY3084" s="10"/>
      <c r="AZ3084" s="10"/>
      <c r="BA3084" s="10"/>
      <c r="BB3084" s="10"/>
      <c r="BC3084" s="10"/>
      <c r="BD3084" s="10"/>
      <c r="BE3084" s="10"/>
      <c r="BF3084" s="10"/>
      <c r="BG3084" s="10"/>
      <c r="BH3084" s="10"/>
      <c r="BI3084" s="10"/>
      <c r="BJ3084" s="10"/>
      <c r="BK3084" s="10"/>
      <c r="BM3084" s="10"/>
    </row>
    <row r="3085" spans="1:65" ht="12.75">
      <c r="A3085" s="9"/>
      <c r="B3085" s="10"/>
      <c r="C3085" s="11"/>
      <c r="D3085" s="12"/>
      <c r="E3085" s="10"/>
      <c r="F3085" s="10"/>
      <c r="G3085" s="10"/>
      <c r="H3085" s="14"/>
      <c r="I3085" s="14"/>
      <c r="J3085" s="14"/>
      <c r="K3085" s="14"/>
      <c r="L3085" s="14"/>
      <c r="M3085" s="15"/>
      <c r="N3085" s="10"/>
      <c r="O3085" s="14"/>
      <c r="P3085" s="14"/>
      <c r="Q3085" s="14"/>
      <c r="R3085" s="14"/>
      <c r="S3085" s="14"/>
      <c r="T3085" s="14"/>
      <c r="U3085" s="14"/>
      <c r="V3085" s="14"/>
      <c r="W3085" s="14"/>
      <c r="X3085" s="14"/>
      <c r="Y3085" s="14"/>
      <c r="Z3085" s="14"/>
      <c r="AA3085" s="16"/>
      <c r="AB3085" s="10"/>
      <c r="AC3085" s="10"/>
      <c r="AD3085" s="10"/>
      <c r="AE3085" s="10"/>
      <c r="AF3085" s="10"/>
      <c r="AG3085" s="10"/>
      <c r="AH3085" s="10"/>
      <c r="AI3085" s="10"/>
      <c r="AJ3085" s="10"/>
      <c r="AK3085" s="10"/>
      <c r="AL3085" s="10"/>
      <c r="AM3085" s="10"/>
      <c r="AN3085" s="10"/>
      <c r="AO3085" s="10"/>
      <c r="AP3085" s="10"/>
      <c r="AQ3085" s="10"/>
      <c r="AR3085" s="10"/>
      <c r="AS3085" s="10"/>
      <c r="AT3085" s="10"/>
      <c r="AU3085" s="10"/>
      <c r="AV3085" s="10"/>
      <c r="AW3085" s="10"/>
      <c r="AX3085" s="10"/>
      <c r="AY3085" s="10"/>
      <c r="AZ3085" s="10"/>
      <c r="BA3085" s="10"/>
      <c r="BB3085" s="10"/>
      <c r="BC3085" s="10"/>
      <c r="BD3085" s="10"/>
      <c r="BE3085" s="10"/>
      <c r="BF3085" s="10"/>
      <c r="BG3085" s="10"/>
      <c r="BH3085" s="10"/>
      <c r="BI3085" s="10"/>
      <c r="BJ3085" s="10"/>
      <c r="BK3085" s="10"/>
      <c r="BM3085" s="10"/>
    </row>
    <row r="3086" spans="1:65" ht="12.75">
      <c r="A3086" s="9"/>
      <c r="B3086" s="10"/>
      <c r="C3086" s="11"/>
      <c r="D3086" s="12"/>
      <c r="E3086" s="10"/>
      <c r="F3086" s="10"/>
      <c r="G3086" s="10"/>
      <c r="H3086" s="14"/>
      <c r="I3086" s="14"/>
      <c r="J3086" s="14"/>
      <c r="K3086" s="14"/>
      <c r="L3086" s="14"/>
      <c r="M3086" s="15"/>
      <c r="N3086" s="10"/>
      <c r="O3086" s="14"/>
      <c r="P3086" s="14"/>
      <c r="Q3086" s="14"/>
      <c r="R3086" s="14"/>
      <c r="S3086" s="14"/>
      <c r="T3086" s="14"/>
      <c r="U3086" s="14"/>
      <c r="V3086" s="14"/>
      <c r="W3086" s="14"/>
      <c r="X3086" s="14"/>
      <c r="Y3086" s="14"/>
      <c r="Z3086" s="14"/>
      <c r="AA3086" s="16"/>
      <c r="AB3086" s="10"/>
      <c r="AC3086" s="10"/>
      <c r="AD3086" s="10"/>
      <c r="AE3086" s="10"/>
      <c r="AF3086" s="10"/>
      <c r="AG3086" s="10"/>
      <c r="AH3086" s="10"/>
      <c r="AI3086" s="10"/>
      <c r="AJ3086" s="10"/>
      <c r="AK3086" s="10"/>
      <c r="AL3086" s="10"/>
      <c r="AM3086" s="10"/>
      <c r="AN3086" s="10"/>
      <c r="AO3086" s="10"/>
      <c r="AP3086" s="10"/>
      <c r="AQ3086" s="10"/>
      <c r="AR3086" s="10"/>
      <c r="AS3086" s="10"/>
      <c r="AT3086" s="10"/>
      <c r="AU3086" s="10"/>
      <c r="AV3086" s="10"/>
      <c r="AW3086" s="10"/>
      <c r="AX3086" s="10"/>
      <c r="AY3086" s="10"/>
      <c r="AZ3086" s="10"/>
      <c r="BA3086" s="10"/>
      <c r="BB3086" s="10"/>
      <c r="BC3086" s="10"/>
      <c r="BD3086" s="10"/>
      <c r="BE3086" s="10"/>
      <c r="BF3086" s="10"/>
      <c r="BG3086" s="10"/>
      <c r="BH3086" s="10"/>
      <c r="BI3086" s="10"/>
      <c r="BJ3086" s="10"/>
      <c r="BK3086" s="10"/>
      <c r="BM3086" s="10"/>
    </row>
    <row r="3087" spans="1:65" ht="12.75">
      <c r="A3087" s="9"/>
      <c r="B3087" s="10"/>
      <c r="C3087" s="11"/>
      <c r="D3087" s="12"/>
      <c r="E3087" s="10"/>
      <c r="F3087" s="10"/>
      <c r="G3087" s="10"/>
      <c r="H3087" s="14"/>
      <c r="I3087" s="14"/>
      <c r="J3087" s="14"/>
      <c r="K3087" s="14"/>
      <c r="L3087" s="14"/>
      <c r="M3087" s="15"/>
      <c r="N3087" s="10"/>
      <c r="O3087" s="14"/>
      <c r="P3087" s="14"/>
      <c r="Q3087" s="14"/>
      <c r="R3087" s="14"/>
      <c r="S3087" s="14"/>
      <c r="T3087" s="14"/>
      <c r="U3087" s="14"/>
      <c r="V3087" s="14"/>
      <c r="W3087" s="14"/>
      <c r="X3087" s="14"/>
      <c r="Y3087" s="14"/>
      <c r="Z3087" s="14"/>
      <c r="AA3087" s="16"/>
      <c r="AB3087" s="10"/>
      <c r="AC3087" s="10"/>
      <c r="AD3087" s="10"/>
      <c r="AE3087" s="10"/>
      <c r="AF3087" s="10"/>
      <c r="AG3087" s="10"/>
      <c r="AH3087" s="10"/>
      <c r="AI3087" s="10"/>
      <c r="AJ3087" s="10"/>
      <c r="AK3087" s="10"/>
      <c r="AL3087" s="10"/>
      <c r="AM3087" s="10"/>
      <c r="AN3087" s="10"/>
      <c r="AO3087" s="10"/>
      <c r="AP3087" s="10"/>
      <c r="AQ3087" s="10"/>
      <c r="AR3087" s="10"/>
      <c r="AS3087" s="10"/>
      <c r="AT3087" s="10"/>
      <c r="AU3087" s="10"/>
      <c r="AV3087" s="10"/>
      <c r="AW3087" s="10"/>
      <c r="AX3087" s="10"/>
      <c r="AY3087" s="10"/>
      <c r="AZ3087" s="10"/>
      <c r="BA3087" s="10"/>
      <c r="BB3087" s="10"/>
      <c r="BC3087" s="10"/>
      <c r="BD3087" s="10"/>
      <c r="BE3087" s="10"/>
      <c r="BF3087" s="10"/>
      <c r="BG3087" s="10"/>
      <c r="BH3087" s="10"/>
      <c r="BI3087" s="10"/>
      <c r="BJ3087" s="10"/>
      <c r="BK3087" s="10"/>
      <c r="BM3087" s="10"/>
    </row>
    <row r="3088" spans="1:65" ht="12.75">
      <c r="A3088" s="9"/>
      <c r="B3088" s="10"/>
      <c r="C3088" s="11"/>
      <c r="D3088" s="12"/>
      <c r="E3088" s="10"/>
      <c r="F3088" s="10"/>
      <c r="G3088" s="10"/>
      <c r="H3088" s="14"/>
      <c r="I3088" s="14"/>
      <c r="J3088" s="14"/>
      <c r="K3088" s="14"/>
      <c r="L3088" s="14"/>
      <c r="M3088" s="15"/>
      <c r="N3088" s="10"/>
      <c r="O3088" s="14"/>
      <c r="P3088" s="14"/>
      <c r="Q3088" s="14"/>
      <c r="R3088" s="14"/>
      <c r="S3088" s="14"/>
      <c r="T3088" s="14"/>
      <c r="U3088" s="14"/>
      <c r="V3088" s="14"/>
      <c r="W3088" s="14"/>
      <c r="X3088" s="14"/>
      <c r="Y3088" s="14"/>
      <c r="Z3088" s="14"/>
      <c r="AA3088" s="16"/>
      <c r="AB3088" s="10"/>
      <c r="AC3088" s="10"/>
      <c r="AD3088" s="10"/>
      <c r="AE3088" s="10"/>
      <c r="AF3088" s="10"/>
      <c r="AG3088" s="10"/>
      <c r="AH3088" s="10"/>
      <c r="AI3088" s="10"/>
      <c r="AJ3088" s="10"/>
      <c r="AK3088" s="10"/>
      <c r="AL3088" s="10"/>
      <c r="AM3088" s="10"/>
      <c r="AN3088" s="10"/>
      <c r="AO3088" s="10"/>
      <c r="AP3088" s="10"/>
      <c r="AQ3088" s="10"/>
      <c r="AR3088" s="10"/>
      <c r="AS3088" s="10"/>
      <c r="AT3088" s="10"/>
      <c r="AU3088" s="10"/>
      <c r="AV3088" s="10"/>
      <c r="AW3088" s="10"/>
      <c r="AX3088" s="10"/>
      <c r="AY3088" s="10"/>
      <c r="AZ3088" s="10"/>
      <c r="BA3088" s="10"/>
      <c r="BB3088" s="10"/>
      <c r="BC3088" s="10"/>
      <c r="BD3088" s="10"/>
      <c r="BE3088" s="10"/>
      <c r="BF3088" s="10"/>
      <c r="BG3088" s="10"/>
      <c r="BH3088" s="10"/>
      <c r="BI3088" s="10"/>
      <c r="BJ3088" s="10"/>
      <c r="BK3088" s="10"/>
      <c r="BM3088" s="10"/>
    </row>
    <row r="3089" spans="1:65" ht="12.75">
      <c r="A3089" s="9"/>
      <c r="B3089" s="10"/>
      <c r="C3089" s="11"/>
      <c r="D3089" s="12"/>
      <c r="E3089" s="10"/>
      <c r="F3089" s="10"/>
      <c r="G3089" s="10"/>
      <c r="H3089" s="14"/>
      <c r="I3089" s="14"/>
      <c r="J3089" s="14"/>
      <c r="K3089" s="14"/>
      <c r="L3089" s="14"/>
      <c r="M3089" s="15"/>
      <c r="N3089" s="10"/>
      <c r="O3089" s="14"/>
      <c r="P3089" s="14"/>
      <c r="Q3089" s="14"/>
      <c r="R3089" s="14"/>
      <c r="S3089" s="14"/>
      <c r="T3089" s="14"/>
      <c r="U3089" s="14"/>
      <c r="V3089" s="14"/>
      <c r="W3089" s="14"/>
      <c r="X3089" s="14"/>
      <c r="Y3089" s="14"/>
      <c r="Z3089" s="14"/>
      <c r="AA3089" s="16"/>
      <c r="AB3089" s="10"/>
      <c r="AC3089" s="10"/>
      <c r="AD3089" s="10"/>
      <c r="AE3089" s="10"/>
      <c r="AF3089" s="10"/>
      <c r="AG3089" s="10"/>
      <c r="AH3089" s="10"/>
      <c r="AI3089" s="10"/>
      <c r="AJ3089" s="10"/>
      <c r="AK3089" s="10"/>
      <c r="AL3089" s="10"/>
      <c r="AM3089" s="10"/>
      <c r="AN3089" s="10"/>
      <c r="AO3089" s="10"/>
      <c r="AP3089" s="10"/>
      <c r="AQ3089" s="10"/>
      <c r="AR3089" s="10"/>
      <c r="AS3089" s="10"/>
      <c r="AT3089" s="10"/>
      <c r="AU3089" s="10"/>
      <c r="AV3089" s="10"/>
      <c r="AW3089" s="10"/>
      <c r="AX3089" s="10"/>
      <c r="AY3089" s="10"/>
      <c r="AZ3089" s="10"/>
      <c r="BA3089" s="10"/>
      <c r="BB3089" s="10"/>
      <c r="BC3089" s="10"/>
      <c r="BD3089" s="10"/>
      <c r="BE3089" s="10"/>
      <c r="BF3089" s="10"/>
      <c r="BG3089" s="10"/>
      <c r="BH3089" s="10"/>
      <c r="BI3089" s="10"/>
      <c r="BJ3089" s="10"/>
      <c r="BK3089" s="10"/>
      <c r="BM3089" s="10"/>
    </row>
    <row r="3090" spans="1:65" ht="12.75">
      <c r="A3090" s="9"/>
      <c r="B3090" s="10"/>
      <c r="C3090" s="11"/>
      <c r="D3090" s="12"/>
      <c r="E3090" s="10"/>
      <c r="F3090" s="10"/>
      <c r="G3090" s="10"/>
      <c r="H3090" s="14"/>
      <c r="I3090" s="14"/>
      <c r="J3090" s="14"/>
      <c r="K3090" s="14"/>
      <c r="L3090" s="14"/>
      <c r="M3090" s="15"/>
      <c r="N3090" s="10"/>
      <c r="O3090" s="14"/>
      <c r="P3090" s="14"/>
      <c r="Q3090" s="14"/>
      <c r="R3090" s="14"/>
      <c r="S3090" s="14"/>
      <c r="T3090" s="14"/>
      <c r="U3090" s="14"/>
      <c r="V3090" s="14"/>
      <c r="W3090" s="14"/>
      <c r="X3090" s="14"/>
      <c r="Y3090" s="14"/>
      <c r="Z3090" s="14"/>
      <c r="AA3090" s="16"/>
      <c r="AB3090" s="10"/>
      <c r="AC3090" s="10"/>
      <c r="AD3090" s="10"/>
      <c r="AE3090" s="10"/>
      <c r="AF3090" s="10"/>
      <c r="AG3090" s="10"/>
      <c r="AH3090" s="10"/>
      <c r="AI3090" s="10"/>
      <c r="AJ3090" s="10"/>
      <c r="AK3090" s="10"/>
      <c r="AL3090" s="10"/>
      <c r="AM3090" s="10"/>
      <c r="AN3090" s="10"/>
      <c r="AO3090" s="10"/>
      <c r="AP3090" s="10"/>
      <c r="AQ3090" s="10"/>
      <c r="AR3090" s="10"/>
      <c r="AS3090" s="10"/>
      <c r="AT3090" s="10"/>
      <c r="AU3090" s="10"/>
      <c r="AV3090" s="10"/>
      <c r="AW3090" s="10"/>
      <c r="AX3090" s="10"/>
      <c r="AY3090" s="10"/>
      <c r="AZ3090" s="10"/>
      <c r="BA3090" s="10"/>
      <c r="BB3090" s="10"/>
      <c r="BC3090" s="10"/>
      <c r="BD3090" s="10"/>
      <c r="BE3090" s="10"/>
      <c r="BF3090" s="10"/>
      <c r="BG3090" s="10"/>
      <c r="BH3090" s="10"/>
      <c r="BI3090" s="10"/>
      <c r="BJ3090" s="10"/>
      <c r="BK3090" s="10"/>
      <c r="BM3090" s="10"/>
    </row>
    <row r="3091" spans="1:65" ht="12.75">
      <c r="A3091" s="9"/>
      <c r="B3091" s="10"/>
      <c r="C3091" s="11"/>
      <c r="D3091" s="12"/>
      <c r="E3091" s="10"/>
      <c r="F3091" s="10"/>
      <c r="G3091" s="10"/>
      <c r="H3091" s="14"/>
      <c r="I3091" s="14"/>
      <c r="J3091" s="14"/>
      <c r="K3091" s="14"/>
      <c r="L3091" s="14"/>
      <c r="M3091" s="15"/>
      <c r="N3091" s="10"/>
      <c r="O3091" s="14"/>
      <c r="P3091" s="14"/>
      <c r="Q3091" s="14"/>
      <c r="R3091" s="14"/>
      <c r="S3091" s="14"/>
      <c r="T3091" s="14"/>
      <c r="U3091" s="14"/>
      <c r="V3091" s="14"/>
      <c r="W3091" s="14"/>
      <c r="X3091" s="14"/>
      <c r="Y3091" s="14"/>
      <c r="Z3091" s="14"/>
      <c r="AA3091" s="16"/>
      <c r="AB3091" s="10"/>
      <c r="AC3091" s="10"/>
      <c r="AD3091" s="10"/>
      <c r="AE3091" s="10"/>
      <c r="AF3091" s="10"/>
      <c r="AG3091" s="10"/>
      <c r="AH3091" s="10"/>
      <c r="AI3091" s="10"/>
      <c r="AJ3091" s="10"/>
      <c r="AK3091" s="10"/>
      <c r="AL3091" s="10"/>
      <c r="AM3091" s="10"/>
      <c r="AN3091" s="10"/>
      <c r="AO3091" s="10"/>
      <c r="AP3091" s="10"/>
      <c r="AQ3091" s="10"/>
      <c r="AR3091" s="10"/>
      <c r="AS3091" s="10"/>
      <c r="AT3091" s="10"/>
      <c r="AU3091" s="10"/>
      <c r="AV3091" s="10"/>
      <c r="AW3091" s="10"/>
      <c r="AX3091" s="10"/>
      <c r="AY3091" s="10"/>
      <c r="AZ3091" s="10"/>
      <c r="BA3091" s="10"/>
      <c r="BB3091" s="10"/>
      <c r="BC3091" s="10"/>
      <c r="BD3091" s="10"/>
      <c r="BE3091" s="10"/>
      <c r="BF3091" s="10"/>
      <c r="BG3091" s="10"/>
      <c r="BH3091" s="10"/>
      <c r="BI3091" s="10"/>
      <c r="BJ3091" s="10"/>
      <c r="BK3091" s="10"/>
      <c r="BM3091" s="10"/>
    </row>
    <row r="3092" spans="1:65" ht="12.75">
      <c r="A3092" s="9"/>
      <c r="B3092" s="10"/>
      <c r="C3092" s="11"/>
      <c r="D3092" s="12"/>
      <c r="E3092" s="10"/>
      <c r="F3092" s="10"/>
      <c r="G3092" s="10"/>
      <c r="H3092" s="14"/>
      <c r="I3092" s="14"/>
      <c r="J3092" s="14"/>
      <c r="K3092" s="14"/>
      <c r="L3092" s="14"/>
      <c r="M3092" s="15"/>
      <c r="N3092" s="10"/>
      <c r="O3092" s="14"/>
      <c r="P3092" s="14"/>
      <c r="Q3092" s="14"/>
      <c r="R3092" s="14"/>
      <c r="S3092" s="14"/>
      <c r="T3092" s="14"/>
      <c r="U3092" s="14"/>
      <c r="V3092" s="14"/>
      <c r="W3092" s="14"/>
      <c r="X3092" s="14"/>
      <c r="Y3092" s="14"/>
      <c r="Z3092" s="14"/>
      <c r="AA3092" s="16"/>
      <c r="AB3092" s="10"/>
      <c r="AC3092" s="10"/>
      <c r="AD3092" s="10"/>
      <c r="AE3092" s="10"/>
      <c r="AF3092" s="10"/>
      <c r="AG3092" s="10"/>
      <c r="AH3092" s="10"/>
      <c r="AI3092" s="10"/>
      <c r="AJ3092" s="10"/>
      <c r="AK3092" s="10"/>
      <c r="AL3092" s="10"/>
      <c r="AM3092" s="10"/>
      <c r="AN3092" s="10"/>
      <c r="AO3092" s="10"/>
      <c r="AP3092" s="10"/>
      <c r="AQ3092" s="10"/>
      <c r="AR3092" s="10"/>
      <c r="AS3092" s="10"/>
      <c r="AT3092" s="10"/>
      <c r="AU3092" s="10"/>
      <c r="AV3092" s="10"/>
      <c r="AW3092" s="10"/>
      <c r="AX3092" s="10"/>
      <c r="AY3092" s="10"/>
      <c r="AZ3092" s="10"/>
      <c r="BA3092" s="10"/>
      <c r="BB3092" s="10"/>
      <c r="BC3092" s="10"/>
      <c r="BD3092" s="10"/>
      <c r="BE3092" s="10"/>
      <c r="BF3092" s="10"/>
      <c r="BG3092" s="10"/>
      <c r="BH3092" s="10"/>
      <c r="BI3092" s="10"/>
      <c r="BJ3092" s="10"/>
      <c r="BK3092" s="10"/>
      <c r="BM3092" s="10"/>
    </row>
    <row r="3093" spans="1:65" ht="12.75">
      <c r="A3093" s="9"/>
      <c r="B3093" s="10"/>
      <c r="C3093" s="11"/>
      <c r="D3093" s="12"/>
      <c r="E3093" s="10"/>
      <c r="F3093" s="10"/>
      <c r="G3093" s="10"/>
      <c r="H3093" s="14"/>
      <c r="I3093" s="14"/>
      <c r="J3093" s="14"/>
      <c r="K3093" s="14"/>
      <c r="L3093" s="14"/>
      <c r="M3093" s="15"/>
      <c r="N3093" s="10"/>
      <c r="O3093" s="14"/>
      <c r="P3093" s="14"/>
      <c r="Q3093" s="14"/>
      <c r="R3093" s="14"/>
      <c r="S3093" s="14"/>
      <c r="T3093" s="14"/>
      <c r="U3093" s="14"/>
      <c r="V3093" s="14"/>
      <c r="W3093" s="14"/>
      <c r="X3093" s="14"/>
      <c r="Y3093" s="14"/>
      <c r="Z3093" s="14"/>
      <c r="AA3093" s="16"/>
      <c r="AB3093" s="10"/>
      <c r="AC3093" s="10"/>
      <c r="AD3093" s="10"/>
      <c r="AE3093" s="10"/>
      <c r="AF3093" s="10"/>
      <c r="AG3093" s="10"/>
      <c r="AH3093" s="10"/>
      <c r="AI3093" s="10"/>
      <c r="AJ3093" s="10"/>
      <c r="AK3093" s="10"/>
      <c r="AL3093" s="10"/>
      <c r="AM3093" s="10"/>
      <c r="AN3093" s="10"/>
      <c r="AO3093" s="10"/>
      <c r="AP3093" s="10"/>
      <c r="AQ3093" s="10"/>
      <c r="AR3093" s="10"/>
      <c r="AS3093" s="10"/>
      <c r="AT3093" s="10"/>
      <c r="AU3093" s="10"/>
      <c r="AV3093" s="10"/>
      <c r="AW3093" s="10"/>
      <c r="AX3093" s="10"/>
      <c r="AY3093" s="10"/>
      <c r="AZ3093" s="10"/>
      <c r="BA3093" s="10"/>
      <c r="BB3093" s="10"/>
      <c r="BC3093" s="10"/>
      <c r="BD3093" s="10"/>
      <c r="BE3093" s="10"/>
      <c r="BF3093" s="10"/>
      <c r="BG3093" s="10"/>
      <c r="BH3093" s="10"/>
      <c r="BI3093" s="10"/>
      <c r="BJ3093" s="10"/>
      <c r="BK3093" s="10"/>
      <c r="BM3093" s="10"/>
    </row>
    <row r="3094" spans="1:65" ht="12.75">
      <c r="A3094" s="9"/>
      <c r="B3094" s="10"/>
      <c r="C3094" s="11"/>
      <c r="D3094" s="12"/>
      <c r="E3094" s="10"/>
      <c r="F3094" s="10"/>
      <c r="G3094" s="10"/>
      <c r="H3094" s="14"/>
      <c r="I3094" s="14"/>
      <c r="J3094" s="14"/>
      <c r="K3094" s="14"/>
      <c r="L3094" s="14"/>
      <c r="M3094" s="15"/>
      <c r="N3094" s="10"/>
      <c r="O3094" s="14"/>
      <c r="P3094" s="14"/>
      <c r="Q3094" s="14"/>
      <c r="R3094" s="14"/>
      <c r="S3094" s="14"/>
      <c r="T3094" s="14"/>
      <c r="U3094" s="14"/>
      <c r="V3094" s="14"/>
      <c r="W3094" s="14"/>
      <c r="X3094" s="14"/>
      <c r="Y3094" s="14"/>
      <c r="Z3094" s="14"/>
      <c r="AA3094" s="16"/>
      <c r="AB3094" s="10"/>
      <c r="AC3094" s="10"/>
      <c r="AD3094" s="10"/>
      <c r="AE3094" s="10"/>
      <c r="AF3094" s="10"/>
      <c r="AG3094" s="10"/>
      <c r="AH3094" s="10"/>
      <c r="AI3094" s="10"/>
      <c r="AJ3094" s="10"/>
      <c r="AK3094" s="10"/>
      <c r="AL3094" s="10"/>
      <c r="AM3094" s="10"/>
      <c r="AN3094" s="10"/>
      <c r="AO3094" s="10"/>
      <c r="AP3094" s="10"/>
      <c r="AQ3094" s="10"/>
      <c r="AR3094" s="10"/>
      <c r="AS3094" s="10"/>
      <c r="AT3094" s="10"/>
      <c r="AU3094" s="10"/>
      <c r="AV3094" s="10"/>
      <c r="AW3094" s="10"/>
      <c r="AX3094" s="10"/>
      <c r="AY3094" s="10"/>
      <c r="AZ3094" s="10"/>
      <c r="BA3094" s="10"/>
      <c r="BB3094" s="10"/>
      <c r="BC3094" s="10"/>
      <c r="BD3094" s="10"/>
      <c r="BE3094" s="10"/>
      <c r="BF3094" s="10"/>
      <c r="BG3094" s="10"/>
      <c r="BH3094" s="10"/>
      <c r="BI3094" s="10"/>
      <c r="BJ3094" s="10"/>
      <c r="BK3094" s="10"/>
      <c r="BM3094" s="10"/>
    </row>
    <row r="3095" spans="1:65" ht="12.75">
      <c r="A3095" s="9"/>
      <c r="B3095" s="10"/>
      <c r="C3095" s="11"/>
      <c r="D3095" s="12"/>
      <c r="E3095" s="10"/>
      <c r="F3095" s="10"/>
      <c r="G3095" s="10"/>
      <c r="H3095" s="14"/>
      <c r="I3095" s="14"/>
      <c r="J3095" s="14"/>
      <c r="K3095" s="14"/>
      <c r="L3095" s="14"/>
      <c r="M3095" s="15"/>
      <c r="N3095" s="10"/>
      <c r="O3095" s="14"/>
      <c r="P3095" s="14"/>
      <c r="Q3095" s="14"/>
      <c r="R3095" s="14"/>
      <c r="S3095" s="14"/>
      <c r="T3095" s="14"/>
      <c r="U3095" s="14"/>
      <c r="V3095" s="14"/>
      <c r="W3095" s="14"/>
      <c r="X3095" s="14"/>
      <c r="Y3095" s="14"/>
      <c r="Z3095" s="14"/>
      <c r="AA3095" s="16"/>
      <c r="AB3095" s="10"/>
      <c r="AC3095" s="10"/>
      <c r="AD3095" s="10"/>
      <c r="AE3095" s="10"/>
      <c r="AF3095" s="10"/>
      <c r="AG3095" s="10"/>
      <c r="AH3095" s="10"/>
      <c r="AI3095" s="10"/>
      <c r="AJ3095" s="10"/>
      <c r="AK3095" s="10"/>
      <c r="AL3095" s="10"/>
      <c r="AM3095" s="10"/>
      <c r="AN3095" s="10"/>
      <c r="AO3095" s="10"/>
      <c r="AP3095" s="10"/>
      <c r="AQ3095" s="10"/>
      <c r="AR3095" s="10"/>
      <c r="AS3095" s="10"/>
      <c r="AT3095" s="10"/>
      <c r="AU3095" s="10"/>
      <c r="AV3095" s="10"/>
      <c r="AW3095" s="10"/>
      <c r="AX3095" s="10"/>
      <c r="AY3095" s="10"/>
      <c r="AZ3095" s="10"/>
      <c r="BA3095" s="10"/>
      <c r="BB3095" s="10"/>
      <c r="BC3095" s="10"/>
      <c r="BD3095" s="10"/>
      <c r="BE3095" s="10"/>
      <c r="BF3095" s="10"/>
      <c r="BG3095" s="10"/>
      <c r="BH3095" s="10"/>
      <c r="BI3095" s="10"/>
      <c r="BJ3095" s="10"/>
      <c r="BK3095" s="10"/>
      <c r="BM3095" s="10"/>
    </row>
    <row r="3096" spans="1:65" ht="12.75">
      <c r="A3096" s="9"/>
      <c r="B3096" s="10"/>
      <c r="C3096" s="11"/>
      <c r="D3096" s="12"/>
      <c r="E3096" s="10"/>
      <c r="F3096" s="10"/>
      <c r="G3096" s="10"/>
      <c r="H3096" s="14"/>
      <c r="I3096" s="14"/>
      <c r="J3096" s="14"/>
      <c r="K3096" s="14"/>
      <c r="L3096" s="14"/>
      <c r="M3096" s="15"/>
      <c r="N3096" s="10"/>
      <c r="O3096" s="14"/>
      <c r="P3096" s="14"/>
      <c r="Q3096" s="14"/>
      <c r="R3096" s="14"/>
      <c r="S3096" s="14"/>
      <c r="T3096" s="14"/>
      <c r="U3096" s="14"/>
      <c r="V3096" s="14"/>
      <c r="W3096" s="14"/>
      <c r="X3096" s="14"/>
      <c r="Y3096" s="14"/>
      <c r="Z3096" s="14"/>
      <c r="AA3096" s="16"/>
      <c r="AB3096" s="10"/>
      <c r="AC3096" s="10"/>
      <c r="AD3096" s="10"/>
      <c r="AE3096" s="10"/>
      <c r="AF3096" s="10"/>
      <c r="AG3096" s="10"/>
      <c r="AH3096" s="10"/>
      <c r="AI3096" s="10"/>
      <c r="AJ3096" s="10"/>
      <c r="AK3096" s="10"/>
      <c r="AL3096" s="10"/>
      <c r="AM3096" s="10"/>
      <c r="AN3096" s="10"/>
      <c r="AO3096" s="10"/>
      <c r="AP3096" s="10"/>
      <c r="AQ3096" s="10"/>
      <c r="AR3096" s="10"/>
      <c r="AS3096" s="10"/>
      <c r="AT3096" s="10"/>
      <c r="AU3096" s="10"/>
      <c r="AV3096" s="10"/>
      <c r="AW3096" s="10"/>
      <c r="AX3096" s="10"/>
      <c r="AY3096" s="10"/>
      <c r="AZ3096" s="10"/>
      <c r="BA3096" s="10"/>
      <c r="BB3096" s="10"/>
      <c r="BC3096" s="10"/>
      <c r="BD3096" s="10"/>
      <c r="BE3096" s="10"/>
      <c r="BF3096" s="10"/>
      <c r="BG3096" s="10"/>
      <c r="BH3096" s="10"/>
      <c r="BI3096" s="10"/>
      <c r="BJ3096" s="10"/>
      <c r="BK3096" s="10"/>
      <c r="BM3096" s="10"/>
    </row>
    <row r="3097" spans="1:65" ht="12.75">
      <c r="A3097" s="9"/>
      <c r="B3097" s="10"/>
      <c r="C3097" s="11"/>
      <c r="D3097" s="12"/>
      <c r="E3097" s="10"/>
      <c r="F3097" s="10"/>
      <c r="G3097" s="10"/>
      <c r="H3097" s="14"/>
      <c r="I3097" s="14"/>
      <c r="J3097" s="14"/>
      <c r="K3097" s="14"/>
      <c r="L3097" s="14"/>
      <c r="M3097" s="15"/>
      <c r="N3097" s="10"/>
      <c r="O3097" s="14"/>
      <c r="P3097" s="14"/>
      <c r="Q3097" s="14"/>
      <c r="R3097" s="14"/>
      <c r="S3097" s="14"/>
      <c r="T3097" s="14"/>
      <c r="U3097" s="14"/>
      <c r="V3097" s="14"/>
      <c r="W3097" s="14"/>
      <c r="X3097" s="14"/>
      <c r="Y3097" s="14"/>
      <c r="Z3097" s="14"/>
      <c r="AA3097" s="16"/>
      <c r="AB3097" s="10"/>
      <c r="AC3097" s="10"/>
      <c r="AD3097" s="10"/>
      <c r="AE3097" s="10"/>
      <c r="AF3097" s="10"/>
      <c r="AG3097" s="10"/>
      <c r="AH3097" s="10"/>
      <c r="AI3097" s="10"/>
      <c r="AJ3097" s="10"/>
      <c r="AK3097" s="10"/>
      <c r="AL3097" s="10"/>
      <c r="AM3097" s="10"/>
      <c r="AN3097" s="10"/>
      <c r="AO3097" s="10"/>
      <c r="AP3097" s="10"/>
      <c r="AQ3097" s="10"/>
      <c r="AR3097" s="10"/>
      <c r="AS3097" s="10"/>
      <c r="AT3097" s="10"/>
      <c r="AU3097" s="10"/>
      <c r="AV3097" s="10"/>
      <c r="AW3097" s="10"/>
      <c r="AX3097" s="10"/>
      <c r="AY3097" s="10"/>
      <c r="AZ3097" s="10"/>
      <c r="BA3097" s="10"/>
      <c r="BB3097" s="10"/>
      <c r="BC3097" s="10"/>
      <c r="BD3097" s="10"/>
      <c r="BE3097" s="10"/>
      <c r="BF3097" s="10"/>
      <c r="BG3097" s="10"/>
      <c r="BH3097" s="10"/>
      <c r="BI3097" s="10"/>
      <c r="BJ3097" s="10"/>
      <c r="BK3097" s="10"/>
      <c r="BM3097" s="10"/>
    </row>
    <row r="3098" spans="1:65" ht="12.75">
      <c r="A3098" s="9"/>
      <c r="B3098" s="10"/>
      <c r="C3098" s="11"/>
      <c r="D3098" s="12"/>
      <c r="E3098" s="10"/>
      <c r="F3098" s="10"/>
      <c r="G3098" s="10"/>
      <c r="H3098" s="14"/>
      <c r="I3098" s="14"/>
      <c r="J3098" s="14"/>
      <c r="K3098" s="14"/>
      <c r="L3098" s="14"/>
      <c r="M3098" s="15"/>
      <c r="N3098" s="10"/>
      <c r="O3098" s="14"/>
      <c r="P3098" s="14"/>
      <c r="Q3098" s="14"/>
      <c r="R3098" s="14"/>
      <c r="S3098" s="14"/>
      <c r="T3098" s="14"/>
      <c r="U3098" s="14"/>
      <c r="V3098" s="14"/>
      <c r="W3098" s="14"/>
      <c r="X3098" s="14"/>
      <c r="Y3098" s="14"/>
      <c r="Z3098" s="14"/>
      <c r="AA3098" s="16"/>
      <c r="AB3098" s="10"/>
      <c r="AC3098" s="10"/>
      <c r="AD3098" s="10"/>
      <c r="AE3098" s="10"/>
      <c r="AF3098" s="10"/>
      <c r="AG3098" s="10"/>
      <c r="AH3098" s="10"/>
      <c r="AI3098" s="10"/>
      <c r="AJ3098" s="10"/>
      <c r="AK3098" s="10"/>
      <c r="AL3098" s="10"/>
      <c r="AM3098" s="10"/>
      <c r="AN3098" s="10"/>
      <c r="AO3098" s="10"/>
      <c r="AP3098" s="10"/>
      <c r="AQ3098" s="10"/>
      <c r="AR3098" s="10"/>
      <c r="AS3098" s="10"/>
      <c r="AT3098" s="10"/>
      <c r="AU3098" s="10"/>
      <c r="AV3098" s="10"/>
      <c r="AW3098" s="10"/>
      <c r="AX3098" s="10"/>
      <c r="AY3098" s="10"/>
      <c r="AZ3098" s="10"/>
      <c r="BA3098" s="10"/>
      <c r="BB3098" s="10"/>
      <c r="BC3098" s="10"/>
      <c r="BD3098" s="10"/>
      <c r="BE3098" s="10"/>
      <c r="BF3098" s="10"/>
      <c r="BG3098" s="10"/>
      <c r="BH3098" s="10"/>
      <c r="BI3098" s="10"/>
      <c r="BJ3098" s="10"/>
      <c r="BK3098" s="10"/>
      <c r="BM3098" s="10"/>
    </row>
    <row r="3099" spans="1:65" ht="12.75">
      <c r="A3099" s="9"/>
      <c r="B3099" s="10"/>
      <c r="C3099" s="11"/>
      <c r="D3099" s="12"/>
      <c r="E3099" s="10"/>
      <c r="F3099" s="10"/>
      <c r="G3099" s="10"/>
      <c r="H3099" s="14"/>
      <c r="I3099" s="14"/>
      <c r="J3099" s="14"/>
      <c r="K3099" s="14"/>
      <c r="L3099" s="14"/>
      <c r="M3099" s="15"/>
      <c r="N3099" s="10"/>
      <c r="O3099" s="14"/>
      <c r="P3099" s="14"/>
      <c r="Q3099" s="14"/>
      <c r="R3099" s="14"/>
      <c r="S3099" s="14"/>
      <c r="T3099" s="14"/>
      <c r="U3099" s="14"/>
      <c r="V3099" s="14"/>
      <c r="W3099" s="14"/>
      <c r="X3099" s="14"/>
      <c r="Y3099" s="14"/>
      <c r="Z3099" s="14"/>
      <c r="AA3099" s="16"/>
      <c r="AB3099" s="10"/>
      <c r="AC3099" s="10"/>
      <c r="AD3099" s="10"/>
      <c r="AE3099" s="10"/>
      <c r="AF3099" s="10"/>
      <c r="AG3099" s="10"/>
      <c r="AH3099" s="10"/>
      <c r="AI3099" s="10"/>
      <c r="AJ3099" s="10"/>
      <c r="AK3099" s="10"/>
      <c r="AL3099" s="10"/>
      <c r="AM3099" s="10"/>
      <c r="AN3099" s="10"/>
      <c r="AO3099" s="10"/>
      <c r="AP3099" s="10"/>
      <c r="AQ3099" s="10"/>
      <c r="AR3099" s="10"/>
      <c r="AS3099" s="10"/>
      <c r="AT3099" s="10"/>
      <c r="AU3099" s="10"/>
      <c r="AV3099" s="10"/>
      <c r="AW3099" s="10"/>
      <c r="AX3099" s="10"/>
      <c r="AY3099" s="10"/>
      <c r="AZ3099" s="10"/>
      <c r="BA3099" s="10"/>
      <c r="BB3099" s="10"/>
      <c r="BC3099" s="10"/>
      <c r="BD3099" s="10"/>
      <c r="BE3099" s="10"/>
      <c r="BF3099" s="10"/>
      <c r="BG3099" s="10"/>
      <c r="BH3099" s="10"/>
      <c r="BI3099" s="10"/>
      <c r="BJ3099" s="10"/>
      <c r="BK3099" s="10"/>
      <c r="BM3099" s="10"/>
    </row>
    <row r="3100" spans="1:65" ht="12.75">
      <c r="A3100" s="9"/>
      <c r="B3100" s="10"/>
      <c r="C3100" s="11"/>
      <c r="D3100" s="12"/>
      <c r="E3100" s="10"/>
      <c r="F3100" s="10"/>
      <c r="G3100" s="10"/>
      <c r="H3100" s="14"/>
      <c r="I3100" s="14"/>
      <c r="J3100" s="14"/>
      <c r="K3100" s="14"/>
      <c r="L3100" s="14"/>
      <c r="M3100" s="15"/>
      <c r="N3100" s="10"/>
      <c r="O3100" s="14"/>
      <c r="P3100" s="14"/>
      <c r="Q3100" s="14"/>
      <c r="R3100" s="14"/>
      <c r="S3100" s="14"/>
      <c r="T3100" s="14"/>
      <c r="U3100" s="14"/>
      <c r="V3100" s="14"/>
      <c r="W3100" s="14"/>
      <c r="X3100" s="14"/>
      <c r="Y3100" s="14"/>
      <c r="Z3100" s="14"/>
      <c r="AA3100" s="16"/>
      <c r="AB3100" s="10"/>
      <c r="AC3100" s="10"/>
      <c r="AD3100" s="10"/>
      <c r="AE3100" s="10"/>
      <c r="AF3100" s="10"/>
      <c r="AG3100" s="10"/>
      <c r="AH3100" s="10"/>
      <c r="AI3100" s="10"/>
      <c r="AJ3100" s="10"/>
      <c r="AK3100" s="10"/>
      <c r="AL3100" s="10"/>
      <c r="AM3100" s="10"/>
      <c r="AN3100" s="10"/>
      <c r="AO3100" s="10"/>
      <c r="AP3100" s="10"/>
      <c r="AQ3100" s="10"/>
      <c r="AR3100" s="10"/>
      <c r="AS3100" s="10"/>
      <c r="AT3100" s="10"/>
      <c r="AU3100" s="10"/>
      <c r="AV3100" s="10"/>
      <c r="AW3100" s="10"/>
      <c r="AX3100" s="10"/>
      <c r="AY3100" s="10"/>
      <c r="AZ3100" s="10"/>
      <c r="BA3100" s="10"/>
      <c r="BB3100" s="10"/>
      <c r="BC3100" s="10"/>
      <c r="BD3100" s="10"/>
      <c r="BE3100" s="10"/>
      <c r="BF3100" s="10"/>
      <c r="BG3100" s="10"/>
      <c r="BH3100" s="10"/>
      <c r="BI3100" s="10"/>
      <c r="BJ3100" s="10"/>
      <c r="BK3100" s="10"/>
      <c r="BM3100" s="10"/>
    </row>
    <row r="3101" spans="1:65" ht="12.75">
      <c r="A3101" s="9"/>
      <c r="B3101" s="10"/>
      <c r="C3101" s="11"/>
      <c r="D3101" s="12"/>
      <c r="E3101" s="10"/>
      <c r="F3101" s="10"/>
      <c r="G3101" s="10"/>
      <c r="H3101" s="14"/>
      <c r="I3101" s="14"/>
      <c r="J3101" s="14"/>
      <c r="K3101" s="14"/>
      <c r="L3101" s="14"/>
      <c r="M3101" s="15"/>
      <c r="N3101" s="10"/>
      <c r="O3101" s="14"/>
      <c r="P3101" s="14"/>
      <c r="Q3101" s="14"/>
      <c r="R3101" s="14"/>
      <c r="S3101" s="14"/>
      <c r="T3101" s="14"/>
      <c r="U3101" s="14"/>
      <c r="V3101" s="14"/>
      <c r="W3101" s="14"/>
      <c r="X3101" s="14"/>
      <c r="Y3101" s="14"/>
      <c r="Z3101" s="14"/>
      <c r="AA3101" s="16"/>
      <c r="AB3101" s="10"/>
      <c r="AC3101" s="10"/>
      <c r="AD3101" s="10"/>
      <c r="AE3101" s="10"/>
      <c r="AF3101" s="10"/>
      <c r="AG3101" s="10"/>
      <c r="AH3101" s="10"/>
      <c r="AI3101" s="10"/>
      <c r="AJ3101" s="10"/>
      <c r="AK3101" s="10"/>
      <c r="AL3101" s="10"/>
      <c r="AM3101" s="10"/>
      <c r="AN3101" s="10"/>
      <c r="AO3101" s="10"/>
      <c r="AP3101" s="10"/>
      <c r="AQ3101" s="10"/>
      <c r="AR3101" s="10"/>
      <c r="AS3101" s="10"/>
      <c r="AT3101" s="10"/>
      <c r="AU3101" s="10"/>
      <c r="AV3101" s="10"/>
      <c r="AW3101" s="10"/>
      <c r="AX3101" s="10"/>
      <c r="AY3101" s="10"/>
      <c r="AZ3101" s="10"/>
      <c r="BA3101" s="10"/>
      <c r="BB3101" s="10"/>
      <c r="BC3101" s="10"/>
      <c r="BD3101" s="10"/>
      <c r="BE3101" s="10"/>
      <c r="BF3101" s="10"/>
      <c r="BG3101" s="10"/>
      <c r="BH3101" s="10"/>
      <c r="BI3101" s="10"/>
      <c r="BJ3101" s="10"/>
      <c r="BK3101" s="10"/>
      <c r="BM3101" s="10"/>
    </row>
    <row r="3102" spans="1:65" ht="12.75">
      <c r="A3102" s="9"/>
      <c r="B3102" s="10"/>
      <c r="C3102" s="11"/>
      <c r="D3102" s="12"/>
      <c r="E3102" s="10"/>
      <c r="F3102" s="10"/>
      <c r="G3102" s="10"/>
      <c r="H3102" s="14"/>
      <c r="I3102" s="14"/>
      <c r="J3102" s="14"/>
      <c r="K3102" s="14"/>
      <c r="L3102" s="14"/>
      <c r="M3102" s="15"/>
      <c r="N3102" s="10"/>
      <c r="O3102" s="14"/>
      <c r="P3102" s="14"/>
      <c r="Q3102" s="14"/>
      <c r="R3102" s="14"/>
      <c r="S3102" s="14"/>
      <c r="T3102" s="14"/>
      <c r="U3102" s="14"/>
      <c r="V3102" s="14"/>
      <c r="W3102" s="14"/>
      <c r="X3102" s="14"/>
      <c r="Y3102" s="14"/>
      <c r="Z3102" s="14"/>
      <c r="AA3102" s="16"/>
      <c r="AB3102" s="10"/>
      <c r="AC3102" s="10"/>
      <c r="AD3102" s="10"/>
      <c r="AE3102" s="10"/>
      <c r="AF3102" s="10"/>
      <c r="AG3102" s="10"/>
      <c r="AH3102" s="10"/>
      <c r="AI3102" s="10"/>
      <c r="AJ3102" s="10"/>
      <c r="AK3102" s="10"/>
      <c r="AL3102" s="1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10"/>
      <c r="BJ3102" s="10"/>
      <c r="BK3102" s="10"/>
      <c r="BM3102" s="10"/>
    </row>
    <row r="3103" spans="1:65" ht="12.75">
      <c r="A3103" s="9"/>
      <c r="B3103" s="10"/>
      <c r="C3103" s="11"/>
      <c r="D3103" s="12"/>
      <c r="E3103" s="10"/>
      <c r="F3103" s="10"/>
      <c r="G3103" s="10"/>
      <c r="H3103" s="14"/>
      <c r="I3103" s="14"/>
      <c r="J3103" s="14"/>
      <c r="K3103" s="14"/>
      <c r="L3103" s="14"/>
      <c r="M3103" s="15"/>
      <c r="N3103" s="10"/>
      <c r="O3103" s="14"/>
      <c r="P3103" s="14"/>
      <c r="Q3103" s="14"/>
      <c r="R3103" s="14"/>
      <c r="S3103" s="14"/>
      <c r="T3103" s="14"/>
      <c r="U3103" s="14"/>
      <c r="V3103" s="14"/>
      <c r="W3103" s="14"/>
      <c r="X3103" s="14"/>
      <c r="Y3103" s="14"/>
      <c r="Z3103" s="14"/>
      <c r="AA3103" s="16"/>
      <c r="AB3103" s="10"/>
      <c r="AC3103" s="10"/>
      <c r="AD3103" s="10"/>
      <c r="AE3103" s="10"/>
      <c r="AF3103" s="10"/>
      <c r="AG3103" s="10"/>
      <c r="AH3103" s="10"/>
      <c r="AI3103" s="10"/>
      <c r="AJ3103" s="10"/>
      <c r="AK3103" s="10"/>
      <c r="AL3103" s="10"/>
      <c r="AM3103" s="10"/>
      <c r="AN3103" s="10"/>
      <c r="AO3103" s="10"/>
      <c r="AP3103" s="10"/>
      <c r="AQ3103" s="10"/>
      <c r="AR3103" s="10"/>
      <c r="AS3103" s="10"/>
      <c r="AT3103" s="10"/>
      <c r="AU3103" s="10"/>
      <c r="AV3103" s="10"/>
      <c r="AW3103" s="10"/>
      <c r="AX3103" s="10"/>
      <c r="AY3103" s="10"/>
      <c r="AZ3103" s="10"/>
      <c r="BA3103" s="10"/>
      <c r="BB3103" s="10"/>
      <c r="BC3103" s="10"/>
      <c r="BD3103" s="10"/>
      <c r="BE3103" s="10"/>
      <c r="BF3103" s="10"/>
      <c r="BG3103" s="10"/>
      <c r="BH3103" s="10"/>
      <c r="BI3103" s="10"/>
      <c r="BJ3103" s="10"/>
      <c r="BK3103" s="10"/>
      <c r="BM3103" s="10"/>
    </row>
    <row r="3104" spans="1:65" ht="12.75">
      <c r="A3104" s="9"/>
      <c r="B3104" s="10"/>
      <c r="C3104" s="11"/>
      <c r="D3104" s="12"/>
      <c r="E3104" s="10"/>
      <c r="F3104" s="10"/>
      <c r="G3104" s="10"/>
      <c r="H3104" s="14"/>
      <c r="I3104" s="14"/>
      <c r="J3104" s="14"/>
      <c r="K3104" s="14"/>
      <c r="L3104" s="14"/>
      <c r="M3104" s="15"/>
      <c r="N3104" s="10"/>
      <c r="O3104" s="14"/>
      <c r="P3104" s="14"/>
      <c r="Q3104" s="14"/>
      <c r="R3104" s="14"/>
      <c r="S3104" s="14"/>
      <c r="T3104" s="14"/>
      <c r="U3104" s="14"/>
      <c r="V3104" s="14"/>
      <c r="W3104" s="14"/>
      <c r="X3104" s="14"/>
      <c r="Y3104" s="14"/>
      <c r="Z3104" s="14"/>
      <c r="AA3104" s="16"/>
      <c r="AB3104" s="10"/>
      <c r="AC3104" s="10"/>
      <c r="AD3104" s="10"/>
      <c r="AE3104" s="10"/>
      <c r="AF3104" s="10"/>
      <c r="AG3104" s="10"/>
      <c r="AH3104" s="10"/>
      <c r="AI3104" s="10"/>
      <c r="AJ3104" s="10"/>
      <c r="AK3104" s="10"/>
      <c r="AL3104" s="10"/>
      <c r="AM3104" s="10"/>
      <c r="AN3104" s="10"/>
      <c r="AO3104" s="10"/>
      <c r="AP3104" s="10"/>
      <c r="AQ3104" s="10"/>
      <c r="AR3104" s="10"/>
      <c r="AS3104" s="10"/>
      <c r="AT3104" s="10"/>
      <c r="AU3104" s="10"/>
      <c r="AV3104" s="10"/>
      <c r="AW3104" s="10"/>
      <c r="AX3104" s="10"/>
      <c r="AY3104" s="10"/>
      <c r="AZ3104" s="10"/>
      <c r="BA3104" s="10"/>
      <c r="BB3104" s="10"/>
      <c r="BC3104" s="10"/>
      <c r="BD3104" s="10"/>
      <c r="BE3104" s="10"/>
      <c r="BF3104" s="10"/>
      <c r="BG3104" s="10"/>
      <c r="BH3104" s="10"/>
      <c r="BI3104" s="10"/>
      <c r="BJ3104" s="10"/>
      <c r="BK3104" s="10"/>
      <c r="BM3104" s="10"/>
    </row>
    <row r="3105" spans="1:65" ht="12.75">
      <c r="A3105" s="9"/>
      <c r="B3105" s="10"/>
      <c r="C3105" s="11"/>
      <c r="D3105" s="12"/>
      <c r="E3105" s="10"/>
      <c r="F3105" s="10"/>
      <c r="G3105" s="10"/>
      <c r="H3105" s="14"/>
      <c r="I3105" s="14"/>
      <c r="J3105" s="14"/>
      <c r="K3105" s="14"/>
      <c r="L3105" s="14"/>
      <c r="M3105" s="15"/>
      <c r="N3105" s="10"/>
      <c r="O3105" s="14"/>
      <c r="P3105" s="14"/>
      <c r="Q3105" s="14"/>
      <c r="R3105" s="14"/>
      <c r="S3105" s="14"/>
      <c r="T3105" s="14"/>
      <c r="U3105" s="14"/>
      <c r="V3105" s="14"/>
      <c r="W3105" s="14"/>
      <c r="X3105" s="14"/>
      <c r="Y3105" s="14"/>
      <c r="Z3105" s="14"/>
      <c r="AA3105" s="16"/>
      <c r="AB3105" s="10"/>
      <c r="AC3105" s="10"/>
      <c r="AD3105" s="10"/>
      <c r="AE3105" s="10"/>
      <c r="AF3105" s="10"/>
      <c r="AG3105" s="10"/>
      <c r="AH3105" s="10"/>
      <c r="AI3105" s="10"/>
      <c r="AJ3105" s="10"/>
      <c r="AK3105" s="10"/>
      <c r="AL3105" s="10"/>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c r="BH3105" s="10"/>
      <c r="BI3105" s="10"/>
      <c r="BJ3105" s="10"/>
      <c r="BK3105" s="10"/>
      <c r="BM3105" s="10"/>
    </row>
    <row r="3106" spans="1:65" ht="12.75">
      <c r="A3106" s="9"/>
      <c r="B3106" s="10"/>
      <c r="C3106" s="11"/>
      <c r="D3106" s="12"/>
      <c r="E3106" s="10"/>
      <c r="F3106" s="10"/>
      <c r="G3106" s="10"/>
      <c r="H3106" s="14"/>
      <c r="I3106" s="14"/>
      <c r="J3106" s="14"/>
      <c r="K3106" s="14"/>
      <c r="L3106" s="14"/>
      <c r="M3106" s="15"/>
      <c r="N3106" s="10"/>
      <c r="O3106" s="14"/>
      <c r="P3106" s="14"/>
      <c r="Q3106" s="14"/>
      <c r="R3106" s="14"/>
      <c r="S3106" s="14"/>
      <c r="T3106" s="14"/>
      <c r="U3106" s="14"/>
      <c r="V3106" s="14"/>
      <c r="W3106" s="14"/>
      <c r="X3106" s="14"/>
      <c r="Y3106" s="14"/>
      <c r="Z3106" s="14"/>
      <c r="AA3106" s="16"/>
      <c r="AB3106" s="10"/>
      <c r="AC3106" s="10"/>
      <c r="AD3106" s="10"/>
      <c r="AE3106" s="10"/>
      <c r="AF3106" s="10"/>
      <c r="AG3106" s="10"/>
      <c r="AH3106" s="10"/>
      <c r="AI3106" s="10"/>
      <c r="AJ3106" s="10"/>
      <c r="AK3106" s="10"/>
      <c r="AL3106" s="10"/>
      <c r="AM3106" s="10"/>
      <c r="AN3106" s="10"/>
      <c r="AO3106" s="10"/>
      <c r="AP3106" s="10"/>
      <c r="AQ3106" s="10"/>
      <c r="AR3106" s="10"/>
      <c r="AS3106" s="10"/>
      <c r="AT3106" s="10"/>
      <c r="AU3106" s="10"/>
      <c r="AV3106" s="10"/>
      <c r="AW3106" s="10"/>
      <c r="AX3106" s="10"/>
      <c r="AY3106" s="10"/>
      <c r="AZ3106" s="10"/>
      <c r="BA3106" s="10"/>
      <c r="BB3106" s="10"/>
      <c r="BC3106" s="10"/>
      <c r="BD3106" s="10"/>
      <c r="BE3106" s="10"/>
      <c r="BF3106" s="10"/>
      <c r="BG3106" s="10"/>
      <c r="BH3106" s="10"/>
      <c r="BI3106" s="10"/>
      <c r="BJ3106" s="10"/>
      <c r="BK3106" s="10"/>
      <c r="BM3106" s="10"/>
    </row>
    <row r="3107" spans="1:65" ht="12.75">
      <c r="A3107" s="9"/>
      <c r="B3107" s="10"/>
      <c r="C3107" s="11"/>
      <c r="D3107" s="12"/>
      <c r="E3107" s="10"/>
      <c r="F3107" s="10"/>
      <c r="G3107" s="10"/>
      <c r="H3107" s="14"/>
      <c r="I3107" s="14"/>
      <c r="J3107" s="14"/>
      <c r="K3107" s="14"/>
      <c r="L3107" s="14"/>
      <c r="M3107" s="15"/>
      <c r="N3107" s="10"/>
      <c r="O3107" s="14"/>
      <c r="P3107" s="14"/>
      <c r="Q3107" s="14"/>
      <c r="R3107" s="14"/>
      <c r="S3107" s="14"/>
      <c r="T3107" s="14"/>
      <c r="U3107" s="14"/>
      <c r="V3107" s="14"/>
      <c r="W3107" s="14"/>
      <c r="X3107" s="14"/>
      <c r="Y3107" s="14"/>
      <c r="Z3107" s="14"/>
      <c r="AA3107" s="16"/>
      <c r="AB3107" s="10"/>
      <c r="AC3107" s="10"/>
      <c r="AD3107" s="10"/>
      <c r="AE3107" s="10"/>
      <c r="AF3107" s="10"/>
      <c r="AG3107" s="10"/>
      <c r="AH3107" s="10"/>
      <c r="AI3107" s="10"/>
      <c r="AJ3107" s="10"/>
      <c r="AK3107" s="10"/>
      <c r="AL3107" s="10"/>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c r="BH3107" s="10"/>
      <c r="BI3107" s="10"/>
      <c r="BJ3107" s="10"/>
      <c r="BK3107" s="10"/>
      <c r="BM3107" s="10"/>
    </row>
    <row r="3108" spans="1:65" ht="12.75">
      <c r="A3108" s="9"/>
      <c r="B3108" s="10"/>
      <c r="C3108" s="11"/>
      <c r="D3108" s="12"/>
      <c r="E3108" s="10"/>
      <c r="F3108" s="10"/>
      <c r="G3108" s="10"/>
      <c r="H3108" s="14"/>
      <c r="I3108" s="14"/>
      <c r="J3108" s="14"/>
      <c r="K3108" s="14"/>
      <c r="L3108" s="14"/>
      <c r="M3108" s="15"/>
      <c r="N3108" s="10"/>
      <c r="O3108" s="14"/>
      <c r="P3108" s="14"/>
      <c r="Q3108" s="14"/>
      <c r="R3108" s="14"/>
      <c r="S3108" s="14"/>
      <c r="T3108" s="14"/>
      <c r="U3108" s="14"/>
      <c r="V3108" s="14"/>
      <c r="W3108" s="14"/>
      <c r="X3108" s="14"/>
      <c r="Y3108" s="14"/>
      <c r="Z3108" s="14"/>
      <c r="AA3108" s="16"/>
      <c r="AB3108" s="10"/>
      <c r="AC3108" s="10"/>
      <c r="AD3108" s="10"/>
      <c r="AE3108" s="10"/>
      <c r="AF3108" s="10"/>
      <c r="AG3108" s="10"/>
      <c r="AH3108" s="10"/>
      <c r="AI3108" s="10"/>
      <c r="AJ3108" s="10"/>
      <c r="AK3108" s="10"/>
      <c r="AL3108" s="10"/>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c r="BH3108" s="10"/>
      <c r="BI3108" s="10"/>
      <c r="BJ3108" s="10"/>
      <c r="BK3108" s="10"/>
      <c r="BM3108" s="10"/>
    </row>
    <row r="3109" spans="1:65" ht="12.75">
      <c r="A3109" s="9"/>
      <c r="B3109" s="10"/>
      <c r="C3109" s="11"/>
      <c r="D3109" s="12"/>
      <c r="E3109" s="10"/>
      <c r="F3109" s="10"/>
      <c r="G3109" s="10"/>
      <c r="H3109" s="14"/>
      <c r="I3109" s="14"/>
      <c r="J3109" s="14"/>
      <c r="K3109" s="14"/>
      <c r="L3109" s="14"/>
      <c r="M3109" s="15"/>
      <c r="N3109" s="10"/>
      <c r="O3109" s="14"/>
      <c r="P3109" s="14"/>
      <c r="Q3109" s="14"/>
      <c r="R3109" s="14"/>
      <c r="S3109" s="14"/>
      <c r="T3109" s="14"/>
      <c r="U3109" s="14"/>
      <c r="V3109" s="14"/>
      <c r="W3109" s="14"/>
      <c r="X3109" s="14"/>
      <c r="Y3109" s="14"/>
      <c r="Z3109" s="14"/>
      <c r="AA3109" s="16"/>
      <c r="AB3109" s="10"/>
      <c r="AC3109" s="10"/>
      <c r="AD3109" s="10"/>
      <c r="AE3109" s="10"/>
      <c r="AF3109" s="10"/>
      <c r="AG3109" s="10"/>
      <c r="AH3109" s="10"/>
      <c r="AI3109" s="10"/>
      <c r="AJ3109" s="10"/>
      <c r="AK3109" s="10"/>
      <c r="AL3109" s="10"/>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10"/>
      <c r="BJ3109" s="10"/>
      <c r="BK3109" s="10"/>
      <c r="BM3109" s="10"/>
    </row>
    <row r="3110" spans="1:65" ht="12.75">
      <c r="A3110" s="9"/>
      <c r="B3110" s="10"/>
      <c r="C3110" s="11"/>
      <c r="D3110" s="12"/>
      <c r="E3110" s="10"/>
      <c r="F3110" s="10"/>
      <c r="G3110" s="10"/>
      <c r="H3110" s="14"/>
      <c r="I3110" s="14"/>
      <c r="J3110" s="14"/>
      <c r="K3110" s="14"/>
      <c r="L3110" s="14"/>
      <c r="M3110" s="15"/>
      <c r="N3110" s="10"/>
      <c r="O3110" s="14"/>
      <c r="P3110" s="14"/>
      <c r="Q3110" s="14"/>
      <c r="R3110" s="14"/>
      <c r="S3110" s="14"/>
      <c r="T3110" s="14"/>
      <c r="U3110" s="14"/>
      <c r="V3110" s="14"/>
      <c r="W3110" s="14"/>
      <c r="X3110" s="14"/>
      <c r="Y3110" s="14"/>
      <c r="Z3110" s="14"/>
      <c r="AA3110" s="16"/>
      <c r="AB3110" s="10"/>
      <c r="AC3110" s="10"/>
      <c r="AD3110" s="10"/>
      <c r="AE3110" s="10"/>
      <c r="AF3110" s="10"/>
      <c r="AG3110" s="10"/>
      <c r="AH3110" s="10"/>
      <c r="AI3110" s="10"/>
      <c r="AJ3110" s="10"/>
      <c r="AK3110" s="10"/>
      <c r="AL3110" s="10"/>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10"/>
      <c r="BJ3110" s="10"/>
      <c r="BK3110" s="10"/>
      <c r="BM3110" s="10"/>
    </row>
    <row r="3111" spans="1:65" ht="12.75">
      <c r="A3111" s="9"/>
      <c r="B3111" s="10"/>
      <c r="C3111" s="11"/>
      <c r="D3111" s="12"/>
      <c r="E3111" s="10"/>
      <c r="F3111" s="10"/>
      <c r="G3111" s="10"/>
      <c r="H3111" s="14"/>
      <c r="I3111" s="14"/>
      <c r="J3111" s="14"/>
      <c r="K3111" s="14"/>
      <c r="L3111" s="14"/>
      <c r="M3111" s="15"/>
      <c r="N3111" s="10"/>
      <c r="O3111" s="14"/>
      <c r="P3111" s="14"/>
      <c r="Q3111" s="14"/>
      <c r="R3111" s="14"/>
      <c r="S3111" s="14"/>
      <c r="T3111" s="14"/>
      <c r="U3111" s="14"/>
      <c r="V3111" s="14"/>
      <c r="W3111" s="14"/>
      <c r="X3111" s="14"/>
      <c r="Y3111" s="14"/>
      <c r="Z3111" s="14"/>
      <c r="AA3111" s="16"/>
      <c r="AB3111" s="10"/>
      <c r="AC3111" s="10"/>
      <c r="AD3111" s="10"/>
      <c r="AE3111" s="10"/>
      <c r="AF3111" s="10"/>
      <c r="AG3111" s="10"/>
      <c r="AH3111" s="10"/>
      <c r="AI3111" s="10"/>
      <c r="AJ3111" s="10"/>
      <c r="AK3111" s="10"/>
      <c r="AL3111" s="10"/>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10"/>
      <c r="BJ3111" s="10"/>
      <c r="BK3111" s="10"/>
      <c r="BM3111" s="10"/>
    </row>
    <row r="3112" spans="1:65" ht="12.75">
      <c r="A3112" s="9"/>
      <c r="B3112" s="10"/>
      <c r="C3112" s="11"/>
      <c r="D3112" s="12"/>
      <c r="E3112" s="10"/>
      <c r="F3112" s="10"/>
      <c r="G3112" s="10"/>
      <c r="H3112" s="14"/>
      <c r="I3112" s="14"/>
      <c r="J3112" s="14"/>
      <c r="K3112" s="14"/>
      <c r="L3112" s="14"/>
      <c r="M3112" s="15"/>
      <c r="N3112" s="10"/>
      <c r="O3112" s="14"/>
      <c r="P3112" s="14"/>
      <c r="Q3112" s="14"/>
      <c r="R3112" s="14"/>
      <c r="S3112" s="14"/>
      <c r="T3112" s="14"/>
      <c r="U3112" s="14"/>
      <c r="V3112" s="14"/>
      <c r="W3112" s="14"/>
      <c r="X3112" s="14"/>
      <c r="Y3112" s="14"/>
      <c r="Z3112" s="14"/>
      <c r="AA3112" s="16"/>
      <c r="AB3112" s="10"/>
      <c r="AC3112" s="10"/>
      <c r="AD3112" s="10"/>
      <c r="AE3112" s="10"/>
      <c r="AF3112" s="10"/>
      <c r="AG3112" s="10"/>
      <c r="AH3112" s="10"/>
      <c r="AI3112" s="10"/>
      <c r="AJ3112" s="10"/>
      <c r="AK3112" s="10"/>
      <c r="AL3112" s="10"/>
      <c r="AM3112" s="10"/>
      <c r="AN3112" s="10"/>
      <c r="AO3112" s="10"/>
      <c r="AP3112" s="10"/>
      <c r="AQ3112" s="10"/>
      <c r="AR3112" s="10"/>
      <c r="AS3112" s="10"/>
      <c r="AT3112" s="10"/>
      <c r="AU3112" s="10"/>
      <c r="AV3112" s="10"/>
      <c r="AW3112" s="10"/>
      <c r="AX3112" s="10"/>
      <c r="AY3112" s="10"/>
      <c r="AZ3112" s="10"/>
      <c r="BA3112" s="10"/>
      <c r="BB3112" s="10"/>
      <c r="BC3112" s="10"/>
      <c r="BD3112" s="10"/>
      <c r="BE3112" s="10"/>
      <c r="BF3112" s="10"/>
      <c r="BG3112" s="10"/>
      <c r="BH3112" s="10"/>
      <c r="BI3112" s="10"/>
      <c r="BJ3112" s="10"/>
      <c r="BK3112" s="10"/>
      <c r="BM3112" s="10"/>
    </row>
    <row r="3113" spans="1:65" ht="12.75">
      <c r="A3113" s="9"/>
      <c r="B3113" s="10"/>
      <c r="C3113" s="11"/>
      <c r="D3113" s="12"/>
      <c r="E3113" s="10"/>
      <c r="F3113" s="10"/>
      <c r="G3113" s="10"/>
      <c r="H3113" s="14"/>
      <c r="I3113" s="14"/>
      <c r="J3113" s="14"/>
      <c r="K3113" s="14"/>
      <c r="L3113" s="14"/>
      <c r="M3113" s="15"/>
      <c r="N3113" s="10"/>
      <c r="O3113" s="14"/>
      <c r="P3113" s="14"/>
      <c r="Q3113" s="14"/>
      <c r="R3113" s="14"/>
      <c r="S3113" s="14"/>
      <c r="T3113" s="14"/>
      <c r="U3113" s="14"/>
      <c r="V3113" s="14"/>
      <c r="W3113" s="14"/>
      <c r="X3113" s="14"/>
      <c r="Y3113" s="14"/>
      <c r="Z3113" s="14"/>
      <c r="AA3113" s="16"/>
      <c r="AB3113" s="10"/>
      <c r="AC3113" s="10"/>
      <c r="AD3113" s="10"/>
      <c r="AE3113" s="10"/>
      <c r="AF3113" s="10"/>
      <c r="AG3113" s="10"/>
      <c r="AH3113" s="10"/>
      <c r="AI3113" s="10"/>
      <c r="AJ3113" s="10"/>
      <c r="AK3113" s="10"/>
      <c r="AL3113" s="10"/>
      <c r="AM3113" s="10"/>
      <c r="AN3113" s="10"/>
      <c r="AO3113" s="10"/>
      <c r="AP3113" s="10"/>
      <c r="AQ3113" s="10"/>
      <c r="AR3113" s="10"/>
      <c r="AS3113" s="10"/>
      <c r="AT3113" s="10"/>
      <c r="AU3113" s="10"/>
      <c r="AV3113" s="10"/>
      <c r="AW3113" s="10"/>
      <c r="AX3113" s="10"/>
      <c r="AY3113" s="10"/>
      <c r="AZ3113" s="10"/>
      <c r="BA3113" s="10"/>
      <c r="BB3113" s="10"/>
      <c r="BC3113" s="10"/>
      <c r="BD3113" s="10"/>
      <c r="BE3113" s="10"/>
      <c r="BF3113" s="10"/>
      <c r="BG3113" s="10"/>
      <c r="BH3113" s="10"/>
      <c r="BI3113" s="10"/>
      <c r="BJ3113" s="10"/>
      <c r="BK3113" s="10"/>
      <c r="BM3113" s="10"/>
    </row>
    <row r="3114" spans="1:65" ht="12.75">
      <c r="A3114" s="9"/>
      <c r="B3114" s="10"/>
      <c r="C3114" s="11"/>
      <c r="D3114" s="12"/>
      <c r="E3114" s="10"/>
      <c r="F3114" s="10"/>
      <c r="G3114" s="10"/>
      <c r="H3114" s="14"/>
      <c r="I3114" s="14"/>
      <c r="J3114" s="14"/>
      <c r="K3114" s="14"/>
      <c r="L3114" s="14"/>
      <c r="M3114" s="15"/>
      <c r="N3114" s="10"/>
      <c r="O3114" s="14"/>
      <c r="P3114" s="14"/>
      <c r="Q3114" s="14"/>
      <c r="R3114" s="14"/>
      <c r="S3114" s="14"/>
      <c r="T3114" s="14"/>
      <c r="U3114" s="14"/>
      <c r="V3114" s="14"/>
      <c r="W3114" s="14"/>
      <c r="X3114" s="14"/>
      <c r="Y3114" s="14"/>
      <c r="Z3114" s="14"/>
      <c r="AA3114" s="16"/>
      <c r="AB3114" s="10"/>
      <c r="AC3114" s="10"/>
      <c r="AD3114" s="10"/>
      <c r="AE3114" s="10"/>
      <c r="AF3114" s="10"/>
      <c r="AG3114" s="10"/>
      <c r="AH3114" s="10"/>
      <c r="AI3114" s="10"/>
      <c r="AJ3114" s="10"/>
      <c r="AK3114" s="10"/>
      <c r="AL3114" s="1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0"/>
      <c r="BM3114" s="10"/>
    </row>
    <row r="3115" spans="1:65" ht="12.75">
      <c r="A3115" s="9"/>
      <c r="B3115" s="10"/>
      <c r="C3115" s="11"/>
      <c r="D3115" s="12"/>
      <c r="E3115" s="10"/>
      <c r="F3115" s="10"/>
      <c r="G3115" s="10"/>
      <c r="H3115" s="14"/>
      <c r="I3115" s="14"/>
      <c r="J3115" s="14"/>
      <c r="K3115" s="14"/>
      <c r="L3115" s="14"/>
      <c r="M3115" s="15"/>
      <c r="N3115" s="10"/>
      <c r="O3115" s="14"/>
      <c r="P3115" s="14"/>
      <c r="Q3115" s="14"/>
      <c r="R3115" s="14"/>
      <c r="S3115" s="14"/>
      <c r="T3115" s="14"/>
      <c r="U3115" s="14"/>
      <c r="V3115" s="14"/>
      <c r="W3115" s="14"/>
      <c r="X3115" s="14"/>
      <c r="Y3115" s="14"/>
      <c r="Z3115" s="14"/>
      <c r="AA3115" s="16"/>
      <c r="AB3115" s="10"/>
      <c r="AC3115" s="10"/>
      <c r="AD3115" s="10"/>
      <c r="AE3115" s="10"/>
      <c r="AF3115" s="10"/>
      <c r="AG3115" s="10"/>
      <c r="AH3115" s="10"/>
      <c r="AI3115" s="10"/>
      <c r="AJ3115" s="10"/>
      <c r="AK3115" s="10"/>
      <c r="AL3115" s="10"/>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10"/>
      <c r="BJ3115" s="10"/>
      <c r="BK3115" s="10"/>
      <c r="BM3115" s="10"/>
    </row>
    <row r="3116" spans="1:65" ht="12.75">
      <c r="A3116" s="9"/>
      <c r="B3116" s="10"/>
      <c r="C3116" s="11"/>
      <c r="D3116" s="12"/>
      <c r="E3116" s="10"/>
      <c r="F3116" s="10"/>
      <c r="G3116" s="10"/>
      <c r="H3116" s="14"/>
      <c r="I3116" s="14"/>
      <c r="J3116" s="14"/>
      <c r="K3116" s="14"/>
      <c r="L3116" s="14"/>
      <c r="M3116" s="15"/>
      <c r="N3116" s="10"/>
      <c r="O3116" s="14"/>
      <c r="P3116" s="14"/>
      <c r="Q3116" s="14"/>
      <c r="R3116" s="14"/>
      <c r="S3116" s="14"/>
      <c r="T3116" s="14"/>
      <c r="U3116" s="14"/>
      <c r="V3116" s="14"/>
      <c r="W3116" s="14"/>
      <c r="X3116" s="14"/>
      <c r="Y3116" s="14"/>
      <c r="Z3116" s="14"/>
      <c r="AA3116" s="16"/>
      <c r="AB3116" s="10"/>
      <c r="AC3116" s="10"/>
      <c r="AD3116" s="10"/>
      <c r="AE3116" s="10"/>
      <c r="AF3116" s="10"/>
      <c r="AG3116" s="10"/>
      <c r="AH3116" s="10"/>
      <c r="AI3116" s="10"/>
      <c r="AJ3116" s="10"/>
      <c r="AK3116" s="10"/>
      <c r="AL3116" s="1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0"/>
      <c r="BM3116" s="10"/>
    </row>
    <row r="3117" spans="1:65" ht="12.75">
      <c r="A3117" s="9"/>
      <c r="B3117" s="10"/>
      <c r="C3117" s="11"/>
      <c r="D3117" s="12"/>
      <c r="E3117" s="10"/>
      <c r="F3117" s="10"/>
      <c r="G3117" s="10"/>
      <c r="H3117" s="14"/>
      <c r="I3117" s="14"/>
      <c r="J3117" s="14"/>
      <c r="K3117" s="14"/>
      <c r="L3117" s="14"/>
      <c r="M3117" s="15"/>
      <c r="N3117" s="10"/>
      <c r="O3117" s="14"/>
      <c r="P3117" s="14"/>
      <c r="Q3117" s="14"/>
      <c r="R3117" s="14"/>
      <c r="S3117" s="14"/>
      <c r="T3117" s="14"/>
      <c r="U3117" s="14"/>
      <c r="V3117" s="14"/>
      <c r="W3117" s="14"/>
      <c r="X3117" s="14"/>
      <c r="Y3117" s="14"/>
      <c r="Z3117" s="14"/>
      <c r="AA3117" s="16"/>
      <c r="AB3117" s="10"/>
      <c r="AC3117" s="10"/>
      <c r="AD3117" s="10"/>
      <c r="AE3117" s="10"/>
      <c r="AF3117" s="10"/>
      <c r="AG3117" s="10"/>
      <c r="AH3117" s="10"/>
      <c r="AI3117" s="10"/>
      <c r="AJ3117" s="10"/>
      <c r="AK3117" s="10"/>
      <c r="AL3117" s="10"/>
      <c r="AM3117" s="10"/>
      <c r="AN3117" s="10"/>
      <c r="AO3117" s="10"/>
      <c r="AP3117" s="10"/>
      <c r="AQ3117" s="10"/>
      <c r="AR3117" s="10"/>
      <c r="AS3117" s="10"/>
      <c r="AT3117" s="10"/>
      <c r="AU3117" s="10"/>
      <c r="AV3117" s="10"/>
      <c r="AW3117" s="10"/>
      <c r="AX3117" s="10"/>
      <c r="AY3117" s="10"/>
      <c r="AZ3117" s="10"/>
      <c r="BA3117" s="10"/>
      <c r="BB3117" s="10"/>
      <c r="BC3117" s="10"/>
      <c r="BD3117" s="10"/>
      <c r="BE3117" s="10"/>
      <c r="BF3117" s="10"/>
      <c r="BG3117" s="10"/>
      <c r="BH3117" s="10"/>
      <c r="BI3117" s="10"/>
      <c r="BJ3117" s="10"/>
      <c r="BK3117" s="10"/>
      <c r="BM3117" s="10"/>
    </row>
    <row r="3118" spans="1:65" ht="12.75">
      <c r="A3118" s="9"/>
      <c r="B3118" s="10"/>
      <c r="C3118" s="11"/>
      <c r="D3118" s="12"/>
      <c r="E3118" s="10"/>
      <c r="F3118" s="10"/>
      <c r="G3118" s="10"/>
      <c r="H3118" s="14"/>
      <c r="I3118" s="14"/>
      <c r="J3118" s="14"/>
      <c r="K3118" s="14"/>
      <c r="L3118" s="14"/>
      <c r="M3118" s="15"/>
      <c r="N3118" s="10"/>
      <c r="O3118" s="14"/>
      <c r="P3118" s="14"/>
      <c r="Q3118" s="14"/>
      <c r="R3118" s="14"/>
      <c r="S3118" s="14"/>
      <c r="T3118" s="14"/>
      <c r="U3118" s="14"/>
      <c r="V3118" s="14"/>
      <c r="W3118" s="14"/>
      <c r="X3118" s="14"/>
      <c r="Y3118" s="14"/>
      <c r="Z3118" s="14"/>
      <c r="AA3118" s="16"/>
      <c r="AB3118" s="10"/>
      <c r="AC3118" s="10"/>
      <c r="AD3118" s="10"/>
      <c r="AE3118" s="10"/>
      <c r="AF3118" s="10"/>
      <c r="AG3118" s="10"/>
      <c r="AH3118" s="10"/>
      <c r="AI3118" s="10"/>
      <c r="AJ3118" s="10"/>
      <c r="AK3118" s="10"/>
      <c r="AL3118" s="10"/>
      <c r="AM3118" s="10"/>
      <c r="AN3118" s="10"/>
      <c r="AO3118" s="10"/>
      <c r="AP3118" s="10"/>
      <c r="AQ3118" s="10"/>
      <c r="AR3118" s="10"/>
      <c r="AS3118" s="10"/>
      <c r="AT3118" s="10"/>
      <c r="AU3118" s="10"/>
      <c r="AV3118" s="10"/>
      <c r="AW3118" s="10"/>
      <c r="AX3118" s="10"/>
      <c r="AY3118" s="10"/>
      <c r="AZ3118" s="10"/>
      <c r="BA3118" s="10"/>
      <c r="BB3118" s="10"/>
      <c r="BC3118" s="10"/>
      <c r="BD3118" s="10"/>
      <c r="BE3118" s="10"/>
      <c r="BF3118" s="10"/>
      <c r="BG3118" s="10"/>
      <c r="BH3118" s="10"/>
      <c r="BI3118" s="10"/>
      <c r="BJ3118" s="10"/>
      <c r="BK3118" s="10"/>
      <c r="BM3118" s="10"/>
    </row>
    <row r="3119" spans="1:65" ht="12.75">
      <c r="A3119" s="9"/>
      <c r="B3119" s="10"/>
      <c r="C3119" s="11"/>
      <c r="D3119" s="12"/>
      <c r="E3119" s="10"/>
      <c r="F3119" s="10"/>
      <c r="G3119" s="10"/>
      <c r="H3119" s="14"/>
      <c r="I3119" s="14"/>
      <c r="J3119" s="14"/>
      <c r="K3119" s="14"/>
      <c r="L3119" s="14"/>
      <c r="M3119" s="15"/>
      <c r="N3119" s="10"/>
      <c r="O3119" s="14"/>
      <c r="P3119" s="14"/>
      <c r="Q3119" s="14"/>
      <c r="R3119" s="14"/>
      <c r="S3119" s="14"/>
      <c r="T3119" s="14"/>
      <c r="U3119" s="14"/>
      <c r="V3119" s="14"/>
      <c r="W3119" s="14"/>
      <c r="X3119" s="14"/>
      <c r="Y3119" s="14"/>
      <c r="Z3119" s="14"/>
      <c r="AA3119" s="16"/>
      <c r="AB3119" s="10"/>
      <c r="AC3119" s="10"/>
      <c r="AD3119" s="10"/>
      <c r="AE3119" s="10"/>
      <c r="AF3119" s="10"/>
      <c r="AG3119" s="10"/>
      <c r="AH3119" s="10"/>
      <c r="AI3119" s="10"/>
      <c r="AJ3119" s="10"/>
      <c r="AK3119" s="10"/>
      <c r="AL3119" s="10"/>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10"/>
      <c r="BJ3119" s="10"/>
      <c r="BK3119" s="10"/>
      <c r="BM3119" s="10"/>
    </row>
    <row r="3120" spans="1:65" ht="12.75">
      <c r="A3120" s="9"/>
      <c r="B3120" s="10"/>
      <c r="C3120" s="11"/>
      <c r="D3120" s="12"/>
      <c r="E3120" s="10"/>
      <c r="F3120" s="10"/>
      <c r="G3120" s="10"/>
      <c r="H3120" s="14"/>
      <c r="I3120" s="14"/>
      <c r="J3120" s="14"/>
      <c r="K3120" s="14"/>
      <c r="L3120" s="14"/>
      <c r="M3120" s="15"/>
      <c r="N3120" s="10"/>
      <c r="O3120" s="14"/>
      <c r="P3120" s="14"/>
      <c r="Q3120" s="14"/>
      <c r="R3120" s="14"/>
      <c r="S3120" s="14"/>
      <c r="T3120" s="14"/>
      <c r="U3120" s="14"/>
      <c r="V3120" s="14"/>
      <c r="W3120" s="14"/>
      <c r="X3120" s="14"/>
      <c r="Y3120" s="14"/>
      <c r="Z3120" s="14"/>
      <c r="AA3120" s="16"/>
      <c r="AB3120" s="10"/>
      <c r="AC3120" s="10"/>
      <c r="AD3120" s="10"/>
      <c r="AE3120" s="10"/>
      <c r="AF3120" s="10"/>
      <c r="AG3120" s="10"/>
      <c r="AH3120" s="10"/>
      <c r="AI3120" s="10"/>
      <c r="AJ3120" s="10"/>
      <c r="AK3120" s="10"/>
      <c r="AL3120" s="10"/>
      <c r="AM3120" s="10"/>
      <c r="AN3120" s="10"/>
      <c r="AO3120" s="10"/>
      <c r="AP3120" s="10"/>
      <c r="AQ3120" s="10"/>
      <c r="AR3120" s="10"/>
      <c r="AS3120" s="10"/>
      <c r="AT3120" s="10"/>
      <c r="AU3120" s="10"/>
      <c r="AV3120" s="10"/>
      <c r="AW3120" s="10"/>
      <c r="AX3120" s="10"/>
      <c r="AY3120" s="10"/>
      <c r="AZ3120" s="10"/>
      <c r="BA3120" s="10"/>
      <c r="BB3120" s="10"/>
      <c r="BC3120" s="10"/>
      <c r="BD3120" s="10"/>
      <c r="BE3120" s="10"/>
      <c r="BF3120" s="10"/>
      <c r="BG3120" s="10"/>
      <c r="BH3120" s="10"/>
      <c r="BI3120" s="10"/>
      <c r="BJ3120" s="10"/>
      <c r="BK3120" s="10"/>
      <c r="BM3120" s="10"/>
    </row>
    <row r="3121" spans="1:65" ht="12.75">
      <c r="A3121" s="9"/>
      <c r="B3121" s="10"/>
      <c r="C3121" s="11"/>
      <c r="D3121" s="12"/>
      <c r="E3121" s="10"/>
      <c r="F3121" s="10"/>
      <c r="G3121" s="10"/>
      <c r="H3121" s="14"/>
      <c r="I3121" s="14"/>
      <c r="J3121" s="14"/>
      <c r="K3121" s="14"/>
      <c r="L3121" s="14"/>
      <c r="M3121" s="15"/>
      <c r="N3121" s="10"/>
      <c r="O3121" s="14"/>
      <c r="P3121" s="14"/>
      <c r="Q3121" s="14"/>
      <c r="R3121" s="14"/>
      <c r="S3121" s="14"/>
      <c r="T3121" s="14"/>
      <c r="U3121" s="14"/>
      <c r="V3121" s="14"/>
      <c r="W3121" s="14"/>
      <c r="X3121" s="14"/>
      <c r="Y3121" s="14"/>
      <c r="Z3121" s="14"/>
      <c r="AA3121" s="16"/>
      <c r="AB3121" s="10"/>
      <c r="AC3121" s="10"/>
      <c r="AD3121" s="10"/>
      <c r="AE3121" s="10"/>
      <c r="AF3121" s="10"/>
      <c r="AG3121" s="10"/>
      <c r="AH3121" s="10"/>
      <c r="AI3121" s="10"/>
      <c r="AJ3121" s="10"/>
      <c r="AK3121" s="10"/>
      <c r="AL3121" s="10"/>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10"/>
      <c r="BJ3121" s="10"/>
      <c r="BK3121" s="10"/>
      <c r="BM3121" s="10"/>
    </row>
    <row r="3122" spans="1:65" ht="12.75">
      <c r="A3122" s="9"/>
      <c r="B3122" s="10"/>
      <c r="C3122" s="11"/>
      <c r="D3122" s="12"/>
      <c r="E3122" s="10"/>
      <c r="F3122" s="10"/>
      <c r="G3122" s="10"/>
      <c r="H3122" s="14"/>
      <c r="I3122" s="14"/>
      <c r="J3122" s="14"/>
      <c r="K3122" s="14"/>
      <c r="L3122" s="14"/>
      <c r="M3122" s="15"/>
      <c r="N3122" s="10"/>
      <c r="O3122" s="14"/>
      <c r="P3122" s="14"/>
      <c r="Q3122" s="14"/>
      <c r="R3122" s="14"/>
      <c r="S3122" s="14"/>
      <c r="T3122" s="14"/>
      <c r="U3122" s="14"/>
      <c r="V3122" s="14"/>
      <c r="W3122" s="14"/>
      <c r="X3122" s="14"/>
      <c r="Y3122" s="14"/>
      <c r="Z3122" s="14"/>
      <c r="AA3122" s="16"/>
      <c r="AB3122" s="10"/>
      <c r="AC3122" s="10"/>
      <c r="AD3122" s="10"/>
      <c r="AE3122" s="10"/>
      <c r="AF3122" s="10"/>
      <c r="AG3122" s="10"/>
      <c r="AH3122" s="10"/>
      <c r="AI3122" s="10"/>
      <c r="AJ3122" s="10"/>
      <c r="AK3122" s="10"/>
      <c r="AL3122" s="10"/>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10"/>
      <c r="BJ3122" s="10"/>
      <c r="BK3122" s="10"/>
      <c r="BM3122" s="10"/>
    </row>
    <row r="3123" spans="1:65" ht="12.75">
      <c r="A3123" s="9"/>
      <c r="B3123" s="10"/>
      <c r="C3123" s="11"/>
      <c r="D3123" s="12"/>
      <c r="E3123" s="10"/>
      <c r="F3123" s="10"/>
      <c r="G3123" s="10"/>
      <c r="H3123" s="14"/>
      <c r="I3123" s="14"/>
      <c r="J3123" s="14"/>
      <c r="K3123" s="14"/>
      <c r="L3123" s="14"/>
      <c r="M3123" s="15"/>
      <c r="N3123" s="10"/>
      <c r="O3123" s="14"/>
      <c r="P3123" s="14"/>
      <c r="Q3123" s="14"/>
      <c r="R3123" s="14"/>
      <c r="S3123" s="14"/>
      <c r="T3123" s="14"/>
      <c r="U3123" s="14"/>
      <c r="V3123" s="14"/>
      <c r="W3123" s="14"/>
      <c r="X3123" s="14"/>
      <c r="Y3123" s="14"/>
      <c r="Z3123" s="14"/>
      <c r="AA3123" s="16"/>
      <c r="AB3123" s="10"/>
      <c r="AC3123" s="10"/>
      <c r="AD3123" s="10"/>
      <c r="AE3123" s="10"/>
      <c r="AF3123" s="10"/>
      <c r="AG3123" s="10"/>
      <c r="AH3123" s="10"/>
      <c r="AI3123" s="10"/>
      <c r="AJ3123" s="10"/>
      <c r="AK3123" s="10"/>
      <c r="AL3123" s="10"/>
      <c r="AM3123" s="10"/>
      <c r="AN3123" s="10"/>
      <c r="AO3123" s="10"/>
      <c r="AP3123" s="10"/>
      <c r="AQ3123" s="10"/>
      <c r="AR3123" s="10"/>
      <c r="AS3123" s="10"/>
      <c r="AT3123" s="10"/>
      <c r="AU3123" s="10"/>
      <c r="AV3123" s="10"/>
      <c r="AW3123" s="10"/>
      <c r="AX3123" s="10"/>
      <c r="AY3123" s="10"/>
      <c r="AZ3123" s="10"/>
      <c r="BA3123" s="10"/>
      <c r="BB3123" s="10"/>
      <c r="BC3123" s="10"/>
      <c r="BD3123" s="10"/>
      <c r="BE3123" s="10"/>
      <c r="BF3123" s="10"/>
      <c r="BG3123" s="10"/>
      <c r="BH3123" s="10"/>
      <c r="BI3123" s="10"/>
      <c r="BJ3123" s="10"/>
      <c r="BK3123" s="10"/>
      <c r="BM3123" s="10"/>
    </row>
    <row r="3124" spans="1:65" ht="12.75">
      <c r="A3124" s="9"/>
      <c r="B3124" s="10"/>
      <c r="C3124" s="11"/>
      <c r="D3124" s="12"/>
      <c r="E3124" s="10"/>
      <c r="F3124" s="10"/>
      <c r="G3124" s="10"/>
      <c r="H3124" s="14"/>
      <c r="I3124" s="14"/>
      <c r="J3124" s="14"/>
      <c r="K3124" s="14"/>
      <c r="L3124" s="14"/>
      <c r="M3124" s="15"/>
      <c r="N3124" s="10"/>
      <c r="O3124" s="14"/>
      <c r="P3124" s="14"/>
      <c r="Q3124" s="14"/>
      <c r="R3124" s="14"/>
      <c r="S3124" s="14"/>
      <c r="T3124" s="14"/>
      <c r="U3124" s="14"/>
      <c r="V3124" s="14"/>
      <c r="W3124" s="14"/>
      <c r="X3124" s="14"/>
      <c r="Y3124" s="14"/>
      <c r="Z3124" s="14"/>
      <c r="AA3124" s="16"/>
      <c r="AB3124" s="10"/>
      <c r="AC3124" s="10"/>
      <c r="AD3124" s="10"/>
      <c r="AE3124" s="10"/>
      <c r="AF3124" s="10"/>
      <c r="AG3124" s="10"/>
      <c r="AH3124" s="10"/>
      <c r="AI3124" s="10"/>
      <c r="AJ3124" s="10"/>
      <c r="AK3124" s="10"/>
      <c r="AL3124" s="10"/>
      <c r="AM3124" s="10"/>
      <c r="AN3124" s="10"/>
      <c r="AO3124" s="10"/>
      <c r="AP3124" s="10"/>
      <c r="AQ3124" s="10"/>
      <c r="AR3124" s="10"/>
      <c r="AS3124" s="10"/>
      <c r="AT3124" s="10"/>
      <c r="AU3124" s="10"/>
      <c r="AV3124" s="10"/>
      <c r="AW3124" s="10"/>
      <c r="AX3124" s="10"/>
      <c r="AY3124" s="10"/>
      <c r="AZ3124" s="10"/>
      <c r="BA3124" s="10"/>
      <c r="BB3124" s="10"/>
      <c r="BC3124" s="10"/>
      <c r="BD3124" s="10"/>
      <c r="BE3124" s="10"/>
      <c r="BF3124" s="10"/>
      <c r="BG3124" s="10"/>
      <c r="BH3124" s="10"/>
      <c r="BI3124" s="10"/>
      <c r="BJ3124" s="10"/>
      <c r="BK3124" s="10"/>
      <c r="BM3124" s="10"/>
    </row>
    <row r="3125" spans="1:65" ht="12.75">
      <c r="A3125" s="9"/>
      <c r="B3125" s="10"/>
      <c r="C3125" s="11"/>
      <c r="D3125" s="12"/>
      <c r="E3125" s="10"/>
      <c r="F3125" s="10"/>
      <c r="G3125" s="10"/>
      <c r="H3125" s="14"/>
      <c r="I3125" s="14"/>
      <c r="J3125" s="14"/>
      <c r="K3125" s="14"/>
      <c r="L3125" s="14"/>
      <c r="M3125" s="15"/>
      <c r="N3125" s="10"/>
      <c r="O3125" s="14"/>
      <c r="P3125" s="14"/>
      <c r="Q3125" s="14"/>
      <c r="R3125" s="14"/>
      <c r="S3125" s="14"/>
      <c r="T3125" s="14"/>
      <c r="U3125" s="14"/>
      <c r="V3125" s="14"/>
      <c r="W3125" s="14"/>
      <c r="X3125" s="14"/>
      <c r="Y3125" s="14"/>
      <c r="Z3125" s="14"/>
      <c r="AA3125" s="16"/>
      <c r="AB3125" s="10"/>
      <c r="AC3125" s="10"/>
      <c r="AD3125" s="10"/>
      <c r="AE3125" s="10"/>
      <c r="AF3125" s="10"/>
      <c r="AG3125" s="10"/>
      <c r="AH3125" s="10"/>
      <c r="AI3125" s="10"/>
      <c r="AJ3125" s="10"/>
      <c r="AK3125" s="10"/>
      <c r="AL3125" s="10"/>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10"/>
      <c r="BJ3125" s="10"/>
      <c r="BK3125" s="10"/>
      <c r="BM3125" s="10"/>
    </row>
    <row r="3126" spans="1:65" ht="12.75">
      <c r="A3126" s="9"/>
      <c r="B3126" s="10"/>
      <c r="C3126" s="11"/>
      <c r="D3126" s="12"/>
      <c r="E3126" s="10"/>
      <c r="F3126" s="10"/>
      <c r="G3126" s="10"/>
      <c r="H3126" s="14"/>
      <c r="I3126" s="14"/>
      <c r="J3126" s="14"/>
      <c r="K3126" s="14"/>
      <c r="L3126" s="14"/>
      <c r="M3126" s="15"/>
      <c r="N3126" s="10"/>
      <c r="O3126" s="14"/>
      <c r="P3126" s="14"/>
      <c r="Q3126" s="14"/>
      <c r="R3126" s="14"/>
      <c r="S3126" s="14"/>
      <c r="T3126" s="14"/>
      <c r="U3126" s="14"/>
      <c r="V3126" s="14"/>
      <c r="W3126" s="14"/>
      <c r="X3126" s="14"/>
      <c r="Y3126" s="14"/>
      <c r="Z3126" s="14"/>
      <c r="AA3126" s="16"/>
      <c r="AB3126" s="10"/>
      <c r="AC3126" s="10"/>
      <c r="AD3126" s="10"/>
      <c r="AE3126" s="10"/>
      <c r="AF3126" s="10"/>
      <c r="AG3126" s="10"/>
      <c r="AH3126" s="10"/>
      <c r="AI3126" s="10"/>
      <c r="AJ3126" s="10"/>
      <c r="AK3126" s="10"/>
      <c r="AL3126" s="10"/>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10"/>
      <c r="BJ3126" s="10"/>
      <c r="BK3126" s="10"/>
      <c r="BM3126" s="10"/>
    </row>
    <row r="3127" spans="1:65" ht="12.75">
      <c r="A3127" s="9"/>
      <c r="B3127" s="10"/>
      <c r="C3127" s="11"/>
      <c r="D3127" s="12"/>
      <c r="E3127" s="10"/>
      <c r="F3127" s="10"/>
      <c r="G3127" s="10"/>
      <c r="H3127" s="14"/>
      <c r="I3127" s="14"/>
      <c r="J3127" s="14"/>
      <c r="K3127" s="14"/>
      <c r="L3127" s="14"/>
      <c r="M3127" s="15"/>
      <c r="N3127" s="10"/>
      <c r="O3127" s="14"/>
      <c r="P3127" s="14"/>
      <c r="Q3127" s="14"/>
      <c r="R3127" s="14"/>
      <c r="S3127" s="14"/>
      <c r="T3127" s="14"/>
      <c r="U3127" s="14"/>
      <c r="V3127" s="14"/>
      <c r="W3127" s="14"/>
      <c r="X3127" s="14"/>
      <c r="Y3127" s="14"/>
      <c r="Z3127" s="14"/>
      <c r="AA3127" s="16"/>
      <c r="AB3127" s="10"/>
      <c r="AC3127" s="10"/>
      <c r="AD3127" s="10"/>
      <c r="AE3127" s="10"/>
      <c r="AF3127" s="10"/>
      <c r="AG3127" s="10"/>
      <c r="AH3127" s="10"/>
      <c r="AI3127" s="10"/>
      <c r="AJ3127" s="10"/>
      <c r="AK3127" s="10"/>
      <c r="AL3127" s="10"/>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10"/>
      <c r="BJ3127" s="10"/>
      <c r="BK3127" s="10"/>
      <c r="BM3127" s="10"/>
    </row>
    <row r="3128" spans="1:65" ht="12.75">
      <c r="A3128" s="9"/>
      <c r="B3128" s="10"/>
      <c r="C3128" s="11"/>
      <c r="D3128" s="12"/>
      <c r="E3128" s="10"/>
      <c r="F3128" s="10"/>
      <c r="G3128" s="10"/>
      <c r="H3128" s="14"/>
      <c r="I3128" s="14"/>
      <c r="J3128" s="14"/>
      <c r="K3128" s="14"/>
      <c r="L3128" s="14"/>
      <c r="M3128" s="15"/>
      <c r="N3128" s="10"/>
      <c r="O3128" s="14"/>
      <c r="P3128" s="14"/>
      <c r="Q3128" s="14"/>
      <c r="R3128" s="14"/>
      <c r="S3128" s="14"/>
      <c r="T3128" s="14"/>
      <c r="U3128" s="14"/>
      <c r="V3128" s="14"/>
      <c r="W3128" s="14"/>
      <c r="X3128" s="14"/>
      <c r="Y3128" s="14"/>
      <c r="Z3128" s="14"/>
      <c r="AA3128" s="16"/>
      <c r="AB3128" s="10"/>
      <c r="AC3128" s="10"/>
      <c r="AD3128" s="10"/>
      <c r="AE3128" s="10"/>
      <c r="AF3128" s="10"/>
      <c r="AG3128" s="10"/>
      <c r="AH3128" s="10"/>
      <c r="AI3128" s="10"/>
      <c r="AJ3128" s="10"/>
      <c r="AK3128" s="10"/>
      <c r="AL3128" s="10"/>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10"/>
      <c r="BJ3128" s="10"/>
      <c r="BK3128" s="10"/>
      <c r="BM3128" s="10"/>
    </row>
    <row r="3129" spans="1:65" ht="12.75">
      <c r="A3129" s="9"/>
      <c r="B3129" s="10"/>
      <c r="C3129" s="11"/>
      <c r="D3129" s="12"/>
      <c r="E3129" s="10"/>
      <c r="F3129" s="10"/>
      <c r="G3129" s="10"/>
      <c r="H3129" s="14"/>
      <c r="I3129" s="14"/>
      <c r="J3129" s="14"/>
      <c r="K3129" s="14"/>
      <c r="L3129" s="14"/>
      <c r="M3129" s="15"/>
      <c r="N3129" s="10"/>
      <c r="O3129" s="14"/>
      <c r="P3129" s="14"/>
      <c r="Q3129" s="14"/>
      <c r="R3129" s="14"/>
      <c r="S3129" s="14"/>
      <c r="T3129" s="14"/>
      <c r="U3129" s="14"/>
      <c r="V3129" s="14"/>
      <c r="W3129" s="14"/>
      <c r="X3129" s="14"/>
      <c r="Y3129" s="14"/>
      <c r="Z3129" s="14"/>
      <c r="AA3129" s="16"/>
      <c r="AB3129" s="10"/>
      <c r="AC3129" s="10"/>
      <c r="AD3129" s="10"/>
      <c r="AE3129" s="10"/>
      <c r="AF3129" s="10"/>
      <c r="AG3129" s="10"/>
      <c r="AH3129" s="10"/>
      <c r="AI3129" s="10"/>
      <c r="AJ3129" s="10"/>
      <c r="AK3129" s="10"/>
      <c r="AL3129" s="1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0"/>
      <c r="BM3129" s="10"/>
    </row>
    <row r="3130" spans="1:65" ht="12.75">
      <c r="A3130" s="9"/>
      <c r="B3130" s="10"/>
      <c r="C3130" s="11"/>
      <c r="D3130" s="12"/>
      <c r="E3130" s="10"/>
      <c r="F3130" s="10"/>
      <c r="G3130" s="10"/>
      <c r="H3130" s="14"/>
      <c r="I3130" s="14"/>
      <c r="J3130" s="14"/>
      <c r="K3130" s="14"/>
      <c r="L3130" s="14"/>
      <c r="M3130" s="15"/>
      <c r="N3130" s="10"/>
      <c r="O3130" s="14"/>
      <c r="P3130" s="14"/>
      <c r="Q3130" s="14"/>
      <c r="R3130" s="14"/>
      <c r="S3130" s="14"/>
      <c r="T3130" s="14"/>
      <c r="U3130" s="14"/>
      <c r="V3130" s="14"/>
      <c r="W3130" s="14"/>
      <c r="X3130" s="14"/>
      <c r="Y3130" s="14"/>
      <c r="Z3130" s="14"/>
      <c r="AA3130" s="16"/>
      <c r="AB3130" s="10"/>
      <c r="AC3130" s="10"/>
      <c r="AD3130" s="10"/>
      <c r="AE3130" s="10"/>
      <c r="AF3130" s="10"/>
      <c r="AG3130" s="10"/>
      <c r="AH3130" s="10"/>
      <c r="AI3130" s="10"/>
      <c r="AJ3130" s="10"/>
      <c r="AK3130" s="10"/>
      <c r="AL3130" s="10"/>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10"/>
      <c r="BJ3130" s="10"/>
      <c r="BK3130" s="10"/>
      <c r="BM3130" s="10"/>
    </row>
    <row r="3131" spans="1:65" ht="12.75">
      <c r="A3131" s="9"/>
      <c r="B3131" s="10"/>
      <c r="C3131" s="11"/>
      <c r="D3131" s="12"/>
      <c r="E3131" s="10"/>
      <c r="F3131" s="10"/>
      <c r="G3131" s="10"/>
      <c r="H3131" s="14"/>
      <c r="I3131" s="14"/>
      <c r="J3131" s="14"/>
      <c r="K3131" s="14"/>
      <c r="L3131" s="14"/>
      <c r="M3131" s="15"/>
      <c r="N3131" s="10"/>
      <c r="O3131" s="14"/>
      <c r="P3131" s="14"/>
      <c r="Q3131" s="14"/>
      <c r="R3131" s="14"/>
      <c r="S3131" s="14"/>
      <c r="T3131" s="14"/>
      <c r="U3131" s="14"/>
      <c r="V3131" s="14"/>
      <c r="W3131" s="14"/>
      <c r="X3131" s="14"/>
      <c r="Y3131" s="14"/>
      <c r="Z3131" s="14"/>
      <c r="AA3131" s="16"/>
      <c r="AB3131" s="10"/>
      <c r="AC3131" s="10"/>
      <c r="AD3131" s="10"/>
      <c r="AE3131" s="10"/>
      <c r="AF3131" s="10"/>
      <c r="AG3131" s="10"/>
      <c r="AH3131" s="10"/>
      <c r="AI3131" s="10"/>
      <c r="AJ3131" s="10"/>
      <c r="AK3131" s="10"/>
      <c r="AL3131" s="10"/>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10"/>
      <c r="BJ3131" s="10"/>
      <c r="BK3131" s="10"/>
      <c r="BM3131" s="10"/>
    </row>
    <row r="3132" spans="1:65" ht="12.75">
      <c r="A3132" s="9"/>
      <c r="B3132" s="10"/>
      <c r="C3132" s="11"/>
      <c r="D3132" s="12"/>
      <c r="E3132" s="10"/>
      <c r="F3132" s="10"/>
      <c r="G3132" s="10"/>
      <c r="H3132" s="14"/>
      <c r="I3132" s="14"/>
      <c r="J3132" s="14"/>
      <c r="K3132" s="14"/>
      <c r="L3132" s="14"/>
      <c r="M3132" s="15"/>
      <c r="N3132" s="10"/>
      <c r="O3132" s="14"/>
      <c r="P3132" s="14"/>
      <c r="Q3132" s="14"/>
      <c r="R3132" s="14"/>
      <c r="S3132" s="14"/>
      <c r="T3132" s="14"/>
      <c r="U3132" s="14"/>
      <c r="V3132" s="14"/>
      <c r="W3132" s="14"/>
      <c r="X3132" s="14"/>
      <c r="Y3132" s="14"/>
      <c r="Z3132" s="14"/>
      <c r="AA3132" s="16"/>
      <c r="AB3132" s="10"/>
      <c r="AC3132" s="10"/>
      <c r="AD3132" s="10"/>
      <c r="AE3132" s="10"/>
      <c r="AF3132" s="10"/>
      <c r="AG3132" s="10"/>
      <c r="AH3132" s="10"/>
      <c r="AI3132" s="10"/>
      <c r="AJ3132" s="10"/>
      <c r="AK3132" s="10"/>
      <c r="AL3132" s="10"/>
      <c r="AM3132" s="10"/>
      <c r="AN3132" s="10"/>
      <c r="AO3132" s="10"/>
      <c r="AP3132" s="10"/>
      <c r="AQ3132" s="10"/>
      <c r="AR3132" s="10"/>
      <c r="AS3132" s="10"/>
      <c r="AT3132" s="10"/>
      <c r="AU3132" s="10"/>
      <c r="AV3132" s="10"/>
      <c r="AW3132" s="10"/>
      <c r="AX3132" s="10"/>
      <c r="AY3132" s="10"/>
      <c r="AZ3132" s="10"/>
      <c r="BA3132" s="10"/>
      <c r="BB3132" s="10"/>
      <c r="BC3132" s="10"/>
      <c r="BD3132" s="10"/>
      <c r="BE3132" s="10"/>
      <c r="BF3132" s="10"/>
      <c r="BG3132" s="10"/>
      <c r="BH3132" s="10"/>
      <c r="BI3132" s="10"/>
      <c r="BJ3132" s="10"/>
      <c r="BK3132" s="10"/>
      <c r="BM3132" s="10"/>
    </row>
    <row r="3133" spans="1:65" ht="12.75">
      <c r="A3133" s="9"/>
      <c r="B3133" s="10"/>
      <c r="C3133" s="11"/>
      <c r="D3133" s="12"/>
      <c r="E3133" s="10"/>
      <c r="F3133" s="10"/>
      <c r="G3133" s="10"/>
      <c r="H3133" s="14"/>
      <c r="I3133" s="14"/>
      <c r="J3133" s="14"/>
      <c r="K3133" s="14"/>
      <c r="L3133" s="14"/>
      <c r="M3133" s="15"/>
      <c r="N3133" s="10"/>
      <c r="O3133" s="14"/>
      <c r="P3133" s="14"/>
      <c r="Q3133" s="14"/>
      <c r="R3133" s="14"/>
      <c r="S3133" s="14"/>
      <c r="T3133" s="14"/>
      <c r="U3133" s="14"/>
      <c r="V3133" s="14"/>
      <c r="W3133" s="14"/>
      <c r="X3133" s="14"/>
      <c r="Y3133" s="14"/>
      <c r="Z3133" s="14"/>
      <c r="AA3133" s="16"/>
      <c r="AB3133" s="10"/>
      <c r="AC3133" s="10"/>
      <c r="AD3133" s="10"/>
      <c r="AE3133" s="10"/>
      <c r="AF3133" s="10"/>
      <c r="AG3133" s="10"/>
      <c r="AH3133" s="10"/>
      <c r="AI3133" s="10"/>
      <c r="AJ3133" s="10"/>
      <c r="AK3133" s="10"/>
      <c r="AL3133" s="10"/>
      <c r="AM3133" s="10"/>
      <c r="AN3133" s="10"/>
      <c r="AO3133" s="10"/>
      <c r="AP3133" s="10"/>
      <c r="AQ3133" s="10"/>
      <c r="AR3133" s="10"/>
      <c r="AS3133" s="10"/>
      <c r="AT3133" s="10"/>
      <c r="AU3133" s="10"/>
      <c r="AV3133" s="10"/>
      <c r="AW3133" s="10"/>
      <c r="AX3133" s="10"/>
      <c r="AY3133" s="10"/>
      <c r="AZ3133" s="10"/>
      <c r="BA3133" s="10"/>
      <c r="BB3133" s="10"/>
      <c r="BC3133" s="10"/>
      <c r="BD3133" s="10"/>
      <c r="BE3133" s="10"/>
      <c r="BF3133" s="10"/>
      <c r="BG3133" s="10"/>
      <c r="BH3133" s="10"/>
      <c r="BI3133" s="10"/>
      <c r="BJ3133" s="10"/>
      <c r="BK3133" s="10"/>
      <c r="BM3133" s="10"/>
    </row>
    <row r="3134" spans="1:65" ht="12.75">
      <c r="A3134" s="9"/>
      <c r="B3134" s="10"/>
      <c r="C3134" s="11"/>
      <c r="D3134" s="12"/>
      <c r="E3134" s="10"/>
      <c r="F3134" s="10"/>
      <c r="G3134" s="10"/>
      <c r="H3134" s="14"/>
      <c r="I3134" s="14"/>
      <c r="J3134" s="14"/>
      <c r="K3134" s="14"/>
      <c r="L3134" s="14"/>
      <c r="M3134" s="15"/>
      <c r="N3134" s="10"/>
      <c r="O3134" s="14"/>
      <c r="P3134" s="14"/>
      <c r="Q3134" s="14"/>
      <c r="R3134" s="14"/>
      <c r="S3134" s="14"/>
      <c r="T3134" s="14"/>
      <c r="U3134" s="14"/>
      <c r="V3134" s="14"/>
      <c r="W3134" s="14"/>
      <c r="X3134" s="14"/>
      <c r="Y3134" s="14"/>
      <c r="Z3134" s="14"/>
      <c r="AA3134" s="16"/>
      <c r="AB3134" s="10"/>
      <c r="AC3134" s="10"/>
      <c r="AD3134" s="10"/>
      <c r="AE3134" s="10"/>
      <c r="AF3134" s="10"/>
      <c r="AG3134" s="10"/>
      <c r="AH3134" s="10"/>
      <c r="AI3134" s="10"/>
      <c r="AJ3134" s="10"/>
      <c r="AK3134" s="10"/>
      <c r="AL3134" s="10"/>
      <c r="AM3134" s="10"/>
      <c r="AN3134" s="10"/>
      <c r="AO3134" s="10"/>
      <c r="AP3134" s="10"/>
      <c r="AQ3134" s="10"/>
      <c r="AR3134" s="10"/>
      <c r="AS3134" s="10"/>
      <c r="AT3134" s="10"/>
      <c r="AU3134" s="10"/>
      <c r="AV3134" s="10"/>
      <c r="AW3134" s="10"/>
      <c r="AX3134" s="10"/>
      <c r="AY3134" s="10"/>
      <c r="AZ3134" s="10"/>
      <c r="BA3134" s="10"/>
      <c r="BB3134" s="10"/>
      <c r="BC3134" s="10"/>
      <c r="BD3134" s="10"/>
      <c r="BE3134" s="10"/>
      <c r="BF3134" s="10"/>
      <c r="BG3134" s="10"/>
      <c r="BH3134" s="10"/>
      <c r="BI3134" s="10"/>
      <c r="BJ3134" s="10"/>
      <c r="BK3134" s="10"/>
      <c r="BM3134" s="10"/>
    </row>
    <row r="3135" spans="1:65" ht="12.75">
      <c r="A3135" s="9"/>
      <c r="B3135" s="10"/>
      <c r="C3135" s="11"/>
      <c r="D3135" s="12"/>
      <c r="E3135" s="10"/>
      <c r="F3135" s="10"/>
      <c r="G3135" s="10"/>
      <c r="H3135" s="14"/>
      <c r="I3135" s="14"/>
      <c r="J3135" s="14"/>
      <c r="K3135" s="14"/>
      <c r="L3135" s="14"/>
      <c r="M3135" s="15"/>
      <c r="N3135" s="10"/>
      <c r="O3135" s="14"/>
      <c r="P3135" s="14"/>
      <c r="Q3135" s="14"/>
      <c r="R3135" s="14"/>
      <c r="S3135" s="14"/>
      <c r="T3135" s="14"/>
      <c r="U3135" s="14"/>
      <c r="V3135" s="14"/>
      <c r="W3135" s="14"/>
      <c r="X3135" s="14"/>
      <c r="Y3135" s="14"/>
      <c r="Z3135" s="14"/>
      <c r="AA3135" s="16"/>
      <c r="AB3135" s="10"/>
      <c r="AC3135" s="10"/>
      <c r="AD3135" s="10"/>
      <c r="AE3135" s="10"/>
      <c r="AF3135" s="10"/>
      <c r="AG3135" s="10"/>
      <c r="AH3135" s="10"/>
      <c r="AI3135" s="10"/>
      <c r="AJ3135" s="10"/>
      <c r="AK3135" s="10"/>
      <c r="AL3135" s="1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0"/>
      <c r="BM3135" s="10"/>
    </row>
    <row r="3136" spans="1:65" ht="12.75">
      <c r="A3136" s="9"/>
      <c r="B3136" s="10"/>
      <c r="C3136" s="11"/>
      <c r="D3136" s="12"/>
      <c r="E3136" s="10"/>
      <c r="F3136" s="10"/>
      <c r="G3136" s="10"/>
      <c r="H3136" s="14"/>
      <c r="I3136" s="14"/>
      <c r="J3136" s="14"/>
      <c r="K3136" s="14"/>
      <c r="L3136" s="14"/>
      <c r="M3136" s="15"/>
      <c r="N3136" s="10"/>
      <c r="O3136" s="14"/>
      <c r="P3136" s="14"/>
      <c r="Q3136" s="14"/>
      <c r="R3136" s="14"/>
      <c r="S3136" s="14"/>
      <c r="T3136" s="14"/>
      <c r="U3136" s="14"/>
      <c r="V3136" s="14"/>
      <c r="W3136" s="14"/>
      <c r="X3136" s="14"/>
      <c r="Y3136" s="14"/>
      <c r="Z3136" s="14"/>
      <c r="AA3136" s="16"/>
      <c r="AB3136" s="10"/>
      <c r="AC3136" s="10"/>
      <c r="AD3136" s="10"/>
      <c r="AE3136" s="10"/>
      <c r="AF3136" s="10"/>
      <c r="AG3136" s="10"/>
      <c r="AH3136" s="10"/>
      <c r="AI3136" s="10"/>
      <c r="AJ3136" s="10"/>
      <c r="AK3136" s="10"/>
      <c r="AL3136" s="10"/>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c r="BG3136" s="10"/>
      <c r="BH3136" s="10"/>
      <c r="BI3136" s="10"/>
      <c r="BJ3136" s="10"/>
      <c r="BK3136" s="10"/>
      <c r="BM3136" s="10"/>
    </row>
    <row r="3137" spans="1:65" ht="12.75">
      <c r="A3137" s="9"/>
      <c r="B3137" s="10"/>
      <c r="C3137" s="11"/>
      <c r="D3137" s="12"/>
      <c r="E3137" s="10"/>
      <c r="F3137" s="10"/>
      <c r="G3137" s="10"/>
      <c r="H3137" s="14"/>
      <c r="I3137" s="14"/>
      <c r="J3137" s="14"/>
      <c r="K3137" s="14"/>
      <c r="L3137" s="14"/>
      <c r="M3137" s="15"/>
      <c r="N3137" s="10"/>
      <c r="O3137" s="14"/>
      <c r="P3137" s="14"/>
      <c r="Q3137" s="14"/>
      <c r="R3137" s="14"/>
      <c r="S3137" s="14"/>
      <c r="T3137" s="14"/>
      <c r="U3137" s="14"/>
      <c r="V3137" s="14"/>
      <c r="W3137" s="14"/>
      <c r="X3137" s="14"/>
      <c r="Y3137" s="14"/>
      <c r="Z3137" s="14"/>
      <c r="AA3137" s="16"/>
      <c r="AB3137" s="10"/>
      <c r="AC3137" s="10"/>
      <c r="AD3137" s="10"/>
      <c r="AE3137" s="10"/>
      <c r="AF3137" s="10"/>
      <c r="AG3137" s="10"/>
      <c r="AH3137" s="10"/>
      <c r="AI3137" s="10"/>
      <c r="AJ3137" s="10"/>
      <c r="AK3137" s="10"/>
      <c r="AL3137" s="10"/>
      <c r="AM3137" s="10"/>
      <c r="AN3137" s="10"/>
      <c r="AO3137" s="10"/>
      <c r="AP3137" s="10"/>
      <c r="AQ3137" s="10"/>
      <c r="AR3137" s="10"/>
      <c r="AS3137" s="10"/>
      <c r="AT3137" s="10"/>
      <c r="AU3137" s="10"/>
      <c r="AV3137" s="10"/>
      <c r="AW3137" s="10"/>
      <c r="AX3137" s="10"/>
      <c r="AY3137" s="10"/>
      <c r="AZ3137" s="10"/>
      <c r="BA3137" s="10"/>
      <c r="BB3137" s="10"/>
      <c r="BC3137" s="10"/>
      <c r="BD3137" s="10"/>
      <c r="BE3137" s="10"/>
      <c r="BF3137" s="10"/>
      <c r="BG3137" s="10"/>
      <c r="BH3137" s="10"/>
      <c r="BI3137" s="10"/>
      <c r="BJ3137" s="10"/>
      <c r="BK3137" s="10"/>
      <c r="BM3137" s="10"/>
    </row>
    <row r="3138" spans="1:65" ht="12.75">
      <c r="A3138" s="9"/>
      <c r="B3138" s="10"/>
      <c r="C3138" s="11"/>
      <c r="D3138" s="12"/>
      <c r="E3138" s="10"/>
      <c r="F3138" s="10"/>
      <c r="G3138" s="10"/>
      <c r="H3138" s="14"/>
      <c r="I3138" s="14"/>
      <c r="J3138" s="14"/>
      <c r="K3138" s="14"/>
      <c r="L3138" s="14"/>
      <c r="M3138" s="15"/>
      <c r="N3138" s="10"/>
      <c r="O3138" s="14"/>
      <c r="P3138" s="14"/>
      <c r="Q3138" s="14"/>
      <c r="R3138" s="14"/>
      <c r="S3138" s="14"/>
      <c r="T3138" s="14"/>
      <c r="U3138" s="14"/>
      <c r="V3138" s="14"/>
      <c r="W3138" s="14"/>
      <c r="X3138" s="14"/>
      <c r="Y3138" s="14"/>
      <c r="Z3138" s="14"/>
      <c r="AA3138" s="16"/>
      <c r="AB3138" s="10"/>
      <c r="AC3138" s="10"/>
      <c r="AD3138" s="10"/>
      <c r="AE3138" s="10"/>
      <c r="AF3138" s="10"/>
      <c r="AG3138" s="10"/>
      <c r="AH3138" s="10"/>
      <c r="AI3138" s="10"/>
      <c r="AJ3138" s="10"/>
      <c r="AK3138" s="10"/>
      <c r="AL3138" s="10"/>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10"/>
      <c r="BJ3138" s="10"/>
      <c r="BK3138" s="10"/>
      <c r="BM3138" s="10"/>
    </row>
    <row r="3139" spans="1:65" ht="12.75">
      <c r="A3139" s="9"/>
      <c r="B3139" s="10"/>
      <c r="C3139" s="11"/>
      <c r="D3139" s="12"/>
      <c r="E3139" s="10"/>
      <c r="F3139" s="10"/>
      <c r="G3139" s="10"/>
      <c r="H3139" s="14"/>
      <c r="I3139" s="14"/>
      <c r="J3139" s="14"/>
      <c r="K3139" s="14"/>
      <c r="L3139" s="14"/>
      <c r="M3139" s="15"/>
      <c r="N3139" s="10"/>
      <c r="O3139" s="14"/>
      <c r="P3139" s="14"/>
      <c r="Q3139" s="14"/>
      <c r="R3139" s="14"/>
      <c r="S3139" s="14"/>
      <c r="T3139" s="14"/>
      <c r="U3139" s="14"/>
      <c r="V3139" s="14"/>
      <c r="W3139" s="14"/>
      <c r="X3139" s="14"/>
      <c r="Y3139" s="14"/>
      <c r="Z3139" s="14"/>
      <c r="AA3139" s="16"/>
      <c r="AB3139" s="10"/>
      <c r="AC3139" s="10"/>
      <c r="AD3139" s="10"/>
      <c r="AE3139" s="10"/>
      <c r="AF3139" s="10"/>
      <c r="AG3139" s="10"/>
      <c r="AH3139" s="10"/>
      <c r="AI3139" s="10"/>
      <c r="AJ3139" s="10"/>
      <c r="AK3139" s="10"/>
      <c r="AL3139" s="10"/>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c r="BI3139" s="10"/>
      <c r="BJ3139" s="10"/>
      <c r="BK3139" s="10"/>
      <c r="BM3139" s="10"/>
    </row>
    <row r="3140" spans="1:65" ht="12.75">
      <c r="A3140" s="9"/>
      <c r="B3140" s="10"/>
      <c r="C3140" s="11"/>
      <c r="D3140" s="12"/>
      <c r="E3140" s="10"/>
      <c r="F3140" s="10"/>
      <c r="G3140" s="10"/>
      <c r="H3140" s="14"/>
      <c r="I3140" s="14"/>
      <c r="J3140" s="14"/>
      <c r="K3140" s="14"/>
      <c r="L3140" s="14"/>
      <c r="M3140" s="15"/>
      <c r="N3140" s="10"/>
      <c r="O3140" s="14"/>
      <c r="P3140" s="14"/>
      <c r="Q3140" s="14"/>
      <c r="R3140" s="14"/>
      <c r="S3140" s="14"/>
      <c r="T3140" s="14"/>
      <c r="U3140" s="14"/>
      <c r="V3140" s="14"/>
      <c r="W3140" s="14"/>
      <c r="X3140" s="14"/>
      <c r="Y3140" s="14"/>
      <c r="Z3140" s="14"/>
      <c r="AA3140" s="16"/>
      <c r="AB3140" s="10"/>
      <c r="AC3140" s="10"/>
      <c r="AD3140" s="10"/>
      <c r="AE3140" s="10"/>
      <c r="AF3140" s="10"/>
      <c r="AG3140" s="10"/>
      <c r="AH3140" s="10"/>
      <c r="AI3140" s="10"/>
      <c r="AJ3140" s="10"/>
      <c r="AK3140" s="10"/>
      <c r="AL3140" s="10"/>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c r="BI3140" s="10"/>
      <c r="BJ3140" s="10"/>
      <c r="BK3140" s="10"/>
      <c r="BM3140" s="10"/>
    </row>
    <row r="3141" spans="1:65" ht="12.75">
      <c r="A3141" s="9"/>
      <c r="B3141" s="10"/>
      <c r="C3141" s="11"/>
      <c r="D3141" s="12"/>
      <c r="E3141" s="10"/>
      <c r="F3141" s="10"/>
      <c r="G3141" s="10"/>
      <c r="H3141" s="14"/>
      <c r="I3141" s="14"/>
      <c r="J3141" s="14"/>
      <c r="K3141" s="14"/>
      <c r="L3141" s="14"/>
      <c r="M3141" s="15"/>
      <c r="N3141" s="10"/>
      <c r="O3141" s="14"/>
      <c r="P3141" s="14"/>
      <c r="Q3141" s="14"/>
      <c r="R3141" s="14"/>
      <c r="S3141" s="14"/>
      <c r="T3141" s="14"/>
      <c r="U3141" s="14"/>
      <c r="V3141" s="14"/>
      <c r="W3141" s="14"/>
      <c r="X3141" s="14"/>
      <c r="Y3141" s="14"/>
      <c r="Z3141" s="14"/>
      <c r="AA3141" s="16"/>
      <c r="AB3141" s="10"/>
      <c r="AC3141" s="10"/>
      <c r="AD3141" s="10"/>
      <c r="AE3141" s="10"/>
      <c r="AF3141" s="10"/>
      <c r="AG3141" s="10"/>
      <c r="AH3141" s="10"/>
      <c r="AI3141" s="10"/>
      <c r="AJ3141" s="10"/>
      <c r="AK3141" s="10"/>
      <c r="AL3141" s="10"/>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c r="BI3141" s="10"/>
      <c r="BJ3141" s="10"/>
      <c r="BK3141" s="10"/>
      <c r="BM3141" s="10"/>
    </row>
    <row r="3142" spans="1:65" ht="12.75">
      <c r="A3142" s="9"/>
      <c r="B3142" s="10"/>
      <c r="C3142" s="11"/>
      <c r="D3142" s="12"/>
      <c r="E3142" s="10"/>
      <c r="F3142" s="10"/>
      <c r="G3142" s="10"/>
      <c r="H3142" s="14"/>
      <c r="I3142" s="14"/>
      <c r="J3142" s="14"/>
      <c r="K3142" s="14"/>
      <c r="L3142" s="14"/>
      <c r="M3142" s="15"/>
      <c r="N3142" s="10"/>
      <c r="O3142" s="14"/>
      <c r="P3142" s="14"/>
      <c r="Q3142" s="14"/>
      <c r="R3142" s="14"/>
      <c r="S3142" s="14"/>
      <c r="T3142" s="14"/>
      <c r="U3142" s="14"/>
      <c r="V3142" s="14"/>
      <c r="W3142" s="14"/>
      <c r="X3142" s="14"/>
      <c r="Y3142" s="14"/>
      <c r="Z3142" s="14"/>
      <c r="AA3142" s="16"/>
      <c r="AB3142" s="10"/>
      <c r="AC3142" s="10"/>
      <c r="AD3142" s="10"/>
      <c r="AE3142" s="10"/>
      <c r="AF3142" s="10"/>
      <c r="AG3142" s="10"/>
      <c r="AH3142" s="10"/>
      <c r="AI3142" s="10"/>
      <c r="AJ3142" s="10"/>
      <c r="AK3142" s="10"/>
      <c r="AL3142" s="1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10"/>
      <c r="BJ3142" s="10"/>
      <c r="BK3142" s="10"/>
      <c r="BM3142" s="10"/>
    </row>
    <row r="3143" spans="1:65" ht="12.75">
      <c r="A3143" s="9"/>
      <c r="B3143" s="10"/>
      <c r="C3143" s="11"/>
      <c r="D3143" s="12"/>
      <c r="E3143" s="10"/>
      <c r="F3143" s="10"/>
      <c r="G3143" s="10"/>
      <c r="H3143" s="14"/>
      <c r="I3143" s="14"/>
      <c r="J3143" s="14"/>
      <c r="K3143" s="14"/>
      <c r="L3143" s="14"/>
      <c r="M3143" s="15"/>
      <c r="N3143" s="10"/>
      <c r="O3143" s="14"/>
      <c r="P3143" s="14"/>
      <c r="Q3143" s="14"/>
      <c r="R3143" s="14"/>
      <c r="S3143" s="14"/>
      <c r="T3143" s="14"/>
      <c r="U3143" s="14"/>
      <c r="V3143" s="14"/>
      <c r="W3143" s="14"/>
      <c r="X3143" s="14"/>
      <c r="Y3143" s="14"/>
      <c r="Z3143" s="14"/>
      <c r="AA3143" s="16"/>
      <c r="AB3143" s="10"/>
      <c r="AC3143" s="10"/>
      <c r="AD3143" s="10"/>
      <c r="AE3143" s="10"/>
      <c r="AF3143" s="10"/>
      <c r="AG3143" s="10"/>
      <c r="AH3143" s="10"/>
      <c r="AI3143" s="10"/>
      <c r="AJ3143" s="10"/>
      <c r="AK3143" s="10"/>
      <c r="AL3143" s="1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10"/>
      <c r="BJ3143" s="10"/>
      <c r="BK3143" s="10"/>
      <c r="BM3143" s="10"/>
    </row>
    <row r="3144" spans="1:65" ht="12.75">
      <c r="A3144" s="9"/>
      <c r="B3144" s="10"/>
      <c r="C3144" s="11"/>
      <c r="D3144" s="12"/>
      <c r="E3144" s="10"/>
      <c r="F3144" s="10"/>
      <c r="G3144" s="10"/>
      <c r="H3144" s="14"/>
      <c r="I3144" s="14"/>
      <c r="J3144" s="14"/>
      <c r="K3144" s="14"/>
      <c r="L3144" s="14"/>
      <c r="M3144" s="15"/>
      <c r="N3144" s="10"/>
      <c r="O3144" s="14"/>
      <c r="P3144" s="14"/>
      <c r="Q3144" s="14"/>
      <c r="R3144" s="14"/>
      <c r="S3144" s="14"/>
      <c r="T3144" s="14"/>
      <c r="U3144" s="14"/>
      <c r="V3144" s="14"/>
      <c r="W3144" s="14"/>
      <c r="X3144" s="14"/>
      <c r="Y3144" s="14"/>
      <c r="Z3144" s="14"/>
      <c r="AA3144" s="16"/>
      <c r="AB3144" s="10"/>
      <c r="AC3144" s="10"/>
      <c r="AD3144" s="10"/>
      <c r="AE3144" s="10"/>
      <c r="AF3144" s="10"/>
      <c r="AG3144" s="10"/>
      <c r="AH3144" s="10"/>
      <c r="AI3144" s="10"/>
      <c r="AJ3144" s="10"/>
      <c r="AK3144" s="10"/>
      <c r="AL3144" s="1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10"/>
      <c r="BJ3144" s="10"/>
      <c r="BK3144" s="10"/>
      <c r="BM3144" s="10"/>
    </row>
    <row r="3145" spans="1:65" ht="12.75">
      <c r="A3145" s="9"/>
      <c r="B3145" s="10"/>
      <c r="C3145" s="11"/>
      <c r="D3145" s="12"/>
      <c r="E3145" s="10"/>
      <c r="F3145" s="10"/>
      <c r="G3145" s="10"/>
      <c r="H3145" s="14"/>
      <c r="I3145" s="14"/>
      <c r="J3145" s="14"/>
      <c r="K3145" s="14"/>
      <c r="L3145" s="14"/>
      <c r="M3145" s="15"/>
      <c r="N3145" s="10"/>
      <c r="O3145" s="14"/>
      <c r="P3145" s="14"/>
      <c r="Q3145" s="14"/>
      <c r="R3145" s="14"/>
      <c r="S3145" s="14"/>
      <c r="T3145" s="14"/>
      <c r="U3145" s="14"/>
      <c r="V3145" s="14"/>
      <c r="W3145" s="14"/>
      <c r="X3145" s="14"/>
      <c r="Y3145" s="14"/>
      <c r="Z3145" s="14"/>
      <c r="AA3145" s="16"/>
      <c r="AB3145" s="10"/>
      <c r="AC3145" s="10"/>
      <c r="AD3145" s="10"/>
      <c r="AE3145" s="10"/>
      <c r="AF3145" s="10"/>
      <c r="AG3145" s="10"/>
      <c r="AH3145" s="10"/>
      <c r="AI3145" s="10"/>
      <c r="AJ3145" s="10"/>
      <c r="AK3145" s="10"/>
      <c r="AL3145" s="10"/>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c r="BI3145" s="10"/>
      <c r="BJ3145" s="10"/>
      <c r="BK3145" s="10"/>
      <c r="BM3145" s="10"/>
    </row>
    <row r="3146" spans="1:65" ht="12.75">
      <c r="A3146" s="9"/>
      <c r="B3146" s="10"/>
      <c r="C3146" s="11"/>
      <c r="D3146" s="12"/>
      <c r="E3146" s="10"/>
      <c r="F3146" s="10"/>
      <c r="G3146" s="10"/>
      <c r="H3146" s="14"/>
      <c r="I3146" s="14"/>
      <c r="J3146" s="14"/>
      <c r="K3146" s="14"/>
      <c r="L3146" s="14"/>
      <c r="M3146" s="15"/>
      <c r="N3146" s="10"/>
      <c r="O3146" s="14"/>
      <c r="P3146" s="14"/>
      <c r="Q3146" s="14"/>
      <c r="R3146" s="14"/>
      <c r="S3146" s="14"/>
      <c r="T3146" s="14"/>
      <c r="U3146" s="14"/>
      <c r="V3146" s="14"/>
      <c r="W3146" s="14"/>
      <c r="X3146" s="14"/>
      <c r="Y3146" s="14"/>
      <c r="Z3146" s="14"/>
      <c r="AA3146" s="16"/>
      <c r="AB3146" s="10"/>
      <c r="AC3146" s="10"/>
      <c r="AD3146" s="10"/>
      <c r="AE3146" s="10"/>
      <c r="AF3146" s="10"/>
      <c r="AG3146" s="10"/>
      <c r="AH3146" s="10"/>
      <c r="AI3146" s="10"/>
      <c r="AJ3146" s="10"/>
      <c r="AK3146" s="10"/>
      <c r="AL3146" s="10"/>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c r="BI3146" s="10"/>
      <c r="BJ3146" s="10"/>
      <c r="BK3146" s="10"/>
      <c r="BM3146" s="10"/>
    </row>
    <row r="3147" spans="1:65" ht="12.75">
      <c r="A3147" s="9"/>
      <c r="B3147" s="10"/>
      <c r="C3147" s="11"/>
      <c r="D3147" s="12"/>
      <c r="E3147" s="10"/>
      <c r="F3147" s="10"/>
      <c r="G3147" s="10"/>
      <c r="H3147" s="14"/>
      <c r="I3147" s="14"/>
      <c r="J3147" s="14"/>
      <c r="K3147" s="14"/>
      <c r="L3147" s="14"/>
      <c r="M3147" s="15"/>
      <c r="N3147" s="10"/>
      <c r="O3147" s="14"/>
      <c r="P3147" s="14"/>
      <c r="Q3147" s="14"/>
      <c r="R3147" s="14"/>
      <c r="S3147" s="14"/>
      <c r="T3147" s="14"/>
      <c r="U3147" s="14"/>
      <c r="V3147" s="14"/>
      <c r="W3147" s="14"/>
      <c r="X3147" s="14"/>
      <c r="Y3147" s="14"/>
      <c r="Z3147" s="14"/>
      <c r="AA3147" s="16"/>
      <c r="AB3147" s="10"/>
      <c r="AC3147" s="10"/>
      <c r="AD3147" s="10"/>
      <c r="AE3147" s="10"/>
      <c r="AF3147" s="10"/>
      <c r="AG3147" s="10"/>
      <c r="AH3147" s="10"/>
      <c r="AI3147" s="10"/>
      <c r="AJ3147" s="10"/>
      <c r="AK3147" s="10"/>
      <c r="AL3147" s="10"/>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c r="BI3147" s="10"/>
      <c r="BJ3147" s="10"/>
      <c r="BK3147" s="10"/>
      <c r="BM3147" s="10"/>
    </row>
    <row r="3148" spans="1:65" ht="12.75">
      <c r="A3148" s="9"/>
      <c r="B3148" s="10"/>
      <c r="C3148" s="11"/>
      <c r="D3148" s="12"/>
      <c r="E3148" s="10"/>
      <c r="F3148" s="10"/>
      <c r="G3148" s="10"/>
      <c r="H3148" s="14"/>
      <c r="I3148" s="14"/>
      <c r="J3148" s="14"/>
      <c r="K3148" s="14"/>
      <c r="L3148" s="14"/>
      <c r="M3148" s="15"/>
      <c r="N3148" s="10"/>
      <c r="O3148" s="14"/>
      <c r="P3148" s="14"/>
      <c r="Q3148" s="14"/>
      <c r="R3148" s="14"/>
      <c r="S3148" s="14"/>
      <c r="T3148" s="14"/>
      <c r="U3148" s="14"/>
      <c r="V3148" s="14"/>
      <c r="W3148" s="14"/>
      <c r="X3148" s="14"/>
      <c r="Y3148" s="14"/>
      <c r="Z3148" s="14"/>
      <c r="AA3148" s="16"/>
      <c r="AB3148" s="10"/>
      <c r="AC3148" s="10"/>
      <c r="AD3148" s="10"/>
      <c r="AE3148" s="10"/>
      <c r="AF3148" s="10"/>
      <c r="AG3148" s="10"/>
      <c r="AH3148" s="10"/>
      <c r="AI3148" s="10"/>
      <c r="AJ3148" s="10"/>
      <c r="AK3148" s="10"/>
      <c r="AL3148" s="10"/>
      <c r="AM3148" s="10"/>
      <c r="AN3148" s="10"/>
      <c r="AO3148" s="10"/>
      <c r="AP3148" s="10"/>
      <c r="AQ3148" s="10"/>
      <c r="AR3148" s="10"/>
      <c r="AS3148" s="10"/>
      <c r="AT3148" s="10"/>
      <c r="AU3148" s="10"/>
      <c r="AV3148" s="10"/>
      <c r="AW3148" s="10"/>
      <c r="AX3148" s="10"/>
      <c r="AY3148" s="10"/>
      <c r="AZ3148" s="10"/>
      <c r="BA3148" s="10"/>
      <c r="BB3148" s="10"/>
      <c r="BC3148" s="10"/>
      <c r="BD3148" s="10"/>
      <c r="BE3148" s="10"/>
      <c r="BF3148" s="10"/>
      <c r="BG3148" s="10"/>
      <c r="BH3148" s="10"/>
      <c r="BI3148" s="10"/>
      <c r="BJ3148" s="10"/>
      <c r="BK3148" s="10"/>
      <c r="BM3148" s="10"/>
    </row>
    <row r="3149" spans="1:65" ht="12.75">
      <c r="A3149" s="9"/>
      <c r="B3149" s="10"/>
      <c r="C3149" s="11"/>
      <c r="D3149" s="12"/>
      <c r="E3149" s="10"/>
      <c r="F3149" s="10"/>
      <c r="G3149" s="10"/>
      <c r="H3149" s="14"/>
      <c r="I3149" s="14"/>
      <c r="J3149" s="14"/>
      <c r="K3149" s="14"/>
      <c r="L3149" s="14"/>
      <c r="M3149" s="15"/>
      <c r="N3149" s="10"/>
      <c r="O3149" s="14"/>
      <c r="P3149" s="14"/>
      <c r="Q3149" s="14"/>
      <c r="R3149" s="14"/>
      <c r="S3149" s="14"/>
      <c r="T3149" s="14"/>
      <c r="U3149" s="14"/>
      <c r="V3149" s="14"/>
      <c r="W3149" s="14"/>
      <c r="X3149" s="14"/>
      <c r="Y3149" s="14"/>
      <c r="Z3149" s="14"/>
      <c r="AA3149" s="16"/>
      <c r="AB3149" s="10"/>
      <c r="AC3149" s="10"/>
      <c r="AD3149" s="10"/>
      <c r="AE3149" s="10"/>
      <c r="AF3149" s="10"/>
      <c r="AG3149" s="10"/>
      <c r="AH3149" s="10"/>
      <c r="AI3149" s="10"/>
      <c r="AJ3149" s="10"/>
      <c r="AK3149" s="10"/>
      <c r="AL3149" s="10"/>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c r="BI3149" s="10"/>
      <c r="BJ3149" s="10"/>
      <c r="BK3149" s="10"/>
      <c r="BM3149" s="10"/>
    </row>
    <row r="3150" spans="1:65" ht="12.75">
      <c r="A3150" s="9"/>
      <c r="B3150" s="10"/>
      <c r="C3150" s="11"/>
      <c r="D3150" s="12"/>
      <c r="E3150" s="10"/>
      <c r="F3150" s="10"/>
      <c r="G3150" s="10"/>
      <c r="H3150" s="14"/>
      <c r="I3150" s="14"/>
      <c r="J3150" s="14"/>
      <c r="K3150" s="14"/>
      <c r="L3150" s="14"/>
      <c r="M3150" s="15"/>
      <c r="N3150" s="10"/>
      <c r="O3150" s="14"/>
      <c r="P3150" s="14"/>
      <c r="Q3150" s="14"/>
      <c r="R3150" s="14"/>
      <c r="S3150" s="14"/>
      <c r="T3150" s="14"/>
      <c r="U3150" s="14"/>
      <c r="V3150" s="14"/>
      <c r="W3150" s="14"/>
      <c r="X3150" s="14"/>
      <c r="Y3150" s="14"/>
      <c r="Z3150" s="14"/>
      <c r="AA3150" s="16"/>
      <c r="AB3150" s="10"/>
      <c r="AC3150" s="10"/>
      <c r="AD3150" s="10"/>
      <c r="AE3150" s="10"/>
      <c r="AF3150" s="10"/>
      <c r="AG3150" s="10"/>
      <c r="AH3150" s="10"/>
      <c r="AI3150" s="10"/>
      <c r="AJ3150" s="10"/>
      <c r="AK3150" s="10"/>
      <c r="AL3150" s="10"/>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10"/>
      <c r="BJ3150" s="10"/>
      <c r="BK3150" s="10"/>
      <c r="BM3150" s="10"/>
    </row>
    <row r="3151" spans="1:65" ht="12.75">
      <c r="A3151" s="9"/>
      <c r="B3151" s="10"/>
      <c r="C3151" s="11"/>
      <c r="D3151" s="12"/>
      <c r="E3151" s="10"/>
      <c r="F3151" s="10"/>
      <c r="G3151" s="10"/>
      <c r="H3151" s="14"/>
      <c r="I3151" s="14"/>
      <c r="J3151" s="14"/>
      <c r="K3151" s="14"/>
      <c r="L3151" s="14"/>
      <c r="M3151" s="15"/>
      <c r="N3151" s="10"/>
      <c r="O3151" s="14"/>
      <c r="P3151" s="14"/>
      <c r="Q3151" s="14"/>
      <c r="R3151" s="14"/>
      <c r="S3151" s="14"/>
      <c r="T3151" s="14"/>
      <c r="U3151" s="14"/>
      <c r="V3151" s="14"/>
      <c r="W3151" s="14"/>
      <c r="X3151" s="14"/>
      <c r="Y3151" s="14"/>
      <c r="Z3151" s="14"/>
      <c r="AA3151" s="16"/>
      <c r="AB3151" s="10"/>
      <c r="AC3151" s="10"/>
      <c r="AD3151" s="10"/>
      <c r="AE3151" s="10"/>
      <c r="AF3151" s="10"/>
      <c r="AG3151" s="10"/>
      <c r="AH3151" s="10"/>
      <c r="AI3151" s="10"/>
      <c r="AJ3151" s="10"/>
      <c r="AK3151" s="10"/>
      <c r="AL3151" s="10"/>
      <c r="AM3151" s="10"/>
      <c r="AN3151" s="10"/>
      <c r="AO3151" s="10"/>
      <c r="AP3151" s="10"/>
      <c r="AQ3151" s="10"/>
      <c r="AR3151" s="10"/>
      <c r="AS3151" s="10"/>
      <c r="AT3151" s="10"/>
      <c r="AU3151" s="10"/>
      <c r="AV3151" s="10"/>
      <c r="AW3151" s="10"/>
      <c r="AX3151" s="10"/>
      <c r="AY3151" s="10"/>
      <c r="AZ3151" s="10"/>
      <c r="BA3151" s="10"/>
      <c r="BB3151" s="10"/>
      <c r="BC3151" s="10"/>
      <c r="BD3151" s="10"/>
      <c r="BE3151" s="10"/>
      <c r="BF3151" s="10"/>
      <c r="BG3151" s="10"/>
      <c r="BH3151" s="10"/>
      <c r="BI3151" s="10"/>
      <c r="BJ3151" s="10"/>
      <c r="BK3151" s="10"/>
      <c r="BM3151" s="10"/>
    </row>
    <row r="3152" spans="1:65" ht="12.75">
      <c r="A3152" s="9"/>
      <c r="B3152" s="10"/>
      <c r="C3152" s="11"/>
      <c r="D3152" s="12"/>
      <c r="E3152" s="10"/>
      <c r="F3152" s="10"/>
      <c r="G3152" s="10"/>
      <c r="H3152" s="14"/>
      <c r="I3152" s="14"/>
      <c r="J3152" s="14"/>
      <c r="K3152" s="14"/>
      <c r="L3152" s="14"/>
      <c r="M3152" s="15"/>
      <c r="N3152" s="10"/>
      <c r="O3152" s="14"/>
      <c r="P3152" s="14"/>
      <c r="Q3152" s="14"/>
      <c r="R3152" s="14"/>
      <c r="S3152" s="14"/>
      <c r="T3152" s="14"/>
      <c r="U3152" s="14"/>
      <c r="V3152" s="14"/>
      <c r="W3152" s="14"/>
      <c r="X3152" s="14"/>
      <c r="Y3152" s="14"/>
      <c r="Z3152" s="14"/>
      <c r="AA3152" s="16"/>
      <c r="AB3152" s="10"/>
      <c r="AC3152" s="10"/>
      <c r="AD3152" s="10"/>
      <c r="AE3152" s="10"/>
      <c r="AF3152" s="10"/>
      <c r="AG3152" s="10"/>
      <c r="AH3152" s="10"/>
      <c r="AI3152" s="10"/>
      <c r="AJ3152" s="10"/>
      <c r="AK3152" s="10"/>
      <c r="AL3152" s="10"/>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10"/>
      <c r="BJ3152" s="10"/>
      <c r="BK3152" s="10"/>
      <c r="BM3152" s="10"/>
    </row>
    <row r="3153" spans="1:65" ht="12.75">
      <c r="A3153" s="9"/>
      <c r="B3153" s="10"/>
      <c r="C3153" s="11"/>
      <c r="D3153" s="12"/>
      <c r="E3153" s="10"/>
      <c r="F3153" s="10"/>
      <c r="G3153" s="10"/>
      <c r="H3153" s="14"/>
      <c r="I3153" s="14"/>
      <c r="J3153" s="14"/>
      <c r="K3153" s="14"/>
      <c r="L3153" s="14"/>
      <c r="M3153" s="15"/>
      <c r="N3153" s="10"/>
      <c r="O3153" s="14"/>
      <c r="P3153" s="14"/>
      <c r="Q3153" s="14"/>
      <c r="R3153" s="14"/>
      <c r="S3153" s="14"/>
      <c r="T3153" s="14"/>
      <c r="U3153" s="14"/>
      <c r="V3153" s="14"/>
      <c r="W3153" s="14"/>
      <c r="X3153" s="14"/>
      <c r="Y3153" s="14"/>
      <c r="Z3153" s="14"/>
      <c r="AA3153" s="16"/>
      <c r="AB3153" s="10"/>
      <c r="AC3153" s="10"/>
      <c r="AD3153" s="10"/>
      <c r="AE3153" s="10"/>
      <c r="AF3153" s="10"/>
      <c r="AG3153" s="10"/>
      <c r="AH3153" s="10"/>
      <c r="AI3153" s="10"/>
      <c r="AJ3153" s="10"/>
      <c r="AK3153" s="10"/>
      <c r="AL3153" s="1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0"/>
      <c r="BM3153" s="10"/>
    </row>
    <row r="3154" spans="1:65" ht="12.75">
      <c r="A3154" s="9"/>
      <c r="B3154" s="10"/>
      <c r="C3154" s="11"/>
      <c r="D3154" s="12"/>
      <c r="E3154" s="10"/>
      <c r="F3154" s="10"/>
      <c r="G3154" s="10"/>
      <c r="H3154" s="14"/>
      <c r="I3154" s="14"/>
      <c r="J3154" s="14"/>
      <c r="K3154" s="14"/>
      <c r="L3154" s="14"/>
      <c r="M3154" s="15"/>
      <c r="N3154" s="10"/>
      <c r="O3154" s="14"/>
      <c r="P3154" s="14"/>
      <c r="Q3154" s="14"/>
      <c r="R3154" s="14"/>
      <c r="S3154" s="14"/>
      <c r="T3154" s="14"/>
      <c r="U3154" s="14"/>
      <c r="V3154" s="14"/>
      <c r="W3154" s="14"/>
      <c r="X3154" s="14"/>
      <c r="Y3154" s="14"/>
      <c r="Z3154" s="14"/>
      <c r="AA3154" s="16"/>
      <c r="AB3154" s="10"/>
      <c r="AC3154" s="10"/>
      <c r="AD3154" s="10"/>
      <c r="AE3154" s="10"/>
      <c r="AF3154" s="10"/>
      <c r="AG3154" s="10"/>
      <c r="AH3154" s="10"/>
      <c r="AI3154" s="10"/>
      <c r="AJ3154" s="10"/>
      <c r="AK3154" s="10"/>
      <c r="AL3154" s="10"/>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10"/>
      <c r="BJ3154" s="10"/>
      <c r="BK3154" s="10"/>
      <c r="BM3154" s="10"/>
    </row>
    <row r="3155" spans="1:65" ht="12.75">
      <c r="A3155" s="9"/>
      <c r="B3155" s="10"/>
      <c r="C3155" s="11"/>
      <c r="D3155" s="12"/>
      <c r="E3155" s="10"/>
      <c r="F3155" s="10"/>
      <c r="G3155" s="10"/>
      <c r="H3155" s="14"/>
      <c r="I3155" s="14"/>
      <c r="J3155" s="14"/>
      <c r="K3155" s="14"/>
      <c r="L3155" s="14"/>
      <c r="M3155" s="15"/>
      <c r="N3155" s="10"/>
      <c r="O3155" s="14"/>
      <c r="P3155" s="14"/>
      <c r="Q3155" s="14"/>
      <c r="R3155" s="14"/>
      <c r="S3155" s="14"/>
      <c r="T3155" s="14"/>
      <c r="U3155" s="14"/>
      <c r="V3155" s="14"/>
      <c r="W3155" s="14"/>
      <c r="X3155" s="14"/>
      <c r="Y3155" s="14"/>
      <c r="Z3155" s="14"/>
      <c r="AA3155" s="16"/>
      <c r="AB3155" s="10"/>
      <c r="AC3155" s="10"/>
      <c r="AD3155" s="10"/>
      <c r="AE3155" s="10"/>
      <c r="AF3155" s="10"/>
      <c r="AG3155" s="10"/>
      <c r="AH3155" s="10"/>
      <c r="AI3155" s="10"/>
      <c r="AJ3155" s="10"/>
      <c r="AK3155" s="10"/>
      <c r="AL3155" s="1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10"/>
      <c r="BK3155" s="10"/>
      <c r="BM3155" s="10"/>
    </row>
    <row r="3156" spans="1:65" ht="12.75">
      <c r="A3156" s="9"/>
      <c r="B3156" s="10"/>
      <c r="C3156" s="11"/>
      <c r="D3156" s="12"/>
      <c r="E3156" s="10"/>
      <c r="F3156" s="10"/>
      <c r="G3156" s="10"/>
      <c r="H3156" s="14"/>
      <c r="I3156" s="14"/>
      <c r="J3156" s="14"/>
      <c r="K3156" s="14"/>
      <c r="L3156" s="14"/>
      <c r="M3156" s="15"/>
      <c r="N3156" s="10"/>
      <c r="O3156" s="14"/>
      <c r="P3156" s="14"/>
      <c r="Q3156" s="14"/>
      <c r="R3156" s="14"/>
      <c r="S3156" s="14"/>
      <c r="T3156" s="14"/>
      <c r="U3156" s="14"/>
      <c r="V3156" s="14"/>
      <c r="W3156" s="14"/>
      <c r="X3156" s="14"/>
      <c r="Y3156" s="14"/>
      <c r="Z3156" s="14"/>
      <c r="AA3156" s="16"/>
      <c r="AB3156" s="10"/>
      <c r="AC3156" s="10"/>
      <c r="AD3156" s="10"/>
      <c r="AE3156" s="10"/>
      <c r="AF3156" s="10"/>
      <c r="AG3156" s="10"/>
      <c r="AH3156" s="10"/>
      <c r="AI3156" s="10"/>
      <c r="AJ3156" s="10"/>
      <c r="AK3156" s="10"/>
      <c r="AL3156" s="10"/>
      <c r="AM3156" s="10"/>
      <c r="AN3156" s="10"/>
      <c r="AO3156" s="10"/>
      <c r="AP3156" s="10"/>
      <c r="AQ3156" s="10"/>
      <c r="AR3156" s="10"/>
      <c r="AS3156" s="10"/>
      <c r="AT3156" s="10"/>
      <c r="AU3156" s="10"/>
      <c r="AV3156" s="10"/>
      <c r="AW3156" s="10"/>
      <c r="AX3156" s="10"/>
      <c r="AY3156" s="10"/>
      <c r="AZ3156" s="10"/>
      <c r="BA3156" s="10"/>
      <c r="BB3156" s="10"/>
      <c r="BC3156" s="10"/>
      <c r="BD3156" s="10"/>
      <c r="BE3156" s="10"/>
      <c r="BF3156" s="10"/>
      <c r="BG3156" s="10"/>
      <c r="BH3156" s="10"/>
      <c r="BI3156" s="10"/>
      <c r="BJ3156" s="10"/>
      <c r="BK3156" s="10"/>
      <c r="BM3156" s="10"/>
    </row>
    <row r="3157" spans="1:65" ht="12.75">
      <c r="A3157" s="9"/>
      <c r="B3157" s="10"/>
      <c r="C3157" s="11"/>
      <c r="D3157" s="12"/>
      <c r="E3157" s="10"/>
      <c r="F3157" s="10"/>
      <c r="G3157" s="10"/>
      <c r="H3157" s="14"/>
      <c r="I3157" s="14"/>
      <c r="J3157" s="14"/>
      <c r="K3157" s="14"/>
      <c r="L3157" s="14"/>
      <c r="M3157" s="15"/>
      <c r="N3157" s="10"/>
      <c r="O3157" s="14"/>
      <c r="P3157" s="14"/>
      <c r="Q3157" s="14"/>
      <c r="R3157" s="14"/>
      <c r="S3157" s="14"/>
      <c r="T3157" s="14"/>
      <c r="U3157" s="14"/>
      <c r="V3157" s="14"/>
      <c r="W3157" s="14"/>
      <c r="X3157" s="14"/>
      <c r="Y3157" s="14"/>
      <c r="Z3157" s="14"/>
      <c r="AA3157" s="16"/>
      <c r="AB3157" s="10"/>
      <c r="AC3157" s="10"/>
      <c r="AD3157" s="10"/>
      <c r="AE3157" s="10"/>
      <c r="AF3157" s="10"/>
      <c r="AG3157" s="10"/>
      <c r="AH3157" s="10"/>
      <c r="AI3157" s="10"/>
      <c r="AJ3157" s="10"/>
      <c r="AK3157" s="10"/>
      <c r="AL3157" s="10"/>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10"/>
      <c r="BJ3157" s="10"/>
      <c r="BK3157" s="10"/>
      <c r="BM3157" s="10"/>
    </row>
    <row r="3158" spans="1:65" ht="12.75">
      <c r="A3158" s="9"/>
      <c r="B3158" s="10"/>
      <c r="C3158" s="11"/>
      <c r="D3158" s="12"/>
      <c r="E3158" s="10"/>
      <c r="F3158" s="10"/>
      <c r="G3158" s="10"/>
      <c r="H3158" s="14"/>
      <c r="I3158" s="14"/>
      <c r="J3158" s="14"/>
      <c r="K3158" s="14"/>
      <c r="L3158" s="14"/>
      <c r="M3158" s="15"/>
      <c r="N3158" s="10"/>
      <c r="O3158" s="14"/>
      <c r="P3158" s="14"/>
      <c r="Q3158" s="14"/>
      <c r="R3158" s="14"/>
      <c r="S3158" s="14"/>
      <c r="T3158" s="14"/>
      <c r="U3158" s="14"/>
      <c r="V3158" s="14"/>
      <c r="W3158" s="14"/>
      <c r="X3158" s="14"/>
      <c r="Y3158" s="14"/>
      <c r="Z3158" s="14"/>
      <c r="AA3158" s="16"/>
      <c r="AB3158" s="10"/>
      <c r="AC3158" s="10"/>
      <c r="AD3158" s="10"/>
      <c r="AE3158" s="10"/>
      <c r="AF3158" s="10"/>
      <c r="AG3158" s="10"/>
      <c r="AH3158" s="10"/>
      <c r="AI3158" s="10"/>
      <c r="AJ3158" s="10"/>
      <c r="AK3158" s="10"/>
      <c r="AL3158" s="10"/>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10"/>
      <c r="BJ3158" s="10"/>
      <c r="BK3158" s="10"/>
      <c r="BM3158" s="10"/>
    </row>
    <row r="3159" spans="1:65" ht="12.75">
      <c r="A3159" s="9"/>
      <c r="B3159" s="10"/>
      <c r="C3159" s="11"/>
      <c r="D3159" s="12"/>
      <c r="E3159" s="10"/>
      <c r="F3159" s="10"/>
      <c r="G3159" s="10"/>
      <c r="H3159" s="14"/>
      <c r="I3159" s="14"/>
      <c r="J3159" s="14"/>
      <c r="K3159" s="14"/>
      <c r="L3159" s="14"/>
      <c r="M3159" s="15"/>
      <c r="N3159" s="10"/>
      <c r="O3159" s="14"/>
      <c r="P3159" s="14"/>
      <c r="Q3159" s="14"/>
      <c r="R3159" s="14"/>
      <c r="S3159" s="14"/>
      <c r="T3159" s="14"/>
      <c r="U3159" s="14"/>
      <c r="V3159" s="14"/>
      <c r="W3159" s="14"/>
      <c r="X3159" s="14"/>
      <c r="Y3159" s="14"/>
      <c r="Z3159" s="14"/>
      <c r="AA3159" s="16"/>
      <c r="AB3159" s="10"/>
      <c r="AC3159" s="10"/>
      <c r="AD3159" s="10"/>
      <c r="AE3159" s="10"/>
      <c r="AF3159" s="10"/>
      <c r="AG3159" s="10"/>
      <c r="AH3159" s="10"/>
      <c r="AI3159" s="10"/>
      <c r="AJ3159" s="10"/>
      <c r="AK3159" s="10"/>
      <c r="AL3159" s="10"/>
      <c r="AM3159" s="10"/>
      <c r="AN3159" s="10"/>
      <c r="AO3159" s="10"/>
      <c r="AP3159" s="10"/>
      <c r="AQ3159" s="10"/>
      <c r="AR3159" s="10"/>
      <c r="AS3159" s="10"/>
      <c r="AT3159" s="10"/>
      <c r="AU3159" s="10"/>
      <c r="AV3159" s="10"/>
      <c r="AW3159" s="10"/>
      <c r="AX3159" s="10"/>
      <c r="AY3159" s="10"/>
      <c r="AZ3159" s="10"/>
      <c r="BA3159" s="10"/>
      <c r="BB3159" s="10"/>
      <c r="BC3159" s="10"/>
      <c r="BD3159" s="10"/>
      <c r="BE3159" s="10"/>
      <c r="BF3159" s="10"/>
      <c r="BG3159" s="10"/>
      <c r="BH3159" s="10"/>
      <c r="BI3159" s="10"/>
      <c r="BJ3159" s="10"/>
      <c r="BK3159" s="10"/>
      <c r="BM3159" s="10"/>
    </row>
    <row r="3160" spans="1:65" ht="12.75">
      <c r="A3160" s="9"/>
      <c r="B3160" s="10"/>
      <c r="C3160" s="11"/>
      <c r="D3160" s="12"/>
      <c r="E3160" s="10"/>
      <c r="F3160" s="10"/>
      <c r="G3160" s="10"/>
      <c r="H3160" s="14"/>
      <c r="I3160" s="14"/>
      <c r="J3160" s="14"/>
      <c r="K3160" s="14"/>
      <c r="L3160" s="14"/>
      <c r="M3160" s="15"/>
      <c r="N3160" s="10"/>
      <c r="O3160" s="14"/>
      <c r="P3160" s="14"/>
      <c r="Q3160" s="14"/>
      <c r="R3160" s="14"/>
      <c r="S3160" s="14"/>
      <c r="T3160" s="14"/>
      <c r="U3160" s="14"/>
      <c r="V3160" s="14"/>
      <c r="W3160" s="14"/>
      <c r="X3160" s="14"/>
      <c r="Y3160" s="14"/>
      <c r="Z3160" s="14"/>
      <c r="AA3160" s="16"/>
      <c r="AB3160" s="10"/>
      <c r="AC3160" s="10"/>
      <c r="AD3160" s="10"/>
      <c r="AE3160" s="10"/>
      <c r="AF3160" s="10"/>
      <c r="AG3160" s="10"/>
      <c r="AH3160" s="10"/>
      <c r="AI3160" s="10"/>
      <c r="AJ3160" s="10"/>
      <c r="AK3160" s="10"/>
      <c r="AL3160" s="10"/>
      <c r="AM3160" s="10"/>
      <c r="AN3160" s="10"/>
      <c r="AO3160" s="10"/>
      <c r="AP3160" s="10"/>
      <c r="AQ3160" s="10"/>
      <c r="AR3160" s="10"/>
      <c r="AS3160" s="10"/>
      <c r="AT3160" s="10"/>
      <c r="AU3160" s="10"/>
      <c r="AV3160" s="10"/>
      <c r="AW3160" s="10"/>
      <c r="AX3160" s="10"/>
      <c r="AY3160" s="10"/>
      <c r="AZ3160" s="10"/>
      <c r="BA3160" s="10"/>
      <c r="BB3160" s="10"/>
      <c r="BC3160" s="10"/>
      <c r="BD3160" s="10"/>
      <c r="BE3160" s="10"/>
      <c r="BF3160" s="10"/>
      <c r="BG3160" s="10"/>
      <c r="BH3160" s="10"/>
      <c r="BI3160" s="10"/>
      <c r="BJ3160" s="10"/>
      <c r="BK3160" s="10"/>
      <c r="BM3160" s="10"/>
    </row>
    <row r="3161" spans="1:65" ht="12.75">
      <c r="A3161" s="9"/>
      <c r="B3161" s="10"/>
      <c r="C3161" s="11"/>
      <c r="D3161" s="12"/>
      <c r="E3161" s="10"/>
      <c r="F3161" s="10"/>
      <c r="G3161" s="10"/>
      <c r="H3161" s="14"/>
      <c r="I3161" s="14"/>
      <c r="J3161" s="14"/>
      <c r="K3161" s="14"/>
      <c r="L3161" s="14"/>
      <c r="M3161" s="15"/>
      <c r="N3161" s="10"/>
      <c r="O3161" s="14"/>
      <c r="P3161" s="14"/>
      <c r="Q3161" s="14"/>
      <c r="R3161" s="14"/>
      <c r="S3161" s="14"/>
      <c r="T3161" s="14"/>
      <c r="U3161" s="14"/>
      <c r="V3161" s="14"/>
      <c r="W3161" s="14"/>
      <c r="X3161" s="14"/>
      <c r="Y3161" s="14"/>
      <c r="Z3161" s="14"/>
      <c r="AA3161" s="16"/>
      <c r="AB3161" s="10"/>
      <c r="AC3161" s="10"/>
      <c r="AD3161" s="10"/>
      <c r="AE3161" s="10"/>
      <c r="AF3161" s="10"/>
      <c r="AG3161" s="10"/>
      <c r="AH3161" s="10"/>
      <c r="AI3161" s="10"/>
      <c r="AJ3161" s="10"/>
      <c r="AK3161" s="10"/>
      <c r="AL3161" s="10"/>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10"/>
      <c r="BJ3161" s="10"/>
      <c r="BK3161" s="10"/>
      <c r="BM3161" s="10"/>
    </row>
    <row r="3162" spans="1:65" ht="12.75">
      <c r="A3162" s="9"/>
      <c r="B3162" s="10"/>
      <c r="C3162" s="11"/>
      <c r="D3162" s="12"/>
      <c r="E3162" s="10"/>
      <c r="F3162" s="10"/>
      <c r="G3162" s="10"/>
      <c r="H3162" s="14"/>
      <c r="I3162" s="14"/>
      <c r="J3162" s="14"/>
      <c r="K3162" s="14"/>
      <c r="L3162" s="14"/>
      <c r="M3162" s="15"/>
      <c r="N3162" s="10"/>
      <c r="O3162" s="14"/>
      <c r="P3162" s="14"/>
      <c r="Q3162" s="14"/>
      <c r="R3162" s="14"/>
      <c r="S3162" s="14"/>
      <c r="T3162" s="14"/>
      <c r="U3162" s="14"/>
      <c r="V3162" s="14"/>
      <c r="W3162" s="14"/>
      <c r="X3162" s="14"/>
      <c r="Y3162" s="14"/>
      <c r="Z3162" s="14"/>
      <c r="AA3162" s="16"/>
      <c r="AB3162" s="10"/>
      <c r="AC3162" s="10"/>
      <c r="AD3162" s="10"/>
      <c r="AE3162" s="10"/>
      <c r="AF3162" s="10"/>
      <c r="AG3162" s="10"/>
      <c r="AH3162" s="10"/>
      <c r="AI3162" s="10"/>
      <c r="AJ3162" s="10"/>
      <c r="AK3162" s="10"/>
      <c r="AL3162" s="10"/>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c r="BI3162" s="10"/>
      <c r="BJ3162" s="10"/>
      <c r="BK3162" s="10"/>
      <c r="BM3162" s="10"/>
    </row>
    <row r="3163" spans="1:65" ht="12.75">
      <c r="A3163" s="9"/>
      <c r="B3163" s="10"/>
      <c r="C3163" s="11"/>
      <c r="D3163" s="12"/>
      <c r="E3163" s="10"/>
      <c r="F3163" s="10"/>
      <c r="G3163" s="10"/>
      <c r="H3163" s="14"/>
      <c r="I3163" s="14"/>
      <c r="J3163" s="14"/>
      <c r="K3163" s="14"/>
      <c r="L3163" s="14"/>
      <c r="M3163" s="15"/>
      <c r="N3163" s="10"/>
      <c r="O3163" s="14"/>
      <c r="P3163" s="14"/>
      <c r="Q3163" s="14"/>
      <c r="R3163" s="14"/>
      <c r="S3163" s="14"/>
      <c r="T3163" s="14"/>
      <c r="U3163" s="14"/>
      <c r="V3163" s="14"/>
      <c r="W3163" s="14"/>
      <c r="X3163" s="14"/>
      <c r="Y3163" s="14"/>
      <c r="Z3163" s="14"/>
      <c r="AA3163" s="16"/>
      <c r="AB3163" s="10"/>
      <c r="AC3163" s="10"/>
      <c r="AD3163" s="10"/>
      <c r="AE3163" s="10"/>
      <c r="AF3163" s="10"/>
      <c r="AG3163" s="10"/>
      <c r="AH3163" s="10"/>
      <c r="AI3163" s="10"/>
      <c r="AJ3163" s="10"/>
      <c r="AK3163" s="10"/>
      <c r="AL3163" s="10"/>
      <c r="AM3163" s="10"/>
      <c r="AN3163" s="10"/>
      <c r="AO3163" s="10"/>
      <c r="AP3163" s="10"/>
      <c r="AQ3163" s="10"/>
      <c r="AR3163" s="10"/>
      <c r="AS3163" s="10"/>
      <c r="AT3163" s="10"/>
      <c r="AU3163" s="10"/>
      <c r="AV3163" s="10"/>
      <c r="AW3163" s="10"/>
      <c r="AX3163" s="10"/>
      <c r="AY3163" s="10"/>
      <c r="AZ3163" s="10"/>
      <c r="BA3163" s="10"/>
      <c r="BB3163" s="10"/>
      <c r="BC3163" s="10"/>
      <c r="BD3163" s="10"/>
      <c r="BE3163" s="10"/>
      <c r="BF3163" s="10"/>
      <c r="BG3163" s="10"/>
      <c r="BH3163" s="10"/>
      <c r="BI3163" s="10"/>
      <c r="BJ3163" s="10"/>
      <c r="BK3163" s="10"/>
      <c r="BM3163" s="10"/>
    </row>
    <row r="3164" spans="1:65" ht="12.75">
      <c r="A3164" s="9"/>
      <c r="B3164" s="10"/>
      <c r="C3164" s="11"/>
      <c r="D3164" s="12"/>
      <c r="E3164" s="10"/>
      <c r="F3164" s="10"/>
      <c r="G3164" s="10"/>
      <c r="H3164" s="14"/>
      <c r="I3164" s="14"/>
      <c r="J3164" s="14"/>
      <c r="K3164" s="14"/>
      <c r="L3164" s="14"/>
      <c r="M3164" s="15"/>
      <c r="N3164" s="10"/>
      <c r="O3164" s="14"/>
      <c r="P3164" s="14"/>
      <c r="Q3164" s="14"/>
      <c r="R3164" s="14"/>
      <c r="S3164" s="14"/>
      <c r="T3164" s="14"/>
      <c r="U3164" s="14"/>
      <c r="V3164" s="14"/>
      <c r="W3164" s="14"/>
      <c r="X3164" s="14"/>
      <c r="Y3164" s="14"/>
      <c r="Z3164" s="14"/>
      <c r="AA3164" s="16"/>
      <c r="AB3164" s="10"/>
      <c r="AC3164" s="10"/>
      <c r="AD3164" s="10"/>
      <c r="AE3164" s="10"/>
      <c r="AF3164" s="10"/>
      <c r="AG3164" s="10"/>
      <c r="AH3164" s="10"/>
      <c r="AI3164" s="10"/>
      <c r="AJ3164" s="10"/>
      <c r="AK3164" s="10"/>
      <c r="AL3164" s="10"/>
      <c r="AM3164" s="10"/>
      <c r="AN3164" s="10"/>
      <c r="AO3164" s="10"/>
      <c r="AP3164" s="10"/>
      <c r="AQ3164" s="10"/>
      <c r="AR3164" s="10"/>
      <c r="AS3164" s="10"/>
      <c r="AT3164" s="10"/>
      <c r="AU3164" s="10"/>
      <c r="AV3164" s="10"/>
      <c r="AW3164" s="10"/>
      <c r="AX3164" s="10"/>
      <c r="AY3164" s="10"/>
      <c r="AZ3164" s="10"/>
      <c r="BA3164" s="10"/>
      <c r="BB3164" s="10"/>
      <c r="BC3164" s="10"/>
      <c r="BD3164" s="10"/>
      <c r="BE3164" s="10"/>
      <c r="BF3164" s="10"/>
      <c r="BG3164" s="10"/>
      <c r="BH3164" s="10"/>
      <c r="BI3164" s="10"/>
      <c r="BJ3164" s="10"/>
      <c r="BK3164" s="10"/>
      <c r="BM3164" s="10"/>
    </row>
    <row r="3165" spans="1:65" ht="12.75">
      <c r="A3165" s="9"/>
      <c r="B3165" s="10"/>
      <c r="C3165" s="11"/>
      <c r="D3165" s="12"/>
      <c r="E3165" s="10"/>
      <c r="F3165" s="10"/>
      <c r="G3165" s="10"/>
      <c r="H3165" s="14"/>
      <c r="I3165" s="14"/>
      <c r="J3165" s="14"/>
      <c r="K3165" s="14"/>
      <c r="L3165" s="14"/>
      <c r="M3165" s="15"/>
      <c r="N3165" s="10"/>
      <c r="O3165" s="14"/>
      <c r="P3165" s="14"/>
      <c r="Q3165" s="14"/>
      <c r="R3165" s="14"/>
      <c r="S3165" s="14"/>
      <c r="T3165" s="14"/>
      <c r="U3165" s="14"/>
      <c r="V3165" s="14"/>
      <c r="W3165" s="14"/>
      <c r="X3165" s="14"/>
      <c r="Y3165" s="14"/>
      <c r="Z3165" s="14"/>
      <c r="AA3165" s="16"/>
      <c r="AB3165" s="10"/>
      <c r="AC3165" s="10"/>
      <c r="AD3165" s="10"/>
      <c r="AE3165" s="10"/>
      <c r="AF3165" s="10"/>
      <c r="AG3165" s="10"/>
      <c r="AH3165" s="10"/>
      <c r="AI3165" s="10"/>
      <c r="AJ3165" s="10"/>
      <c r="AK3165" s="10"/>
      <c r="AL3165" s="10"/>
      <c r="AM3165" s="10"/>
      <c r="AN3165" s="10"/>
      <c r="AO3165" s="10"/>
      <c r="AP3165" s="10"/>
      <c r="AQ3165" s="10"/>
      <c r="AR3165" s="10"/>
      <c r="AS3165" s="10"/>
      <c r="AT3165" s="10"/>
      <c r="AU3165" s="10"/>
      <c r="AV3165" s="10"/>
      <c r="AW3165" s="10"/>
      <c r="AX3165" s="10"/>
      <c r="AY3165" s="10"/>
      <c r="AZ3165" s="10"/>
      <c r="BA3165" s="10"/>
      <c r="BB3165" s="10"/>
      <c r="BC3165" s="10"/>
      <c r="BD3165" s="10"/>
      <c r="BE3165" s="10"/>
      <c r="BF3165" s="10"/>
      <c r="BG3165" s="10"/>
      <c r="BH3165" s="10"/>
      <c r="BI3165" s="10"/>
      <c r="BJ3165" s="10"/>
      <c r="BK3165" s="10"/>
      <c r="BM3165" s="10"/>
    </row>
    <row r="3166" spans="1:65" ht="12.75">
      <c r="A3166" s="9"/>
      <c r="B3166" s="10"/>
      <c r="C3166" s="11"/>
      <c r="D3166" s="12"/>
      <c r="E3166" s="10"/>
      <c r="F3166" s="10"/>
      <c r="G3166" s="10"/>
      <c r="H3166" s="14"/>
      <c r="I3166" s="14"/>
      <c r="J3166" s="14"/>
      <c r="K3166" s="14"/>
      <c r="L3166" s="14"/>
      <c r="M3166" s="15"/>
      <c r="N3166" s="10"/>
      <c r="O3166" s="14"/>
      <c r="P3166" s="14"/>
      <c r="Q3166" s="14"/>
      <c r="R3166" s="14"/>
      <c r="S3166" s="14"/>
      <c r="T3166" s="14"/>
      <c r="U3166" s="14"/>
      <c r="V3166" s="14"/>
      <c r="W3166" s="14"/>
      <c r="X3166" s="14"/>
      <c r="Y3166" s="14"/>
      <c r="Z3166" s="14"/>
      <c r="AA3166" s="16"/>
      <c r="AB3166" s="10"/>
      <c r="AC3166" s="10"/>
      <c r="AD3166" s="10"/>
      <c r="AE3166" s="10"/>
      <c r="AF3166" s="10"/>
      <c r="AG3166" s="10"/>
      <c r="AH3166" s="10"/>
      <c r="AI3166" s="10"/>
      <c r="AJ3166" s="10"/>
      <c r="AK3166" s="10"/>
      <c r="AL3166" s="10"/>
      <c r="AM3166" s="10"/>
      <c r="AN3166" s="10"/>
      <c r="AO3166" s="10"/>
      <c r="AP3166" s="10"/>
      <c r="AQ3166" s="10"/>
      <c r="AR3166" s="10"/>
      <c r="AS3166" s="10"/>
      <c r="AT3166" s="10"/>
      <c r="AU3166" s="10"/>
      <c r="AV3166" s="10"/>
      <c r="AW3166" s="10"/>
      <c r="AX3166" s="10"/>
      <c r="AY3166" s="10"/>
      <c r="AZ3166" s="10"/>
      <c r="BA3166" s="10"/>
      <c r="BB3166" s="10"/>
      <c r="BC3166" s="10"/>
      <c r="BD3166" s="10"/>
      <c r="BE3166" s="10"/>
      <c r="BF3166" s="10"/>
      <c r="BG3166" s="10"/>
      <c r="BH3166" s="10"/>
      <c r="BI3166" s="10"/>
      <c r="BJ3166" s="10"/>
      <c r="BK3166" s="10"/>
      <c r="BM3166" s="10"/>
    </row>
    <row r="3167" spans="1:65" ht="12.75">
      <c r="A3167" s="9"/>
      <c r="B3167" s="10"/>
      <c r="C3167" s="11"/>
      <c r="D3167" s="12"/>
      <c r="E3167" s="10"/>
      <c r="F3167" s="10"/>
      <c r="G3167" s="10"/>
      <c r="H3167" s="14"/>
      <c r="I3167" s="14"/>
      <c r="J3167" s="14"/>
      <c r="K3167" s="14"/>
      <c r="L3167" s="14"/>
      <c r="M3167" s="15"/>
      <c r="N3167" s="10"/>
      <c r="O3167" s="14"/>
      <c r="P3167" s="14"/>
      <c r="Q3167" s="14"/>
      <c r="R3167" s="14"/>
      <c r="S3167" s="14"/>
      <c r="T3167" s="14"/>
      <c r="U3167" s="14"/>
      <c r="V3167" s="14"/>
      <c r="W3167" s="14"/>
      <c r="X3167" s="14"/>
      <c r="Y3167" s="14"/>
      <c r="Z3167" s="14"/>
      <c r="AA3167" s="16"/>
      <c r="AB3167" s="10"/>
      <c r="AC3167" s="10"/>
      <c r="AD3167" s="10"/>
      <c r="AE3167" s="10"/>
      <c r="AF3167" s="10"/>
      <c r="AG3167" s="10"/>
      <c r="AH3167" s="10"/>
      <c r="AI3167" s="10"/>
      <c r="AJ3167" s="10"/>
      <c r="AK3167" s="10"/>
      <c r="AL3167" s="10"/>
      <c r="AM3167" s="10"/>
      <c r="AN3167" s="10"/>
      <c r="AO3167" s="10"/>
      <c r="AP3167" s="10"/>
      <c r="AQ3167" s="10"/>
      <c r="AR3167" s="10"/>
      <c r="AS3167" s="10"/>
      <c r="AT3167" s="10"/>
      <c r="AU3167" s="10"/>
      <c r="AV3167" s="10"/>
      <c r="AW3167" s="10"/>
      <c r="AX3167" s="10"/>
      <c r="AY3167" s="10"/>
      <c r="AZ3167" s="10"/>
      <c r="BA3167" s="10"/>
      <c r="BB3167" s="10"/>
      <c r="BC3167" s="10"/>
      <c r="BD3167" s="10"/>
      <c r="BE3167" s="10"/>
      <c r="BF3167" s="10"/>
      <c r="BG3167" s="10"/>
      <c r="BH3167" s="10"/>
      <c r="BI3167" s="10"/>
      <c r="BJ3167" s="10"/>
      <c r="BK3167" s="10"/>
      <c r="BM3167" s="10"/>
    </row>
    <row r="3168" spans="1:65" ht="12.75">
      <c r="A3168" s="9"/>
      <c r="B3168" s="10"/>
      <c r="C3168" s="11"/>
      <c r="D3168" s="12"/>
      <c r="E3168" s="10"/>
      <c r="F3168" s="10"/>
      <c r="G3168" s="10"/>
      <c r="H3168" s="14"/>
      <c r="I3168" s="14"/>
      <c r="J3168" s="14"/>
      <c r="K3168" s="14"/>
      <c r="L3168" s="14"/>
      <c r="M3168" s="15"/>
      <c r="N3168" s="10"/>
      <c r="O3168" s="14"/>
      <c r="P3168" s="14"/>
      <c r="Q3168" s="14"/>
      <c r="R3168" s="14"/>
      <c r="S3168" s="14"/>
      <c r="T3168" s="14"/>
      <c r="U3168" s="14"/>
      <c r="V3168" s="14"/>
      <c r="W3168" s="14"/>
      <c r="X3168" s="14"/>
      <c r="Y3168" s="14"/>
      <c r="Z3168" s="14"/>
      <c r="AA3168" s="16"/>
      <c r="AB3168" s="10"/>
      <c r="AC3168" s="10"/>
      <c r="AD3168" s="10"/>
      <c r="AE3168" s="10"/>
      <c r="AF3168" s="10"/>
      <c r="AG3168" s="10"/>
      <c r="AH3168" s="10"/>
      <c r="AI3168" s="10"/>
      <c r="AJ3168" s="10"/>
      <c r="AK3168" s="10"/>
      <c r="AL3168" s="10"/>
      <c r="AM3168" s="10"/>
      <c r="AN3168" s="10"/>
      <c r="AO3168" s="10"/>
      <c r="AP3168" s="10"/>
      <c r="AQ3168" s="10"/>
      <c r="AR3168" s="10"/>
      <c r="AS3168" s="10"/>
      <c r="AT3168" s="10"/>
      <c r="AU3168" s="10"/>
      <c r="AV3168" s="10"/>
      <c r="AW3168" s="10"/>
      <c r="AX3168" s="10"/>
      <c r="AY3168" s="10"/>
      <c r="AZ3168" s="10"/>
      <c r="BA3168" s="10"/>
      <c r="BB3168" s="10"/>
      <c r="BC3168" s="10"/>
      <c r="BD3168" s="10"/>
      <c r="BE3168" s="10"/>
      <c r="BF3168" s="10"/>
      <c r="BG3168" s="10"/>
      <c r="BH3168" s="10"/>
      <c r="BI3168" s="10"/>
      <c r="BJ3168" s="10"/>
      <c r="BK3168" s="10"/>
      <c r="BM3168" s="10"/>
    </row>
    <row r="3169" spans="1:65" ht="12.75">
      <c r="A3169" s="9"/>
      <c r="B3169" s="10"/>
      <c r="C3169" s="11"/>
      <c r="D3169" s="12"/>
      <c r="E3169" s="10"/>
      <c r="F3169" s="10"/>
      <c r="G3169" s="10"/>
      <c r="H3169" s="14"/>
      <c r="I3169" s="14"/>
      <c r="J3169" s="14"/>
      <c r="K3169" s="14"/>
      <c r="L3169" s="14"/>
      <c r="M3169" s="15"/>
      <c r="N3169" s="10"/>
      <c r="O3169" s="14"/>
      <c r="P3169" s="14"/>
      <c r="Q3169" s="14"/>
      <c r="R3169" s="14"/>
      <c r="S3169" s="14"/>
      <c r="T3169" s="14"/>
      <c r="U3169" s="14"/>
      <c r="V3169" s="14"/>
      <c r="W3169" s="14"/>
      <c r="X3169" s="14"/>
      <c r="Y3169" s="14"/>
      <c r="Z3169" s="14"/>
      <c r="AA3169" s="16"/>
      <c r="AB3169" s="10"/>
      <c r="AC3169" s="10"/>
      <c r="AD3169" s="10"/>
      <c r="AE3169" s="10"/>
      <c r="AF3169" s="10"/>
      <c r="AG3169" s="10"/>
      <c r="AH3169" s="10"/>
      <c r="AI3169" s="10"/>
      <c r="AJ3169" s="10"/>
      <c r="AK3169" s="10"/>
      <c r="AL3169" s="10"/>
      <c r="AM3169" s="10"/>
      <c r="AN3169" s="10"/>
      <c r="AO3169" s="10"/>
      <c r="AP3169" s="10"/>
      <c r="AQ3169" s="10"/>
      <c r="AR3169" s="10"/>
      <c r="AS3169" s="10"/>
      <c r="AT3169" s="10"/>
      <c r="AU3169" s="10"/>
      <c r="AV3169" s="10"/>
      <c r="AW3169" s="10"/>
      <c r="AX3169" s="10"/>
      <c r="AY3169" s="10"/>
      <c r="AZ3169" s="10"/>
      <c r="BA3169" s="10"/>
      <c r="BB3169" s="10"/>
      <c r="BC3169" s="10"/>
      <c r="BD3169" s="10"/>
      <c r="BE3169" s="10"/>
      <c r="BF3169" s="10"/>
      <c r="BG3169" s="10"/>
      <c r="BH3169" s="10"/>
      <c r="BI3169" s="10"/>
      <c r="BJ3169" s="10"/>
      <c r="BK3169" s="10"/>
      <c r="BM3169" s="10"/>
    </row>
    <row r="3170" spans="1:65" ht="12.75">
      <c r="A3170" s="9"/>
      <c r="B3170" s="10"/>
      <c r="C3170" s="11"/>
      <c r="D3170" s="12"/>
      <c r="E3170" s="10"/>
      <c r="F3170" s="10"/>
      <c r="G3170" s="10"/>
      <c r="H3170" s="14"/>
      <c r="I3170" s="14"/>
      <c r="J3170" s="14"/>
      <c r="K3170" s="14"/>
      <c r="L3170" s="14"/>
      <c r="M3170" s="15"/>
      <c r="N3170" s="10"/>
      <c r="O3170" s="14"/>
      <c r="P3170" s="14"/>
      <c r="Q3170" s="14"/>
      <c r="R3170" s="14"/>
      <c r="S3170" s="14"/>
      <c r="T3170" s="14"/>
      <c r="U3170" s="14"/>
      <c r="V3170" s="14"/>
      <c r="W3170" s="14"/>
      <c r="X3170" s="14"/>
      <c r="Y3170" s="14"/>
      <c r="Z3170" s="14"/>
      <c r="AA3170" s="16"/>
      <c r="AB3170" s="10"/>
      <c r="AC3170" s="10"/>
      <c r="AD3170" s="10"/>
      <c r="AE3170" s="10"/>
      <c r="AF3170" s="10"/>
      <c r="AG3170" s="10"/>
      <c r="AH3170" s="10"/>
      <c r="AI3170" s="10"/>
      <c r="AJ3170" s="10"/>
      <c r="AK3170" s="10"/>
      <c r="AL3170" s="10"/>
      <c r="AM3170" s="10"/>
      <c r="AN3170" s="10"/>
      <c r="AO3170" s="10"/>
      <c r="AP3170" s="10"/>
      <c r="AQ3170" s="10"/>
      <c r="AR3170" s="10"/>
      <c r="AS3170" s="10"/>
      <c r="AT3170" s="10"/>
      <c r="AU3170" s="10"/>
      <c r="AV3170" s="10"/>
      <c r="AW3170" s="10"/>
      <c r="AX3170" s="10"/>
      <c r="AY3170" s="10"/>
      <c r="AZ3170" s="10"/>
      <c r="BA3170" s="10"/>
      <c r="BB3170" s="10"/>
      <c r="BC3170" s="10"/>
      <c r="BD3170" s="10"/>
      <c r="BE3170" s="10"/>
      <c r="BF3170" s="10"/>
      <c r="BG3170" s="10"/>
      <c r="BH3170" s="10"/>
      <c r="BI3170" s="10"/>
      <c r="BJ3170" s="10"/>
      <c r="BK3170" s="10"/>
      <c r="BM3170" s="10"/>
    </row>
    <row r="3171" spans="1:65" ht="12.75">
      <c r="A3171" s="9"/>
      <c r="B3171" s="10"/>
      <c r="C3171" s="11"/>
      <c r="D3171" s="12"/>
      <c r="E3171" s="10"/>
      <c r="F3171" s="10"/>
      <c r="G3171" s="10"/>
      <c r="H3171" s="14"/>
      <c r="I3171" s="14"/>
      <c r="J3171" s="14"/>
      <c r="K3171" s="14"/>
      <c r="L3171" s="14"/>
      <c r="M3171" s="15"/>
      <c r="N3171" s="10"/>
      <c r="O3171" s="14"/>
      <c r="P3171" s="14"/>
      <c r="Q3171" s="14"/>
      <c r="R3171" s="14"/>
      <c r="S3171" s="14"/>
      <c r="T3171" s="14"/>
      <c r="U3171" s="14"/>
      <c r="V3171" s="14"/>
      <c r="W3171" s="14"/>
      <c r="X3171" s="14"/>
      <c r="Y3171" s="14"/>
      <c r="Z3171" s="14"/>
      <c r="AA3171" s="16"/>
      <c r="AB3171" s="10"/>
      <c r="AC3171" s="10"/>
      <c r="AD3171" s="10"/>
      <c r="AE3171" s="10"/>
      <c r="AF3171" s="10"/>
      <c r="AG3171" s="10"/>
      <c r="AH3171" s="10"/>
      <c r="AI3171" s="10"/>
      <c r="AJ3171" s="10"/>
      <c r="AK3171" s="10"/>
      <c r="AL3171" s="10"/>
      <c r="AM3171" s="10"/>
      <c r="AN3171" s="10"/>
      <c r="AO3171" s="10"/>
      <c r="AP3171" s="10"/>
      <c r="AQ3171" s="10"/>
      <c r="AR3171" s="10"/>
      <c r="AS3171" s="10"/>
      <c r="AT3171" s="10"/>
      <c r="AU3171" s="10"/>
      <c r="AV3171" s="10"/>
      <c r="AW3171" s="10"/>
      <c r="AX3171" s="10"/>
      <c r="AY3171" s="10"/>
      <c r="AZ3171" s="10"/>
      <c r="BA3171" s="10"/>
      <c r="BB3171" s="10"/>
      <c r="BC3171" s="10"/>
      <c r="BD3171" s="10"/>
      <c r="BE3171" s="10"/>
      <c r="BF3171" s="10"/>
      <c r="BG3171" s="10"/>
      <c r="BH3171" s="10"/>
      <c r="BI3171" s="10"/>
      <c r="BJ3171" s="10"/>
      <c r="BK3171" s="10"/>
      <c r="BM3171" s="10"/>
    </row>
    <row r="3172" spans="1:65" ht="12.75">
      <c r="A3172" s="9"/>
      <c r="B3172" s="10"/>
      <c r="C3172" s="11"/>
      <c r="D3172" s="12"/>
      <c r="E3172" s="10"/>
      <c r="F3172" s="10"/>
      <c r="G3172" s="10"/>
      <c r="H3172" s="14"/>
      <c r="I3172" s="14"/>
      <c r="J3172" s="14"/>
      <c r="K3172" s="14"/>
      <c r="L3172" s="14"/>
      <c r="M3172" s="15"/>
      <c r="N3172" s="10"/>
      <c r="O3172" s="14"/>
      <c r="P3172" s="14"/>
      <c r="Q3172" s="14"/>
      <c r="R3172" s="14"/>
      <c r="S3172" s="14"/>
      <c r="T3172" s="14"/>
      <c r="U3172" s="14"/>
      <c r="V3172" s="14"/>
      <c r="W3172" s="14"/>
      <c r="X3172" s="14"/>
      <c r="Y3172" s="14"/>
      <c r="Z3172" s="14"/>
      <c r="AA3172" s="16"/>
      <c r="AB3172" s="10"/>
      <c r="AC3172" s="10"/>
      <c r="AD3172" s="10"/>
      <c r="AE3172" s="10"/>
      <c r="AF3172" s="10"/>
      <c r="AG3172" s="10"/>
      <c r="AH3172" s="10"/>
      <c r="AI3172" s="10"/>
      <c r="AJ3172" s="10"/>
      <c r="AK3172" s="10"/>
      <c r="AL3172" s="10"/>
      <c r="AM3172" s="10"/>
      <c r="AN3172" s="10"/>
      <c r="AO3172" s="10"/>
      <c r="AP3172" s="10"/>
      <c r="AQ3172" s="10"/>
      <c r="AR3172" s="10"/>
      <c r="AS3172" s="10"/>
      <c r="AT3172" s="10"/>
      <c r="AU3172" s="10"/>
      <c r="AV3172" s="10"/>
      <c r="AW3172" s="10"/>
      <c r="AX3172" s="10"/>
      <c r="AY3172" s="10"/>
      <c r="AZ3172" s="10"/>
      <c r="BA3172" s="10"/>
      <c r="BB3172" s="10"/>
      <c r="BC3172" s="10"/>
      <c r="BD3172" s="10"/>
      <c r="BE3172" s="10"/>
      <c r="BF3172" s="10"/>
      <c r="BG3172" s="10"/>
      <c r="BH3172" s="10"/>
      <c r="BI3172" s="10"/>
      <c r="BJ3172" s="10"/>
      <c r="BK3172" s="10"/>
      <c r="BM3172" s="10"/>
    </row>
    <row r="3173" spans="1:65" ht="12.75">
      <c r="A3173" s="9"/>
      <c r="B3173" s="10"/>
      <c r="C3173" s="11"/>
      <c r="D3173" s="12"/>
      <c r="E3173" s="10"/>
      <c r="F3173" s="10"/>
      <c r="G3173" s="10"/>
      <c r="H3173" s="14"/>
      <c r="I3173" s="14"/>
      <c r="J3173" s="14"/>
      <c r="K3173" s="14"/>
      <c r="L3173" s="14"/>
      <c r="M3173" s="15"/>
      <c r="N3173" s="10"/>
      <c r="O3173" s="14"/>
      <c r="P3173" s="14"/>
      <c r="Q3173" s="14"/>
      <c r="R3173" s="14"/>
      <c r="S3173" s="14"/>
      <c r="T3173" s="14"/>
      <c r="U3173" s="14"/>
      <c r="V3173" s="14"/>
      <c r="W3173" s="14"/>
      <c r="X3173" s="14"/>
      <c r="Y3173" s="14"/>
      <c r="Z3173" s="14"/>
      <c r="AA3173" s="16"/>
      <c r="AB3173" s="10"/>
      <c r="AC3173" s="10"/>
      <c r="AD3173" s="10"/>
      <c r="AE3173" s="10"/>
      <c r="AF3173" s="10"/>
      <c r="AG3173" s="10"/>
      <c r="AH3173" s="10"/>
      <c r="AI3173" s="10"/>
      <c r="AJ3173" s="10"/>
      <c r="AK3173" s="10"/>
      <c r="AL3173" s="10"/>
      <c r="AM3173" s="10"/>
      <c r="AN3173" s="10"/>
      <c r="AO3173" s="10"/>
      <c r="AP3173" s="10"/>
      <c r="AQ3173" s="10"/>
      <c r="AR3173" s="10"/>
      <c r="AS3173" s="10"/>
      <c r="AT3173" s="10"/>
      <c r="AU3173" s="10"/>
      <c r="AV3173" s="10"/>
      <c r="AW3173" s="10"/>
      <c r="AX3173" s="10"/>
      <c r="AY3173" s="10"/>
      <c r="AZ3173" s="10"/>
      <c r="BA3173" s="10"/>
      <c r="BB3173" s="10"/>
      <c r="BC3173" s="10"/>
      <c r="BD3173" s="10"/>
      <c r="BE3173" s="10"/>
      <c r="BF3173" s="10"/>
      <c r="BG3173" s="10"/>
      <c r="BH3173" s="10"/>
      <c r="BI3173" s="10"/>
      <c r="BJ3173" s="10"/>
      <c r="BK3173" s="10"/>
      <c r="BM3173" s="10"/>
    </row>
    <row r="3174" spans="1:65" ht="12.75">
      <c r="A3174" s="9"/>
      <c r="B3174" s="10"/>
      <c r="C3174" s="11"/>
      <c r="D3174" s="12"/>
      <c r="E3174" s="10"/>
      <c r="F3174" s="10"/>
      <c r="G3174" s="10"/>
      <c r="H3174" s="14"/>
      <c r="I3174" s="14"/>
      <c r="J3174" s="14"/>
      <c r="K3174" s="14"/>
      <c r="L3174" s="14"/>
      <c r="M3174" s="15"/>
      <c r="N3174" s="10"/>
      <c r="O3174" s="14"/>
      <c r="P3174" s="14"/>
      <c r="Q3174" s="14"/>
      <c r="R3174" s="14"/>
      <c r="S3174" s="14"/>
      <c r="T3174" s="14"/>
      <c r="U3174" s="14"/>
      <c r="V3174" s="14"/>
      <c r="W3174" s="14"/>
      <c r="X3174" s="14"/>
      <c r="Y3174" s="14"/>
      <c r="Z3174" s="14"/>
      <c r="AA3174" s="16"/>
      <c r="AB3174" s="10"/>
      <c r="AC3174" s="10"/>
      <c r="AD3174" s="10"/>
      <c r="AE3174" s="10"/>
      <c r="AF3174" s="10"/>
      <c r="AG3174" s="10"/>
      <c r="AH3174" s="10"/>
      <c r="AI3174" s="10"/>
      <c r="AJ3174" s="10"/>
      <c r="AK3174" s="10"/>
      <c r="AL3174" s="10"/>
      <c r="AM3174" s="10"/>
      <c r="AN3174" s="10"/>
      <c r="AO3174" s="10"/>
      <c r="AP3174" s="10"/>
      <c r="AQ3174" s="10"/>
      <c r="AR3174" s="10"/>
      <c r="AS3174" s="10"/>
      <c r="AT3174" s="10"/>
      <c r="AU3174" s="10"/>
      <c r="AV3174" s="10"/>
      <c r="AW3174" s="10"/>
      <c r="AX3174" s="10"/>
      <c r="AY3174" s="10"/>
      <c r="AZ3174" s="10"/>
      <c r="BA3174" s="10"/>
      <c r="BB3174" s="10"/>
      <c r="BC3174" s="10"/>
      <c r="BD3174" s="10"/>
      <c r="BE3174" s="10"/>
      <c r="BF3174" s="10"/>
      <c r="BG3174" s="10"/>
      <c r="BH3174" s="10"/>
      <c r="BI3174" s="10"/>
      <c r="BJ3174" s="10"/>
      <c r="BK3174" s="10"/>
      <c r="BM3174" s="10"/>
    </row>
    <row r="3175" spans="1:65" ht="12.75">
      <c r="A3175" s="9"/>
      <c r="B3175" s="10"/>
      <c r="C3175" s="11"/>
      <c r="D3175" s="12"/>
      <c r="E3175" s="10"/>
      <c r="F3175" s="10"/>
      <c r="G3175" s="10"/>
      <c r="H3175" s="14"/>
      <c r="I3175" s="14"/>
      <c r="J3175" s="14"/>
      <c r="K3175" s="14"/>
      <c r="L3175" s="14"/>
      <c r="M3175" s="15"/>
      <c r="N3175" s="10"/>
      <c r="O3175" s="14"/>
      <c r="P3175" s="14"/>
      <c r="Q3175" s="14"/>
      <c r="R3175" s="14"/>
      <c r="S3175" s="14"/>
      <c r="T3175" s="14"/>
      <c r="U3175" s="14"/>
      <c r="V3175" s="14"/>
      <c r="W3175" s="14"/>
      <c r="X3175" s="14"/>
      <c r="Y3175" s="14"/>
      <c r="Z3175" s="14"/>
      <c r="AA3175" s="16"/>
      <c r="AB3175" s="10"/>
      <c r="AC3175" s="10"/>
      <c r="AD3175" s="10"/>
      <c r="AE3175" s="10"/>
      <c r="AF3175" s="10"/>
      <c r="AG3175" s="10"/>
      <c r="AH3175" s="10"/>
      <c r="AI3175" s="10"/>
      <c r="AJ3175" s="10"/>
      <c r="AK3175" s="10"/>
      <c r="AL3175" s="10"/>
      <c r="AM3175" s="10"/>
      <c r="AN3175" s="10"/>
      <c r="AO3175" s="10"/>
      <c r="AP3175" s="10"/>
      <c r="AQ3175" s="10"/>
      <c r="AR3175" s="10"/>
      <c r="AS3175" s="10"/>
      <c r="AT3175" s="10"/>
      <c r="AU3175" s="10"/>
      <c r="AV3175" s="10"/>
      <c r="AW3175" s="10"/>
      <c r="AX3175" s="10"/>
      <c r="AY3175" s="10"/>
      <c r="AZ3175" s="10"/>
      <c r="BA3175" s="10"/>
      <c r="BB3175" s="10"/>
      <c r="BC3175" s="10"/>
      <c r="BD3175" s="10"/>
      <c r="BE3175" s="10"/>
      <c r="BF3175" s="10"/>
      <c r="BG3175" s="10"/>
      <c r="BH3175" s="10"/>
      <c r="BI3175" s="10"/>
      <c r="BJ3175" s="10"/>
      <c r="BK3175" s="10"/>
      <c r="BM3175" s="10"/>
    </row>
    <row r="3176" spans="1:65" ht="12.75">
      <c r="A3176" s="9"/>
      <c r="B3176" s="10"/>
      <c r="C3176" s="11"/>
      <c r="D3176" s="12"/>
      <c r="E3176" s="10"/>
      <c r="F3176" s="10"/>
      <c r="G3176" s="10"/>
      <c r="H3176" s="14"/>
      <c r="I3176" s="14"/>
      <c r="J3176" s="14"/>
      <c r="K3176" s="14"/>
      <c r="L3176" s="14"/>
      <c r="M3176" s="15"/>
      <c r="N3176" s="10"/>
      <c r="O3176" s="14"/>
      <c r="P3176" s="14"/>
      <c r="Q3176" s="14"/>
      <c r="R3176" s="14"/>
      <c r="S3176" s="14"/>
      <c r="T3176" s="14"/>
      <c r="U3176" s="14"/>
      <c r="V3176" s="14"/>
      <c r="W3176" s="14"/>
      <c r="X3176" s="14"/>
      <c r="Y3176" s="14"/>
      <c r="Z3176" s="14"/>
      <c r="AA3176" s="16"/>
      <c r="AB3176" s="10"/>
      <c r="AC3176" s="10"/>
      <c r="AD3176" s="10"/>
      <c r="AE3176" s="10"/>
      <c r="AF3176" s="10"/>
      <c r="AG3176" s="10"/>
      <c r="AH3176" s="10"/>
      <c r="AI3176" s="10"/>
      <c r="AJ3176" s="10"/>
      <c r="AK3176" s="10"/>
      <c r="AL3176" s="10"/>
      <c r="AM3176" s="10"/>
      <c r="AN3176" s="10"/>
      <c r="AO3176" s="10"/>
      <c r="AP3176" s="10"/>
      <c r="AQ3176" s="10"/>
      <c r="AR3176" s="10"/>
      <c r="AS3176" s="10"/>
      <c r="AT3176" s="10"/>
      <c r="AU3176" s="10"/>
      <c r="AV3176" s="10"/>
      <c r="AW3176" s="10"/>
      <c r="AX3176" s="10"/>
      <c r="AY3176" s="10"/>
      <c r="AZ3176" s="10"/>
      <c r="BA3176" s="10"/>
      <c r="BB3176" s="10"/>
      <c r="BC3176" s="10"/>
      <c r="BD3176" s="10"/>
      <c r="BE3176" s="10"/>
      <c r="BF3176" s="10"/>
      <c r="BG3176" s="10"/>
      <c r="BH3176" s="10"/>
      <c r="BI3176" s="10"/>
      <c r="BJ3176" s="10"/>
      <c r="BK3176" s="10"/>
      <c r="BM3176" s="10"/>
    </row>
    <row r="3177" spans="1:65" ht="12.75">
      <c r="A3177" s="9"/>
      <c r="B3177" s="10"/>
      <c r="C3177" s="11"/>
      <c r="D3177" s="12"/>
      <c r="E3177" s="10"/>
      <c r="F3177" s="10"/>
      <c r="G3177" s="10"/>
      <c r="H3177" s="14"/>
      <c r="I3177" s="14"/>
      <c r="J3177" s="14"/>
      <c r="K3177" s="14"/>
      <c r="L3177" s="14"/>
      <c r="M3177" s="15"/>
      <c r="N3177" s="10"/>
      <c r="O3177" s="14"/>
      <c r="P3177" s="14"/>
      <c r="Q3177" s="14"/>
      <c r="R3177" s="14"/>
      <c r="S3177" s="14"/>
      <c r="T3177" s="14"/>
      <c r="U3177" s="14"/>
      <c r="V3177" s="14"/>
      <c r="W3177" s="14"/>
      <c r="X3177" s="14"/>
      <c r="Y3177" s="14"/>
      <c r="Z3177" s="14"/>
      <c r="AA3177" s="16"/>
      <c r="AB3177" s="10"/>
      <c r="AC3177" s="10"/>
      <c r="AD3177" s="10"/>
      <c r="AE3177" s="10"/>
      <c r="AF3177" s="10"/>
      <c r="AG3177" s="10"/>
      <c r="AH3177" s="10"/>
      <c r="AI3177" s="10"/>
      <c r="AJ3177" s="10"/>
      <c r="AK3177" s="10"/>
      <c r="AL3177" s="10"/>
      <c r="AM3177" s="10"/>
      <c r="AN3177" s="10"/>
      <c r="AO3177" s="10"/>
      <c r="AP3177" s="10"/>
      <c r="AQ3177" s="10"/>
      <c r="AR3177" s="10"/>
      <c r="AS3177" s="10"/>
      <c r="AT3177" s="10"/>
      <c r="AU3177" s="10"/>
      <c r="AV3177" s="10"/>
      <c r="AW3177" s="10"/>
      <c r="AX3177" s="10"/>
      <c r="AY3177" s="10"/>
      <c r="AZ3177" s="10"/>
      <c r="BA3177" s="10"/>
      <c r="BB3177" s="10"/>
      <c r="BC3177" s="10"/>
      <c r="BD3177" s="10"/>
      <c r="BE3177" s="10"/>
      <c r="BF3177" s="10"/>
      <c r="BG3177" s="10"/>
      <c r="BH3177" s="10"/>
      <c r="BI3177" s="10"/>
      <c r="BJ3177" s="10"/>
      <c r="BK3177" s="10"/>
      <c r="BM3177" s="10"/>
    </row>
    <row r="3178" spans="1:65" ht="12.75">
      <c r="A3178" s="9"/>
      <c r="B3178" s="10"/>
      <c r="C3178" s="11"/>
      <c r="D3178" s="12"/>
      <c r="E3178" s="10"/>
      <c r="F3178" s="10"/>
      <c r="G3178" s="10"/>
      <c r="H3178" s="14"/>
      <c r="I3178" s="14"/>
      <c r="J3178" s="14"/>
      <c r="K3178" s="14"/>
      <c r="L3178" s="14"/>
      <c r="M3178" s="15"/>
      <c r="N3178" s="10"/>
      <c r="O3178" s="14"/>
      <c r="P3178" s="14"/>
      <c r="Q3178" s="14"/>
      <c r="R3178" s="14"/>
      <c r="S3178" s="14"/>
      <c r="T3178" s="14"/>
      <c r="U3178" s="14"/>
      <c r="V3178" s="14"/>
      <c r="W3178" s="14"/>
      <c r="X3178" s="14"/>
      <c r="Y3178" s="14"/>
      <c r="Z3178" s="14"/>
      <c r="AA3178" s="16"/>
      <c r="AB3178" s="10"/>
      <c r="AC3178" s="10"/>
      <c r="AD3178" s="10"/>
      <c r="AE3178" s="10"/>
      <c r="AF3178" s="10"/>
      <c r="AG3178" s="10"/>
      <c r="AH3178" s="10"/>
      <c r="AI3178" s="10"/>
      <c r="AJ3178" s="10"/>
      <c r="AK3178" s="10"/>
      <c r="AL3178" s="10"/>
      <c r="AM3178" s="10"/>
      <c r="AN3178" s="10"/>
      <c r="AO3178" s="10"/>
      <c r="AP3178" s="10"/>
      <c r="AQ3178" s="10"/>
      <c r="AR3178" s="10"/>
      <c r="AS3178" s="10"/>
      <c r="AT3178" s="10"/>
      <c r="AU3178" s="10"/>
      <c r="AV3178" s="10"/>
      <c r="AW3178" s="10"/>
      <c r="AX3178" s="10"/>
      <c r="AY3178" s="10"/>
      <c r="AZ3178" s="10"/>
      <c r="BA3178" s="10"/>
      <c r="BB3178" s="10"/>
      <c r="BC3178" s="10"/>
      <c r="BD3178" s="10"/>
      <c r="BE3178" s="10"/>
      <c r="BF3178" s="10"/>
      <c r="BG3178" s="10"/>
      <c r="BH3178" s="10"/>
      <c r="BI3178" s="10"/>
      <c r="BJ3178" s="10"/>
      <c r="BK3178" s="10"/>
      <c r="BM3178" s="10"/>
    </row>
    <row r="3179" spans="1:65" ht="12.75">
      <c r="A3179" s="9"/>
      <c r="B3179" s="10"/>
      <c r="C3179" s="11"/>
      <c r="D3179" s="12"/>
      <c r="E3179" s="10"/>
      <c r="F3179" s="10"/>
      <c r="G3179" s="10"/>
      <c r="H3179" s="14"/>
      <c r="I3179" s="14"/>
      <c r="J3179" s="14"/>
      <c r="K3179" s="14"/>
      <c r="L3179" s="14"/>
      <c r="M3179" s="15"/>
      <c r="N3179" s="10"/>
      <c r="O3179" s="14"/>
      <c r="P3179" s="14"/>
      <c r="Q3179" s="14"/>
      <c r="R3179" s="14"/>
      <c r="S3179" s="14"/>
      <c r="T3179" s="14"/>
      <c r="U3179" s="14"/>
      <c r="V3179" s="14"/>
      <c r="W3179" s="14"/>
      <c r="X3179" s="14"/>
      <c r="Y3179" s="14"/>
      <c r="Z3179" s="14"/>
      <c r="AA3179" s="16"/>
      <c r="AB3179" s="10"/>
      <c r="AC3179" s="10"/>
      <c r="AD3179" s="10"/>
      <c r="AE3179" s="10"/>
      <c r="AF3179" s="10"/>
      <c r="AG3179" s="10"/>
      <c r="AH3179" s="10"/>
      <c r="AI3179" s="10"/>
      <c r="AJ3179" s="10"/>
      <c r="AK3179" s="10"/>
      <c r="AL3179" s="10"/>
      <c r="AM3179" s="10"/>
      <c r="AN3179" s="10"/>
      <c r="AO3179" s="10"/>
      <c r="AP3179" s="10"/>
      <c r="AQ3179" s="10"/>
      <c r="AR3179" s="10"/>
      <c r="AS3179" s="10"/>
      <c r="AT3179" s="10"/>
      <c r="AU3179" s="10"/>
      <c r="AV3179" s="10"/>
      <c r="AW3179" s="10"/>
      <c r="AX3179" s="10"/>
      <c r="AY3179" s="10"/>
      <c r="AZ3179" s="10"/>
      <c r="BA3179" s="10"/>
      <c r="BB3179" s="10"/>
      <c r="BC3179" s="10"/>
      <c r="BD3179" s="10"/>
      <c r="BE3179" s="10"/>
      <c r="BF3179" s="10"/>
      <c r="BG3179" s="10"/>
      <c r="BH3179" s="10"/>
      <c r="BI3179" s="10"/>
      <c r="BJ3179" s="10"/>
      <c r="BK3179" s="10"/>
      <c r="BM3179" s="10"/>
    </row>
    <row r="3180" spans="1:65" ht="12.75">
      <c r="A3180" s="9"/>
      <c r="B3180" s="10"/>
      <c r="C3180" s="11"/>
      <c r="D3180" s="12"/>
      <c r="E3180" s="10"/>
      <c r="F3180" s="10"/>
      <c r="G3180" s="10"/>
      <c r="H3180" s="14"/>
      <c r="I3180" s="14"/>
      <c r="J3180" s="14"/>
      <c r="K3180" s="14"/>
      <c r="L3180" s="14"/>
      <c r="M3180" s="15"/>
      <c r="N3180" s="10"/>
      <c r="O3180" s="14"/>
      <c r="P3180" s="14"/>
      <c r="Q3180" s="14"/>
      <c r="R3180" s="14"/>
      <c r="S3180" s="14"/>
      <c r="T3180" s="14"/>
      <c r="U3180" s="14"/>
      <c r="V3180" s="14"/>
      <c r="W3180" s="14"/>
      <c r="X3180" s="14"/>
      <c r="Y3180" s="14"/>
      <c r="Z3180" s="14"/>
      <c r="AA3180" s="16"/>
      <c r="AB3180" s="10"/>
      <c r="AC3180" s="10"/>
      <c r="AD3180" s="10"/>
      <c r="AE3180" s="10"/>
      <c r="AF3180" s="10"/>
      <c r="AG3180" s="10"/>
      <c r="AH3180" s="10"/>
      <c r="AI3180" s="10"/>
      <c r="AJ3180" s="10"/>
      <c r="AK3180" s="10"/>
      <c r="AL3180" s="10"/>
      <c r="AM3180" s="10"/>
      <c r="AN3180" s="10"/>
      <c r="AO3180" s="10"/>
      <c r="AP3180" s="10"/>
      <c r="AQ3180" s="10"/>
      <c r="AR3180" s="10"/>
      <c r="AS3180" s="10"/>
      <c r="AT3180" s="10"/>
      <c r="AU3180" s="10"/>
      <c r="AV3180" s="10"/>
      <c r="AW3180" s="10"/>
      <c r="AX3180" s="10"/>
      <c r="AY3180" s="10"/>
      <c r="AZ3180" s="10"/>
      <c r="BA3180" s="10"/>
      <c r="BB3180" s="10"/>
      <c r="BC3180" s="10"/>
      <c r="BD3180" s="10"/>
      <c r="BE3180" s="10"/>
      <c r="BF3180" s="10"/>
      <c r="BG3180" s="10"/>
      <c r="BH3180" s="10"/>
      <c r="BI3180" s="10"/>
      <c r="BJ3180" s="10"/>
      <c r="BK3180" s="10"/>
      <c r="BM3180" s="10"/>
    </row>
    <row r="3181" spans="1:65" ht="12.75">
      <c r="A3181" s="9"/>
      <c r="B3181" s="10"/>
      <c r="C3181" s="11"/>
      <c r="D3181" s="12"/>
      <c r="E3181" s="10"/>
      <c r="F3181" s="10"/>
      <c r="G3181" s="10"/>
      <c r="H3181" s="14"/>
      <c r="I3181" s="14"/>
      <c r="J3181" s="14"/>
      <c r="K3181" s="14"/>
      <c r="L3181" s="14"/>
      <c r="M3181" s="15"/>
      <c r="N3181" s="10"/>
      <c r="O3181" s="14"/>
      <c r="P3181" s="14"/>
      <c r="Q3181" s="14"/>
      <c r="R3181" s="14"/>
      <c r="S3181" s="14"/>
      <c r="T3181" s="14"/>
      <c r="U3181" s="14"/>
      <c r="V3181" s="14"/>
      <c r="W3181" s="14"/>
      <c r="X3181" s="14"/>
      <c r="Y3181" s="14"/>
      <c r="Z3181" s="14"/>
      <c r="AA3181" s="16"/>
      <c r="AB3181" s="10"/>
      <c r="AC3181" s="10"/>
      <c r="AD3181" s="10"/>
      <c r="AE3181" s="10"/>
      <c r="AF3181" s="10"/>
      <c r="AG3181" s="10"/>
      <c r="AH3181" s="10"/>
      <c r="AI3181" s="10"/>
      <c r="AJ3181" s="10"/>
      <c r="AK3181" s="10"/>
      <c r="AL3181" s="10"/>
      <c r="AM3181" s="10"/>
      <c r="AN3181" s="10"/>
      <c r="AO3181" s="10"/>
      <c r="AP3181" s="10"/>
      <c r="AQ3181" s="10"/>
      <c r="AR3181" s="10"/>
      <c r="AS3181" s="10"/>
      <c r="AT3181" s="10"/>
      <c r="AU3181" s="10"/>
      <c r="AV3181" s="10"/>
      <c r="AW3181" s="10"/>
      <c r="AX3181" s="10"/>
      <c r="AY3181" s="10"/>
      <c r="AZ3181" s="10"/>
      <c r="BA3181" s="10"/>
      <c r="BB3181" s="10"/>
      <c r="BC3181" s="10"/>
      <c r="BD3181" s="10"/>
      <c r="BE3181" s="10"/>
      <c r="BF3181" s="10"/>
      <c r="BG3181" s="10"/>
      <c r="BH3181" s="10"/>
      <c r="BI3181" s="10"/>
      <c r="BJ3181" s="10"/>
      <c r="BK3181" s="10"/>
      <c r="BM3181" s="10"/>
    </row>
    <row r="3182" spans="1:65" ht="12.75">
      <c r="A3182" s="9"/>
      <c r="B3182" s="10"/>
      <c r="C3182" s="11"/>
      <c r="D3182" s="12"/>
      <c r="E3182" s="10"/>
      <c r="F3182" s="10"/>
      <c r="G3182" s="10"/>
      <c r="H3182" s="14"/>
      <c r="I3182" s="14"/>
      <c r="J3182" s="14"/>
      <c r="K3182" s="14"/>
      <c r="L3182" s="14"/>
      <c r="M3182" s="15"/>
      <c r="N3182" s="10"/>
      <c r="O3182" s="14"/>
      <c r="P3182" s="14"/>
      <c r="Q3182" s="14"/>
      <c r="R3182" s="14"/>
      <c r="S3182" s="14"/>
      <c r="T3182" s="14"/>
      <c r="U3182" s="14"/>
      <c r="V3182" s="14"/>
      <c r="W3182" s="14"/>
      <c r="X3182" s="14"/>
      <c r="Y3182" s="14"/>
      <c r="Z3182" s="14"/>
      <c r="AA3182" s="16"/>
      <c r="AB3182" s="10"/>
      <c r="AC3182" s="10"/>
      <c r="AD3182" s="10"/>
      <c r="AE3182" s="10"/>
      <c r="AF3182" s="10"/>
      <c r="AG3182" s="10"/>
      <c r="AH3182" s="10"/>
      <c r="AI3182" s="10"/>
      <c r="AJ3182" s="10"/>
      <c r="AK3182" s="10"/>
      <c r="AL3182" s="10"/>
      <c r="AM3182" s="10"/>
      <c r="AN3182" s="10"/>
      <c r="AO3182" s="10"/>
      <c r="AP3182" s="10"/>
      <c r="AQ3182" s="10"/>
      <c r="AR3182" s="10"/>
      <c r="AS3182" s="10"/>
      <c r="AT3182" s="10"/>
      <c r="AU3182" s="10"/>
      <c r="AV3182" s="10"/>
      <c r="AW3182" s="10"/>
      <c r="AX3182" s="10"/>
      <c r="AY3182" s="10"/>
      <c r="AZ3182" s="10"/>
      <c r="BA3182" s="10"/>
      <c r="BB3182" s="10"/>
      <c r="BC3182" s="10"/>
      <c r="BD3182" s="10"/>
      <c r="BE3182" s="10"/>
      <c r="BF3182" s="10"/>
      <c r="BG3182" s="10"/>
      <c r="BH3182" s="10"/>
      <c r="BI3182" s="10"/>
      <c r="BJ3182" s="10"/>
      <c r="BK3182" s="10"/>
      <c r="BM3182" s="10"/>
    </row>
    <row r="3183" spans="1:65" ht="12.75">
      <c r="A3183" s="9"/>
      <c r="B3183" s="10"/>
      <c r="C3183" s="11"/>
      <c r="D3183" s="12"/>
      <c r="E3183" s="10"/>
      <c r="F3183" s="10"/>
      <c r="G3183" s="10"/>
      <c r="H3183" s="14"/>
      <c r="I3183" s="14"/>
      <c r="J3183" s="14"/>
      <c r="K3183" s="14"/>
      <c r="L3183" s="14"/>
      <c r="M3183" s="15"/>
      <c r="N3183" s="10"/>
      <c r="O3183" s="14"/>
      <c r="P3183" s="14"/>
      <c r="Q3183" s="14"/>
      <c r="R3183" s="14"/>
      <c r="S3183" s="14"/>
      <c r="T3183" s="14"/>
      <c r="U3183" s="14"/>
      <c r="V3183" s="14"/>
      <c r="W3183" s="14"/>
      <c r="X3183" s="14"/>
      <c r="Y3183" s="14"/>
      <c r="Z3183" s="14"/>
      <c r="AA3183" s="16"/>
      <c r="AB3183" s="10"/>
      <c r="AC3183" s="10"/>
      <c r="AD3183" s="10"/>
      <c r="AE3183" s="10"/>
      <c r="AF3183" s="10"/>
      <c r="AG3183" s="10"/>
      <c r="AH3183" s="10"/>
      <c r="AI3183" s="10"/>
      <c r="AJ3183" s="10"/>
      <c r="AK3183" s="10"/>
      <c r="AL3183" s="10"/>
      <c r="AM3183" s="10"/>
      <c r="AN3183" s="10"/>
      <c r="AO3183" s="10"/>
      <c r="AP3183" s="10"/>
      <c r="AQ3183" s="10"/>
      <c r="AR3183" s="10"/>
      <c r="AS3183" s="10"/>
      <c r="AT3183" s="10"/>
      <c r="AU3183" s="10"/>
      <c r="AV3183" s="10"/>
      <c r="AW3183" s="10"/>
      <c r="AX3183" s="10"/>
      <c r="AY3183" s="10"/>
      <c r="AZ3183" s="10"/>
      <c r="BA3183" s="10"/>
      <c r="BB3183" s="10"/>
      <c r="BC3183" s="10"/>
      <c r="BD3183" s="10"/>
      <c r="BE3183" s="10"/>
      <c r="BF3183" s="10"/>
      <c r="BG3183" s="10"/>
      <c r="BH3183" s="10"/>
      <c r="BI3183" s="10"/>
      <c r="BJ3183" s="10"/>
      <c r="BK3183" s="10"/>
      <c r="BM3183" s="10"/>
    </row>
    <row r="3184" spans="1:65" ht="12.75">
      <c r="A3184" s="9"/>
      <c r="B3184" s="10"/>
      <c r="C3184" s="11"/>
      <c r="D3184" s="12"/>
      <c r="E3184" s="10"/>
      <c r="F3184" s="10"/>
      <c r="G3184" s="10"/>
      <c r="H3184" s="14"/>
      <c r="I3184" s="14"/>
      <c r="J3184" s="14"/>
      <c r="K3184" s="14"/>
      <c r="L3184" s="14"/>
      <c r="M3184" s="15"/>
      <c r="N3184" s="10"/>
      <c r="O3184" s="14"/>
      <c r="P3184" s="14"/>
      <c r="Q3184" s="14"/>
      <c r="R3184" s="14"/>
      <c r="S3184" s="14"/>
      <c r="T3184" s="14"/>
      <c r="U3184" s="14"/>
      <c r="V3184" s="14"/>
      <c r="W3184" s="14"/>
      <c r="X3184" s="14"/>
      <c r="Y3184" s="14"/>
      <c r="Z3184" s="14"/>
      <c r="AA3184" s="16"/>
      <c r="AB3184" s="10"/>
      <c r="AC3184" s="10"/>
      <c r="AD3184" s="10"/>
      <c r="AE3184" s="10"/>
      <c r="AF3184" s="10"/>
      <c r="AG3184" s="10"/>
      <c r="AH3184" s="10"/>
      <c r="AI3184" s="10"/>
      <c r="AJ3184" s="10"/>
      <c r="AK3184" s="10"/>
      <c r="AL3184" s="10"/>
      <c r="AM3184" s="10"/>
      <c r="AN3184" s="10"/>
      <c r="AO3184" s="10"/>
      <c r="AP3184" s="10"/>
      <c r="AQ3184" s="10"/>
      <c r="AR3184" s="10"/>
      <c r="AS3184" s="10"/>
      <c r="AT3184" s="10"/>
      <c r="AU3184" s="10"/>
      <c r="AV3184" s="10"/>
      <c r="AW3184" s="10"/>
      <c r="AX3184" s="10"/>
      <c r="AY3184" s="10"/>
      <c r="AZ3184" s="10"/>
      <c r="BA3184" s="10"/>
      <c r="BB3184" s="10"/>
      <c r="BC3184" s="10"/>
      <c r="BD3184" s="10"/>
      <c r="BE3184" s="10"/>
      <c r="BF3184" s="10"/>
      <c r="BG3184" s="10"/>
      <c r="BH3184" s="10"/>
      <c r="BI3184" s="10"/>
      <c r="BJ3184" s="10"/>
      <c r="BK3184" s="10"/>
      <c r="BM3184" s="10"/>
    </row>
    <row r="3185" spans="1:65" ht="12.75">
      <c r="A3185" s="9"/>
      <c r="B3185" s="10"/>
      <c r="C3185" s="11"/>
      <c r="D3185" s="12"/>
      <c r="E3185" s="10"/>
      <c r="F3185" s="10"/>
      <c r="G3185" s="10"/>
      <c r="H3185" s="14"/>
      <c r="I3185" s="14"/>
      <c r="J3185" s="14"/>
      <c r="K3185" s="14"/>
      <c r="L3185" s="14"/>
      <c r="M3185" s="15"/>
      <c r="N3185" s="10"/>
      <c r="O3185" s="14"/>
      <c r="P3185" s="14"/>
      <c r="Q3185" s="14"/>
      <c r="R3185" s="14"/>
      <c r="S3185" s="14"/>
      <c r="T3185" s="14"/>
      <c r="U3185" s="14"/>
      <c r="V3185" s="14"/>
      <c r="W3185" s="14"/>
      <c r="X3185" s="14"/>
      <c r="Y3185" s="14"/>
      <c r="Z3185" s="14"/>
      <c r="AA3185" s="16"/>
      <c r="AB3185" s="10"/>
      <c r="AC3185" s="10"/>
      <c r="AD3185" s="10"/>
      <c r="AE3185" s="10"/>
      <c r="AF3185" s="10"/>
      <c r="AG3185" s="10"/>
      <c r="AH3185" s="10"/>
      <c r="AI3185" s="10"/>
      <c r="AJ3185" s="10"/>
      <c r="AK3185" s="10"/>
      <c r="AL3185" s="10"/>
      <c r="AM3185" s="10"/>
      <c r="AN3185" s="10"/>
      <c r="AO3185" s="10"/>
      <c r="AP3185" s="10"/>
      <c r="AQ3185" s="10"/>
      <c r="AR3185" s="10"/>
      <c r="AS3185" s="10"/>
      <c r="AT3185" s="10"/>
      <c r="AU3185" s="10"/>
      <c r="AV3185" s="10"/>
      <c r="AW3185" s="10"/>
      <c r="AX3185" s="10"/>
      <c r="AY3185" s="10"/>
      <c r="AZ3185" s="10"/>
      <c r="BA3185" s="10"/>
      <c r="BB3185" s="10"/>
      <c r="BC3185" s="10"/>
      <c r="BD3185" s="10"/>
      <c r="BE3185" s="10"/>
      <c r="BF3185" s="10"/>
      <c r="BG3185" s="10"/>
      <c r="BH3185" s="10"/>
      <c r="BI3185" s="10"/>
      <c r="BJ3185" s="10"/>
      <c r="BK3185" s="10"/>
      <c r="BM3185" s="10"/>
    </row>
    <row r="3186" spans="1:65" ht="12.75">
      <c r="A3186" s="9"/>
      <c r="B3186" s="10"/>
      <c r="C3186" s="11"/>
      <c r="D3186" s="12"/>
      <c r="E3186" s="10"/>
      <c r="F3186" s="10"/>
      <c r="G3186" s="10"/>
      <c r="H3186" s="14"/>
      <c r="I3186" s="14"/>
      <c r="J3186" s="14"/>
      <c r="K3186" s="14"/>
      <c r="L3186" s="14"/>
      <c r="M3186" s="15"/>
      <c r="N3186" s="10"/>
      <c r="O3186" s="14"/>
      <c r="P3186" s="14"/>
      <c r="Q3186" s="14"/>
      <c r="R3186" s="14"/>
      <c r="S3186" s="14"/>
      <c r="T3186" s="14"/>
      <c r="U3186" s="14"/>
      <c r="V3186" s="14"/>
      <c r="W3186" s="14"/>
      <c r="X3186" s="14"/>
      <c r="Y3186" s="14"/>
      <c r="Z3186" s="14"/>
      <c r="AA3186" s="16"/>
      <c r="AB3186" s="10"/>
      <c r="AC3186" s="10"/>
      <c r="AD3186" s="10"/>
      <c r="AE3186" s="10"/>
      <c r="AF3186" s="10"/>
      <c r="AG3186" s="10"/>
      <c r="AH3186" s="10"/>
      <c r="AI3186" s="10"/>
      <c r="AJ3186" s="10"/>
      <c r="AK3186" s="10"/>
      <c r="AL3186" s="10"/>
      <c r="AM3186" s="10"/>
      <c r="AN3186" s="10"/>
      <c r="AO3186" s="10"/>
      <c r="AP3186" s="10"/>
      <c r="AQ3186" s="10"/>
      <c r="AR3186" s="10"/>
      <c r="AS3186" s="10"/>
      <c r="AT3186" s="10"/>
      <c r="AU3186" s="10"/>
      <c r="AV3186" s="10"/>
      <c r="AW3186" s="10"/>
      <c r="AX3186" s="10"/>
      <c r="AY3186" s="10"/>
      <c r="AZ3186" s="10"/>
      <c r="BA3186" s="10"/>
      <c r="BB3186" s="10"/>
      <c r="BC3186" s="10"/>
      <c r="BD3186" s="10"/>
      <c r="BE3186" s="10"/>
      <c r="BF3186" s="10"/>
      <c r="BG3186" s="10"/>
      <c r="BH3186" s="10"/>
      <c r="BI3186" s="10"/>
      <c r="BJ3186" s="10"/>
      <c r="BK3186" s="10"/>
      <c r="BM3186" s="10"/>
    </row>
    <row r="3187" spans="1:65" ht="12.75">
      <c r="A3187" s="9"/>
      <c r="B3187" s="10"/>
      <c r="C3187" s="11"/>
      <c r="D3187" s="12"/>
      <c r="E3187" s="10"/>
      <c r="F3187" s="10"/>
      <c r="G3187" s="10"/>
      <c r="H3187" s="14"/>
      <c r="I3187" s="14"/>
      <c r="J3187" s="14"/>
      <c r="K3187" s="14"/>
      <c r="L3187" s="14"/>
      <c r="M3187" s="15"/>
      <c r="N3187" s="10"/>
      <c r="O3187" s="14"/>
      <c r="P3187" s="14"/>
      <c r="Q3187" s="14"/>
      <c r="R3187" s="14"/>
      <c r="S3187" s="14"/>
      <c r="T3187" s="14"/>
      <c r="U3187" s="14"/>
      <c r="V3187" s="14"/>
      <c r="W3187" s="14"/>
      <c r="X3187" s="14"/>
      <c r="Y3187" s="14"/>
      <c r="Z3187" s="14"/>
      <c r="AA3187" s="16"/>
      <c r="AB3187" s="10"/>
      <c r="AC3187" s="10"/>
      <c r="AD3187" s="10"/>
      <c r="AE3187" s="10"/>
      <c r="AF3187" s="10"/>
      <c r="AG3187" s="10"/>
      <c r="AH3187" s="10"/>
      <c r="AI3187" s="10"/>
      <c r="AJ3187" s="10"/>
      <c r="AK3187" s="10"/>
      <c r="AL3187" s="10"/>
      <c r="AM3187" s="10"/>
      <c r="AN3187" s="10"/>
      <c r="AO3187" s="10"/>
      <c r="AP3187" s="10"/>
      <c r="AQ3187" s="10"/>
      <c r="AR3187" s="10"/>
      <c r="AS3187" s="10"/>
      <c r="AT3187" s="10"/>
      <c r="AU3187" s="10"/>
      <c r="AV3187" s="10"/>
      <c r="AW3187" s="10"/>
      <c r="AX3187" s="10"/>
      <c r="AY3187" s="10"/>
      <c r="AZ3187" s="10"/>
      <c r="BA3187" s="10"/>
      <c r="BB3187" s="10"/>
      <c r="BC3187" s="10"/>
      <c r="BD3187" s="10"/>
      <c r="BE3187" s="10"/>
      <c r="BF3187" s="10"/>
      <c r="BG3187" s="10"/>
      <c r="BH3187" s="10"/>
      <c r="BI3187" s="10"/>
      <c r="BJ3187" s="10"/>
      <c r="BK3187" s="10"/>
      <c r="BM3187" s="10"/>
    </row>
    <row r="3188" spans="1:65" ht="12.75">
      <c r="A3188" s="9"/>
      <c r="B3188" s="10"/>
      <c r="C3188" s="11"/>
      <c r="D3188" s="12"/>
      <c r="E3188" s="10"/>
      <c r="F3188" s="10"/>
      <c r="G3188" s="10"/>
      <c r="H3188" s="14"/>
      <c r="I3188" s="14"/>
      <c r="J3188" s="14"/>
      <c r="K3188" s="14"/>
      <c r="L3188" s="14"/>
      <c r="M3188" s="15"/>
      <c r="N3188" s="10"/>
      <c r="O3188" s="14"/>
      <c r="P3188" s="14"/>
      <c r="Q3188" s="14"/>
      <c r="R3188" s="14"/>
      <c r="S3188" s="14"/>
      <c r="T3188" s="14"/>
      <c r="U3188" s="14"/>
      <c r="V3188" s="14"/>
      <c r="W3188" s="14"/>
      <c r="X3188" s="14"/>
      <c r="Y3188" s="14"/>
      <c r="Z3188" s="14"/>
      <c r="AA3188" s="16"/>
      <c r="AB3188" s="10"/>
      <c r="AC3188" s="10"/>
      <c r="AD3188" s="10"/>
      <c r="AE3188" s="10"/>
      <c r="AF3188" s="10"/>
      <c r="AG3188" s="10"/>
      <c r="AH3188" s="10"/>
      <c r="AI3188" s="10"/>
      <c r="AJ3188" s="10"/>
      <c r="AK3188" s="10"/>
      <c r="AL3188" s="10"/>
      <c r="AM3188" s="10"/>
      <c r="AN3188" s="10"/>
      <c r="AO3188" s="10"/>
      <c r="AP3188" s="10"/>
      <c r="AQ3188" s="10"/>
      <c r="AR3188" s="10"/>
      <c r="AS3188" s="10"/>
      <c r="AT3188" s="10"/>
      <c r="AU3188" s="10"/>
      <c r="AV3188" s="10"/>
      <c r="AW3188" s="10"/>
      <c r="AX3188" s="10"/>
      <c r="AY3188" s="10"/>
      <c r="AZ3188" s="10"/>
      <c r="BA3188" s="10"/>
      <c r="BB3188" s="10"/>
      <c r="BC3188" s="10"/>
      <c r="BD3188" s="10"/>
      <c r="BE3188" s="10"/>
      <c r="BF3188" s="10"/>
      <c r="BG3188" s="10"/>
      <c r="BH3188" s="10"/>
      <c r="BI3188" s="10"/>
      <c r="BJ3188" s="10"/>
      <c r="BK3188" s="10"/>
      <c r="BM3188" s="10"/>
    </row>
    <row r="3189" spans="1:65" ht="12.75">
      <c r="A3189" s="9"/>
      <c r="B3189" s="10"/>
      <c r="C3189" s="11"/>
      <c r="D3189" s="12"/>
      <c r="E3189" s="10"/>
      <c r="F3189" s="10"/>
      <c r="G3189" s="10"/>
      <c r="H3189" s="14"/>
      <c r="I3189" s="14"/>
      <c r="J3189" s="14"/>
      <c r="K3189" s="14"/>
      <c r="L3189" s="14"/>
      <c r="M3189" s="15"/>
      <c r="N3189" s="10"/>
      <c r="O3189" s="14"/>
      <c r="P3189" s="14"/>
      <c r="Q3189" s="14"/>
      <c r="R3189" s="14"/>
      <c r="S3189" s="14"/>
      <c r="T3189" s="14"/>
      <c r="U3189" s="14"/>
      <c r="V3189" s="14"/>
      <c r="W3189" s="14"/>
      <c r="X3189" s="14"/>
      <c r="Y3189" s="14"/>
      <c r="Z3189" s="14"/>
      <c r="AA3189" s="16"/>
      <c r="AB3189" s="10"/>
      <c r="AC3189" s="10"/>
      <c r="AD3189" s="10"/>
      <c r="AE3189" s="10"/>
      <c r="AF3189" s="10"/>
      <c r="AG3189" s="10"/>
      <c r="AH3189" s="10"/>
      <c r="AI3189" s="10"/>
      <c r="AJ3189" s="10"/>
      <c r="AK3189" s="10"/>
      <c r="AL3189" s="10"/>
      <c r="AM3189" s="10"/>
      <c r="AN3189" s="10"/>
      <c r="AO3189" s="10"/>
      <c r="AP3189" s="10"/>
      <c r="AQ3189" s="10"/>
      <c r="AR3189" s="10"/>
      <c r="AS3189" s="10"/>
      <c r="AT3189" s="10"/>
      <c r="AU3189" s="10"/>
      <c r="AV3189" s="10"/>
      <c r="AW3189" s="10"/>
      <c r="AX3189" s="10"/>
      <c r="AY3189" s="10"/>
      <c r="AZ3189" s="10"/>
      <c r="BA3189" s="10"/>
      <c r="BB3189" s="10"/>
      <c r="BC3189" s="10"/>
      <c r="BD3189" s="10"/>
      <c r="BE3189" s="10"/>
      <c r="BF3189" s="10"/>
      <c r="BG3189" s="10"/>
      <c r="BH3189" s="10"/>
      <c r="BI3189" s="10"/>
      <c r="BJ3189" s="10"/>
      <c r="BK3189" s="10"/>
      <c r="BM3189" s="10"/>
    </row>
    <row r="3190" spans="1:65" ht="12.75">
      <c r="A3190" s="9"/>
      <c r="B3190" s="10"/>
      <c r="C3190" s="11"/>
      <c r="D3190" s="12"/>
      <c r="E3190" s="10"/>
      <c r="F3190" s="10"/>
      <c r="G3190" s="10"/>
      <c r="H3190" s="14"/>
      <c r="I3190" s="14"/>
      <c r="J3190" s="14"/>
      <c r="K3190" s="14"/>
      <c r="L3190" s="14"/>
      <c r="M3190" s="15"/>
      <c r="N3190" s="10"/>
      <c r="O3190" s="14"/>
      <c r="P3190" s="14"/>
      <c r="Q3190" s="14"/>
      <c r="R3190" s="14"/>
      <c r="S3190" s="14"/>
      <c r="T3190" s="14"/>
      <c r="U3190" s="14"/>
      <c r="V3190" s="14"/>
      <c r="W3190" s="14"/>
      <c r="X3190" s="14"/>
      <c r="Y3190" s="14"/>
      <c r="Z3190" s="14"/>
      <c r="AA3190" s="16"/>
      <c r="AB3190" s="10"/>
      <c r="AC3190" s="10"/>
      <c r="AD3190" s="10"/>
      <c r="AE3190" s="10"/>
      <c r="AF3190" s="10"/>
      <c r="AG3190" s="10"/>
      <c r="AH3190" s="10"/>
      <c r="AI3190" s="10"/>
      <c r="AJ3190" s="10"/>
      <c r="AK3190" s="10"/>
      <c r="AL3190" s="10"/>
      <c r="AM3190" s="10"/>
      <c r="AN3190" s="10"/>
      <c r="AO3190" s="10"/>
      <c r="AP3190" s="10"/>
      <c r="AQ3190" s="10"/>
      <c r="AR3190" s="10"/>
      <c r="AS3190" s="10"/>
      <c r="AT3190" s="10"/>
      <c r="AU3190" s="10"/>
      <c r="AV3190" s="10"/>
      <c r="AW3190" s="10"/>
      <c r="AX3190" s="10"/>
      <c r="AY3190" s="10"/>
      <c r="AZ3190" s="10"/>
      <c r="BA3190" s="10"/>
      <c r="BB3190" s="10"/>
      <c r="BC3190" s="10"/>
      <c r="BD3190" s="10"/>
      <c r="BE3190" s="10"/>
      <c r="BF3190" s="10"/>
      <c r="BG3190" s="10"/>
      <c r="BH3190" s="10"/>
      <c r="BI3190" s="10"/>
      <c r="BJ3190" s="10"/>
      <c r="BK3190" s="10"/>
      <c r="BM3190" s="10"/>
    </row>
    <row r="3191" spans="1:65" ht="12.75">
      <c r="A3191" s="9"/>
      <c r="B3191" s="10"/>
      <c r="C3191" s="11"/>
      <c r="D3191" s="12"/>
      <c r="E3191" s="10"/>
      <c r="F3191" s="10"/>
      <c r="G3191" s="10"/>
      <c r="H3191" s="14"/>
      <c r="I3191" s="14"/>
      <c r="J3191" s="14"/>
      <c r="K3191" s="14"/>
      <c r="L3191" s="14"/>
      <c r="M3191" s="15"/>
      <c r="N3191" s="10"/>
      <c r="O3191" s="14"/>
      <c r="P3191" s="14"/>
      <c r="Q3191" s="14"/>
      <c r="R3191" s="14"/>
      <c r="S3191" s="14"/>
      <c r="T3191" s="14"/>
      <c r="U3191" s="14"/>
      <c r="V3191" s="14"/>
      <c r="W3191" s="14"/>
      <c r="X3191" s="14"/>
      <c r="Y3191" s="14"/>
      <c r="Z3191" s="14"/>
      <c r="AA3191" s="16"/>
      <c r="AB3191" s="10"/>
      <c r="AC3191" s="10"/>
      <c r="AD3191" s="10"/>
      <c r="AE3191" s="10"/>
      <c r="AF3191" s="10"/>
      <c r="AG3191" s="10"/>
      <c r="AH3191" s="10"/>
      <c r="AI3191" s="10"/>
      <c r="AJ3191" s="10"/>
      <c r="AK3191" s="10"/>
      <c r="AL3191" s="10"/>
      <c r="AM3191" s="10"/>
      <c r="AN3191" s="10"/>
      <c r="AO3191" s="10"/>
      <c r="AP3191" s="10"/>
      <c r="AQ3191" s="10"/>
      <c r="AR3191" s="10"/>
      <c r="AS3191" s="10"/>
      <c r="AT3191" s="10"/>
      <c r="AU3191" s="10"/>
      <c r="AV3191" s="10"/>
      <c r="AW3191" s="10"/>
      <c r="AX3191" s="10"/>
      <c r="AY3191" s="10"/>
      <c r="AZ3191" s="10"/>
      <c r="BA3191" s="10"/>
      <c r="BB3191" s="10"/>
      <c r="BC3191" s="10"/>
      <c r="BD3191" s="10"/>
      <c r="BE3191" s="10"/>
      <c r="BF3191" s="10"/>
      <c r="BG3191" s="10"/>
      <c r="BH3191" s="10"/>
      <c r="BI3191" s="10"/>
      <c r="BJ3191" s="10"/>
      <c r="BK3191" s="10"/>
      <c r="BM3191" s="10"/>
    </row>
    <row r="3192" spans="1:65" ht="12.75">
      <c r="A3192" s="9"/>
      <c r="B3192" s="10"/>
      <c r="C3192" s="11"/>
      <c r="D3192" s="12"/>
      <c r="E3192" s="10"/>
      <c r="F3192" s="10"/>
      <c r="G3192" s="10"/>
      <c r="H3192" s="14"/>
      <c r="I3192" s="14"/>
      <c r="J3192" s="14"/>
      <c r="K3192" s="14"/>
      <c r="L3192" s="14"/>
      <c r="M3192" s="15"/>
      <c r="N3192" s="10"/>
      <c r="O3192" s="14"/>
      <c r="P3192" s="14"/>
      <c r="Q3192" s="14"/>
      <c r="R3192" s="14"/>
      <c r="S3192" s="14"/>
      <c r="T3192" s="14"/>
      <c r="U3192" s="14"/>
      <c r="V3192" s="14"/>
      <c r="W3192" s="14"/>
      <c r="X3192" s="14"/>
      <c r="Y3192" s="14"/>
      <c r="Z3192" s="14"/>
      <c r="AA3192" s="16"/>
      <c r="AB3192" s="10"/>
      <c r="AC3192" s="10"/>
      <c r="AD3192" s="10"/>
      <c r="AE3192" s="10"/>
      <c r="AF3192" s="10"/>
      <c r="AG3192" s="10"/>
      <c r="AH3192" s="10"/>
      <c r="AI3192" s="10"/>
      <c r="AJ3192" s="10"/>
      <c r="AK3192" s="10"/>
      <c r="AL3192" s="10"/>
      <c r="AM3192" s="10"/>
      <c r="AN3192" s="10"/>
      <c r="AO3192" s="10"/>
      <c r="AP3192" s="10"/>
      <c r="AQ3192" s="10"/>
      <c r="AR3192" s="10"/>
      <c r="AS3192" s="10"/>
      <c r="AT3192" s="10"/>
      <c r="AU3192" s="10"/>
      <c r="AV3192" s="10"/>
      <c r="AW3192" s="10"/>
      <c r="AX3192" s="10"/>
      <c r="AY3192" s="10"/>
      <c r="AZ3192" s="10"/>
      <c r="BA3192" s="10"/>
      <c r="BB3192" s="10"/>
      <c r="BC3192" s="10"/>
      <c r="BD3192" s="10"/>
      <c r="BE3192" s="10"/>
      <c r="BF3192" s="10"/>
      <c r="BG3192" s="10"/>
      <c r="BH3192" s="10"/>
      <c r="BI3192" s="10"/>
      <c r="BJ3192" s="10"/>
      <c r="BK3192" s="10"/>
      <c r="BM3192" s="10"/>
    </row>
    <row r="3193" spans="1:65" ht="12.75">
      <c r="A3193" s="9"/>
      <c r="B3193" s="10"/>
      <c r="C3193" s="11"/>
      <c r="D3193" s="12"/>
      <c r="E3193" s="10"/>
      <c r="F3193" s="10"/>
      <c r="G3193" s="10"/>
      <c r="H3193" s="14"/>
      <c r="I3193" s="14"/>
      <c r="J3193" s="14"/>
      <c r="K3193" s="14"/>
      <c r="L3193" s="14"/>
      <c r="M3193" s="15"/>
      <c r="N3193" s="10"/>
      <c r="O3193" s="14"/>
      <c r="P3193" s="14"/>
      <c r="Q3193" s="14"/>
      <c r="R3193" s="14"/>
      <c r="S3193" s="14"/>
      <c r="T3193" s="14"/>
      <c r="U3193" s="14"/>
      <c r="V3193" s="14"/>
      <c r="W3193" s="14"/>
      <c r="X3193" s="14"/>
      <c r="Y3193" s="14"/>
      <c r="Z3193" s="14"/>
      <c r="AA3193" s="16"/>
      <c r="AB3193" s="10"/>
      <c r="AC3193" s="10"/>
      <c r="AD3193" s="10"/>
      <c r="AE3193" s="10"/>
      <c r="AF3193" s="10"/>
      <c r="AG3193" s="10"/>
      <c r="AH3193" s="10"/>
      <c r="AI3193" s="10"/>
      <c r="AJ3193" s="10"/>
      <c r="AK3193" s="10"/>
      <c r="AL3193" s="10"/>
      <c r="AM3193" s="10"/>
      <c r="AN3193" s="10"/>
      <c r="AO3193" s="10"/>
      <c r="AP3193" s="10"/>
      <c r="AQ3193" s="10"/>
      <c r="AR3193" s="10"/>
      <c r="AS3193" s="10"/>
      <c r="AT3193" s="10"/>
      <c r="AU3193" s="10"/>
      <c r="AV3193" s="10"/>
      <c r="AW3193" s="10"/>
      <c r="AX3193" s="10"/>
      <c r="AY3193" s="10"/>
      <c r="AZ3193" s="10"/>
      <c r="BA3193" s="10"/>
      <c r="BB3193" s="10"/>
      <c r="BC3193" s="10"/>
      <c r="BD3193" s="10"/>
      <c r="BE3193" s="10"/>
      <c r="BF3193" s="10"/>
      <c r="BG3193" s="10"/>
      <c r="BH3193" s="10"/>
      <c r="BI3193" s="10"/>
      <c r="BJ3193" s="10"/>
      <c r="BK3193" s="10"/>
      <c r="BM3193" s="10"/>
    </row>
    <row r="3194" spans="1:65" ht="12.75">
      <c r="A3194" s="9"/>
      <c r="B3194" s="10"/>
      <c r="C3194" s="11"/>
      <c r="D3194" s="12"/>
      <c r="E3194" s="10"/>
      <c r="F3194" s="10"/>
      <c r="G3194" s="10"/>
      <c r="H3194" s="14"/>
      <c r="I3194" s="14"/>
      <c r="J3194" s="14"/>
      <c r="K3194" s="14"/>
      <c r="L3194" s="14"/>
      <c r="M3194" s="15"/>
      <c r="N3194" s="10"/>
      <c r="O3194" s="14"/>
      <c r="P3194" s="14"/>
      <c r="Q3194" s="14"/>
      <c r="R3194" s="14"/>
      <c r="S3194" s="14"/>
      <c r="T3194" s="14"/>
      <c r="U3194" s="14"/>
      <c r="V3194" s="14"/>
      <c r="W3194" s="14"/>
      <c r="X3194" s="14"/>
      <c r="Y3194" s="14"/>
      <c r="Z3194" s="14"/>
      <c r="AA3194" s="16"/>
      <c r="AB3194" s="10"/>
      <c r="AC3194" s="10"/>
      <c r="AD3194" s="10"/>
      <c r="AE3194" s="10"/>
      <c r="AF3194" s="10"/>
      <c r="AG3194" s="10"/>
      <c r="AH3194" s="10"/>
      <c r="AI3194" s="10"/>
      <c r="AJ3194" s="10"/>
      <c r="AK3194" s="10"/>
      <c r="AL3194" s="10"/>
      <c r="AM3194" s="10"/>
      <c r="AN3194" s="10"/>
      <c r="AO3194" s="10"/>
      <c r="AP3194" s="10"/>
      <c r="AQ3194" s="10"/>
      <c r="AR3194" s="10"/>
      <c r="AS3194" s="10"/>
      <c r="AT3194" s="10"/>
      <c r="AU3194" s="10"/>
      <c r="AV3194" s="10"/>
      <c r="AW3194" s="10"/>
      <c r="AX3194" s="10"/>
      <c r="AY3194" s="10"/>
      <c r="AZ3194" s="10"/>
      <c r="BA3194" s="10"/>
      <c r="BB3194" s="10"/>
      <c r="BC3194" s="10"/>
      <c r="BD3194" s="10"/>
      <c r="BE3194" s="10"/>
      <c r="BF3194" s="10"/>
      <c r="BG3194" s="10"/>
      <c r="BH3194" s="10"/>
      <c r="BI3194" s="10"/>
      <c r="BJ3194" s="10"/>
      <c r="BK3194" s="10"/>
      <c r="BM3194" s="10"/>
    </row>
    <row r="3195" spans="1:65" ht="12.75">
      <c r="A3195" s="9"/>
      <c r="B3195" s="10"/>
      <c r="C3195" s="11"/>
      <c r="D3195" s="12"/>
      <c r="E3195" s="10"/>
      <c r="F3195" s="10"/>
      <c r="G3195" s="10"/>
      <c r="H3195" s="14"/>
      <c r="I3195" s="14"/>
      <c r="J3195" s="14"/>
      <c r="K3195" s="14"/>
      <c r="L3195" s="14"/>
      <c r="M3195" s="15"/>
      <c r="N3195" s="10"/>
      <c r="O3195" s="14"/>
      <c r="P3195" s="14"/>
      <c r="Q3195" s="14"/>
      <c r="R3195" s="14"/>
      <c r="S3195" s="14"/>
      <c r="T3195" s="14"/>
      <c r="U3195" s="14"/>
      <c r="V3195" s="14"/>
      <c r="W3195" s="14"/>
      <c r="X3195" s="14"/>
      <c r="Y3195" s="14"/>
      <c r="Z3195" s="14"/>
      <c r="AA3195" s="16"/>
      <c r="AB3195" s="10"/>
      <c r="AC3195" s="10"/>
      <c r="AD3195" s="10"/>
      <c r="AE3195" s="10"/>
      <c r="AF3195" s="10"/>
      <c r="AG3195" s="10"/>
      <c r="AH3195" s="10"/>
      <c r="AI3195" s="10"/>
      <c r="AJ3195" s="10"/>
      <c r="AK3195" s="10"/>
      <c r="AL3195" s="10"/>
      <c r="AM3195" s="10"/>
      <c r="AN3195" s="10"/>
      <c r="AO3195" s="10"/>
      <c r="AP3195" s="10"/>
      <c r="AQ3195" s="10"/>
      <c r="AR3195" s="10"/>
      <c r="AS3195" s="10"/>
      <c r="AT3195" s="10"/>
      <c r="AU3195" s="10"/>
      <c r="AV3195" s="10"/>
      <c r="AW3195" s="10"/>
      <c r="AX3195" s="10"/>
      <c r="AY3195" s="10"/>
      <c r="AZ3195" s="10"/>
      <c r="BA3195" s="10"/>
      <c r="BB3195" s="10"/>
      <c r="BC3195" s="10"/>
      <c r="BD3195" s="10"/>
      <c r="BE3195" s="10"/>
      <c r="BF3195" s="10"/>
      <c r="BG3195" s="10"/>
      <c r="BH3195" s="10"/>
      <c r="BI3195" s="10"/>
      <c r="BJ3195" s="10"/>
      <c r="BK3195" s="10"/>
      <c r="BM3195" s="10"/>
    </row>
    <row r="3196" spans="1:65" ht="12.75">
      <c r="A3196" s="9"/>
      <c r="B3196" s="10"/>
      <c r="C3196" s="11"/>
      <c r="D3196" s="12"/>
      <c r="E3196" s="10"/>
      <c r="F3196" s="10"/>
      <c r="G3196" s="10"/>
      <c r="H3196" s="14"/>
      <c r="I3196" s="14"/>
      <c r="J3196" s="14"/>
      <c r="K3196" s="14"/>
      <c r="L3196" s="14"/>
      <c r="M3196" s="15"/>
      <c r="N3196" s="10"/>
      <c r="O3196" s="14"/>
      <c r="P3196" s="14"/>
      <c r="Q3196" s="14"/>
      <c r="R3196" s="14"/>
      <c r="S3196" s="14"/>
      <c r="T3196" s="14"/>
      <c r="U3196" s="14"/>
      <c r="V3196" s="14"/>
      <c r="W3196" s="14"/>
      <c r="X3196" s="14"/>
      <c r="Y3196" s="14"/>
      <c r="Z3196" s="14"/>
      <c r="AA3196" s="16"/>
      <c r="AB3196" s="10"/>
      <c r="AC3196" s="10"/>
      <c r="AD3196" s="10"/>
      <c r="AE3196" s="10"/>
      <c r="AF3196" s="10"/>
      <c r="AG3196" s="10"/>
      <c r="AH3196" s="10"/>
      <c r="AI3196" s="10"/>
      <c r="AJ3196" s="10"/>
      <c r="AK3196" s="10"/>
      <c r="AL3196" s="10"/>
      <c r="AM3196" s="10"/>
      <c r="AN3196" s="10"/>
      <c r="AO3196" s="10"/>
      <c r="AP3196" s="10"/>
      <c r="AQ3196" s="10"/>
      <c r="AR3196" s="10"/>
      <c r="AS3196" s="10"/>
      <c r="AT3196" s="10"/>
      <c r="AU3196" s="10"/>
      <c r="AV3196" s="10"/>
      <c r="AW3196" s="10"/>
      <c r="AX3196" s="10"/>
      <c r="AY3196" s="10"/>
      <c r="AZ3196" s="10"/>
      <c r="BA3196" s="10"/>
      <c r="BB3196" s="10"/>
      <c r="BC3196" s="10"/>
      <c r="BD3196" s="10"/>
      <c r="BE3196" s="10"/>
      <c r="BF3196" s="10"/>
      <c r="BG3196" s="10"/>
      <c r="BH3196" s="10"/>
      <c r="BI3196" s="10"/>
      <c r="BJ3196" s="10"/>
      <c r="BK3196" s="10"/>
      <c r="BM3196" s="10"/>
    </row>
    <row r="3197" spans="1:65" ht="12.75">
      <c r="A3197" s="9"/>
      <c r="B3197" s="10"/>
      <c r="C3197" s="11"/>
      <c r="D3197" s="12"/>
      <c r="E3197" s="10"/>
      <c r="F3197" s="10"/>
      <c r="G3197" s="10"/>
      <c r="H3197" s="14"/>
      <c r="I3197" s="14"/>
      <c r="J3197" s="14"/>
      <c r="K3197" s="14"/>
      <c r="L3197" s="14"/>
      <c r="M3197" s="15"/>
      <c r="N3197" s="10"/>
      <c r="O3197" s="14"/>
      <c r="P3197" s="14"/>
      <c r="Q3197" s="14"/>
      <c r="R3197" s="14"/>
      <c r="S3197" s="14"/>
      <c r="T3197" s="14"/>
      <c r="U3197" s="14"/>
      <c r="V3197" s="14"/>
      <c r="W3197" s="14"/>
      <c r="X3197" s="14"/>
      <c r="Y3197" s="14"/>
      <c r="Z3197" s="14"/>
      <c r="AA3197" s="16"/>
      <c r="AB3197" s="10"/>
      <c r="AC3197" s="10"/>
      <c r="AD3197" s="10"/>
      <c r="AE3197" s="10"/>
      <c r="AF3197" s="10"/>
      <c r="AG3197" s="10"/>
      <c r="AH3197" s="10"/>
      <c r="AI3197" s="10"/>
      <c r="AJ3197" s="10"/>
      <c r="AK3197" s="10"/>
      <c r="AL3197" s="10"/>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10"/>
      <c r="BK3197" s="10"/>
      <c r="BM3197" s="10"/>
    </row>
    <row r="3198" spans="1:65" ht="12.75">
      <c r="A3198" s="9"/>
      <c r="B3198" s="10"/>
      <c r="C3198" s="11"/>
      <c r="D3198" s="12"/>
      <c r="E3198" s="10"/>
      <c r="F3198" s="10"/>
      <c r="G3198" s="10"/>
      <c r="H3198" s="14"/>
      <c r="I3198" s="14"/>
      <c r="J3198" s="14"/>
      <c r="K3198" s="14"/>
      <c r="L3198" s="14"/>
      <c r="M3198" s="15"/>
      <c r="N3198" s="10"/>
      <c r="O3198" s="14"/>
      <c r="P3198" s="14"/>
      <c r="Q3198" s="14"/>
      <c r="R3198" s="14"/>
      <c r="S3198" s="14"/>
      <c r="T3198" s="14"/>
      <c r="U3198" s="14"/>
      <c r="V3198" s="14"/>
      <c r="W3198" s="14"/>
      <c r="X3198" s="14"/>
      <c r="Y3198" s="14"/>
      <c r="Z3198" s="14"/>
      <c r="AA3198" s="16"/>
      <c r="AB3198" s="10"/>
      <c r="AC3198" s="10"/>
      <c r="AD3198" s="10"/>
      <c r="AE3198" s="10"/>
      <c r="AF3198" s="10"/>
      <c r="AG3198" s="10"/>
      <c r="AH3198" s="10"/>
      <c r="AI3198" s="10"/>
      <c r="AJ3198" s="10"/>
      <c r="AK3198" s="10"/>
      <c r="AL3198" s="10"/>
      <c r="AM3198" s="10"/>
      <c r="AN3198" s="10"/>
      <c r="AO3198" s="10"/>
      <c r="AP3198" s="10"/>
      <c r="AQ3198" s="10"/>
      <c r="AR3198" s="10"/>
      <c r="AS3198" s="10"/>
      <c r="AT3198" s="10"/>
      <c r="AU3198" s="10"/>
      <c r="AV3198" s="10"/>
      <c r="AW3198" s="10"/>
      <c r="AX3198" s="10"/>
      <c r="AY3198" s="10"/>
      <c r="AZ3198" s="10"/>
      <c r="BA3198" s="10"/>
      <c r="BB3198" s="10"/>
      <c r="BC3198" s="10"/>
      <c r="BD3198" s="10"/>
      <c r="BE3198" s="10"/>
      <c r="BF3198" s="10"/>
      <c r="BG3198" s="10"/>
      <c r="BH3198" s="10"/>
      <c r="BI3198" s="10"/>
      <c r="BJ3198" s="10"/>
      <c r="BK3198" s="10"/>
      <c r="BM3198" s="10"/>
    </row>
    <row r="3199" spans="1:65" ht="12.75">
      <c r="A3199" s="9"/>
      <c r="B3199" s="10"/>
      <c r="C3199" s="11"/>
      <c r="D3199" s="12"/>
      <c r="E3199" s="10"/>
      <c r="F3199" s="10"/>
      <c r="G3199" s="10"/>
      <c r="H3199" s="14"/>
      <c r="I3199" s="14"/>
      <c r="J3199" s="14"/>
      <c r="K3199" s="14"/>
      <c r="L3199" s="14"/>
      <c r="M3199" s="15"/>
      <c r="N3199" s="10"/>
      <c r="O3199" s="14"/>
      <c r="P3199" s="14"/>
      <c r="Q3199" s="14"/>
      <c r="R3199" s="14"/>
      <c r="S3199" s="14"/>
      <c r="T3199" s="14"/>
      <c r="U3199" s="14"/>
      <c r="V3199" s="14"/>
      <c r="W3199" s="14"/>
      <c r="X3199" s="14"/>
      <c r="Y3199" s="14"/>
      <c r="Z3199" s="14"/>
      <c r="AA3199" s="16"/>
      <c r="AB3199" s="10"/>
      <c r="AC3199" s="10"/>
      <c r="AD3199" s="10"/>
      <c r="AE3199" s="10"/>
      <c r="AF3199" s="10"/>
      <c r="AG3199" s="10"/>
      <c r="AH3199" s="10"/>
      <c r="AI3199" s="10"/>
      <c r="AJ3199" s="10"/>
      <c r="AK3199" s="10"/>
      <c r="AL3199" s="10"/>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c r="BI3199" s="10"/>
      <c r="BJ3199" s="10"/>
      <c r="BK3199" s="10"/>
      <c r="BM3199" s="10"/>
    </row>
    <row r="3200" spans="1:65" ht="12.75">
      <c r="A3200" s="9"/>
      <c r="B3200" s="10"/>
      <c r="C3200" s="11"/>
      <c r="D3200" s="12"/>
      <c r="E3200" s="10"/>
      <c r="F3200" s="10"/>
      <c r="G3200" s="10"/>
      <c r="H3200" s="14"/>
      <c r="I3200" s="14"/>
      <c r="J3200" s="14"/>
      <c r="K3200" s="14"/>
      <c r="L3200" s="14"/>
      <c r="M3200" s="15"/>
      <c r="N3200" s="10"/>
      <c r="O3200" s="14"/>
      <c r="P3200" s="14"/>
      <c r="Q3200" s="14"/>
      <c r="R3200" s="14"/>
      <c r="S3200" s="14"/>
      <c r="T3200" s="14"/>
      <c r="U3200" s="14"/>
      <c r="V3200" s="14"/>
      <c r="W3200" s="14"/>
      <c r="X3200" s="14"/>
      <c r="Y3200" s="14"/>
      <c r="Z3200" s="14"/>
      <c r="AA3200" s="16"/>
      <c r="AB3200" s="10"/>
      <c r="AC3200" s="10"/>
      <c r="AD3200" s="10"/>
      <c r="AE3200" s="10"/>
      <c r="AF3200" s="10"/>
      <c r="AG3200" s="10"/>
      <c r="AH3200" s="10"/>
      <c r="AI3200" s="10"/>
      <c r="AJ3200" s="10"/>
      <c r="AK3200" s="10"/>
      <c r="AL3200" s="10"/>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10"/>
      <c r="BK3200" s="10"/>
      <c r="BM3200" s="10"/>
    </row>
    <row r="3201" spans="1:65" ht="12.75">
      <c r="A3201" s="9"/>
      <c r="B3201" s="10"/>
      <c r="C3201" s="11"/>
      <c r="D3201" s="12"/>
      <c r="E3201" s="10"/>
      <c r="F3201" s="10"/>
      <c r="G3201" s="10"/>
      <c r="H3201" s="14"/>
      <c r="I3201" s="14"/>
      <c r="J3201" s="14"/>
      <c r="K3201" s="14"/>
      <c r="L3201" s="14"/>
      <c r="M3201" s="15"/>
      <c r="N3201" s="10"/>
      <c r="O3201" s="14"/>
      <c r="P3201" s="14"/>
      <c r="Q3201" s="14"/>
      <c r="R3201" s="14"/>
      <c r="S3201" s="14"/>
      <c r="T3201" s="14"/>
      <c r="U3201" s="14"/>
      <c r="V3201" s="14"/>
      <c r="W3201" s="14"/>
      <c r="X3201" s="14"/>
      <c r="Y3201" s="14"/>
      <c r="Z3201" s="14"/>
      <c r="AA3201" s="16"/>
      <c r="AB3201" s="10"/>
      <c r="AC3201" s="10"/>
      <c r="AD3201" s="10"/>
      <c r="AE3201" s="10"/>
      <c r="AF3201" s="10"/>
      <c r="AG3201" s="10"/>
      <c r="AH3201" s="10"/>
      <c r="AI3201" s="10"/>
      <c r="AJ3201" s="10"/>
      <c r="AK3201" s="10"/>
      <c r="AL3201" s="1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0"/>
      <c r="BM3201" s="10"/>
    </row>
    <row r="3202" spans="1:65" ht="12.75">
      <c r="A3202" s="9"/>
      <c r="B3202" s="10"/>
      <c r="C3202" s="11"/>
      <c r="D3202" s="12"/>
      <c r="E3202" s="10"/>
      <c r="F3202" s="10"/>
      <c r="G3202" s="10"/>
      <c r="H3202" s="14"/>
      <c r="I3202" s="14"/>
      <c r="J3202" s="14"/>
      <c r="K3202" s="14"/>
      <c r="L3202" s="14"/>
      <c r="M3202" s="15"/>
      <c r="N3202" s="10"/>
      <c r="O3202" s="14"/>
      <c r="P3202" s="14"/>
      <c r="Q3202" s="14"/>
      <c r="R3202" s="14"/>
      <c r="S3202" s="14"/>
      <c r="T3202" s="14"/>
      <c r="U3202" s="14"/>
      <c r="V3202" s="14"/>
      <c r="W3202" s="14"/>
      <c r="X3202" s="14"/>
      <c r="Y3202" s="14"/>
      <c r="Z3202" s="14"/>
      <c r="AA3202" s="16"/>
      <c r="AB3202" s="10"/>
      <c r="AC3202" s="10"/>
      <c r="AD3202" s="10"/>
      <c r="AE3202" s="10"/>
      <c r="AF3202" s="10"/>
      <c r="AG3202" s="10"/>
      <c r="AH3202" s="10"/>
      <c r="AI3202" s="10"/>
      <c r="AJ3202" s="10"/>
      <c r="AK3202" s="10"/>
      <c r="AL3202" s="10"/>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10"/>
      <c r="BK3202" s="10"/>
      <c r="BM3202" s="10"/>
    </row>
    <row r="3203" spans="1:65" ht="12.75">
      <c r="A3203" s="9"/>
      <c r="B3203" s="10"/>
      <c r="C3203" s="11"/>
      <c r="D3203" s="12"/>
      <c r="E3203" s="10"/>
      <c r="F3203" s="10"/>
      <c r="G3203" s="10"/>
      <c r="H3203" s="14"/>
      <c r="I3203" s="14"/>
      <c r="J3203" s="14"/>
      <c r="K3203" s="14"/>
      <c r="L3203" s="14"/>
      <c r="M3203" s="15"/>
      <c r="N3203" s="10"/>
      <c r="O3203" s="14"/>
      <c r="P3203" s="14"/>
      <c r="Q3203" s="14"/>
      <c r="R3203" s="14"/>
      <c r="S3203" s="14"/>
      <c r="T3203" s="14"/>
      <c r="U3203" s="14"/>
      <c r="V3203" s="14"/>
      <c r="W3203" s="14"/>
      <c r="X3203" s="14"/>
      <c r="Y3203" s="14"/>
      <c r="Z3203" s="14"/>
      <c r="AA3203" s="16"/>
      <c r="AB3203" s="10"/>
      <c r="AC3203" s="10"/>
      <c r="AD3203" s="10"/>
      <c r="AE3203" s="10"/>
      <c r="AF3203" s="10"/>
      <c r="AG3203" s="10"/>
      <c r="AH3203" s="10"/>
      <c r="AI3203" s="10"/>
      <c r="AJ3203" s="10"/>
      <c r="AK3203" s="10"/>
      <c r="AL3203" s="10"/>
      <c r="AM3203" s="10"/>
      <c r="AN3203" s="10"/>
      <c r="AO3203" s="10"/>
      <c r="AP3203" s="10"/>
      <c r="AQ3203" s="10"/>
      <c r="AR3203" s="10"/>
      <c r="AS3203" s="10"/>
      <c r="AT3203" s="10"/>
      <c r="AU3203" s="10"/>
      <c r="AV3203" s="10"/>
      <c r="AW3203" s="10"/>
      <c r="AX3203" s="10"/>
      <c r="AY3203" s="10"/>
      <c r="AZ3203" s="10"/>
      <c r="BA3203" s="10"/>
      <c r="BB3203" s="10"/>
      <c r="BC3203" s="10"/>
      <c r="BD3203" s="10"/>
      <c r="BE3203" s="10"/>
      <c r="BF3203" s="10"/>
      <c r="BG3203" s="10"/>
      <c r="BH3203" s="10"/>
      <c r="BI3203" s="10"/>
      <c r="BJ3203" s="10"/>
      <c r="BK3203" s="10"/>
      <c r="BM3203" s="10"/>
    </row>
    <row r="3204" spans="1:65" ht="12.75">
      <c r="A3204" s="9"/>
      <c r="B3204" s="10"/>
      <c r="C3204" s="11"/>
      <c r="D3204" s="12"/>
      <c r="E3204" s="10"/>
      <c r="F3204" s="10"/>
      <c r="G3204" s="10"/>
      <c r="H3204" s="14"/>
      <c r="I3204" s="14"/>
      <c r="J3204" s="14"/>
      <c r="K3204" s="14"/>
      <c r="L3204" s="14"/>
      <c r="M3204" s="15"/>
      <c r="N3204" s="10"/>
      <c r="O3204" s="14"/>
      <c r="P3204" s="14"/>
      <c r="Q3204" s="14"/>
      <c r="R3204" s="14"/>
      <c r="S3204" s="14"/>
      <c r="T3204" s="14"/>
      <c r="U3204" s="14"/>
      <c r="V3204" s="14"/>
      <c r="W3204" s="14"/>
      <c r="X3204" s="14"/>
      <c r="Y3204" s="14"/>
      <c r="Z3204" s="14"/>
      <c r="AA3204" s="16"/>
      <c r="AB3204" s="10"/>
      <c r="AC3204" s="10"/>
      <c r="AD3204" s="10"/>
      <c r="AE3204" s="10"/>
      <c r="AF3204" s="10"/>
      <c r="AG3204" s="10"/>
      <c r="AH3204" s="10"/>
      <c r="AI3204" s="10"/>
      <c r="AJ3204" s="10"/>
      <c r="AK3204" s="10"/>
      <c r="AL3204" s="10"/>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10"/>
      <c r="BK3204" s="10"/>
      <c r="BM3204" s="10"/>
    </row>
    <row r="3205" spans="1:65" ht="12.75">
      <c r="A3205" s="9"/>
      <c r="B3205" s="10"/>
      <c r="C3205" s="11"/>
      <c r="D3205" s="12"/>
      <c r="E3205" s="10"/>
      <c r="F3205" s="10"/>
      <c r="G3205" s="10"/>
      <c r="H3205" s="14"/>
      <c r="I3205" s="14"/>
      <c r="J3205" s="14"/>
      <c r="K3205" s="14"/>
      <c r="L3205" s="14"/>
      <c r="M3205" s="15"/>
      <c r="N3205" s="10"/>
      <c r="O3205" s="14"/>
      <c r="P3205" s="14"/>
      <c r="Q3205" s="14"/>
      <c r="R3205" s="14"/>
      <c r="S3205" s="14"/>
      <c r="T3205" s="14"/>
      <c r="U3205" s="14"/>
      <c r="V3205" s="14"/>
      <c r="W3205" s="14"/>
      <c r="X3205" s="14"/>
      <c r="Y3205" s="14"/>
      <c r="Z3205" s="14"/>
      <c r="AA3205" s="16"/>
      <c r="AB3205" s="10"/>
      <c r="AC3205" s="10"/>
      <c r="AD3205" s="10"/>
      <c r="AE3205" s="10"/>
      <c r="AF3205" s="10"/>
      <c r="AG3205" s="10"/>
      <c r="AH3205" s="10"/>
      <c r="AI3205" s="10"/>
      <c r="AJ3205" s="10"/>
      <c r="AK3205" s="10"/>
      <c r="AL3205" s="10"/>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10"/>
      <c r="BK3205" s="10"/>
      <c r="BM3205" s="10"/>
    </row>
    <row r="3206" spans="1:65" ht="12.75">
      <c r="A3206" s="9"/>
      <c r="B3206" s="10"/>
      <c r="C3206" s="11"/>
      <c r="D3206" s="12"/>
      <c r="E3206" s="10"/>
      <c r="F3206" s="10"/>
      <c r="G3206" s="10"/>
      <c r="H3206" s="14"/>
      <c r="I3206" s="14"/>
      <c r="J3206" s="14"/>
      <c r="K3206" s="14"/>
      <c r="L3206" s="14"/>
      <c r="M3206" s="15"/>
      <c r="N3206" s="10"/>
      <c r="O3206" s="14"/>
      <c r="P3206" s="14"/>
      <c r="Q3206" s="14"/>
      <c r="R3206" s="14"/>
      <c r="S3206" s="14"/>
      <c r="T3206" s="14"/>
      <c r="U3206" s="14"/>
      <c r="V3206" s="14"/>
      <c r="W3206" s="14"/>
      <c r="X3206" s="14"/>
      <c r="Y3206" s="14"/>
      <c r="Z3206" s="14"/>
      <c r="AA3206" s="16"/>
      <c r="AB3206" s="10"/>
      <c r="AC3206" s="10"/>
      <c r="AD3206" s="10"/>
      <c r="AE3206" s="10"/>
      <c r="AF3206" s="10"/>
      <c r="AG3206" s="10"/>
      <c r="AH3206" s="10"/>
      <c r="AI3206" s="10"/>
      <c r="AJ3206" s="10"/>
      <c r="AK3206" s="10"/>
      <c r="AL3206" s="10"/>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10"/>
      <c r="BK3206" s="10"/>
      <c r="BM3206" s="10"/>
    </row>
    <row r="3207" spans="1:65" ht="12.75">
      <c r="A3207" s="9"/>
      <c r="B3207" s="10"/>
      <c r="C3207" s="11"/>
      <c r="D3207" s="12"/>
      <c r="E3207" s="10"/>
      <c r="F3207" s="10"/>
      <c r="G3207" s="10"/>
      <c r="H3207" s="14"/>
      <c r="I3207" s="14"/>
      <c r="J3207" s="14"/>
      <c r="K3207" s="14"/>
      <c r="L3207" s="14"/>
      <c r="M3207" s="15"/>
      <c r="N3207" s="10"/>
      <c r="O3207" s="14"/>
      <c r="P3207" s="14"/>
      <c r="Q3207" s="14"/>
      <c r="R3207" s="14"/>
      <c r="S3207" s="14"/>
      <c r="T3207" s="14"/>
      <c r="U3207" s="14"/>
      <c r="V3207" s="14"/>
      <c r="W3207" s="14"/>
      <c r="X3207" s="14"/>
      <c r="Y3207" s="14"/>
      <c r="Z3207" s="14"/>
      <c r="AA3207" s="16"/>
      <c r="AB3207" s="10"/>
      <c r="AC3207" s="10"/>
      <c r="AD3207" s="10"/>
      <c r="AE3207" s="10"/>
      <c r="AF3207" s="10"/>
      <c r="AG3207" s="10"/>
      <c r="AH3207" s="10"/>
      <c r="AI3207" s="10"/>
      <c r="AJ3207" s="10"/>
      <c r="AK3207" s="10"/>
      <c r="AL3207" s="10"/>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10"/>
      <c r="BK3207" s="10"/>
      <c r="BM3207" s="10"/>
    </row>
    <row r="3208" spans="1:65" ht="12.75">
      <c r="A3208" s="9"/>
      <c r="B3208" s="10"/>
      <c r="C3208" s="11"/>
      <c r="D3208" s="12"/>
      <c r="E3208" s="10"/>
      <c r="F3208" s="10"/>
      <c r="G3208" s="10"/>
      <c r="H3208" s="14"/>
      <c r="I3208" s="14"/>
      <c r="J3208" s="14"/>
      <c r="K3208" s="14"/>
      <c r="L3208" s="14"/>
      <c r="M3208" s="15"/>
      <c r="N3208" s="10"/>
      <c r="O3208" s="14"/>
      <c r="P3208" s="14"/>
      <c r="Q3208" s="14"/>
      <c r="R3208" s="14"/>
      <c r="S3208" s="14"/>
      <c r="T3208" s="14"/>
      <c r="U3208" s="14"/>
      <c r="V3208" s="14"/>
      <c r="W3208" s="14"/>
      <c r="X3208" s="14"/>
      <c r="Y3208" s="14"/>
      <c r="Z3208" s="14"/>
      <c r="AA3208" s="16"/>
      <c r="AB3208" s="10"/>
      <c r="AC3208" s="10"/>
      <c r="AD3208" s="10"/>
      <c r="AE3208" s="10"/>
      <c r="AF3208" s="10"/>
      <c r="AG3208" s="10"/>
      <c r="AH3208" s="10"/>
      <c r="AI3208" s="10"/>
      <c r="AJ3208" s="10"/>
      <c r="AK3208" s="10"/>
      <c r="AL3208" s="10"/>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10"/>
      <c r="BK3208" s="10"/>
      <c r="BM3208" s="10"/>
    </row>
    <row r="3209" spans="1:65" ht="12.75">
      <c r="A3209" s="9"/>
      <c r="B3209" s="10"/>
      <c r="C3209" s="11"/>
      <c r="D3209" s="12"/>
      <c r="E3209" s="10"/>
      <c r="F3209" s="10"/>
      <c r="G3209" s="10"/>
      <c r="H3209" s="14"/>
      <c r="I3209" s="14"/>
      <c r="J3209" s="14"/>
      <c r="K3209" s="14"/>
      <c r="L3209" s="14"/>
      <c r="M3209" s="15"/>
      <c r="N3209" s="10"/>
      <c r="O3209" s="14"/>
      <c r="P3209" s="14"/>
      <c r="Q3209" s="14"/>
      <c r="R3209" s="14"/>
      <c r="S3209" s="14"/>
      <c r="T3209" s="14"/>
      <c r="U3209" s="14"/>
      <c r="V3209" s="14"/>
      <c r="W3209" s="14"/>
      <c r="X3209" s="14"/>
      <c r="Y3209" s="14"/>
      <c r="Z3209" s="14"/>
      <c r="AA3209" s="16"/>
      <c r="AB3209" s="10"/>
      <c r="AC3209" s="10"/>
      <c r="AD3209" s="10"/>
      <c r="AE3209" s="10"/>
      <c r="AF3209" s="10"/>
      <c r="AG3209" s="10"/>
      <c r="AH3209" s="10"/>
      <c r="AI3209" s="10"/>
      <c r="AJ3209" s="10"/>
      <c r="AK3209" s="10"/>
      <c r="AL3209" s="10"/>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10"/>
      <c r="BK3209" s="10"/>
      <c r="BM3209" s="10"/>
    </row>
    <row r="3210" spans="1:65" ht="12.75">
      <c r="A3210" s="9"/>
      <c r="B3210" s="10"/>
      <c r="C3210" s="11"/>
      <c r="D3210" s="12"/>
      <c r="E3210" s="10"/>
      <c r="F3210" s="10"/>
      <c r="G3210" s="10"/>
      <c r="H3210" s="14"/>
      <c r="I3210" s="14"/>
      <c r="J3210" s="14"/>
      <c r="K3210" s="14"/>
      <c r="L3210" s="14"/>
      <c r="M3210" s="15"/>
      <c r="N3210" s="10"/>
      <c r="O3210" s="14"/>
      <c r="P3210" s="14"/>
      <c r="Q3210" s="14"/>
      <c r="R3210" s="14"/>
      <c r="S3210" s="14"/>
      <c r="T3210" s="14"/>
      <c r="U3210" s="14"/>
      <c r="V3210" s="14"/>
      <c r="W3210" s="14"/>
      <c r="X3210" s="14"/>
      <c r="Y3210" s="14"/>
      <c r="Z3210" s="14"/>
      <c r="AA3210" s="16"/>
      <c r="AB3210" s="10"/>
      <c r="AC3210" s="10"/>
      <c r="AD3210" s="10"/>
      <c r="AE3210" s="10"/>
      <c r="AF3210" s="10"/>
      <c r="AG3210" s="10"/>
      <c r="AH3210" s="10"/>
      <c r="AI3210" s="10"/>
      <c r="AJ3210" s="10"/>
      <c r="AK3210" s="10"/>
      <c r="AL3210" s="1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10"/>
      <c r="BK3210" s="10"/>
      <c r="BM3210" s="10"/>
    </row>
    <row r="3211" spans="1:65" ht="12.75">
      <c r="A3211" s="9"/>
      <c r="B3211" s="10"/>
      <c r="C3211" s="11"/>
      <c r="D3211" s="12"/>
      <c r="E3211" s="10"/>
      <c r="F3211" s="10"/>
      <c r="G3211" s="10"/>
      <c r="H3211" s="14"/>
      <c r="I3211" s="14"/>
      <c r="J3211" s="14"/>
      <c r="K3211" s="14"/>
      <c r="L3211" s="14"/>
      <c r="M3211" s="15"/>
      <c r="N3211" s="10"/>
      <c r="O3211" s="14"/>
      <c r="P3211" s="14"/>
      <c r="Q3211" s="14"/>
      <c r="R3211" s="14"/>
      <c r="S3211" s="14"/>
      <c r="T3211" s="14"/>
      <c r="U3211" s="14"/>
      <c r="V3211" s="14"/>
      <c r="W3211" s="14"/>
      <c r="X3211" s="14"/>
      <c r="Y3211" s="14"/>
      <c r="Z3211" s="14"/>
      <c r="AA3211" s="16"/>
      <c r="AB3211" s="10"/>
      <c r="AC3211" s="10"/>
      <c r="AD3211" s="10"/>
      <c r="AE3211" s="10"/>
      <c r="AF3211" s="10"/>
      <c r="AG3211" s="10"/>
      <c r="AH3211" s="10"/>
      <c r="AI3211" s="10"/>
      <c r="AJ3211" s="10"/>
      <c r="AK3211" s="10"/>
      <c r="AL3211" s="10"/>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10"/>
      <c r="BK3211" s="10"/>
      <c r="BM3211" s="10"/>
    </row>
    <row r="3212" spans="1:65" ht="12.75">
      <c r="A3212" s="9"/>
      <c r="B3212" s="10"/>
      <c r="C3212" s="11"/>
      <c r="D3212" s="12"/>
      <c r="E3212" s="10"/>
      <c r="F3212" s="10"/>
      <c r="G3212" s="10"/>
      <c r="H3212" s="14"/>
      <c r="I3212" s="14"/>
      <c r="J3212" s="14"/>
      <c r="K3212" s="14"/>
      <c r="L3212" s="14"/>
      <c r="M3212" s="15"/>
      <c r="N3212" s="10"/>
      <c r="O3212" s="14"/>
      <c r="P3212" s="14"/>
      <c r="Q3212" s="14"/>
      <c r="R3212" s="14"/>
      <c r="S3212" s="14"/>
      <c r="T3212" s="14"/>
      <c r="U3212" s="14"/>
      <c r="V3212" s="14"/>
      <c r="W3212" s="14"/>
      <c r="X3212" s="14"/>
      <c r="Y3212" s="14"/>
      <c r="Z3212" s="14"/>
      <c r="AA3212" s="16"/>
      <c r="AB3212" s="10"/>
      <c r="AC3212" s="10"/>
      <c r="AD3212" s="10"/>
      <c r="AE3212" s="10"/>
      <c r="AF3212" s="10"/>
      <c r="AG3212" s="10"/>
      <c r="AH3212" s="10"/>
      <c r="AI3212" s="10"/>
      <c r="AJ3212" s="10"/>
      <c r="AK3212" s="10"/>
      <c r="AL3212" s="10"/>
      <c r="AM3212" s="10"/>
      <c r="AN3212" s="10"/>
      <c r="AO3212" s="10"/>
      <c r="AP3212" s="10"/>
      <c r="AQ3212" s="10"/>
      <c r="AR3212" s="10"/>
      <c r="AS3212" s="10"/>
      <c r="AT3212" s="10"/>
      <c r="AU3212" s="10"/>
      <c r="AV3212" s="10"/>
      <c r="AW3212" s="10"/>
      <c r="AX3212" s="10"/>
      <c r="AY3212" s="10"/>
      <c r="AZ3212" s="10"/>
      <c r="BA3212" s="10"/>
      <c r="BB3212" s="10"/>
      <c r="BC3212" s="10"/>
      <c r="BD3212" s="10"/>
      <c r="BE3212" s="10"/>
      <c r="BF3212" s="10"/>
      <c r="BG3212" s="10"/>
      <c r="BH3212" s="10"/>
      <c r="BI3212" s="10"/>
      <c r="BJ3212" s="10"/>
      <c r="BK3212" s="10"/>
      <c r="BM3212" s="10"/>
    </row>
    <row r="3213" spans="1:65" ht="12.75">
      <c r="A3213" s="9"/>
      <c r="B3213" s="10"/>
      <c r="C3213" s="11"/>
      <c r="D3213" s="12"/>
      <c r="E3213" s="10"/>
      <c r="F3213" s="10"/>
      <c r="G3213" s="10"/>
      <c r="H3213" s="14"/>
      <c r="I3213" s="14"/>
      <c r="J3213" s="14"/>
      <c r="K3213" s="14"/>
      <c r="L3213" s="14"/>
      <c r="M3213" s="15"/>
      <c r="N3213" s="10"/>
      <c r="O3213" s="14"/>
      <c r="P3213" s="14"/>
      <c r="Q3213" s="14"/>
      <c r="R3213" s="14"/>
      <c r="S3213" s="14"/>
      <c r="T3213" s="14"/>
      <c r="U3213" s="14"/>
      <c r="V3213" s="14"/>
      <c r="W3213" s="14"/>
      <c r="X3213" s="14"/>
      <c r="Y3213" s="14"/>
      <c r="Z3213" s="14"/>
      <c r="AA3213" s="16"/>
      <c r="AB3213" s="10"/>
      <c r="AC3213" s="10"/>
      <c r="AD3213" s="10"/>
      <c r="AE3213" s="10"/>
      <c r="AF3213" s="10"/>
      <c r="AG3213" s="10"/>
      <c r="AH3213" s="10"/>
      <c r="AI3213" s="10"/>
      <c r="AJ3213" s="10"/>
      <c r="AK3213" s="10"/>
      <c r="AL3213" s="10"/>
      <c r="AM3213" s="10"/>
      <c r="AN3213" s="10"/>
      <c r="AO3213" s="10"/>
      <c r="AP3213" s="10"/>
      <c r="AQ3213" s="10"/>
      <c r="AR3213" s="10"/>
      <c r="AS3213" s="10"/>
      <c r="AT3213" s="10"/>
      <c r="AU3213" s="10"/>
      <c r="AV3213" s="10"/>
      <c r="AW3213" s="10"/>
      <c r="AX3213" s="10"/>
      <c r="AY3213" s="10"/>
      <c r="AZ3213" s="10"/>
      <c r="BA3213" s="10"/>
      <c r="BB3213" s="10"/>
      <c r="BC3213" s="10"/>
      <c r="BD3213" s="10"/>
      <c r="BE3213" s="10"/>
      <c r="BF3213" s="10"/>
      <c r="BG3213" s="10"/>
      <c r="BH3213" s="10"/>
      <c r="BI3213" s="10"/>
      <c r="BJ3213" s="10"/>
      <c r="BK3213" s="10"/>
      <c r="BM3213" s="10"/>
    </row>
    <row r="3214" spans="1:65" ht="12.75">
      <c r="A3214" s="9"/>
      <c r="B3214" s="10"/>
      <c r="C3214" s="11"/>
      <c r="D3214" s="12"/>
      <c r="E3214" s="10"/>
      <c r="F3214" s="10"/>
      <c r="G3214" s="10"/>
      <c r="H3214" s="14"/>
      <c r="I3214" s="14"/>
      <c r="J3214" s="14"/>
      <c r="K3214" s="14"/>
      <c r="L3214" s="14"/>
      <c r="M3214" s="15"/>
      <c r="N3214" s="10"/>
      <c r="O3214" s="14"/>
      <c r="P3214" s="14"/>
      <c r="Q3214" s="14"/>
      <c r="R3214" s="14"/>
      <c r="S3214" s="14"/>
      <c r="T3214" s="14"/>
      <c r="U3214" s="14"/>
      <c r="V3214" s="14"/>
      <c r="W3214" s="14"/>
      <c r="X3214" s="14"/>
      <c r="Y3214" s="14"/>
      <c r="Z3214" s="14"/>
      <c r="AA3214" s="16"/>
      <c r="AB3214" s="10"/>
      <c r="AC3214" s="10"/>
      <c r="AD3214" s="10"/>
      <c r="AE3214" s="10"/>
      <c r="AF3214" s="10"/>
      <c r="AG3214" s="10"/>
      <c r="AH3214" s="10"/>
      <c r="AI3214" s="10"/>
      <c r="AJ3214" s="10"/>
      <c r="AK3214" s="10"/>
      <c r="AL3214" s="10"/>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10"/>
      <c r="BK3214" s="10"/>
      <c r="BM3214" s="10"/>
    </row>
    <row r="3215" spans="1:65" ht="12.75">
      <c r="A3215" s="9"/>
      <c r="B3215" s="10"/>
      <c r="C3215" s="11"/>
      <c r="D3215" s="12"/>
      <c r="E3215" s="10"/>
      <c r="F3215" s="10"/>
      <c r="G3215" s="10"/>
      <c r="H3215" s="14"/>
      <c r="I3215" s="14"/>
      <c r="J3215" s="14"/>
      <c r="K3215" s="14"/>
      <c r="L3215" s="14"/>
      <c r="M3215" s="15"/>
      <c r="N3215" s="10"/>
      <c r="O3215" s="14"/>
      <c r="P3215" s="14"/>
      <c r="Q3215" s="14"/>
      <c r="R3215" s="14"/>
      <c r="S3215" s="14"/>
      <c r="T3215" s="14"/>
      <c r="U3215" s="14"/>
      <c r="V3215" s="14"/>
      <c r="W3215" s="14"/>
      <c r="X3215" s="14"/>
      <c r="Y3215" s="14"/>
      <c r="Z3215" s="14"/>
      <c r="AA3215" s="16"/>
      <c r="AB3215" s="10"/>
      <c r="AC3215" s="10"/>
      <c r="AD3215" s="10"/>
      <c r="AE3215" s="10"/>
      <c r="AF3215" s="10"/>
      <c r="AG3215" s="10"/>
      <c r="AH3215" s="10"/>
      <c r="AI3215" s="10"/>
      <c r="AJ3215" s="10"/>
      <c r="AK3215" s="10"/>
      <c r="AL3215" s="10"/>
      <c r="AM3215" s="10"/>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10"/>
      <c r="BK3215" s="10"/>
      <c r="BM3215" s="10"/>
    </row>
    <row r="3216" spans="1:65" ht="12.75">
      <c r="A3216" s="9"/>
      <c r="B3216" s="10"/>
      <c r="C3216" s="11"/>
      <c r="D3216" s="12"/>
      <c r="E3216" s="10"/>
      <c r="F3216" s="10"/>
      <c r="G3216" s="10"/>
      <c r="H3216" s="14"/>
      <c r="I3216" s="14"/>
      <c r="J3216" s="14"/>
      <c r="K3216" s="14"/>
      <c r="L3216" s="14"/>
      <c r="M3216" s="15"/>
      <c r="N3216" s="10"/>
      <c r="O3216" s="14"/>
      <c r="P3216" s="14"/>
      <c r="Q3216" s="14"/>
      <c r="R3216" s="14"/>
      <c r="S3216" s="14"/>
      <c r="T3216" s="14"/>
      <c r="U3216" s="14"/>
      <c r="V3216" s="14"/>
      <c r="W3216" s="14"/>
      <c r="X3216" s="14"/>
      <c r="Y3216" s="14"/>
      <c r="Z3216" s="14"/>
      <c r="AA3216" s="16"/>
      <c r="AB3216" s="10"/>
      <c r="AC3216" s="10"/>
      <c r="AD3216" s="10"/>
      <c r="AE3216" s="10"/>
      <c r="AF3216" s="10"/>
      <c r="AG3216" s="10"/>
      <c r="AH3216" s="10"/>
      <c r="AI3216" s="10"/>
      <c r="AJ3216" s="10"/>
      <c r="AK3216" s="10"/>
      <c r="AL3216" s="10"/>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c r="BI3216" s="10"/>
      <c r="BJ3216" s="10"/>
      <c r="BK3216" s="10"/>
      <c r="BM3216" s="10"/>
    </row>
    <row r="3217" spans="1:65" ht="12.75">
      <c r="A3217" s="9"/>
      <c r="B3217" s="10"/>
      <c r="C3217" s="11"/>
      <c r="D3217" s="12"/>
      <c r="E3217" s="10"/>
      <c r="F3217" s="10"/>
      <c r="G3217" s="10"/>
      <c r="H3217" s="14"/>
      <c r="I3217" s="14"/>
      <c r="J3217" s="14"/>
      <c r="K3217" s="14"/>
      <c r="L3217" s="14"/>
      <c r="M3217" s="15"/>
      <c r="N3217" s="10"/>
      <c r="O3217" s="14"/>
      <c r="P3217" s="14"/>
      <c r="Q3217" s="14"/>
      <c r="R3217" s="14"/>
      <c r="S3217" s="14"/>
      <c r="T3217" s="14"/>
      <c r="U3217" s="14"/>
      <c r="V3217" s="14"/>
      <c r="W3217" s="14"/>
      <c r="X3217" s="14"/>
      <c r="Y3217" s="14"/>
      <c r="Z3217" s="14"/>
      <c r="AA3217" s="16"/>
      <c r="AB3217" s="10"/>
      <c r="AC3217" s="10"/>
      <c r="AD3217" s="10"/>
      <c r="AE3217" s="10"/>
      <c r="AF3217" s="10"/>
      <c r="AG3217" s="10"/>
      <c r="AH3217" s="10"/>
      <c r="AI3217" s="10"/>
      <c r="AJ3217" s="10"/>
      <c r="AK3217" s="10"/>
      <c r="AL3217" s="10"/>
      <c r="AM3217" s="10"/>
      <c r="AN3217" s="10"/>
      <c r="AO3217" s="10"/>
      <c r="AP3217" s="10"/>
      <c r="AQ3217" s="10"/>
      <c r="AR3217" s="10"/>
      <c r="AS3217" s="10"/>
      <c r="AT3217" s="10"/>
      <c r="AU3217" s="10"/>
      <c r="AV3217" s="10"/>
      <c r="AW3217" s="10"/>
      <c r="AX3217" s="10"/>
      <c r="AY3217" s="10"/>
      <c r="AZ3217" s="10"/>
      <c r="BA3217" s="10"/>
      <c r="BB3217" s="10"/>
      <c r="BC3217" s="10"/>
      <c r="BD3217" s="10"/>
      <c r="BE3217" s="10"/>
      <c r="BF3217" s="10"/>
      <c r="BG3217" s="10"/>
      <c r="BH3217" s="10"/>
      <c r="BI3217" s="10"/>
      <c r="BJ3217" s="10"/>
      <c r="BK3217" s="10"/>
      <c r="BM3217" s="10"/>
    </row>
    <row r="3218" spans="1:65" ht="12.75">
      <c r="A3218" s="9"/>
      <c r="B3218" s="10"/>
      <c r="C3218" s="11"/>
      <c r="D3218" s="12"/>
      <c r="E3218" s="10"/>
      <c r="F3218" s="10"/>
      <c r="G3218" s="10"/>
      <c r="H3218" s="14"/>
      <c r="I3218" s="14"/>
      <c r="J3218" s="14"/>
      <c r="K3218" s="14"/>
      <c r="L3218" s="14"/>
      <c r="M3218" s="15"/>
      <c r="N3218" s="10"/>
      <c r="O3218" s="14"/>
      <c r="P3218" s="14"/>
      <c r="Q3218" s="14"/>
      <c r="R3218" s="14"/>
      <c r="S3218" s="14"/>
      <c r="T3218" s="14"/>
      <c r="U3218" s="14"/>
      <c r="V3218" s="14"/>
      <c r="W3218" s="14"/>
      <c r="X3218" s="14"/>
      <c r="Y3218" s="14"/>
      <c r="Z3218" s="14"/>
      <c r="AA3218" s="16"/>
      <c r="AB3218" s="10"/>
      <c r="AC3218" s="10"/>
      <c r="AD3218" s="10"/>
      <c r="AE3218" s="10"/>
      <c r="AF3218" s="10"/>
      <c r="AG3218" s="10"/>
      <c r="AH3218" s="10"/>
      <c r="AI3218" s="10"/>
      <c r="AJ3218" s="10"/>
      <c r="AK3218" s="10"/>
      <c r="AL3218" s="10"/>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c r="BI3218" s="10"/>
      <c r="BJ3218" s="10"/>
      <c r="BK3218" s="10"/>
      <c r="BM3218" s="10"/>
    </row>
    <row r="3219" spans="1:65" ht="12.75">
      <c r="A3219" s="9"/>
      <c r="B3219" s="10"/>
      <c r="C3219" s="11"/>
      <c r="D3219" s="12"/>
      <c r="E3219" s="10"/>
      <c r="F3219" s="10"/>
      <c r="G3219" s="10"/>
      <c r="H3219" s="14"/>
      <c r="I3219" s="14"/>
      <c r="J3219" s="14"/>
      <c r="K3219" s="14"/>
      <c r="L3219" s="14"/>
      <c r="M3219" s="15"/>
      <c r="N3219" s="10"/>
      <c r="O3219" s="14"/>
      <c r="P3219" s="14"/>
      <c r="Q3219" s="14"/>
      <c r="R3219" s="14"/>
      <c r="S3219" s="14"/>
      <c r="T3219" s="14"/>
      <c r="U3219" s="14"/>
      <c r="V3219" s="14"/>
      <c r="W3219" s="14"/>
      <c r="X3219" s="14"/>
      <c r="Y3219" s="14"/>
      <c r="Z3219" s="14"/>
      <c r="AA3219" s="16"/>
      <c r="AB3219" s="10"/>
      <c r="AC3219" s="10"/>
      <c r="AD3219" s="10"/>
      <c r="AE3219" s="10"/>
      <c r="AF3219" s="10"/>
      <c r="AG3219" s="10"/>
      <c r="AH3219" s="10"/>
      <c r="AI3219" s="10"/>
      <c r="AJ3219" s="10"/>
      <c r="AK3219" s="10"/>
      <c r="AL3219" s="10"/>
      <c r="AM3219" s="10"/>
      <c r="AN3219" s="10"/>
      <c r="AO3219" s="10"/>
      <c r="AP3219" s="10"/>
      <c r="AQ3219" s="10"/>
      <c r="AR3219" s="10"/>
      <c r="AS3219" s="10"/>
      <c r="AT3219" s="10"/>
      <c r="AU3219" s="10"/>
      <c r="AV3219" s="10"/>
      <c r="AW3219" s="10"/>
      <c r="AX3219" s="10"/>
      <c r="AY3219" s="10"/>
      <c r="AZ3219" s="10"/>
      <c r="BA3219" s="10"/>
      <c r="BB3219" s="10"/>
      <c r="BC3219" s="10"/>
      <c r="BD3219" s="10"/>
      <c r="BE3219" s="10"/>
      <c r="BF3219" s="10"/>
      <c r="BG3219" s="10"/>
      <c r="BH3219" s="10"/>
      <c r="BI3219" s="10"/>
      <c r="BJ3219" s="10"/>
      <c r="BK3219" s="10"/>
      <c r="BM3219" s="10"/>
    </row>
    <row r="3220" spans="1:65" ht="12.75">
      <c r="A3220" s="9"/>
      <c r="B3220" s="10"/>
      <c r="C3220" s="11"/>
      <c r="D3220" s="12"/>
      <c r="E3220" s="10"/>
      <c r="F3220" s="10"/>
      <c r="G3220" s="10"/>
      <c r="H3220" s="14"/>
      <c r="I3220" s="14"/>
      <c r="J3220" s="14"/>
      <c r="K3220" s="14"/>
      <c r="L3220" s="14"/>
      <c r="M3220" s="15"/>
      <c r="N3220" s="10"/>
      <c r="O3220" s="14"/>
      <c r="P3220" s="14"/>
      <c r="Q3220" s="14"/>
      <c r="R3220" s="14"/>
      <c r="S3220" s="14"/>
      <c r="T3220" s="14"/>
      <c r="U3220" s="14"/>
      <c r="V3220" s="14"/>
      <c r="W3220" s="14"/>
      <c r="X3220" s="14"/>
      <c r="Y3220" s="14"/>
      <c r="Z3220" s="14"/>
      <c r="AA3220" s="16"/>
      <c r="AB3220" s="10"/>
      <c r="AC3220" s="10"/>
      <c r="AD3220" s="10"/>
      <c r="AE3220" s="10"/>
      <c r="AF3220" s="10"/>
      <c r="AG3220" s="10"/>
      <c r="AH3220" s="10"/>
      <c r="AI3220" s="10"/>
      <c r="AJ3220" s="10"/>
      <c r="AK3220" s="10"/>
      <c r="AL3220" s="10"/>
      <c r="AM3220" s="10"/>
      <c r="AN3220" s="10"/>
      <c r="AO3220" s="10"/>
      <c r="AP3220" s="10"/>
      <c r="AQ3220" s="10"/>
      <c r="AR3220" s="10"/>
      <c r="AS3220" s="10"/>
      <c r="AT3220" s="10"/>
      <c r="AU3220" s="10"/>
      <c r="AV3220" s="10"/>
      <c r="AW3220" s="10"/>
      <c r="AX3220" s="10"/>
      <c r="AY3220" s="10"/>
      <c r="AZ3220" s="10"/>
      <c r="BA3220" s="10"/>
      <c r="BB3220" s="10"/>
      <c r="BC3220" s="10"/>
      <c r="BD3220" s="10"/>
      <c r="BE3220" s="10"/>
      <c r="BF3220" s="10"/>
      <c r="BG3220" s="10"/>
      <c r="BH3220" s="10"/>
      <c r="BI3220" s="10"/>
      <c r="BJ3220" s="10"/>
      <c r="BK3220" s="10"/>
      <c r="BM3220" s="10"/>
    </row>
    <row r="3221" spans="1:65" ht="12.75">
      <c r="A3221" s="9"/>
      <c r="B3221" s="10"/>
      <c r="C3221" s="11"/>
      <c r="D3221" s="12"/>
      <c r="E3221" s="10"/>
      <c r="F3221" s="10"/>
      <c r="G3221" s="10"/>
      <c r="H3221" s="14"/>
      <c r="I3221" s="14"/>
      <c r="J3221" s="14"/>
      <c r="K3221" s="14"/>
      <c r="L3221" s="14"/>
      <c r="M3221" s="15"/>
      <c r="N3221" s="10"/>
      <c r="O3221" s="14"/>
      <c r="P3221" s="14"/>
      <c r="Q3221" s="14"/>
      <c r="R3221" s="14"/>
      <c r="S3221" s="14"/>
      <c r="T3221" s="14"/>
      <c r="U3221" s="14"/>
      <c r="V3221" s="14"/>
      <c r="W3221" s="14"/>
      <c r="X3221" s="14"/>
      <c r="Y3221" s="14"/>
      <c r="Z3221" s="14"/>
      <c r="AA3221" s="16"/>
      <c r="AB3221" s="10"/>
      <c r="AC3221" s="10"/>
      <c r="AD3221" s="10"/>
      <c r="AE3221" s="10"/>
      <c r="AF3221" s="10"/>
      <c r="AG3221" s="10"/>
      <c r="AH3221" s="10"/>
      <c r="AI3221" s="10"/>
      <c r="AJ3221" s="10"/>
      <c r="AK3221" s="10"/>
      <c r="AL3221" s="10"/>
      <c r="AM3221" s="10"/>
      <c r="AN3221" s="10"/>
      <c r="AO3221" s="10"/>
      <c r="AP3221" s="10"/>
      <c r="AQ3221" s="10"/>
      <c r="AR3221" s="10"/>
      <c r="AS3221" s="10"/>
      <c r="AT3221" s="10"/>
      <c r="AU3221" s="10"/>
      <c r="AV3221" s="10"/>
      <c r="AW3221" s="10"/>
      <c r="AX3221" s="10"/>
      <c r="AY3221" s="10"/>
      <c r="AZ3221" s="10"/>
      <c r="BA3221" s="10"/>
      <c r="BB3221" s="10"/>
      <c r="BC3221" s="10"/>
      <c r="BD3221" s="10"/>
      <c r="BE3221" s="10"/>
      <c r="BF3221" s="10"/>
      <c r="BG3221" s="10"/>
      <c r="BH3221" s="10"/>
      <c r="BI3221" s="10"/>
      <c r="BJ3221" s="10"/>
      <c r="BK3221" s="10"/>
      <c r="BM3221" s="10"/>
    </row>
    <row r="3222" spans="1:65" ht="12.75">
      <c r="A3222" s="9"/>
      <c r="B3222" s="10"/>
      <c r="C3222" s="11"/>
      <c r="D3222" s="12"/>
      <c r="E3222" s="10"/>
      <c r="F3222" s="10"/>
      <c r="G3222" s="10"/>
      <c r="H3222" s="14"/>
      <c r="I3222" s="14"/>
      <c r="J3222" s="14"/>
      <c r="K3222" s="14"/>
      <c r="L3222" s="14"/>
      <c r="M3222" s="15"/>
      <c r="N3222" s="10"/>
      <c r="O3222" s="14"/>
      <c r="P3222" s="14"/>
      <c r="Q3222" s="14"/>
      <c r="R3222" s="14"/>
      <c r="S3222" s="14"/>
      <c r="T3222" s="14"/>
      <c r="U3222" s="14"/>
      <c r="V3222" s="14"/>
      <c r="W3222" s="14"/>
      <c r="X3222" s="14"/>
      <c r="Y3222" s="14"/>
      <c r="Z3222" s="14"/>
      <c r="AA3222" s="16"/>
      <c r="AB3222" s="10"/>
      <c r="AC3222" s="10"/>
      <c r="AD3222" s="10"/>
      <c r="AE3222" s="10"/>
      <c r="AF3222" s="10"/>
      <c r="AG3222" s="10"/>
      <c r="AH3222" s="10"/>
      <c r="AI3222" s="10"/>
      <c r="AJ3222" s="10"/>
      <c r="AK3222" s="10"/>
      <c r="AL3222" s="10"/>
      <c r="AM3222" s="10"/>
      <c r="AN3222" s="10"/>
      <c r="AO3222" s="10"/>
      <c r="AP3222" s="10"/>
      <c r="AQ3222" s="10"/>
      <c r="AR3222" s="10"/>
      <c r="AS3222" s="10"/>
      <c r="AT3222" s="10"/>
      <c r="AU3222" s="10"/>
      <c r="AV3222" s="10"/>
      <c r="AW3222" s="10"/>
      <c r="AX3222" s="10"/>
      <c r="AY3222" s="10"/>
      <c r="AZ3222" s="10"/>
      <c r="BA3222" s="10"/>
      <c r="BB3222" s="10"/>
      <c r="BC3222" s="10"/>
      <c r="BD3222" s="10"/>
      <c r="BE3222" s="10"/>
      <c r="BF3222" s="10"/>
      <c r="BG3222" s="10"/>
      <c r="BH3222" s="10"/>
      <c r="BI3222" s="10"/>
      <c r="BJ3222" s="10"/>
      <c r="BK3222" s="10"/>
      <c r="BM3222" s="10"/>
    </row>
    <row r="3223" spans="1:65" ht="12.75">
      <c r="A3223" s="9"/>
      <c r="B3223" s="10"/>
      <c r="C3223" s="11"/>
      <c r="D3223" s="12"/>
      <c r="E3223" s="10"/>
      <c r="F3223" s="10"/>
      <c r="G3223" s="10"/>
      <c r="H3223" s="14"/>
      <c r="I3223" s="14"/>
      <c r="J3223" s="14"/>
      <c r="K3223" s="14"/>
      <c r="L3223" s="14"/>
      <c r="M3223" s="15"/>
      <c r="N3223" s="10"/>
      <c r="O3223" s="14"/>
      <c r="P3223" s="14"/>
      <c r="Q3223" s="14"/>
      <c r="R3223" s="14"/>
      <c r="S3223" s="14"/>
      <c r="T3223" s="14"/>
      <c r="U3223" s="14"/>
      <c r="V3223" s="14"/>
      <c r="W3223" s="14"/>
      <c r="X3223" s="14"/>
      <c r="Y3223" s="14"/>
      <c r="Z3223" s="14"/>
      <c r="AA3223" s="16"/>
      <c r="AB3223" s="10"/>
      <c r="AC3223" s="10"/>
      <c r="AD3223" s="10"/>
      <c r="AE3223" s="10"/>
      <c r="AF3223" s="10"/>
      <c r="AG3223" s="10"/>
      <c r="AH3223" s="10"/>
      <c r="AI3223" s="10"/>
      <c r="AJ3223" s="10"/>
      <c r="AK3223" s="10"/>
      <c r="AL3223" s="10"/>
      <c r="AM3223" s="10"/>
      <c r="AN3223" s="10"/>
      <c r="AO3223" s="10"/>
      <c r="AP3223" s="10"/>
      <c r="AQ3223" s="10"/>
      <c r="AR3223" s="10"/>
      <c r="AS3223" s="10"/>
      <c r="AT3223" s="10"/>
      <c r="AU3223" s="10"/>
      <c r="AV3223" s="10"/>
      <c r="AW3223" s="10"/>
      <c r="AX3223" s="10"/>
      <c r="AY3223" s="10"/>
      <c r="AZ3223" s="10"/>
      <c r="BA3223" s="10"/>
      <c r="BB3223" s="10"/>
      <c r="BC3223" s="10"/>
      <c r="BD3223" s="10"/>
      <c r="BE3223" s="10"/>
      <c r="BF3223" s="10"/>
      <c r="BG3223" s="10"/>
      <c r="BH3223" s="10"/>
      <c r="BI3223" s="10"/>
      <c r="BJ3223" s="10"/>
      <c r="BK3223" s="10"/>
      <c r="BM3223" s="10"/>
    </row>
    <row r="3224" spans="1:65" ht="12.75">
      <c r="A3224" s="9"/>
      <c r="B3224" s="10"/>
      <c r="C3224" s="11"/>
      <c r="D3224" s="12"/>
      <c r="E3224" s="10"/>
      <c r="F3224" s="10"/>
      <c r="G3224" s="10"/>
      <c r="H3224" s="14"/>
      <c r="I3224" s="14"/>
      <c r="J3224" s="14"/>
      <c r="K3224" s="14"/>
      <c r="L3224" s="14"/>
      <c r="M3224" s="15"/>
      <c r="N3224" s="10"/>
      <c r="O3224" s="14"/>
      <c r="P3224" s="14"/>
      <c r="Q3224" s="14"/>
      <c r="R3224" s="14"/>
      <c r="S3224" s="14"/>
      <c r="T3224" s="14"/>
      <c r="U3224" s="14"/>
      <c r="V3224" s="14"/>
      <c r="W3224" s="14"/>
      <c r="X3224" s="14"/>
      <c r="Y3224" s="14"/>
      <c r="Z3224" s="14"/>
      <c r="AA3224" s="16"/>
      <c r="AB3224" s="10"/>
      <c r="AC3224" s="10"/>
      <c r="AD3224" s="10"/>
      <c r="AE3224" s="10"/>
      <c r="AF3224" s="10"/>
      <c r="AG3224" s="10"/>
      <c r="AH3224" s="10"/>
      <c r="AI3224" s="10"/>
      <c r="AJ3224" s="10"/>
      <c r="AK3224" s="10"/>
      <c r="AL3224" s="10"/>
      <c r="AM3224" s="10"/>
      <c r="AN3224" s="10"/>
      <c r="AO3224" s="10"/>
      <c r="AP3224" s="10"/>
      <c r="AQ3224" s="10"/>
      <c r="AR3224" s="10"/>
      <c r="AS3224" s="10"/>
      <c r="AT3224" s="10"/>
      <c r="AU3224" s="10"/>
      <c r="AV3224" s="10"/>
      <c r="AW3224" s="10"/>
      <c r="AX3224" s="10"/>
      <c r="AY3224" s="10"/>
      <c r="AZ3224" s="10"/>
      <c r="BA3224" s="10"/>
      <c r="BB3224" s="10"/>
      <c r="BC3224" s="10"/>
      <c r="BD3224" s="10"/>
      <c r="BE3224" s="10"/>
      <c r="BF3224" s="10"/>
      <c r="BG3224" s="10"/>
      <c r="BH3224" s="10"/>
      <c r="BI3224" s="10"/>
      <c r="BJ3224" s="10"/>
      <c r="BK3224" s="10"/>
      <c r="BM3224" s="10"/>
    </row>
    <row r="3225" spans="1:65" ht="12.75">
      <c r="A3225" s="9"/>
      <c r="B3225" s="10"/>
      <c r="C3225" s="11"/>
      <c r="D3225" s="12"/>
      <c r="E3225" s="10"/>
      <c r="F3225" s="10"/>
      <c r="G3225" s="10"/>
      <c r="H3225" s="14"/>
      <c r="I3225" s="14"/>
      <c r="J3225" s="14"/>
      <c r="K3225" s="14"/>
      <c r="L3225" s="14"/>
      <c r="M3225" s="15"/>
      <c r="N3225" s="10"/>
      <c r="O3225" s="14"/>
      <c r="P3225" s="14"/>
      <c r="Q3225" s="14"/>
      <c r="R3225" s="14"/>
      <c r="S3225" s="14"/>
      <c r="T3225" s="14"/>
      <c r="U3225" s="14"/>
      <c r="V3225" s="14"/>
      <c r="W3225" s="14"/>
      <c r="X3225" s="14"/>
      <c r="Y3225" s="14"/>
      <c r="Z3225" s="14"/>
      <c r="AA3225" s="16"/>
      <c r="AB3225" s="10"/>
      <c r="AC3225" s="10"/>
      <c r="AD3225" s="10"/>
      <c r="AE3225" s="10"/>
      <c r="AF3225" s="10"/>
      <c r="AG3225" s="10"/>
      <c r="AH3225" s="10"/>
      <c r="AI3225" s="10"/>
      <c r="AJ3225" s="10"/>
      <c r="AK3225" s="10"/>
      <c r="AL3225" s="10"/>
      <c r="AM3225" s="10"/>
      <c r="AN3225" s="10"/>
      <c r="AO3225" s="10"/>
      <c r="AP3225" s="10"/>
      <c r="AQ3225" s="10"/>
      <c r="AR3225" s="10"/>
      <c r="AS3225" s="10"/>
      <c r="AT3225" s="10"/>
      <c r="AU3225" s="10"/>
      <c r="AV3225" s="10"/>
      <c r="AW3225" s="10"/>
      <c r="AX3225" s="10"/>
      <c r="AY3225" s="10"/>
      <c r="AZ3225" s="10"/>
      <c r="BA3225" s="10"/>
      <c r="BB3225" s="10"/>
      <c r="BC3225" s="10"/>
      <c r="BD3225" s="10"/>
      <c r="BE3225" s="10"/>
      <c r="BF3225" s="10"/>
      <c r="BG3225" s="10"/>
      <c r="BH3225" s="10"/>
      <c r="BI3225" s="10"/>
      <c r="BJ3225" s="10"/>
      <c r="BK3225" s="10"/>
      <c r="BM3225" s="10"/>
    </row>
    <row r="3226" spans="1:65" ht="12.75">
      <c r="A3226" s="9"/>
      <c r="B3226" s="10"/>
      <c r="C3226" s="11"/>
      <c r="D3226" s="12"/>
      <c r="E3226" s="10"/>
      <c r="F3226" s="10"/>
      <c r="G3226" s="10"/>
      <c r="H3226" s="14"/>
      <c r="I3226" s="14"/>
      <c r="J3226" s="14"/>
      <c r="K3226" s="14"/>
      <c r="L3226" s="14"/>
      <c r="M3226" s="15"/>
      <c r="N3226" s="10"/>
      <c r="O3226" s="14"/>
      <c r="P3226" s="14"/>
      <c r="Q3226" s="14"/>
      <c r="R3226" s="14"/>
      <c r="S3226" s="14"/>
      <c r="T3226" s="14"/>
      <c r="U3226" s="14"/>
      <c r="V3226" s="14"/>
      <c r="W3226" s="14"/>
      <c r="X3226" s="14"/>
      <c r="Y3226" s="14"/>
      <c r="Z3226" s="14"/>
      <c r="AA3226" s="16"/>
      <c r="AB3226" s="10"/>
      <c r="AC3226" s="10"/>
      <c r="AD3226" s="10"/>
      <c r="AE3226" s="10"/>
      <c r="AF3226" s="10"/>
      <c r="AG3226" s="10"/>
      <c r="AH3226" s="10"/>
      <c r="AI3226" s="10"/>
      <c r="AJ3226" s="10"/>
      <c r="AK3226" s="10"/>
      <c r="AL3226" s="10"/>
      <c r="AM3226" s="10"/>
      <c r="AN3226" s="10"/>
      <c r="AO3226" s="10"/>
      <c r="AP3226" s="10"/>
      <c r="AQ3226" s="10"/>
      <c r="AR3226" s="10"/>
      <c r="AS3226" s="10"/>
      <c r="AT3226" s="10"/>
      <c r="AU3226" s="10"/>
      <c r="AV3226" s="10"/>
      <c r="AW3226" s="10"/>
      <c r="AX3226" s="10"/>
      <c r="AY3226" s="10"/>
      <c r="AZ3226" s="10"/>
      <c r="BA3226" s="10"/>
      <c r="BB3226" s="10"/>
      <c r="BC3226" s="10"/>
      <c r="BD3226" s="10"/>
      <c r="BE3226" s="10"/>
      <c r="BF3226" s="10"/>
      <c r="BG3226" s="10"/>
      <c r="BH3226" s="10"/>
      <c r="BI3226" s="10"/>
      <c r="BJ3226" s="10"/>
      <c r="BK3226" s="10"/>
      <c r="BM3226" s="10"/>
    </row>
    <row r="3227" spans="1:65" ht="12.75">
      <c r="A3227" s="9"/>
      <c r="B3227" s="10"/>
      <c r="C3227" s="11"/>
      <c r="D3227" s="12"/>
      <c r="E3227" s="10"/>
      <c r="F3227" s="10"/>
      <c r="G3227" s="10"/>
      <c r="H3227" s="14"/>
      <c r="I3227" s="14"/>
      <c r="J3227" s="14"/>
      <c r="K3227" s="14"/>
      <c r="L3227" s="14"/>
      <c r="M3227" s="15"/>
      <c r="N3227" s="10"/>
      <c r="O3227" s="14"/>
      <c r="P3227" s="14"/>
      <c r="Q3227" s="14"/>
      <c r="R3227" s="14"/>
      <c r="S3227" s="14"/>
      <c r="T3227" s="14"/>
      <c r="U3227" s="14"/>
      <c r="V3227" s="14"/>
      <c r="W3227" s="14"/>
      <c r="X3227" s="14"/>
      <c r="Y3227" s="14"/>
      <c r="Z3227" s="14"/>
      <c r="AA3227" s="16"/>
      <c r="AB3227" s="10"/>
      <c r="AC3227" s="10"/>
      <c r="AD3227" s="10"/>
      <c r="AE3227" s="10"/>
      <c r="AF3227" s="10"/>
      <c r="AG3227" s="10"/>
      <c r="AH3227" s="10"/>
      <c r="AI3227" s="10"/>
      <c r="AJ3227" s="10"/>
      <c r="AK3227" s="10"/>
      <c r="AL3227" s="10"/>
      <c r="AM3227" s="10"/>
      <c r="AN3227" s="10"/>
      <c r="AO3227" s="10"/>
      <c r="AP3227" s="10"/>
      <c r="AQ3227" s="10"/>
      <c r="AR3227" s="10"/>
      <c r="AS3227" s="10"/>
      <c r="AT3227" s="10"/>
      <c r="AU3227" s="10"/>
      <c r="AV3227" s="10"/>
      <c r="AW3227" s="10"/>
      <c r="AX3227" s="10"/>
      <c r="AY3227" s="10"/>
      <c r="AZ3227" s="10"/>
      <c r="BA3227" s="10"/>
      <c r="BB3227" s="10"/>
      <c r="BC3227" s="10"/>
      <c r="BD3227" s="10"/>
      <c r="BE3227" s="10"/>
      <c r="BF3227" s="10"/>
      <c r="BG3227" s="10"/>
      <c r="BH3227" s="10"/>
      <c r="BI3227" s="10"/>
      <c r="BJ3227" s="10"/>
      <c r="BK3227" s="10"/>
      <c r="BM3227" s="10"/>
    </row>
    <row r="3228" spans="1:65" ht="12.75">
      <c r="A3228" s="9"/>
      <c r="B3228" s="10"/>
      <c r="C3228" s="11"/>
      <c r="D3228" s="12"/>
      <c r="E3228" s="10"/>
      <c r="F3228" s="10"/>
      <c r="G3228" s="10"/>
      <c r="H3228" s="14"/>
      <c r="I3228" s="14"/>
      <c r="J3228" s="14"/>
      <c r="K3228" s="14"/>
      <c r="L3228" s="14"/>
      <c r="M3228" s="15"/>
      <c r="N3228" s="10"/>
      <c r="O3228" s="14"/>
      <c r="P3228" s="14"/>
      <c r="Q3228" s="14"/>
      <c r="R3228" s="14"/>
      <c r="S3228" s="14"/>
      <c r="T3228" s="14"/>
      <c r="U3228" s="14"/>
      <c r="V3228" s="14"/>
      <c r="W3228" s="14"/>
      <c r="X3228" s="14"/>
      <c r="Y3228" s="14"/>
      <c r="Z3228" s="14"/>
      <c r="AA3228" s="16"/>
      <c r="AB3228" s="10"/>
      <c r="AC3228" s="10"/>
      <c r="AD3228" s="10"/>
      <c r="AE3228" s="10"/>
      <c r="AF3228" s="10"/>
      <c r="AG3228" s="10"/>
      <c r="AH3228" s="10"/>
      <c r="AI3228" s="10"/>
      <c r="AJ3228" s="10"/>
      <c r="AK3228" s="10"/>
      <c r="AL3228" s="10"/>
      <c r="AM3228" s="10"/>
      <c r="AN3228" s="10"/>
      <c r="AO3228" s="10"/>
      <c r="AP3228" s="10"/>
      <c r="AQ3228" s="10"/>
      <c r="AR3228" s="10"/>
      <c r="AS3228" s="10"/>
      <c r="AT3228" s="10"/>
      <c r="AU3228" s="10"/>
      <c r="AV3228" s="10"/>
      <c r="AW3228" s="10"/>
      <c r="AX3228" s="10"/>
      <c r="AY3228" s="10"/>
      <c r="AZ3228" s="10"/>
      <c r="BA3228" s="10"/>
      <c r="BB3228" s="10"/>
      <c r="BC3228" s="10"/>
      <c r="BD3228" s="10"/>
      <c r="BE3228" s="10"/>
      <c r="BF3228" s="10"/>
      <c r="BG3228" s="10"/>
      <c r="BH3228" s="10"/>
      <c r="BI3228" s="10"/>
      <c r="BJ3228" s="10"/>
      <c r="BK3228" s="10"/>
      <c r="BM3228" s="10"/>
    </row>
    <row r="3229" spans="1:65" ht="12.75">
      <c r="A3229" s="9"/>
      <c r="B3229" s="10"/>
      <c r="C3229" s="11"/>
      <c r="D3229" s="12"/>
      <c r="E3229" s="10"/>
      <c r="F3229" s="10"/>
      <c r="G3229" s="10"/>
      <c r="H3229" s="14"/>
      <c r="I3229" s="14"/>
      <c r="J3229" s="14"/>
      <c r="K3229" s="14"/>
      <c r="L3229" s="14"/>
      <c r="M3229" s="15"/>
      <c r="N3229" s="10"/>
      <c r="O3229" s="14"/>
      <c r="P3229" s="14"/>
      <c r="Q3229" s="14"/>
      <c r="R3229" s="14"/>
      <c r="S3229" s="14"/>
      <c r="T3229" s="14"/>
      <c r="U3229" s="14"/>
      <c r="V3229" s="14"/>
      <c r="W3229" s="14"/>
      <c r="X3229" s="14"/>
      <c r="Y3229" s="14"/>
      <c r="Z3229" s="14"/>
      <c r="AA3229" s="16"/>
      <c r="AB3229" s="10"/>
      <c r="AC3229" s="10"/>
      <c r="AD3229" s="10"/>
      <c r="AE3229" s="10"/>
      <c r="AF3229" s="10"/>
      <c r="AG3229" s="10"/>
      <c r="AH3229" s="10"/>
      <c r="AI3229" s="10"/>
      <c r="AJ3229" s="10"/>
      <c r="AK3229" s="10"/>
      <c r="AL3229" s="10"/>
      <c r="AM3229" s="10"/>
      <c r="AN3229" s="10"/>
      <c r="AO3229" s="10"/>
      <c r="AP3229" s="10"/>
      <c r="AQ3229" s="10"/>
      <c r="AR3229" s="10"/>
      <c r="AS3229" s="10"/>
      <c r="AT3229" s="10"/>
      <c r="AU3229" s="10"/>
      <c r="AV3229" s="10"/>
      <c r="AW3229" s="10"/>
      <c r="AX3229" s="10"/>
      <c r="AY3229" s="10"/>
      <c r="AZ3229" s="10"/>
      <c r="BA3229" s="10"/>
      <c r="BB3229" s="10"/>
      <c r="BC3229" s="10"/>
      <c r="BD3229" s="10"/>
      <c r="BE3229" s="10"/>
      <c r="BF3229" s="10"/>
      <c r="BG3229" s="10"/>
      <c r="BH3229" s="10"/>
      <c r="BI3229" s="10"/>
      <c r="BJ3229" s="10"/>
      <c r="BK3229" s="10"/>
      <c r="BM3229" s="10"/>
    </row>
    <row r="3230" spans="1:65" ht="12.75">
      <c r="A3230" s="9"/>
      <c r="B3230" s="10"/>
      <c r="C3230" s="11"/>
      <c r="D3230" s="12"/>
      <c r="E3230" s="10"/>
      <c r="F3230" s="10"/>
      <c r="G3230" s="10"/>
      <c r="H3230" s="14"/>
      <c r="I3230" s="14"/>
      <c r="J3230" s="14"/>
      <c r="K3230" s="14"/>
      <c r="L3230" s="14"/>
      <c r="M3230" s="15"/>
      <c r="N3230" s="10"/>
      <c r="O3230" s="14"/>
      <c r="P3230" s="14"/>
      <c r="Q3230" s="14"/>
      <c r="R3230" s="14"/>
      <c r="S3230" s="14"/>
      <c r="T3230" s="14"/>
      <c r="U3230" s="14"/>
      <c r="V3230" s="14"/>
      <c r="W3230" s="14"/>
      <c r="X3230" s="14"/>
      <c r="Y3230" s="14"/>
      <c r="Z3230" s="14"/>
      <c r="AA3230" s="16"/>
      <c r="AB3230" s="10"/>
      <c r="AC3230" s="10"/>
      <c r="AD3230" s="10"/>
      <c r="AE3230" s="10"/>
      <c r="AF3230" s="10"/>
      <c r="AG3230" s="10"/>
      <c r="AH3230" s="10"/>
      <c r="AI3230" s="10"/>
      <c r="AJ3230" s="10"/>
      <c r="AK3230" s="10"/>
      <c r="AL3230" s="10"/>
      <c r="AM3230" s="10"/>
      <c r="AN3230" s="10"/>
      <c r="AO3230" s="10"/>
      <c r="AP3230" s="10"/>
      <c r="AQ3230" s="10"/>
      <c r="AR3230" s="10"/>
      <c r="AS3230" s="10"/>
      <c r="AT3230" s="10"/>
      <c r="AU3230" s="10"/>
      <c r="AV3230" s="10"/>
      <c r="AW3230" s="10"/>
      <c r="AX3230" s="10"/>
      <c r="AY3230" s="10"/>
      <c r="AZ3230" s="10"/>
      <c r="BA3230" s="10"/>
      <c r="BB3230" s="10"/>
      <c r="BC3230" s="10"/>
      <c r="BD3230" s="10"/>
      <c r="BE3230" s="10"/>
      <c r="BF3230" s="10"/>
      <c r="BG3230" s="10"/>
      <c r="BH3230" s="10"/>
      <c r="BI3230" s="10"/>
      <c r="BJ3230" s="10"/>
      <c r="BK3230" s="10"/>
      <c r="BM3230" s="10"/>
    </row>
    <row r="3231" spans="1:65" ht="12.75">
      <c r="A3231" s="9"/>
      <c r="B3231" s="10"/>
      <c r="C3231" s="11"/>
      <c r="D3231" s="12"/>
      <c r="E3231" s="10"/>
      <c r="F3231" s="10"/>
      <c r="G3231" s="10"/>
      <c r="H3231" s="14"/>
      <c r="I3231" s="14"/>
      <c r="J3231" s="14"/>
      <c r="K3231" s="14"/>
      <c r="L3231" s="14"/>
      <c r="M3231" s="15"/>
      <c r="N3231" s="10"/>
      <c r="O3231" s="14"/>
      <c r="P3231" s="14"/>
      <c r="Q3231" s="14"/>
      <c r="R3231" s="14"/>
      <c r="S3231" s="14"/>
      <c r="T3231" s="14"/>
      <c r="U3231" s="14"/>
      <c r="V3231" s="14"/>
      <c r="W3231" s="14"/>
      <c r="X3231" s="14"/>
      <c r="Y3231" s="14"/>
      <c r="Z3231" s="14"/>
      <c r="AA3231" s="16"/>
      <c r="AB3231" s="10"/>
      <c r="AC3231" s="10"/>
      <c r="AD3231" s="10"/>
      <c r="AE3231" s="10"/>
      <c r="AF3231" s="10"/>
      <c r="AG3231" s="10"/>
      <c r="AH3231" s="10"/>
      <c r="AI3231" s="10"/>
      <c r="AJ3231" s="10"/>
      <c r="AK3231" s="10"/>
      <c r="AL3231" s="10"/>
      <c r="AM3231" s="10"/>
      <c r="AN3231" s="10"/>
      <c r="AO3231" s="10"/>
      <c r="AP3231" s="10"/>
      <c r="AQ3231" s="10"/>
      <c r="AR3231" s="10"/>
      <c r="AS3231" s="10"/>
      <c r="AT3231" s="10"/>
      <c r="AU3231" s="10"/>
      <c r="AV3231" s="10"/>
      <c r="AW3231" s="10"/>
      <c r="AX3231" s="10"/>
      <c r="AY3231" s="10"/>
      <c r="AZ3231" s="10"/>
      <c r="BA3231" s="10"/>
      <c r="BB3231" s="10"/>
      <c r="BC3231" s="10"/>
      <c r="BD3231" s="10"/>
      <c r="BE3231" s="10"/>
      <c r="BF3231" s="10"/>
      <c r="BG3231" s="10"/>
      <c r="BH3231" s="10"/>
      <c r="BI3231" s="10"/>
      <c r="BJ3231" s="10"/>
      <c r="BK3231" s="10"/>
      <c r="BM3231" s="10"/>
    </row>
    <row r="3232" spans="1:65" ht="12.75">
      <c r="A3232" s="9"/>
      <c r="B3232" s="10"/>
      <c r="C3232" s="11"/>
      <c r="D3232" s="12"/>
      <c r="E3232" s="10"/>
      <c r="F3232" s="10"/>
      <c r="G3232" s="10"/>
      <c r="H3232" s="14"/>
      <c r="I3232" s="14"/>
      <c r="J3232" s="14"/>
      <c r="K3232" s="14"/>
      <c r="L3232" s="14"/>
      <c r="M3232" s="15"/>
      <c r="N3232" s="10"/>
      <c r="O3232" s="14"/>
      <c r="P3232" s="14"/>
      <c r="Q3232" s="14"/>
      <c r="R3232" s="14"/>
      <c r="S3232" s="14"/>
      <c r="T3232" s="14"/>
      <c r="U3232" s="14"/>
      <c r="V3232" s="14"/>
      <c r="W3232" s="14"/>
      <c r="X3232" s="14"/>
      <c r="Y3232" s="14"/>
      <c r="Z3232" s="14"/>
      <c r="AA3232" s="16"/>
      <c r="AB3232" s="10"/>
      <c r="AC3232" s="10"/>
      <c r="AD3232" s="10"/>
      <c r="AE3232" s="10"/>
      <c r="AF3232" s="10"/>
      <c r="AG3232" s="10"/>
      <c r="AH3232" s="10"/>
      <c r="AI3232" s="10"/>
      <c r="AJ3232" s="10"/>
      <c r="AK3232" s="10"/>
      <c r="AL3232" s="10"/>
      <c r="AM3232" s="10"/>
      <c r="AN3232" s="10"/>
      <c r="AO3232" s="10"/>
      <c r="AP3232" s="10"/>
      <c r="AQ3232" s="10"/>
      <c r="AR3232" s="10"/>
      <c r="AS3232" s="10"/>
      <c r="AT3232" s="10"/>
      <c r="AU3232" s="10"/>
      <c r="AV3232" s="10"/>
      <c r="AW3232" s="10"/>
      <c r="AX3232" s="10"/>
      <c r="AY3232" s="10"/>
      <c r="AZ3232" s="10"/>
      <c r="BA3232" s="10"/>
      <c r="BB3232" s="10"/>
      <c r="BC3232" s="10"/>
      <c r="BD3232" s="10"/>
      <c r="BE3232" s="10"/>
      <c r="BF3232" s="10"/>
      <c r="BG3232" s="10"/>
      <c r="BH3232" s="10"/>
      <c r="BI3232" s="10"/>
      <c r="BJ3232" s="10"/>
      <c r="BK3232" s="10"/>
      <c r="BM3232" s="10"/>
    </row>
    <row r="3233" spans="1:65" ht="12.75">
      <c r="A3233" s="9"/>
      <c r="B3233" s="10"/>
      <c r="C3233" s="11"/>
      <c r="D3233" s="12"/>
      <c r="E3233" s="10"/>
      <c r="F3233" s="10"/>
      <c r="G3233" s="10"/>
      <c r="H3233" s="14"/>
      <c r="I3233" s="14"/>
      <c r="J3233" s="14"/>
      <c r="K3233" s="14"/>
      <c r="L3233" s="14"/>
      <c r="M3233" s="15"/>
      <c r="N3233" s="10"/>
      <c r="O3233" s="14"/>
      <c r="P3233" s="14"/>
      <c r="Q3233" s="14"/>
      <c r="R3233" s="14"/>
      <c r="S3233" s="14"/>
      <c r="T3233" s="14"/>
      <c r="U3233" s="14"/>
      <c r="V3233" s="14"/>
      <c r="W3233" s="14"/>
      <c r="X3233" s="14"/>
      <c r="Y3233" s="14"/>
      <c r="Z3233" s="14"/>
      <c r="AA3233" s="16"/>
      <c r="AB3233" s="10"/>
      <c r="AC3233" s="10"/>
      <c r="AD3233" s="10"/>
      <c r="AE3233" s="10"/>
      <c r="AF3233" s="10"/>
      <c r="AG3233" s="10"/>
      <c r="AH3233" s="10"/>
      <c r="AI3233" s="10"/>
      <c r="AJ3233" s="10"/>
      <c r="AK3233" s="10"/>
      <c r="AL3233" s="10"/>
      <c r="AM3233" s="10"/>
      <c r="AN3233" s="10"/>
      <c r="AO3233" s="10"/>
      <c r="AP3233" s="10"/>
      <c r="AQ3233" s="10"/>
      <c r="AR3233" s="10"/>
      <c r="AS3233" s="10"/>
      <c r="AT3233" s="10"/>
      <c r="AU3233" s="10"/>
      <c r="AV3233" s="10"/>
      <c r="AW3233" s="10"/>
      <c r="AX3233" s="10"/>
      <c r="AY3233" s="10"/>
      <c r="AZ3233" s="10"/>
      <c r="BA3233" s="10"/>
      <c r="BB3233" s="10"/>
      <c r="BC3233" s="10"/>
      <c r="BD3233" s="10"/>
      <c r="BE3233" s="10"/>
      <c r="BF3233" s="10"/>
      <c r="BG3233" s="10"/>
      <c r="BH3233" s="10"/>
      <c r="BI3233" s="10"/>
      <c r="BJ3233" s="10"/>
      <c r="BK3233" s="10"/>
      <c r="BM3233" s="10"/>
    </row>
    <row r="3234" spans="1:65" ht="12.75">
      <c r="A3234" s="9"/>
      <c r="B3234" s="10"/>
      <c r="C3234" s="11"/>
      <c r="D3234" s="12"/>
      <c r="E3234" s="10"/>
      <c r="F3234" s="10"/>
      <c r="G3234" s="10"/>
      <c r="H3234" s="14"/>
      <c r="I3234" s="14"/>
      <c r="J3234" s="14"/>
      <c r="K3234" s="14"/>
      <c r="L3234" s="14"/>
      <c r="M3234" s="15"/>
      <c r="N3234" s="10"/>
      <c r="O3234" s="14"/>
      <c r="P3234" s="14"/>
      <c r="Q3234" s="14"/>
      <c r="R3234" s="14"/>
      <c r="S3234" s="14"/>
      <c r="T3234" s="14"/>
      <c r="U3234" s="14"/>
      <c r="V3234" s="14"/>
      <c r="W3234" s="14"/>
      <c r="X3234" s="14"/>
      <c r="Y3234" s="14"/>
      <c r="Z3234" s="14"/>
      <c r="AA3234" s="16"/>
      <c r="AB3234" s="10"/>
      <c r="AC3234" s="10"/>
      <c r="AD3234" s="10"/>
      <c r="AE3234" s="10"/>
      <c r="AF3234" s="10"/>
      <c r="AG3234" s="10"/>
      <c r="AH3234" s="10"/>
      <c r="AI3234" s="10"/>
      <c r="AJ3234" s="10"/>
      <c r="AK3234" s="10"/>
      <c r="AL3234" s="10"/>
      <c r="AM3234" s="10"/>
      <c r="AN3234" s="10"/>
      <c r="AO3234" s="10"/>
      <c r="AP3234" s="10"/>
      <c r="AQ3234" s="10"/>
      <c r="AR3234" s="10"/>
      <c r="AS3234" s="10"/>
      <c r="AT3234" s="10"/>
      <c r="AU3234" s="10"/>
      <c r="AV3234" s="10"/>
      <c r="AW3234" s="10"/>
      <c r="AX3234" s="10"/>
      <c r="AY3234" s="10"/>
      <c r="AZ3234" s="10"/>
      <c r="BA3234" s="10"/>
      <c r="BB3234" s="10"/>
      <c r="BC3234" s="10"/>
      <c r="BD3234" s="10"/>
      <c r="BE3234" s="10"/>
      <c r="BF3234" s="10"/>
      <c r="BG3234" s="10"/>
      <c r="BH3234" s="10"/>
      <c r="BI3234" s="10"/>
      <c r="BJ3234" s="10"/>
      <c r="BK3234" s="10"/>
      <c r="BM3234" s="10"/>
    </row>
    <row r="3235" spans="1:65" ht="12.75">
      <c r="A3235" s="9"/>
      <c r="B3235" s="10"/>
      <c r="C3235" s="11"/>
      <c r="D3235" s="12"/>
      <c r="E3235" s="10"/>
      <c r="F3235" s="10"/>
      <c r="G3235" s="10"/>
      <c r="H3235" s="14"/>
      <c r="I3235" s="14"/>
      <c r="J3235" s="14"/>
      <c r="K3235" s="14"/>
      <c r="L3235" s="14"/>
      <c r="M3235" s="15"/>
      <c r="N3235" s="10"/>
      <c r="O3235" s="14"/>
      <c r="P3235" s="14"/>
      <c r="Q3235" s="14"/>
      <c r="R3235" s="14"/>
      <c r="S3235" s="14"/>
      <c r="T3235" s="14"/>
      <c r="U3235" s="14"/>
      <c r="V3235" s="14"/>
      <c r="W3235" s="14"/>
      <c r="X3235" s="14"/>
      <c r="Y3235" s="14"/>
      <c r="Z3235" s="14"/>
      <c r="AA3235" s="16"/>
      <c r="AB3235" s="10"/>
      <c r="AC3235" s="10"/>
      <c r="AD3235" s="10"/>
      <c r="AE3235" s="10"/>
      <c r="AF3235" s="10"/>
      <c r="AG3235" s="10"/>
      <c r="AH3235" s="10"/>
      <c r="AI3235" s="10"/>
      <c r="AJ3235" s="10"/>
      <c r="AK3235" s="10"/>
      <c r="AL3235" s="10"/>
      <c r="AM3235" s="10"/>
      <c r="AN3235" s="10"/>
      <c r="AO3235" s="10"/>
      <c r="AP3235" s="10"/>
      <c r="AQ3235" s="10"/>
      <c r="AR3235" s="10"/>
      <c r="AS3235" s="10"/>
      <c r="AT3235" s="10"/>
      <c r="AU3235" s="10"/>
      <c r="AV3235" s="10"/>
      <c r="AW3235" s="10"/>
      <c r="AX3235" s="10"/>
      <c r="AY3235" s="10"/>
      <c r="AZ3235" s="10"/>
      <c r="BA3235" s="10"/>
      <c r="BB3235" s="10"/>
      <c r="BC3235" s="10"/>
      <c r="BD3235" s="10"/>
      <c r="BE3235" s="10"/>
      <c r="BF3235" s="10"/>
      <c r="BG3235" s="10"/>
      <c r="BH3235" s="10"/>
      <c r="BI3235" s="10"/>
      <c r="BJ3235" s="10"/>
      <c r="BK3235" s="10"/>
      <c r="BM3235" s="10"/>
    </row>
    <row r="3236" spans="1:65" ht="12.75">
      <c r="A3236" s="9"/>
      <c r="B3236" s="10"/>
      <c r="C3236" s="11"/>
      <c r="D3236" s="12"/>
      <c r="E3236" s="10"/>
      <c r="F3236" s="10"/>
      <c r="G3236" s="10"/>
      <c r="H3236" s="14"/>
      <c r="I3236" s="14"/>
      <c r="J3236" s="14"/>
      <c r="K3236" s="14"/>
      <c r="L3236" s="14"/>
      <c r="M3236" s="15"/>
      <c r="N3236" s="10"/>
      <c r="O3236" s="14"/>
      <c r="P3236" s="14"/>
      <c r="Q3236" s="14"/>
      <c r="R3236" s="14"/>
      <c r="S3236" s="14"/>
      <c r="T3236" s="14"/>
      <c r="U3236" s="14"/>
      <c r="V3236" s="14"/>
      <c r="W3236" s="14"/>
      <c r="X3236" s="14"/>
      <c r="Y3236" s="14"/>
      <c r="Z3236" s="14"/>
      <c r="AA3236" s="16"/>
      <c r="AB3236" s="10"/>
      <c r="AC3236" s="10"/>
      <c r="AD3236" s="10"/>
      <c r="AE3236" s="10"/>
      <c r="AF3236" s="10"/>
      <c r="AG3236" s="10"/>
      <c r="AH3236" s="10"/>
      <c r="AI3236" s="10"/>
      <c r="AJ3236" s="10"/>
      <c r="AK3236" s="10"/>
      <c r="AL3236" s="10"/>
      <c r="AM3236" s="10"/>
      <c r="AN3236" s="10"/>
      <c r="AO3236" s="10"/>
      <c r="AP3236" s="10"/>
      <c r="AQ3236" s="10"/>
      <c r="AR3236" s="10"/>
      <c r="AS3236" s="10"/>
      <c r="AT3236" s="10"/>
      <c r="AU3236" s="10"/>
      <c r="AV3236" s="10"/>
      <c r="AW3236" s="10"/>
      <c r="AX3236" s="10"/>
      <c r="AY3236" s="10"/>
      <c r="AZ3236" s="10"/>
      <c r="BA3236" s="10"/>
      <c r="BB3236" s="10"/>
      <c r="BC3236" s="10"/>
      <c r="BD3236" s="10"/>
      <c r="BE3236" s="10"/>
      <c r="BF3236" s="10"/>
      <c r="BG3236" s="10"/>
      <c r="BH3236" s="10"/>
      <c r="BI3236" s="10"/>
      <c r="BJ3236" s="10"/>
      <c r="BK3236" s="10"/>
      <c r="BM3236" s="10"/>
    </row>
    <row r="3237" spans="1:65" ht="12.75">
      <c r="A3237" s="9"/>
      <c r="B3237" s="10"/>
      <c r="C3237" s="11"/>
      <c r="D3237" s="12"/>
      <c r="E3237" s="10"/>
      <c r="F3237" s="10"/>
      <c r="G3237" s="10"/>
      <c r="H3237" s="14"/>
      <c r="I3237" s="14"/>
      <c r="J3237" s="14"/>
      <c r="K3237" s="14"/>
      <c r="L3237" s="14"/>
      <c r="M3237" s="15"/>
      <c r="N3237" s="10"/>
      <c r="O3237" s="14"/>
      <c r="P3237" s="14"/>
      <c r="Q3237" s="14"/>
      <c r="R3237" s="14"/>
      <c r="S3237" s="14"/>
      <c r="T3237" s="14"/>
      <c r="U3237" s="14"/>
      <c r="V3237" s="14"/>
      <c r="W3237" s="14"/>
      <c r="X3237" s="14"/>
      <c r="Y3237" s="14"/>
      <c r="Z3237" s="14"/>
      <c r="AA3237" s="16"/>
      <c r="AB3237" s="10"/>
      <c r="AC3237" s="10"/>
      <c r="AD3237" s="10"/>
      <c r="AE3237" s="10"/>
      <c r="AF3237" s="10"/>
      <c r="AG3237" s="10"/>
      <c r="AH3237" s="10"/>
      <c r="AI3237" s="10"/>
      <c r="AJ3237" s="10"/>
      <c r="AK3237" s="10"/>
      <c r="AL3237" s="10"/>
      <c r="AM3237" s="10"/>
      <c r="AN3237" s="10"/>
      <c r="AO3237" s="10"/>
      <c r="AP3237" s="10"/>
      <c r="AQ3237" s="10"/>
      <c r="AR3237" s="10"/>
      <c r="AS3237" s="10"/>
      <c r="AT3237" s="10"/>
      <c r="AU3237" s="10"/>
      <c r="AV3237" s="10"/>
      <c r="AW3237" s="10"/>
      <c r="AX3237" s="10"/>
      <c r="AY3237" s="10"/>
      <c r="AZ3237" s="10"/>
      <c r="BA3237" s="10"/>
      <c r="BB3237" s="10"/>
      <c r="BC3237" s="10"/>
      <c r="BD3237" s="10"/>
      <c r="BE3237" s="10"/>
      <c r="BF3237" s="10"/>
      <c r="BG3237" s="10"/>
      <c r="BH3237" s="10"/>
      <c r="BI3237" s="10"/>
      <c r="BJ3237" s="10"/>
      <c r="BK3237" s="10"/>
      <c r="BM3237" s="10"/>
    </row>
    <row r="3238" spans="1:65" ht="12.75">
      <c r="A3238" s="9"/>
      <c r="B3238" s="10"/>
      <c r="C3238" s="11"/>
      <c r="D3238" s="12"/>
      <c r="E3238" s="10"/>
      <c r="F3238" s="10"/>
      <c r="G3238" s="10"/>
      <c r="H3238" s="14"/>
      <c r="I3238" s="14"/>
      <c r="J3238" s="14"/>
      <c r="K3238" s="14"/>
      <c r="L3238" s="14"/>
      <c r="M3238" s="15"/>
      <c r="N3238" s="10"/>
      <c r="O3238" s="14"/>
      <c r="P3238" s="14"/>
      <c r="Q3238" s="14"/>
      <c r="R3238" s="14"/>
      <c r="S3238" s="14"/>
      <c r="T3238" s="14"/>
      <c r="U3238" s="14"/>
      <c r="V3238" s="14"/>
      <c r="W3238" s="14"/>
      <c r="X3238" s="14"/>
      <c r="Y3238" s="14"/>
      <c r="Z3238" s="14"/>
      <c r="AA3238" s="16"/>
      <c r="AB3238" s="10"/>
      <c r="AC3238" s="10"/>
      <c r="AD3238" s="10"/>
      <c r="AE3238" s="10"/>
      <c r="AF3238" s="10"/>
      <c r="AG3238" s="10"/>
      <c r="AH3238" s="10"/>
      <c r="AI3238" s="10"/>
      <c r="AJ3238" s="10"/>
      <c r="AK3238" s="10"/>
      <c r="AL3238" s="10"/>
      <c r="AM3238" s="10"/>
      <c r="AN3238" s="10"/>
      <c r="AO3238" s="10"/>
      <c r="AP3238" s="10"/>
      <c r="AQ3238" s="10"/>
      <c r="AR3238" s="10"/>
      <c r="AS3238" s="10"/>
      <c r="AT3238" s="10"/>
      <c r="AU3238" s="10"/>
      <c r="AV3238" s="10"/>
      <c r="AW3238" s="10"/>
      <c r="AX3238" s="10"/>
      <c r="AY3238" s="10"/>
      <c r="AZ3238" s="10"/>
      <c r="BA3238" s="10"/>
      <c r="BB3238" s="10"/>
      <c r="BC3238" s="10"/>
      <c r="BD3238" s="10"/>
      <c r="BE3238" s="10"/>
      <c r="BF3238" s="10"/>
      <c r="BG3238" s="10"/>
      <c r="BH3238" s="10"/>
      <c r="BI3238" s="10"/>
      <c r="BJ3238" s="10"/>
      <c r="BK3238" s="10"/>
      <c r="BM3238" s="10"/>
    </row>
    <row r="3239" spans="1:65" ht="12.75">
      <c r="A3239" s="9"/>
      <c r="B3239" s="10"/>
      <c r="C3239" s="11"/>
      <c r="D3239" s="12"/>
      <c r="E3239" s="10"/>
      <c r="F3239" s="10"/>
      <c r="G3239" s="10"/>
      <c r="H3239" s="14"/>
      <c r="I3239" s="14"/>
      <c r="J3239" s="14"/>
      <c r="K3239" s="14"/>
      <c r="L3239" s="14"/>
      <c r="M3239" s="15"/>
      <c r="N3239" s="10"/>
      <c r="O3239" s="14"/>
      <c r="P3239" s="14"/>
      <c r="Q3239" s="14"/>
      <c r="R3239" s="14"/>
      <c r="S3239" s="14"/>
      <c r="T3239" s="14"/>
      <c r="U3239" s="14"/>
      <c r="V3239" s="14"/>
      <c r="W3239" s="14"/>
      <c r="X3239" s="14"/>
      <c r="Y3239" s="14"/>
      <c r="Z3239" s="14"/>
      <c r="AA3239" s="16"/>
      <c r="AB3239" s="10"/>
      <c r="AC3239" s="10"/>
      <c r="AD3239" s="10"/>
      <c r="AE3239" s="10"/>
      <c r="AF3239" s="10"/>
      <c r="AG3239" s="10"/>
      <c r="AH3239" s="10"/>
      <c r="AI3239" s="10"/>
      <c r="AJ3239" s="10"/>
      <c r="AK3239" s="10"/>
      <c r="AL3239" s="10"/>
      <c r="AM3239" s="10"/>
      <c r="AN3239" s="10"/>
      <c r="AO3239" s="10"/>
      <c r="AP3239" s="10"/>
      <c r="AQ3239" s="10"/>
      <c r="AR3239" s="10"/>
      <c r="AS3239" s="10"/>
      <c r="AT3239" s="10"/>
      <c r="AU3239" s="10"/>
      <c r="AV3239" s="10"/>
      <c r="AW3239" s="10"/>
      <c r="AX3239" s="10"/>
      <c r="AY3239" s="10"/>
      <c r="AZ3239" s="10"/>
      <c r="BA3239" s="10"/>
      <c r="BB3239" s="10"/>
      <c r="BC3239" s="10"/>
      <c r="BD3239" s="10"/>
      <c r="BE3239" s="10"/>
      <c r="BF3239" s="10"/>
      <c r="BG3239" s="10"/>
      <c r="BH3239" s="10"/>
      <c r="BI3239" s="10"/>
      <c r="BJ3239" s="10"/>
      <c r="BK3239" s="10"/>
      <c r="BM3239" s="10"/>
    </row>
    <row r="3240" spans="1:65" ht="12.75">
      <c r="A3240" s="9"/>
      <c r="B3240" s="10"/>
      <c r="C3240" s="11"/>
      <c r="D3240" s="12"/>
      <c r="E3240" s="10"/>
      <c r="F3240" s="10"/>
      <c r="G3240" s="10"/>
      <c r="H3240" s="14"/>
      <c r="I3240" s="14"/>
      <c r="J3240" s="14"/>
      <c r="K3240" s="14"/>
      <c r="L3240" s="14"/>
      <c r="M3240" s="15"/>
      <c r="N3240" s="10"/>
      <c r="O3240" s="14"/>
      <c r="P3240" s="14"/>
      <c r="Q3240" s="14"/>
      <c r="R3240" s="14"/>
      <c r="S3240" s="14"/>
      <c r="T3240" s="14"/>
      <c r="U3240" s="14"/>
      <c r="V3240" s="14"/>
      <c r="W3240" s="14"/>
      <c r="X3240" s="14"/>
      <c r="Y3240" s="14"/>
      <c r="Z3240" s="14"/>
      <c r="AA3240" s="16"/>
      <c r="AB3240" s="10"/>
      <c r="AC3240" s="10"/>
      <c r="AD3240" s="10"/>
      <c r="AE3240" s="10"/>
      <c r="AF3240" s="10"/>
      <c r="AG3240" s="10"/>
      <c r="AH3240" s="10"/>
      <c r="AI3240" s="10"/>
      <c r="AJ3240" s="10"/>
      <c r="AK3240" s="10"/>
      <c r="AL3240" s="10"/>
      <c r="AM3240" s="10"/>
      <c r="AN3240" s="10"/>
      <c r="AO3240" s="10"/>
      <c r="AP3240" s="10"/>
      <c r="AQ3240" s="10"/>
      <c r="AR3240" s="10"/>
      <c r="AS3240" s="10"/>
      <c r="AT3240" s="10"/>
      <c r="AU3240" s="10"/>
      <c r="AV3240" s="10"/>
      <c r="AW3240" s="10"/>
      <c r="AX3240" s="10"/>
      <c r="AY3240" s="10"/>
      <c r="AZ3240" s="10"/>
      <c r="BA3240" s="10"/>
      <c r="BB3240" s="10"/>
      <c r="BC3240" s="10"/>
      <c r="BD3240" s="10"/>
      <c r="BE3240" s="10"/>
      <c r="BF3240" s="10"/>
      <c r="BG3240" s="10"/>
      <c r="BH3240" s="10"/>
      <c r="BI3240" s="10"/>
      <c r="BJ3240" s="10"/>
      <c r="BK3240" s="10"/>
      <c r="BM3240" s="10"/>
    </row>
    <row r="3241" spans="1:65" ht="12.75">
      <c r="A3241" s="9"/>
      <c r="B3241" s="10"/>
      <c r="C3241" s="11"/>
      <c r="D3241" s="12"/>
      <c r="E3241" s="10"/>
      <c r="F3241" s="10"/>
      <c r="G3241" s="10"/>
      <c r="H3241" s="14"/>
      <c r="I3241" s="14"/>
      <c r="J3241" s="14"/>
      <c r="K3241" s="14"/>
      <c r="L3241" s="14"/>
      <c r="M3241" s="15"/>
      <c r="N3241" s="10"/>
      <c r="O3241" s="14"/>
      <c r="P3241" s="14"/>
      <c r="Q3241" s="14"/>
      <c r="R3241" s="14"/>
      <c r="S3241" s="14"/>
      <c r="T3241" s="14"/>
      <c r="U3241" s="14"/>
      <c r="V3241" s="14"/>
      <c r="W3241" s="14"/>
      <c r="X3241" s="14"/>
      <c r="Y3241" s="14"/>
      <c r="Z3241" s="14"/>
      <c r="AA3241" s="16"/>
      <c r="AB3241" s="10"/>
      <c r="AC3241" s="10"/>
      <c r="AD3241" s="10"/>
      <c r="AE3241" s="10"/>
      <c r="AF3241" s="10"/>
      <c r="AG3241" s="10"/>
      <c r="AH3241" s="10"/>
      <c r="AI3241" s="10"/>
      <c r="AJ3241" s="10"/>
      <c r="AK3241" s="10"/>
      <c r="AL3241" s="10"/>
      <c r="AM3241" s="10"/>
      <c r="AN3241" s="10"/>
      <c r="AO3241" s="10"/>
      <c r="AP3241" s="10"/>
      <c r="AQ3241" s="10"/>
      <c r="AR3241" s="10"/>
      <c r="AS3241" s="10"/>
      <c r="AT3241" s="10"/>
      <c r="AU3241" s="10"/>
      <c r="AV3241" s="10"/>
      <c r="AW3241" s="10"/>
      <c r="AX3241" s="10"/>
      <c r="AY3241" s="10"/>
      <c r="AZ3241" s="10"/>
      <c r="BA3241" s="10"/>
      <c r="BB3241" s="10"/>
      <c r="BC3241" s="10"/>
      <c r="BD3241" s="10"/>
      <c r="BE3241" s="10"/>
      <c r="BF3241" s="10"/>
      <c r="BG3241" s="10"/>
      <c r="BH3241" s="10"/>
      <c r="BI3241" s="10"/>
      <c r="BJ3241" s="10"/>
      <c r="BK3241" s="10"/>
      <c r="BM3241" s="10"/>
    </row>
    <row r="3242" spans="1:65" ht="12.75">
      <c r="A3242" s="9"/>
      <c r="B3242" s="10"/>
      <c r="C3242" s="11"/>
      <c r="D3242" s="12"/>
      <c r="E3242" s="10"/>
      <c r="F3242" s="10"/>
      <c r="G3242" s="10"/>
      <c r="H3242" s="14"/>
      <c r="I3242" s="14"/>
      <c r="J3242" s="14"/>
      <c r="K3242" s="14"/>
      <c r="L3242" s="14"/>
      <c r="M3242" s="15"/>
      <c r="N3242" s="10"/>
      <c r="O3242" s="14"/>
      <c r="P3242" s="14"/>
      <c r="Q3242" s="14"/>
      <c r="R3242" s="14"/>
      <c r="S3242" s="14"/>
      <c r="T3242" s="14"/>
      <c r="U3242" s="14"/>
      <c r="V3242" s="14"/>
      <c r="W3242" s="14"/>
      <c r="X3242" s="14"/>
      <c r="Y3242" s="14"/>
      <c r="Z3242" s="14"/>
      <c r="AA3242" s="16"/>
      <c r="AB3242" s="10"/>
      <c r="AC3242" s="10"/>
      <c r="AD3242" s="10"/>
      <c r="AE3242" s="10"/>
      <c r="AF3242" s="10"/>
      <c r="AG3242" s="10"/>
      <c r="AH3242" s="10"/>
      <c r="AI3242" s="10"/>
      <c r="AJ3242" s="10"/>
      <c r="AK3242" s="10"/>
      <c r="AL3242" s="10"/>
      <c r="AM3242" s="10"/>
      <c r="AN3242" s="10"/>
      <c r="AO3242" s="10"/>
      <c r="AP3242" s="10"/>
      <c r="AQ3242" s="10"/>
      <c r="AR3242" s="10"/>
      <c r="AS3242" s="10"/>
      <c r="AT3242" s="10"/>
      <c r="AU3242" s="10"/>
      <c r="AV3242" s="10"/>
      <c r="AW3242" s="10"/>
      <c r="AX3242" s="10"/>
      <c r="AY3242" s="10"/>
      <c r="AZ3242" s="10"/>
      <c r="BA3242" s="10"/>
      <c r="BB3242" s="10"/>
      <c r="BC3242" s="10"/>
      <c r="BD3242" s="10"/>
      <c r="BE3242" s="10"/>
      <c r="BF3242" s="10"/>
      <c r="BG3242" s="10"/>
      <c r="BH3242" s="10"/>
      <c r="BI3242" s="10"/>
      <c r="BJ3242" s="10"/>
      <c r="BK3242" s="10"/>
      <c r="BM3242" s="10"/>
    </row>
    <row r="3243" spans="1:65" ht="12.75">
      <c r="A3243" s="9"/>
      <c r="B3243" s="10"/>
      <c r="C3243" s="11"/>
      <c r="D3243" s="12"/>
      <c r="E3243" s="10"/>
      <c r="F3243" s="10"/>
      <c r="G3243" s="10"/>
      <c r="H3243" s="14"/>
      <c r="I3243" s="14"/>
      <c r="J3243" s="14"/>
      <c r="K3243" s="14"/>
      <c r="L3243" s="14"/>
      <c r="M3243" s="15"/>
      <c r="N3243" s="10"/>
      <c r="O3243" s="14"/>
      <c r="P3243" s="14"/>
      <c r="Q3243" s="14"/>
      <c r="R3243" s="14"/>
      <c r="S3243" s="14"/>
      <c r="T3243" s="14"/>
      <c r="U3243" s="14"/>
      <c r="V3243" s="14"/>
      <c r="W3243" s="14"/>
      <c r="X3243" s="14"/>
      <c r="Y3243" s="14"/>
      <c r="Z3243" s="14"/>
      <c r="AA3243" s="16"/>
      <c r="AB3243" s="10"/>
      <c r="AC3243" s="10"/>
      <c r="AD3243" s="10"/>
      <c r="AE3243" s="10"/>
      <c r="AF3243" s="10"/>
      <c r="AG3243" s="10"/>
      <c r="AH3243" s="10"/>
      <c r="AI3243" s="10"/>
      <c r="AJ3243" s="10"/>
      <c r="AK3243" s="10"/>
      <c r="AL3243" s="10"/>
      <c r="AM3243" s="10"/>
      <c r="AN3243" s="10"/>
      <c r="AO3243" s="10"/>
      <c r="AP3243" s="10"/>
      <c r="AQ3243" s="10"/>
      <c r="AR3243" s="10"/>
      <c r="AS3243" s="10"/>
      <c r="AT3243" s="10"/>
      <c r="AU3243" s="10"/>
      <c r="AV3243" s="10"/>
      <c r="AW3243" s="10"/>
      <c r="AX3243" s="10"/>
      <c r="AY3243" s="10"/>
      <c r="AZ3243" s="10"/>
      <c r="BA3243" s="10"/>
      <c r="BB3243" s="10"/>
      <c r="BC3243" s="10"/>
      <c r="BD3243" s="10"/>
      <c r="BE3243" s="10"/>
      <c r="BF3243" s="10"/>
      <c r="BG3243" s="10"/>
      <c r="BH3243" s="10"/>
      <c r="BI3243" s="10"/>
      <c r="BJ3243" s="10"/>
      <c r="BK3243" s="10"/>
      <c r="BM3243" s="10"/>
    </row>
    <row r="3244" spans="1:65" ht="12.75">
      <c r="A3244" s="9"/>
      <c r="B3244" s="10"/>
      <c r="C3244" s="11"/>
      <c r="D3244" s="12"/>
      <c r="E3244" s="10"/>
      <c r="F3244" s="10"/>
      <c r="G3244" s="10"/>
      <c r="H3244" s="14"/>
      <c r="I3244" s="14"/>
      <c r="J3244" s="14"/>
      <c r="K3244" s="14"/>
      <c r="L3244" s="14"/>
      <c r="M3244" s="15"/>
      <c r="N3244" s="10"/>
      <c r="O3244" s="14"/>
      <c r="P3244" s="14"/>
      <c r="Q3244" s="14"/>
      <c r="R3244" s="14"/>
      <c r="S3244" s="14"/>
      <c r="T3244" s="14"/>
      <c r="U3244" s="14"/>
      <c r="V3244" s="14"/>
      <c r="W3244" s="14"/>
      <c r="X3244" s="14"/>
      <c r="Y3244" s="14"/>
      <c r="Z3244" s="14"/>
      <c r="AA3244" s="16"/>
      <c r="AB3244" s="10"/>
      <c r="AC3244" s="10"/>
      <c r="AD3244" s="10"/>
      <c r="AE3244" s="10"/>
      <c r="AF3244" s="10"/>
      <c r="AG3244" s="10"/>
      <c r="AH3244" s="10"/>
      <c r="AI3244" s="10"/>
      <c r="AJ3244" s="10"/>
      <c r="AK3244" s="10"/>
      <c r="AL3244" s="10"/>
      <c r="AM3244" s="10"/>
      <c r="AN3244" s="10"/>
      <c r="AO3244" s="10"/>
      <c r="AP3244" s="10"/>
      <c r="AQ3244" s="10"/>
      <c r="AR3244" s="10"/>
      <c r="AS3244" s="10"/>
      <c r="AT3244" s="10"/>
      <c r="AU3244" s="10"/>
      <c r="AV3244" s="10"/>
      <c r="AW3244" s="10"/>
      <c r="AX3244" s="10"/>
      <c r="AY3244" s="10"/>
      <c r="AZ3244" s="10"/>
      <c r="BA3244" s="10"/>
      <c r="BB3244" s="10"/>
      <c r="BC3244" s="10"/>
      <c r="BD3244" s="10"/>
      <c r="BE3244" s="10"/>
      <c r="BF3244" s="10"/>
      <c r="BG3244" s="10"/>
      <c r="BH3244" s="10"/>
      <c r="BI3244" s="10"/>
      <c r="BJ3244" s="10"/>
      <c r="BK3244" s="10"/>
      <c r="BM3244" s="10"/>
    </row>
    <row r="3245" spans="1:65" ht="12.75">
      <c r="A3245" s="9"/>
      <c r="B3245" s="10"/>
      <c r="C3245" s="11"/>
      <c r="D3245" s="12"/>
      <c r="E3245" s="10"/>
      <c r="F3245" s="10"/>
      <c r="G3245" s="10"/>
      <c r="H3245" s="14"/>
      <c r="I3245" s="14"/>
      <c r="J3245" s="14"/>
      <c r="K3245" s="14"/>
      <c r="L3245" s="14"/>
      <c r="M3245" s="15"/>
      <c r="N3245" s="10"/>
      <c r="O3245" s="14"/>
      <c r="P3245" s="14"/>
      <c r="Q3245" s="14"/>
      <c r="R3245" s="14"/>
      <c r="S3245" s="14"/>
      <c r="T3245" s="14"/>
      <c r="U3245" s="14"/>
      <c r="V3245" s="14"/>
      <c r="W3245" s="14"/>
      <c r="X3245" s="14"/>
      <c r="Y3245" s="14"/>
      <c r="Z3245" s="14"/>
      <c r="AA3245" s="16"/>
      <c r="AB3245" s="10"/>
      <c r="AC3245" s="10"/>
      <c r="AD3245" s="10"/>
      <c r="AE3245" s="10"/>
      <c r="AF3245" s="10"/>
      <c r="AG3245" s="10"/>
      <c r="AH3245" s="10"/>
      <c r="AI3245" s="10"/>
      <c r="AJ3245" s="10"/>
      <c r="AK3245" s="10"/>
      <c r="AL3245" s="10"/>
      <c r="AM3245" s="10"/>
      <c r="AN3245" s="10"/>
      <c r="AO3245" s="10"/>
      <c r="AP3245" s="10"/>
      <c r="AQ3245" s="10"/>
      <c r="AR3245" s="10"/>
      <c r="AS3245" s="10"/>
      <c r="AT3245" s="10"/>
      <c r="AU3245" s="10"/>
      <c r="AV3245" s="10"/>
      <c r="AW3245" s="10"/>
      <c r="AX3245" s="10"/>
      <c r="AY3245" s="10"/>
      <c r="AZ3245" s="10"/>
      <c r="BA3245" s="10"/>
      <c r="BB3245" s="10"/>
      <c r="BC3245" s="10"/>
      <c r="BD3245" s="10"/>
      <c r="BE3245" s="10"/>
      <c r="BF3245" s="10"/>
      <c r="BG3245" s="10"/>
      <c r="BH3245" s="10"/>
      <c r="BI3245" s="10"/>
      <c r="BJ3245" s="10"/>
      <c r="BK3245" s="10"/>
      <c r="BM3245" s="10"/>
    </row>
    <row r="3246" spans="1:65" ht="12.75">
      <c r="A3246" s="9"/>
      <c r="B3246" s="10"/>
      <c r="C3246" s="11"/>
      <c r="D3246" s="12"/>
      <c r="E3246" s="10"/>
      <c r="F3246" s="10"/>
      <c r="G3246" s="10"/>
      <c r="H3246" s="14"/>
      <c r="I3246" s="14"/>
      <c r="J3246" s="14"/>
      <c r="K3246" s="14"/>
      <c r="L3246" s="14"/>
      <c r="M3246" s="15"/>
      <c r="N3246" s="10"/>
      <c r="O3246" s="14"/>
      <c r="P3246" s="14"/>
      <c r="Q3246" s="14"/>
      <c r="R3246" s="14"/>
      <c r="S3246" s="14"/>
      <c r="T3246" s="14"/>
      <c r="U3246" s="14"/>
      <c r="V3246" s="14"/>
      <c r="W3246" s="14"/>
      <c r="X3246" s="14"/>
      <c r="Y3246" s="14"/>
      <c r="Z3246" s="14"/>
      <c r="AA3246" s="16"/>
      <c r="AB3246" s="10"/>
      <c r="AC3246" s="10"/>
      <c r="AD3246" s="10"/>
      <c r="AE3246" s="10"/>
      <c r="AF3246" s="10"/>
      <c r="AG3246" s="10"/>
      <c r="AH3246" s="10"/>
      <c r="AI3246" s="10"/>
      <c r="AJ3246" s="10"/>
      <c r="AK3246" s="10"/>
      <c r="AL3246" s="10"/>
      <c r="AM3246" s="10"/>
      <c r="AN3246" s="10"/>
      <c r="AO3246" s="10"/>
      <c r="AP3246" s="10"/>
      <c r="AQ3246" s="10"/>
      <c r="AR3246" s="10"/>
      <c r="AS3246" s="10"/>
      <c r="AT3246" s="10"/>
      <c r="AU3246" s="10"/>
      <c r="AV3246" s="10"/>
      <c r="AW3246" s="10"/>
      <c r="AX3246" s="10"/>
      <c r="AY3246" s="10"/>
      <c r="AZ3246" s="10"/>
      <c r="BA3246" s="10"/>
      <c r="BB3246" s="10"/>
      <c r="BC3246" s="10"/>
      <c r="BD3246" s="10"/>
      <c r="BE3246" s="10"/>
      <c r="BF3246" s="10"/>
      <c r="BG3246" s="10"/>
      <c r="BH3246" s="10"/>
      <c r="BI3246" s="10"/>
      <c r="BJ3246" s="10"/>
      <c r="BK3246" s="10"/>
      <c r="BM3246" s="10"/>
    </row>
    <row r="3247" spans="1:65" ht="12.75">
      <c r="A3247" s="9"/>
      <c r="B3247" s="10"/>
      <c r="C3247" s="11"/>
      <c r="D3247" s="12"/>
      <c r="E3247" s="10"/>
      <c r="F3247" s="10"/>
      <c r="G3247" s="10"/>
      <c r="H3247" s="14"/>
      <c r="I3247" s="14"/>
      <c r="J3247" s="14"/>
      <c r="K3247" s="14"/>
      <c r="L3247" s="14"/>
      <c r="M3247" s="15"/>
      <c r="N3247" s="10"/>
      <c r="O3247" s="14"/>
      <c r="P3247" s="14"/>
      <c r="Q3247" s="14"/>
      <c r="R3247" s="14"/>
      <c r="S3247" s="14"/>
      <c r="T3247" s="14"/>
      <c r="U3247" s="14"/>
      <c r="V3247" s="14"/>
      <c r="W3247" s="14"/>
      <c r="X3247" s="14"/>
      <c r="Y3247" s="14"/>
      <c r="Z3247" s="14"/>
      <c r="AA3247" s="16"/>
      <c r="AB3247" s="10"/>
      <c r="AC3247" s="10"/>
      <c r="AD3247" s="10"/>
      <c r="AE3247" s="10"/>
      <c r="AF3247" s="10"/>
      <c r="AG3247" s="10"/>
      <c r="AH3247" s="10"/>
      <c r="AI3247" s="10"/>
      <c r="AJ3247" s="10"/>
      <c r="AK3247" s="10"/>
      <c r="AL3247" s="10"/>
      <c r="AM3247" s="10"/>
      <c r="AN3247" s="10"/>
      <c r="AO3247" s="10"/>
      <c r="AP3247" s="10"/>
      <c r="AQ3247" s="10"/>
      <c r="AR3247" s="10"/>
      <c r="AS3247" s="10"/>
      <c r="AT3247" s="10"/>
      <c r="AU3247" s="10"/>
      <c r="AV3247" s="10"/>
      <c r="AW3247" s="10"/>
      <c r="AX3247" s="10"/>
      <c r="AY3247" s="10"/>
      <c r="AZ3247" s="10"/>
      <c r="BA3247" s="10"/>
      <c r="BB3247" s="10"/>
      <c r="BC3247" s="10"/>
      <c r="BD3247" s="10"/>
      <c r="BE3247" s="10"/>
      <c r="BF3247" s="10"/>
      <c r="BG3247" s="10"/>
      <c r="BH3247" s="10"/>
      <c r="BI3247" s="10"/>
      <c r="BJ3247" s="10"/>
      <c r="BK3247" s="10"/>
      <c r="BM3247" s="10"/>
    </row>
    <row r="3248" spans="1:65" ht="12.75">
      <c r="A3248" s="9"/>
      <c r="B3248" s="10"/>
      <c r="C3248" s="11"/>
      <c r="D3248" s="12"/>
      <c r="E3248" s="10"/>
      <c r="F3248" s="10"/>
      <c r="G3248" s="10"/>
      <c r="H3248" s="14"/>
      <c r="I3248" s="14"/>
      <c r="J3248" s="14"/>
      <c r="K3248" s="14"/>
      <c r="L3248" s="14"/>
      <c r="M3248" s="15"/>
      <c r="N3248" s="10"/>
      <c r="O3248" s="14"/>
      <c r="P3248" s="14"/>
      <c r="Q3248" s="14"/>
      <c r="R3248" s="14"/>
      <c r="S3248" s="14"/>
      <c r="T3248" s="14"/>
      <c r="U3248" s="14"/>
      <c r="V3248" s="14"/>
      <c r="W3248" s="14"/>
      <c r="X3248" s="14"/>
      <c r="Y3248" s="14"/>
      <c r="Z3248" s="14"/>
      <c r="AA3248" s="16"/>
      <c r="AB3248" s="10"/>
      <c r="AC3248" s="10"/>
      <c r="AD3248" s="10"/>
      <c r="AE3248" s="10"/>
      <c r="AF3248" s="10"/>
      <c r="AG3248" s="10"/>
      <c r="AH3248" s="10"/>
      <c r="AI3248" s="10"/>
      <c r="AJ3248" s="10"/>
      <c r="AK3248" s="10"/>
      <c r="AL3248" s="10"/>
      <c r="AM3248" s="10"/>
      <c r="AN3248" s="10"/>
      <c r="AO3248" s="10"/>
      <c r="AP3248" s="10"/>
      <c r="AQ3248" s="10"/>
      <c r="AR3248" s="10"/>
      <c r="AS3248" s="10"/>
      <c r="AT3248" s="10"/>
      <c r="AU3248" s="10"/>
      <c r="AV3248" s="10"/>
      <c r="AW3248" s="10"/>
      <c r="AX3248" s="10"/>
      <c r="AY3248" s="10"/>
      <c r="AZ3248" s="10"/>
      <c r="BA3248" s="10"/>
      <c r="BB3248" s="10"/>
      <c r="BC3248" s="10"/>
      <c r="BD3248" s="10"/>
      <c r="BE3248" s="10"/>
      <c r="BF3248" s="10"/>
      <c r="BG3248" s="10"/>
      <c r="BH3248" s="10"/>
      <c r="BI3248" s="10"/>
      <c r="BJ3248" s="10"/>
      <c r="BK3248" s="10"/>
      <c r="BM3248" s="10"/>
    </row>
    <row r="3249" spans="1:65" ht="12.75">
      <c r="A3249" s="9"/>
      <c r="B3249" s="10"/>
      <c r="C3249" s="11"/>
      <c r="D3249" s="12"/>
      <c r="E3249" s="10"/>
      <c r="F3249" s="10"/>
      <c r="G3249" s="10"/>
      <c r="H3249" s="14"/>
      <c r="I3249" s="14"/>
      <c r="J3249" s="14"/>
      <c r="K3249" s="14"/>
      <c r="L3249" s="14"/>
      <c r="M3249" s="15"/>
      <c r="N3249" s="10"/>
      <c r="O3249" s="14"/>
      <c r="P3249" s="14"/>
      <c r="Q3249" s="14"/>
      <c r="R3249" s="14"/>
      <c r="S3249" s="14"/>
      <c r="T3249" s="14"/>
      <c r="U3249" s="14"/>
      <c r="V3249" s="14"/>
      <c r="W3249" s="14"/>
      <c r="X3249" s="14"/>
      <c r="Y3249" s="14"/>
      <c r="Z3249" s="14"/>
      <c r="AA3249" s="16"/>
      <c r="AB3249" s="10"/>
      <c r="AC3249" s="10"/>
      <c r="AD3249" s="10"/>
      <c r="AE3249" s="10"/>
      <c r="AF3249" s="10"/>
      <c r="AG3249" s="10"/>
      <c r="AH3249" s="10"/>
      <c r="AI3249" s="10"/>
      <c r="AJ3249" s="10"/>
      <c r="AK3249" s="10"/>
      <c r="AL3249" s="10"/>
      <c r="AM3249" s="10"/>
      <c r="AN3249" s="10"/>
      <c r="AO3249" s="10"/>
      <c r="AP3249" s="10"/>
      <c r="AQ3249" s="10"/>
      <c r="AR3249" s="10"/>
      <c r="AS3249" s="10"/>
      <c r="AT3249" s="10"/>
      <c r="AU3249" s="10"/>
      <c r="AV3249" s="10"/>
      <c r="AW3249" s="10"/>
      <c r="AX3249" s="10"/>
      <c r="AY3249" s="10"/>
      <c r="AZ3249" s="10"/>
      <c r="BA3249" s="10"/>
      <c r="BB3249" s="10"/>
      <c r="BC3249" s="10"/>
      <c r="BD3249" s="10"/>
      <c r="BE3249" s="10"/>
      <c r="BF3249" s="10"/>
      <c r="BG3249" s="10"/>
      <c r="BH3249" s="10"/>
      <c r="BI3249" s="10"/>
      <c r="BJ3249" s="10"/>
      <c r="BK3249" s="10"/>
      <c r="BM3249" s="10"/>
    </row>
    <row r="3250" spans="1:65" ht="12.75">
      <c r="A3250" s="9"/>
      <c r="B3250" s="10"/>
      <c r="C3250" s="11"/>
      <c r="D3250" s="12"/>
      <c r="E3250" s="10"/>
      <c r="F3250" s="10"/>
      <c r="G3250" s="10"/>
      <c r="H3250" s="14"/>
      <c r="I3250" s="14"/>
      <c r="J3250" s="14"/>
      <c r="K3250" s="14"/>
      <c r="L3250" s="14"/>
      <c r="M3250" s="15"/>
      <c r="N3250" s="10"/>
      <c r="O3250" s="14"/>
      <c r="P3250" s="14"/>
      <c r="Q3250" s="14"/>
      <c r="R3250" s="14"/>
      <c r="S3250" s="14"/>
      <c r="T3250" s="14"/>
      <c r="U3250" s="14"/>
      <c r="V3250" s="14"/>
      <c r="W3250" s="14"/>
      <c r="X3250" s="14"/>
      <c r="Y3250" s="14"/>
      <c r="Z3250" s="14"/>
      <c r="AA3250" s="16"/>
      <c r="AB3250" s="10"/>
      <c r="AC3250" s="10"/>
      <c r="AD3250" s="10"/>
      <c r="AE3250" s="10"/>
      <c r="AF3250" s="10"/>
      <c r="AG3250" s="10"/>
      <c r="AH3250" s="10"/>
      <c r="AI3250" s="10"/>
      <c r="AJ3250" s="10"/>
      <c r="AK3250" s="10"/>
      <c r="AL3250" s="10"/>
      <c r="AM3250" s="10"/>
      <c r="AN3250" s="10"/>
      <c r="AO3250" s="10"/>
      <c r="AP3250" s="10"/>
      <c r="AQ3250" s="10"/>
      <c r="AR3250" s="10"/>
      <c r="AS3250" s="10"/>
      <c r="AT3250" s="10"/>
      <c r="AU3250" s="10"/>
      <c r="AV3250" s="10"/>
      <c r="AW3250" s="10"/>
      <c r="AX3250" s="10"/>
      <c r="AY3250" s="10"/>
      <c r="AZ3250" s="10"/>
      <c r="BA3250" s="10"/>
      <c r="BB3250" s="10"/>
      <c r="BC3250" s="10"/>
      <c r="BD3250" s="10"/>
      <c r="BE3250" s="10"/>
      <c r="BF3250" s="10"/>
      <c r="BG3250" s="10"/>
      <c r="BH3250" s="10"/>
      <c r="BI3250" s="10"/>
      <c r="BJ3250" s="10"/>
      <c r="BK3250" s="10"/>
      <c r="BM3250" s="10"/>
    </row>
    <row r="3251" spans="1:65" ht="12.75">
      <c r="A3251" s="9"/>
      <c r="B3251" s="10"/>
      <c r="C3251" s="11"/>
      <c r="D3251" s="12"/>
      <c r="E3251" s="10"/>
      <c r="F3251" s="10"/>
      <c r="G3251" s="10"/>
      <c r="H3251" s="14"/>
      <c r="I3251" s="14"/>
      <c r="J3251" s="14"/>
      <c r="K3251" s="14"/>
      <c r="L3251" s="14"/>
      <c r="M3251" s="15"/>
      <c r="N3251" s="10"/>
      <c r="O3251" s="14"/>
      <c r="P3251" s="14"/>
      <c r="Q3251" s="14"/>
      <c r="R3251" s="14"/>
      <c r="S3251" s="14"/>
      <c r="T3251" s="14"/>
      <c r="U3251" s="14"/>
      <c r="V3251" s="14"/>
      <c r="W3251" s="14"/>
      <c r="X3251" s="14"/>
      <c r="Y3251" s="14"/>
      <c r="Z3251" s="14"/>
      <c r="AA3251" s="16"/>
      <c r="AB3251" s="10"/>
      <c r="AC3251" s="10"/>
      <c r="AD3251" s="10"/>
      <c r="AE3251" s="10"/>
      <c r="AF3251" s="10"/>
      <c r="AG3251" s="10"/>
      <c r="AH3251" s="10"/>
      <c r="AI3251" s="10"/>
      <c r="AJ3251" s="10"/>
      <c r="AK3251" s="10"/>
      <c r="AL3251" s="10"/>
      <c r="AM3251" s="10"/>
      <c r="AN3251" s="10"/>
      <c r="AO3251" s="10"/>
      <c r="AP3251" s="10"/>
      <c r="AQ3251" s="10"/>
      <c r="AR3251" s="10"/>
      <c r="AS3251" s="10"/>
      <c r="AT3251" s="10"/>
      <c r="AU3251" s="10"/>
      <c r="AV3251" s="10"/>
      <c r="AW3251" s="10"/>
      <c r="AX3251" s="10"/>
      <c r="AY3251" s="10"/>
      <c r="AZ3251" s="10"/>
      <c r="BA3251" s="10"/>
      <c r="BB3251" s="10"/>
      <c r="BC3251" s="10"/>
      <c r="BD3251" s="10"/>
      <c r="BE3251" s="10"/>
      <c r="BF3251" s="10"/>
      <c r="BG3251" s="10"/>
      <c r="BH3251" s="10"/>
      <c r="BI3251" s="10"/>
      <c r="BJ3251" s="10"/>
      <c r="BK3251" s="10"/>
      <c r="BM3251" s="10"/>
    </row>
    <row r="3252" spans="1:65" ht="12.75">
      <c r="A3252" s="9"/>
      <c r="B3252" s="10"/>
      <c r="C3252" s="11"/>
      <c r="D3252" s="12"/>
      <c r="E3252" s="10"/>
      <c r="F3252" s="10"/>
      <c r="G3252" s="10"/>
      <c r="H3252" s="14"/>
      <c r="I3252" s="14"/>
      <c r="J3252" s="14"/>
      <c r="K3252" s="14"/>
      <c r="L3252" s="14"/>
      <c r="M3252" s="15"/>
      <c r="N3252" s="10"/>
      <c r="O3252" s="14"/>
      <c r="P3252" s="14"/>
      <c r="Q3252" s="14"/>
      <c r="R3252" s="14"/>
      <c r="S3252" s="14"/>
      <c r="T3252" s="14"/>
      <c r="U3252" s="14"/>
      <c r="V3252" s="14"/>
      <c r="W3252" s="14"/>
      <c r="X3252" s="14"/>
      <c r="Y3252" s="14"/>
      <c r="Z3252" s="14"/>
      <c r="AA3252" s="16"/>
      <c r="AB3252" s="10"/>
      <c r="AC3252" s="10"/>
      <c r="AD3252" s="10"/>
      <c r="AE3252" s="10"/>
      <c r="AF3252" s="10"/>
      <c r="AG3252" s="10"/>
      <c r="AH3252" s="10"/>
      <c r="AI3252" s="10"/>
      <c r="AJ3252" s="10"/>
      <c r="AK3252" s="10"/>
      <c r="AL3252" s="10"/>
      <c r="AM3252" s="10"/>
      <c r="AN3252" s="10"/>
      <c r="AO3252" s="10"/>
      <c r="AP3252" s="10"/>
      <c r="AQ3252" s="10"/>
      <c r="AR3252" s="10"/>
      <c r="AS3252" s="10"/>
      <c r="AT3252" s="10"/>
      <c r="AU3252" s="10"/>
      <c r="AV3252" s="10"/>
      <c r="AW3252" s="10"/>
      <c r="AX3252" s="10"/>
      <c r="AY3252" s="10"/>
      <c r="AZ3252" s="10"/>
      <c r="BA3252" s="10"/>
      <c r="BB3252" s="10"/>
      <c r="BC3252" s="10"/>
      <c r="BD3252" s="10"/>
      <c r="BE3252" s="10"/>
      <c r="BF3252" s="10"/>
      <c r="BG3252" s="10"/>
      <c r="BH3252" s="10"/>
      <c r="BI3252" s="10"/>
      <c r="BJ3252" s="10"/>
      <c r="BK3252" s="10"/>
      <c r="BM3252" s="10"/>
    </row>
    <row r="3253" spans="1:65" ht="12.75">
      <c r="A3253" s="9"/>
      <c r="B3253" s="10"/>
      <c r="C3253" s="11"/>
      <c r="D3253" s="12"/>
      <c r="E3253" s="10"/>
      <c r="F3253" s="10"/>
      <c r="G3253" s="10"/>
      <c r="H3253" s="14"/>
      <c r="I3253" s="14"/>
      <c r="J3253" s="14"/>
      <c r="K3253" s="14"/>
      <c r="L3253" s="14"/>
      <c r="M3253" s="15"/>
      <c r="N3253" s="10"/>
      <c r="O3253" s="14"/>
      <c r="P3253" s="14"/>
      <c r="Q3253" s="14"/>
      <c r="R3253" s="14"/>
      <c r="S3253" s="14"/>
      <c r="T3253" s="14"/>
      <c r="U3253" s="14"/>
      <c r="V3253" s="14"/>
      <c r="W3253" s="14"/>
      <c r="X3253" s="14"/>
      <c r="Y3253" s="14"/>
      <c r="Z3253" s="14"/>
      <c r="AA3253" s="16"/>
      <c r="AB3253" s="10"/>
      <c r="AC3253" s="10"/>
      <c r="AD3253" s="10"/>
      <c r="AE3253" s="10"/>
      <c r="AF3253" s="10"/>
      <c r="AG3253" s="10"/>
      <c r="AH3253" s="10"/>
      <c r="AI3253" s="10"/>
      <c r="AJ3253" s="10"/>
      <c r="AK3253" s="10"/>
      <c r="AL3253" s="10"/>
      <c r="AM3253" s="10"/>
      <c r="AN3253" s="10"/>
      <c r="AO3253" s="10"/>
      <c r="AP3253" s="10"/>
      <c r="AQ3253" s="10"/>
      <c r="AR3253" s="10"/>
      <c r="AS3253" s="10"/>
      <c r="AT3253" s="10"/>
      <c r="AU3253" s="10"/>
      <c r="AV3253" s="10"/>
      <c r="AW3253" s="10"/>
      <c r="AX3253" s="10"/>
      <c r="AY3253" s="10"/>
      <c r="AZ3253" s="10"/>
      <c r="BA3253" s="10"/>
      <c r="BB3253" s="10"/>
      <c r="BC3253" s="10"/>
      <c r="BD3253" s="10"/>
      <c r="BE3253" s="10"/>
      <c r="BF3253" s="10"/>
      <c r="BG3253" s="10"/>
      <c r="BH3253" s="10"/>
      <c r="BI3253" s="10"/>
      <c r="BJ3253" s="10"/>
      <c r="BK3253" s="10"/>
      <c r="BM3253" s="10"/>
    </row>
    <row r="3254" spans="1:65" ht="12.75">
      <c r="A3254" s="9"/>
      <c r="B3254" s="10"/>
      <c r="C3254" s="11"/>
      <c r="D3254" s="12"/>
      <c r="E3254" s="10"/>
      <c r="F3254" s="10"/>
      <c r="G3254" s="10"/>
      <c r="H3254" s="14"/>
      <c r="I3254" s="14"/>
      <c r="J3254" s="14"/>
      <c r="K3254" s="14"/>
      <c r="L3254" s="14"/>
      <c r="M3254" s="15"/>
      <c r="N3254" s="10"/>
      <c r="O3254" s="14"/>
      <c r="P3254" s="14"/>
      <c r="Q3254" s="14"/>
      <c r="R3254" s="14"/>
      <c r="S3254" s="14"/>
      <c r="T3254" s="14"/>
      <c r="U3254" s="14"/>
      <c r="V3254" s="14"/>
      <c r="W3254" s="14"/>
      <c r="X3254" s="14"/>
      <c r="Y3254" s="14"/>
      <c r="Z3254" s="14"/>
      <c r="AA3254" s="16"/>
      <c r="AB3254" s="10"/>
      <c r="AC3254" s="10"/>
      <c r="AD3254" s="10"/>
      <c r="AE3254" s="10"/>
      <c r="AF3254" s="10"/>
      <c r="AG3254" s="10"/>
      <c r="AH3254" s="10"/>
      <c r="AI3254" s="10"/>
      <c r="AJ3254" s="10"/>
      <c r="AK3254" s="10"/>
      <c r="AL3254" s="10"/>
      <c r="AM3254" s="10"/>
      <c r="AN3254" s="10"/>
      <c r="AO3254" s="10"/>
      <c r="AP3254" s="10"/>
      <c r="AQ3254" s="10"/>
      <c r="AR3254" s="10"/>
      <c r="AS3254" s="10"/>
      <c r="AT3254" s="10"/>
      <c r="AU3254" s="10"/>
      <c r="AV3254" s="10"/>
      <c r="AW3254" s="10"/>
      <c r="AX3254" s="10"/>
      <c r="AY3254" s="10"/>
      <c r="AZ3254" s="10"/>
      <c r="BA3254" s="10"/>
      <c r="BB3254" s="10"/>
      <c r="BC3254" s="10"/>
      <c r="BD3254" s="10"/>
      <c r="BE3254" s="10"/>
      <c r="BF3254" s="10"/>
      <c r="BG3254" s="10"/>
      <c r="BH3254" s="10"/>
      <c r="BI3254" s="10"/>
      <c r="BJ3254" s="10"/>
      <c r="BK3254" s="10"/>
      <c r="BM3254" s="10"/>
    </row>
    <row r="3255" spans="1:65" ht="12.75">
      <c r="A3255" s="9"/>
      <c r="B3255" s="10"/>
      <c r="C3255" s="11"/>
      <c r="D3255" s="12"/>
      <c r="E3255" s="10"/>
      <c r="F3255" s="10"/>
      <c r="G3255" s="10"/>
      <c r="H3255" s="14"/>
      <c r="I3255" s="14"/>
      <c r="J3255" s="14"/>
      <c r="K3255" s="14"/>
      <c r="L3255" s="14"/>
      <c r="M3255" s="15"/>
      <c r="N3255" s="10"/>
      <c r="O3255" s="14"/>
      <c r="P3255" s="14"/>
      <c r="Q3255" s="14"/>
      <c r="R3255" s="14"/>
      <c r="S3255" s="14"/>
      <c r="T3255" s="14"/>
      <c r="U3255" s="14"/>
      <c r="V3255" s="14"/>
      <c r="W3255" s="14"/>
      <c r="X3255" s="14"/>
      <c r="Y3255" s="14"/>
      <c r="Z3255" s="14"/>
      <c r="AA3255" s="16"/>
      <c r="AB3255" s="10"/>
      <c r="AC3255" s="10"/>
      <c r="AD3255" s="10"/>
      <c r="AE3255" s="10"/>
      <c r="AF3255" s="10"/>
      <c r="AG3255" s="10"/>
      <c r="AH3255" s="10"/>
      <c r="AI3255" s="10"/>
      <c r="AJ3255" s="10"/>
      <c r="AK3255" s="10"/>
      <c r="AL3255" s="10"/>
      <c r="AM3255" s="10"/>
      <c r="AN3255" s="10"/>
      <c r="AO3255" s="10"/>
      <c r="AP3255" s="10"/>
      <c r="AQ3255" s="10"/>
      <c r="AR3255" s="10"/>
      <c r="AS3255" s="10"/>
      <c r="AT3255" s="10"/>
      <c r="AU3255" s="10"/>
      <c r="AV3255" s="10"/>
      <c r="AW3255" s="10"/>
      <c r="AX3255" s="10"/>
      <c r="AY3255" s="10"/>
      <c r="AZ3255" s="10"/>
      <c r="BA3255" s="10"/>
      <c r="BB3255" s="10"/>
      <c r="BC3255" s="10"/>
      <c r="BD3255" s="10"/>
      <c r="BE3255" s="10"/>
      <c r="BF3255" s="10"/>
      <c r="BG3255" s="10"/>
      <c r="BH3255" s="10"/>
      <c r="BI3255" s="10"/>
      <c r="BJ3255" s="10"/>
      <c r="BK3255" s="10"/>
      <c r="BM3255" s="10"/>
    </row>
    <row r="3256" spans="1:65" ht="12.75">
      <c r="A3256" s="9"/>
      <c r="B3256" s="10"/>
      <c r="C3256" s="11"/>
      <c r="D3256" s="12"/>
      <c r="E3256" s="10"/>
      <c r="F3256" s="10"/>
      <c r="G3256" s="10"/>
      <c r="H3256" s="14"/>
      <c r="I3256" s="14"/>
      <c r="J3256" s="14"/>
      <c r="K3256" s="14"/>
      <c r="L3256" s="14"/>
      <c r="M3256" s="15"/>
      <c r="N3256" s="10"/>
      <c r="O3256" s="14"/>
      <c r="P3256" s="14"/>
      <c r="Q3256" s="14"/>
      <c r="R3256" s="14"/>
      <c r="S3256" s="14"/>
      <c r="T3256" s="14"/>
      <c r="U3256" s="14"/>
      <c r="V3256" s="14"/>
      <c r="W3256" s="14"/>
      <c r="X3256" s="14"/>
      <c r="Y3256" s="14"/>
      <c r="Z3256" s="14"/>
      <c r="AA3256" s="16"/>
      <c r="AB3256" s="10"/>
      <c r="AC3256" s="10"/>
      <c r="AD3256" s="10"/>
      <c r="AE3256" s="10"/>
      <c r="AF3256" s="10"/>
      <c r="AG3256" s="10"/>
      <c r="AH3256" s="10"/>
      <c r="AI3256" s="10"/>
      <c r="AJ3256" s="10"/>
      <c r="AK3256" s="10"/>
      <c r="AL3256" s="10"/>
      <c r="AM3256" s="10"/>
      <c r="AN3256" s="10"/>
      <c r="AO3256" s="10"/>
      <c r="AP3256" s="10"/>
      <c r="AQ3256" s="10"/>
      <c r="AR3256" s="10"/>
      <c r="AS3256" s="10"/>
      <c r="AT3256" s="10"/>
      <c r="AU3256" s="10"/>
      <c r="AV3256" s="10"/>
      <c r="AW3256" s="10"/>
      <c r="AX3256" s="10"/>
      <c r="AY3256" s="10"/>
      <c r="AZ3256" s="10"/>
      <c r="BA3256" s="10"/>
      <c r="BB3256" s="10"/>
      <c r="BC3256" s="10"/>
      <c r="BD3256" s="10"/>
      <c r="BE3256" s="10"/>
      <c r="BF3256" s="10"/>
      <c r="BG3256" s="10"/>
      <c r="BH3256" s="10"/>
      <c r="BI3256" s="10"/>
      <c r="BJ3256" s="10"/>
      <c r="BK3256" s="10"/>
      <c r="BM3256" s="10"/>
    </row>
    <row r="3257" spans="1:65" ht="12.75">
      <c r="A3257" s="9"/>
      <c r="B3257" s="10"/>
      <c r="C3257" s="11"/>
      <c r="D3257" s="12"/>
      <c r="E3257" s="10"/>
      <c r="F3257" s="10"/>
      <c r="G3257" s="10"/>
      <c r="H3257" s="14"/>
      <c r="I3257" s="14"/>
      <c r="J3257" s="14"/>
      <c r="K3257" s="14"/>
      <c r="L3257" s="14"/>
      <c r="M3257" s="15"/>
      <c r="N3257" s="10"/>
      <c r="O3257" s="14"/>
      <c r="P3257" s="14"/>
      <c r="Q3257" s="14"/>
      <c r="R3257" s="14"/>
      <c r="S3257" s="14"/>
      <c r="T3257" s="14"/>
      <c r="U3257" s="14"/>
      <c r="V3257" s="14"/>
      <c r="W3257" s="14"/>
      <c r="X3257" s="14"/>
      <c r="Y3257" s="14"/>
      <c r="Z3257" s="14"/>
      <c r="AA3257" s="16"/>
      <c r="AB3257" s="10"/>
      <c r="AC3257" s="10"/>
      <c r="AD3257" s="10"/>
      <c r="AE3257" s="10"/>
      <c r="AF3257" s="10"/>
      <c r="AG3257" s="10"/>
      <c r="AH3257" s="10"/>
      <c r="AI3257" s="10"/>
      <c r="AJ3257" s="10"/>
      <c r="AK3257" s="10"/>
      <c r="AL3257" s="10"/>
      <c r="AM3257" s="10"/>
      <c r="AN3257" s="10"/>
      <c r="AO3257" s="10"/>
      <c r="AP3257" s="10"/>
      <c r="AQ3257" s="10"/>
      <c r="AR3257" s="10"/>
      <c r="AS3257" s="10"/>
      <c r="AT3257" s="10"/>
      <c r="AU3257" s="10"/>
      <c r="AV3257" s="10"/>
      <c r="AW3257" s="10"/>
      <c r="AX3257" s="10"/>
      <c r="AY3257" s="10"/>
      <c r="AZ3257" s="10"/>
      <c r="BA3257" s="10"/>
      <c r="BB3257" s="10"/>
      <c r="BC3257" s="10"/>
      <c r="BD3257" s="10"/>
      <c r="BE3257" s="10"/>
      <c r="BF3257" s="10"/>
      <c r="BG3257" s="10"/>
      <c r="BH3257" s="10"/>
      <c r="BI3257" s="10"/>
      <c r="BJ3257" s="10"/>
      <c r="BK3257" s="10"/>
      <c r="BM3257" s="10"/>
    </row>
    <row r="3258" spans="1:65" ht="12.75">
      <c r="A3258" s="9"/>
      <c r="B3258" s="10"/>
      <c r="C3258" s="11"/>
      <c r="D3258" s="12"/>
      <c r="E3258" s="10"/>
      <c r="F3258" s="10"/>
      <c r="G3258" s="10"/>
      <c r="H3258" s="14"/>
      <c r="I3258" s="14"/>
      <c r="J3258" s="14"/>
      <c r="K3258" s="14"/>
      <c r="L3258" s="14"/>
      <c r="M3258" s="15"/>
      <c r="N3258" s="10"/>
      <c r="O3258" s="14"/>
      <c r="P3258" s="14"/>
      <c r="Q3258" s="14"/>
      <c r="R3258" s="14"/>
      <c r="S3258" s="14"/>
      <c r="T3258" s="14"/>
      <c r="U3258" s="14"/>
      <c r="V3258" s="14"/>
      <c r="W3258" s="14"/>
      <c r="X3258" s="14"/>
      <c r="Y3258" s="14"/>
      <c r="Z3258" s="14"/>
      <c r="AA3258" s="16"/>
      <c r="AB3258" s="10"/>
      <c r="AC3258" s="10"/>
      <c r="AD3258" s="10"/>
      <c r="AE3258" s="10"/>
      <c r="AF3258" s="10"/>
      <c r="AG3258" s="10"/>
      <c r="AH3258" s="10"/>
      <c r="AI3258" s="10"/>
      <c r="AJ3258" s="10"/>
      <c r="AK3258" s="10"/>
      <c r="AL3258" s="10"/>
      <c r="AM3258" s="10"/>
      <c r="AN3258" s="10"/>
      <c r="AO3258" s="10"/>
      <c r="AP3258" s="10"/>
      <c r="AQ3258" s="10"/>
      <c r="AR3258" s="10"/>
      <c r="AS3258" s="10"/>
      <c r="AT3258" s="10"/>
      <c r="AU3258" s="10"/>
      <c r="AV3258" s="10"/>
      <c r="AW3258" s="10"/>
      <c r="AX3258" s="10"/>
      <c r="AY3258" s="10"/>
      <c r="AZ3258" s="10"/>
      <c r="BA3258" s="10"/>
      <c r="BB3258" s="10"/>
      <c r="BC3258" s="10"/>
      <c r="BD3258" s="10"/>
      <c r="BE3258" s="10"/>
      <c r="BF3258" s="10"/>
      <c r="BG3258" s="10"/>
      <c r="BH3258" s="10"/>
      <c r="BI3258" s="10"/>
      <c r="BJ3258" s="10"/>
      <c r="BK3258" s="10"/>
      <c r="BM3258" s="10"/>
    </row>
    <row r="3259" spans="1:65" ht="12.75">
      <c r="A3259" s="9"/>
      <c r="B3259" s="10"/>
      <c r="C3259" s="11"/>
      <c r="D3259" s="12"/>
      <c r="E3259" s="10"/>
      <c r="F3259" s="10"/>
      <c r="G3259" s="10"/>
      <c r="H3259" s="14"/>
      <c r="I3259" s="14"/>
      <c r="J3259" s="14"/>
      <c r="K3259" s="14"/>
      <c r="L3259" s="14"/>
      <c r="M3259" s="15"/>
      <c r="N3259" s="10"/>
      <c r="O3259" s="14"/>
      <c r="P3259" s="14"/>
      <c r="Q3259" s="14"/>
      <c r="R3259" s="14"/>
      <c r="S3259" s="14"/>
      <c r="T3259" s="14"/>
      <c r="U3259" s="14"/>
      <c r="V3259" s="14"/>
      <c r="W3259" s="14"/>
      <c r="X3259" s="14"/>
      <c r="Y3259" s="14"/>
      <c r="Z3259" s="14"/>
      <c r="AA3259" s="16"/>
      <c r="AB3259" s="10"/>
      <c r="AC3259" s="10"/>
      <c r="AD3259" s="10"/>
      <c r="AE3259" s="10"/>
      <c r="AF3259" s="10"/>
      <c r="AG3259" s="10"/>
      <c r="AH3259" s="10"/>
      <c r="AI3259" s="10"/>
      <c r="AJ3259" s="10"/>
      <c r="AK3259" s="10"/>
      <c r="AL3259" s="10"/>
      <c r="AM3259" s="10"/>
      <c r="AN3259" s="10"/>
      <c r="AO3259" s="10"/>
      <c r="AP3259" s="10"/>
      <c r="AQ3259" s="10"/>
      <c r="AR3259" s="10"/>
      <c r="AS3259" s="10"/>
      <c r="AT3259" s="10"/>
      <c r="AU3259" s="10"/>
      <c r="AV3259" s="10"/>
      <c r="AW3259" s="10"/>
      <c r="AX3259" s="10"/>
      <c r="AY3259" s="10"/>
      <c r="AZ3259" s="10"/>
      <c r="BA3259" s="10"/>
      <c r="BB3259" s="10"/>
      <c r="BC3259" s="10"/>
      <c r="BD3259" s="10"/>
      <c r="BE3259" s="10"/>
      <c r="BF3259" s="10"/>
      <c r="BG3259" s="10"/>
      <c r="BH3259" s="10"/>
      <c r="BI3259" s="10"/>
      <c r="BJ3259" s="10"/>
      <c r="BK3259" s="10"/>
      <c r="BM3259" s="10"/>
    </row>
    <row r="3260" spans="1:65" ht="12.75">
      <c r="A3260" s="9"/>
      <c r="B3260" s="10"/>
      <c r="C3260" s="11"/>
      <c r="D3260" s="12"/>
      <c r="E3260" s="10"/>
      <c r="F3260" s="10"/>
      <c r="G3260" s="10"/>
      <c r="H3260" s="14"/>
      <c r="I3260" s="14"/>
      <c r="J3260" s="14"/>
      <c r="K3260" s="14"/>
      <c r="L3260" s="14"/>
      <c r="M3260" s="15"/>
      <c r="N3260" s="10"/>
      <c r="O3260" s="14"/>
      <c r="P3260" s="14"/>
      <c r="Q3260" s="14"/>
      <c r="R3260" s="14"/>
      <c r="S3260" s="14"/>
      <c r="T3260" s="14"/>
      <c r="U3260" s="14"/>
      <c r="V3260" s="14"/>
      <c r="W3260" s="14"/>
      <c r="X3260" s="14"/>
      <c r="Y3260" s="14"/>
      <c r="Z3260" s="14"/>
      <c r="AA3260" s="16"/>
      <c r="AB3260" s="10"/>
      <c r="AC3260" s="10"/>
      <c r="AD3260" s="10"/>
      <c r="AE3260" s="10"/>
      <c r="AF3260" s="10"/>
      <c r="AG3260" s="10"/>
      <c r="AH3260" s="10"/>
      <c r="AI3260" s="10"/>
      <c r="AJ3260" s="10"/>
      <c r="AK3260" s="10"/>
      <c r="AL3260" s="10"/>
      <c r="AM3260" s="10"/>
      <c r="AN3260" s="10"/>
      <c r="AO3260" s="10"/>
      <c r="AP3260" s="10"/>
      <c r="AQ3260" s="10"/>
      <c r="AR3260" s="10"/>
      <c r="AS3260" s="10"/>
      <c r="AT3260" s="10"/>
      <c r="AU3260" s="10"/>
      <c r="AV3260" s="10"/>
      <c r="AW3260" s="10"/>
      <c r="AX3260" s="10"/>
      <c r="AY3260" s="10"/>
      <c r="AZ3260" s="10"/>
      <c r="BA3260" s="10"/>
      <c r="BB3260" s="10"/>
      <c r="BC3260" s="10"/>
      <c r="BD3260" s="10"/>
      <c r="BE3260" s="10"/>
      <c r="BF3260" s="10"/>
      <c r="BG3260" s="10"/>
      <c r="BH3260" s="10"/>
      <c r="BI3260" s="10"/>
      <c r="BJ3260" s="10"/>
      <c r="BK3260" s="10"/>
      <c r="BM3260" s="10"/>
    </row>
    <row r="3261" spans="1:65" ht="12.75">
      <c r="A3261" s="9"/>
      <c r="B3261" s="10"/>
      <c r="C3261" s="11"/>
      <c r="D3261" s="12"/>
      <c r="E3261" s="10"/>
      <c r="F3261" s="10"/>
      <c r="G3261" s="10"/>
      <c r="H3261" s="14"/>
      <c r="I3261" s="14"/>
      <c r="J3261" s="14"/>
      <c r="K3261" s="14"/>
      <c r="L3261" s="14"/>
      <c r="M3261" s="15"/>
      <c r="N3261" s="10"/>
      <c r="O3261" s="14"/>
      <c r="P3261" s="14"/>
      <c r="Q3261" s="14"/>
      <c r="R3261" s="14"/>
      <c r="S3261" s="14"/>
      <c r="T3261" s="14"/>
      <c r="U3261" s="14"/>
      <c r="V3261" s="14"/>
      <c r="W3261" s="14"/>
      <c r="X3261" s="14"/>
      <c r="Y3261" s="14"/>
      <c r="Z3261" s="14"/>
      <c r="AA3261" s="16"/>
      <c r="AB3261" s="10"/>
      <c r="AC3261" s="10"/>
      <c r="AD3261" s="10"/>
      <c r="AE3261" s="10"/>
      <c r="AF3261" s="10"/>
      <c r="AG3261" s="10"/>
      <c r="AH3261" s="10"/>
      <c r="AI3261" s="10"/>
      <c r="AJ3261" s="10"/>
      <c r="AK3261" s="10"/>
      <c r="AL3261" s="10"/>
      <c r="AM3261" s="10"/>
      <c r="AN3261" s="10"/>
      <c r="AO3261" s="10"/>
      <c r="AP3261" s="10"/>
      <c r="AQ3261" s="10"/>
      <c r="AR3261" s="10"/>
      <c r="AS3261" s="10"/>
      <c r="AT3261" s="10"/>
      <c r="AU3261" s="10"/>
      <c r="AV3261" s="10"/>
      <c r="AW3261" s="10"/>
      <c r="AX3261" s="10"/>
      <c r="AY3261" s="10"/>
      <c r="AZ3261" s="10"/>
      <c r="BA3261" s="10"/>
      <c r="BB3261" s="10"/>
      <c r="BC3261" s="10"/>
      <c r="BD3261" s="10"/>
      <c r="BE3261" s="10"/>
      <c r="BF3261" s="10"/>
      <c r="BG3261" s="10"/>
      <c r="BH3261" s="10"/>
      <c r="BI3261" s="10"/>
      <c r="BJ3261" s="10"/>
      <c r="BK3261" s="10"/>
      <c r="BM3261" s="10"/>
    </row>
    <row r="3262" spans="1:65" ht="12.75">
      <c r="A3262" s="9"/>
      <c r="B3262" s="10"/>
      <c r="C3262" s="11"/>
      <c r="D3262" s="12"/>
      <c r="E3262" s="10"/>
      <c r="F3262" s="10"/>
      <c r="G3262" s="10"/>
      <c r="H3262" s="14"/>
      <c r="I3262" s="14"/>
      <c r="J3262" s="14"/>
      <c r="K3262" s="14"/>
      <c r="L3262" s="14"/>
      <c r="M3262" s="15"/>
      <c r="N3262" s="10"/>
      <c r="O3262" s="14"/>
      <c r="P3262" s="14"/>
      <c r="Q3262" s="14"/>
      <c r="R3262" s="14"/>
      <c r="S3262" s="14"/>
      <c r="T3262" s="14"/>
      <c r="U3262" s="14"/>
      <c r="V3262" s="14"/>
      <c r="W3262" s="14"/>
      <c r="X3262" s="14"/>
      <c r="Y3262" s="14"/>
      <c r="Z3262" s="14"/>
      <c r="AA3262" s="16"/>
      <c r="AB3262" s="10"/>
      <c r="AC3262" s="10"/>
      <c r="AD3262" s="10"/>
      <c r="AE3262" s="10"/>
      <c r="AF3262" s="10"/>
      <c r="AG3262" s="10"/>
      <c r="AH3262" s="10"/>
      <c r="AI3262" s="10"/>
      <c r="AJ3262" s="10"/>
      <c r="AK3262" s="10"/>
      <c r="AL3262" s="10"/>
      <c r="AM3262" s="10"/>
      <c r="AN3262" s="10"/>
      <c r="AO3262" s="10"/>
      <c r="AP3262" s="10"/>
      <c r="AQ3262" s="10"/>
      <c r="AR3262" s="10"/>
      <c r="AS3262" s="10"/>
      <c r="AT3262" s="10"/>
      <c r="AU3262" s="10"/>
      <c r="AV3262" s="10"/>
      <c r="AW3262" s="10"/>
      <c r="AX3262" s="10"/>
      <c r="AY3262" s="10"/>
      <c r="AZ3262" s="10"/>
      <c r="BA3262" s="10"/>
      <c r="BB3262" s="10"/>
      <c r="BC3262" s="10"/>
      <c r="BD3262" s="10"/>
      <c r="BE3262" s="10"/>
      <c r="BF3262" s="10"/>
      <c r="BG3262" s="10"/>
      <c r="BH3262" s="10"/>
      <c r="BI3262" s="10"/>
      <c r="BJ3262" s="10"/>
      <c r="BK3262" s="10"/>
      <c r="BM3262" s="10"/>
    </row>
    <row r="3263" spans="1:65" ht="12.75">
      <c r="A3263" s="9"/>
      <c r="B3263" s="10"/>
      <c r="C3263" s="11"/>
      <c r="D3263" s="12"/>
      <c r="E3263" s="10"/>
      <c r="F3263" s="10"/>
      <c r="G3263" s="10"/>
      <c r="H3263" s="14"/>
      <c r="I3263" s="14"/>
      <c r="J3263" s="14"/>
      <c r="K3263" s="14"/>
      <c r="L3263" s="14"/>
      <c r="M3263" s="15"/>
      <c r="N3263" s="10"/>
      <c r="O3263" s="14"/>
      <c r="P3263" s="14"/>
      <c r="Q3263" s="14"/>
      <c r="R3263" s="14"/>
      <c r="S3263" s="14"/>
      <c r="T3263" s="14"/>
      <c r="U3263" s="14"/>
      <c r="V3263" s="14"/>
      <c r="W3263" s="14"/>
      <c r="X3263" s="14"/>
      <c r="Y3263" s="14"/>
      <c r="Z3263" s="14"/>
      <c r="AA3263" s="16"/>
      <c r="AB3263" s="10"/>
      <c r="AC3263" s="10"/>
      <c r="AD3263" s="10"/>
      <c r="AE3263" s="10"/>
      <c r="AF3263" s="10"/>
      <c r="AG3263" s="10"/>
      <c r="AH3263" s="10"/>
      <c r="AI3263" s="10"/>
      <c r="AJ3263" s="10"/>
      <c r="AK3263" s="10"/>
      <c r="AL3263" s="10"/>
      <c r="AM3263" s="10"/>
      <c r="AN3263" s="10"/>
      <c r="AO3263" s="10"/>
      <c r="AP3263" s="10"/>
      <c r="AQ3263" s="10"/>
      <c r="AR3263" s="10"/>
      <c r="AS3263" s="10"/>
      <c r="AT3263" s="10"/>
      <c r="AU3263" s="10"/>
      <c r="AV3263" s="10"/>
      <c r="AW3263" s="10"/>
      <c r="AX3263" s="10"/>
      <c r="AY3263" s="10"/>
      <c r="AZ3263" s="10"/>
      <c r="BA3263" s="10"/>
      <c r="BB3263" s="10"/>
      <c r="BC3263" s="10"/>
      <c r="BD3263" s="10"/>
      <c r="BE3263" s="10"/>
      <c r="BF3263" s="10"/>
      <c r="BG3263" s="10"/>
      <c r="BH3263" s="10"/>
      <c r="BI3263" s="10"/>
      <c r="BJ3263" s="10"/>
      <c r="BK3263" s="10"/>
      <c r="BM3263" s="10"/>
    </row>
    <row r="3264" spans="1:65" ht="12.75">
      <c r="A3264" s="9"/>
      <c r="B3264" s="10"/>
      <c r="C3264" s="11"/>
      <c r="D3264" s="12"/>
      <c r="E3264" s="10"/>
      <c r="F3264" s="10"/>
      <c r="G3264" s="10"/>
      <c r="H3264" s="14"/>
      <c r="I3264" s="14"/>
      <c r="J3264" s="14"/>
      <c r="K3264" s="14"/>
      <c r="L3264" s="14"/>
      <c r="M3264" s="15"/>
      <c r="N3264" s="10"/>
      <c r="O3264" s="14"/>
      <c r="P3264" s="14"/>
      <c r="Q3264" s="14"/>
      <c r="R3264" s="14"/>
      <c r="S3264" s="14"/>
      <c r="T3264" s="14"/>
      <c r="U3264" s="14"/>
      <c r="V3264" s="14"/>
      <c r="W3264" s="14"/>
      <c r="X3264" s="14"/>
      <c r="Y3264" s="14"/>
      <c r="Z3264" s="14"/>
      <c r="AA3264" s="16"/>
      <c r="AB3264" s="10"/>
      <c r="AC3264" s="10"/>
      <c r="AD3264" s="10"/>
      <c r="AE3264" s="10"/>
      <c r="AF3264" s="10"/>
      <c r="AG3264" s="10"/>
      <c r="AH3264" s="10"/>
      <c r="AI3264" s="10"/>
      <c r="AJ3264" s="10"/>
      <c r="AK3264" s="10"/>
      <c r="AL3264" s="10"/>
      <c r="AM3264" s="10"/>
      <c r="AN3264" s="10"/>
      <c r="AO3264" s="10"/>
      <c r="AP3264" s="10"/>
      <c r="AQ3264" s="10"/>
      <c r="AR3264" s="10"/>
      <c r="AS3264" s="10"/>
      <c r="AT3264" s="10"/>
      <c r="AU3264" s="10"/>
      <c r="AV3264" s="10"/>
      <c r="AW3264" s="10"/>
      <c r="AX3264" s="10"/>
      <c r="AY3264" s="10"/>
      <c r="AZ3264" s="10"/>
      <c r="BA3264" s="10"/>
      <c r="BB3264" s="10"/>
      <c r="BC3264" s="10"/>
      <c r="BD3264" s="10"/>
      <c r="BE3264" s="10"/>
      <c r="BF3264" s="10"/>
      <c r="BG3264" s="10"/>
      <c r="BH3264" s="10"/>
      <c r="BI3264" s="10"/>
      <c r="BJ3264" s="10"/>
      <c r="BK3264" s="10"/>
      <c r="BM3264" s="10"/>
    </row>
    <row r="3265" spans="1:65" ht="12.75">
      <c r="A3265" s="9"/>
      <c r="B3265" s="10"/>
      <c r="C3265" s="11"/>
      <c r="D3265" s="12"/>
      <c r="E3265" s="10"/>
      <c r="F3265" s="10"/>
      <c r="G3265" s="10"/>
      <c r="H3265" s="14"/>
      <c r="I3265" s="14"/>
      <c r="J3265" s="14"/>
      <c r="K3265" s="14"/>
      <c r="L3265" s="14"/>
      <c r="M3265" s="15"/>
      <c r="N3265" s="10"/>
      <c r="O3265" s="14"/>
      <c r="P3265" s="14"/>
      <c r="Q3265" s="14"/>
      <c r="R3265" s="14"/>
      <c r="S3265" s="14"/>
      <c r="T3265" s="14"/>
      <c r="U3265" s="14"/>
      <c r="V3265" s="14"/>
      <c r="W3265" s="14"/>
      <c r="X3265" s="14"/>
      <c r="Y3265" s="14"/>
      <c r="Z3265" s="14"/>
      <c r="AA3265" s="16"/>
      <c r="AB3265" s="10"/>
      <c r="AC3265" s="10"/>
      <c r="AD3265" s="10"/>
      <c r="AE3265" s="10"/>
      <c r="AF3265" s="10"/>
      <c r="AG3265" s="10"/>
      <c r="AH3265" s="10"/>
      <c r="AI3265" s="10"/>
      <c r="AJ3265" s="10"/>
      <c r="AK3265" s="10"/>
      <c r="AL3265" s="10"/>
      <c r="AM3265" s="10"/>
      <c r="AN3265" s="10"/>
      <c r="AO3265" s="10"/>
      <c r="AP3265" s="10"/>
      <c r="AQ3265" s="10"/>
      <c r="AR3265" s="10"/>
      <c r="AS3265" s="10"/>
      <c r="AT3265" s="10"/>
      <c r="AU3265" s="10"/>
      <c r="AV3265" s="10"/>
      <c r="AW3265" s="10"/>
      <c r="AX3265" s="10"/>
      <c r="AY3265" s="10"/>
      <c r="AZ3265" s="10"/>
      <c r="BA3265" s="10"/>
      <c r="BB3265" s="10"/>
      <c r="BC3265" s="10"/>
      <c r="BD3265" s="10"/>
      <c r="BE3265" s="10"/>
      <c r="BF3265" s="10"/>
      <c r="BG3265" s="10"/>
      <c r="BH3265" s="10"/>
      <c r="BI3265" s="10"/>
      <c r="BJ3265" s="10"/>
      <c r="BK3265" s="10"/>
      <c r="BM3265" s="10"/>
    </row>
    <row r="3266" spans="1:65" ht="12.75">
      <c r="A3266" s="9"/>
      <c r="B3266" s="10"/>
      <c r="C3266" s="11"/>
      <c r="D3266" s="12"/>
      <c r="E3266" s="10"/>
      <c r="F3266" s="10"/>
      <c r="G3266" s="10"/>
      <c r="H3266" s="14"/>
      <c r="I3266" s="14"/>
      <c r="J3266" s="14"/>
      <c r="K3266" s="14"/>
      <c r="L3266" s="14"/>
      <c r="M3266" s="15"/>
      <c r="N3266" s="10"/>
      <c r="O3266" s="14"/>
      <c r="P3266" s="14"/>
      <c r="Q3266" s="14"/>
      <c r="R3266" s="14"/>
      <c r="S3266" s="14"/>
      <c r="T3266" s="14"/>
      <c r="U3266" s="14"/>
      <c r="V3266" s="14"/>
      <c r="W3266" s="14"/>
      <c r="X3266" s="14"/>
      <c r="Y3266" s="14"/>
      <c r="Z3266" s="14"/>
      <c r="AA3266" s="16"/>
      <c r="AB3266" s="10"/>
      <c r="AC3266" s="10"/>
      <c r="AD3266" s="10"/>
      <c r="AE3266" s="10"/>
      <c r="AF3266" s="10"/>
      <c r="AG3266" s="10"/>
      <c r="AH3266" s="10"/>
      <c r="AI3266" s="10"/>
      <c r="AJ3266" s="10"/>
      <c r="AK3266" s="10"/>
      <c r="AL3266" s="10"/>
      <c r="AM3266" s="10"/>
      <c r="AN3266" s="10"/>
      <c r="AO3266" s="10"/>
      <c r="AP3266" s="10"/>
      <c r="AQ3266" s="10"/>
      <c r="AR3266" s="10"/>
      <c r="AS3266" s="10"/>
      <c r="AT3266" s="10"/>
      <c r="AU3266" s="10"/>
      <c r="AV3266" s="10"/>
      <c r="AW3266" s="10"/>
      <c r="AX3266" s="10"/>
      <c r="AY3266" s="10"/>
      <c r="AZ3266" s="10"/>
      <c r="BA3266" s="10"/>
      <c r="BB3266" s="10"/>
      <c r="BC3266" s="10"/>
      <c r="BD3266" s="10"/>
      <c r="BE3266" s="10"/>
      <c r="BF3266" s="10"/>
      <c r="BG3266" s="10"/>
      <c r="BH3266" s="10"/>
      <c r="BI3266" s="10"/>
      <c r="BJ3266" s="10"/>
      <c r="BK3266" s="10"/>
      <c r="BM3266" s="10"/>
    </row>
    <row r="3267" spans="1:65" ht="12.75">
      <c r="A3267" s="9"/>
      <c r="B3267" s="10"/>
      <c r="C3267" s="11"/>
      <c r="D3267" s="12"/>
      <c r="E3267" s="10"/>
      <c r="F3267" s="10"/>
      <c r="G3267" s="10"/>
      <c r="H3267" s="14"/>
      <c r="I3267" s="14"/>
      <c r="J3267" s="14"/>
      <c r="K3267" s="14"/>
      <c r="L3267" s="14"/>
      <c r="M3267" s="15"/>
      <c r="N3267" s="10"/>
      <c r="O3267" s="14"/>
      <c r="P3267" s="14"/>
      <c r="Q3267" s="14"/>
      <c r="R3267" s="14"/>
      <c r="S3267" s="14"/>
      <c r="T3267" s="14"/>
      <c r="U3267" s="14"/>
      <c r="V3267" s="14"/>
      <c r="W3267" s="14"/>
      <c r="X3267" s="14"/>
      <c r="Y3267" s="14"/>
      <c r="Z3267" s="14"/>
      <c r="AA3267" s="16"/>
      <c r="AB3267" s="10"/>
      <c r="AC3267" s="10"/>
      <c r="AD3267" s="10"/>
      <c r="AE3267" s="10"/>
      <c r="AF3267" s="10"/>
      <c r="AG3267" s="10"/>
      <c r="AH3267" s="10"/>
      <c r="AI3267" s="10"/>
      <c r="AJ3267" s="10"/>
      <c r="AK3267" s="10"/>
      <c r="AL3267" s="10"/>
      <c r="AM3267" s="10"/>
      <c r="AN3267" s="10"/>
      <c r="AO3267" s="10"/>
      <c r="AP3267" s="10"/>
      <c r="AQ3267" s="10"/>
      <c r="AR3267" s="10"/>
      <c r="AS3267" s="10"/>
      <c r="AT3267" s="10"/>
      <c r="AU3267" s="10"/>
      <c r="AV3267" s="10"/>
      <c r="AW3267" s="10"/>
      <c r="AX3267" s="10"/>
      <c r="AY3267" s="10"/>
      <c r="AZ3267" s="10"/>
      <c r="BA3267" s="10"/>
      <c r="BB3267" s="10"/>
      <c r="BC3267" s="10"/>
      <c r="BD3267" s="10"/>
      <c r="BE3267" s="10"/>
      <c r="BF3267" s="10"/>
      <c r="BG3267" s="10"/>
      <c r="BH3267" s="10"/>
      <c r="BI3267" s="10"/>
      <c r="BJ3267" s="10"/>
      <c r="BK3267" s="10"/>
      <c r="BM3267" s="10"/>
    </row>
    <row r="3268" spans="1:65" ht="12.75">
      <c r="A3268" s="9"/>
      <c r="B3268" s="10"/>
      <c r="C3268" s="11"/>
      <c r="D3268" s="12"/>
      <c r="E3268" s="10"/>
      <c r="F3268" s="10"/>
      <c r="G3268" s="10"/>
      <c r="H3268" s="14"/>
      <c r="I3268" s="14"/>
      <c r="J3268" s="14"/>
      <c r="K3268" s="14"/>
      <c r="L3268" s="14"/>
      <c r="M3268" s="15"/>
      <c r="N3268" s="10"/>
      <c r="O3268" s="14"/>
      <c r="P3268" s="14"/>
      <c r="Q3268" s="14"/>
      <c r="R3268" s="14"/>
      <c r="S3268" s="14"/>
      <c r="T3268" s="14"/>
      <c r="U3268" s="14"/>
      <c r="V3268" s="14"/>
      <c r="W3268" s="14"/>
      <c r="X3268" s="14"/>
      <c r="Y3268" s="14"/>
      <c r="Z3268" s="14"/>
      <c r="AA3268" s="16"/>
      <c r="AB3268" s="10"/>
      <c r="AC3268" s="10"/>
      <c r="AD3268" s="10"/>
      <c r="AE3268" s="10"/>
      <c r="AF3268" s="10"/>
      <c r="AG3268" s="10"/>
      <c r="AH3268" s="10"/>
      <c r="AI3268" s="10"/>
      <c r="AJ3268" s="10"/>
      <c r="AK3268" s="10"/>
      <c r="AL3268" s="10"/>
      <c r="AM3268" s="10"/>
      <c r="AN3268" s="10"/>
      <c r="AO3268" s="10"/>
      <c r="AP3268" s="10"/>
      <c r="AQ3268" s="10"/>
      <c r="AR3268" s="10"/>
      <c r="AS3268" s="10"/>
      <c r="AT3268" s="10"/>
      <c r="AU3268" s="10"/>
      <c r="AV3268" s="10"/>
      <c r="AW3268" s="10"/>
      <c r="AX3268" s="10"/>
      <c r="AY3268" s="10"/>
      <c r="AZ3268" s="10"/>
      <c r="BA3268" s="10"/>
      <c r="BB3268" s="10"/>
      <c r="BC3268" s="10"/>
      <c r="BD3268" s="10"/>
      <c r="BE3268" s="10"/>
      <c r="BF3268" s="10"/>
      <c r="BG3268" s="10"/>
      <c r="BH3268" s="10"/>
      <c r="BI3268" s="10"/>
      <c r="BJ3268" s="10"/>
      <c r="BK3268" s="10"/>
      <c r="BM3268" s="10"/>
    </row>
    <row r="3269" spans="1:65" ht="12.75">
      <c r="A3269" s="9"/>
      <c r="B3269" s="10"/>
      <c r="C3269" s="11"/>
      <c r="D3269" s="12"/>
      <c r="E3269" s="10"/>
      <c r="F3269" s="10"/>
      <c r="G3269" s="10"/>
      <c r="H3269" s="14"/>
      <c r="I3269" s="14"/>
      <c r="J3269" s="14"/>
      <c r="K3269" s="14"/>
      <c r="L3269" s="14"/>
      <c r="M3269" s="15"/>
      <c r="N3269" s="10"/>
      <c r="O3269" s="14"/>
      <c r="P3269" s="14"/>
      <c r="Q3269" s="14"/>
      <c r="R3269" s="14"/>
      <c r="S3269" s="14"/>
      <c r="T3269" s="14"/>
      <c r="U3269" s="14"/>
      <c r="V3269" s="14"/>
      <c r="W3269" s="14"/>
      <c r="X3269" s="14"/>
      <c r="Y3269" s="14"/>
      <c r="Z3269" s="14"/>
      <c r="AA3269" s="16"/>
      <c r="AB3269" s="10"/>
      <c r="AC3269" s="10"/>
      <c r="AD3269" s="10"/>
      <c r="AE3269" s="10"/>
      <c r="AF3269" s="10"/>
      <c r="AG3269" s="10"/>
      <c r="AH3269" s="10"/>
      <c r="AI3269" s="10"/>
      <c r="AJ3269" s="10"/>
      <c r="AK3269" s="10"/>
      <c r="AL3269" s="10"/>
      <c r="AM3269" s="10"/>
      <c r="AN3269" s="10"/>
      <c r="AO3269" s="10"/>
      <c r="AP3269" s="10"/>
      <c r="AQ3269" s="10"/>
      <c r="AR3269" s="10"/>
      <c r="AS3269" s="10"/>
      <c r="AT3269" s="10"/>
      <c r="AU3269" s="10"/>
      <c r="AV3269" s="10"/>
      <c r="AW3269" s="10"/>
      <c r="AX3269" s="10"/>
      <c r="AY3269" s="10"/>
      <c r="AZ3269" s="10"/>
      <c r="BA3269" s="10"/>
      <c r="BB3269" s="10"/>
      <c r="BC3269" s="10"/>
      <c r="BD3269" s="10"/>
      <c r="BE3269" s="10"/>
      <c r="BF3269" s="10"/>
      <c r="BG3269" s="10"/>
      <c r="BH3269" s="10"/>
      <c r="BI3269" s="10"/>
      <c r="BJ3269" s="10"/>
      <c r="BK3269" s="10"/>
      <c r="BM3269" s="10"/>
    </row>
    <row r="3270" spans="1:65" ht="12.75">
      <c r="A3270" s="9"/>
      <c r="B3270" s="10"/>
      <c r="C3270" s="11"/>
      <c r="D3270" s="12"/>
      <c r="E3270" s="10"/>
      <c r="F3270" s="10"/>
      <c r="G3270" s="10"/>
      <c r="H3270" s="14"/>
      <c r="I3270" s="14"/>
      <c r="J3270" s="14"/>
      <c r="K3270" s="14"/>
      <c r="L3270" s="14"/>
      <c r="M3270" s="15"/>
      <c r="N3270" s="10"/>
      <c r="O3270" s="14"/>
      <c r="P3270" s="14"/>
      <c r="Q3270" s="14"/>
      <c r="R3270" s="14"/>
      <c r="S3270" s="14"/>
      <c r="T3270" s="14"/>
      <c r="U3270" s="14"/>
      <c r="V3270" s="14"/>
      <c r="W3270" s="14"/>
      <c r="X3270" s="14"/>
      <c r="Y3270" s="14"/>
      <c r="Z3270" s="14"/>
      <c r="AA3270" s="16"/>
      <c r="AB3270" s="10"/>
      <c r="AC3270" s="10"/>
      <c r="AD3270" s="10"/>
      <c r="AE3270" s="10"/>
      <c r="AF3270" s="10"/>
      <c r="AG3270" s="10"/>
      <c r="AH3270" s="10"/>
      <c r="AI3270" s="10"/>
      <c r="AJ3270" s="10"/>
      <c r="AK3270" s="10"/>
      <c r="AL3270" s="10"/>
      <c r="AM3270" s="10"/>
      <c r="AN3270" s="10"/>
      <c r="AO3270" s="10"/>
      <c r="AP3270" s="10"/>
      <c r="AQ3270" s="10"/>
      <c r="AR3270" s="10"/>
      <c r="AS3270" s="10"/>
      <c r="AT3270" s="10"/>
      <c r="AU3270" s="10"/>
      <c r="AV3270" s="10"/>
      <c r="AW3270" s="10"/>
      <c r="AX3270" s="10"/>
      <c r="AY3270" s="10"/>
      <c r="AZ3270" s="10"/>
      <c r="BA3270" s="10"/>
      <c r="BB3270" s="10"/>
      <c r="BC3270" s="10"/>
      <c r="BD3270" s="10"/>
      <c r="BE3270" s="10"/>
      <c r="BF3270" s="10"/>
      <c r="BG3270" s="10"/>
      <c r="BH3270" s="10"/>
      <c r="BI3270" s="10"/>
      <c r="BJ3270" s="10"/>
      <c r="BK3270" s="10"/>
      <c r="BM3270" s="10"/>
    </row>
    <row r="3271" spans="1:65" ht="12.75">
      <c r="A3271" s="9"/>
      <c r="B3271" s="10"/>
      <c r="C3271" s="11"/>
      <c r="D3271" s="12"/>
      <c r="E3271" s="10"/>
      <c r="F3271" s="10"/>
      <c r="G3271" s="10"/>
      <c r="H3271" s="14"/>
      <c r="I3271" s="14"/>
      <c r="J3271" s="14"/>
      <c r="K3271" s="14"/>
      <c r="L3271" s="14"/>
      <c r="M3271" s="15"/>
      <c r="N3271" s="10"/>
      <c r="O3271" s="14"/>
      <c r="P3271" s="14"/>
      <c r="Q3271" s="14"/>
      <c r="R3271" s="14"/>
      <c r="S3271" s="14"/>
      <c r="T3271" s="14"/>
      <c r="U3271" s="14"/>
      <c r="V3271" s="14"/>
      <c r="W3271" s="14"/>
      <c r="X3271" s="14"/>
      <c r="Y3271" s="14"/>
      <c r="Z3271" s="14"/>
      <c r="AA3271" s="16"/>
      <c r="AB3271" s="10"/>
      <c r="AC3271" s="10"/>
      <c r="AD3271" s="10"/>
      <c r="AE3271" s="10"/>
      <c r="AF3271" s="10"/>
      <c r="AG3271" s="10"/>
      <c r="AH3271" s="10"/>
      <c r="AI3271" s="10"/>
      <c r="AJ3271" s="10"/>
      <c r="AK3271" s="10"/>
      <c r="AL3271" s="10"/>
      <c r="AM3271" s="10"/>
      <c r="AN3271" s="10"/>
      <c r="AO3271" s="10"/>
      <c r="AP3271" s="10"/>
      <c r="AQ3271" s="10"/>
      <c r="AR3271" s="10"/>
      <c r="AS3271" s="10"/>
      <c r="AT3271" s="10"/>
      <c r="AU3271" s="10"/>
      <c r="AV3271" s="10"/>
      <c r="AW3271" s="10"/>
      <c r="AX3271" s="10"/>
      <c r="AY3271" s="10"/>
      <c r="AZ3271" s="10"/>
      <c r="BA3271" s="10"/>
      <c r="BB3271" s="10"/>
      <c r="BC3271" s="10"/>
      <c r="BD3271" s="10"/>
      <c r="BE3271" s="10"/>
      <c r="BF3271" s="10"/>
      <c r="BG3271" s="10"/>
      <c r="BH3271" s="10"/>
      <c r="BI3271" s="10"/>
      <c r="BJ3271" s="10"/>
      <c r="BK3271" s="10"/>
      <c r="BM3271" s="10"/>
    </row>
    <row r="3272" spans="1:65" ht="12.75">
      <c r="A3272" s="9"/>
      <c r="B3272" s="10"/>
      <c r="C3272" s="11"/>
      <c r="D3272" s="12"/>
      <c r="E3272" s="10"/>
      <c r="F3272" s="10"/>
      <c r="G3272" s="10"/>
      <c r="H3272" s="14"/>
      <c r="I3272" s="14"/>
      <c r="J3272" s="14"/>
      <c r="K3272" s="14"/>
      <c r="L3272" s="14"/>
      <c r="M3272" s="15"/>
      <c r="N3272" s="10"/>
      <c r="O3272" s="14"/>
      <c r="P3272" s="14"/>
      <c r="Q3272" s="14"/>
      <c r="R3272" s="14"/>
      <c r="S3272" s="14"/>
      <c r="T3272" s="14"/>
      <c r="U3272" s="14"/>
      <c r="V3272" s="14"/>
      <c r="W3272" s="14"/>
      <c r="X3272" s="14"/>
      <c r="Y3272" s="14"/>
      <c r="Z3272" s="14"/>
      <c r="AA3272" s="16"/>
      <c r="AB3272" s="10"/>
      <c r="AC3272" s="10"/>
      <c r="AD3272" s="10"/>
      <c r="AE3272" s="10"/>
      <c r="AF3272" s="10"/>
      <c r="AG3272" s="10"/>
      <c r="AH3272" s="10"/>
      <c r="AI3272" s="10"/>
      <c r="AJ3272" s="10"/>
      <c r="AK3272" s="10"/>
      <c r="AL3272" s="10"/>
      <c r="AM3272" s="10"/>
      <c r="AN3272" s="10"/>
      <c r="AO3272" s="10"/>
      <c r="AP3272" s="10"/>
      <c r="AQ3272" s="10"/>
      <c r="AR3272" s="10"/>
      <c r="AS3272" s="10"/>
      <c r="AT3272" s="10"/>
      <c r="AU3272" s="10"/>
      <c r="AV3272" s="10"/>
      <c r="AW3272" s="10"/>
      <c r="AX3272" s="10"/>
      <c r="AY3272" s="10"/>
      <c r="AZ3272" s="10"/>
      <c r="BA3272" s="10"/>
      <c r="BB3272" s="10"/>
      <c r="BC3272" s="10"/>
      <c r="BD3272" s="10"/>
      <c r="BE3272" s="10"/>
      <c r="BF3272" s="10"/>
      <c r="BG3272" s="10"/>
      <c r="BH3272" s="10"/>
      <c r="BI3272" s="10"/>
      <c r="BJ3272" s="10"/>
      <c r="BK3272" s="10"/>
      <c r="BM3272" s="10"/>
    </row>
    <row r="3273" spans="1:65" ht="12.75">
      <c r="A3273" s="9"/>
      <c r="B3273" s="10"/>
      <c r="C3273" s="11"/>
      <c r="D3273" s="12"/>
      <c r="E3273" s="10"/>
      <c r="F3273" s="10"/>
      <c r="G3273" s="10"/>
      <c r="H3273" s="14"/>
      <c r="I3273" s="14"/>
      <c r="J3273" s="14"/>
      <c r="K3273" s="14"/>
      <c r="L3273" s="14"/>
      <c r="M3273" s="15"/>
      <c r="N3273" s="10"/>
      <c r="O3273" s="14"/>
      <c r="P3273" s="14"/>
      <c r="Q3273" s="14"/>
      <c r="R3273" s="14"/>
      <c r="S3273" s="14"/>
      <c r="T3273" s="14"/>
      <c r="U3273" s="14"/>
      <c r="V3273" s="14"/>
      <c r="W3273" s="14"/>
      <c r="X3273" s="14"/>
      <c r="Y3273" s="14"/>
      <c r="Z3273" s="14"/>
      <c r="AA3273" s="16"/>
      <c r="AB3273" s="10"/>
      <c r="AC3273" s="10"/>
      <c r="AD3273" s="10"/>
      <c r="AE3273" s="10"/>
      <c r="AF3273" s="10"/>
      <c r="AG3273" s="10"/>
      <c r="AH3273" s="10"/>
      <c r="AI3273" s="10"/>
      <c r="AJ3273" s="10"/>
      <c r="AK3273" s="10"/>
      <c r="AL3273" s="10"/>
      <c r="AM3273" s="10"/>
      <c r="AN3273" s="10"/>
      <c r="AO3273" s="10"/>
      <c r="AP3273" s="10"/>
      <c r="AQ3273" s="10"/>
      <c r="AR3273" s="10"/>
      <c r="AS3273" s="10"/>
      <c r="AT3273" s="10"/>
      <c r="AU3273" s="10"/>
      <c r="AV3273" s="10"/>
      <c r="AW3273" s="10"/>
      <c r="AX3273" s="10"/>
      <c r="AY3273" s="10"/>
      <c r="AZ3273" s="10"/>
      <c r="BA3273" s="10"/>
      <c r="BB3273" s="10"/>
      <c r="BC3273" s="10"/>
      <c r="BD3273" s="10"/>
      <c r="BE3273" s="10"/>
      <c r="BF3273" s="10"/>
      <c r="BG3273" s="10"/>
      <c r="BH3273" s="10"/>
      <c r="BI3273" s="10"/>
      <c r="BJ3273" s="10"/>
      <c r="BK3273" s="10"/>
      <c r="BM3273" s="10"/>
    </row>
    <row r="3274" spans="1:65" ht="12.75">
      <c r="A3274" s="9"/>
      <c r="B3274" s="10"/>
      <c r="C3274" s="11"/>
      <c r="D3274" s="12"/>
      <c r="E3274" s="10"/>
      <c r="F3274" s="10"/>
      <c r="G3274" s="10"/>
      <c r="H3274" s="14"/>
      <c r="I3274" s="14"/>
      <c r="J3274" s="14"/>
      <c r="K3274" s="14"/>
      <c r="L3274" s="14"/>
      <c r="M3274" s="15"/>
      <c r="N3274" s="10"/>
      <c r="O3274" s="14"/>
      <c r="P3274" s="14"/>
      <c r="Q3274" s="14"/>
      <c r="R3274" s="14"/>
      <c r="S3274" s="14"/>
      <c r="T3274" s="14"/>
      <c r="U3274" s="14"/>
      <c r="V3274" s="14"/>
      <c r="W3274" s="14"/>
      <c r="X3274" s="14"/>
      <c r="Y3274" s="14"/>
      <c r="Z3274" s="14"/>
      <c r="AA3274" s="16"/>
      <c r="AB3274" s="10"/>
      <c r="AC3274" s="10"/>
      <c r="AD3274" s="10"/>
      <c r="AE3274" s="10"/>
      <c r="AF3274" s="10"/>
      <c r="AG3274" s="10"/>
      <c r="AH3274" s="10"/>
      <c r="AI3274" s="10"/>
      <c r="AJ3274" s="10"/>
      <c r="AK3274" s="10"/>
      <c r="AL3274" s="10"/>
      <c r="AM3274" s="10"/>
      <c r="AN3274" s="10"/>
      <c r="AO3274" s="10"/>
      <c r="AP3274" s="10"/>
      <c r="AQ3274" s="10"/>
      <c r="AR3274" s="10"/>
      <c r="AS3274" s="10"/>
      <c r="AT3274" s="10"/>
      <c r="AU3274" s="10"/>
      <c r="AV3274" s="10"/>
      <c r="AW3274" s="10"/>
      <c r="AX3274" s="10"/>
      <c r="AY3274" s="10"/>
      <c r="AZ3274" s="10"/>
      <c r="BA3274" s="10"/>
      <c r="BB3274" s="10"/>
      <c r="BC3274" s="10"/>
      <c r="BD3274" s="10"/>
      <c r="BE3274" s="10"/>
      <c r="BF3274" s="10"/>
      <c r="BG3274" s="10"/>
      <c r="BH3274" s="10"/>
      <c r="BI3274" s="10"/>
      <c r="BJ3274" s="10"/>
      <c r="BK3274" s="10"/>
      <c r="BM3274" s="10"/>
    </row>
    <row r="3275" spans="1:65" ht="12.75">
      <c r="A3275" s="9"/>
      <c r="B3275" s="10"/>
      <c r="C3275" s="11"/>
      <c r="D3275" s="12"/>
      <c r="E3275" s="10"/>
      <c r="F3275" s="10"/>
      <c r="G3275" s="10"/>
      <c r="H3275" s="14"/>
      <c r="I3275" s="14"/>
      <c r="J3275" s="14"/>
      <c r="K3275" s="14"/>
      <c r="L3275" s="14"/>
      <c r="M3275" s="15"/>
      <c r="N3275" s="10"/>
      <c r="O3275" s="14"/>
      <c r="P3275" s="14"/>
      <c r="Q3275" s="14"/>
      <c r="R3275" s="14"/>
      <c r="S3275" s="14"/>
      <c r="T3275" s="14"/>
      <c r="U3275" s="14"/>
      <c r="V3275" s="14"/>
      <c r="W3275" s="14"/>
      <c r="X3275" s="14"/>
      <c r="Y3275" s="14"/>
      <c r="Z3275" s="14"/>
      <c r="AA3275" s="16"/>
      <c r="AB3275" s="10"/>
      <c r="AC3275" s="10"/>
      <c r="AD3275" s="10"/>
      <c r="AE3275" s="10"/>
      <c r="AF3275" s="10"/>
      <c r="AG3275" s="10"/>
      <c r="AH3275" s="10"/>
      <c r="AI3275" s="10"/>
      <c r="AJ3275" s="10"/>
      <c r="AK3275" s="10"/>
      <c r="AL3275" s="10"/>
      <c r="AM3275" s="10"/>
      <c r="AN3275" s="10"/>
      <c r="AO3275" s="10"/>
      <c r="AP3275" s="10"/>
      <c r="AQ3275" s="10"/>
      <c r="AR3275" s="10"/>
      <c r="AS3275" s="10"/>
      <c r="AT3275" s="10"/>
      <c r="AU3275" s="10"/>
      <c r="AV3275" s="10"/>
      <c r="AW3275" s="10"/>
      <c r="AX3275" s="10"/>
      <c r="AY3275" s="10"/>
      <c r="AZ3275" s="10"/>
      <c r="BA3275" s="10"/>
      <c r="BB3275" s="10"/>
      <c r="BC3275" s="10"/>
      <c r="BD3275" s="10"/>
      <c r="BE3275" s="10"/>
      <c r="BF3275" s="10"/>
      <c r="BG3275" s="10"/>
      <c r="BH3275" s="10"/>
      <c r="BI3275" s="10"/>
      <c r="BJ3275" s="10"/>
      <c r="BK3275" s="10"/>
      <c r="BM3275" s="10"/>
    </row>
    <row r="3276" spans="1:65" ht="12.75">
      <c r="A3276" s="9"/>
      <c r="B3276" s="10"/>
      <c r="C3276" s="11"/>
      <c r="D3276" s="12"/>
      <c r="E3276" s="10"/>
      <c r="F3276" s="10"/>
      <c r="G3276" s="10"/>
      <c r="H3276" s="14"/>
      <c r="I3276" s="14"/>
      <c r="J3276" s="14"/>
      <c r="K3276" s="14"/>
      <c r="L3276" s="14"/>
      <c r="M3276" s="15"/>
      <c r="N3276" s="10"/>
      <c r="O3276" s="14"/>
      <c r="P3276" s="14"/>
      <c r="Q3276" s="14"/>
      <c r="R3276" s="14"/>
      <c r="S3276" s="14"/>
      <c r="T3276" s="14"/>
      <c r="U3276" s="14"/>
      <c r="V3276" s="14"/>
      <c r="W3276" s="14"/>
      <c r="X3276" s="14"/>
      <c r="Y3276" s="14"/>
      <c r="Z3276" s="14"/>
      <c r="AA3276" s="16"/>
      <c r="AB3276" s="10"/>
      <c r="AC3276" s="10"/>
      <c r="AD3276" s="10"/>
      <c r="AE3276" s="10"/>
      <c r="AF3276" s="10"/>
      <c r="AG3276" s="10"/>
      <c r="AH3276" s="10"/>
      <c r="AI3276" s="10"/>
      <c r="AJ3276" s="10"/>
      <c r="AK3276" s="10"/>
      <c r="AL3276" s="10"/>
      <c r="AM3276" s="10"/>
      <c r="AN3276" s="10"/>
      <c r="AO3276" s="10"/>
      <c r="AP3276" s="10"/>
      <c r="AQ3276" s="10"/>
      <c r="AR3276" s="10"/>
      <c r="AS3276" s="10"/>
      <c r="AT3276" s="10"/>
      <c r="AU3276" s="10"/>
      <c r="AV3276" s="10"/>
      <c r="AW3276" s="10"/>
      <c r="AX3276" s="10"/>
      <c r="AY3276" s="10"/>
      <c r="AZ3276" s="10"/>
      <c r="BA3276" s="10"/>
      <c r="BB3276" s="10"/>
      <c r="BC3276" s="10"/>
      <c r="BD3276" s="10"/>
      <c r="BE3276" s="10"/>
      <c r="BF3276" s="10"/>
      <c r="BG3276" s="10"/>
      <c r="BH3276" s="10"/>
      <c r="BI3276" s="10"/>
      <c r="BJ3276" s="10"/>
      <c r="BK3276" s="10"/>
      <c r="BM3276" s="10"/>
    </row>
    <row r="3277" spans="1:65" ht="12.75">
      <c r="A3277" s="9"/>
      <c r="B3277" s="10"/>
      <c r="C3277" s="11"/>
      <c r="D3277" s="12"/>
      <c r="E3277" s="10"/>
      <c r="F3277" s="10"/>
      <c r="G3277" s="10"/>
      <c r="H3277" s="14"/>
      <c r="I3277" s="14"/>
      <c r="J3277" s="14"/>
      <c r="K3277" s="14"/>
      <c r="L3277" s="14"/>
      <c r="M3277" s="15"/>
      <c r="N3277" s="10"/>
      <c r="O3277" s="14"/>
      <c r="P3277" s="14"/>
      <c r="Q3277" s="14"/>
      <c r="R3277" s="14"/>
      <c r="S3277" s="14"/>
      <c r="T3277" s="14"/>
      <c r="U3277" s="14"/>
      <c r="V3277" s="14"/>
      <c r="W3277" s="14"/>
      <c r="X3277" s="14"/>
      <c r="Y3277" s="14"/>
      <c r="Z3277" s="14"/>
      <c r="AA3277" s="16"/>
      <c r="AB3277" s="10"/>
      <c r="AC3277" s="10"/>
      <c r="AD3277" s="10"/>
      <c r="AE3277" s="10"/>
      <c r="AF3277" s="10"/>
      <c r="AG3277" s="10"/>
      <c r="AH3277" s="10"/>
      <c r="AI3277" s="10"/>
      <c r="AJ3277" s="10"/>
      <c r="AK3277" s="10"/>
      <c r="AL3277" s="10"/>
      <c r="AM3277" s="10"/>
      <c r="AN3277" s="10"/>
      <c r="AO3277" s="10"/>
      <c r="AP3277" s="10"/>
      <c r="AQ3277" s="10"/>
      <c r="AR3277" s="10"/>
      <c r="AS3277" s="10"/>
      <c r="AT3277" s="10"/>
      <c r="AU3277" s="10"/>
      <c r="AV3277" s="10"/>
      <c r="AW3277" s="10"/>
      <c r="AX3277" s="10"/>
      <c r="AY3277" s="10"/>
      <c r="AZ3277" s="10"/>
      <c r="BA3277" s="10"/>
      <c r="BB3277" s="10"/>
      <c r="BC3277" s="10"/>
      <c r="BD3277" s="10"/>
      <c r="BE3277" s="10"/>
      <c r="BF3277" s="10"/>
      <c r="BG3277" s="10"/>
      <c r="BH3277" s="10"/>
      <c r="BI3277" s="10"/>
      <c r="BJ3277" s="10"/>
      <c r="BK3277" s="10"/>
      <c r="BM3277" s="10"/>
    </row>
    <row r="3278" spans="1:65" ht="12.75">
      <c r="A3278" s="9"/>
      <c r="B3278" s="10"/>
      <c r="C3278" s="11"/>
      <c r="D3278" s="12"/>
      <c r="E3278" s="10"/>
      <c r="F3278" s="10"/>
      <c r="G3278" s="10"/>
      <c r="H3278" s="14"/>
      <c r="I3278" s="14"/>
      <c r="J3278" s="14"/>
      <c r="K3278" s="14"/>
      <c r="L3278" s="14"/>
      <c r="M3278" s="15"/>
      <c r="N3278" s="10"/>
      <c r="O3278" s="14"/>
      <c r="P3278" s="14"/>
      <c r="Q3278" s="14"/>
      <c r="R3278" s="14"/>
      <c r="S3278" s="14"/>
      <c r="T3278" s="14"/>
      <c r="U3278" s="14"/>
      <c r="V3278" s="14"/>
      <c r="W3278" s="14"/>
      <c r="X3278" s="14"/>
      <c r="Y3278" s="14"/>
      <c r="Z3278" s="14"/>
      <c r="AA3278" s="16"/>
      <c r="AB3278" s="10"/>
      <c r="AC3278" s="10"/>
      <c r="AD3278" s="10"/>
      <c r="AE3278" s="10"/>
      <c r="AF3278" s="10"/>
      <c r="AG3278" s="10"/>
      <c r="AH3278" s="10"/>
      <c r="AI3278" s="10"/>
      <c r="AJ3278" s="10"/>
      <c r="AK3278" s="10"/>
      <c r="AL3278" s="10"/>
      <c r="AM3278" s="10"/>
      <c r="AN3278" s="10"/>
      <c r="AO3278" s="10"/>
      <c r="AP3278" s="10"/>
      <c r="AQ3278" s="10"/>
      <c r="AR3278" s="10"/>
      <c r="AS3278" s="10"/>
      <c r="AT3278" s="10"/>
      <c r="AU3278" s="10"/>
      <c r="AV3278" s="10"/>
      <c r="AW3278" s="10"/>
      <c r="AX3278" s="10"/>
      <c r="AY3278" s="10"/>
      <c r="AZ3278" s="10"/>
      <c r="BA3278" s="10"/>
      <c r="BB3278" s="10"/>
      <c r="BC3278" s="10"/>
      <c r="BD3278" s="10"/>
      <c r="BE3278" s="10"/>
      <c r="BF3278" s="10"/>
      <c r="BG3278" s="10"/>
      <c r="BH3278" s="10"/>
      <c r="BI3278" s="10"/>
      <c r="BJ3278" s="10"/>
      <c r="BK3278" s="10"/>
      <c r="BM3278" s="10"/>
    </row>
    <row r="3279" spans="1:65" ht="12.75">
      <c r="A3279" s="9"/>
      <c r="B3279" s="10"/>
      <c r="C3279" s="11"/>
      <c r="D3279" s="12"/>
      <c r="E3279" s="10"/>
      <c r="F3279" s="10"/>
      <c r="G3279" s="10"/>
      <c r="H3279" s="14"/>
      <c r="I3279" s="14"/>
      <c r="J3279" s="14"/>
      <c r="K3279" s="14"/>
      <c r="L3279" s="14"/>
      <c r="M3279" s="15"/>
      <c r="N3279" s="10"/>
      <c r="O3279" s="14"/>
      <c r="P3279" s="14"/>
      <c r="Q3279" s="14"/>
      <c r="R3279" s="14"/>
      <c r="S3279" s="14"/>
      <c r="T3279" s="14"/>
      <c r="U3279" s="14"/>
      <c r="V3279" s="14"/>
      <c r="W3279" s="14"/>
      <c r="X3279" s="14"/>
      <c r="Y3279" s="14"/>
      <c r="Z3279" s="14"/>
      <c r="AA3279" s="16"/>
      <c r="AB3279" s="10"/>
      <c r="AC3279" s="10"/>
      <c r="AD3279" s="10"/>
      <c r="AE3279" s="10"/>
      <c r="AF3279" s="10"/>
      <c r="AG3279" s="10"/>
      <c r="AH3279" s="10"/>
      <c r="AI3279" s="10"/>
      <c r="AJ3279" s="10"/>
      <c r="AK3279" s="10"/>
      <c r="AL3279" s="10"/>
      <c r="AM3279" s="10"/>
      <c r="AN3279" s="10"/>
      <c r="AO3279" s="10"/>
      <c r="AP3279" s="10"/>
      <c r="AQ3279" s="10"/>
      <c r="AR3279" s="10"/>
      <c r="AS3279" s="10"/>
      <c r="AT3279" s="10"/>
      <c r="AU3279" s="10"/>
      <c r="AV3279" s="10"/>
      <c r="AW3279" s="10"/>
      <c r="AX3279" s="10"/>
      <c r="AY3279" s="10"/>
      <c r="AZ3279" s="10"/>
      <c r="BA3279" s="10"/>
      <c r="BB3279" s="10"/>
      <c r="BC3279" s="10"/>
      <c r="BD3279" s="10"/>
      <c r="BE3279" s="10"/>
      <c r="BF3279" s="10"/>
      <c r="BG3279" s="10"/>
      <c r="BH3279" s="10"/>
      <c r="BI3279" s="10"/>
      <c r="BJ3279" s="10"/>
      <c r="BK3279" s="10"/>
      <c r="BM3279" s="10"/>
    </row>
    <row r="3280" spans="1:65" ht="12.75">
      <c r="A3280" s="9"/>
      <c r="B3280" s="10"/>
      <c r="C3280" s="11"/>
      <c r="D3280" s="12"/>
      <c r="E3280" s="10"/>
      <c r="F3280" s="10"/>
      <c r="G3280" s="10"/>
      <c r="H3280" s="14"/>
      <c r="I3280" s="14"/>
      <c r="J3280" s="14"/>
      <c r="K3280" s="14"/>
      <c r="L3280" s="14"/>
      <c r="M3280" s="15"/>
      <c r="N3280" s="10"/>
      <c r="O3280" s="14"/>
      <c r="P3280" s="14"/>
      <c r="Q3280" s="14"/>
      <c r="R3280" s="14"/>
      <c r="S3280" s="14"/>
      <c r="T3280" s="14"/>
      <c r="U3280" s="14"/>
      <c r="V3280" s="14"/>
      <c r="W3280" s="14"/>
      <c r="X3280" s="14"/>
      <c r="Y3280" s="14"/>
      <c r="Z3280" s="14"/>
      <c r="AA3280" s="16"/>
      <c r="AB3280" s="10"/>
      <c r="AC3280" s="10"/>
      <c r="AD3280" s="10"/>
      <c r="AE3280" s="10"/>
      <c r="AF3280" s="10"/>
      <c r="AG3280" s="10"/>
      <c r="AH3280" s="10"/>
      <c r="AI3280" s="10"/>
      <c r="AJ3280" s="10"/>
      <c r="AK3280" s="10"/>
      <c r="AL3280" s="10"/>
      <c r="AM3280" s="10"/>
      <c r="AN3280" s="10"/>
      <c r="AO3280" s="10"/>
      <c r="AP3280" s="10"/>
      <c r="AQ3280" s="10"/>
      <c r="AR3280" s="10"/>
      <c r="AS3280" s="10"/>
      <c r="AT3280" s="10"/>
      <c r="AU3280" s="10"/>
      <c r="AV3280" s="10"/>
      <c r="AW3280" s="10"/>
      <c r="AX3280" s="10"/>
      <c r="AY3280" s="10"/>
      <c r="AZ3280" s="10"/>
      <c r="BA3280" s="10"/>
      <c r="BB3280" s="10"/>
      <c r="BC3280" s="10"/>
      <c r="BD3280" s="10"/>
      <c r="BE3280" s="10"/>
      <c r="BF3280" s="10"/>
      <c r="BG3280" s="10"/>
      <c r="BH3280" s="10"/>
      <c r="BI3280" s="10"/>
      <c r="BJ3280" s="10"/>
      <c r="BK3280" s="10"/>
      <c r="BM3280" s="10"/>
    </row>
    <row r="3281" spans="1:65" ht="12.75">
      <c r="A3281" s="9"/>
      <c r="B3281" s="10"/>
      <c r="C3281" s="11"/>
      <c r="D3281" s="12"/>
      <c r="E3281" s="10"/>
      <c r="F3281" s="10"/>
      <c r="G3281" s="10"/>
      <c r="H3281" s="14"/>
      <c r="I3281" s="14"/>
      <c r="J3281" s="14"/>
      <c r="K3281" s="14"/>
      <c r="L3281" s="14"/>
      <c r="M3281" s="15"/>
      <c r="N3281" s="10"/>
      <c r="O3281" s="14"/>
      <c r="P3281" s="14"/>
      <c r="Q3281" s="14"/>
      <c r="R3281" s="14"/>
      <c r="S3281" s="14"/>
      <c r="T3281" s="14"/>
      <c r="U3281" s="14"/>
      <c r="V3281" s="14"/>
      <c r="W3281" s="14"/>
      <c r="X3281" s="14"/>
      <c r="Y3281" s="14"/>
      <c r="Z3281" s="14"/>
      <c r="AA3281" s="16"/>
      <c r="AB3281" s="10"/>
      <c r="AC3281" s="10"/>
      <c r="AD3281" s="10"/>
      <c r="AE3281" s="10"/>
      <c r="AF3281" s="10"/>
      <c r="AG3281" s="10"/>
      <c r="AH3281" s="10"/>
      <c r="AI3281" s="10"/>
      <c r="AJ3281" s="10"/>
      <c r="AK3281" s="10"/>
      <c r="AL3281" s="10"/>
      <c r="AM3281" s="10"/>
      <c r="AN3281" s="10"/>
      <c r="AO3281" s="10"/>
      <c r="AP3281" s="10"/>
      <c r="AQ3281" s="10"/>
      <c r="AR3281" s="10"/>
      <c r="AS3281" s="10"/>
      <c r="AT3281" s="10"/>
      <c r="AU3281" s="10"/>
      <c r="AV3281" s="10"/>
      <c r="AW3281" s="10"/>
      <c r="AX3281" s="10"/>
      <c r="AY3281" s="10"/>
      <c r="AZ3281" s="10"/>
      <c r="BA3281" s="10"/>
      <c r="BB3281" s="10"/>
      <c r="BC3281" s="10"/>
      <c r="BD3281" s="10"/>
      <c r="BE3281" s="10"/>
      <c r="BF3281" s="10"/>
      <c r="BG3281" s="10"/>
      <c r="BH3281" s="10"/>
      <c r="BI3281" s="10"/>
      <c r="BJ3281" s="10"/>
      <c r="BK3281" s="10"/>
      <c r="BM3281" s="10"/>
    </row>
    <row r="3282" spans="1:65" ht="12.75">
      <c r="A3282" s="9"/>
      <c r="B3282" s="10"/>
      <c r="C3282" s="11"/>
      <c r="D3282" s="12"/>
      <c r="E3282" s="10"/>
      <c r="F3282" s="10"/>
      <c r="G3282" s="10"/>
      <c r="H3282" s="14"/>
      <c r="I3282" s="14"/>
      <c r="J3282" s="14"/>
      <c r="K3282" s="14"/>
      <c r="L3282" s="14"/>
      <c r="M3282" s="15"/>
      <c r="N3282" s="10"/>
      <c r="O3282" s="14"/>
      <c r="P3282" s="14"/>
      <c r="Q3282" s="14"/>
      <c r="R3282" s="14"/>
      <c r="S3282" s="14"/>
      <c r="T3282" s="14"/>
      <c r="U3282" s="14"/>
      <c r="V3282" s="14"/>
      <c r="W3282" s="14"/>
      <c r="X3282" s="14"/>
      <c r="Y3282" s="14"/>
      <c r="Z3282" s="14"/>
      <c r="AA3282" s="16"/>
      <c r="AB3282" s="10"/>
      <c r="AC3282" s="10"/>
      <c r="AD3282" s="10"/>
      <c r="AE3282" s="10"/>
      <c r="AF3282" s="10"/>
      <c r="AG3282" s="10"/>
      <c r="AH3282" s="10"/>
      <c r="AI3282" s="10"/>
      <c r="AJ3282" s="10"/>
      <c r="AK3282" s="10"/>
      <c r="AL3282" s="10"/>
      <c r="AM3282" s="10"/>
      <c r="AN3282" s="10"/>
      <c r="AO3282" s="10"/>
      <c r="AP3282" s="10"/>
      <c r="AQ3282" s="10"/>
      <c r="AR3282" s="10"/>
      <c r="AS3282" s="10"/>
      <c r="AT3282" s="10"/>
      <c r="AU3282" s="10"/>
      <c r="AV3282" s="10"/>
      <c r="AW3282" s="10"/>
      <c r="AX3282" s="10"/>
      <c r="AY3282" s="10"/>
      <c r="AZ3282" s="10"/>
      <c r="BA3282" s="10"/>
      <c r="BB3282" s="10"/>
      <c r="BC3282" s="10"/>
      <c r="BD3282" s="10"/>
      <c r="BE3282" s="10"/>
      <c r="BF3282" s="10"/>
      <c r="BG3282" s="10"/>
      <c r="BH3282" s="10"/>
      <c r="BI3282" s="10"/>
      <c r="BJ3282" s="10"/>
      <c r="BK3282" s="10"/>
      <c r="BM3282" s="10"/>
    </row>
    <row r="3283" spans="1:65" ht="12.75">
      <c r="A3283" s="9"/>
      <c r="B3283" s="10"/>
      <c r="C3283" s="11"/>
      <c r="D3283" s="12"/>
      <c r="E3283" s="10"/>
      <c r="F3283" s="10"/>
      <c r="G3283" s="10"/>
      <c r="H3283" s="14"/>
      <c r="I3283" s="14"/>
      <c r="J3283" s="14"/>
      <c r="K3283" s="14"/>
      <c r="L3283" s="14"/>
      <c r="M3283" s="15"/>
      <c r="N3283" s="10"/>
      <c r="O3283" s="14"/>
      <c r="P3283" s="14"/>
      <c r="Q3283" s="14"/>
      <c r="R3283" s="14"/>
      <c r="S3283" s="14"/>
      <c r="T3283" s="14"/>
      <c r="U3283" s="14"/>
      <c r="V3283" s="14"/>
      <c r="W3283" s="14"/>
      <c r="X3283" s="14"/>
      <c r="Y3283" s="14"/>
      <c r="Z3283" s="14"/>
      <c r="AA3283" s="16"/>
      <c r="AB3283" s="10"/>
      <c r="AC3283" s="10"/>
      <c r="AD3283" s="10"/>
      <c r="AE3283" s="10"/>
      <c r="AF3283" s="10"/>
      <c r="AG3283" s="10"/>
      <c r="AH3283" s="10"/>
      <c r="AI3283" s="10"/>
      <c r="AJ3283" s="10"/>
      <c r="AK3283" s="10"/>
      <c r="AL3283" s="10"/>
      <c r="AM3283" s="10"/>
      <c r="AN3283" s="10"/>
      <c r="AO3283" s="10"/>
      <c r="AP3283" s="10"/>
      <c r="AQ3283" s="10"/>
      <c r="AR3283" s="10"/>
      <c r="AS3283" s="10"/>
      <c r="AT3283" s="10"/>
      <c r="AU3283" s="10"/>
      <c r="AV3283" s="10"/>
      <c r="AW3283" s="10"/>
      <c r="AX3283" s="10"/>
      <c r="AY3283" s="10"/>
      <c r="AZ3283" s="10"/>
      <c r="BA3283" s="10"/>
      <c r="BB3283" s="10"/>
      <c r="BC3283" s="10"/>
      <c r="BD3283" s="10"/>
      <c r="BE3283" s="10"/>
      <c r="BF3283" s="10"/>
      <c r="BG3283" s="10"/>
      <c r="BH3283" s="10"/>
      <c r="BI3283" s="10"/>
      <c r="BJ3283" s="10"/>
      <c r="BK3283" s="10"/>
      <c r="BM3283" s="10"/>
    </row>
    <row r="3284" spans="1:65" ht="12.75">
      <c r="A3284" s="9"/>
      <c r="B3284" s="10"/>
      <c r="C3284" s="11"/>
      <c r="D3284" s="12"/>
      <c r="E3284" s="10"/>
      <c r="F3284" s="10"/>
      <c r="G3284" s="10"/>
      <c r="H3284" s="14"/>
      <c r="I3284" s="14"/>
      <c r="J3284" s="14"/>
      <c r="K3284" s="14"/>
      <c r="L3284" s="14"/>
      <c r="M3284" s="15"/>
      <c r="N3284" s="10"/>
      <c r="O3284" s="14"/>
      <c r="P3284" s="14"/>
      <c r="Q3284" s="14"/>
      <c r="R3284" s="14"/>
      <c r="S3284" s="14"/>
      <c r="T3284" s="14"/>
      <c r="U3284" s="14"/>
      <c r="V3284" s="14"/>
      <c r="W3284" s="14"/>
      <c r="X3284" s="14"/>
      <c r="Y3284" s="14"/>
      <c r="Z3284" s="14"/>
      <c r="AA3284" s="16"/>
      <c r="AB3284" s="10"/>
      <c r="AC3284" s="10"/>
      <c r="AD3284" s="10"/>
      <c r="AE3284" s="10"/>
      <c r="AF3284" s="10"/>
      <c r="AG3284" s="10"/>
      <c r="AH3284" s="10"/>
      <c r="AI3284" s="10"/>
      <c r="AJ3284" s="10"/>
      <c r="AK3284" s="10"/>
      <c r="AL3284" s="10"/>
      <c r="AM3284" s="10"/>
      <c r="AN3284" s="10"/>
      <c r="AO3284" s="10"/>
      <c r="AP3284" s="10"/>
      <c r="AQ3284" s="10"/>
      <c r="AR3284" s="10"/>
      <c r="AS3284" s="10"/>
      <c r="AT3284" s="10"/>
      <c r="AU3284" s="10"/>
      <c r="AV3284" s="10"/>
      <c r="AW3284" s="10"/>
      <c r="AX3284" s="10"/>
      <c r="AY3284" s="10"/>
      <c r="AZ3284" s="10"/>
      <c r="BA3284" s="10"/>
      <c r="BB3284" s="10"/>
      <c r="BC3284" s="10"/>
      <c r="BD3284" s="10"/>
      <c r="BE3284" s="10"/>
      <c r="BF3284" s="10"/>
      <c r="BG3284" s="10"/>
      <c r="BH3284" s="10"/>
      <c r="BI3284" s="10"/>
      <c r="BJ3284" s="10"/>
      <c r="BK3284" s="10"/>
      <c r="BM3284" s="10"/>
    </row>
    <row r="3285" spans="1:65" ht="12.75">
      <c r="A3285" s="9"/>
      <c r="B3285" s="10"/>
      <c r="C3285" s="11"/>
      <c r="D3285" s="12"/>
      <c r="E3285" s="10"/>
      <c r="F3285" s="10"/>
      <c r="G3285" s="10"/>
      <c r="H3285" s="14"/>
      <c r="I3285" s="14"/>
      <c r="J3285" s="14"/>
      <c r="K3285" s="14"/>
      <c r="L3285" s="14"/>
      <c r="M3285" s="15"/>
      <c r="N3285" s="10"/>
      <c r="O3285" s="14"/>
      <c r="P3285" s="14"/>
      <c r="Q3285" s="14"/>
      <c r="R3285" s="14"/>
      <c r="S3285" s="14"/>
      <c r="T3285" s="14"/>
      <c r="U3285" s="14"/>
      <c r="V3285" s="14"/>
      <c r="W3285" s="14"/>
      <c r="X3285" s="14"/>
      <c r="Y3285" s="14"/>
      <c r="Z3285" s="14"/>
      <c r="AA3285" s="16"/>
      <c r="AB3285" s="10"/>
      <c r="AC3285" s="10"/>
      <c r="AD3285" s="10"/>
      <c r="AE3285" s="10"/>
      <c r="AF3285" s="10"/>
      <c r="AG3285" s="10"/>
      <c r="AH3285" s="10"/>
      <c r="AI3285" s="10"/>
      <c r="AJ3285" s="10"/>
      <c r="AK3285" s="10"/>
      <c r="AL3285" s="10"/>
      <c r="AM3285" s="10"/>
      <c r="AN3285" s="10"/>
      <c r="AO3285" s="10"/>
      <c r="AP3285" s="10"/>
      <c r="AQ3285" s="10"/>
      <c r="AR3285" s="10"/>
      <c r="AS3285" s="10"/>
      <c r="AT3285" s="10"/>
      <c r="AU3285" s="10"/>
      <c r="AV3285" s="10"/>
      <c r="AW3285" s="10"/>
      <c r="AX3285" s="10"/>
      <c r="AY3285" s="10"/>
      <c r="AZ3285" s="10"/>
      <c r="BA3285" s="10"/>
      <c r="BB3285" s="10"/>
      <c r="BC3285" s="10"/>
      <c r="BD3285" s="10"/>
      <c r="BE3285" s="10"/>
      <c r="BF3285" s="10"/>
      <c r="BG3285" s="10"/>
      <c r="BH3285" s="10"/>
      <c r="BI3285" s="10"/>
      <c r="BJ3285" s="10"/>
      <c r="BK3285" s="10"/>
      <c r="BM3285" s="10"/>
    </row>
    <row r="3286" spans="1:65" ht="12.75">
      <c r="A3286" s="9"/>
      <c r="B3286" s="10"/>
      <c r="C3286" s="11"/>
      <c r="D3286" s="12"/>
      <c r="E3286" s="10"/>
      <c r="F3286" s="10"/>
      <c r="G3286" s="10"/>
      <c r="H3286" s="14"/>
      <c r="I3286" s="14"/>
      <c r="J3286" s="14"/>
      <c r="K3286" s="14"/>
      <c r="L3286" s="14"/>
      <c r="M3286" s="15"/>
      <c r="N3286" s="10"/>
      <c r="O3286" s="14"/>
      <c r="P3286" s="14"/>
      <c r="Q3286" s="14"/>
      <c r="R3286" s="14"/>
      <c r="S3286" s="14"/>
      <c r="T3286" s="14"/>
      <c r="U3286" s="14"/>
      <c r="V3286" s="14"/>
      <c r="W3286" s="14"/>
      <c r="X3286" s="14"/>
      <c r="Y3286" s="14"/>
      <c r="Z3286" s="14"/>
      <c r="AA3286" s="16"/>
      <c r="AB3286" s="10"/>
      <c r="AC3286" s="10"/>
      <c r="AD3286" s="10"/>
      <c r="AE3286" s="10"/>
      <c r="AF3286" s="10"/>
      <c r="AG3286" s="10"/>
      <c r="AH3286" s="10"/>
      <c r="AI3286" s="10"/>
      <c r="AJ3286" s="10"/>
      <c r="AK3286" s="10"/>
      <c r="AL3286" s="10"/>
      <c r="AM3286" s="10"/>
      <c r="AN3286" s="10"/>
      <c r="AO3286" s="10"/>
      <c r="AP3286" s="10"/>
      <c r="AQ3286" s="10"/>
      <c r="AR3286" s="10"/>
      <c r="AS3286" s="10"/>
      <c r="AT3286" s="10"/>
      <c r="AU3286" s="10"/>
      <c r="AV3286" s="10"/>
      <c r="AW3286" s="10"/>
      <c r="AX3286" s="10"/>
      <c r="AY3286" s="10"/>
      <c r="AZ3286" s="10"/>
      <c r="BA3286" s="10"/>
      <c r="BB3286" s="10"/>
      <c r="BC3286" s="10"/>
      <c r="BD3286" s="10"/>
      <c r="BE3286" s="10"/>
      <c r="BF3286" s="10"/>
      <c r="BG3286" s="10"/>
      <c r="BH3286" s="10"/>
      <c r="BI3286" s="10"/>
      <c r="BJ3286" s="10"/>
      <c r="BK3286" s="10"/>
      <c r="BM3286" s="10"/>
    </row>
    <row r="3287" spans="1:65" ht="12.75">
      <c r="A3287" s="9"/>
      <c r="B3287" s="10"/>
      <c r="C3287" s="11"/>
      <c r="D3287" s="12"/>
      <c r="E3287" s="10"/>
      <c r="F3287" s="10"/>
      <c r="G3287" s="10"/>
      <c r="H3287" s="14"/>
      <c r="I3287" s="14"/>
      <c r="J3287" s="14"/>
      <c r="K3287" s="14"/>
      <c r="L3287" s="14"/>
      <c r="M3287" s="15"/>
      <c r="N3287" s="10"/>
      <c r="O3287" s="14"/>
      <c r="P3287" s="14"/>
      <c r="Q3287" s="14"/>
      <c r="R3287" s="14"/>
      <c r="S3287" s="14"/>
      <c r="T3287" s="14"/>
      <c r="U3287" s="14"/>
      <c r="V3287" s="14"/>
      <c r="W3287" s="14"/>
      <c r="X3287" s="14"/>
      <c r="Y3287" s="14"/>
      <c r="Z3287" s="14"/>
      <c r="AA3287" s="16"/>
      <c r="AB3287" s="10"/>
      <c r="AC3287" s="10"/>
      <c r="AD3287" s="10"/>
      <c r="AE3287" s="10"/>
      <c r="AF3287" s="10"/>
      <c r="AG3287" s="10"/>
      <c r="AH3287" s="10"/>
      <c r="AI3287" s="10"/>
      <c r="AJ3287" s="10"/>
      <c r="AK3287" s="10"/>
      <c r="AL3287" s="10"/>
      <c r="AM3287" s="10"/>
      <c r="AN3287" s="10"/>
      <c r="AO3287" s="10"/>
      <c r="AP3287" s="10"/>
      <c r="AQ3287" s="10"/>
      <c r="AR3287" s="10"/>
      <c r="AS3287" s="10"/>
      <c r="AT3287" s="10"/>
      <c r="AU3287" s="10"/>
      <c r="AV3287" s="10"/>
      <c r="AW3287" s="10"/>
      <c r="AX3287" s="10"/>
      <c r="AY3287" s="10"/>
      <c r="AZ3287" s="10"/>
      <c r="BA3287" s="10"/>
      <c r="BB3287" s="10"/>
      <c r="BC3287" s="10"/>
      <c r="BD3287" s="10"/>
      <c r="BE3287" s="10"/>
      <c r="BF3287" s="10"/>
      <c r="BG3287" s="10"/>
      <c r="BH3287" s="10"/>
      <c r="BI3287" s="10"/>
      <c r="BJ3287" s="10"/>
      <c r="BK3287" s="10"/>
      <c r="BM3287" s="10"/>
    </row>
    <row r="3288" spans="1:65" ht="12.75">
      <c r="A3288" s="9"/>
      <c r="B3288" s="10"/>
      <c r="C3288" s="11"/>
      <c r="D3288" s="12"/>
      <c r="E3288" s="10"/>
      <c r="F3288" s="10"/>
      <c r="G3288" s="10"/>
      <c r="H3288" s="14"/>
      <c r="I3288" s="14"/>
      <c r="J3288" s="14"/>
      <c r="K3288" s="14"/>
      <c r="L3288" s="14"/>
      <c r="M3288" s="15"/>
      <c r="N3288" s="10"/>
      <c r="O3288" s="14"/>
      <c r="P3288" s="14"/>
      <c r="Q3288" s="14"/>
      <c r="R3288" s="14"/>
      <c r="S3288" s="14"/>
      <c r="T3288" s="14"/>
      <c r="U3288" s="14"/>
      <c r="V3288" s="14"/>
      <c r="W3288" s="14"/>
      <c r="X3288" s="14"/>
      <c r="Y3288" s="14"/>
      <c r="Z3288" s="14"/>
      <c r="AA3288" s="16"/>
      <c r="AB3288" s="10"/>
      <c r="AC3288" s="10"/>
      <c r="AD3288" s="10"/>
      <c r="AE3288" s="10"/>
      <c r="AF3288" s="10"/>
      <c r="AG3288" s="10"/>
      <c r="AH3288" s="10"/>
      <c r="AI3288" s="10"/>
      <c r="AJ3288" s="10"/>
      <c r="AK3288" s="10"/>
      <c r="AL3288" s="10"/>
      <c r="AM3288" s="10"/>
      <c r="AN3288" s="10"/>
      <c r="AO3288" s="10"/>
      <c r="AP3288" s="10"/>
      <c r="AQ3288" s="10"/>
      <c r="AR3288" s="10"/>
      <c r="AS3288" s="10"/>
      <c r="AT3288" s="10"/>
      <c r="AU3288" s="10"/>
      <c r="AV3288" s="10"/>
      <c r="AW3288" s="10"/>
      <c r="AX3288" s="10"/>
      <c r="AY3288" s="10"/>
      <c r="AZ3288" s="10"/>
      <c r="BA3288" s="10"/>
      <c r="BB3288" s="10"/>
      <c r="BC3288" s="10"/>
      <c r="BD3288" s="10"/>
      <c r="BE3288" s="10"/>
      <c r="BF3288" s="10"/>
      <c r="BG3288" s="10"/>
      <c r="BH3288" s="10"/>
      <c r="BI3288" s="10"/>
      <c r="BJ3288" s="10"/>
      <c r="BK3288" s="10"/>
      <c r="BM3288" s="10"/>
    </row>
    <row r="3289" spans="1:65" ht="12.75">
      <c r="A3289" s="9"/>
      <c r="B3289" s="10"/>
      <c r="C3289" s="11"/>
      <c r="D3289" s="12"/>
      <c r="E3289" s="10"/>
      <c r="F3289" s="10"/>
      <c r="G3289" s="10"/>
      <c r="H3289" s="14"/>
      <c r="I3289" s="14"/>
      <c r="J3289" s="14"/>
      <c r="K3289" s="14"/>
      <c r="L3289" s="14"/>
      <c r="M3289" s="15"/>
      <c r="N3289" s="10"/>
      <c r="O3289" s="14"/>
      <c r="P3289" s="14"/>
      <c r="Q3289" s="14"/>
      <c r="R3289" s="14"/>
      <c r="S3289" s="14"/>
      <c r="T3289" s="14"/>
      <c r="U3289" s="14"/>
      <c r="V3289" s="14"/>
      <c r="W3289" s="14"/>
      <c r="X3289" s="14"/>
      <c r="Y3289" s="14"/>
      <c r="Z3289" s="14"/>
      <c r="AA3289" s="16"/>
      <c r="AB3289" s="10"/>
      <c r="AC3289" s="10"/>
      <c r="AD3289" s="10"/>
      <c r="AE3289" s="10"/>
      <c r="AF3289" s="10"/>
      <c r="AG3289" s="10"/>
      <c r="AH3289" s="10"/>
      <c r="AI3289" s="10"/>
      <c r="AJ3289" s="10"/>
      <c r="AK3289" s="10"/>
      <c r="AL3289" s="10"/>
      <c r="AM3289" s="10"/>
      <c r="AN3289" s="10"/>
      <c r="AO3289" s="10"/>
      <c r="AP3289" s="10"/>
      <c r="AQ3289" s="10"/>
      <c r="AR3289" s="10"/>
      <c r="AS3289" s="10"/>
      <c r="AT3289" s="10"/>
      <c r="AU3289" s="10"/>
      <c r="AV3289" s="10"/>
      <c r="AW3289" s="10"/>
      <c r="AX3289" s="10"/>
      <c r="AY3289" s="10"/>
      <c r="AZ3289" s="10"/>
      <c r="BA3289" s="10"/>
      <c r="BB3289" s="10"/>
      <c r="BC3289" s="10"/>
      <c r="BD3289" s="10"/>
      <c r="BE3289" s="10"/>
      <c r="BF3289" s="10"/>
      <c r="BG3289" s="10"/>
      <c r="BH3289" s="10"/>
      <c r="BI3289" s="10"/>
      <c r="BJ3289" s="10"/>
      <c r="BK3289" s="10"/>
      <c r="BM3289" s="10"/>
    </row>
    <row r="3290" spans="1:65" ht="12.75">
      <c r="A3290" s="9"/>
      <c r="B3290" s="10"/>
      <c r="C3290" s="11"/>
      <c r="D3290" s="12"/>
      <c r="E3290" s="10"/>
      <c r="F3290" s="10"/>
      <c r="G3290" s="10"/>
      <c r="H3290" s="14"/>
      <c r="I3290" s="14"/>
      <c r="J3290" s="14"/>
      <c r="K3290" s="14"/>
      <c r="L3290" s="14"/>
      <c r="M3290" s="15"/>
      <c r="N3290" s="10"/>
      <c r="O3290" s="14"/>
      <c r="P3290" s="14"/>
      <c r="Q3290" s="14"/>
      <c r="R3290" s="14"/>
      <c r="S3290" s="14"/>
      <c r="T3290" s="14"/>
      <c r="U3290" s="14"/>
      <c r="V3290" s="14"/>
      <c r="W3290" s="14"/>
      <c r="X3290" s="14"/>
      <c r="Y3290" s="14"/>
      <c r="Z3290" s="14"/>
      <c r="AA3290" s="16"/>
      <c r="AB3290" s="10"/>
      <c r="AC3290" s="10"/>
      <c r="AD3290" s="10"/>
      <c r="AE3290" s="10"/>
      <c r="AF3290" s="10"/>
      <c r="AG3290" s="10"/>
      <c r="AH3290" s="10"/>
      <c r="AI3290" s="10"/>
      <c r="AJ3290" s="10"/>
      <c r="AK3290" s="10"/>
      <c r="AL3290" s="10"/>
      <c r="AM3290" s="10"/>
      <c r="AN3290" s="10"/>
      <c r="AO3290" s="10"/>
      <c r="AP3290" s="10"/>
      <c r="AQ3290" s="10"/>
      <c r="AR3290" s="10"/>
      <c r="AS3290" s="10"/>
      <c r="AT3290" s="10"/>
      <c r="AU3290" s="10"/>
      <c r="AV3290" s="10"/>
      <c r="AW3290" s="10"/>
      <c r="AX3290" s="10"/>
      <c r="AY3290" s="10"/>
      <c r="AZ3290" s="10"/>
      <c r="BA3290" s="10"/>
      <c r="BB3290" s="10"/>
      <c r="BC3290" s="10"/>
      <c r="BD3290" s="10"/>
      <c r="BE3290" s="10"/>
      <c r="BF3290" s="10"/>
      <c r="BG3290" s="10"/>
      <c r="BH3290" s="10"/>
      <c r="BI3290" s="10"/>
      <c r="BJ3290" s="10"/>
      <c r="BK3290" s="10"/>
      <c r="BM3290" s="10"/>
    </row>
    <row r="3291" spans="1:65" ht="12.75">
      <c r="A3291" s="9"/>
      <c r="B3291" s="10"/>
      <c r="C3291" s="11"/>
      <c r="D3291" s="12"/>
      <c r="E3291" s="10"/>
      <c r="F3291" s="10"/>
      <c r="G3291" s="10"/>
      <c r="H3291" s="14"/>
      <c r="I3291" s="14"/>
      <c r="J3291" s="14"/>
      <c r="K3291" s="14"/>
      <c r="L3291" s="14"/>
      <c r="M3291" s="15"/>
      <c r="N3291" s="10"/>
      <c r="O3291" s="14"/>
      <c r="P3291" s="14"/>
      <c r="Q3291" s="14"/>
      <c r="R3291" s="14"/>
      <c r="S3291" s="14"/>
      <c r="T3291" s="14"/>
      <c r="U3291" s="14"/>
      <c r="V3291" s="14"/>
      <c r="W3291" s="14"/>
      <c r="X3291" s="14"/>
      <c r="Y3291" s="14"/>
      <c r="Z3291" s="14"/>
      <c r="AA3291" s="16"/>
      <c r="AB3291" s="10"/>
      <c r="AC3291" s="10"/>
      <c r="AD3291" s="10"/>
      <c r="AE3291" s="10"/>
      <c r="AF3291" s="10"/>
      <c r="AG3291" s="10"/>
      <c r="AH3291" s="10"/>
      <c r="AI3291" s="10"/>
      <c r="AJ3291" s="10"/>
      <c r="AK3291" s="10"/>
      <c r="AL3291" s="10"/>
      <c r="AM3291" s="10"/>
      <c r="AN3291" s="10"/>
      <c r="AO3291" s="10"/>
      <c r="AP3291" s="10"/>
      <c r="AQ3291" s="10"/>
      <c r="AR3291" s="10"/>
      <c r="AS3291" s="10"/>
      <c r="AT3291" s="10"/>
      <c r="AU3291" s="10"/>
      <c r="AV3291" s="10"/>
      <c r="AW3291" s="10"/>
      <c r="AX3291" s="10"/>
      <c r="AY3291" s="10"/>
      <c r="AZ3291" s="10"/>
      <c r="BA3291" s="10"/>
      <c r="BB3291" s="10"/>
      <c r="BC3291" s="10"/>
      <c r="BD3291" s="10"/>
      <c r="BE3291" s="10"/>
      <c r="BF3291" s="10"/>
      <c r="BG3291" s="10"/>
      <c r="BH3291" s="10"/>
      <c r="BI3291" s="10"/>
      <c r="BJ3291" s="10"/>
      <c r="BK3291" s="10"/>
      <c r="BM3291" s="10"/>
    </row>
    <row r="3292" spans="1:65" ht="12.75">
      <c r="A3292" s="9"/>
      <c r="B3292" s="10"/>
      <c r="C3292" s="11"/>
      <c r="D3292" s="12"/>
      <c r="E3292" s="10"/>
      <c r="F3292" s="10"/>
      <c r="G3292" s="10"/>
      <c r="H3292" s="14"/>
      <c r="I3292" s="14"/>
      <c r="J3292" s="14"/>
      <c r="K3292" s="14"/>
      <c r="L3292" s="14"/>
      <c r="M3292" s="15"/>
      <c r="N3292" s="10"/>
      <c r="O3292" s="14"/>
      <c r="P3292" s="14"/>
      <c r="Q3292" s="14"/>
      <c r="R3292" s="14"/>
      <c r="S3292" s="14"/>
      <c r="T3292" s="14"/>
      <c r="U3292" s="14"/>
      <c r="V3292" s="14"/>
      <c r="W3292" s="14"/>
      <c r="X3292" s="14"/>
      <c r="Y3292" s="14"/>
      <c r="Z3292" s="14"/>
      <c r="AA3292" s="16"/>
      <c r="AB3292" s="10"/>
      <c r="AC3292" s="10"/>
      <c r="AD3292" s="10"/>
      <c r="AE3292" s="10"/>
      <c r="AF3292" s="10"/>
      <c r="AG3292" s="10"/>
      <c r="AH3292" s="10"/>
      <c r="AI3292" s="10"/>
      <c r="AJ3292" s="10"/>
      <c r="AK3292" s="10"/>
      <c r="AL3292" s="10"/>
      <c r="AM3292" s="10"/>
      <c r="AN3292" s="10"/>
      <c r="AO3292" s="10"/>
      <c r="AP3292" s="10"/>
      <c r="AQ3292" s="10"/>
      <c r="AR3292" s="10"/>
      <c r="AS3292" s="10"/>
      <c r="AT3292" s="10"/>
      <c r="AU3292" s="10"/>
      <c r="AV3292" s="10"/>
      <c r="AW3292" s="10"/>
      <c r="AX3292" s="10"/>
      <c r="AY3292" s="10"/>
      <c r="AZ3292" s="10"/>
      <c r="BA3292" s="10"/>
      <c r="BB3292" s="10"/>
      <c r="BC3292" s="10"/>
      <c r="BD3292" s="10"/>
      <c r="BE3292" s="10"/>
      <c r="BF3292" s="10"/>
      <c r="BG3292" s="10"/>
      <c r="BH3292" s="10"/>
      <c r="BI3292" s="10"/>
      <c r="BJ3292" s="10"/>
      <c r="BK3292" s="10"/>
      <c r="BM3292" s="10"/>
    </row>
    <row r="3293" spans="1:65" ht="12.75">
      <c r="A3293" s="9"/>
      <c r="B3293" s="10"/>
      <c r="C3293" s="11"/>
      <c r="D3293" s="12"/>
      <c r="E3293" s="10"/>
      <c r="F3293" s="10"/>
      <c r="G3293" s="10"/>
      <c r="H3293" s="14"/>
      <c r="I3293" s="14"/>
      <c r="J3293" s="14"/>
      <c r="K3293" s="14"/>
      <c r="L3293" s="14"/>
      <c r="M3293" s="15"/>
      <c r="N3293" s="10"/>
      <c r="O3293" s="14"/>
      <c r="P3293" s="14"/>
      <c r="Q3293" s="14"/>
      <c r="R3293" s="14"/>
      <c r="S3293" s="14"/>
      <c r="T3293" s="14"/>
      <c r="U3293" s="14"/>
      <c r="V3293" s="14"/>
      <c r="W3293" s="14"/>
      <c r="X3293" s="14"/>
      <c r="Y3293" s="14"/>
      <c r="Z3293" s="14"/>
      <c r="AA3293" s="16"/>
      <c r="AB3293" s="10"/>
      <c r="AC3293" s="10"/>
      <c r="AD3293" s="10"/>
      <c r="AE3293" s="10"/>
      <c r="AF3293" s="10"/>
      <c r="AG3293" s="10"/>
      <c r="AH3293" s="10"/>
      <c r="AI3293" s="10"/>
      <c r="AJ3293" s="10"/>
      <c r="AK3293" s="10"/>
      <c r="AL3293" s="10"/>
      <c r="AM3293" s="10"/>
      <c r="AN3293" s="10"/>
      <c r="AO3293" s="10"/>
      <c r="AP3293" s="10"/>
      <c r="AQ3293" s="10"/>
      <c r="AR3293" s="10"/>
      <c r="AS3293" s="10"/>
      <c r="AT3293" s="10"/>
      <c r="AU3293" s="10"/>
      <c r="AV3293" s="10"/>
      <c r="AW3293" s="10"/>
      <c r="AX3293" s="10"/>
      <c r="AY3293" s="10"/>
      <c r="AZ3293" s="10"/>
      <c r="BA3293" s="10"/>
      <c r="BB3293" s="10"/>
      <c r="BC3293" s="10"/>
      <c r="BD3293" s="10"/>
      <c r="BE3293" s="10"/>
      <c r="BF3293" s="10"/>
      <c r="BG3293" s="10"/>
      <c r="BH3293" s="10"/>
      <c r="BI3293" s="10"/>
      <c r="BJ3293" s="10"/>
      <c r="BK3293" s="10"/>
      <c r="BM3293" s="10"/>
    </row>
    <row r="3294" spans="1:65" ht="12.75">
      <c r="A3294" s="9"/>
      <c r="B3294" s="10"/>
      <c r="C3294" s="11"/>
      <c r="D3294" s="12"/>
      <c r="E3294" s="10"/>
      <c r="F3294" s="10"/>
      <c r="G3294" s="10"/>
      <c r="H3294" s="14"/>
      <c r="I3294" s="14"/>
      <c r="J3294" s="14"/>
      <c r="K3294" s="14"/>
      <c r="L3294" s="14"/>
      <c r="M3294" s="15"/>
      <c r="N3294" s="10"/>
      <c r="O3294" s="14"/>
      <c r="P3294" s="14"/>
      <c r="Q3294" s="14"/>
      <c r="R3294" s="14"/>
      <c r="S3294" s="14"/>
      <c r="T3294" s="14"/>
      <c r="U3294" s="14"/>
      <c r="V3294" s="14"/>
      <c r="W3294" s="14"/>
      <c r="X3294" s="14"/>
      <c r="Y3294" s="14"/>
      <c r="Z3294" s="14"/>
      <c r="AA3294" s="16"/>
      <c r="AB3294" s="10"/>
      <c r="AC3294" s="10"/>
      <c r="AD3294" s="10"/>
      <c r="AE3294" s="10"/>
      <c r="AF3294" s="10"/>
      <c r="AG3294" s="10"/>
      <c r="AH3294" s="10"/>
      <c r="AI3294" s="10"/>
      <c r="AJ3294" s="10"/>
      <c r="AK3294" s="10"/>
      <c r="AL3294" s="10"/>
      <c r="AM3294" s="10"/>
      <c r="AN3294" s="10"/>
      <c r="AO3294" s="10"/>
      <c r="AP3294" s="10"/>
      <c r="AQ3294" s="10"/>
      <c r="AR3294" s="10"/>
      <c r="AS3294" s="10"/>
      <c r="AT3294" s="10"/>
      <c r="AU3294" s="10"/>
      <c r="AV3294" s="10"/>
      <c r="AW3294" s="10"/>
      <c r="AX3294" s="10"/>
      <c r="AY3294" s="10"/>
      <c r="AZ3294" s="10"/>
      <c r="BA3294" s="10"/>
      <c r="BB3294" s="10"/>
      <c r="BC3294" s="10"/>
      <c r="BD3294" s="10"/>
      <c r="BE3294" s="10"/>
      <c r="BF3294" s="10"/>
      <c r="BG3294" s="10"/>
      <c r="BH3294" s="10"/>
      <c r="BI3294" s="10"/>
      <c r="BJ3294" s="10"/>
      <c r="BK3294" s="10"/>
      <c r="BM3294" s="10"/>
    </row>
    <row r="3295" spans="1:65" ht="12.75">
      <c r="A3295" s="9"/>
      <c r="B3295" s="10"/>
      <c r="C3295" s="11"/>
      <c r="D3295" s="12"/>
      <c r="E3295" s="10"/>
      <c r="F3295" s="10"/>
      <c r="G3295" s="10"/>
      <c r="H3295" s="14"/>
      <c r="I3295" s="14"/>
      <c r="J3295" s="14"/>
      <c r="K3295" s="14"/>
      <c r="L3295" s="14"/>
      <c r="M3295" s="15"/>
      <c r="N3295" s="10"/>
      <c r="O3295" s="14"/>
      <c r="P3295" s="14"/>
      <c r="Q3295" s="14"/>
      <c r="R3295" s="14"/>
      <c r="S3295" s="14"/>
      <c r="T3295" s="14"/>
      <c r="U3295" s="14"/>
      <c r="V3295" s="14"/>
      <c r="W3295" s="14"/>
      <c r="X3295" s="14"/>
      <c r="Y3295" s="14"/>
      <c r="Z3295" s="14"/>
      <c r="AA3295" s="16"/>
      <c r="AB3295" s="10"/>
      <c r="AC3295" s="10"/>
      <c r="AD3295" s="10"/>
      <c r="AE3295" s="10"/>
      <c r="AF3295" s="10"/>
      <c r="AG3295" s="10"/>
      <c r="AH3295" s="10"/>
      <c r="AI3295" s="10"/>
      <c r="AJ3295" s="10"/>
      <c r="AK3295" s="10"/>
      <c r="AL3295" s="10"/>
      <c r="AM3295" s="10"/>
      <c r="AN3295" s="10"/>
      <c r="AO3295" s="10"/>
      <c r="AP3295" s="10"/>
      <c r="AQ3295" s="10"/>
      <c r="AR3295" s="10"/>
      <c r="AS3295" s="10"/>
      <c r="AT3295" s="10"/>
      <c r="AU3295" s="10"/>
      <c r="AV3295" s="10"/>
      <c r="AW3295" s="10"/>
      <c r="AX3295" s="10"/>
      <c r="AY3295" s="10"/>
      <c r="AZ3295" s="10"/>
      <c r="BA3295" s="10"/>
      <c r="BB3295" s="10"/>
      <c r="BC3295" s="10"/>
      <c r="BD3295" s="10"/>
      <c r="BE3295" s="10"/>
      <c r="BF3295" s="10"/>
      <c r="BG3295" s="10"/>
      <c r="BH3295" s="10"/>
      <c r="BI3295" s="10"/>
      <c r="BJ3295" s="10"/>
      <c r="BK3295" s="10"/>
      <c r="BM3295" s="10"/>
    </row>
    <row r="3296" spans="1:65" ht="12.75">
      <c r="A3296" s="9"/>
      <c r="B3296" s="10"/>
      <c r="C3296" s="11"/>
      <c r="D3296" s="12"/>
      <c r="E3296" s="10"/>
      <c r="F3296" s="10"/>
      <c r="G3296" s="10"/>
      <c r="H3296" s="14"/>
      <c r="I3296" s="14"/>
      <c r="J3296" s="14"/>
      <c r="K3296" s="14"/>
      <c r="L3296" s="14"/>
      <c r="M3296" s="15"/>
      <c r="N3296" s="10"/>
      <c r="O3296" s="14"/>
      <c r="P3296" s="14"/>
      <c r="Q3296" s="14"/>
      <c r="R3296" s="14"/>
      <c r="S3296" s="14"/>
      <c r="T3296" s="14"/>
      <c r="U3296" s="14"/>
      <c r="V3296" s="14"/>
      <c r="W3296" s="14"/>
      <c r="X3296" s="14"/>
      <c r="Y3296" s="14"/>
      <c r="Z3296" s="14"/>
      <c r="AA3296" s="16"/>
      <c r="AB3296" s="10"/>
      <c r="AC3296" s="10"/>
      <c r="AD3296" s="10"/>
      <c r="AE3296" s="10"/>
      <c r="AF3296" s="10"/>
      <c r="AG3296" s="10"/>
      <c r="AH3296" s="10"/>
      <c r="AI3296" s="10"/>
      <c r="AJ3296" s="10"/>
      <c r="AK3296" s="10"/>
      <c r="AL3296" s="10"/>
      <c r="AM3296" s="10"/>
      <c r="AN3296" s="10"/>
      <c r="AO3296" s="10"/>
      <c r="AP3296" s="10"/>
      <c r="AQ3296" s="10"/>
      <c r="AR3296" s="10"/>
      <c r="AS3296" s="10"/>
      <c r="AT3296" s="10"/>
      <c r="AU3296" s="10"/>
      <c r="AV3296" s="10"/>
      <c r="AW3296" s="10"/>
      <c r="AX3296" s="10"/>
      <c r="AY3296" s="10"/>
      <c r="AZ3296" s="10"/>
      <c r="BA3296" s="10"/>
      <c r="BB3296" s="10"/>
      <c r="BC3296" s="10"/>
      <c r="BD3296" s="10"/>
      <c r="BE3296" s="10"/>
      <c r="BF3296" s="10"/>
      <c r="BG3296" s="10"/>
      <c r="BH3296" s="10"/>
      <c r="BI3296" s="10"/>
      <c r="BJ3296" s="10"/>
      <c r="BK3296" s="10"/>
      <c r="BM3296" s="10"/>
    </row>
    <row r="3297" spans="1:65" ht="12.75">
      <c r="A3297" s="9"/>
      <c r="B3297" s="10"/>
      <c r="C3297" s="11"/>
      <c r="D3297" s="12"/>
      <c r="E3297" s="10"/>
      <c r="F3297" s="10"/>
      <c r="G3297" s="10"/>
      <c r="H3297" s="14"/>
      <c r="I3297" s="14"/>
      <c r="J3297" s="14"/>
      <c r="K3297" s="14"/>
      <c r="L3297" s="14"/>
      <c r="M3297" s="15"/>
      <c r="N3297" s="10"/>
      <c r="O3297" s="14"/>
      <c r="P3297" s="14"/>
      <c r="Q3297" s="14"/>
      <c r="R3297" s="14"/>
      <c r="S3297" s="14"/>
      <c r="T3297" s="14"/>
      <c r="U3297" s="14"/>
      <c r="V3297" s="14"/>
      <c r="W3297" s="14"/>
      <c r="X3297" s="14"/>
      <c r="Y3297" s="14"/>
      <c r="Z3297" s="14"/>
      <c r="AA3297" s="16"/>
      <c r="AB3297" s="10"/>
      <c r="AC3297" s="10"/>
      <c r="AD3297" s="10"/>
      <c r="AE3297" s="10"/>
      <c r="AF3297" s="10"/>
      <c r="AG3297" s="10"/>
      <c r="AH3297" s="10"/>
      <c r="AI3297" s="10"/>
      <c r="AJ3297" s="10"/>
      <c r="AK3297" s="10"/>
      <c r="AL3297" s="10"/>
      <c r="AM3297" s="10"/>
      <c r="AN3297" s="10"/>
      <c r="AO3297" s="10"/>
      <c r="AP3297" s="10"/>
      <c r="AQ3297" s="10"/>
      <c r="AR3297" s="10"/>
      <c r="AS3297" s="10"/>
      <c r="AT3297" s="10"/>
      <c r="AU3297" s="10"/>
      <c r="AV3297" s="10"/>
      <c r="AW3297" s="10"/>
      <c r="AX3297" s="10"/>
      <c r="AY3297" s="10"/>
      <c r="AZ3297" s="10"/>
      <c r="BA3297" s="10"/>
      <c r="BB3297" s="10"/>
      <c r="BC3297" s="10"/>
      <c r="BD3297" s="10"/>
      <c r="BE3297" s="10"/>
      <c r="BF3297" s="10"/>
      <c r="BG3297" s="10"/>
      <c r="BH3297" s="10"/>
      <c r="BI3297" s="10"/>
      <c r="BJ3297" s="10"/>
      <c r="BK3297" s="10"/>
      <c r="BM3297" s="10"/>
    </row>
    <row r="3298" spans="1:65" ht="12.75">
      <c r="A3298" s="9"/>
      <c r="B3298" s="10"/>
      <c r="C3298" s="11"/>
      <c r="D3298" s="12"/>
      <c r="E3298" s="10"/>
      <c r="F3298" s="10"/>
      <c r="G3298" s="10"/>
      <c r="H3298" s="14"/>
      <c r="I3298" s="14"/>
      <c r="J3298" s="14"/>
      <c r="K3298" s="14"/>
      <c r="L3298" s="14"/>
      <c r="M3298" s="15"/>
      <c r="N3298" s="10"/>
      <c r="O3298" s="14"/>
      <c r="P3298" s="14"/>
      <c r="Q3298" s="14"/>
      <c r="R3298" s="14"/>
      <c r="S3298" s="14"/>
      <c r="T3298" s="14"/>
      <c r="U3298" s="14"/>
      <c r="V3298" s="14"/>
      <c r="W3298" s="14"/>
      <c r="X3298" s="14"/>
      <c r="Y3298" s="14"/>
      <c r="Z3298" s="14"/>
      <c r="AA3298" s="16"/>
      <c r="AB3298" s="10"/>
      <c r="AC3298" s="10"/>
      <c r="AD3298" s="10"/>
      <c r="AE3298" s="10"/>
      <c r="AF3298" s="10"/>
      <c r="AG3298" s="10"/>
      <c r="AH3298" s="10"/>
      <c r="AI3298" s="10"/>
      <c r="AJ3298" s="10"/>
      <c r="AK3298" s="10"/>
      <c r="AL3298" s="10"/>
      <c r="AM3298" s="10"/>
      <c r="AN3298" s="10"/>
      <c r="AO3298" s="10"/>
      <c r="AP3298" s="10"/>
      <c r="AQ3298" s="10"/>
      <c r="AR3298" s="10"/>
      <c r="AS3298" s="10"/>
      <c r="AT3298" s="10"/>
      <c r="AU3298" s="10"/>
      <c r="AV3298" s="10"/>
      <c r="AW3298" s="10"/>
      <c r="AX3298" s="10"/>
      <c r="AY3298" s="10"/>
      <c r="AZ3298" s="10"/>
      <c r="BA3298" s="10"/>
      <c r="BB3298" s="10"/>
      <c r="BC3298" s="10"/>
      <c r="BD3298" s="10"/>
      <c r="BE3298" s="10"/>
      <c r="BF3298" s="10"/>
      <c r="BG3298" s="10"/>
      <c r="BH3298" s="10"/>
      <c r="BI3298" s="10"/>
      <c r="BJ3298" s="10"/>
      <c r="BK3298" s="10"/>
      <c r="BM3298" s="10"/>
    </row>
    <row r="3299" spans="1:65" ht="12.75">
      <c r="A3299" s="9"/>
      <c r="B3299" s="10"/>
      <c r="C3299" s="11"/>
      <c r="D3299" s="12"/>
      <c r="E3299" s="10"/>
      <c r="F3299" s="10"/>
      <c r="G3299" s="10"/>
      <c r="H3299" s="14"/>
      <c r="I3299" s="14"/>
      <c r="J3299" s="14"/>
      <c r="K3299" s="14"/>
      <c r="L3299" s="14"/>
      <c r="M3299" s="15"/>
      <c r="N3299" s="10"/>
      <c r="O3299" s="14"/>
      <c r="P3299" s="14"/>
      <c r="Q3299" s="14"/>
      <c r="R3299" s="14"/>
      <c r="S3299" s="14"/>
      <c r="T3299" s="14"/>
      <c r="U3299" s="14"/>
      <c r="V3299" s="14"/>
      <c r="W3299" s="14"/>
      <c r="X3299" s="14"/>
      <c r="Y3299" s="14"/>
      <c r="Z3299" s="14"/>
      <c r="AA3299" s="16"/>
      <c r="AB3299" s="10"/>
      <c r="AC3299" s="10"/>
      <c r="AD3299" s="10"/>
      <c r="AE3299" s="10"/>
      <c r="AF3299" s="10"/>
      <c r="AG3299" s="10"/>
      <c r="AH3299" s="10"/>
      <c r="AI3299" s="10"/>
      <c r="AJ3299" s="10"/>
      <c r="AK3299" s="10"/>
      <c r="AL3299" s="10"/>
      <c r="AM3299" s="10"/>
      <c r="AN3299" s="10"/>
      <c r="AO3299" s="10"/>
      <c r="AP3299" s="10"/>
      <c r="AQ3299" s="10"/>
      <c r="AR3299" s="10"/>
      <c r="AS3299" s="10"/>
      <c r="AT3299" s="10"/>
      <c r="AU3299" s="10"/>
      <c r="AV3299" s="10"/>
      <c r="AW3299" s="10"/>
      <c r="AX3299" s="10"/>
      <c r="AY3299" s="10"/>
      <c r="AZ3299" s="10"/>
      <c r="BA3299" s="10"/>
      <c r="BB3299" s="10"/>
      <c r="BC3299" s="10"/>
      <c r="BD3299" s="10"/>
      <c r="BE3299" s="10"/>
      <c r="BF3299" s="10"/>
      <c r="BG3299" s="10"/>
      <c r="BH3299" s="10"/>
      <c r="BI3299" s="10"/>
      <c r="BJ3299" s="10"/>
      <c r="BK3299" s="10"/>
      <c r="BM3299" s="10"/>
    </row>
    <row r="3300" spans="1:65" ht="12.75">
      <c r="A3300" s="9"/>
      <c r="B3300" s="10"/>
      <c r="C3300" s="11"/>
      <c r="D3300" s="12"/>
      <c r="E3300" s="10"/>
      <c r="F3300" s="10"/>
      <c r="G3300" s="10"/>
      <c r="H3300" s="14"/>
      <c r="I3300" s="14"/>
      <c r="J3300" s="14"/>
      <c r="K3300" s="14"/>
      <c r="L3300" s="14"/>
      <c r="M3300" s="15"/>
      <c r="N3300" s="10"/>
      <c r="O3300" s="14"/>
      <c r="P3300" s="14"/>
      <c r="Q3300" s="14"/>
      <c r="R3300" s="14"/>
      <c r="S3300" s="14"/>
      <c r="T3300" s="14"/>
      <c r="U3300" s="14"/>
      <c r="V3300" s="14"/>
      <c r="W3300" s="14"/>
      <c r="X3300" s="14"/>
      <c r="Y3300" s="14"/>
      <c r="Z3300" s="14"/>
      <c r="AA3300" s="16"/>
      <c r="AB3300" s="10"/>
      <c r="AC3300" s="10"/>
      <c r="AD3300" s="10"/>
      <c r="AE3300" s="10"/>
      <c r="AF3300" s="10"/>
      <c r="AG3300" s="10"/>
      <c r="AH3300" s="10"/>
      <c r="AI3300" s="10"/>
      <c r="AJ3300" s="10"/>
      <c r="AK3300" s="10"/>
      <c r="AL3300" s="10"/>
      <c r="AM3300" s="10"/>
      <c r="AN3300" s="10"/>
      <c r="AO3300" s="10"/>
      <c r="AP3300" s="10"/>
      <c r="AQ3300" s="10"/>
      <c r="AR3300" s="10"/>
      <c r="AS3300" s="10"/>
      <c r="AT3300" s="10"/>
      <c r="AU3300" s="10"/>
      <c r="AV3300" s="10"/>
      <c r="AW3300" s="10"/>
      <c r="AX3300" s="10"/>
      <c r="AY3300" s="10"/>
      <c r="AZ3300" s="10"/>
      <c r="BA3300" s="10"/>
      <c r="BB3300" s="10"/>
      <c r="BC3300" s="10"/>
      <c r="BD3300" s="10"/>
      <c r="BE3300" s="10"/>
      <c r="BF3300" s="10"/>
      <c r="BG3300" s="10"/>
      <c r="BH3300" s="10"/>
      <c r="BI3300" s="10"/>
      <c r="BJ3300" s="10"/>
      <c r="BK3300" s="10"/>
      <c r="BM3300" s="10"/>
    </row>
    <row r="3301" spans="1:65" ht="12.75">
      <c r="A3301" s="9"/>
      <c r="B3301" s="10"/>
      <c r="C3301" s="11"/>
      <c r="D3301" s="12"/>
      <c r="E3301" s="10"/>
      <c r="F3301" s="10"/>
      <c r="G3301" s="10"/>
      <c r="H3301" s="14"/>
      <c r="I3301" s="14"/>
      <c r="J3301" s="14"/>
      <c r="K3301" s="14"/>
      <c r="L3301" s="14"/>
      <c r="M3301" s="15"/>
      <c r="N3301" s="10"/>
      <c r="O3301" s="14"/>
      <c r="P3301" s="14"/>
      <c r="Q3301" s="14"/>
      <c r="R3301" s="14"/>
      <c r="S3301" s="14"/>
      <c r="T3301" s="14"/>
      <c r="U3301" s="14"/>
      <c r="V3301" s="14"/>
      <c r="W3301" s="14"/>
      <c r="X3301" s="14"/>
      <c r="Y3301" s="14"/>
      <c r="Z3301" s="14"/>
      <c r="AA3301" s="16"/>
      <c r="AB3301" s="10"/>
      <c r="AC3301" s="10"/>
      <c r="AD3301" s="10"/>
      <c r="AE3301" s="10"/>
      <c r="AF3301" s="10"/>
      <c r="AG3301" s="10"/>
      <c r="AH3301" s="10"/>
      <c r="AI3301" s="10"/>
      <c r="AJ3301" s="10"/>
      <c r="AK3301" s="10"/>
      <c r="AL3301" s="10"/>
      <c r="AM3301" s="10"/>
      <c r="AN3301" s="10"/>
      <c r="AO3301" s="10"/>
      <c r="AP3301" s="10"/>
      <c r="AQ3301" s="10"/>
      <c r="AR3301" s="10"/>
      <c r="AS3301" s="10"/>
      <c r="AT3301" s="10"/>
      <c r="AU3301" s="10"/>
      <c r="AV3301" s="10"/>
      <c r="AW3301" s="10"/>
      <c r="AX3301" s="10"/>
      <c r="AY3301" s="10"/>
      <c r="AZ3301" s="10"/>
      <c r="BA3301" s="10"/>
      <c r="BB3301" s="10"/>
      <c r="BC3301" s="10"/>
      <c r="BD3301" s="10"/>
      <c r="BE3301" s="10"/>
      <c r="BF3301" s="10"/>
      <c r="BG3301" s="10"/>
      <c r="BH3301" s="10"/>
      <c r="BI3301" s="10"/>
      <c r="BJ3301" s="10"/>
      <c r="BK3301" s="10"/>
      <c r="BM3301" s="10"/>
    </row>
    <row r="3302" spans="1:65" ht="12.75">
      <c r="A3302" s="9"/>
      <c r="B3302" s="10"/>
      <c r="C3302" s="11"/>
      <c r="D3302" s="12"/>
      <c r="E3302" s="10"/>
      <c r="F3302" s="10"/>
      <c r="G3302" s="10"/>
      <c r="H3302" s="14"/>
      <c r="I3302" s="14"/>
      <c r="J3302" s="14"/>
      <c r="K3302" s="14"/>
      <c r="L3302" s="14"/>
      <c r="M3302" s="15"/>
      <c r="N3302" s="10"/>
      <c r="O3302" s="14"/>
      <c r="P3302" s="14"/>
      <c r="Q3302" s="14"/>
      <c r="R3302" s="14"/>
      <c r="S3302" s="14"/>
      <c r="T3302" s="14"/>
      <c r="U3302" s="14"/>
      <c r="V3302" s="14"/>
      <c r="W3302" s="14"/>
      <c r="X3302" s="14"/>
      <c r="Y3302" s="14"/>
      <c r="Z3302" s="14"/>
      <c r="AA3302" s="16"/>
      <c r="AB3302" s="10"/>
      <c r="AC3302" s="10"/>
      <c r="AD3302" s="10"/>
      <c r="AE3302" s="10"/>
      <c r="AF3302" s="10"/>
      <c r="AG3302" s="10"/>
      <c r="AH3302" s="10"/>
      <c r="AI3302" s="10"/>
      <c r="AJ3302" s="10"/>
      <c r="AK3302" s="10"/>
      <c r="AL3302" s="10"/>
      <c r="AM3302" s="10"/>
      <c r="AN3302" s="10"/>
      <c r="AO3302" s="10"/>
      <c r="AP3302" s="10"/>
      <c r="AQ3302" s="10"/>
      <c r="AR3302" s="10"/>
      <c r="AS3302" s="10"/>
      <c r="AT3302" s="10"/>
      <c r="AU3302" s="10"/>
      <c r="AV3302" s="10"/>
      <c r="AW3302" s="10"/>
      <c r="AX3302" s="10"/>
      <c r="AY3302" s="10"/>
      <c r="AZ3302" s="10"/>
      <c r="BA3302" s="10"/>
      <c r="BB3302" s="10"/>
      <c r="BC3302" s="10"/>
      <c r="BD3302" s="10"/>
      <c r="BE3302" s="10"/>
      <c r="BF3302" s="10"/>
      <c r="BG3302" s="10"/>
      <c r="BH3302" s="10"/>
      <c r="BI3302" s="10"/>
      <c r="BJ3302" s="10"/>
      <c r="BK3302" s="10"/>
      <c r="BM3302" s="10"/>
    </row>
    <row r="3303" spans="1:65" ht="12.75">
      <c r="A3303" s="9"/>
      <c r="B3303" s="10"/>
      <c r="C3303" s="11"/>
      <c r="D3303" s="12"/>
      <c r="E3303" s="10"/>
      <c r="F3303" s="10"/>
      <c r="G3303" s="10"/>
      <c r="H3303" s="14"/>
      <c r="I3303" s="14"/>
      <c r="J3303" s="14"/>
      <c r="K3303" s="14"/>
      <c r="L3303" s="14"/>
      <c r="M3303" s="15"/>
      <c r="N3303" s="10"/>
      <c r="O3303" s="14"/>
      <c r="P3303" s="14"/>
      <c r="Q3303" s="14"/>
      <c r="R3303" s="14"/>
      <c r="S3303" s="14"/>
      <c r="T3303" s="14"/>
      <c r="U3303" s="14"/>
      <c r="V3303" s="14"/>
      <c r="W3303" s="14"/>
      <c r="X3303" s="14"/>
      <c r="Y3303" s="14"/>
      <c r="Z3303" s="14"/>
      <c r="AA3303" s="16"/>
      <c r="AB3303" s="10"/>
      <c r="AC3303" s="10"/>
      <c r="AD3303" s="10"/>
      <c r="AE3303" s="10"/>
      <c r="AF3303" s="10"/>
      <c r="AG3303" s="10"/>
      <c r="AH3303" s="10"/>
      <c r="AI3303" s="10"/>
      <c r="AJ3303" s="10"/>
      <c r="AK3303" s="10"/>
      <c r="AL3303" s="10"/>
      <c r="AM3303" s="10"/>
      <c r="AN3303" s="10"/>
      <c r="AO3303" s="10"/>
      <c r="AP3303" s="10"/>
      <c r="AQ3303" s="10"/>
      <c r="AR3303" s="10"/>
      <c r="AS3303" s="10"/>
      <c r="AT3303" s="10"/>
      <c r="AU3303" s="10"/>
      <c r="AV3303" s="10"/>
      <c r="AW3303" s="10"/>
      <c r="AX3303" s="10"/>
      <c r="AY3303" s="10"/>
      <c r="AZ3303" s="10"/>
      <c r="BA3303" s="10"/>
      <c r="BB3303" s="10"/>
      <c r="BC3303" s="10"/>
      <c r="BD3303" s="10"/>
      <c r="BE3303" s="10"/>
      <c r="BF3303" s="10"/>
      <c r="BG3303" s="10"/>
      <c r="BH3303" s="10"/>
      <c r="BI3303" s="10"/>
      <c r="BJ3303" s="10"/>
      <c r="BK3303" s="10"/>
      <c r="BM3303" s="10"/>
    </row>
    <row r="3304" spans="1:65" ht="12.75">
      <c r="A3304" s="9"/>
      <c r="B3304" s="10"/>
      <c r="C3304" s="11"/>
      <c r="D3304" s="12"/>
      <c r="E3304" s="10"/>
      <c r="F3304" s="10"/>
      <c r="G3304" s="10"/>
      <c r="H3304" s="14"/>
      <c r="I3304" s="14"/>
      <c r="J3304" s="14"/>
      <c r="K3304" s="14"/>
      <c r="L3304" s="14"/>
      <c r="M3304" s="15"/>
      <c r="N3304" s="10"/>
      <c r="O3304" s="14"/>
      <c r="P3304" s="14"/>
      <c r="Q3304" s="14"/>
      <c r="R3304" s="14"/>
      <c r="S3304" s="14"/>
      <c r="T3304" s="14"/>
      <c r="U3304" s="14"/>
      <c r="V3304" s="14"/>
      <c r="W3304" s="14"/>
      <c r="X3304" s="14"/>
      <c r="Y3304" s="14"/>
      <c r="Z3304" s="14"/>
      <c r="AA3304" s="16"/>
      <c r="AB3304" s="10"/>
      <c r="AC3304" s="10"/>
      <c r="AD3304" s="10"/>
      <c r="AE3304" s="10"/>
      <c r="AF3304" s="10"/>
      <c r="AG3304" s="10"/>
      <c r="AH3304" s="10"/>
      <c r="AI3304" s="10"/>
      <c r="AJ3304" s="10"/>
      <c r="AK3304" s="10"/>
      <c r="AL3304" s="10"/>
      <c r="AM3304" s="10"/>
      <c r="AN3304" s="10"/>
      <c r="AO3304" s="10"/>
      <c r="AP3304" s="10"/>
      <c r="AQ3304" s="10"/>
      <c r="AR3304" s="10"/>
      <c r="AS3304" s="10"/>
      <c r="AT3304" s="10"/>
      <c r="AU3304" s="10"/>
      <c r="AV3304" s="10"/>
      <c r="AW3304" s="10"/>
      <c r="AX3304" s="10"/>
      <c r="AY3304" s="10"/>
      <c r="AZ3304" s="10"/>
      <c r="BA3304" s="10"/>
      <c r="BB3304" s="10"/>
      <c r="BC3304" s="10"/>
      <c r="BD3304" s="10"/>
      <c r="BE3304" s="10"/>
      <c r="BF3304" s="10"/>
      <c r="BG3304" s="10"/>
      <c r="BH3304" s="10"/>
      <c r="BI3304" s="10"/>
      <c r="BJ3304" s="10"/>
      <c r="BK3304" s="10"/>
      <c r="BM3304" s="10"/>
    </row>
    <row r="3305" spans="1:65" ht="12.75">
      <c r="A3305" s="9"/>
      <c r="B3305" s="10"/>
      <c r="C3305" s="11"/>
      <c r="D3305" s="12"/>
      <c r="E3305" s="10"/>
      <c r="F3305" s="10"/>
      <c r="G3305" s="10"/>
      <c r="H3305" s="14"/>
      <c r="I3305" s="14"/>
      <c r="J3305" s="14"/>
      <c r="K3305" s="14"/>
      <c r="L3305" s="14"/>
      <c r="M3305" s="15"/>
      <c r="N3305" s="10"/>
      <c r="O3305" s="14"/>
      <c r="P3305" s="14"/>
      <c r="Q3305" s="14"/>
      <c r="R3305" s="14"/>
      <c r="S3305" s="14"/>
      <c r="T3305" s="14"/>
      <c r="U3305" s="14"/>
      <c r="V3305" s="14"/>
      <c r="W3305" s="14"/>
      <c r="X3305" s="14"/>
      <c r="Y3305" s="14"/>
      <c r="Z3305" s="14"/>
      <c r="AA3305" s="16"/>
      <c r="AB3305" s="10"/>
      <c r="AC3305" s="10"/>
      <c r="AD3305" s="10"/>
      <c r="AE3305" s="10"/>
      <c r="AF3305" s="10"/>
      <c r="AG3305" s="10"/>
      <c r="AH3305" s="10"/>
      <c r="AI3305" s="10"/>
      <c r="AJ3305" s="10"/>
      <c r="AK3305" s="10"/>
      <c r="AL3305" s="10"/>
      <c r="AM3305" s="10"/>
      <c r="AN3305" s="10"/>
      <c r="AO3305" s="10"/>
      <c r="AP3305" s="10"/>
      <c r="AQ3305" s="10"/>
      <c r="AR3305" s="10"/>
      <c r="AS3305" s="10"/>
      <c r="AT3305" s="10"/>
      <c r="AU3305" s="10"/>
      <c r="AV3305" s="10"/>
      <c r="AW3305" s="10"/>
      <c r="AX3305" s="10"/>
      <c r="AY3305" s="10"/>
      <c r="AZ3305" s="10"/>
      <c r="BA3305" s="10"/>
      <c r="BB3305" s="10"/>
      <c r="BC3305" s="10"/>
      <c r="BD3305" s="10"/>
      <c r="BE3305" s="10"/>
      <c r="BF3305" s="10"/>
      <c r="BG3305" s="10"/>
      <c r="BH3305" s="10"/>
      <c r="BI3305" s="10"/>
      <c r="BJ3305" s="10"/>
      <c r="BK3305" s="10"/>
      <c r="BM3305" s="10"/>
    </row>
    <row r="3306" spans="1:65" ht="12.75">
      <c r="A3306" s="9"/>
      <c r="B3306" s="10"/>
      <c r="C3306" s="11"/>
      <c r="D3306" s="12"/>
      <c r="E3306" s="10"/>
      <c r="F3306" s="10"/>
      <c r="G3306" s="10"/>
      <c r="H3306" s="14"/>
      <c r="I3306" s="14"/>
      <c r="J3306" s="14"/>
      <c r="K3306" s="14"/>
      <c r="L3306" s="14"/>
      <c r="M3306" s="15"/>
      <c r="N3306" s="10"/>
      <c r="O3306" s="14"/>
      <c r="P3306" s="14"/>
      <c r="Q3306" s="14"/>
      <c r="R3306" s="14"/>
      <c r="S3306" s="14"/>
      <c r="T3306" s="14"/>
      <c r="U3306" s="14"/>
      <c r="V3306" s="14"/>
      <c r="W3306" s="14"/>
      <c r="X3306" s="14"/>
      <c r="Y3306" s="14"/>
      <c r="Z3306" s="14"/>
      <c r="AA3306" s="16"/>
      <c r="AB3306" s="10"/>
      <c r="AC3306" s="10"/>
      <c r="AD3306" s="10"/>
      <c r="AE3306" s="10"/>
      <c r="AF3306" s="10"/>
      <c r="AG3306" s="10"/>
      <c r="AH3306" s="10"/>
      <c r="AI3306" s="10"/>
      <c r="AJ3306" s="10"/>
      <c r="AK3306" s="10"/>
      <c r="AL3306" s="10"/>
      <c r="AM3306" s="10"/>
      <c r="AN3306" s="10"/>
      <c r="AO3306" s="10"/>
      <c r="AP3306" s="10"/>
      <c r="AQ3306" s="10"/>
      <c r="AR3306" s="10"/>
      <c r="AS3306" s="10"/>
      <c r="AT3306" s="10"/>
      <c r="AU3306" s="10"/>
      <c r="AV3306" s="10"/>
      <c r="AW3306" s="10"/>
      <c r="AX3306" s="10"/>
      <c r="AY3306" s="10"/>
      <c r="AZ3306" s="10"/>
      <c r="BA3306" s="10"/>
      <c r="BB3306" s="10"/>
      <c r="BC3306" s="10"/>
      <c r="BD3306" s="10"/>
      <c r="BE3306" s="10"/>
      <c r="BF3306" s="10"/>
      <c r="BG3306" s="10"/>
      <c r="BH3306" s="10"/>
      <c r="BI3306" s="10"/>
      <c r="BJ3306" s="10"/>
      <c r="BK3306" s="10"/>
      <c r="BM3306" s="10"/>
    </row>
    <row r="3307" spans="1:65" ht="12.75">
      <c r="A3307" s="9"/>
      <c r="B3307" s="10"/>
      <c r="C3307" s="11"/>
      <c r="D3307" s="12"/>
      <c r="E3307" s="10"/>
      <c r="F3307" s="10"/>
      <c r="G3307" s="10"/>
      <c r="H3307" s="14"/>
      <c r="I3307" s="14"/>
      <c r="J3307" s="14"/>
      <c r="K3307" s="14"/>
      <c r="L3307" s="14"/>
      <c r="M3307" s="15"/>
      <c r="N3307" s="10"/>
      <c r="O3307" s="14"/>
      <c r="P3307" s="14"/>
      <c r="Q3307" s="14"/>
      <c r="R3307" s="14"/>
      <c r="S3307" s="14"/>
      <c r="T3307" s="14"/>
      <c r="U3307" s="14"/>
      <c r="V3307" s="14"/>
      <c r="W3307" s="14"/>
      <c r="X3307" s="14"/>
      <c r="Y3307" s="14"/>
      <c r="Z3307" s="14"/>
      <c r="AA3307" s="16"/>
      <c r="AB3307" s="10"/>
      <c r="AC3307" s="10"/>
      <c r="AD3307" s="10"/>
      <c r="AE3307" s="10"/>
      <c r="AF3307" s="10"/>
      <c r="AG3307" s="10"/>
      <c r="AH3307" s="10"/>
      <c r="AI3307" s="10"/>
      <c r="AJ3307" s="10"/>
      <c r="AK3307" s="10"/>
      <c r="AL3307" s="10"/>
      <c r="AM3307" s="10"/>
      <c r="AN3307" s="10"/>
      <c r="AO3307" s="10"/>
      <c r="AP3307" s="10"/>
      <c r="AQ3307" s="10"/>
      <c r="AR3307" s="10"/>
      <c r="AS3307" s="10"/>
      <c r="AT3307" s="10"/>
      <c r="AU3307" s="10"/>
      <c r="AV3307" s="10"/>
      <c r="AW3307" s="10"/>
      <c r="AX3307" s="10"/>
      <c r="AY3307" s="10"/>
      <c r="AZ3307" s="10"/>
      <c r="BA3307" s="10"/>
      <c r="BB3307" s="10"/>
      <c r="BC3307" s="10"/>
      <c r="BD3307" s="10"/>
      <c r="BE3307" s="10"/>
      <c r="BF3307" s="10"/>
      <c r="BG3307" s="10"/>
      <c r="BH3307" s="10"/>
      <c r="BI3307" s="10"/>
      <c r="BJ3307" s="10"/>
      <c r="BK3307" s="10"/>
      <c r="BM3307" s="10"/>
    </row>
    <row r="3308" spans="1:65" ht="12.75">
      <c r="A3308" s="9"/>
      <c r="B3308" s="10"/>
      <c r="C3308" s="11"/>
      <c r="D3308" s="12"/>
      <c r="E3308" s="10"/>
      <c r="F3308" s="10"/>
      <c r="G3308" s="10"/>
      <c r="H3308" s="14"/>
      <c r="I3308" s="14"/>
      <c r="J3308" s="14"/>
      <c r="K3308" s="14"/>
      <c r="L3308" s="14"/>
      <c r="M3308" s="15"/>
      <c r="N3308" s="10"/>
      <c r="O3308" s="14"/>
      <c r="P3308" s="14"/>
      <c r="Q3308" s="14"/>
      <c r="R3308" s="14"/>
      <c r="S3308" s="14"/>
      <c r="T3308" s="14"/>
      <c r="U3308" s="14"/>
      <c r="V3308" s="14"/>
      <c r="W3308" s="14"/>
      <c r="X3308" s="14"/>
      <c r="Y3308" s="14"/>
      <c r="Z3308" s="14"/>
      <c r="AA3308" s="16"/>
      <c r="AB3308" s="10"/>
      <c r="AC3308" s="10"/>
      <c r="AD3308" s="10"/>
      <c r="AE3308" s="10"/>
      <c r="AF3308" s="10"/>
      <c r="AG3308" s="10"/>
      <c r="AH3308" s="10"/>
      <c r="AI3308" s="10"/>
      <c r="AJ3308" s="10"/>
      <c r="AK3308" s="10"/>
      <c r="AL3308" s="10"/>
      <c r="AM3308" s="10"/>
      <c r="AN3308" s="10"/>
      <c r="AO3308" s="10"/>
      <c r="AP3308" s="10"/>
      <c r="AQ3308" s="10"/>
      <c r="AR3308" s="10"/>
      <c r="AS3308" s="10"/>
      <c r="AT3308" s="10"/>
      <c r="AU3308" s="10"/>
      <c r="AV3308" s="10"/>
      <c r="AW3308" s="10"/>
      <c r="AX3308" s="10"/>
      <c r="AY3308" s="10"/>
      <c r="AZ3308" s="10"/>
      <c r="BA3308" s="10"/>
      <c r="BB3308" s="10"/>
      <c r="BC3308" s="10"/>
      <c r="BD3308" s="10"/>
      <c r="BE3308" s="10"/>
      <c r="BF3308" s="10"/>
      <c r="BG3308" s="10"/>
      <c r="BH3308" s="10"/>
      <c r="BI3308" s="10"/>
      <c r="BJ3308" s="10"/>
      <c r="BK3308" s="10"/>
      <c r="BM3308" s="10"/>
    </row>
    <row r="3309" spans="1:65" ht="12.75">
      <c r="A3309" s="9"/>
      <c r="B3309" s="10"/>
      <c r="C3309" s="11"/>
      <c r="D3309" s="12"/>
      <c r="E3309" s="10"/>
      <c r="F3309" s="10"/>
      <c r="G3309" s="10"/>
      <c r="H3309" s="14"/>
      <c r="I3309" s="14"/>
      <c r="J3309" s="14"/>
      <c r="K3309" s="14"/>
      <c r="L3309" s="14"/>
      <c r="M3309" s="15"/>
      <c r="N3309" s="10"/>
      <c r="O3309" s="14"/>
      <c r="P3309" s="14"/>
      <c r="Q3309" s="14"/>
      <c r="R3309" s="14"/>
      <c r="S3309" s="14"/>
      <c r="T3309" s="14"/>
      <c r="U3309" s="14"/>
      <c r="V3309" s="14"/>
      <c r="W3309" s="14"/>
      <c r="X3309" s="14"/>
      <c r="Y3309" s="14"/>
      <c r="Z3309" s="14"/>
      <c r="AA3309" s="16"/>
      <c r="AB3309" s="10"/>
      <c r="AC3309" s="10"/>
      <c r="AD3309" s="10"/>
      <c r="AE3309" s="10"/>
      <c r="AF3309" s="10"/>
      <c r="AG3309" s="10"/>
      <c r="AH3309" s="10"/>
      <c r="AI3309" s="10"/>
      <c r="AJ3309" s="10"/>
      <c r="AK3309" s="10"/>
      <c r="AL3309" s="10"/>
      <c r="AM3309" s="10"/>
      <c r="AN3309" s="10"/>
      <c r="AO3309" s="10"/>
      <c r="AP3309" s="10"/>
      <c r="AQ3309" s="10"/>
      <c r="AR3309" s="10"/>
      <c r="AS3309" s="10"/>
      <c r="AT3309" s="10"/>
      <c r="AU3309" s="10"/>
      <c r="AV3309" s="10"/>
      <c r="AW3309" s="10"/>
      <c r="AX3309" s="10"/>
      <c r="AY3309" s="10"/>
      <c r="AZ3309" s="10"/>
      <c r="BA3309" s="10"/>
      <c r="BB3309" s="10"/>
      <c r="BC3309" s="10"/>
      <c r="BD3309" s="10"/>
      <c r="BE3309" s="10"/>
      <c r="BF3309" s="10"/>
      <c r="BG3309" s="10"/>
      <c r="BH3309" s="10"/>
      <c r="BI3309" s="10"/>
      <c r="BJ3309" s="10"/>
      <c r="BK3309" s="10"/>
      <c r="BM3309" s="10"/>
    </row>
    <row r="3310" spans="1:65" ht="12.75">
      <c r="A3310" s="9"/>
      <c r="B3310" s="10"/>
      <c r="C3310" s="11"/>
      <c r="D3310" s="12"/>
      <c r="E3310" s="10"/>
      <c r="F3310" s="10"/>
      <c r="G3310" s="10"/>
      <c r="H3310" s="14"/>
      <c r="I3310" s="14"/>
      <c r="J3310" s="14"/>
      <c r="K3310" s="14"/>
      <c r="L3310" s="14"/>
      <c r="M3310" s="15"/>
      <c r="N3310" s="10"/>
      <c r="O3310" s="14"/>
      <c r="P3310" s="14"/>
      <c r="Q3310" s="14"/>
      <c r="R3310" s="14"/>
      <c r="S3310" s="14"/>
      <c r="T3310" s="14"/>
      <c r="U3310" s="14"/>
      <c r="V3310" s="14"/>
      <c r="W3310" s="14"/>
      <c r="X3310" s="14"/>
      <c r="Y3310" s="14"/>
      <c r="Z3310" s="14"/>
      <c r="AA3310" s="16"/>
      <c r="AB3310" s="10"/>
      <c r="AC3310" s="10"/>
      <c r="AD3310" s="10"/>
      <c r="AE3310" s="10"/>
      <c r="AF3310" s="10"/>
      <c r="AG3310" s="10"/>
      <c r="AH3310" s="10"/>
      <c r="AI3310" s="10"/>
      <c r="AJ3310" s="10"/>
      <c r="AK3310" s="10"/>
      <c r="AL3310" s="10"/>
      <c r="AM3310" s="10"/>
      <c r="AN3310" s="10"/>
      <c r="AO3310" s="10"/>
      <c r="AP3310" s="10"/>
      <c r="AQ3310" s="10"/>
      <c r="AR3310" s="10"/>
      <c r="AS3310" s="10"/>
      <c r="AT3310" s="10"/>
      <c r="AU3310" s="10"/>
      <c r="AV3310" s="10"/>
      <c r="AW3310" s="10"/>
      <c r="AX3310" s="10"/>
      <c r="AY3310" s="10"/>
      <c r="AZ3310" s="10"/>
      <c r="BA3310" s="10"/>
      <c r="BB3310" s="10"/>
      <c r="BC3310" s="10"/>
      <c r="BD3310" s="10"/>
      <c r="BE3310" s="10"/>
      <c r="BF3310" s="10"/>
      <c r="BG3310" s="10"/>
      <c r="BH3310" s="10"/>
      <c r="BI3310" s="10"/>
      <c r="BJ3310" s="10"/>
      <c r="BK3310" s="10"/>
      <c r="BM3310" s="10"/>
    </row>
    <row r="3311" spans="1:65" ht="12.75">
      <c r="A3311" s="9"/>
      <c r="B3311" s="10"/>
      <c r="C3311" s="11"/>
      <c r="D3311" s="12"/>
      <c r="E3311" s="10"/>
      <c r="F3311" s="10"/>
      <c r="G3311" s="10"/>
      <c r="H3311" s="14"/>
      <c r="I3311" s="14"/>
      <c r="J3311" s="14"/>
      <c r="K3311" s="14"/>
      <c r="L3311" s="14"/>
      <c r="M3311" s="15"/>
      <c r="N3311" s="10"/>
      <c r="O3311" s="14"/>
      <c r="P3311" s="14"/>
      <c r="Q3311" s="14"/>
      <c r="R3311" s="14"/>
      <c r="S3311" s="14"/>
      <c r="T3311" s="14"/>
      <c r="U3311" s="14"/>
      <c r="V3311" s="14"/>
      <c r="W3311" s="14"/>
      <c r="X3311" s="14"/>
      <c r="Y3311" s="14"/>
      <c r="Z3311" s="14"/>
      <c r="AA3311" s="16"/>
      <c r="AB3311" s="10"/>
      <c r="AC3311" s="10"/>
      <c r="AD3311" s="10"/>
      <c r="AE3311" s="10"/>
      <c r="AF3311" s="10"/>
      <c r="AG3311" s="10"/>
      <c r="AH3311" s="10"/>
      <c r="AI3311" s="10"/>
      <c r="AJ3311" s="10"/>
      <c r="AK3311" s="10"/>
      <c r="AL3311" s="10"/>
      <c r="AM3311" s="10"/>
      <c r="AN3311" s="10"/>
      <c r="AO3311" s="10"/>
      <c r="AP3311" s="10"/>
      <c r="AQ3311" s="10"/>
      <c r="AR3311" s="10"/>
      <c r="AS3311" s="10"/>
      <c r="AT3311" s="10"/>
      <c r="AU3311" s="10"/>
      <c r="AV3311" s="10"/>
      <c r="AW3311" s="10"/>
      <c r="AX3311" s="10"/>
      <c r="AY3311" s="10"/>
      <c r="AZ3311" s="10"/>
      <c r="BA3311" s="10"/>
      <c r="BB3311" s="10"/>
      <c r="BC3311" s="10"/>
      <c r="BD3311" s="10"/>
      <c r="BE3311" s="10"/>
      <c r="BF3311" s="10"/>
      <c r="BG3311" s="10"/>
      <c r="BH3311" s="10"/>
      <c r="BI3311" s="10"/>
      <c r="BJ3311" s="10"/>
      <c r="BK3311" s="10"/>
      <c r="BM3311" s="10"/>
    </row>
    <row r="3312" spans="1:65" ht="12.75">
      <c r="A3312" s="9"/>
      <c r="B3312" s="10"/>
      <c r="C3312" s="11"/>
      <c r="D3312" s="12"/>
      <c r="E3312" s="10"/>
      <c r="F3312" s="10"/>
      <c r="G3312" s="10"/>
      <c r="H3312" s="14"/>
      <c r="I3312" s="14"/>
      <c r="J3312" s="14"/>
      <c r="K3312" s="14"/>
      <c r="L3312" s="14"/>
      <c r="M3312" s="15"/>
      <c r="N3312" s="10"/>
      <c r="O3312" s="14"/>
      <c r="P3312" s="14"/>
      <c r="Q3312" s="14"/>
      <c r="R3312" s="14"/>
      <c r="S3312" s="14"/>
      <c r="T3312" s="14"/>
      <c r="U3312" s="14"/>
      <c r="V3312" s="14"/>
      <c r="W3312" s="14"/>
      <c r="X3312" s="14"/>
      <c r="Y3312" s="14"/>
      <c r="Z3312" s="14"/>
      <c r="AA3312" s="16"/>
      <c r="AB3312" s="10"/>
      <c r="AC3312" s="10"/>
      <c r="AD3312" s="10"/>
      <c r="AE3312" s="10"/>
      <c r="AF3312" s="10"/>
      <c r="AG3312" s="10"/>
      <c r="AH3312" s="10"/>
      <c r="AI3312" s="10"/>
      <c r="AJ3312" s="10"/>
      <c r="AK3312" s="10"/>
      <c r="AL3312" s="10"/>
      <c r="AM3312" s="10"/>
      <c r="AN3312" s="10"/>
      <c r="AO3312" s="10"/>
      <c r="AP3312" s="10"/>
      <c r="AQ3312" s="10"/>
      <c r="AR3312" s="10"/>
      <c r="AS3312" s="10"/>
      <c r="AT3312" s="10"/>
      <c r="AU3312" s="10"/>
      <c r="AV3312" s="10"/>
      <c r="AW3312" s="10"/>
      <c r="AX3312" s="10"/>
      <c r="AY3312" s="10"/>
      <c r="AZ3312" s="10"/>
      <c r="BA3312" s="10"/>
      <c r="BB3312" s="10"/>
      <c r="BC3312" s="10"/>
      <c r="BD3312" s="10"/>
      <c r="BE3312" s="10"/>
      <c r="BF3312" s="10"/>
      <c r="BG3312" s="10"/>
      <c r="BH3312" s="10"/>
      <c r="BI3312" s="10"/>
      <c r="BJ3312" s="10"/>
      <c r="BK3312" s="10"/>
      <c r="BM3312" s="10"/>
    </row>
    <row r="3313" spans="1:65" ht="12.75">
      <c r="A3313" s="9"/>
      <c r="B3313" s="10"/>
      <c r="C3313" s="11"/>
      <c r="D3313" s="12"/>
      <c r="E3313" s="10"/>
      <c r="F3313" s="10"/>
      <c r="G3313" s="10"/>
      <c r="H3313" s="14"/>
      <c r="I3313" s="14"/>
      <c r="J3313" s="14"/>
      <c r="K3313" s="14"/>
      <c r="L3313" s="14"/>
      <c r="M3313" s="15"/>
      <c r="N3313" s="10"/>
      <c r="O3313" s="14"/>
      <c r="P3313" s="14"/>
      <c r="Q3313" s="14"/>
      <c r="R3313" s="14"/>
      <c r="S3313" s="14"/>
      <c r="T3313" s="14"/>
      <c r="U3313" s="14"/>
      <c r="V3313" s="14"/>
      <c r="W3313" s="14"/>
      <c r="X3313" s="14"/>
      <c r="Y3313" s="14"/>
      <c r="Z3313" s="14"/>
      <c r="AA3313" s="16"/>
      <c r="AB3313" s="10"/>
      <c r="AC3313" s="10"/>
      <c r="AD3313" s="10"/>
      <c r="AE3313" s="10"/>
      <c r="AF3313" s="10"/>
      <c r="AG3313" s="10"/>
      <c r="AH3313" s="10"/>
      <c r="AI3313" s="10"/>
      <c r="AJ3313" s="10"/>
      <c r="AK3313" s="10"/>
      <c r="AL3313" s="10"/>
      <c r="AM3313" s="10"/>
      <c r="AN3313" s="10"/>
      <c r="AO3313" s="10"/>
      <c r="AP3313" s="10"/>
      <c r="AQ3313" s="10"/>
      <c r="AR3313" s="10"/>
      <c r="AS3313" s="10"/>
      <c r="AT3313" s="10"/>
      <c r="AU3313" s="10"/>
      <c r="AV3313" s="10"/>
      <c r="AW3313" s="10"/>
      <c r="AX3313" s="10"/>
      <c r="AY3313" s="10"/>
      <c r="AZ3313" s="10"/>
      <c r="BA3313" s="10"/>
      <c r="BB3313" s="10"/>
      <c r="BC3313" s="10"/>
      <c r="BD3313" s="10"/>
      <c r="BE3313" s="10"/>
      <c r="BF3313" s="10"/>
      <c r="BG3313" s="10"/>
      <c r="BH3313" s="10"/>
      <c r="BI3313" s="10"/>
      <c r="BJ3313" s="10"/>
      <c r="BK3313" s="10"/>
      <c r="BM3313" s="10"/>
    </row>
    <row r="3314" spans="1:65" ht="12.75">
      <c r="A3314" s="9"/>
      <c r="B3314" s="10"/>
      <c r="C3314" s="11"/>
      <c r="D3314" s="12"/>
      <c r="E3314" s="10"/>
      <c r="F3314" s="10"/>
      <c r="G3314" s="10"/>
      <c r="H3314" s="14"/>
      <c r="I3314" s="14"/>
      <c r="J3314" s="14"/>
      <c r="K3314" s="14"/>
      <c r="L3314" s="14"/>
      <c r="M3314" s="15"/>
      <c r="N3314" s="10"/>
      <c r="O3314" s="14"/>
      <c r="P3314" s="14"/>
      <c r="Q3314" s="14"/>
      <c r="R3314" s="14"/>
      <c r="S3314" s="14"/>
      <c r="T3314" s="14"/>
      <c r="U3314" s="14"/>
      <c r="V3314" s="14"/>
      <c r="W3314" s="14"/>
      <c r="X3314" s="14"/>
      <c r="Y3314" s="14"/>
      <c r="Z3314" s="14"/>
      <c r="AA3314" s="16"/>
      <c r="AB3314" s="10"/>
      <c r="AC3314" s="10"/>
      <c r="AD3314" s="10"/>
      <c r="AE3314" s="10"/>
      <c r="AF3314" s="10"/>
      <c r="AG3314" s="10"/>
      <c r="AH3314" s="10"/>
      <c r="AI3314" s="10"/>
      <c r="AJ3314" s="10"/>
      <c r="AK3314" s="10"/>
      <c r="AL3314" s="10"/>
      <c r="AM3314" s="10"/>
      <c r="AN3314" s="10"/>
      <c r="AO3314" s="10"/>
      <c r="AP3314" s="10"/>
      <c r="AQ3314" s="10"/>
      <c r="AR3314" s="10"/>
      <c r="AS3314" s="10"/>
      <c r="AT3314" s="10"/>
      <c r="AU3314" s="10"/>
      <c r="AV3314" s="10"/>
      <c r="AW3314" s="10"/>
      <c r="AX3314" s="10"/>
      <c r="AY3314" s="10"/>
      <c r="AZ3314" s="10"/>
      <c r="BA3314" s="10"/>
      <c r="BB3314" s="10"/>
      <c r="BC3314" s="10"/>
      <c r="BD3314" s="10"/>
      <c r="BE3314" s="10"/>
      <c r="BF3314" s="10"/>
      <c r="BG3314" s="10"/>
      <c r="BH3314" s="10"/>
      <c r="BI3314" s="10"/>
      <c r="BJ3314" s="10"/>
      <c r="BK3314" s="10"/>
      <c r="BM3314" s="10"/>
    </row>
    <row r="3315" spans="1:65" ht="12.75">
      <c r="A3315" s="9"/>
      <c r="B3315" s="10"/>
      <c r="C3315" s="11"/>
      <c r="D3315" s="12"/>
      <c r="E3315" s="10"/>
      <c r="F3315" s="10"/>
      <c r="G3315" s="10"/>
      <c r="H3315" s="14"/>
      <c r="I3315" s="14"/>
      <c r="J3315" s="14"/>
      <c r="K3315" s="14"/>
      <c r="L3315" s="14"/>
      <c r="M3315" s="15"/>
      <c r="N3315" s="10"/>
      <c r="O3315" s="14"/>
      <c r="P3315" s="14"/>
      <c r="Q3315" s="14"/>
      <c r="R3315" s="14"/>
      <c r="S3315" s="14"/>
      <c r="T3315" s="14"/>
      <c r="U3315" s="14"/>
      <c r="V3315" s="14"/>
      <c r="W3315" s="14"/>
      <c r="X3315" s="14"/>
      <c r="Y3315" s="14"/>
      <c r="Z3315" s="14"/>
      <c r="AA3315" s="16"/>
      <c r="AB3315" s="10"/>
      <c r="AC3315" s="10"/>
      <c r="AD3315" s="10"/>
      <c r="AE3315" s="10"/>
      <c r="AF3315" s="10"/>
      <c r="AG3315" s="10"/>
      <c r="AH3315" s="10"/>
      <c r="AI3315" s="10"/>
      <c r="AJ3315" s="10"/>
      <c r="AK3315" s="10"/>
      <c r="AL3315" s="10"/>
      <c r="AM3315" s="10"/>
      <c r="AN3315" s="10"/>
      <c r="AO3315" s="10"/>
      <c r="AP3315" s="10"/>
      <c r="AQ3315" s="10"/>
      <c r="AR3315" s="10"/>
      <c r="AS3315" s="10"/>
      <c r="AT3315" s="10"/>
      <c r="AU3315" s="10"/>
      <c r="AV3315" s="10"/>
      <c r="AW3315" s="10"/>
      <c r="AX3315" s="10"/>
      <c r="AY3315" s="10"/>
      <c r="AZ3315" s="10"/>
      <c r="BA3315" s="10"/>
      <c r="BB3315" s="10"/>
      <c r="BC3315" s="10"/>
      <c r="BD3315" s="10"/>
      <c r="BE3315" s="10"/>
      <c r="BF3315" s="10"/>
      <c r="BG3315" s="10"/>
      <c r="BH3315" s="10"/>
      <c r="BI3315" s="10"/>
      <c r="BJ3315" s="10"/>
      <c r="BK3315" s="10"/>
      <c r="BM3315" s="10"/>
    </row>
    <row r="3316" spans="1:65" ht="12.75">
      <c r="A3316" s="9"/>
      <c r="B3316" s="10"/>
      <c r="C3316" s="11"/>
      <c r="D3316" s="12"/>
      <c r="E3316" s="10"/>
      <c r="F3316" s="10"/>
      <c r="G3316" s="10"/>
      <c r="H3316" s="14"/>
      <c r="I3316" s="14"/>
      <c r="J3316" s="14"/>
      <c r="K3316" s="14"/>
      <c r="L3316" s="14"/>
      <c r="M3316" s="15"/>
      <c r="N3316" s="10"/>
      <c r="O3316" s="14"/>
      <c r="P3316" s="14"/>
      <c r="Q3316" s="14"/>
      <c r="R3316" s="14"/>
      <c r="S3316" s="14"/>
      <c r="T3316" s="14"/>
      <c r="U3316" s="14"/>
      <c r="V3316" s="14"/>
      <c r="W3316" s="14"/>
      <c r="X3316" s="14"/>
      <c r="Y3316" s="14"/>
      <c r="Z3316" s="14"/>
      <c r="AA3316" s="16"/>
      <c r="AB3316" s="10"/>
      <c r="AC3316" s="10"/>
      <c r="AD3316" s="10"/>
      <c r="AE3316" s="10"/>
      <c r="AF3316" s="10"/>
      <c r="AG3316" s="10"/>
      <c r="AH3316" s="10"/>
      <c r="AI3316" s="10"/>
      <c r="AJ3316" s="10"/>
      <c r="AK3316" s="10"/>
      <c r="AL3316" s="10"/>
      <c r="AM3316" s="10"/>
      <c r="AN3316" s="10"/>
      <c r="AO3316" s="10"/>
      <c r="AP3316" s="10"/>
      <c r="AQ3316" s="10"/>
      <c r="AR3316" s="10"/>
      <c r="AS3316" s="10"/>
      <c r="AT3316" s="10"/>
      <c r="AU3316" s="10"/>
      <c r="AV3316" s="10"/>
      <c r="AW3316" s="10"/>
      <c r="AX3316" s="10"/>
      <c r="AY3316" s="10"/>
      <c r="AZ3316" s="10"/>
      <c r="BA3316" s="10"/>
      <c r="BB3316" s="10"/>
      <c r="BC3316" s="10"/>
      <c r="BD3316" s="10"/>
      <c r="BE3316" s="10"/>
      <c r="BF3316" s="10"/>
      <c r="BG3316" s="10"/>
      <c r="BH3316" s="10"/>
      <c r="BI3316" s="10"/>
      <c r="BJ3316" s="10"/>
      <c r="BK3316" s="10"/>
      <c r="BM3316" s="10"/>
    </row>
    <row r="3317" spans="1:65" ht="12.75">
      <c r="A3317" s="9"/>
      <c r="B3317" s="10"/>
      <c r="C3317" s="11"/>
      <c r="D3317" s="12"/>
      <c r="E3317" s="10"/>
      <c r="F3317" s="10"/>
      <c r="G3317" s="10"/>
      <c r="H3317" s="14"/>
      <c r="I3317" s="14"/>
      <c r="J3317" s="14"/>
      <c r="K3317" s="14"/>
      <c r="L3317" s="14"/>
      <c r="M3317" s="15"/>
      <c r="N3317" s="10"/>
      <c r="O3317" s="14"/>
      <c r="P3317" s="14"/>
      <c r="Q3317" s="14"/>
      <c r="R3317" s="14"/>
      <c r="S3317" s="14"/>
      <c r="T3317" s="14"/>
      <c r="U3317" s="14"/>
      <c r="V3317" s="14"/>
      <c r="W3317" s="14"/>
      <c r="X3317" s="14"/>
      <c r="Y3317" s="14"/>
      <c r="Z3317" s="14"/>
      <c r="AA3317" s="16"/>
      <c r="AB3317" s="10"/>
      <c r="AC3317" s="10"/>
      <c r="AD3317" s="10"/>
      <c r="AE3317" s="10"/>
      <c r="AF3317" s="10"/>
      <c r="AG3317" s="10"/>
      <c r="AH3317" s="10"/>
      <c r="AI3317" s="10"/>
      <c r="AJ3317" s="10"/>
      <c r="AK3317" s="10"/>
      <c r="AL3317" s="10"/>
      <c r="AM3317" s="10"/>
      <c r="AN3317" s="10"/>
      <c r="AO3317" s="10"/>
      <c r="AP3317" s="10"/>
      <c r="AQ3317" s="10"/>
      <c r="AR3317" s="10"/>
      <c r="AS3317" s="10"/>
      <c r="AT3317" s="10"/>
      <c r="AU3317" s="10"/>
      <c r="AV3317" s="10"/>
      <c r="AW3317" s="10"/>
      <c r="AX3317" s="10"/>
      <c r="AY3317" s="10"/>
      <c r="AZ3317" s="10"/>
      <c r="BA3317" s="10"/>
      <c r="BB3317" s="10"/>
      <c r="BC3317" s="10"/>
      <c r="BD3317" s="10"/>
      <c r="BE3317" s="10"/>
      <c r="BF3317" s="10"/>
      <c r="BG3317" s="10"/>
      <c r="BH3317" s="10"/>
      <c r="BI3317" s="10"/>
      <c r="BJ3317" s="10"/>
      <c r="BK3317" s="10"/>
      <c r="BM3317" s="10"/>
    </row>
    <row r="3318" spans="1:65" ht="12.75">
      <c r="A3318" s="9"/>
      <c r="B3318" s="10"/>
      <c r="C3318" s="11"/>
      <c r="D3318" s="12"/>
      <c r="E3318" s="10"/>
      <c r="F3318" s="10"/>
      <c r="G3318" s="10"/>
      <c r="H3318" s="14"/>
      <c r="I3318" s="14"/>
      <c r="J3318" s="14"/>
      <c r="K3318" s="14"/>
      <c r="L3318" s="14"/>
      <c r="M3318" s="15"/>
      <c r="N3318" s="10"/>
      <c r="O3318" s="14"/>
      <c r="P3318" s="14"/>
      <c r="Q3318" s="14"/>
      <c r="R3318" s="14"/>
      <c r="S3318" s="14"/>
      <c r="T3318" s="14"/>
      <c r="U3318" s="14"/>
      <c r="V3318" s="14"/>
      <c r="W3318" s="14"/>
      <c r="X3318" s="14"/>
      <c r="Y3318" s="14"/>
      <c r="Z3318" s="14"/>
      <c r="AA3318" s="16"/>
      <c r="AB3318" s="10"/>
      <c r="AC3318" s="10"/>
      <c r="AD3318" s="10"/>
      <c r="AE3318" s="10"/>
      <c r="AF3318" s="10"/>
      <c r="AG3318" s="10"/>
      <c r="AH3318" s="10"/>
      <c r="AI3318" s="10"/>
      <c r="AJ3318" s="10"/>
      <c r="AK3318" s="10"/>
      <c r="AL3318" s="10"/>
      <c r="AM3318" s="10"/>
      <c r="AN3318" s="10"/>
      <c r="AO3318" s="10"/>
      <c r="AP3318" s="10"/>
      <c r="AQ3318" s="10"/>
      <c r="AR3318" s="10"/>
      <c r="AS3318" s="10"/>
      <c r="AT3318" s="10"/>
      <c r="AU3318" s="10"/>
      <c r="AV3318" s="10"/>
      <c r="AW3318" s="10"/>
      <c r="AX3318" s="10"/>
      <c r="AY3318" s="10"/>
      <c r="AZ3318" s="10"/>
      <c r="BA3318" s="10"/>
      <c r="BB3318" s="10"/>
      <c r="BC3318" s="10"/>
      <c r="BD3318" s="10"/>
      <c r="BE3318" s="10"/>
      <c r="BF3318" s="10"/>
      <c r="BG3318" s="10"/>
      <c r="BH3318" s="10"/>
      <c r="BI3318" s="10"/>
      <c r="BJ3318" s="10"/>
      <c r="BK3318" s="10"/>
      <c r="BM3318" s="10"/>
    </row>
    <row r="3319" spans="1:65" ht="12.75">
      <c r="A3319" s="9"/>
      <c r="B3319" s="10"/>
      <c r="C3319" s="11"/>
      <c r="D3319" s="12"/>
      <c r="E3319" s="10"/>
      <c r="F3319" s="10"/>
      <c r="G3319" s="10"/>
      <c r="H3319" s="14"/>
      <c r="I3319" s="14"/>
      <c r="J3319" s="14"/>
      <c r="K3319" s="14"/>
      <c r="L3319" s="14"/>
      <c r="M3319" s="15"/>
      <c r="N3319" s="10"/>
      <c r="O3319" s="14"/>
      <c r="P3319" s="14"/>
      <c r="Q3319" s="14"/>
      <c r="R3319" s="14"/>
      <c r="S3319" s="14"/>
      <c r="T3319" s="14"/>
      <c r="U3319" s="14"/>
      <c r="V3319" s="14"/>
      <c r="W3319" s="14"/>
      <c r="X3319" s="14"/>
      <c r="Y3319" s="14"/>
      <c r="Z3319" s="14"/>
      <c r="AA3319" s="16"/>
      <c r="AB3319" s="10"/>
      <c r="AC3319" s="10"/>
      <c r="AD3319" s="10"/>
      <c r="AE3319" s="10"/>
      <c r="AF3319" s="10"/>
      <c r="AG3319" s="10"/>
      <c r="AH3319" s="10"/>
      <c r="AI3319" s="10"/>
      <c r="AJ3319" s="10"/>
      <c r="AK3319" s="10"/>
      <c r="AL3319" s="10"/>
      <c r="AM3319" s="10"/>
      <c r="AN3319" s="10"/>
      <c r="AO3319" s="10"/>
      <c r="AP3319" s="10"/>
      <c r="AQ3319" s="10"/>
      <c r="AR3319" s="10"/>
      <c r="AS3319" s="10"/>
      <c r="AT3319" s="10"/>
      <c r="AU3319" s="10"/>
      <c r="AV3319" s="10"/>
      <c r="AW3319" s="10"/>
      <c r="AX3319" s="10"/>
      <c r="AY3319" s="10"/>
      <c r="AZ3319" s="10"/>
      <c r="BA3319" s="10"/>
      <c r="BB3319" s="10"/>
      <c r="BC3319" s="10"/>
      <c r="BD3319" s="10"/>
      <c r="BE3319" s="10"/>
      <c r="BF3319" s="10"/>
      <c r="BG3319" s="10"/>
      <c r="BH3319" s="10"/>
      <c r="BI3319" s="10"/>
      <c r="BJ3319" s="10"/>
      <c r="BK3319" s="10"/>
      <c r="BM3319" s="10"/>
    </row>
    <row r="3320" spans="1:65" ht="12.75">
      <c r="A3320" s="9"/>
      <c r="B3320" s="10"/>
      <c r="C3320" s="11"/>
      <c r="D3320" s="12"/>
      <c r="E3320" s="10"/>
      <c r="F3320" s="10"/>
      <c r="G3320" s="10"/>
      <c r="H3320" s="14"/>
      <c r="I3320" s="14"/>
      <c r="J3320" s="14"/>
      <c r="K3320" s="14"/>
      <c r="L3320" s="14"/>
      <c r="M3320" s="15"/>
      <c r="N3320" s="10"/>
      <c r="O3320" s="14"/>
      <c r="P3320" s="14"/>
      <c r="Q3320" s="14"/>
      <c r="R3320" s="14"/>
      <c r="S3320" s="14"/>
      <c r="T3320" s="14"/>
      <c r="U3320" s="14"/>
      <c r="V3320" s="14"/>
      <c r="W3320" s="14"/>
      <c r="X3320" s="14"/>
      <c r="Y3320" s="14"/>
      <c r="Z3320" s="14"/>
      <c r="AA3320" s="16"/>
      <c r="AB3320" s="10"/>
      <c r="AC3320" s="10"/>
      <c r="AD3320" s="10"/>
      <c r="AE3320" s="10"/>
      <c r="AF3320" s="10"/>
      <c r="AG3320" s="10"/>
      <c r="AH3320" s="10"/>
      <c r="AI3320" s="10"/>
      <c r="AJ3320" s="10"/>
      <c r="AK3320" s="10"/>
      <c r="AL3320" s="10"/>
      <c r="AM3320" s="10"/>
      <c r="AN3320" s="10"/>
      <c r="AO3320" s="10"/>
      <c r="AP3320" s="10"/>
      <c r="AQ3320" s="10"/>
      <c r="AR3320" s="10"/>
      <c r="AS3320" s="10"/>
      <c r="AT3320" s="10"/>
      <c r="AU3320" s="10"/>
      <c r="AV3320" s="10"/>
      <c r="AW3320" s="10"/>
      <c r="AX3320" s="10"/>
      <c r="AY3320" s="10"/>
      <c r="AZ3320" s="10"/>
      <c r="BA3320" s="10"/>
      <c r="BB3320" s="10"/>
      <c r="BC3320" s="10"/>
      <c r="BD3320" s="10"/>
      <c r="BE3320" s="10"/>
      <c r="BF3320" s="10"/>
      <c r="BG3320" s="10"/>
      <c r="BH3320" s="10"/>
      <c r="BI3320" s="10"/>
      <c r="BJ3320" s="10"/>
      <c r="BK3320" s="10"/>
      <c r="BM3320" s="10"/>
    </row>
    <row r="3321" spans="1:65" ht="12.75">
      <c r="A3321" s="9"/>
      <c r="B3321" s="10"/>
      <c r="C3321" s="11"/>
      <c r="D3321" s="12"/>
      <c r="E3321" s="10"/>
      <c r="F3321" s="10"/>
      <c r="G3321" s="10"/>
      <c r="H3321" s="14"/>
      <c r="I3321" s="14"/>
      <c r="J3321" s="14"/>
      <c r="K3321" s="14"/>
      <c r="L3321" s="14"/>
      <c r="M3321" s="15"/>
      <c r="N3321" s="10"/>
      <c r="O3321" s="14"/>
      <c r="P3321" s="14"/>
      <c r="Q3321" s="14"/>
      <c r="R3321" s="14"/>
      <c r="S3321" s="14"/>
      <c r="T3321" s="14"/>
      <c r="U3321" s="14"/>
      <c r="V3321" s="14"/>
      <c r="W3321" s="14"/>
      <c r="X3321" s="14"/>
      <c r="Y3321" s="14"/>
      <c r="Z3321" s="14"/>
      <c r="AA3321" s="16"/>
      <c r="AB3321" s="10"/>
      <c r="AC3321" s="10"/>
      <c r="AD3321" s="10"/>
      <c r="AE3321" s="10"/>
      <c r="AF3321" s="10"/>
      <c r="AG3321" s="10"/>
      <c r="AH3321" s="10"/>
      <c r="AI3321" s="10"/>
      <c r="AJ3321" s="10"/>
      <c r="AK3321" s="10"/>
      <c r="AL3321" s="10"/>
      <c r="AM3321" s="10"/>
      <c r="AN3321" s="10"/>
      <c r="AO3321" s="10"/>
      <c r="AP3321" s="10"/>
      <c r="AQ3321" s="10"/>
      <c r="AR3321" s="10"/>
      <c r="AS3321" s="10"/>
      <c r="AT3321" s="10"/>
      <c r="AU3321" s="10"/>
      <c r="AV3321" s="10"/>
      <c r="AW3321" s="10"/>
      <c r="AX3321" s="10"/>
      <c r="AY3321" s="10"/>
      <c r="AZ3321" s="10"/>
      <c r="BA3321" s="10"/>
      <c r="BB3321" s="10"/>
      <c r="BC3321" s="10"/>
      <c r="BD3321" s="10"/>
      <c r="BE3321" s="10"/>
      <c r="BF3321" s="10"/>
      <c r="BG3321" s="10"/>
      <c r="BH3321" s="10"/>
      <c r="BI3321" s="10"/>
      <c r="BJ3321" s="10"/>
      <c r="BK3321" s="10"/>
      <c r="BM3321" s="10"/>
    </row>
    <row r="3322" spans="1:65" ht="12.75">
      <c r="A3322" s="9"/>
      <c r="B3322" s="10"/>
      <c r="C3322" s="11"/>
      <c r="D3322" s="12"/>
      <c r="E3322" s="10"/>
      <c r="F3322" s="10"/>
      <c r="G3322" s="10"/>
      <c r="H3322" s="14"/>
      <c r="I3322" s="14"/>
      <c r="J3322" s="14"/>
      <c r="K3322" s="14"/>
      <c r="L3322" s="14"/>
      <c r="M3322" s="15"/>
      <c r="N3322" s="10"/>
      <c r="O3322" s="14"/>
      <c r="P3322" s="14"/>
      <c r="Q3322" s="14"/>
      <c r="R3322" s="14"/>
      <c r="S3322" s="14"/>
      <c r="T3322" s="14"/>
      <c r="U3322" s="14"/>
      <c r="V3322" s="14"/>
      <c r="W3322" s="14"/>
      <c r="X3322" s="14"/>
      <c r="Y3322" s="14"/>
      <c r="Z3322" s="14"/>
      <c r="AA3322" s="16"/>
      <c r="AB3322" s="10"/>
      <c r="AC3322" s="10"/>
      <c r="AD3322" s="10"/>
      <c r="AE3322" s="10"/>
      <c r="AF3322" s="10"/>
      <c r="AG3322" s="10"/>
      <c r="AH3322" s="10"/>
      <c r="AI3322" s="10"/>
      <c r="AJ3322" s="10"/>
      <c r="AK3322" s="10"/>
      <c r="AL3322" s="10"/>
      <c r="AM3322" s="10"/>
      <c r="AN3322" s="10"/>
      <c r="AO3322" s="10"/>
      <c r="AP3322" s="10"/>
      <c r="AQ3322" s="10"/>
      <c r="AR3322" s="10"/>
      <c r="AS3322" s="10"/>
      <c r="AT3322" s="10"/>
      <c r="AU3322" s="10"/>
      <c r="AV3322" s="10"/>
      <c r="AW3322" s="10"/>
      <c r="AX3322" s="10"/>
      <c r="AY3322" s="10"/>
      <c r="AZ3322" s="10"/>
      <c r="BA3322" s="10"/>
      <c r="BB3322" s="10"/>
      <c r="BC3322" s="10"/>
      <c r="BD3322" s="10"/>
      <c r="BE3322" s="10"/>
      <c r="BF3322" s="10"/>
      <c r="BG3322" s="10"/>
      <c r="BH3322" s="10"/>
      <c r="BI3322" s="10"/>
      <c r="BJ3322" s="10"/>
      <c r="BK3322" s="10"/>
      <c r="BM3322" s="10"/>
    </row>
    <row r="3323" spans="1:65" ht="12.75">
      <c r="A3323" s="9"/>
      <c r="B3323" s="10"/>
      <c r="C3323" s="11"/>
      <c r="D3323" s="12"/>
      <c r="E3323" s="10"/>
      <c r="F3323" s="10"/>
      <c r="G3323" s="10"/>
      <c r="H3323" s="14"/>
      <c r="I3323" s="14"/>
      <c r="J3323" s="14"/>
      <c r="K3323" s="14"/>
      <c r="L3323" s="14"/>
      <c r="M3323" s="15"/>
      <c r="N3323" s="10"/>
      <c r="O3323" s="14"/>
      <c r="P3323" s="14"/>
      <c r="Q3323" s="14"/>
      <c r="R3323" s="14"/>
      <c r="S3323" s="14"/>
      <c r="T3323" s="14"/>
      <c r="U3323" s="14"/>
      <c r="V3323" s="14"/>
      <c r="W3323" s="14"/>
      <c r="X3323" s="14"/>
      <c r="Y3323" s="14"/>
      <c r="Z3323" s="14"/>
      <c r="AA3323" s="16"/>
      <c r="AB3323" s="10"/>
      <c r="AC3323" s="10"/>
      <c r="AD3323" s="10"/>
      <c r="AE3323" s="10"/>
      <c r="AF3323" s="10"/>
      <c r="AG3323" s="10"/>
      <c r="AH3323" s="10"/>
      <c r="AI3323" s="10"/>
      <c r="AJ3323" s="10"/>
      <c r="AK3323" s="10"/>
      <c r="AL3323" s="10"/>
      <c r="AM3323" s="10"/>
      <c r="AN3323" s="10"/>
      <c r="AO3323" s="10"/>
      <c r="AP3323" s="10"/>
      <c r="AQ3323" s="10"/>
      <c r="AR3323" s="10"/>
      <c r="AS3323" s="10"/>
      <c r="AT3323" s="10"/>
      <c r="AU3323" s="10"/>
      <c r="AV3323" s="10"/>
      <c r="AW3323" s="10"/>
      <c r="AX3323" s="10"/>
      <c r="AY3323" s="10"/>
      <c r="AZ3323" s="10"/>
      <c r="BA3323" s="10"/>
      <c r="BB3323" s="10"/>
      <c r="BC3323" s="10"/>
      <c r="BD3323" s="10"/>
      <c r="BE3323" s="10"/>
      <c r="BF3323" s="10"/>
      <c r="BG3323" s="10"/>
      <c r="BH3323" s="10"/>
      <c r="BI3323" s="10"/>
      <c r="BJ3323" s="10"/>
      <c r="BK3323" s="10"/>
      <c r="BM3323" s="10"/>
    </row>
    <row r="3324" spans="1:65" ht="12.75">
      <c r="A3324" s="9"/>
      <c r="B3324" s="10"/>
      <c r="C3324" s="11"/>
      <c r="D3324" s="12"/>
      <c r="E3324" s="10"/>
      <c r="F3324" s="10"/>
      <c r="G3324" s="10"/>
      <c r="H3324" s="14"/>
      <c r="I3324" s="14"/>
      <c r="J3324" s="14"/>
      <c r="K3324" s="14"/>
      <c r="L3324" s="14"/>
      <c r="M3324" s="15"/>
      <c r="N3324" s="10"/>
      <c r="O3324" s="14"/>
      <c r="P3324" s="14"/>
      <c r="Q3324" s="14"/>
      <c r="R3324" s="14"/>
      <c r="S3324" s="14"/>
      <c r="T3324" s="14"/>
      <c r="U3324" s="14"/>
      <c r="V3324" s="14"/>
      <c r="W3324" s="14"/>
      <c r="X3324" s="14"/>
      <c r="Y3324" s="14"/>
      <c r="Z3324" s="14"/>
      <c r="AA3324" s="16"/>
      <c r="AB3324" s="10"/>
      <c r="AC3324" s="10"/>
      <c r="AD3324" s="10"/>
      <c r="AE3324" s="10"/>
      <c r="AF3324" s="10"/>
      <c r="AG3324" s="10"/>
      <c r="AH3324" s="10"/>
      <c r="AI3324" s="10"/>
      <c r="AJ3324" s="10"/>
      <c r="AK3324" s="10"/>
      <c r="AL3324" s="10"/>
      <c r="AM3324" s="10"/>
      <c r="AN3324" s="10"/>
      <c r="AO3324" s="10"/>
      <c r="AP3324" s="10"/>
      <c r="AQ3324" s="10"/>
      <c r="AR3324" s="10"/>
      <c r="AS3324" s="10"/>
      <c r="AT3324" s="10"/>
      <c r="AU3324" s="10"/>
      <c r="AV3324" s="10"/>
      <c r="AW3324" s="10"/>
      <c r="AX3324" s="10"/>
      <c r="AY3324" s="10"/>
      <c r="AZ3324" s="10"/>
      <c r="BA3324" s="10"/>
      <c r="BB3324" s="10"/>
      <c r="BC3324" s="10"/>
      <c r="BD3324" s="10"/>
      <c r="BE3324" s="10"/>
      <c r="BF3324" s="10"/>
      <c r="BG3324" s="10"/>
      <c r="BH3324" s="10"/>
      <c r="BI3324" s="10"/>
      <c r="BJ3324" s="10"/>
      <c r="BK3324" s="10"/>
      <c r="BM3324" s="10"/>
    </row>
    <row r="3325" spans="1:65" ht="12.75">
      <c r="A3325" s="9"/>
      <c r="B3325" s="10"/>
      <c r="C3325" s="11"/>
      <c r="D3325" s="12"/>
      <c r="E3325" s="10"/>
      <c r="F3325" s="10"/>
      <c r="G3325" s="10"/>
      <c r="H3325" s="14"/>
      <c r="I3325" s="14"/>
      <c r="J3325" s="14"/>
      <c r="K3325" s="14"/>
      <c r="L3325" s="14"/>
      <c r="M3325" s="15"/>
      <c r="N3325" s="10"/>
      <c r="O3325" s="14"/>
      <c r="P3325" s="14"/>
      <c r="Q3325" s="14"/>
      <c r="R3325" s="14"/>
      <c r="S3325" s="14"/>
      <c r="T3325" s="14"/>
      <c r="U3325" s="14"/>
      <c r="V3325" s="14"/>
      <c r="W3325" s="14"/>
      <c r="X3325" s="14"/>
      <c r="Y3325" s="14"/>
      <c r="Z3325" s="14"/>
      <c r="AA3325" s="16"/>
      <c r="AB3325" s="10"/>
      <c r="AC3325" s="10"/>
      <c r="AD3325" s="10"/>
      <c r="AE3325" s="10"/>
      <c r="AF3325" s="10"/>
      <c r="AG3325" s="10"/>
      <c r="AH3325" s="10"/>
      <c r="AI3325" s="10"/>
      <c r="AJ3325" s="10"/>
      <c r="AK3325" s="10"/>
      <c r="AL3325" s="10"/>
      <c r="AM3325" s="10"/>
      <c r="AN3325" s="10"/>
      <c r="AO3325" s="10"/>
      <c r="AP3325" s="10"/>
      <c r="AQ3325" s="10"/>
      <c r="AR3325" s="10"/>
      <c r="AS3325" s="10"/>
      <c r="AT3325" s="10"/>
      <c r="AU3325" s="10"/>
      <c r="AV3325" s="10"/>
      <c r="AW3325" s="10"/>
      <c r="AX3325" s="10"/>
      <c r="AY3325" s="10"/>
      <c r="AZ3325" s="10"/>
      <c r="BA3325" s="10"/>
      <c r="BB3325" s="10"/>
      <c r="BC3325" s="10"/>
      <c r="BD3325" s="10"/>
      <c r="BE3325" s="10"/>
      <c r="BF3325" s="10"/>
      <c r="BG3325" s="10"/>
      <c r="BH3325" s="10"/>
      <c r="BI3325" s="10"/>
      <c r="BJ3325" s="10"/>
      <c r="BK3325" s="10"/>
      <c r="BM3325" s="10"/>
    </row>
    <row r="3326" spans="1:65" ht="12.75">
      <c r="A3326" s="9"/>
      <c r="B3326" s="10"/>
      <c r="C3326" s="11"/>
      <c r="D3326" s="12"/>
      <c r="E3326" s="10"/>
      <c r="F3326" s="10"/>
      <c r="G3326" s="10"/>
      <c r="H3326" s="14"/>
      <c r="I3326" s="14"/>
      <c r="J3326" s="14"/>
      <c r="K3326" s="14"/>
      <c r="L3326" s="14"/>
      <c r="M3326" s="15"/>
      <c r="N3326" s="10"/>
      <c r="O3326" s="14"/>
      <c r="P3326" s="14"/>
      <c r="Q3326" s="14"/>
      <c r="R3326" s="14"/>
      <c r="S3326" s="14"/>
      <c r="T3326" s="14"/>
      <c r="U3326" s="14"/>
      <c r="V3326" s="14"/>
      <c r="W3326" s="14"/>
      <c r="X3326" s="14"/>
      <c r="Y3326" s="14"/>
      <c r="Z3326" s="14"/>
      <c r="AA3326" s="16"/>
      <c r="AB3326" s="10"/>
      <c r="AC3326" s="10"/>
      <c r="AD3326" s="10"/>
      <c r="AE3326" s="10"/>
      <c r="AF3326" s="10"/>
      <c r="AG3326" s="10"/>
      <c r="AH3326" s="10"/>
      <c r="AI3326" s="10"/>
      <c r="AJ3326" s="10"/>
      <c r="AK3326" s="10"/>
      <c r="AL3326" s="10"/>
      <c r="AM3326" s="10"/>
      <c r="AN3326" s="10"/>
      <c r="AO3326" s="10"/>
      <c r="AP3326" s="10"/>
      <c r="AQ3326" s="10"/>
      <c r="AR3326" s="10"/>
      <c r="AS3326" s="10"/>
      <c r="AT3326" s="10"/>
      <c r="AU3326" s="10"/>
      <c r="AV3326" s="10"/>
      <c r="AW3326" s="10"/>
      <c r="AX3326" s="10"/>
      <c r="AY3326" s="10"/>
      <c r="AZ3326" s="10"/>
      <c r="BA3326" s="10"/>
      <c r="BB3326" s="10"/>
      <c r="BC3326" s="10"/>
      <c r="BD3326" s="10"/>
      <c r="BE3326" s="10"/>
      <c r="BF3326" s="10"/>
      <c r="BG3326" s="10"/>
      <c r="BH3326" s="10"/>
      <c r="BI3326" s="10"/>
      <c r="BJ3326" s="10"/>
      <c r="BK3326" s="10"/>
      <c r="BM3326" s="10"/>
    </row>
    <row r="3327" spans="1:65" ht="12.75">
      <c r="A3327" s="9"/>
      <c r="B3327" s="10"/>
      <c r="C3327" s="11"/>
      <c r="D3327" s="12"/>
      <c r="E3327" s="10"/>
      <c r="F3327" s="10"/>
      <c r="G3327" s="10"/>
      <c r="H3327" s="14"/>
      <c r="I3327" s="14"/>
      <c r="J3327" s="14"/>
      <c r="K3327" s="14"/>
      <c r="L3327" s="14"/>
      <c r="M3327" s="15"/>
      <c r="N3327" s="10"/>
      <c r="O3327" s="14"/>
      <c r="P3327" s="14"/>
      <c r="Q3327" s="14"/>
      <c r="R3327" s="14"/>
      <c r="S3327" s="14"/>
      <c r="T3327" s="14"/>
      <c r="U3327" s="14"/>
      <c r="V3327" s="14"/>
      <c r="W3327" s="14"/>
      <c r="X3327" s="14"/>
      <c r="Y3327" s="14"/>
      <c r="Z3327" s="14"/>
      <c r="AA3327" s="16"/>
      <c r="AB3327" s="10"/>
      <c r="AC3327" s="10"/>
      <c r="AD3327" s="10"/>
      <c r="AE3327" s="10"/>
      <c r="AF3327" s="10"/>
      <c r="AG3327" s="10"/>
      <c r="AH3327" s="10"/>
      <c r="AI3327" s="10"/>
      <c r="AJ3327" s="10"/>
      <c r="AK3327" s="10"/>
      <c r="AL3327" s="10"/>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10"/>
      <c r="BJ3327" s="10"/>
      <c r="BK3327" s="10"/>
      <c r="BM3327" s="10"/>
    </row>
    <row r="3328" spans="1:65" ht="12.75">
      <c r="A3328" s="9"/>
      <c r="B3328" s="10"/>
      <c r="C3328" s="11"/>
      <c r="D3328" s="12"/>
      <c r="E3328" s="10"/>
      <c r="F3328" s="10"/>
      <c r="G3328" s="10"/>
      <c r="H3328" s="14"/>
      <c r="I3328" s="14"/>
      <c r="J3328" s="14"/>
      <c r="K3328" s="14"/>
      <c r="L3328" s="14"/>
      <c r="M3328" s="15"/>
      <c r="N3328" s="10"/>
      <c r="O3328" s="14"/>
      <c r="P3328" s="14"/>
      <c r="Q3328" s="14"/>
      <c r="R3328" s="14"/>
      <c r="S3328" s="14"/>
      <c r="T3328" s="14"/>
      <c r="U3328" s="14"/>
      <c r="V3328" s="14"/>
      <c r="W3328" s="14"/>
      <c r="X3328" s="14"/>
      <c r="Y3328" s="14"/>
      <c r="Z3328" s="14"/>
      <c r="AA3328" s="16"/>
      <c r="AB3328" s="10"/>
      <c r="AC3328" s="10"/>
      <c r="AD3328" s="10"/>
      <c r="AE3328" s="10"/>
      <c r="AF3328" s="10"/>
      <c r="AG3328" s="10"/>
      <c r="AH3328" s="10"/>
      <c r="AI3328" s="10"/>
      <c r="AJ3328" s="10"/>
      <c r="AK3328" s="10"/>
      <c r="AL3328" s="10"/>
      <c r="AM3328" s="10"/>
      <c r="AN3328" s="10"/>
      <c r="AO3328" s="10"/>
      <c r="AP3328" s="10"/>
      <c r="AQ3328" s="10"/>
      <c r="AR3328" s="10"/>
      <c r="AS3328" s="10"/>
      <c r="AT3328" s="10"/>
      <c r="AU3328" s="10"/>
      <c r="AV3328" s="10"/>
      <c r="AW3328" s="10"/>
      <c r="AX3328" s="10"/>
      <c r="AY3328" s="10"/>
      <c r="AZ3328" s="10"/>
      <c r="BA3328" s="10"/>
      <c r="BB3328" s="10"/>
      <c r="BC3328" s="10"/>
      <c r="BD3328" s="10"/>
      <c r="BE3328" s="10"/>
      <c r="BF3328" s="10"/>
      <c r="BG3328" s="10"/>
      <c r="BH3328" s="10"/>
      <c r="BI3328" s="10"/>
      <c r="BJ3328" s="10"/>
      <c r="BK3328" s="10"/>
      <c r="BM3328" s="10"/>
    </row>
    <row r="3329" spans="1:65" ht="12.75">
      <c r="A3329" s="9"/>
      <c r="B3329" s="10"/>
      <c r="C3329" s="11"/>
      <c r="D3329" s="12"/>
      <c r="E3329" s="10"/>
      <c r="F3329" s="10"/>
      <c r="G3329" s="10"/>
      <c r="H3329" s="14"/>
      <c r="I3329" s="14"/>
      <c r="J3329" s="14"/>
      <c r="K3329" s="14"/>
      <c r="L3329" s="14"/>
      <c r="M3329" s="15"/>
      <c r="N3329" s="10"/>
      <c r="O3329" s="14"/>
      <c r="P3329" s="14"/>
      <c r="Q3329" s="14"/>
      <c r="R3329" s="14"/>
      <c r="S3329" s="14"/>
      <c r="T3329" s="14"/>
      <c r="U3329" s="14"/>
      <c r="V3329" s="14"/>
      <c r="W3329" s="14"/>
      <c r="X3329" s="14"/>
      <c r="Y3329" s="14"/>
      <c r="Z3329" s="14"/>
      <c r="AA3329" s="16"/>
      <c r="AB3329" s="10"/>
      <c r="AC3329" s="10"/>
      <c r="AD3329" s="10"/>
      <c r="AE3329" s="10"/>
      <c r="AF3329" s="10"/>
      <c r="AG3329" s="10"/>
      <c r="AH3329" s="10"/>
      <c r="AI3329" s="10"/>
      <c r="AJ3329" s="10"/>
      <c r="AK3329" s="10"/>
      <c r="AL3329" s="10"/>
      <c r="AM3329" s="10"/>
      <c r="AN3329" s="10"/>
      <c r="AO3329" s="10"/>
      <c r="AP3329" s="10"/>
      <c r="AQ3329" s="10"/>
      <c r="AR3329" s="10"/>
      <c r="AS3329" s="10"/>
      <c r="AT3329" s="10"/>
      <c r="AU3329" s="10"/>
      <c r="AV3329" s="10"/>
      <c r="AW3329" s="10"/>
      <c r="AX3329" s="10"/>
      <c r="AY3329" s="10"/>
      <c r="AZ3329" s="10"/>
      <c r="BA3329" s="10"/>
      <c r="BB3329" s="10"/>
      <c r="BC3329" s="10"/>
      <c r="BD3329" s="10"/>
      <c r="BE3329" s="10"/>
      <c r="BF3329" s="10"/>
      <c r="BG3329" s="10"/>
      <c r="BH3329" s="10"/>
      <c r="BI3329" s="10"/>
      <c r="BJ3329" s="10"/>
      <c r="BK3329" s="10"/>
      <c r="BM3329" s="10"/>
    </row>
    <row r="3330" spans="1:65" ht="12.75">
      <c r="A3330" s="9"/>
      <c r="B3330" s="10"/>
      <c r="C3330" s="11"/>
      <c r="D3330" s="12"/>
      <c r="E3330" s="10"/>
      <c r="F3330" s="10"/>
      <c r="G3330" s="10"/>
      <c r="H3330" s="14"/>
      <c r="I3330" s="14"/>
      <c r="J3330" s="14"/>
      <c r="K3330" s="14"/>
      <c r="L3330" s="14"/>
      <c r="M3330" s="15"/>
      <c r="N3330" s="10"/>
      <c r="O3330" s="14"/>
      <c r="P3330" s="14"/>
      <c r="Q3330" s="14"/>
      <c r="R3330" s="14"/>
      <c r="S3330" s="14"/>
      <c r="T3330" s="14"/>
      <c r="U3330" s="14"/>
      <c r="V3330" s="14"/>
      <c r="W3330" s="14"/>
      <c r="X3330" s="14"/>
      <c r="Y3330" s="14"/>
      <c r="Z3330" s="14"/>
      <c r="AA3330" s="16"/>
      <c r="AB3330" s="10"/>
      <c r="AC3330" s="10"/>
      <c r="AD3330" s="10"/>
      <c r="AE3330" s="10"/>
      <c r="AF3330" s="10"/>
      <c r="AG3330" s="10"/>
      <c r="AH3330" s="10"/>
      <c r="AI3330" s="10"/>
      <c r="AJ3330" s="10"/>
      <c r="AK3330" s="10"/>
      <c r="AL3330" s="10"/>
      <c r="AM3330" s="10"/>
      <c r="AN3330" s="10"/>
      <c r="AO3330" s="10"/>
      <c r="AP3330" s="10"/>
      <c r="AQ3330" s="10"/>
      <c r="AR3330" s="10"/>
      <c r="AS3330" s="10"/>
      <c r="AT3330" s="10"/>
      <c r="AU3330" s="10"/>
      <c r="AV3330" s="10"/>
      <c r="AW3330" s="10"/>
      <c r="AX3330" s="10"/>
      <c r="AY3330" s="10"/>
      <c r="AZ3330" s="10"/>
      <c r="BA3330" s="10"/>
      <c r="BB3330" s="10"/>
      <c r="BC3330" s="10"/>
      <c r="BD3330" s="10"/>
      <c r="BE3330" s="10"/>
      <c r="BF3330" s="10"/>
      <c r="BG3330" s="10"/>
      <c r="BH3330" s="10"/>
      <c r="BI3330" s="10"/>
      <c r="BJ3330" s="10"/>
      <c r="BK3330" s="10"/>
      <c r="BM3330" s="10"/>
    </row>
    <row r="3331" spans="1:65" ht="12.75">
      <c r="A3331" s="9"/>
      <c r="B3331" s="10"/>
      <c r="C3331" s="11"/>
      <c r="D3331" s="12"/>
      <c r="E3331" s="10"/>
      <c r="F3331" s="10"/>
      <c r="G3331" s="10"/>
      <c r="H3331" s="14"/>
      <c r="I3331" s="14"/>
      <c r="J3331" s="14"/>
      <c r="K3331" s="14"/>
      <c r="L3331" s="14"/>
      <c r="M3331" s="15"/>
      <c r="N3331" s="10"/>
      <c r="O3331" s="14"/>
      <c r="P3331" s="14"/>
      <c r="Q3331" s="14"/>
      <c r="R3331" s="14"/>
      <c r="S3331" s="14"/>
      <c r="T3331" s="14"/>
      <c r="U3331" s="14"/>
      <c r="V3331" s="14"/>
      <c r="W3331" s="14"/>
      <c r="X3331" s="14"/>
      <c r="Y3331" s="14"/>
      <c r="Z3331" s="14"/>
      <c r="AA3331" s="16"/>
      <c r="AB3331" s="10"/>
      <c r="AC3331" s="10"/>
      <c r="AD3331" s="10"/>
      <c r="AE3331" s="10"/>
      <c r="AF3331" s="10"/>
      <c r="AG3331" s="10"/>
      <c r="AH3331" s="10"/>
      <c r="AI3331" s="10"/>
      <c r="AJ3331" s="10"/>
      <c r="AK3331" s="10"/>
      <c r="AL3331" s="10"/>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c r="BI3331" s="10"/>
      <c r="BJ3331" s="10"/>
      <c r="BK3331" s="10"/>
      <c r="BM3331" s="10"/>
    </row>
    <row r="3332" spans="1:65" ht="12.75">
      <c r="A3332" s="9"/>
      <c r="B3332" s="10"/>
      <c r="C3332" s="11"/>
      <c r="D3332" s="12"/>
      <c r="E3332" s="10"/>
      <c r="F3332" s="10"/>
      <c r="G3332" s="10"/>
      <c r="H3332" s="14"/>
      <c r="I3332" s="14"/>
      <c r="J3332" s="14"/>
      <c r="K3332" s="14"/>
      <c r="L3332" s="14"/>
      <c r="M3332" s="15"/>
      <c r="N3332" s="10"/>
      <c r="O3332" s="14"/>
      <c r="P3332" s="14"/>
      <c r="Q3332" s="14"/>
      <c r="R3332" s="14"/>
      <c r="S3332" s="14"/>
      <c r="T3332" s="14"/>
      <c r="U3332" s="14"/>
      <c r="V3332" s="14"/>
      <c r="W3332" s="14"/>
      <c r="X3332" s="14"/>
      <c r="Y3332" s="14"/>
      <c r="Z3332" s="14"/>
      <c r="AA3332" s="16"/>
      <c r="AB3332" s="10"/>
      <c r="AC3332" s="10"/>
      <c r="AD3332" s="10"/>
      <c r="AE3332" s="10"/>
      <c r="AF3332" s="10"/>
      <c r="AG3332" s="10"/>
      <c r="AH3332" s="10"/>
      <c r="AI3332" s="10"/>
      <c r="AJ3332" s="10"/>
      <c r="AK3332" s="10"/>
      <c r="AL3332" s="10"/>
      <c r="AM3332" s="10"/>
      <c r="AN3332" s="10"/>
      <c r="AO3332" s="10"/>
      <c r="AP3332" s="10"/>
      <c r="AQ3332" s="10"/>
      <c r="AR3332" s="10"/>
      <c r="AS3332" s="10"/>
      <c r="AT3332" s="10"/>
      <c r="AU3332" s="10"/>
      <c r="AV3332" s="10"/>
      <c r="AW3332" s="10"/>
      <c r="AX3332" s="10"/>
      <c r="AY3332" s="10"/>
      <c r="AZ3332" s="10"/>
      <c r="BA3332" s="10"/>
      <c r="BB3332" s="10"/>
      <c r="BC3332" s="10"/>
      <c r="BD3332" s="10"/>
      <c r="BE3332" s="10"/>
      <c r="BF3332" s="10"/>
      <c r="BG3332" s="10"/>
      <c r="BH3332" s="10"/>
      <c r="BI3332" s="10"/>
      <c r="BJ3332" s="10"/>
      <c r="BK3332" s="10"/>
      <c r="BM3332" s="10"/>
    </row>
    <row r="3333" spans="1:65" ht="12.75">
      <c r="A3333" s="9"/>
      <c r="B3333" s="10"/>
      <c r="C3333" s="11"/>
      <c r="D3333" s="12"/>
      <c r="E3333" s="10"/>
      <c r="F3333" s="10"/>
      <c r="G3333" s="10"/>
      <c r="H3333" s="14"/>
      <c r="I3333" s="14"/>
      <c r="J3333" s="14"/>
      <c r="K3333" s="14"/>
      <c r="L3333" s="14"/>
      <c r="M3333" s="15"/>
      <c r="N3333" s="10"/>
      <c r="O3333" s="14"/>
      <c r="P3333" s="14"/>
      <c r="Q3333" s="14"/>
      <c r="R3333" s="14"/>
      <c r="S3333" s="14"/>
      <c r="T3333" s="14"/>
      <c r="U3333" s="14"/>
      <c r="V3333" s="14"/>
      <c r="W3333" s="14"/>
      <c r="X3333" s="14"/>
      <c r="Y3333" s="14"/>
      <c r="Z3333" s="14"/>
      <c r="AA3333" s="16"/>
      <c r="AB3333" s="10"/>
      <c r="AC3333" s="10"/>
      <c r="AD3333" s="10"/>
      <c r="AE3333" s="10"/>
      <c r="AF3333" s="10"/>
      <c r="AG3333" s="10"/>
      <c r="AH3333" s="10"/>
      <c r="AI3333" s="10"/>
      <c r="AJ3333" s="10"/>
      <c r="AK3333" s="10"/>
      <c r="AL3333" s="10"/>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c r="BI3333" s="10"/>
      <c r="BJ3333" s="10"/>
      <c r="BK3333" s="10"/>
      <c r="BM3333" s="10"/>
    </row>
    <row r="3334" spans="1:65" ht="12.75">
      <c r="A3334" s="9"/>
      <c r="B3334" s="10"/>
      <c r="C3334" s="11"/>
      <c r="D3334" s="12"/>
      <c r="E3334" s="10"/>
      <c r="F3334" s="10"/>
      <c r="G3334" s="10"/>
      <c r="H3334" s="14"/>
      <c r="I3334" s="14"/>
      <c r="J3334" s="14"/>
      <c r="K3334" s="14"/>
      <c r="L3334" s="14"/>
      <c r="M3334" s="15"/>
      <c r="N3334" s="10"/>
      <c r="O3334" s="14"/>
      <c r="P3334" s="14"/>
      <c r="Q3334" s="14"/>
      <c r="R3334" s="14"/>
      <c r="S3334" s="14"/>
      <c r="T3334" s="14"/>
      <c r="U3334" s="14"/>
      <c r="V3334" s="14"/>
      <c r="W3334" s="14"/>
      <c r="X3334" s="14"/>
      <c r="Y3334" s="14"/>
      <c r="Z3334" s="14"/>
      <c r="AA3334" s="16"/>
      <c r="AB3334" s="10"/>
      <c r="AC3334" s="10"/>
      <c r="AD3334" s="10"/>
      <c r="AE3334" s="10"/>
      <c r="AF3334" s="10"/>
      <c r="AG3334" s="10"/>
      <c r="AH3334" s="10"/>
      <c r="AI3334" s="10"/>
      <c r="AJ3334" s="10"/>
      <c r="AK3334" s="10"/>
      <c r="AL3334" s="10"/>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c r="BI3334" s="10"/>
      <c r="BJ3334" s="10"/>
      <c r="BK3334" s="10"/>
      <c r="BM3334" s="10"/>
    </row>
    <row r="3335" spans="1:65" ht="12.75">
      <c r="A3335" s="9"/>
      <c r="B3335" s="10"/>
      <c r="C3335" s="11"/>
      <c r="D3335" s="12"/>
      <c r="E3335" s="10"/>
      <c r="F3335" s="10"/>
      <c r="G3335" s="10"/>
      <c r="H3335" s="14"/>
      <c r="I3335" s="14"/>
      <c r="J3335" s="14"/>
      <c r="K3335" s="14"/>
      <c r="L3335" s="14"/>
      <c r="M3335" s="15"/>
      <c r="N3335" s="10"/>
      <c r="O3335" s="14"/>
      <c r="P3335" s="14"/>
      <c r="Q3335" s="14"/>
      <c r="R3335" s="14"/>
      <c r="S3335" s="14"/>
      <c r="T3335" s="14"/>
      <c r="U3335" s="14"/>
      <c r="V3335" s="14"/>
      <c r="W3335" s="14"/>
      <c r="X3335" s="14"/>
      <c r="Y3335" s="14"/>
      <c r="Z3335" s="14"/>
      <c r="AA3335" s="16"/>
      <c r="AB3335" s="10"/>
      <c r="AC3335" s="10"/>
      <c r="AD3335" s="10"/>
      <c r="AE3335" s="10"/>
      <c r="AF3335" s="10"/>
      <c r="AG3335" s="10"/>
      <c r="AH3335" s="10"/>
      <c r="AI3335" s="10"/>
      <c r="AJ3335" s="10"/>
      <c r="AK3335" s="10"/>
      <c r="AL3335" s="10"/>
      <c r="AM3335" s="10"/>
      <c r="AN3335" s="10"/>
      <c r="AO3335" s="10"/>
      <c r="AP3335" s="10"/>
      <c r="AQ3335" s="10"/>
      <c r="AR3335" s="10"/>
      <c r="AS3335" s="10"/>
      <c r="AT3335" s="10"/>
      <c r="AU3335" s="10"/>
      <c r="AV3335" s="10"/>
      <c r="AW3335" s="10"/>
      <c r="AX3335" s="10"/>
      <c r="AY3335" s="10"/>
      <c r="AZ3335" s="10"/>
      <c r="BA3335" s="10"/>
      <c r="BB3335" s="10"/>
      <c r="BC3335" s="10"/>
      <c r="BD3335" s="10"/>
      <c r="BE3335" s="10"/>
      <c r="BF3335" s="10"/>
      <c r="BG3335" s="10"/>
      <c r="BH3335" s="10"/>
      <c r="BI3335" s="10"/>
      <c r="BJ3335" s="10"/>
      <c r="BK3335" s="10"/>
      <c r="BM3335" s="10"/>
    </row>
    <row r="3336" spans="1:65" ht="12.75">
      <c r="A3336" s="9"/>
      <c r="B3336" s="10"/>
      <c r="C3336" s="11"/>
      <c r="D3336" s="12"/>
      <c r="E3336" s="10"/>
      <c r="F3336" s="10"/>
      <c r="G3336" s="10"/>
      <c r="H3336" s="14"/>
      <c r="I3336" s="14"/>
      <c r="J3336" s="14"/>
      <c r="K3336" s="14"/>
      <c r="L3336" s="14"/>
      <c r="M3336" s="15"/>
      <c r="N3336" s="10"/>
      <c r="O3336" s="14"/>
      <c r="P3336" s="14"/>
      <c r="Q3336" s="14"/>
      <c r="R3336" s="14"/>
      <c r="S3336" s="14"/>
      <c r="T3336" s="14"/>
      <c r="U3336" s="14"/>
      <c r="V3336" s="14"/>
      <c r="W3336" s="14"/>
      <c r="X3336" s="14"/>
      <c r="Y3336" s="14"/>
      <c r="Z3336" s="14"/>
      <c r="AA3336" s="16"/>
      <c r="AB3336" s="10"/>
      <c r="AC3336" s="10"/>
      <c r="AD3336" s="10"/>
      <c r="AE3336" s="10"/>
      <c r="AF3336" s="10"/>
      <c r="AG3336" s="10"/>
      <c r="AH3336" s="10"/>
      <c r="AI3336" s="10"/>
      <c r="AJ3336" s="10"/>
      <c r="AK3336" s="10"/>
      <c r="AL3336" s="10"/>
      <c r="AM3336" s="10"/>
      <c r="AN3336" s="10"/>
      <c r="AO3336" s="10"/>
      <c r="AP3336" s="10"/>
      <c r="AQ3336" s="10"/>
      <c r="AR3336" s="10"/>
      <c r="AS3336" s="10"/>
      <c r="AT3336" s="10"/>
      <c r="AU3336" s="10"/>
      <c r="AV3336" s="10"/>
      <c r="AW3336" s="10"/>
      <c r="AX3336" s="10"/>
      <c r="AY3336" s="10"/>
      <c r="AZ3336" s="10"/>
      <c r="BA3336" s="10"/>
      <c r="BB3336" s="10"/>
      <c r="BC3336" s="10"/>
      <c r="BD3336" s="10"/>
      <c r="BE3336" s="10"/>
      <c r="BF3336" s="10"/>
      <c r="BG3336" s="10"/>
      <c r="BH3336" s="10"/>
      <c r="BI3336" s="10"/>
      <c r="BJ3336" s="10"/>
      <c r="BK3336" s="10"/>
      <c r="BM3336" s="10"/>
    </row>
    <row r="3337" spans="1:65" ht="12.75">
      <c r="A3337" s="9"/>
      <c r="B3337" s="10"/>
      <c r="C3337" s="11"/>
      <c r="D3337" s="12"/>
      <c r="E3337" s="10"/>
      <c r="F3337" s="10"/>
      <c r="G3337" s="10"/>
      <c r="H3337" s="14"/>
      <c r="I3337" s="14"/>
      <c r="J3337" s="14"/>
      <c r="K3337" s="14"/>
      <c r="L3337" s="14"/>
      <c r="M3337" s="15"/>
      <c r="N3337" s="10"/>
      <c r="O3337" s="14"/>
      <c r="P3337" s="14"/>
      <c r="Q3337" s="14"/>
      <c r="R3337" s="14"/>
      <c r="S3337" s="14"/>
      <c r="T3337" s="14"/>
      <c r="U3337" s="14"/>
      <c r="V3337" s="14"/>
      <c r="W3337" s="14"/>
      <c r="X3337" s="14"/>
      <c r="Y3337" s="14"/>
      <c r="Z3337" s="14"/>
      <c r="AA3337" s="16"/>
      <c r="AB3337" s="10"/>
      <c r="AC3337" s="10"/>
      <c r="AD3337" s="10"/>
      <c r="AE3337" s="10"/>
      <c r="AF3337" s="10"/>
      <c r="AG3337" s="10"/>
      <c r="AH3337" s="10"/>
      <c r="AI3337" s="10"/>
      <c r="AJ3337" s="10"/>
      <c r="AK3337" s="10"/>
      <c r="AL3337" s="10"/>
      <c r="AM3337" s="10"/>
      <c r="AN3337" s="10"/>
      <c r="AO3337" s="10"/>
      <c r="AP3337" s="10"/>
      <c r="AQ3337" s="10"/>
      <c r="AR3337" s="10"/>
      <c r="AS3337" s="10"/>
      <c r="AT3337" s="10"/>
      <c r="AU3337" s="10"/>
      <c r="AV3337" s="10"/>
      <c r="AW3337" s="10"/>
      <c r="AX3337" s="10"/>
      <c r="AY3337" s="10"/>
      <c r="AZ3337" s="10"/>
      <c r="BA3337" s="10"/>
      <c r="BB3337" s="10"/>
      <c r="BC3337" s="10"/>
      <c r="BD3337" s="10"/>
      <c r="BE3337" s="10"/>
      <c r="BF3337" s="10"/>
      <c r="BG3337" s="10"/>
      <c r="BH3337" s="10"/>
      <c r="BI3337" s="10"/>
      <c r="BJ3337" s="10"/>
      <c r="BK3337" s="10"/>
      <c r="BM3337" s="10"/>
    </row>
    <row r="3338" spans="1:65" ht="12.75">
      <c r="A3338" s="9"/>
      <c r="B3338" s="10"/>
      <c r="C3338" s="11"/>
      <c r="D3338" s="12"/>
      <c r="E3338" s="10"/>
      <c r="F3338" s="10"/>
      <c r="G3338" s="10"/>
      <c r="H3338" s="14"/>
      <c r="I3338" s="14"/>
      <c r="J3338" s="14"/>
      <c r="K3338" s="14"/>
      <c r="L3338" s="14"/>
      <c r="M3338" s="15"/>
      <c r="N3338" s="10"/>
      <c r="O3338" s="14"/>
      <c r="P3338" s="14"/>
      <c r="Q3338" s="14"/>
      <c r="R3338" s="14"/>
      <c r="S3338" s="14"/>
      <c r="T3338" s="14"/>
      <c r="U3338" s="14"/>
      <c r="V3338" s="14"/>
      <c r="W3338" s="14"/>
      <c r="X3338" s="14"/>
      <c r="Y3338" s="14"/>
      <c r="Z3338" s="14"/>
      <c r="AA3338" s="16"/>
      <c r="AB3338" s="10"/>
      <c r="AC3338" s="10"/>
      <c r="AD3338" s="10"/>
      <c r="AE3338" s="10"/>
      <c r="AF3338" s="10"/>
      <c r="AG3338" s="10"/>
      <c r="AH3338" s="10"/>
      <c r="AI3338" s="10"/>
      <c r="AJ3338" s="10"/>
      <c r="AK3338" s="10"/>
      <c r="AL3338" s="10"/>
      <c r="AM3338" s="10"/>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10"/>
      <c r="BJ3338" s="10"/>
      <c r="BK3338" s="10"/>
      <c r="BM3338" s="10"/>
    </row>
    <row r="3339" spans="1:65" ht="12.75">
      <c r="A3339" s="9"/>
      <c r="B3339" s="10"/>
      <c r="C3339" s="11"/>
      <c r="D3339" s="12"/>
      <c r="E3339" s="10"/>
      <c r="F3339" s="10"/>
      <c r="G3339" s="10"/>
      <c r="H3339" s="14"/>
      <c r="I3339" s="14"/>
      <c r="J3339" s="14"/>
      <c r="K3339" s="14"/>
      <c r="L3339" s="14"/>
      <c r="M3339" s="15"/>
      <c r="N3339" s="10"/>
      <c r="O3339" s="14"/>
      <c r="P3339" s="14"/>
      <c r="Q3339" s="14"/>
      <c r="R3339" s="14"/>
      <c r="S3339" s="14"/>
      <c r="T3339" s="14"/>
      <c r="U3339" s="14"/>
      <c r="V3339" s="14"/>
      <c r="W3339" s="14"/>
      <c r="X3339" s="14"/>
      <c r="Y3339" s="14"/>
      <c r="Z3339" s="14"/>
      <c r="AA3339" s="16"/>
      <c r="AB3339" s="10"/>
      <c r="AC3339" s="10"/>
      <c r="AD3339" s="10"/>
      <c r="AE3339" s="10"/>
      <c r="AF3339" s="10"/>
      <c r="AG3339" s="10"/>
      <c r="AH3339" s="10"/>
      <c r="AI3339" s="10"/>
      <c r="AJ3339" s="10"/>
      <c r="AK3339" s="10"/>
      <c r="AL3339" s="10"/>
      <c r="AM3339" s="10"/>
      <c r="AN3339" s="10"/>
      <c r="AO3339" s="10"/>
      <c r="AP3339" s="10"/>
      <c r="AQ3339" s="10"/>
      <c r="AR3339" s="10"/>
      <c r="AS3339" s="10"/>
      <c r="AT3339" s="10"/>
      <c r="AU3339" s="10"/>
      <c r="AV3339" s="10"/>
      <c r="AW3339" s="10"/>
      <c r="AX3339" s="10"/>
      <c r="AY3339" s="10"/>
      <c r="AZ3339" s="10"/>
      <c r="BA3339" s="10"/>
      <c r="BB3339" s="10"/>
      <c r="BC3339" s="10"/>
      <c r="BD3339" s="10"/>
      <c r="BE3339" s="10"/>
      <c r="BF3339" s="10"/>
      <c r="BG3339" s="10"/>
      <c r="BH3339" s="10"/>
      <c r="BI3339" s="10"/>
      <c r="BJ3339" s="10"/>
      <c r="BK3339" s="10"/>
      <c r="BM3339" s="10"/>
    </row>
    <row r="3340" spans="1:65" ht="12.75">
      <c r="A3340" s="9"/>
      <c r="B3340" s="10"/>
      <c r="C3340" s="11"/>
      <c r="D3340" s="12"/>
      <c r="E3340" s="10"/>
      <c r="F3340" s="10"/>
      <c r="G3340" s="10"/>
      <c r="H3340" s="14"/>
      <c r="I3340" s="14"/>
      <c r="J3340" s="14"/>
      <c r="K3340" s="14"/>
      <c r="L3340" s="14"/>
      <c r="M3340" s="15"/>
      <c r="N3340" s="10"/>
      <c r="O3340" s="14"/>
      <c r="P3340" s="14"/>
      <c r="Q3340" s="14"/>
      <c r="R3340" s="14"/>
      <c r="S3340" s="14"/>
      <c r="T3340" s="14"/>
      <c r="U3340" s="14"/>
      <c r="V3340" s="14"/>
      <c r="W3340" s="14"/>
      <c r="X3340" s="14"/>
      <c r="Y3340" s="14"/>
      <c r="Z3340" s="14"/>
      <c r="AA3340" s="16"/>
      <c r="AB3340" s="10"/>
      <c r="AC3340" s="10"/>
      <c r="AD3340" s="10"/>
      <c r="AE3340" s="10"/>
      <c r="AF3340" s="10"/>
      <c r="AG3340" s="10"/>
      <c r="AH3340" s="10"/>
      <c r="AI3340" s="10"/>
      <c r="AJ3340" s="10"/>
      <c r="AK3340" s="10"/>
      <c r="AL3340" s="10"/>
      <c r="AM3340" s="10"/>
      <c r="AN3340" s="10"/>
      <c r="AO3340" s="10"/>
      <c r="AP3340" s="10"/>
      <c r="AQ3340" s="10"/>
      <c r="AR3340" s="10"/>
      <c r="AS3340" s="10"/>
      <c r="AT3340" s="10"/>
      <c r="AU3340" s="10"/>
      <c r="AV3340" s="10"/>
      <c r="AW3340" s="10"/>
      <c r="AX3340" s="10"/>
      <c r="AY3340" s="10"/>
      <c r="AZ3340" s="10"/>
      <c r="BA3340" s="10"/>
      <c r="BB3340" s="10"/>
      <c r="BC3340" s="10"/>
      <c r="BD3340" s="10"/>
      <c r="BE3340" s="10"/>
      <c r="BF3340" s="10"/>
      <c r="BG3340" s="10"/>
      <c r="BH3340" s="10"/>
      <c r="BI3340" s="10"/>
      <c r="BJ3340" s="10"/>
      <c r="BK3340" s="10"/>
      <c r="BM3340" s="10"/>
    </row>
    <row r="3341" spans="1:65" ht="12.75">
      <c r="A3341" s="9"/>
      <c r="B3341" s="10"/>
      <c r="C3341" s="11"/>
      <c r="D3341" s="12"/>
      <c r="E3341" s="10"/>
      <c r="F3341" s="10"/>
      <c r="G3341" s="10"/>
      <c r="H3341" s="14"/>
      <c r="I3341" s="14"/>
      <c r="J3341" s="14"/>
      <c r="K3341" s="14"/>
      <c r="L3341" s="14"/>
      <c r="M3341" s="15"/>
      <c r="N3341" s="10"/>
      <c r="O3341" s="14"/>
      <c r="P3341" s="14"/>
      <c r="Q3341" s="14"/>
      <c r="R3341" s="14"/>
      <c r="S3341" s="14"/>
      <c r="T3341" s="14"/>
      <c r="U3341" s="14"/>
      <c r="V3341" s="14"/>
      <c r="W3341" s="14"/>
      <c r="X3341" s="14"/>
      <c r="Y3341" s="14"/>
      <c r="Z3341" s="14"/>
      <c r="AA3341" s="16"/>
      <c r="AB3341" s="10"/>
      <c r="AC3341" s="10"/>
      <c r="AD3341" s="10"/>
      <c r="AE3341" s="10"/>
      <c r="AF3341" s="10"/>
      <c r="AG3341" s="10"/>
      <c r="AH3341" s="10"/>
      <c r="AI3341" s="10"/>
      <c r="AJ3341" s="10"/>
      <c r="AK3341" s="10"/>
      <c r="AL3341" s="10"/>
      <c r="AM3341" s="10"/>
      <c r="AN3341" s="10"/>
      <c r="AO3341" s="10"/>
      <c r="AP3341" s="10"/>
      <c r="AQ3341" s="10"/>
      <c r="AR3341" s="10"/>
      <c r="AS3341" s="10"/>
      <c r="AT3341" s="10"/>
      <c r="AU3341" s="10"/>
      <c r="AV3341" s="10"/>
      <c r="AW3341" s="10"/>
      <c r="AX3341" s="10"/>
      <c r="AY3341" s="10"/>
      <c r="AZ3341" s="10"/>
      <c r="BA3341" s="10"/>
      <c r="BB3341" s="10"/>
      <c r="BC3341" s="10"/>
      <c r="BD3341" s="10"/>
      <c r="BE3341" s="10"/>
      <c r="BF3341" s="10"/>
      <c r="BG3341" s="10"/>
      <c r="BH3341" s="10"/>
      <c r="BI3341" s="10"/>
      <c r="BJ3341" s="10"/>
      <c r="BK3341" s="10"/>
      <c r="BM3341" s="10"/>
    </row>
    <row r="3342" spans="1:65" ht="12.75">
      <c r="A3342" s="9"/>
      <c r="B3342" s="10"/>
      <c r="C3342" s="11"/>
      <c r="D3342" s="12"/>
      <c r="E3342" s="10"/>
      <c r="F3342" s="10"/>
      <c r="G3342" s="10"/>
      <c r="H3342" s="14"/>
      <c r="I3342" s="14"/>
      <c r="J3342" s="14"/>
      <c r="K3342" s="14"/>
      <c r="L3342" s="14"/>
      <c r="M3342" s="15"/>
      <c r="N3342" s="10"/>
      <c r="O3342" s="14"/>
      <c r="P3342" s="14"/>
      <c r="Q3342" s="14"/>
      <c r="R3342" s="14"/>
      <c r="S3342" s="14"/>
      <c r="T3342" s="14"/>
      <c r="U3342" s="14"/>
      <c r="V3342" s="14"/>
      <c r="W3342" s="14"/>
      <c r="X3342" s="14"/>
      <c r="Y3342" s="14"/>
      <c r="Z3342" s="14"/>
      <c r="AA3342" s="16"/>
      <c r="AB3342" s="10"/>
      <c r="AC3342" s="10"/>
      <c r="AD3342" s="10"/>
      <c r="AE3342" s="10"/>
      <c r="AF3342" s="10"/>
      <c r="AG3342" s="10"/>
      <c r="AH3342" s="10"/>
      <c r="AI3342" s="10"/>
      <c r="AJ3342" s="10"/>
      <c r="AK3342" s="10"/>
      <c r="AL3342" s="10"/>
      <c r="AM3342" s="10"/>
      <c r="AN3342" s="10"/>
      <c r="AO3342" s="10"/>
      <c r="AP3342" s="10"/>
      <c r="AQ3342" s="10"/>
      <c r="AR3342" s="10"/>
      <c r="AS3342" s="10"/>
      <c r="AT3342" s="10"/>
      <c r="AU3342" s="10"/>
      <c r="AV3342" s="10"/>
      <c r="AW3342" s="10"/>
      <c r="AX3342" s="10"/>
      <c r="AY3342" s="10"/>
      <c r="AZ3342" s="10"/>
      <c r="BA3342" s="10"/>
      <c r="BB3342" s="10"/>
      <c r="BC3342" s="10"/>
      <c r="BD3342" s="10"/>
      <c r="BE3342" s="10"/>
      <c r="BF3342" s="10"/>
      <c r="BG3342" s="10"/>
      <c r="BH3342" s="10"/>
      <c r="BI3342" s="10"/>
      <c r="BJ3342" s="10"/>
      <c r="BK3342" s="10"/>
      <c r="BM3342" s="10"/>
    </row>
    <row r="3343" spans="1:65" ht="12.75">
      <c r="A3343" s="9"/>
      <c r="B3343" s="10"/>
      <c r="C3343" s="11"/>
      <c r="D3343" s="12"/>
      <c r="E3343" s="10"/>
      <c r="F3343" s="10"/>
      <c r="G3343" s="10"/>
      <c r="H3343" s="14"/>
      <c r="I3343" s="14"/>
      <c r="J3343" s="14"/>
      <c r="K3343" s="14"/>
      <c r="L3343" s="14"/>
      <c r="M3343" s="15"/>
      <c r="N3343" s="10"/>
      <c r="O3343" s="14"/>
      <c r="P3343" s="14"/>
      <c r="Q3343" s="14"/>
      <c r="R3343" s="14"/>
      <c r="S3343" s="14"/>
      <c r="T3343" s="14"/>
      <c r="U3343" s="14"/>
      <c r="V3343" s="14"/>
      <c r="W3343" s="14"/>
      <c r="X3343" s="14"/>
      <c r="Y3343" s="14"/>
      <c r="Z3343" s="14"/>
      <c r="AA3343" s="16"/>
      <c r="AB3343" s="10"/>
      <c r="AC3343" s="10"/>
      <c r="AD3343" s="10"/>
      <c r="AE3343" s="10"/>
      <c r="AF3343" s="10"/>
      <c r="AG3343" s="10"/>
      <c r="AH3343" s="10"/>
      <c r="AI3343" s="10"/>
      <c r="AJ3343" s="10"/>
      <c r="AK3343" s="10"/>
      <c r="AL3343" s="10"/>
      <c r="AM3343" s="10"/>
      <c r="AN3343" s="10"/>
      <c r="AO3343" s="10"/>
      <c r="AP3343" s="10"/>
      <c r="AQ3343" s="10"/>
      <c r="AR3343" s="10"/>
      <c r="AS3343" s="10"/>
      <c r="AT3343" s="10"/>
      <c r="AU3343" s="10"/>
      <c r="AV3343" s="10"/>
      <c r="AW3343" s="10"/>
      <c r="AX3343" s="10"/>
      <c r="AY3343" s="10"/>
      <c r="AZ3343" s="10"/>
      <c r="BA3343" s="10"/>
      <c r="BB3343" s="10"/>
      <c r="BC3343" s="10"/>
      <c r="BD3343" s="10"/>
      <c r="BE3343" s="10"/>
      <c r="BF3343" s="10"/>
      <c r="BG3343" s="10"/>
      <c r="BH3343" s="10"/>
      <c r="BI3343" s="10"/>
      <c r="BJ3343" s="10"/>
      <c r="BK3343" s="10"/>
      <c r="BM3343" s="10"/>
    </row>
    <row r="3344" spans="1:65" ht="12.75">
      <c r="A3344" s="9"/>
      <c r="B3344" s="10"/>
      <c r="C3344" s="11"/>
      <c r="D3344" s="12"/>
      <c r="E3344" s="10"/>
      <c r="F3344" s="10"/>
      <c r="G3344" s="10"/>
      <c r="H3344" s="14"/>
      <c r="I3344" s="14"/>
      <c r="J3344" s="14"/>
      <c r="K3344" s="14"/>
      <c r="L3344" s="14"/>
      <c r="M3344" s="15"/>
      <c r="N3344" s="10"/>
      <c r="O3344" s="14"/>
      <c r="P3344" s="14"/>
      <c r="Q3344" s="14"/>
      <c r="R3344" s="14"/>
      <c r="S3344" s="14"/>
      <c r="T3344" s="14"/>
      <c r="U3344" s="14"/>
      <c r="V3344" s="14"/>
      <c r="W3344" s="14"/>
      <c r="X3344" s="14"/>
      <c r="Y3344" s="14"/>
      <c r="Z3344" s="14"/>
      <c r="AA3344" s="16"/>
      <c r="AB3344" s="10"/>
      <c r="AC3344" s="10"/>
      <c r="AD3344" s="10"/>
      <c r="AE3344" s="10"/>
      <c r="AF3344" s="10"/>
      <c r="AG3344" s="10"/>
      <c r="AH3344" s="10"/>
      <c r="AI3344" s="10"/>
      <c r="AJ3344" s="10"/>
      <c r="AK3344" s="10"/>
      <c r="AL3344" s="10"/>
      <c r="AM3344" s="10"/>
      <c r="AN3344" s="10"/>
      <c r="AO3344" s="10"/>
      <c r="AP3344" s="10"/>
      <c r="AQ3344" s="10"/>
      <c r="AR3344" s="10"/>
      <c r="AS3344" s="10"/>
      <c r="AT3344" s="10"/>
      <c r="AU3344" s="10"/>
      <c r="AV3344" s="10"/>
      <c r="AW3344" s="10"/>
      <c r="AX3344" s="10"/>
      <c r="AY3344" s="10"/>
      <c r="AZ3344" s="10"/>
      <c r="BA3344" s="10"/>
      <c r="BB3344" s="10"/>
      <c r="BC3344" s="10"/>
      <c r="BD3344" s="10"/>
      <c r="BE3344" s="10"/>
      <c r="BF3344" s="10"/>
      <c r="BG3344" s="10"/>
      <c r="BH3344" s="10"/>
      <c r="BI3344" s="10"/>
      <c r="BJ3344" s="10"/>
      <c r="BK3344" s="10"/>
      <c r="BM3344" s="10"/>
    </row>
    <row r="3345" spans="1:65" ht="12.75">
      <c r="A3345" s="9"/>
      <c r="B3345" s="10"/>
      <c r="C3345" s="11"/>
      <c r="D3345" s="12"/>
      <c r="E3345" s="10"/>
      <c r="F3345" s="10"/>
      <c r="G3345" s="10"/>
      <c r="H3345" s="14"/>
      <c r="I3345" s="14"/>
      <c r="J3345" s="14"/>
      <c r="K3345" s="14"/>
      <c r="L3345" s="14"/>
      <c r="M3345" s="15"/>
      <c r="N3345" s="10"/>
      <c r="O3345" s="14"/>
      <c r="P3345" s="14"/>
      <c r="Q3345" s="14"/>
      <c r="R3345" s="14"/>
      <c r="S3345" s="14"/>
      <c r="T3345" s="14"/>
      <c r="U3345" s="14"/>
      <c r="V3345" s="14"/>
      <c r="W3345" s="14"/>
      <c r="X3345" s="14"/>
      <c r="Y3345" s="14"/>
      <c r="Z3345" s="14"/>
      <c r="AA3345" s="16"/>
      <c r="AB3345" s="10"/>
      <c r="AC3345" s="10"/>
      <c r="AD3345" s="10"/>
      <c r="AE3345" s="10"/>
      <c r="AF3345" s="10"/>
      <c r="AG3345" s="10"/>
      <c r="AH3345" s="10"/>
      <c r="AI3345" s="10"/>
      <c r="AJ3345" s="10"/>
      <c r="AK3345" s="10"/>
      <c r="AL3345" s="10"/>
      <c r="AM3345" s="10"/>
      <c r="AN3345" s="10"/>
      <c r="AO3345" s="10"/>
      <c r="AP3345" s="10"/>
      <c r="AQ3345" s="10"/>
      <c r="AR3345" s="10"/>
      <c r="AS3345" s="10"/>
      <c r="AT3345" s="10"/>
      <c r="AU3345" s="10"/>
      <c r="AV3345" s="10"/>
      <c r="AW3345" s="10"/>
      <c r="AX3345" s="10"/>
      <c r="AY3345" s="10"/>
      <c r="AZ3345" s="10"/>
      <c r="BA3345" s="10"/>
      <c r="BB3345" s="10"/>
      <c r="BC3345" s="10"/>
      <c r="BD3345" s="10"/>
      <c r="BE3345" s="10"/>
      <c r="BF3345" s="10"/>
      <c r="BG3345" s="10"/>
      <c r="BH3345" s="10"/>
      <c r="BI3345" s="10"/>
      <c r="BJ3345" s="10"/>
      <c r="BK3345" s="10"/>
      <c r="BM3345" s="10"/>
    </row>
    <row r="3346" spans="1:65" ht="12.75">
      <c r="A3346" s="9"/>
      <c r="B3346" s="10"/>
      <c r="C3346" s="11"/>
      <c r="D3346" s="12"/>
      <c r="E3346" s="10"/>
      <c r="F3346" s="10"/>
      <c r="G3346" s="10"/>
      <c r="H3346" s="14"/>
      <c r="I3346" s="14"/>
      <c r="J3346" s="14"/>
      <c r="K3346" s="14"/>
      <c r="L3346" s="14"/>
      <c r="M3346" s="15"/>
      <c r="N3346" s="10"/>
      <c r="O3346" s="14"/>
      <c r="P3346" s="14"/>
      <c r="Q3346" s="14"/>
      <c r="R3346" s="14"/>
      <c r="S3346" s="14"/>
      <c r="T3346" s="14"/>
      <c r="U3346" s="14"/>
      <c r="V3346" s="14"/>
      <c r="W3346" s="14"/>
      <c r="X3346" s="14"/>
      <c r="Y3346" s="14"/>
      <c r="Z3346" s="14"/>
      <c r="AA3346" s="16"/>
      <c r="AB3346" s="10"/>
      <c r="AC3346" s="10"/>
      <c r="AD3346" s="10"/>
      <c r="AE3346" s="10"/>
      <c r="AF3346" s="10"/>
      <c r="AG3346" s="10"/>
      <c r="AH3346" s="10"/>
      <c r="AI3346" s="10"/>
      <c r="AJ3346" s="10"/>
      <c r="AK3346" s="10"/>
      <c r="AL3346" s="10"/>
      <c r="AM3346" s="10"/>
      <c r="AN3346" s="10"/>
      <c r="AO3346" s="10"/>
      <c r="AP3346" s="10"/>
      <c r="AQ3346" s="10"/>
      <c r="AR3346" s="10"/>
      <c r="AS3346" s="10"/>
      <c r="AT3346" s="10"/>
      <c r="AU3346" s="10"/>
      <c r="AV3346" s="10"/>
      <c r="AW3346" s="10"/>
      <c r="AX3346" s="10"/>
      <c r="AY3346" s="10"/>
      <c r="AZ3346" s="10"/>
      <c r="BA3346" s="10"/>
      <c r="BB3346" s="10"/>
      <c r="BC3346" s="10"/>
      <c r="BD3346" s="10"/>
      <c r="BE3346" s="10"/>
      <c r="BF3346" s="10"/>
      <c r="BG3346" s="10"/>
      <c r="BH3346" s="10"/>
      <c r="BI3346" s="10"/>
      <c r="BJ3346" s="10"/>
      <c r="BK3346" s="10"/>
      <c r="BM3346" s="10"/>
    </row>
    <row r="3347" spans="1:65" ht="12.75">
      <c r="A3347" s="9"/>
      <c r="B3347" s="10"/>
      <c r="C3347" s="11"/>
      <c r="D3347" s="12"/>
      <c r="E3347" s="10"/>
      <c r="F3347" s="10"/>
      <c r="G3347" s="10"/>
      <c r="H3347" s="14"/>
      <c r="I3347" s="14"/>
      <c r="J3347" s="14"/>
      <c r="K3347" s="14"/>
      <c r="L3347" s="14"/>
      <c r="M3347" s="15"/>
      <c r="N3347" s="10"/>
      <c r="O3347" s="14"/>
      <c r="P3347" s="14"/>
      <c r="Q3347" s="14"/>
      <c r="R3347" s="14"/>
      <c r="S3347" s="14"/>
      <c r="T3347" s="14"/>
      <c r="U3347" s="14"/>
      <c r="V3347" s="14"/>
      <c r="W3347" s="14"/>
      <c r="X3347" s="14"/>
      <c r="Y3347" s="14"/>
      <c r="Z3347" s="14"/>
      <c r="AA3347" s="16"/>
      <c r="AB3347" s="10"/>
      <c r="AC3347" s="10"/>
      <c r="AD3347" s="10"/>
      <c r="AE3347" s="10"/>
      <c r="AF3347" s="10"/>
      <c r="AG3347" s="10"/>
      <c r="AH3347" s="10"/>
      <c r="AI3347" s="10"/>
      <c r="AJ3347" s="10"/>
      <c r="AK3347" s="10"/>
      <c r="AL3347" s="10"/>
      <c r="AM3347" s="10"/>
      <c r="AN3347" s="10"/>
      <c r="AO3347" s="10"/>
      <c r="AP3347" s="10"/>
      <c r="AQ3347" s="10"/>
      <c r="AR3347" s="10"/>
      <c r="AS3347" s="10"/>
      <c r="AT3347" s="10"/>
      <c r="AU3347" s="10"/>
      <c r="AV3347" s="10"/>
      <c r="AW3347" s="10"/>
      <c r="AX3347" s="10"/>
      <c r="AY3347" s="10"/>
      <c r="AZ3347" s="10"/>
      <c r="BA3347" s="10"/>
      <c r="BB3347" s="10"/>
      <c r="BC3347" s="10"/>
      <c r="BD3347" s="10"/>
      <c r="BE3347" s="10"/>
      <c r="BF3347" s="10"/>
      <c r="BG3347" s="10"/>
      <c r="BH3347" s="10"/>
      <c r="BI3347" s="10"/>
      <c r="BJ3347" s="10"/>
      <c r="BK3347" s="10"/>
      <c r="BM3347" s="10"/>
    </row>
    <row r="3348" spans="1:65" ht="12.75">
      <c r="A3348" s="9"/>
      <c r="B3348" s="10"/>
      <c r="C3348" s="11"/>
      <c r="D3348" s="12"/>
      <c r="E3348" s="10"/>
      <c r="F3348" s="10"/>
      <c r="G3348" s="10"/>
      <c r="H3348" s="14"/>
      <c r="I3348" s="14"/>
      <c r="J3348" s="14"/>
      <c r="K3348" s="14"/>
      <c r="L3348" s="14"/>
      <c r="M3348" s="15"/>
      <c r="N3348" s="10"/>
      <c r="O3348" s="14"/>
      <c r="P3348" s="14"/>
      <c r="Q3348" s="14"/>
      <c r="R3348" s="14"/>
      <c r="S3348" s="14"/>
      <c r="T3348" s="14"/>
      <c r="U3348" s="14"/>
      <c r="V3348" s="14"/>
      <c r="W3348" s="14"/>
      <c r="X3348" s="14"/>
      <c r="Y3348" s="14"/>
      <c r="Z3348" s="14"/>
      <c r="AA3348" s="16"/>
      <c r="AB3348" s="10"/>
      <c r="AC3348" s="10"/>
      <c r="AD3348" s="10"/>
      <c r="AE3348" s="10"/>
      <c r="AF3348" s="10"/>
      <c r="AG3348" s="10"/>
      <c r="AH3348" s="10"/>
      <c r="AI3348" s="10"/>
      <c r="AJ3348" s="10"/>
      <c r="AK3348" s="10"/>
      <c r="AL3348" s="10"/>
      <c r="AM3348" s="10"/>
      <c r="AN3348" s="10"/>
      <c r="AO3348" s="10"/>
      <c r="AP3348" s="10"/>
      <c r="AQ3348" s="10"/>
      <c r="AR3348" s="10"/>
      <c r="AS3348" s="10"/>
      <c r="AT3348" s="10"/>
      <c r="AU3348" s="10"/>
      <c r="AV3348" s="10"/>
      <c r="AW3348" s="10"/>
      <c r="AX3348" s="10"/>
      <c r="AY3348" s="10"/>
      <c r="AZ3348" s="10"/>
      <c r="BA3348" s="10"/>
      <c r="BB3348" s="10"/>
      <c r="BC3348" s="10"/>
      <c r="BD3348" s="10"/>
      <c r="BE3348" s="10"/>
      <c r="BF3348" s="10"/>
      <c r="BG3348" s="10"/>
      <c r="BH3348" s="10"/>
      <c r="BI3348" s="10"/>
      <c r="BJ3348" s="10"/>
      <c r="BK3348" s="10"/>
      <c r="BM3348" s="10"/>
    </row>
    <row r="3349" spans="1:65" ht="12.75">
      <c r="A3349" s="9"/>
      <c r="B3349" s="10"/>
      <c r="C3349" s="11"/>
      <c r="D3349" s="12"/>
      <c r="E3349" s="10"/>
      <c r="F3349" s="10"/>
      <c r="G3349" s="10"/>
      <c r="H3349" s="14"/>
      <c r="I3349" s="14"/>
      <c r="J3349" s="14"/>
      <c r="K3349" s="14"/>
      <c r="L3349" s="14"/>
      <c r="M3349" s="15"/>
      <c r="N3349" s="10"/>
      <c r="O3349" s="14"/>
      <c r="P3349" s="14"/>
      <c r="Q3349" s="14"/>
      <c r="R3349" s="14"/>
      <c r="S3349" s="14"/>
      <c r="T3349" s="14"/>
      <c r="U3349" s="14"/>
      <c r="V3349" s="14"/>
      <c r="W3349" s="14"/>
      <c r="X3349" s="14"/>
      <c r="Y3349" s="14"/>
      <c r="Z3349" s="14"/>
      <c r="AA3349" s="16"/>
      <c r="AB3349" s="10"/>
      <c r="AC3349" s="10"/>
      <c r="AD3349" s="10"/>
      <c r="AE3349" s="10"/>
      <c r="AF3349" s="10"/>
      <c r="AG3349" s="10"/>
      <c r="AH3349" s="10"/>
      <c r="AI3349" s="10"/>
      <c r="AJ3349" s="10"/>
      <c r="AK3349" s="10"/>
      <c r="AL3349" s="10"/>
      <c r="AM3349" s="10"/>
      <c r="AN3349" s="10"/>
      <c r="AO3349" s="10"/>
      <c r="AP3349" s="10"/>
      <c r="AQ3349" s="10"/>
      <c r="AR3349" s="10"/>
      <c r="AS3349" s="10"/>
      <c r="AT3349" s="10"/>
      <c r="AU3349" s="10"/>
      <c r="AV3349" s="10"/>
      <c r="AW3349" s="10"/>
      <c r="AX3349" s="10"/>
      <c r="AY3349" s="10"/>
      <c r="AZ3349" s="10"/>
      <c r="BA3349" s="10"/>
      <c r="BB3349" s="10"/>
      <c r="BC3349" s="10"/>
      <c r="BD3349" s="10"/>
      <c r="BE3349" s="10"/>
      <c r="BF3349" s="10"/>
      <c r="BG3349" s="10"/>
      <c r="BH3349" s="10"/>
      <c r="BI3349" s="10"/>
      <c r="BJ3349" s="10"/>
      <c r="BK3349" s="10"/>
      <c r="BM3349" s="10"/>
    </row>
    <row r="3350" spans="1:65" ht="12.75">
      <c r="A3350" s="9"/>
      <c r="B3350" s="10"/>
      <c r="C3350" s="11"/>
      <c r="D3350" s="12"/>
      <c r="E3350" s="10"/>
      <c r="F3350" s="10"/>
      <c r="G3350" s="10"/>
      <c r="H3350" s="14"/>
      <c r="I3350" s="14"/>
      <c r="J3350" s="14"/>
      <c r="K3350" s="14"/>
      <c r="L3350" s="14"/>
      <c r="M3350" s="15"/>
      <c r="N3350" s="10"/>
      <c r="O3350" s="14"/>
      <c r="P3350" s="14"/>
      <c r="Q3350" s="14"/>
      <c r="R3350" s="14"/>
      <c r="S3350" s="14"/>
      <c r="T3350" s="14"/>
      <c r="U3350" s="14"/>
      <c r="V3350" s="14"/>
      <c r="W3350" s="14"/>
      <c r="X3350" s="14"/>
      <c r="Y3350" s="14"/>
      <c r="Z3350" s="14"/>
      <c r="AA3350" s="16"/>
      <c r="AB3350" s="10"/>
      <c r="AC3350" s="10"/>
      <c r="AD3350" s="10"/>
      <c r="AE3350" s="10"/>
      <c r="AF3350" s="10"/>
      <c r="AG3350" s="10"/>
      <c r="AH3350" s="10"/>
      <c r="AI3350" s="10"/>
      <c r="AJ3350" s="10"/>
      <c r="AK3350" s="10"/>
      <c r="AL3350" s="10"/>
      <c r="AM3350" s="10"/>
      <c r="AN3350" s="10"/>
      <c r="AO3350" s="10"/>
      <c r="AP3350" s="10"/>
      <c r="AQ3350" s="10"/>
      <c r="AR3350" s="10"/>
      <c r="AS3350" s="10"/>
      <c r="AT3350" s="10"/>
      <c r="AU3350" s="10"/>
      <c r="AV3350" s="10"/>
      <c r="AW3350" s="10"/>
      <c r="AX3350" s="10"/>
      <c r="AY3350" s="10"/>
      <c r="AZ3350" s="10"/>
      <c r="BA3350" s="10"/>
      <c r="BB3350" s="10"/>
      <c r="BC3350" s="10"/>
      <c r="BD3350" s="10"/>
      <c r="BE3350" s="10"/>
      <c r="BF3350" s="10"/>
      <c r="BG3350" s="10"/>
      <c r="BH3350" s="10"/>
      <c r="BI3350" s="10"/>
      <c r="BJ3350" s="10"/>
      <c r="BK3350" s="10"/>
      <c r="BM3350" s="10"/>
    </row>
    <row r="3351" spans="1:65" ht="12.75">
      <c r="A3351" s="9"/>
      <c r="B3351" s="10"/>
      <c r="C3351" s="11"/>
      <c r="D3351" s="12"/>
      <c r="E3351" s="10"/>
      <c r="F3351" s="10"/>
      <c r="G3351" s="10"/>
      <c r="H3351" s="14"/>
      <c r="I3351" s="14"/>
      <c r="J3351" s="14"/>
      <c r="K3351" s="14"/>
      <c r="L3351" s="14"/>
      <c r="M3351" s="15"/>
      <c r="N3351" s="10"/>
      <c r="O3351" s="14"/>
      <c r="P3351" s="14"/>
      <c r="Q3351" s="14"/>
      <c r="R3351" s="14"/>
      <c r="S3351" s="14"/>
      <c r="T3351" s="14"/>
      <c r="U3351" s="14"/>
      <c r="V3351" s="14"/>
      <c r="W3351" s="14"/>
      <c r="X3351" s="14"/>
      <c r="Y3351" s="14"/>
      <c r="Z3351" s="14"/>
      <c r="AA3351" s="16"/>
      <c r="AB3351" s="10"/>
      <c r="AC3351" s="10"/>
      <c r="AD3351" s="10"/>
      <c r="AE3351" s="10"/>
      <c r="AF3351" s="10"/>
      <c r="AG3351" s="10"/>
      <c r="AH3351" s="10"/>
      <c r="AI3351" s="10"/>
      <c r="AJ3351" s="10"/>
      <c r="AK3351" s="10"/>
      <c r="AL3351" s="10"/>
      <c r="AM3351" s="10"/>
      <c r="AN3351" s="10"/>
      <c r="AO3351" s="10"/>
      <c r="AP3351" s="10"/>
      <c r="AQ3351" s="10"/>
      <c r="AR3351" s="10"/>
      <c r="AS3351" s="10"/>
      <c r="AT3351" s="10"/>
      <c r="AU3351" s="10"/>
      <c r="AV3351" s="10"/>
      <c r="AW3351" s="10"/>
      <c r="AX3351" s="10"/>
      <c r="AY3351" s="10"/>
      <c r="AZ3351" s="10"/>
      <c r="BA3351" s="10"/>
      <c r="BB3351" s="10"/>
      <c r="BC3351" s="10"/>
      <c r="BD3351" s="10"/>
      <c r="BE3351" s="10"/>
      <c r="BF3351" s="10"/>
      <c r="BG3351" s="10"/>
      <c r="BH3351" s="10"/>
      <c r="BI3351" s="10"/>
      <c r="BJ3351" s="10"/>
      <c r="BK3351" s="10"/>
      <c r="BM3351" s="10"/>
    </row>
    <row r="3352" spans="1:65" ht="12.75">
      <c r="A3352" s="9"/>
      <c r="B3352" s="10"/>
      <c r="C3352" s="11"/>
      <c r="D3352" s="12"/>
      <c r="E3352" s="10"/>
      <c r="F3352" s="10"/>
      <c r="G3352" s="10"/>
      <c r="H3352" s="14"/>
      <c r="I3352" s="14"/>
      <c r="J3352" s="14"/>
      <c r="K3352" s="14"/>
      <c r="L3352" s="14"/>
      <c r="M3352" s="15"/>
      <c r="N3352" s="10"/>
      <c r="O3352" s="14"/>
      <c r="P3352" s="14"/>
      <c r="Q3352" s="14"/>
      <c r="R3352" s="14"/>
      <c r="S3352" s="14"/>
      <c r="T3352" s="14"/>
      <c r="U3352" s="14"/>
      <c r="V3352" s="14"/>
      <c r="W3352" s="14"/>
      <c r="X3352" s="14"/>
      <c r="Y3352" s="14"/>
      <c r="Z3352" s="14"/>
      <c r="AA3352" s="16"/>
      <c r="AB3352" s="10"/>
      <c r="AC3352" s="10"/>
      <c r="AD3352" s="10"/>
      <c r="AE3352" s="10"/>
      <c r="AF3352" s="10"/>
      <c r="AG3352" s="10"/>
      <c r="AH3352" s="10"/>
      <c r="AI3352" s="10"/>
      <c r="AJ3352" s="10"/>
      <c r="AK3352" s="10"/>
      <c r="AL3352" s="10"/>
      <c r="AM3352" s="10"/>
      <c r="AN3352" s="10"/>
      <c r="AO3352" s="10"/>
      <c r="AP3352" s="10"/>
      <c r="AQ3352" s="10"/>
      <c r="AR3352" s="10"/>
      <c r="AS3352" s="10"/>
      <c r="AT3352" s="10"/>
      <c r="AU3352" s="10"/>
      <c r="AV3352" s="10"/>
      <c r="AW3352" s="10"/>
      <c r="AX3352" s="10"/>
      <c r="AY3352" s="10"/>
      <c r="AZ3352" s="10"/>
      <c r="BA3352" s="10"/>
      <c r="BB3352" s="10"/>
      <c r="BC3352" s="10"/>
      <c r="BD3352" s="10"/>
      <c r="BE3352" s="10"/>
      <c r="BF3352" s="10"/>
      <c r="BG3352" s="10"/>
      <c r="BH3352" s="10"/>
      <c r="BI3352" s="10"/>
      <c r="BJ3352" s="10"/>
      <c r="BK3352" s="10"/>
      <c r="BM3352" s="10"/>
    </row>
    <row r="3353" spans="1:65" ht="12.75">
      <c r="A3353" s="9"/>
      <c r="B3353" s="10"/>
      <c r="C3353" s="11"/>
      <c r="D3353" s="12"/>
      <c r="E3353" s="10"/>
      <c r="F3353" s="10"/>
      <c r="G3353" s="10"/>
      <c r="H3353" s="14"/>
      <c r="I3353" s="14"/>
      <c r="J3353" s="14"/>
      <c r="K3353" s="14"/>
      <c r="L3353" s="14"/>
      <c r="M3353" s="15"/>
      <c r="N3353" s="10"/>
      <c r="O3353" s="14"/>
      <c r="P3353" s="14"/>
      <c r="Q3353" s="14"/>
      <c r="R3353" s="14"/>
      <c r="S3353" s="14"/>
      <c r="T3353" s="14"/>
      <c r="U3353" s="14"/>
      <c r="V3353" s="14"/>
      <c r="W3353" s="14"/>
      <c r="X3353" s="14"/>
      <c r="Y3353" s="14"/>
      <c r="Z3353" s="14"/>
      <c r="AA3353" s="16"/>
      <c r="AB3353" s="10"/>
      <c r="AC3353" s="10"/>
      <c r="AD3353" s="10"/>
      <c r="AE3353" s="10"/>
      <c r="AF3353" s="10"/>
      <c r="AG3353" s="10"/>
      <c r="AH3353" s="10"/>
      <c r="AI3353" s="10"/>
      <c r="AJ3353" s="10"/>
      <c r="AK3353" s="10"/>
      <c r="AL3353" s="10"/>
      <c r="AM3353" s="10"/>
      <c r="AN3353" s="10"/>
      <c r="AO3353" s="10"/>
      <c r="AP3353" s="10"/>
      <c r="AQ3353" s="10"/>
      <c r="AR3353" s="10"/>
      <c r="AS3353" s="10"/>
      <c r="AT3353" s="10"/>
      <c r="AU3353" s="10"/>
      <c r="AV3353" s="10"/>
      <c r="AW3353" s="10"/>
      <c r="AX3353" s="10"/>
      <c r="AY3353" s="10"/>
      <c r="AZ3353" s="10"/>
      <c r="BA3353" s="10"/>
      <c r="BB3353" s="10"/>
      <c r="BC3353" s="10"/>
      <c r="BD3353" s="10"/>
      <c r="BE3353" s="10"/>
      <c r="BF3353" s="10"/>
      <c r="BG3353" s="10"/>
      <c r="BH3353" s="10"/>
      <c r="BI3353" s="10"/>
      <c r="BJ3353" s="10"/>
      <c r="BK3353" s="10"/>
      <c r="BM3353" s="10"/>
    </row>
    <row r="3354" spans="1:65" ht="12.75">
      <c r="A3354" s="9"/>
      <c r="B3354" s="10"/>
      <c r="C3354" s="11"/>
      <c r="D3354" s="12"/>
      <c r="E3354" s="10"/>
      <c r="F3354" s="10"/>
      <c r="G3354" s="10"/>
      <c r="H3354" s="14"/>
      <c r="I3354" s="14"/>
      <c r="J3354" s="14"/>
      <c r="K3354" s="14"/>
      <c r="L3354" s="14"/>
      <c r="M3354" s="15"/>
      <c r="N3354" s="10"/>
      <c r="O3354" s="14"/>
      <c r="P3354" s="14"/>
      <c r="Q3354" s="14"/>
      <c r="R3354" s="14"/>
      <c r="S3354" s="14"/>
      <c r="T3354" s="14"/>
      <c r="U3354" s="14"/>
      <c r="V3354" s="14"/>
      <c r="W3354" s="14"/>
      <c r="X3354" s="14"/>
      <c r="Y3354" s="14"/>
      <c r="Z3354" s="14"/>
      <c r="AA3354" s="16"/>
      <c r="AB3354" s="10"/>
      <c r="AC3354" s="10"/>
      <c r="AD3354" s="10"/>
      <c r="AE3354" s="10"/>
      <c r="AF3354" s="10"/>
      <c r="AG3354" s="10"/>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10"/>
      <c r="BC3354" s="10"/>
      <c r="BD3354" s="10"/>
      <c r="BE3354" s="10"/>
      <c r="BF3354" s="10"/>
      <c r="BG3354" s="10"/>
      <c r="BH3354" s="10"/>
      <c r="BI3354" s="10"/>
      <c r="BJ3354" s="10"/>
      <c r="BK3354" s="10"/>
      <c r="BM3354" s="10"/>
    </row>
    <row r="3355" spans="1:65" ht="12.75">
      <c r="A3355" s="9"/>
      <c r="B3355" s="10"/>
      <c r="C3355" s="11"/>
      <c r="D3355" s="12"/>
      <c r="E3355" s="10"/>
      <c r="F3355" s="10"/>
      <c r="G3355" s="10"/>
      <c r="H3355" s="14"/>
      <c r="I3355" s="14"/>
      <c r="J3355" s="14"/>
      <c r="K3355" s="14"/>
      <c r="L3355" s="14"/>
      <c r="M3355" s="15"/>
      <c r="N3355" s="10"/>
      <c r="O3355" s="14"/>
      <c r="P3355" s="14"/>
      <c r="Q3355" s="14"/>
      <c r="R3355" s="14"/>
      <c r="S3355" s="14"/>
      <c r="T3355" s="14"/>
      <c r="U3355" s="14"/>
      <c r="V3355" s="14"/>
      <c r="W3355" s="14"/>
      <c r="X3355" s="14"/>
      <c r="Y3355" s="14"/>
      <c r="Z3355" s="14"/>
      <c r="AA3355" s="16"/>
      <c r="AB3355" s="10"/>
      <c r="AC3355" s="10"/>
      <c r="AD3355" s="10"/>
      <c r="AE3355" s="10"/>
      <c r="AF3355" s="10"/>
      <c r="AG3355" s="10"/>
      <c r="AH3355" s="10"/>
      <c r="AI3355" s="10"/>
      <c r="AJ3355" s="10"/>
      <c r="AK3355" s="10"/>
      <c r="AL3355" s="10"/>
      <c r="AM3355" s="10"/>
      <c r="AN3355" s="10"/>
      <c r="AO3355" s="10"/>
      <c r="AP3355" s="10"/>
      <c r="AQ3355" s="10"/>
      <c r="AR3355" s="10"/>
      <c r="AS3355" s="10"/>
      <c r="AT3355" s="10"/>
      <c r="AU3355" s="10"/>
      <c r="AV3355" s="10"/>
      <c r="AW3355" s="10"/>
      <c r="AX3355" s="10"/>
      <c r="AY3355" s="10"/>
      <c r="AZ3355" s="10"/>
      <c r="BA3355" s="10"/>
      <c r="BB3355" s="10"/>
      <c r="BC3355" s="10"/>
      <c r="BD3355" s="10"/>
      <c r="BE3355" s="10"/>
      <c r="BF3355" s="10"/>
      <c r="BG3355" s="10"/>
      <c r="BH3355" s="10"/>
      <c r="BI3355" s="10"/>
      <c r="BJ3355" s="10"/>
      <c r="BK3355" s="10"/>
      <c r="BM3355" s="10"/>
    </row>
    <row r="3356" spans="1:65" ht="12.75">
      <c r="A3356" s="9"/>
      <c r="B3356" s="10"/>
      <c r="C3356" s="11"/>
      <c r="D3356" s="12"/>
      <c r="E3356" s="10"/>
      <c r="F3356" s="10"/>
      <c r="G3356" s="10"/>
      <c r="H3356" s="14"/>
      <c r="I3356" s="14"/>
      <c r="J3356" s="14"/>
      <c r="K3356" s="14"/>
      <c r="L3356" s="14"/>
      <c r="M3356" s="15"/>
      <c r="N3356" s="10"/>
      <c r="O3356" s="14"/>
      <c r="P3356" s="14"/>
      <c r="Q3356" s="14"/>
      <c r="R3356" s="14"/>
      <c r="S3356" s="14"/>
      <c r="T3356" s="14"/>
      <c r="U3356" s="14"/>
      <c r="V3356" s="14"/>
      <c r="W3356" s="14"/>
      <c r="X3356" s="14"/>
      <c r="Y3356" s="14"/>
      <c r="Z3356" s="14"/>
      <c r="AA3356" s="16"/>
      <c r="AB3356" s="10"/>
      <c r="AC3356" s="10"/>
      <c r="AD3356" s="10"/>
      <c r="AE3356" s="10"/>
      <c r="AF3356" s="10"/>
      <c r="AG3356" s="10"/>
      <c r="AH3356" s="10"/>
      <c r="AI3356" s="10"/>
      <c r="AJ3356" s="10"/>
      <c r="AK3356" s="10"/>
      <c r="AL3356" s="10"/>
      <c r="AM3356" s="10"/>
      <c r="AN3356" s="10"/>
      <c r="AO3356" s="10"/>
      <c r="AP3356" s="10"/>
      <c r="AQ3356" s="10"/>
      <c r="AR3356" s="10"/>
      <c r="AS3356" s="10"/>
      <c r="AT3356" s="10"/>
      <c r="AU3356" s="10"/>
      <c r="AV3356" s="10"/>
      <c r="AW3356" s="10"/>
      <c r="AX3356" s="10"/>
      <c r="AY3356" s="10"/>
      <c r="AZ3356" s="10"/>
      <c r="BA3356" s="10"/>
      <c r="BB3356" s="10"/>
      <c r="BC3356" s="10"/>
      <c r="BD3356" s="10"/>
      <c r="BE3356" s="10"/>
      <c r="BF3356" s="10"/>
      <c r="BG3356" s="10"/>
      <c r="BH3356" s="10"/>
      <c r="BI3356" s="10"/>
      <c r="BJ3356" s="10"/>
      <c r="BK3356" s="10"/>
      <c r="BM3356" s="10"/>
    </row>
    <row r="3357" spans="1:65" ht="12.75">
      <c r="A3357" s="9"/>
      <c r="B3357" s="10"/>
      <c r="C3357" s="11"/>
      <c r="D3357" s="12"/>
      <c r="E3357" s="10"/>
      <c r="F3357" s="10"/>
      <c r="G3357" s="10"/>
      <c r="H3357" s="14"/>
      <c r="I3357" s="14"/>
      <c r="J3357" s="14"/>
      <c r="K3357" s="14"/>
      <c r="L3357" s="14"/>
      <c r="M3357" s="15"/>
      <c r="N3357" s="10"/>
      <c r="O3357" s="14"/>
      <c r="P3357" s="14"/>
      <c r="Q3357" s="14"/>
      <c r="R3357" s="14"/>
      <c r="S3357" s="14"/>
      <c r="T3357" s="14"/>
      <c r="U3357" s="14"/>
      <c r="V3357" s="14"/>
      <c r="W3357" s="14"/>
      <c r="X3357" s="14"/>
      <c r="Y3357" s="14"/>
      <c r="Z3357" s="14"/>
      <c r="AA3357" s="16"/>
      <c r="AB3357" s="10"/>
      <c r="AC3357" s="10"/>
      <c r="AD3357" s="10"/>
      <c r="AE3357" s="10"/>
      <c r="AF3357" s="10"/>
      <c r="AG3357" s="10"/>
      <c r="AH3357" s="10"/>
      <c r="AI3357" s="10"/>
      <c r="AJ3357" s="10"/>
      <c r="AK3357" s="10"/>
      <c r="AL3357" s="10"/>
      <c r="AM3357" s="10"/>
      <c r="AN3357" s="10"/>
      <c r="AO3357" s="10"/>
      <c r="AP3357" s="10"/>
      <c r="AQ3357" s="10"/>
      <c r="AR3357" s="10"/>
      <c r="AS3357" s="10"/>
      <c r="AT3357" s="10"/>
      <c r="AU3357" s="10"/>
      <c r="AV3357" s="10"/>
      <c r="AW3357" s="10"/>
      <c r="AX3357" s="10"/>
      <c r="AY3357" s="10"/>
      <c r="AZ3357" s="10"/>
      <c r="BA3357" s="10"/>
      <c r="BB3357" s="10"/>
      <c r="BC3357" s="10"/>
      <c r="BD3357" s="10"/>
      <c r="BE3357" s="10"/>
      <c r="BF3357" s="10"/>
      <c r="BG3357" s="10"/>
      <c r="BH3357" s="10"/>
      <c r="BI3357" s="10"/>
      <c r="BJ3357" s="10"/>
      <c r="BK3357" s="10"/>
      <c r="BM3357" s="10"/>
    </row>
    <row r="3358" spans="1:65" ht="12.75">
      <c r="A3358" s="9"/>
      <c r="B3358" s="10"/>
      <c r="C3358" s="11"/>
      <c r="D3358" s="12"/>
      <c r="E3358" s="10"/>
      <c r="F3358" s="10"/>
      <c r="G3358" s="10"/>
      <c r="H3358" s="14"/>
      <c r="I3358" s="14"/>
      <c r="J3358" s="14"/>
      <c r="K3358" s="14"/>
      <c r="L3358" s="14"/>
      <c r="M3358" s="15"/>
      <c r="N3358" s="10"/>
      <c r="O3358" s="14"/>
      <c r="P3358" s="14"/>
      <c r="Q3358" s="14"/>
      <c r="R3358" s="14"/>
      <c r="S3358" s="14"/>
      <c r="T3358" s="14"/>
      <c r="U3358" s="14"/>
      <c r="V3358" s="14"/>
      <c r="W3358" s="14"/>
      <c r="X3358" s="14"/>
      <c r="Y3358" s="14"/>
      <c r="Z3358" s="14"/>
      <c r="AA3358" s="16"/>
      <c r="AB3358" s="10"/>
      <c r="AC3358" s="10"/>
      <c r="AD3358" s="10"/>
      <c r="AE3358" s="10"/>
      <c r="AF3358" s="10"/>
      <c r="AG3358" s="10"/>
      <c r="AH3358" s="10"/>
      <c r="AI3358" s="10"/>
      <c r="AJ3358" s="10"/>
      <c r="AK3358" s="10"/>
      <c r="AL3358" s="10"/>
      <c r="AM3358" s="10"/>
      <c r="AN3358" s="10"/>
      <c r="AO3358" s="10"/>
      <c r="AP3358" s="10"/>
      <c r="AQ3358" s="10"/>
      <c r="AR3358" s="10"/>
      <c r="AS3358" s="10"/>
      <c r="AT3358" s="10"/>
      <c r="AU3358" s="10"/>
      <c r="AV3358" s="10"/>
      <c r="AW3358" s="10"/>
      <c r="AX3358" s="10"/>
      <c r="AY3358" s="10"/>
      <c r="AZ3358" s="10"/>
      <c r="BA3358" s="10"/>
      <c r="BB3358" s="10"/>
      <c r="BC3358" s="10"/>
      <c r="BD3358" s="10"/>
      <c r="BE3358" s="10"/>
      <c r="BF3358" s="10"/>
      <c r="BG3358" s="10"/>
      <c r="BH3358" s="10"/>
      <c r="BI3358" s="10"/>
      <c r="BJ3358" s="10"/>
      <c r="BK3358" s="10"/>
      <c r="BM3358" s="10"/>
    </row>
    <row r="3359" spans="1:65" ht="12.75">
      <c r="A3359" s="9"/>
      <c r="B3359" s="10"/>
      <c r="C3359" s="11"/>
      <c r="D3359" s="12"/>
      <c r="E3359" s="10"/>
      <c r="F3359" s="10"/>
      <c r="G3359" s="10"/>
      <c r="H3359" s="14"/>
      <c r="I3359" s="14"/>
      <c r="J3359" s="14"/>
      <c r="K3359" s="14"/>
      <c r="L3359" s="14"/>
      <c r="M3359" s="15"/>
      <c r="N3359" s="10"/>
      <c r="O3359" s="14"/>
      <c r="P3359" s="14"/>
      <c r="Q3359" s="14"/>
      <c r="R3359" s="14"/>
      <c r="S3359" s="14"/>
      <c r="T3359" s="14"/>
      <c r="U3359" s="14"/>
      <c r="V3359" s="14"/>
      <c r="W3359" s="14"/>
      <c r="X3359" s="14"/>
      <c r="Y3359" s="14"/>
      <c r="Z3359" s="14"/>
      <c r="AA3359" s="16"/>
      <c r="AB3359" s="10"/>
      <c r="AC3359" s="10"/>
      <c r="AD3359" s="10"/>
      <c r="AE3359" s="10"/>
      <c r="AF3359" s="10"/>
      <c r="AG3359" s="10"/>
      <c r="AH3359" s="10"/>
      <c r="AI3359" s="10"/>
      <c r="AJ3359" s="10"/>
      <c r="AK3359" s="10"/>
      <c r="AL3359" s="10"/>
      <c r="AM3359" s="10"/>
      <c r="AN3359" s="10"/>
      <c r="AO3359" s="10"/>
      <c r="AP3359" s="10"/>
      <c r="AQ3359" s="10"/>
      <c r="AR3359" s="10"/>
      <c r="AS3359" s="10"/>
      <c r="AT3359" s="10"/>
      <c r="AU3359" s="10"/>
      <c r="AV3359" s="10"/>
      <c r="AW3359" s="10"/>
      <c r="AX3359" s="10"/>
      <c r="AY3359" s="10"/>
      <c r="AZ3359" s="10"/>
      <c r="BA3359" s="10"/>
      <c r="BB3359" s="10"/>
      <c r="BC3359" s="10"/>
      <c r="BD3359" s="10"/>
      <c r="BE3359" s="10"/>
      <c r="BF3359" s="10"/>
      <c r="BG3359" s="10"/>
      <c r="BH3359" s="10"/>
      <c r="BI3359" s="10"/>
      <c r="BJ3359" s="10"/>
      <c r="BK3359" s="10"/>
      <c r="BM3359" s="10"/>
    </row>
    <row r="3360" spans="1:65" ht="12.75">
      <c r="A3360" s="9"/>
      <c r="B3360" s="10"/>
      <c r="C3360" s="11"/>
      <c r="D3360" s="12"/>
      <c r="E3360" s="10"/>
      <c r="F3360" s="10"/>
      <c r="G3360" s="10"/>
      <c r="H3360" s="14"/>
      <c r="I3360" s="14"/>
      <c r="J3360" s="14"/>
      <c r="K3360" s="14"/>
      <c r="L3360" s="14"/>
      <c r="M3360" s="15"/>
      <c r="N3360" s="10"/>
      <c r="O3360" s="14"/>
      <c r="P3360" s="14"/>
      <c r="Q3360" s="14"/>
      <c r="R3360" s="14"/>
      <c r="S3360" s="14"/>
      <c r="T3360" s="14"/>
      <c r="U3360" s="14"/>
      <c r="V3360" s="14"/>
      <c r="W3360" s="14"/>
      <c r="X3360" s="14"/>
      <c r="Y3360" s="14"/>
      <c r="Z3360" s="14"/>
      <c r="AA3360" s="16"/>
      <c r="AB3360" s="10"/>
      <c r="AC3360" s="10"/>
      <c r="AD3360" s="10"/>
      <c r="AE3360" s="10"/>
      <c r="AF3360" s="10"/>
      <c r="AG3360" s="10"/>
      <c r="AH3360" s="10"/>
      <c r="AI3360" s="10"/>
      <c r="AJ3360" s="10"/>
      <c r="AK3360" s="10"/>
      <c r="AL3360" s="10"/>
      <c r="AM3360" s="10"/>
      <c r="AN3360" s="10"/>
      <c r="AO3360" s="10"/>
      <c r="AP3360" s="10"/>
      <c r="AQ3360" s="10"/>
      <c r="AR3360" s="10"/>
      <c r="AS3360" s="10"/>
      <c r="AT3360" s="10"/>
      <c r="AU3360" s="10"/>
      <c r="AV3360" s="10"/>
      <c r="AW3360" s="10"/>
      <c r="AX3360" s="10"/>
      <c r="AY3360" s="10"/>
      <c r="AZ3360" s="10"/>
      <c r="BA3360" s="10"/>
      <c r="BB3360" s="10"/>
      <c r="BC3360" s="10"/>
      <c r="BD3360" s="10"/>
      <c r="BE3360" s="10"/>
      <c r="BF3360" s="10"/>
      <c r="BG3360" s="10"/>
      <c r="BH3360" s="10"/>
      <c r="BI3360" s="10"/>
      <c r="BJ3360" s="10"/>
      <c r="BK3360" s="10"/>
      <c r="BM3360" s="10"/>
    </row>
    <row r="3361" spans="1:65" ht="12.75">
      <c r="A3361" s="9"/>
      <c r="B3361" s="10"/>
      <c r="C3361" s="11"/>
      <c r="D3361" s="12"/>
      <c r="E3361" s="10"/>
      <c r="F3361" s="10"/>
      <c r="G3361" s="10"/>
      <c r="H3361" s="14"/>
      <c r="I3361" s="14"/>
      <c r="J3361" s="14"/>
      <c r="K3361" s="14"/>
      <c r="L3361" s="14"/>
      <c r="M3361" s="15"/>
      <c r="N3361" s="10"/>
      <c r="O3361" s="14"/>
      <c r="P3361" s="14"/>
      <c r="Q3361" s="14"/>
      <c r="R3361" s="14"/>
      <c r="S3361" s="14"/>
      <c r="T3361" s="14"/>
      <c r="U3361" s="14"/>
      <c r="V3361" s="14"/>
      <c r="W3361" s="14"/>
      <c r="X3361" s="14"/>
      <c r="Y3361" s="14"/>
      <c r="Z3361" s="14"/>
      <c r="AA3361" s="16"/>
      <c r="AB3361" s="10"/>
      <c r="AC3361" s="10"/>
      <c r="AD3361" s="10"/>
      <c r="AE3361" s="10"/>
      <c r="AF3361" s="10"/>
      <c r="AG3361" s="10"/>
      <c r="AH3361" s="10"/>
      <c r="AI3361" s="10"/>
      <c r="AJ3361" s="10"/>
      <c r="AK3361" s="10"/>
      <c r="AL3361" s="10"/>
      <c r="AM3361" s="10"/>
      <c r="AN3361" s="10"/>
      <c r="AO3361" s="10"/>
      <c r="AP3361" s="10"/>
      <c r="AQ3361" s="10"/>
      <c r="AR3361" s="10"/>
      <c r="AS3361" s="10"/>
      <c r="AT3361" s="10"/>
      <c r="AU3361" s="10"/>
      <c r="AV3361" s="10"/>
      <c r="AW3361" s="10"/>
      <c r="AX3361" s="10"/>
      <c r="AY3361" s="10"/>
      <c r="AZ3361" s="10"/>
      <c r="BA3361" s="10"/>
      <c r="BB3361" s="10"/>
      <c r="BC3361" s="10"/>
      <c r="BD3361" s="10"/>
      <c r="BE3361" s="10"/>
      <c r="BF3361" s="10"/>
      <c r="BG3361" s="10"/>
      <c r="BH3361" s="10"/>
      <c r="BI3361" s="10"/>
      <c r="BJ3361" s="10"/>
      <c r="BK3361" s="10"/>
      <c r="BM3361" s="10"/>
    </row>
    <row r="3362" spans="1:65" ht="12.75">
      <c r="A3362" s="9"/>
      <c r="B3362" s="10"/>
      <c r="C3362" s="11"/>
      <c r="D3362" s="12"/>
      <c r="E3362" s="10"/>
      <c r="F3362" s="10"/>
      <c r="G3362" s="10"/>
      <c r="H3362" s="14"/>
      <c r="I3362" s="14"/>
      <c r="J3362" s="14"/>
      <c r="K3362" s="14"/>
      <c r="L3362" s="14"/>
      <c r="M3362" s="15"/>
      <c r="N3362" s="10"/>
      <c r="O3362" s="14"/>
      <c r="P3362" s="14"/>
      <c r="Q3362" s="14"/>
      <c r="R3362" s="14"/>
      <c r="S3362" s="14"/>
      <c r="T3362" s="14"/>
      <c r="U3362" s="14"/>
      <c r="V3362" s="14"/>
      <c r="W3362" s="14"/>
      <c r="X3362" s="14"/>
      <c r="Y3362" s="14"/>
      <c r="Z3362" s="14"/>
      <c r="AA3362" s="16"/>
      <c r="AB3362" s="10"/>
      <c r="AC3362" s="10"/>
      <c r="AD3362" s="10"/>
      <c r="AE3362" s="10"/>
      <c r="AF3362" s="10"/>
      <c r="AG3362" s="10"/>
      <c r="AH3362" s="10"/>
      <c r="AI3362" s="10"/>
      <c r="AJ3362" s="10"/>
      <c r="AK3362" s="10"/>
      <c r="AL3362" s="10"/>
      <c r="AM3362" s="10"/>
      <c r="AN3362" s="10"/>
      <c r="AO3362" s="10"/>
      <c r="AP3362" s="10"/>
      <c r="AQ3362" s="10"/>
      <c r="AR3362" s="10"/>
      <c r="AS3362" s="10"/>
      <c r="AT3362" s="10"/>
      <c r="AU3362" s="10"/>
      <c r="AV3362" s="10"/>
      <c r="AW3362" s="10"/>
      <c r="AX3362" s="10"/>
      <c r="AY3362" s="10"/>
      <c r="AZ3362" s="10"/>
      <c r="BA3362" s="10"/>
      <c r="BB3362" s="10"/>
      <c r="BC3362" s="10"/>
      <c r="BD3362" s="10"/>
      <c r="BE3362" s="10"/>
      <c r="BF3362" s="10"/>
      <c r="BG3362" s="10"/>
      <c r="BH3362" s="10"/>
      <c r="BI3362" s="10"/>
      <c r="BJ3362" s="10"/>
      <c r="BK3362" s="10"/>
      <c r="BM3362" s="10"/>
    </row>
    <row r="3363" spans="1:65" ht="12.75">
      <c r="A3363" s="9"/>
      <c r="B3363" s="10"/>
      <c r="C3363" s="11"/>
      <c r="D3363" s="12"/>
      <c r="E3363" s="10"/>
      <c r="F3363" s="10"/>
      <c r="G3363" s="10"/>
      <c r="H3363" s="14"/>
      <c r="I3363" s="14"/>
      <c r="J3363" s="14"/>
      <c r="K3363" s="14"/>
      <c r="L3363" s="14"/>
      <c r="M3363" s="15"/>
      <c r="N3363" s="10"/>
      <c r="O3363" s="14"/>
      <c r="P3363" s="14"/>
      <c r="Q3363" s="14"/>
      <c r="R3363" s="14"/>
      <c r="S3363" s="14"/>
      <c r="T3363" s="14"/>
      <c r="U3363" s="14"/>
      <c r="V3363" s="14"/>
      <c r="W3363" s="14"/>
      <c r="X3363" s="14"/>
      <c r="Y3363" s="14"/>
      <c r="Z3363" s="14"/>
      <c r="AA3363" s="16"/>
      <c r="AB3363" s="10"/>
      <c r="AC3363" s="10"/>
      <c r="AD3363" s="10"/>
      <c r="AE3363" s="10"/>
      <c r="AF3363" s="10"/>
      <c r="AG3363" s="10"/>
      <c r="AH3363" s="10"/>
      <c r="AI3363" s="10"/>
      <c r="AJ3363" s="10"/>
      <c r="AK3363" s="10"/>
      <c r="AL3363" s="10"/>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10"/>
      <c r="BK3363" s="10"/>
      <c r="BM3363" s="10"/>
    </row>
    <row r="3364" spans="1:65" ht="12.75">
      <c r="A3364" s="9"/>
      <c r="B3364" s="10"/>
      <c r="C3364" s="11"/>
      <c r="D3364" s="12"/>
      <c r="E3364" s="10"/>
      <c r="F3364" s="10"/>
      <c r="G3364" s="10"/>
      <c r="H3364" s="14"/>
      <c r="I3364" s="14"/>
      <c r="J3364" s="14"/>
      <c r="K3364" s="14"/>
      <c r="L3364" s="14"/>
      <c r="M3364" s="15"/>
      <c r="N3364" s="10"/>
      <c r="O3364" s="14"/>
      <c r="P3364" s="14"/>
      <c r="Q3364" s="14"/>
      <c r="R3364" s="14"/>
      <c r="S3364" s="14"/>
      <c r="T3364" s="14"/>
      <c r="U3364" s="14"/>
      <c r="V3364" s="14"/>
      <c r="W3364" s="14"/>
      <c r="X3364" s="14"/>
      <c r="Y3364" s="14"/>
      <c r="Z3364" s="14"/>
      <c r="AA3364" s="16"/>
      <c r="AB3364" s="10"/>
      <c r="AC3364" s="10"/>
      <c r="AD3364" s="10"/>
      <c r="AE3364" s="10"/>
      <c r="AF3364" s="10"/>
      <c r="AG3364" s="10"/>
      <c r="AH3364" s="10"/>
      <c r="AI3364" s="10"/>
      <c r="AJ3364" s="10"/>
      <c r="AK3364" s="10"/>
      <c r="AL3364" s="10"/>
      <c r="AM3364" s="10"/>
      <c r="AN3364" s="10"/>
      <c r="AO3364" s="10"/>
      <c r="AP3364" s="10"/>
      <c r="AQ3364" s="10"/>
      <c r="AR3364" s="10"/>
      <c r="AS3364" s="10"/>
      <c r="AT3364" s="10"/>
      <c r="AU3364" s="10"/>
      <c r="AV3364" s="10"/>
      <c r="AW3364" s="10"/>
      <c r="AX3364" s="10"/>
      <c r="AY3364" s="10"/>
      <c r="AZ3364" s="10"/>
      <c r="BA3364" s="10"/>
      <c r="BB3364" s="10"/>
      <c r="BC3364" s="10"/>
      <c r="BD3364" s="10"/>
      <c r="BE3364" s="10"/>
      <c r="BF3364" s="10"/>
      <c r="BG3364" s="10"/>
      <c r="BH3364" s="10"/>
      <c r="BI3364" s="10"/>
      <c r="BJ3364" s="10"/>
      <c r="BK3364" s="10"/>
      <c r="BM3364" s="10"/>
    </row>
    <row r="3365" spans="1:65" ht="12.75">
      <c r="A3365" s="9"/>
      <c r="B3365" s="10"/>
      <c r="C3365" s="11"/>
      <c r="D3365" s="12"/>
      <c r="E3365" s="10"/>
      <c r="F3365" s="10"/>
      <c r="G3365" s="10"/>
      <c r="H3365" s="14"/>
      <c r="I3365" s="14"/>
      <c r="J3365" s="14"/>
      <c r="K3365" s="14"/>
      <c r="L3365" s="14"/>
      <c r="M3365" s="15"/>
      <c r="N3365" s="10"/>
      <c r="O3365" s="14"/>
      <c r="P3365" s="14"/>
      <c r="Q3365" s="14"/>
      <c r="R3365" s="14"/>
      <c r="S3365" s="14"/>
      <c r="T3365" s="14"/>
      <c r="U3365" s="14"/>
      <c r="V3365" s="14"/>
      <c r="W3365" s="14"/>
      <c r="X3365" s="14"/>
      <c r="Y3365" s="14"/>
      <c r="Z3365" s="14"/>
      <c r="AA3365" s="16"/>
      <c r="AB3365" s="10"/>
      <c r="AC3365" s="10"/>
      <c r="AD3365" s="10"/>
      <c r="AE3365" s="10"/>
      <c r="AF3365" s="10"/>
      <c r="AG3365" s="10"/>
      <c r="AH3365" s="10"/>
      <c r="AI3365" s="10"/>
      <c r="AJ3365" s="10"/>
      <c r="AK3365" s="10"/>
      <c r="AL3365" s="10"/>
      <c r="AM3365" s="10"/>
      <c r="AN3365" s="10"/>
      <c r="AO3365" s="10"/>
      <c r="AP3365" s="10"/>
      <c r="AQ3365" s="10"/>
      <c r="AR3365" s="10"/>
      <c r="AS3365" s="10"/>
      <c r="AT3365" s="10"/>
      <c r="AU3365" s="10"/>
      <c r="AV3365" s="10"/>
      <c r="AW3365" s="10"/>
      <c r="AX3365" s="10"/>
      <c r="AY3365" s="10"/>
      <c r="AZ3365" s="10"/>
      <c r="BA3365" s="10"/>
      <c r="BB3365" s="10"/>
      <c r="BC3365" s="10"/>
      <c r="BD3365" s="10"/>
      <c r="BE3365" s="10"/>
      <c r="BF3365" s="10"/>
      <c r="BG3365" s="10"/>
      <c r="BH3365" s="10"/>
      <c r="BI3365" s="10"/>
      <c r="BJ3365" s="10"/>
      <c r="BK3365" s="10"/>
      <c r="BM3365" s="10"/>
    </row>
    <row r="3366" spans="1:65" ht="12.75">
      <c r="A3366" s="9"/>
      <c r="B3366" s="10"/>
      <c r="C3366" s="11"/>
      <c r="D3366" s="12"/>
      <c r="E3366" s="10"/>
      <c r="F3366" s="10"/>
      <c r="G3366" s="10"/>
      <c r="H3366" s="14"/>
      <c r="I3366" s="14"/>
      <c r="J3366" s="14"/>
      <c r="K3366" s="14"/>
      <c r="L3366" s="14"/>
      <c r="M3366" s="15"/>
      <c r="N3366" s="10"/>
      <c r="O3366" s="14"/>
      <c r="P3366" s="14"/>
      <c r="Q3366" s="14"/>
      <c r="R3366" s="14"/>
      <c r="S3366" s="14"/>
      <c r="T3366" s="14"/>
      <c r="U3366" s="14"/>
      <c r="V3366" s="14"/>
      <c r="W3366" s="14"/>
      <c r="X3366" s="14"/>
      <c r="Y3366" s="14"/>
      <c r="Z3366" s="14"/>
      <c r="AA3366" s="16"/>
      <c r="AB3366" s="10"/>
      <c r="AC3366" s="10"/>
      <c r="AD3366" s="10"/>
      <c r="AE3366" s="10"/>
      <c r="AF3366" s="10"/>
      <c r="AG3366" s="10"/>
      <c r="AH3366" s="10"/>
      <c r="AI3366" s="10"/>
      <c r="AJ3366" s="10"/>
      <c r="AK3366" s="10"/>
      <c r="AL3366" s="10"/>
      <c r="AM3366" s="10"/>
      <c r="AN3366" s="10"/>
      <c r="AO3366" s="10"/>
      <c r="AP3366" s="10"/>
      <c r="AQ3366" s="10"/>
      <c r="AR3366" s="10"/>
      <c r="AS3366" s="10"/>
      <c r="AT3366" s="10"/>
      <c r="AU3366" s="10"/>
      <c r="AV3366" s="10"/>
      <c r="AW3366" s="10"/>
      <c r="AX3366" s="10"/>
      <c r="AY3366" s="10"/>
      <c r="AZ3366" s="10"/>
      <c r="BA3366" s="10"/>
      <c r="BB3366" s="10"/>
      <c r="BC3366" s="10"/>
      <c r="BD3366" s="10"/>
      <c r="BE3366" s="10"/>
      <c r="BF3366" s="10"/>
      <c r="BG3366" s="10"/>
      <c r="BH3366" s="10"/>
      <c r="BI3366" s="10"/>
      <c r="BJ3366" s="10"/>
      <c r="BK3366" s="10"/>
      <c r="BM3366" s="10"/>
    </row>
    <row r="3367" spans="1:65" ht="12.75">
      <c r="A3367" s="9"/>
      <c r="B3367" s="10"/>
      <c r="C3367" s="11"/>
      <c r="D3367" s="12"/>
      <c r="E3367" s="10"/>
      <c r="F3367" s="10"/>
      <c r="G3367" s="10"/>
      <c r="H3367" s="14"/>
      <c r="I3367" s="14"/>
      <c r="J3367" s="14"/>
      <c r="K3367" s="14"/>
      <c r="L3367" s="14"/>
      <c r="M3367" s="15"/>
      <c r="N3367" s="10"/>
      <c r="O3367" s="14"/>
      <c r="P3367" s="14"/>
      <c r="Q3367" s="14"/>
      <c r="R3367" s="14"/>
      <c r="S3367" s="14"/>
      <c r="T3367" s="14"/>
      <c r="U3367" s="14"/>
      <c r="V3367" s="14"/>
      <c r="W3367" s="14"/>
      <c r="X3367" s="14"/>
      <c r="Y3367" s="14"/>
      <c r="Z3367" s="14"/>
      <c r="AA3367" s="16"/>
      <c r="AB3367" s="10"/>
      <c r="AC3367" s="10"/>
      <c r="AD3367" s="10"/>
      <c r="AE3367" s="10"/>
      <c r="AF3367" s="10"/>
      <c r="AG3367" s="10"/>
      <c r="AH3367" s="10"/>
      <c r="AI3367" s="10"/>
      <c r="AJ3367" s="10"/>
      <c r="AK3367" s="10"/>
      <c r="AL3367" s="10"/>
      <c r="AM3367" s="10"/>
      <c r="AN3367" s="10"/>
      <c r="AO3367" s="10"/>
      <c r="AP3367" s="10"/>
      <c r="AQ3367" s="10"/>
      <c r="AR3367" s="10"/>
      <c r="AS3367" s="10"/>
      <c r="AT3367" s="10"/>
      <c r="AU3367" s="10"/>
      <c r="AV3367" s="10"/>
      <c r="AW3367" s="10"/>
      <c r="AX3367" s="10"/>
      <c r="AY3367" s="10"/>
      <c r="AZ3367" s="10"/>
      <c r="BA3367" s="10"/>
      <c r="BB3367" s="10"/>
      <c r="BC3367" s="10"/>
      <c r="BD3367" s="10"/>
      <c r="BE3367" s="10"/>
      <c r="BF3367" s="10"/>
      <c r="BG3367" s="10"/>
      <c r="BH3367" s="10"/>
      <c r="BI3367" s="10"/>
      <c r="BJ3367" s="10"/>
      <c r="BK3367" s="10"/>
      <c r="BM3367" s="10"/>
    </row>
    <row r="3368" spans="1:65" ht="12.75">
      <c r="A3368" s="9"/>
      <c r="B3368" s="10"/>
      <c r="C3368" s="11"/>
      <c r="D3368" s="12"/>
      <c r="E3368" s="10"/>
      <c r="F3368" s="10"/>
      <c r="G3368" s="10"/>
      <c r="H3368" s="14"/>
      <c r="I3368" s="14"/>
      <c r="J3368" s="14"/>
      <c r="K3368" s="14"/>
      <c r="L3368" s="14"/>
      <c r="M3368" s="15"/>
      <c r="N3368" s="10"/>
      <c r="O3368" s="14"/>
      <c r="P3368" s="14"/>
      <c r="Q3368" s="14"/>
      <c r="R3368" s="14"/>
      <c r="S3368" s="14"/>
      <c r="T3368" s="14"/>
      <c r="U3368" s="14"/>
      <c r="V3368" s="14"/>
      <c r="W3368" s="14"/>
      <c r="X3368" s="14"/>
      <c r="Y3368" s="14"/>
      <c r="Z3368" s="14"/>
      <c r="AA3368" s="16"/>
      <c r="AB3368" s="10"/>
      <c r="AC3368" s="10"/>
      <c r="AD3368" s="10"/>
      <c r="AE3368" s="10"/>
      <c r="AF3368" s="10"/>
      <c r="AG3368" s="10"/>
      <c r="AH3368" s="10"/>
      <c r="AI3368" s="10"/>
      <c r="AJ3368" s="10"/>
      <c r="AK3368" s="10"/>
      <c r="AL3368" s="10"/>
      <c r="AM3368" s="10"/>
      <c r="AN3368" s="10"/>
      <c r="AO3368" s="10"/>
      <c r="AP3368" s="10"/>
      <c r="AQ3368" s="10"/>
      <c r="AR3368" s="10"/>
      <c r="AS3368" s="10"/>
      <c r="AT3368" s="10"/>
      <c r="AU3368" s="10"/>
      <c r="AV3368" s="10"/>
      <c r="AW3368" s="10"/>
      <c r="AX3368" s="10"/>
      <c r="AY3368" s="10"/>
      <c r="AZ3368" s="10"/>
      <c r="BA3368" s="10"/>
      <c r="BB3368" s="10"/>
      <c r="BC3368" s="10"/>
      <c r="BD3368" s="10"/>
      <c r="BE3368" s="10"/>
      <c r="BF3368" s="10"/>
      <c r="BG3368" s="10"/>
      <c r="BH3368" s="10"/>
      <c r="BI3368" s="10"/>
      <c r="BJ3368" s="10"/>
      <c r="BK3368" s="10"/>
      <c r="BM3368" s="10"/>
    </row>
    <row r="3369" spans="1:65" ht="12.75">
      <c r="A3369" s="9"/>
      <c r="B3369" s="10"/>
      <c r="C3369" s="11"/>
      <c r="D3369" s="12"/>
      <c r="E3369" s="10"/>
      <c r="F3369" s="10"/>
      <c r="G3369" s="10"/>
      <c r="H3369" s="14"/>
      <c r="I3369" s="14"/>
      <c r="J3369" s="14"/>
      <c r="K3369" s="14"/>
      <c r="L3369" s="14"/>
      <c r="M3369" s="15"/>
      <c r="N3369" s="10"/>
      <c r="O3369" s="14"/>
      <c r="P3369" s="14"/>
      <c r="Q3369" s="14"/>
      <c r="R3369" s="14"/>
      <c r="S3369" s="14"/>
      <c r="T3369" s="14"/>
      <c r="U3369" s="14"/>
      <c r="V3369" s="14"/>
      <c r="W3369" s="14"/>
      <c r="X3369" s="14"/>
      <c r="Y3369" s="14"/>
      <c r="Z3369" s="14"/>
      <c r="AA3369" s="16"/>
      <c r="AB3369" s="10"/>
      <c r="AC3369" s="10"/>
      <c r="AD3369" s="10"/>
      <c r="AE3369" s="10"/>
      <c r="AF3369" s="10"/>
      <c r="AG3369" s="10"/>
      <c r="AH3369" s="10"/>
      <c r="AI3369" s="10"/>
      <c r="AJ3369" s="10"/>
      <c r="AK3369" s="10"/>
      <c r="AL3369" s="10"/>
      <c r="AM3369" s="10"/>
      <c r="AN3369" s="10"/>
      <c r="AO3369" s="10"/>
      <c r="AP3369" s="10"/>
      <c r="AQ3369" s="10"/>
      <c r="AR3369" s="10"/>
      <c r="AS3369" s="10"/>
      <c r="AT3369" s="10"/>
      <c r="AU3369" s="10"/>
      <c r="AV3369" s="10"/>
      <c r="AW3369" s="10"/>
      <c r="AX3369" s="10"/>
      <c r="AY3369" s="10"/>
      <c r="AZ3369" s="10"/>
      <c r="BA3369" s="10"/>
      <c r="BB3369" s="10"/>
      <c r="BC3369" s="10"/>
      <c r="BD3369" s="10"/>
      <c r="BE3369" s="10"/>
      <c r="BF3369" s="10"/>
      <c r="BG3369" s="10"/>
      <c r="BH3369" s="10"/>
      <c r="BI3369" s="10"/>
      <c r="BJ3369" s="10"/>
      <c r="BK3369" s="10"/>
      <c r="BM3369" s="10"/>
    </row>
    <row r="3370" spans="1:65" ht="12.75">
      <c r="A3370" s="9"/>
      <c r="B3370" s="10"/>
      <c r="C3370" s="11"/>
      <c r="D3370" s="12"/>
      <c r="E3370" s="10"/>
      <c r="F3370" s="10"/>
      <c r="G3370" s="10"/>
      <c r="H3370" s="14"/>
      <c r="I3370" s="14"/>
      <c r="J3370" s="14"/>
      <c r="K3370" s="14"/>
      <c r="L3370" s="14"/>
      <c r="M3370" s="15"/>
      <c r="N3370" s="10"/>
      <c r="O3370" s="14"/>
      <c r="P3370" s="14"/>
      <c r="Q3370" s="14"/>
      <c r="R3370" s="14"/>
      <c r="S3370" s="14"/>
      <c r="T3370" s="14"/>
      <c r="U3370" s="14"/>
      <c r="V3370" s="14"/>
      <c r="W3370" s="14"/>
      <c r="X3370" s="14"/>
      <c r="Y3370" s="14"/>
      <c r="Z3370" s="14"/>
      <c r="AA3370" s="16"/>
      <c r="AB3370" s="10"/>
      <c r="AC3370" s="10"/>
      <c r="AD3370" s="10"/>
      <c r="AE3370" s="10"/>
      <c r="AF3370" s="10"/>
      <c r="AG3370" s="10"/>
      <c r="AH3370" s="10"/>
      <c r="AI3370" s="10"/>
      <c r="AJ3370" s="10"/>
      <c r="AK3370" s="10"/>
      <c r="AL3370" s="10"/>
      <c r="AM3370" s="10"/>
      <c r="AN3370" s="10"/>
      <c r="AO3370" s="10"/>
      <c r="AP3370" s="10"/>
      <c r="AQ3370" s="10"/>
      <c r="AR3370" s="10"/>
      <c r="AS3370" s="10"/>
      <c r="AT3370" s="10"/>
      <c r="AU3370" s="10"/>
      <c r="AV3370" s="10"/>
      <c r="AW3370" s="10"/>
      <c r="AX3370" s="10"/>
      <c r="AY3370" s="10"/>
      <c r="AZ3370" s="10"/>
      <c r="BA3370" s="10"/>
      <c r="BB3370" s="10"/>
      <c r="BC3370" s="10"/>
      <c r="BD3370" s="10"/>
      <c r="BE3370" s="10"/>
      <c r="BF3370" s="10"/>
      <c r="BG3370" s="10"/>
      <c r="BH3370" s="10"/>
      <c r="BI3370" s="10"/>
      <c r="BJ3370" s="10"/>
      <c r="BK3370" s="10"/>
      <c r="BM3370" s="10"/>
    </row>
    <row r="3371" spans="1:65" ht="12.75">
      <c r="A3371" s="9"/>
      <c r="B3371" s="10"/>
      <c r="C3371" s="11"/>
      <c r="D3371" s="12"/>
      <c r="E3371" s="10"/>
      <c r="F3371" s="10"/>
      <c r="G3371" s="10"/>
      <c r="H3371" s="14"/>
      <c r="I3371" s="14"/>
      <c r="J3371" s="14"/>
      <c r="K3371" s="14"/>
      <c r="L3371" s="14"/>
      <c r="M3371" s="15"/>
      <c r="N3371" s="10"/>
      <c r="O3371" s="14"/>
      <c r="P3371" s="14"/>
      <c r="Q3371" s="14"/>
      <c r="R3371" s="14"/>
      <c r="S3371" s="14"/>
      <c r="T3371" s="14"/>
      <c r="U3371" s="14"/>
      <c r="V3371" s="14"/>
      <c r="W3371" s="14"/>
      <c r="X3371" s="14"/>
      <c r="Y3371" s="14"/>
      <c r="Z3371" s="14"/>
      <c r="AA3371" s="16"/>
      <c r="AB3371" s="10"/>
      <c r="AC3371" s="10"/>
      <c r="AD3371" s="10"/>
      <c r="AE3371" s="10"/>
      <c r="AF3371" s="10"/>
      <c r="AG3371" s="10"/>
      <c r="AH3371" s="10"/>
      <c r="AI3371" s="10"/>
      <c r="AJ3371" s="10"/>
      <c r="AK3371" s="10"/>
      <c r="AL3371" s="10"/>
      <c r="AM3371" s="10"/>
      <c r="AN3371" s="10"/>
      <c r="AO3371" s="10"/>
      <c r="AP3371" s="10"/>
      <c r="AQ3371" s="10"/>
      <c r="AR3371" s="10"/>
      <c r="AS3371" s="10"/>
      <c r="AT3371" s="10"/>
      <c r="AU3371" s="10"/>
      <c r="AV3371" s="10"/>
      <c r="AW3371" s="10"/>
      <c r="AX3371" s="10"/>
      <c r="AY3371" s="10"/>
      <c r="AZ3371" s="10"/>
      <c r="BA3371" s="10"/>
      <c r="BB3371" s="10"/>
      <c r="BC3371" s="10"/>
      <c r="BD3371" s="10"/>
      <c r="BE3371" s="10"/>
      <c r="BF3371" s="10"/>
      <c r="BG3371" s="10"/>
      <c r="BH3371" s="10"/>
      <c r="BI3371" s="10"/>
      <c r="BJ3371" s="10"/>
      <c r="BK3371" s="10"/>
      <c r="BM3371" s="10"/>
    </row>
    <row r="3372" spans="1:65" ht="12.75">
      <c r="A3372" s="9"/>
      <c r="B3372" s="10"/>
      <c r="C3372" s="11"/>
      <c r="D3372" s="12"/>
      <c r="E3372" s="10"/>
      <c r="F3372" s="10"/>
      <c r="G3372" s="10"/>
      <c r="H3372" s="14"/>
      <c r="I3372" s="14"/>
      <c r="J3372" s="14"/>
      <c r="K3372" s="14"/>
      <c r="L3372" s="14"/>
      <c r="M3372" s="15"/>
      <c r="N3372" s="10"/>
      <c r="O3372" s="14"/>
      <c r="P3372" s="14"/>
      <c r="Q3372" s="14"/>
      <c r="R3372" s="14"/>
      <c r="S3372" s="14"/>
      <c r="T3372" s="14"/>
      <c r="U3372" s="14"/>
      <c r="V3372" s="14"/>
      <c r="W3372" s="14"/>
      <c r="X3372" s="14"/>
      <c r="Y3372" s="14"/>
      <c r="Z3372" s="14"/>
      <c r="AA3372" s="16"/>
      <c r="AB3372" s="10"/>
      <c r="AC3372" s="10"/>
      <c r="AD3372" s="10"/>
      <c r="AE3372" s="10"/>
      <c r="AF3372" s="10"/>
      <c r="AG3372" s="10"/>
      <c r="AH3372" s="10"/>
      <c r="AI3372" s="10"/>
      <c r="AJ3372" s="10"/>
      <c r="AK3372" s="10"/>
      <c r="AL3372" s="10"/>
      <c r="AM3372" s="10"/>
      <c r="AN3372" s="10"/>
      <c r="AO3372" s="10"/>
      <c r="AP3372" s="10"/>
      <c r="AQ3372" s="10"/>
      <c r="AR3372" s="10"/>
      <c r="AS3372" s="10"/>
      <c r="AT3372" s="10"/>
      <c r="AU3372" s="10"/>
      <c r="AV3372" s="10"/>
      <c r="AW3372" s="10"/>
      <c r="AX3372" s="10"/>
      <c r="AY3372" s="10"/>
      <c r="AZ3372" s="10"/>
      <c r="BA3372" s="10"/>
      <c r="BB3372" s="10"/>
      <c r="BC3372" s="10"/>
      <c r="BD3372" s="10"/>
      <c r="BE3372" s="10"/>
      <c r="BF3372" s="10"/>
      <c r="BG3372" s="10"/>
      <c r="BH3372" s="10"/>
      <c r="BI3372" s="10"/>
      <c r="BJ3372" s="10"/>
      <c r="BK3372" s="10"/>
      <c r="BM3372" s="10"/>
    </row>
    <row r="3373" spans="1:65" ht="12.75">
      <c r="A3373" s="9"/>
      <c r="B3373" s="10"/>
      <c r="C3373" s="11"/>
      <c r="D3373" s="12"/>
      <c r="E3373" s="10"/>
      <c r="F3373" s="10"/>
      <c r="G3373" s="10"/>
      <c r="H3373" s="14"/>
      <c r="I3373" s="14"/>
      <c r="J3373" s="14"/>
      <c r="K3373" s="14"/>
      <c r="L3373" s="14"/>
      <c r="M3373" s="15"/>
      <c r="N3373" s="10"/>
      <c r="O3373" s="14"/>
      <c r="P3373" s="14"/>
      <c r="Q3373" s="14"/>
      <c r="R3373" s="14"/>
      <c r="S3373" s="14"/>
      <c r="T3373" s="14"/>
      <c r="U3373" s="14"/>
      <c r="V3373" s="14"/>
      <c r="W3373" s="14"/>
      <c r="X3373" s="14"/>
      <c r="Y3373" s="14"/>
      <c r="Z3373" s="14"/>
      <c r="AA3373" s="16"/>
      <c r="AB3373" s="10"/>
      <c r="AC3373" s="10"/>
      <c r="AD3373" s="10"/>
      <c r="AE3373" s="10"/>
      <c r="AF3373" s="10"/>
      <c r="AG3373" s="10"/>
      <c r="AH3373" s="10"/>
      <c r="AI3373" s="10"/>
      <c r="AJ3373" s="10"/>
      <c r="AK3373" s="10"/>
      <c r="AL3373" s="10"/>
      <c r="AM3373" s="10"/>
      <c r="AN3373" s="10"/>
      <c r="AO3373" s="10"/>
      <c r="AP3373" s="10"/>
      <c r="AQ3373" s="10"/>
      <c r="AR3373" s="10"/>
      <c r="AS3373" s="10"/>
      <c r="AT3373" s="10"/>
      <c r="AU3373" s="10"/>
      <c r="AV3373" s="10"/>
      <c r="AW3373" s="10"/>
      <c r="AX3373" s="10"/>
      <c r="AY3373" s="10"/>
      <c r="AZ3373" s="10"/>
      <c r="BA3373" s="10"/>
      <c r="BB3373" s="10"/>
      <c r="BC3373" s="10"/>
      <c r="BD3373" s="10"/>
      <c r="BE3373" s="10"/>
      <c r="BF3373" s="10"/>
      <c r="BG3373" s="10"/>
      <c r="BH3373" s="10"/>
      <c r="BI3373" s="10"/>
      <c r="BJ3373" s="10"/>
      <c r="BK3373" s="10"/>
      <c r="BM3373" s="10"/>
    </row>
    <row r="3374" spans="1:65" ht="12.75">
      <c r="A3374" s="9"/>
      <c r="B3374" s="10"/>
      <c r="C3374" s="11"/>
      <c r="D3374" s="12"/>
      <c r="E3374" s="10"/>
      <c r="F3374" s="10"/>
      <c r="G3374" s="10"/>
      <c r="H3374" s="14"/>
      <c r="I3374" s="14"/>
      <c r="J3374" s="14"/>
      <c r="K3374" s="14"/>
      <c r="L3374" s="14"/>
      <c r="M3374" s="15"/>
      <c r="N3374" s="10"/>
      <c r="O3374" s="14"/>
      <c r="P3374" s="14"/>
      <c r="Q3374" s="14"/>
      <c r="R3374" s="14"/>
      <c r="S3374" s="14"/>
      <c r="T3374" s="14"/>
      <c r="U3374" s="14"/>
      <c r="V3374" s="14"/>
      <c r="W3374" s="14"/>
      <c r="X3374" s="14"/>
      <c r="Y3374" s="14"/>
      <c r="Z3374" s="14"/>
      <c r="AA3374" s="16"/>
      <c r="AB3374" s="10"/>
      <c r="AC3374" s="10"/>
      <c r="AD3374" s="10"/>
      <c r="AE3374" s="10"/>
      <c r="AF3374" s="10"/>
      <c r="AG3374" s="10"/>
      <c r="AH3374" s="10"/>
      <c r="AI3374" s="10"/>
      <c r="AJ3374" s="10"/>
      <c r="AK3374" s="10"/>
      <c r="AL3374" s="10"/>
      <c r="AM3374" s="10"/>
      <c r="AN3374" s="10"/>
      <c r="AO3374" s="10"/>
      <c r="AP3374" s="10"/>
      <c r="AQ3374" s="10"/>
      <c r="AR3374" s="10"/>
      <c r="AS3374" s="10"/>
      <c r="AT3374" s="10"/>
      <c r="AU3374" s="10"/>
      <c r="AV3374" s="10"/>
      <c r="AW3374" s="10"/>
      <c r="AX3374" s="10"/>
      <c r="AY3374" s="10"/>
      <c r="AZ3374" s="10"/>
      <c r="BA3374" s="10"/>
      <c r="BB3374" s="10"/>
      <c r="BC3374" s="10"/>
      <c r="BD3374" s="10"/>
      <c r="BE3374" s="10"/>
      <c r="BF3374" s="10"/>
      <c r="BG3374" s="10"/>
      <c r="BH3374" s="10"/>
      <c r="BI3374" s="10"/>
      <c r="BJ3374" s="10"/>
      <c r="BK3374" s="10"/>
      <c r="BM3374" s="10"/>
    </row>
    <row r="3375" spans="1:65" ht="12.75">
      <c r="A3375" s="9"/>
      <c r="B3375" s="10"/>
      <c r="C3375" s="11"/>
      <c r="D3375" s="12"/>
      <c r="E3375" s="10"/>
      <c r="F3375" s="10"/>
      <c r="G3375" s="10"/>
      <c r="H3375" s="14"/>
      <c r="I3375" s="14"/>
      <c r="J3375" s="14"/>
      <c r="K3375" s="14"/>
      <c r="L3375" s="14"/>
      <c r="M3375" s="15"/>
      <c r="N3375" s="10"/>
      <c r="O3375" s="14"/>
      <c r="P3375" s="14"/>
      <c r="Q3375" s="14"/>
      <c r="R3375" s="14"/>
      <c r="S3375" s="14"/>
      <c r="T3375" s="14"/>
      <c r="U3375" s="14"/>
      <c r="V3375" s="14"/>
      <c r="W3375" s="14"/>
      <c r="X3375" s="14"/>
      <c r="Y3375" s="14"/>
      <c r="Z3375" s="14"/>
      <c r="AA3375" s="16"/>
      <c r="AB3375" s="10"/>
      <c r="AC3375" s="10"/>
      <c r="AD3375" s="10"/>
      <c r="AE3375" s="10"/>
      <c r="AF3375" s="10"/>
      <c r="AG3375" s="10"/>
      <c r="AH3375" s="10"/>
      <c r="AI3375" s="10"/>
      <c r="AJ3375" s="10"/>
      <c r="AK3375" s="10"/>
      <c r="AL3375" s="10"/>
      <c r="AM3375" s="10"/>
      <c r="AN3375" s="10"/>
      <c r="AO3375" s="10"/>
      <c r="AP3375" s="10"/>
      <c r="AQ3375" s="10"/>
      <c r="AR3375" s="10"/>
      <c r="AS3375" s="10"/>
      <c r="AT3375" s="10"/>
      <c r="AU3375" s="10"/>
      <c r="AV3375" s="10"/>
      <c r="AW3375" s="10"/>
      <c r="AX3375" s="10"/>
      <c r="AY3375" s="10"/>
      <c r="AZ3375" s="10"/>
      <c r="BA3375" s="10"/>
      <c r="BB3375" s="10"/>
      <c r="BC3375" s="10"/>
      <c r="BD3375" s="10"/>
      <c r="BE3375" s="10"/>
      <c r="BF3375" s="10"/>
      <c r="BG3375" s="10"/>
      <c r="BH3375" s="10"/>
      <c r="BI3375" s="10"/>
      <c r="BJ3375" s="10"/>
      <c r="BK3375" s="10"/>
      <c r="BM3375" s="10"/>
    </row>
    <row r="3376" spans="1:65" ht="12.75">
      <c r="A3376" s="9"/>
      <c r="B3376" s="10"/>
      <c r="C3376" s="11"/>
      <c r="D3376" s="12"/>
      <c r="E3376" s="10"/>
      <c r="F3376" s="10"/>
      <c r="G3376" s="10"/>
      <c r="H3376" s="14"/>
      <c r="I3376" s="14"/>
      <c r="J3376" s="14"/>
      <c r="K3376" s="14"/>
      <c r="L3376" s="14"/>
      <c r="M3376" s="15"/>
      <c r="N3376" s="10"/>
      <c r="O3376" s="14"/>
      <c r="P3376" s="14"/>
      <c r="Q3376" s="14"/>
      <c r="R3376" s="14"/>
      <c r="S3376" s="14"/>
      <c r="T3376" s="14"/>
      <c r="U3376" s="14"/>
      <c r="V3376" s="14"/>
      <c r="W3376" s="14"/>
      <c r="X3376" s="14"/>
      <c r="Y3376" s="14"/>
      <c r="Z3376" s="14"/>
      <c r="AA3376" s="16"/>
      <c r="AB3376" s="10"/>
      <c r="AC3376" s="10"/>
      <c r="AD3376" s="10"/>
      <c r="AE3376" s="10"/>
      <c r="AF3376" s="10"/>
      <c r="AG3376" s="10"/>
      <c r="AH3376" s="10"/>
      <c r="AI3376" s="10"/>
      <c r="AJ3376" s="10"/>
      <c r="AK3376" s="10"/>
      <c r="AL3376" s="10"/>
      <c r="AM3376" s="10"/>
      <c r="AN3376" s="10"/>
      <c r="AO3376" s="10"/>
      <c r="AP3376" s="10"/>
      <c r="AQ3376" s="10"/>
      <c r="AR3376" s="10"/>
      <c r="AS3376" s="10"/>
      <c r="AT3376" s="10"/>
      <c r="AU3376" s="10"/>
      <c r="AV3376" s="10"/>
      <c r="AW3376" s="10"/>
      <c r="AX3376" s="10"/>
      <c r="AY3376" s="10"/>
      <c r="AZ3376" s="10"/>
      <c r="BA3376" s="10"/>
      <c r="BB3376" s="10"/>
      <c r="BC3376" s="10"/>
      <c r="BD3376" s="10"/>
      <c r="BE3376" s="10"/>
      <c r="BF3376" s="10"/>
      <c r="BG3376" s="10"/>
      <c r="BH3376" s="10"/>
      <c r="BI3376" s="10"/>
      <c r="BJ3376" s="10"/>
      <c r="BK3376" s="10"/>
      <c r="BM3376" s="10"/>
    </row>
    <row r="3377" spans="1:65" ht="12.75">
      <c r="A3377" s="9"/>
      <c r="B3377" s="10"/>
      <c r="C3377" s="11"/>
      <c r="D3377" s="12"/>
      <c r="E3377" s="10"/>
      <c r="F3377" s="10"/>
      <c r="G3377" s="10"/>
      <c r="H3377" s="14"/>
      <c r="I3377" s="14"/>
      <c r="J3377" s="14"/>
      <c r="K3377" s="14"/>
      <c r="L3377" s="14"/>
      <c r="M3377" s="15"/>
      <c r="N3377" s="10"/>
      <c r="O3377" s="14"/>
      <c r="P3377" s="14"/>
      <c r="Q3377" s="14"/>
      <c r="R3377" s="14"/>
      <c r="S3377" s="14"/>
      <c r="T3377" s="14"/>
      <c r="U3377" s="14"/>
      <c r="V3377" s="14"/>
      <c r="W3377" s="14"/>
      <c r="X3377" s="14"/>
      <c r="Y3377" s="14"/>
      <c r="Z3377" s="14"/>
      <c r="AA3377" s="16"/>
      <c r="AB3377" s="10"/>
      <c r="AC3377" s="10"/>
      <c r="AD3377" s="10"/>
      <c r="AE3377" s="10"/>
      <c r="AF3377" s="10"/>
      <c r="AG3377" s="10"/>
      <c r="AH3377" s="10"/>
      <c r="AI3377" s="10"/>
      <c r="AJ3377" s="10"/>
      <c r="AK3377" s="10"/>
      <c r="AL3377" s="10"/>
      <c r="AM3377" s="10"/>
      <c r="AN3377" s="10"/>
      <c r="AO3377" s="10"/>
      <c r="AP3377" s="10"/>
      <c r="AQ3377" s="10"/>
      <c r="AR3377" s="10"/>
      <c r="AS3377" s="10"/>
      <c r="AT3377" s="10"/>
      <c r="AU3377" s="10"/>
      <c r="AV3377" s="10"/>
      <c r="AW3377" s="10"/>
      <c r="AX3377" s="10"/>
      <c r="AY3377" s="10"/>
      <c r="AZ3377" s="10"/>
      <c r="BA3377" s="10"/>
      <c r="BB3377" s="10"/>
      <c r="BC3377" s="10"/>
      <c r="BD3377" s="10"/>
      <c r="BE3377" s="10"/>
      <c r="BF3377" s="10"/>
      <c r="BG3377" s="10"/>
      <c r="BH3377" s="10"/>
      <c r="BI3377" s="10"/>
      <c r="BJ3377" s="10"/>
      <c r="BK3377" s="10"/>
      <c r="BM3377" s="10"/>
    </row>
    <row r="3378" spans="1:65" ht="12.75">
      <c r="A3378" s="9"/>
      <c r="B3378" s="10"/>
      <c r="C3378" s="11"/>
      <c r="D3378" s="12"/>
      <c r="E3378" s="10"/>
      <c r="F3378" s="10"/>
      <c r="G3378" s="10"/>
      <c r="H3378" s="14"/>
      <c r="I3378" s="14"/>
      <c r="J3378" s="14"/>
      <c r="K3378" s="14"/>
      <c r="L3378" s="14"/>
      <c r="M3378" s="15"/>
      <c r="N3378" s="10"/>
      <c r="O3378" s="14"/>
      <c r="P3378" s="14"/>
      <c r="Q3378" s="14"/>
      <c r="R3378" s="14"/>
      <c r="S3378" s="14"/>
      <c r="T3378" s="14"/>
      <c r="U3378" s="14"/>
      <c r="V3378" s="14"/>
      <c r="W3378" s="14"/>
      <c r="X3378" s="14"/>
      <c r="Y3378" s="14"/>
      <c r="Z3378" s="14"/>
      <c r="AA3378" s="16"/>
      <c r="AB3378" s="10"/>
      <c r="AC3378" s="10"/>
      <c r="AD3378" s="10"/>
      <c r="AE3378" s="10"/>
      <c r="AF3378" s="10"/>
      <c r="AG3378" s="10"/>
      <c r="AH3378" s="10"/>
      <c r="AI3378" s="10"/>
      <c r="AJ3378" s="10"/>
      <c r="AK3378" s="10"/>
      <c r="AL3378" s="10"/>
      <c r="AM3378" s="10"/>
      <c r="AN3378" s="10"/>
      <c r="AO3378" s="10"/>
      <c r="AP3378" s="10"/>
      <c r="AQ3378" s="10"/>
      <c r="AR3378" s="10"/>
      <c r="AS3378" s="10"/>
      <c r="AT3378" s="10"/>
      <c r="AU3378" s="10"/>
      <c r="AV3378" s="10"/>
      <c r="AW3378" s="10"/>
      <c r="AX3378" s="10"/>
      <c r="AY3378" s="10"/>
      <c r="AZ3378" s="10"/>
      <c r="BA3378" s="10"/>
      <c r="BB3378" s="10"/>
      <c r="BC3378" s="10"/>
      <c r="BD3378" s="10"/>
      <c r="BE3378" s="10"/>
      <c r="BF3378" s="10"/>
      <c r="BG3378" s="10"/>
      <c r="BH3378" s="10"/>
      <c r="BI3378" s="10"/>
      <c r="BJ3378" s="10"/>
      <c r="BK3378" s="10"/>
      <c r="BM3378" s="10"/>
    </row>
    <row r="3379" spans="1:65" ht="12.75">
      <c r="A3379" s="9"/>
      <c r="B3379" s="10"/>
      <c r="C3379" s="11"/>
      <c r="D3379" s="12"/>
      <c r="E3379" s="10"/>
      <c r="F3379" s="10"/>
      <c r="G3379" s="10"/>
      <c r="H3379" s="14"/>
      <c r="I3379" s="14"/>
      <c r="J3379" s="14"/>
      <c r="K3379" s="14"/>
      <c r="L3379" s="14"/>
      <c r="M3379" s="15"/>
      <c r="N3379" s="10"/>
      <c r="O3379" s="14"/>
      <c r="P3379" s="14"/>
      <c r="Q3379" s="14"/>
      <c r="R3379" s="14"/>
      <c r="S3379" s="14"/>
      <c r="T3379" s="14"/>
      <c r="U3379" s="14"/>
      <c r="V3379" s="14"/>
      <c r="W3379" s="14"/>
      <c r="X3379" s="14"/>
      <c r="Y3379" s="14"/>
      <c r="Z3379" s="14"/>
      <c r="AA3379" s="16"/>
      <c r="AB3379" s="10"/>
      <c r="AC3379" s="10"/>
      <c r="AD3379" s="10"/>
      <c r="AE3379" s="10"/>
      <c r="AF3379" s="10"/>
      <c r="AG3379" s="10"/>
      <c r="AH3379" s="10"/>
      <c r="AI3379" s="10"/>
      <c r="AJ3379" s="10"/>
      <c r="AK3379" s="10"/>
      <c r="AL3379" s="10"/>
      <c r="AM3379" s="10"/>
      <c r="AN3379" s="10"/>
      <c r="AO3379" s="10"/>
      <c r="AP3379" s="10"/>
      <c r="AQ3379" s="10"/>
      <c r="AR3379" s="10"/>
      <c r="AS3379" s="10"/>
      <c r="AT3379" s="10"/>
      <c r="AU3379" s="10"/>
      <c r="AV3379" s="10"/>
      <c r="AW3379" s="10"/>
      <c r="AX3379" s="10"/>
      <c r="AY3379" s="10"/>
      <c r="AZ3379" s="10"/>
      <c r="BA3379" s="10"/>
      <c r="BB3379" s="10"/>
      <c r="BC3379" s="10"/>
      <c r="BD3379" s="10"/>
      <c r="BE3379" s="10"/>
      <c r="BF3379" s="10"/>
      <c r="BG3379" s="10"/>
      <c r="BH3379" s="10"/>
      <c r="BI3379" s="10"/>
      <c r="BJ3379" s="10"/>
      <c r="BK3379" s="10"/>
      <c r="BM3379" s="10"/>
    </row>
    <row r="3380" spans="1:65" ht="12.75">
      <c r="A3380" s="9"/>
      <c r="B3380" s="10"/>
      <c r="C3380" s="11"/>
      <c r="D3380" s="12"/>
      <c r="E3380" s="10"/>
      <c r="F3380" s="10"/>
      <c r="G3380" s="10"/>
      <c r="H3380" s="14"/>
      <c r="I3380" s="14"/>
      <c r="J3380" s="14"/>
      <c r="K3380" s="14"/>
      <c r="L3380" s="14"/>
      <c r="M3380" s="15"/>
      <c r="N3380" s="10"/>
      <c r="O3380" s="14"/>
      <c r="P3380" s="14"/>
      <c r="Q3380" s="14"/>
      <c r="R3380" s="14"/>
      <c r="S3380" s="14"/>
      <c r="T3380" s="14"/>
      <c r="U3380" s="14"/>
      <c r="V3380" s="14"/>
      <c r="W3380" s="14"/>
      <c r="X3380" s="14"/>
      <c r="Y3380" s="14"/>
      <c r="Z3380" s="14"/>
      <c r="AA3380" s="16"/>
      <c r="AB3380" s="10"/>
      <c r="AC3380" s="10"/>
      <c r="AD3380" s="10"/>
      <c r="AE3380" s="10"/>
      <c r="AF3380" s="10"/>
      <c r="AG3380" s="10"/>
      <c r="AH3380" s="10"/>
      <c r="AI3380" s="10"/>
      <c r="AJ3380" s="10"/>
      <c r="AK3380" s="10"/>
      <c r="AL3380" s="10"/>
      <c r="AM3380" s="10"/>
      <c r="AN3380" s="10"/>
      <c r="AO3380" s="10"/>
      <c r="AP3380" s="10"/>
      <c r="AQ3380" s="10"/>
      <c r="AR3380" s="10"/>
      <c r="AS3380" s="10"/>
      <c r="AT3380" s="10"/>
      <c r="AU3380" s="10"/>
      <c r="AV3380" s="10"/>
      <c r="AW3380" s="10"/>
      <c r="AX3380" s="10"/>
      <c r="AY3380" s="10"/>
      <c r="AZ3380" s="10"/>
      <c r="BA3380" s="10"/>
      <c r="BB3380" s="10"/>
      <c r="BC3380" s="10"/>
      <c r="BD3380" s="10"/>
      <c r="BE3380" s="10"/>
      <c r="BF3380" s="10"/>
      <c r="BG3380" s="10"/>
      <c r="BH3380" s="10"/>
      <c r="BI3380" s="10"/>
      <c r="BJ3380" s="10"/>
      <c r="BK3380" s="10"/>
      <c r="BM3380" s="10"/>
    </row>
    <row r="3381" spans="1:65" ht="12.75">
      <c r="A3381" s="9"/>
      <c r="B3381" s="10"/>
      <c r="C3381" s="11"/>
      <c r="D3381" s="12"/>
      <c r="E3381" s="10"/>
      <c r="F3381" s="10"/>
      <c r="G3381" s="10"/>
      <c r="H3381" s="14"/>
      <c r="I3381" s="14"/>
      <c r="J3381" s="14"/>
      <c r="K3381" s="14"/>
      <c r="L3381" s="14"/>
      <c r="M3381" s="15"/>
      <c r="N3381" s="10"/>
      <c r="O3381" s="14"/>
      <c r="P3381" s="14"/>
      <c r="Q3381" s="14"/>
      <c r="R3381" s="14"/>
      <c r="S3381" s="14"/>
      <c r="T3381" s="14"/>
      <c r="U3381" s="14"/>
      <c r="V3381" s="14"/>
      <c r="W3381" s="14"/>
      <c r="X3381" s="14"/>
      <c r="Y3381" s="14"/>
      <c r="Z3381" s="14"/>
      <c r="AA3381" s="16"/>
      <c r="AB3381" s="10"/>
      <c r="AC3381" s="10"/>
      <c r="AD3381" s="10"/>
      <c r="AE3381" s="10"/>
      <c r="AF3381" s="10"/>
      <c r="AG3381" s="10"/>
      <c r="AH3381" s="10"/>
      <c r="AI3381" s="10"/>
      <c r="AJ3381" s="10"/>
      <c r="AK3381" s="10"/>
      <c r="AL3381" s="10"/>
      <c r="AM3381" s="10"/>
      <c r="AN3381" s="10"/>
      <c r="AO3381" s="10"/>
      <c r="AP3381" s="10"/>
      <c r="AQ3381" s="10"/>
      <c r="AR3381" s="10"/>
      <c r="AS3381" s="10"/>
      <c r="AT3381" s="10"/>
      <c r="AU3381" s="10"/>
      <c r="AV3381" s="10"/>
      <c r="AW3381" s="10"/>
      <c r="AX3381" s="10"/>
      <c r="AY3381" s="10"/>
      <c r="AZ3381" s="10"/>
      <c r="BA3381" s="10"/>
      <c r="BB3381" s="10"/>
      <c r="BC3381" s="10"/>
      <c r="BD3381" s="10"/>
      <c r="BE3381" s="10"/>
      <c r="BF3381" s="10"/>
      <c r="BG3381" s="10"/>
      <c r="BH3381" s="10"/>
      <c r="BI3381" s="10"/>
      <c r="BJ3381" s="10"/>
      <c r="BK3381" s="10"/>
      <c r="BM3381" s="10"/>
    </row>
    <row r="3382" spans="1:65" ht="12.75">
      <c r="A3382" s="9"/>
      <c r="B3382" s="10"/>
      <c r="C3382" s="11"/>
      <c r="D3382" s="12"/>
      <c r="E3382" s="10"/>
      <c r="F3382" s="10"/>
      <c r="G3382" s="10"/>
      <c r="H3382" s="14"/>
      <c r="I3382" s="14"/>
      <c r="J3382" s="14"/>
      <c r="K3382" s="14"/>
      <c r="L3382" s="14"/>
      <c r="M3382" s="15"/>
      <c r="N3382" s="10"/>
      <c r="O3382" s="14"/>
      <c r="P3382" s="14"/>
      <c r="Q3382" s="14"/>
      <c r="R3382" s="14"/>
      <c r="S3382" s="14"/>
      <c r="T3382" s="14"/>
      <c r="U3382" s="14"/>
      <c r="V3382" s="14"/>
      <c r="W3382" s="14"/>
      <c r="X3382" s="14"/>
      <c r="Y3382" s="14"/>
      <c r="Z3382" s="14"/>
      <c r="AA3382" s="16"/>
      <c r="AB3382" s="10"/>
      <c r="AC3382" s="10"/>
      <c r="AD3382" s="10"/>
      <c r="AE3382" s="10"/>
      <c r="AF3382" s="10"/>
      <c r="AG3382" s="10"/>
      <c r="AH3382" s="10"/>
      <c r="AI3382" s="10"/>
      <c r="AJ3382" s="10"/>
      <c r="AK3382" s="10"/>
      <c r="AL3382" s="10"/>
      <c r="AM3382" s="10"/>
      <c r="AN3382" s="10"/>
      <c r="AO3382" s="10"/>
      <c r="AP3382" s="10"/>
      <c r="AQ3382" s="10"/>
      <c r="AR3382" s="10"/>
      <c r="AS3382" s="10"/>
      <c r="AT3382" s="10"/>
      <c r="AU3382" s="10"/>
      <c r="AV3382" s="10"/>
      <c r="AW3382" s="10"/>
      <c r="AX3382" s="10"/>
      <c r="AY3382" s="10"/>
      <c r="AZ3382" s="10"/>
      <c r="BA3382" s="10"/>
      <c r="BB3382" s="10"/>
      <c r="BC3382" s="10"/>
      <c r="BD3382" s="10"/>
      <c r="BE3382" s="10"/>
      <c r="BF3382" s="10"/>
      <c r="BG3382" s="10"/>
      <c r="BH3382" s="10"/>
      <c r="BI3382" s="10"/>
      <c r="BJ3382" s="10"/>
      <c r="BK3382" s="10"/>
      <c r="BM3382" s="10"/>
    </row>
    <row r="3383" spans="1:65" ht="12.75">
      <c r="A3383" s="9"/>
      <c r="B3383" s="10"/>
      <c r="C3383" s="11"/>
      <c r="D3383" s="12"/>
      <c r="E3383" s="10"/>
      <c r="F3383" s="10"/>
      <c r="G3383" s="10"/>
      <c r="H3383" s="14"/>
      <c r="I3383" s="14"/>
      <c r="J3383" s="14"/>
      <c r="K3383" s="14"/>
      <c r="L3383" s="14"/>
      <c r="M3383" s="15"/>
      <c r="N3383" s="10"/>
      <c r="O3383" s="14"/>
      <c r="P3383" s="14"/>
      <c r="Q3383" s="14"/>
      <c r="R3383" s="14"/>
      <c r="S3383" s="14"/>
      <c r="T3383" s="14"/>
      <c r="U3383" s="14"/>
      <c r="V3383" s="14"/>
      <c r="W3383" s="14"/>
      <c r="X3383" s="14"/>
      <c r="Y3383" s="14"/>
      <c r="Z3383" s="14"/>
      <c r="AA3383" s="16"/>
      <c r="AB3383" s="10"/>
      <c r="AC3383" s="10"/>
      <c r="AD3383" s="10"/>
      <c r="AE3383" s="10"/>
      <c r="AF3383" s="10"/>
      <c r="AG3383" s="10"/>
      <c r="AH3383" s="10"/>
      <c r="AI3383" s="10"/>
      <c r="AJ3383" s="10"/>
      <c r="AK3383" s="10"/>
      <c r="AL3383" s="10"/>
      <c r="AM3383" s="10"/>
      <c r="AN3383" s="10"/>
      <c r="AO3383" s="10"/>
      <c r="AP3383" s="10"/>
      <c r="AQ3383" s="10"/>
      <c r="AR3383" s="10"/>
      <c r="AS3383" s="10"/>
      <c r="AT3383" s="10"/>
      <c r="AU3383" s="10"/>
      <c r="AV3383" s="10"/>
      <c r="AW3383" s="10"/>
      <c r="AX3383" s="10"/>
      <c r="AY3383" s="10"/>
      <c r="AZ3383" s="10"/>
      <c r="BA3383" s="10"/>
      <c r="BB3383" s="10"/>
      <c r="BC3383" s="10"/>
      <c r="BD3383" s="10"/>
      <c r="BE3383" s="10"/>
      <c r="BF3383" s="10"/>
      <c r="BG3383" s="10"/>
      <c r="BH3383" s="10"/>
      <c r="BI3383" s="10"/>
      <c r="BJ3383" s="10"/>
      <c r="BK3383" s="10"/>
      <c r="BM3383" s="10"/>
    </row>
    <row r="3384" spans="1:65" ht="12.75">
      <c r="A3384" s="9"/>
      <c r="B3384" s="10"/>
      <c r="C3384" s="11"/>
      <c r="D3384" s="12"/>
      <c r="E3384" s="10"/>
      <c r="F3384" s="10"/>
      <c r="G3384" s="10"/>
      <c r="H3384" s="14"/>
      <c r="I3384" s="14"/>
      <c r="J3384" s="14"/>
      <c r="K3384" s="14"/>
      <c r="L3384" s="14"/>
      <c r="M3384" s="15"/>
      <c r="N3384" s="10"/>
      <c r="O3384" s="14"/>
      <c r="P3384" s="14"/>
      <c r="Q3384" s="14"/>
      <c r="R3384" s="14"/>
      <c r="S3384" s="14"/>
      <c r="T3384" s="14"/>
      <c r="U3384" s="14"/>
      <c r="V3384" s="14"/>
      <c r="W3384" s="14"/>
      <c r="X3384" s="14"/>
      <c r="Y3384" s="14"/>
      <c r="Z3384" s="14"/>
      <c r="AA3384" s="16"/>
      <c r="AB3384" s="10"/>
      <c r="AC3384" s="10"/>
      <c r="AD3384" s="10"/>
      <c r="AE3384" s="10"/>
      <c r="AF3384" s="10"/>
      <c r="AG3384" s="10"/>
      <c r="AH3384" s="10"/>
      <c r="AI3384" s="10"/>
      <c r="AJ3384" s="10"/>
      <c r="AK3384" s="10"/>
      <c r="AL3384" s="10"/>
      <c r="AM3384" s="10"/>
      <c r="AN3384" s="10"/>
      <c r="AO3384" s="10"/>
      <c r="AP3384" s="10"/>
      <c r="AQ3384" s="10"/>
      <c r="AR3384" s="10"/>
      <c r="AS3384" s="10"/>
      <c r="AT3384" s="10"/>
      <c r="AU3384" s="10"/>
      <c r="AV3384" s="10"/>
      <c r="AW3384" s="10"/>
      <c r="AX3384" s="10"/>
      <c r="AY3384" s="10"/>
      <c r="AZ3384" s="10"/>
      <c r="BA3384" s="10"/>
      <c r="BB3384" s="10"/>
      <c r="BC3384" s="10"/>
      <c r="BD3384" s="10"/>
      <c r="BE3384" s="10"/>
      <c r="BF3384" s="10"/>
      <c r="BG3384" s="10"/>
      <c r="BH3384" s="10"/>
      <c r="BI3384" s="10"/>
      <c r="BJ3384" s="10"/>
      <c r="BK3384" s="10"/>
      <c r="BM3384" s="10"/>
    </row>
    <row r="3385" spans="1:65" ht="12.75">
      <c r="A3385" s="9"/>
      <c r="B3385" s="10"/>
      <c r="C3385" s="11"/>
      <c r="D3385" s="12"/>
      <c r="E3385" s="10"/>
      <c r="F3385" s="10"/>
      <c r="G3385" s="10"/>
      <c r="H3385" s="14"/>
      <c r="I3385" s="14"/>
      <c r="J3385" s="14"/>
      <c r="K3385" s="14"/>
      <c r="L3385" s="14"/>
      <c r="M3385" s="15"/>
      <c r="N3385" s="10"/>
      <c r="O3385" s="14"/>
      <c r="P3385" s="14"/>
      <c r="Q3385" s="14"/>
      <c r="R3385" s="14"/>
      <c r="S3385" s="14"/>
      <c r="T3385" s="14"/>
      <c r="U3385" s="14"/>
      <c r="V3385" s="14"/>
      <c r="W3385" s="14"/>
      <c r="X3385" s="14"/>
      <c r="Y3385" s="14"/>
      <c r="Z3385" s="14"/>
      <c r="AA3385" s="16"/>
      <c r="AB3385" s="10"/>
      <c r="AC3385" s="10"/>
      <c r="AD3385" s="10"/>
      <c r="AE3385" s="10"/>
      <c r="AF3385" s="10"/>
      <c r="AG3385" s="10"/>
      <c r="AH3385" s="10"/>
      <c r="AI3385" s="10"/>
      <c r="AJ3385" s="10"/>
      <c r="AK3385" s="10"/>
      <c r="AL3385" s="10"/>
      <c r="AM3385" s="10"/>
      <c r="AN3385" s="10"/>
      <c r="AO3385" s="10"/>
      <c r="AP3385" s="10"/>
      <c r="AQ3385" s="10"/>
      <c r="AR3385" s="10"/>
      <c r="AS3385" s="10"/>
      <c r="AT3385" s="10"/>
      <c r="AU3385" s="10"/>
      <c r="AV3385" s="10"/>
      <c r="AW3385" s="10"/>
      <c r="AX3385" s="10"/>
      <c r="AY3385" s="10"/>
      <c r="AZ3385" s="10"/>
      <c r="BA3385" s="10"/>
      <c r="BB3385" s="10"/>
      <c r="BC3385" s="10"/>
      <c r="BD3385" s="10"/>
      <c r="BE3385" s="10"/>
      <c r="BF3385" s="10"/>
      <c r="BG3385" s="10"/>
      <c r="BH3385" s="10"/>
      <c r="BI3385" s="10"/>
      <c r="BJ3385" s="10"/>
      <c r="BK3385" s="10"/>
      <c r="BM3385" s="10"/>
    </row>
    <row r="3386" spans="1:65" ht="12.75">
      <c r="A3386" s="9"/>
      <c r="B3386" s="10"/>
      <c r="C3386" s="11"/>
      <c r="D3386" s="12"/>
      <c r="E3386" s="10"/>
      <c r="F3386" s="10"/>
      <c r="G3386" s="10"/>
      <c r="H3386" s="14"/>
      <c r="I3386" s="14"/>
      <c r="J3386" s="14"/>
      <c r="K3386" s="14"/>
      <c r="L3386" s="14"/>
      <c r="M3386" s="15"/>
      <c r="N3386" s="10"/>
      <c r="O3386" s="14"/>
      <c r="P3386" s="14"/>
      <c r="Q3386" s="14"/>
      <c r="R3386" s="14"/>
      <c r="S3386" s="14"/>
      <c r="T3386" s="14"/>
      <c r="U3386" s="14"/>
      <c r="V3386" s="14"/>
      <c r="W3386" s="14"/>
      <c r="X3386" s="14"/>
      <c r="Y3386" s="14"/>
      <c r="Z3386" s="14"/>
      <c r="AA3386" s="16"/>
      <c r="AB3386" s="10"/>
      <c r="AC3386" s="10"/>
      <c r="AD3386" s="10"/>
      <c r="AE3386" s="10"/>
      <c r="AF3386" s="10"/>
      <c r="AG3386" s="10"/>
      <c r="AH3386" s="10"/>
      <c r="AI3386" s="10"/>
      <c r="AJ3386" s="10"/>
      <c r="AK3386" s="10"/>
      <c r="AL3386" s="10"/>
      <c r="AM3386" s="10"/>
      <c r="AN3386" s="10"/>
      <c r="AO3386" s="10"/>
      <c r="AP3386" s="10"/>
      <c r="AQ3386" s="10"/>
      <c r="AR3386" s="10"/>
      <c r="AS3386" s="10"/>
      <c r="AT3386" s="10"/>
      <c r="AU3386" s="10"/>
      <c r="AV3386" s="10"/>
      <c r="AW3386" s="10"/>
      <c r="AX3386" s="10"/>
      <c r="AY3386" s="10"/>
      <c r="AZ3386" s="10"/>
      <c r="BA3386" s="10"/>
      <c r="BB3386" s="10"/>
      <c r="BC3386" s="10"/>
      <c r="BD3386" s="10"/>
      <c r="BE3386" s="10"/>
      <c r="BF3386" s="10"/>
      <c r="BG3386" s="10"/>
      <c r="BH3386" s="10"/>
      <c r="BI3386" s="10"/>
      <c r="BJ3386" s="10"/>
      <c r="BK3386" s="10"/>
      <c r="BM3386" s="10"/>
    </row>
    <row r="3387" spans="1:65" ht="12.75">
      <c r="A3387" s="9"/>
      <c r="B3387" s="10"/>
      <c r="C3387" s="11"/>
      <c r="D3387" s="12"/>
      <c r="E3387" s="10"/>
      <c r="F3387" s="10"/>
      <c r="G3387" s="10"/>
      <c r="H3387" s="14"/>
      <c r="I3387" s="14"/>
      <c r="J3387" s="14"/>
      <c r="K3387" s="14"/>
      <c r="L3387" s="14"/>
      <c r="M3387" s="15"/>
      <c r="N3387" s="10"/>
      <c r="O3387" s="14"/>
      <c r="P3387" s="14"/>
      <c r="Q3387" s="14"/>
      <c r="R3387" s="14"/>
      <c r="S3387" s="14"/>
      <c r="T3387" s="14"/>
      <c r="U3387" s="14"/>
      <c r="V3387" s="14"/>
      <c r="W3387" s="14"/>
      <c r="X3387" s="14"/>
      <c r="Y3387" s="14"/>
      <c r="Z3387" s="14"/>
      <c r="AA3387" s="16"/>
      <c r="AB3387" s="10"/>
      <c r="AC3387" s="10"/>
      <c r="AD3387" s="10"/>
      <c r="AE3387" s="10"/>
      <c r="AF3387" s="10"/>
      <c r="AG3387" s="10"/>
      <c r="AH3387" s="10"/>
      <c r="AI3387" s="10"/>
      <c r="AJ3387" s="10"/>
      <c r="AK3387" s="10"/>
      <c r="AL3387" s="10"/>
      <c r="AM3387" s="10"/>
      <c r="AN3387" s="10"/>
      <c r="AO3387" s="10"/>
      <c r="AP3387" s="10"/>
      <c r="AQ3387" s="10"/>
      <c r="AR3387" s="10"/>
      <c r="AS3387" s="10"/>
      <c r="AT3387" s="10"/>
      <c r="AU3387" s="10"/>
      <c r="AV3387" s="10"/>
      <c r="AW3387" s="10"/>
      <c r="AX3387" s="10"/>
      <c r="AY3387" s="10"/>
      <c r="AZ3387" s="10"/>
      <c r="BA3387" s="10"/>
      <c r="BB3387" s="10"/>
      <c r="BC3387" s="10"/>
      <c r="BD3387" s="10"/>
      <c r="BE3387" s="10"/>
      <c r="BF3387" s="10"/>
      <c r="BG3387" s="10"/>
      <c r="BH3387" s="10"/>
      <c r="BI3387" s="10"/>
      <c r="BJ3387" s="10"/>
      <c r="BK3387" s="10"/>
      <c r="BM3387" s="10"/>
    </row>
    <row r="3388" spans="1:65" ht="12.75">
      <c r="A3388" s="9"/>
      <c r="B3388" s="10"/>
      <c r="C3388" s="11"/>
      <c r="D3388" s="12"/>
      <c r="E3388" s="10"/>
      <c r="F3388" s="10"/>
      <c r="G3388" s="10"/>
      <c r="H3388" s="14"/>
      <c r="I3388" s="14"/>
      <c r="J3388" s="14"/>
      <c r="K3388" s="14"/>
      <c r="L3388" s="14"/>
      <c r="M3388" s="15"/>
      <c r="N3388" s="10"/>
      <c r="O3388" s="14"/>
      <c r="P3388" s="14"/>
      <c r="Q3388" s="14"/>
      <c r="R3388" s="14"/>
      <c r="S3388" s="14"/>
      <c r="T3388" s="14"/>
      <c r="U3388" s="14"/>
      <c r="V3388" s="14"/>
      <c r="W3388" s="14"/>
      <c r="X3388" s="14"/>
      <c r="Y3388" s="14"/>
      <c r="Z3388" s="14"/>
      <c r="AA3388" s="16"/>
      <c r="AB3388" s="10"/>
      <c r="AC3388" s="10"/>
      <c r="AD3388" s="10"/>
      <c r="AE3388" s="10"/>
      <c r="AF3388" s="10"/>
      <c r="AG3388" s="10"/>
      <c r="AH3388" s="10"/>
      <c r="AI3388" s="10"/>
      <c r="AJ3388" s="10"/>
      <c r="AK3388" s="10"/>
      <c r="AL3388" s="10"/>
      <c r="AM3388" s="10"/>
      <c r="AN3388" s="10"/>
      <c r="AO3388" s="10"/>
      <c r="AP3388" s="10"/>
      <c r="AQ3388" s="10"/>
      <c r="AR3388" s="10"/>
      <c r="AS3388" s="10"/>
      <c r="AT3388" s="10"/>
      <c r="AU3388" s="10"/>
      <c r="AV3388" s="10"/>
      <c r="AW3388" s="10"/>
      <c r="AX3388" s="10"/>
      <c r="AY3388" s="10"/>
      <c r="AZ3388" s="10"/>
      <c r="BA3388" s="10"/>
      <c r="BB3388" s="10"/>
      <c r="BC3388" s="10"/>
      <c r="BD3388" s="10"/>
      <c r="BE3388" s="10"/>
      <c r="BF3388" s="10"/>
      <c r="BG3388" s="10"/>
      <c r="BH3388" s="10"/>
      <c r="BI3388" s="10"/>
      <c r="BJ3388" s="10"/>
      <c r="BK3388" s="10"/>
      <c r="BM3388" s="10"/>
    </row>
    <row r="3389" spans="1:65" ht="12.75">
      <c r="A3389" s="9"/>
      <c r="B3389" s="10"/>
      <c r="C3389" s="11"/>
      <c r="D3389" s="12"/>
      <c r="E3389" s="10"/>
      <c r="F3389" s="10"/>
      <c r="G3389" s="10"/>
      <c r="H3389" s="14"/>
      <c r="I3389" s="14"/>
      <c r="J3389" s="14"/>
      <c r="K3389" s="14"/>
      <c r="L3389" s="14"/>
      <c r="M3389" s="15"/>
      <c r="N3389" s="10"/>
      <c r="O3389" s="14"/>
      <c r="P3389" s="14"/>
      <c r="Q3389" s="14"/>
      <c r="R3389" s="14"/>
      <c r="S3389" s="14"/>
      <c r="T3389" s="14"/>
      <c r="U3389" s="14"/>
      <c r="V3389" s="14"/>
      <c r="W3389" s="14"/>
      <c r="X3389" s="14"/>
      <c r="Y3389" s="14"/>
      <c r="Z3389" s="14"/>
      <c r="AA3389" s="16"/>
      <c r="AB3389" s="10"/>
      <c r="AC3389" s="10"/>
      <c r="AD3389" s="10"/>
      <c r="AE3389" s="10"/>
      <c r="AF3389" s="10"/>
      <c r="AG3389" s="10"/>
      <c r="AH3389" s="10"/>
      <c r="AI3389" s="10"/>
      <c r="AJ3389" s="10"/>
      <c r="AK3389" s="10"/>
      <c r="AL3389" s="10"/>
      <c r="AM3389" s="10"/>
      <c r="AN3389" s="10"/>
      <c r="AO3389" s="10"/>
      <c r="AP3389" s="10"/>
      <c r="AQ3389" s="10"/>
      <c r="AR3389" s="10"/>
      <c r="AS3389" s="10"/>
      <c r="AT3389" s="10"/>
      <c r="AU3389" s="10"/>
      <c r="AV3389" s="10"/>
      <c r="AW3389" s="10"/>
      <c r="AX3389" s="10"/>
      <c r="AY3389" s="10"/>
      <c r="AZ3389" s="10"/>
      <c r="BA3389" s="10"/>
      <c r="BB3389" s="10"/>
      <c r="BC3389" s="10"/>
      <c r="BD3389" s="10"/>
      <c r="BE3389" s="10"/>
      <c r="BF3389" s="10"/>
      <c r="BG3389" s="10"/>
      <c r="BH3389" s="10"/>
      <c r="BI3389" s="10"/>
      <c r="BJ3389" s="10"/>
      <c r="BK3389" s="10"/>
      <c r="BM3389" s="10"/>
    </row>
    <row r="3390" spans="1:65" ht="12.75">
      <c r="A3390" s="9"/>
      <c r="B3390" s="10"/>
      <c r="C3390" s="11"/>
      <c r="D3390" s="12"/>
      <c r="E3390" s="10"/>
      <c r="F3390" s="10"/>
      <c r="G3390" s="10"/>
      <c r="H3390" s="14"/>
      <c r="I3390" s="14"/>
      <c r="J3390" s="14"/>
      <c r="K3390" s="14"/>
      <c r="L3390" s="14"/>
      <c r="M3390" s="15"/>
      <c r="N3390" s="10"/>
      <c r="O3390" s="14"/>
      <c r="P3390" s="14"/>
      <c r="Q3390" s="14"/>
      <c r="R3390" s="14"/>
      <c r="S3390" s="14"/>
      <c r="T3390" s="14"/>
      <c r="U3390" s="14"/>
      <c r="V3390" s="14"/>
      <c r="W3390" s="14"/>
      <c r="X3390" s="14"/>
      <c r="Y3390" s="14"/>
      <c r="Z3390" s="14"/>
      <c r="AA3390" s="16"/>
      <c r="AB3390" s="10"/>
      <c r="AC3390" s="10"/>
      <c r="AD3390" s="10"/>
      <c r="AE3390" s="10"/>
      <c r="AF3390" s="10"/>
      <c r="AG3390" s="10"/>
      <c r="AH3390" s="10"/>
      <c r="AI3390" s="10"/>
      <c r="AJ3390" s="10"/>
      <c r="AK3390" s="10"/>
      <c r="AL3390" s="10"/>
      <c r="AM3390" s="10"/>
      <c r="AN3390" s="10"/>
      <c r="AO3390" s="10"/>
      <c r="AP3390" s="10"/>
      <c r="AQ3390" s="10"/>
      <c r="AR3390" s="10"/>
      <c r="AS3390" s="10"/>
      <c r="AT3390" s="10"/>
      <c r="AU3390" s="10"/>
      <c r="AV3390" s="10"/>
      <c r="AW3390" s="10"/>
      <c r="AX3390" s="10"/>
      <c r="AY3390" s="10"/>
      <c r="AZ3390" s="10"/>
      <c r="BA3390" s="10"/>
      <c r="BB3390" s="10"/>
      <c r="BC3390" s="10"/>
      <c r="BD3390" s="10"/>
      <c r="BE3390" s="10"/>
      <c r="BF3390" s="10"/>
      <c r="BG3390" s="10"/>
      <c r="BH3390" s="10"/>
      <c r="BI3390" s="10"/>
      <c r="BJ3390" s="10"/>
      <c r="BK3390" s="10"/>
      <c r="BM3390" s="10"/>
    </row>
    <row r="3391" spans="1:65" ht="12.75">
      <c r="A3391" s="9"/>
      <c r="B3391" s="10"/>
      <c r="C3391" s="11"/>
      <c r="D3391" s="12"/>
      <c r="E3391" s="10"/>
      <c r="F3391" s="10"/>
      <c r="G3391" s="10"/>
      <c r="H3391" s="14"/>
      <c r="I3391" s="14"/>
      <c r="J3391" s="14"/>
      <c r="K3391" s="14"/>
      <c r="L3391" s="14"/>
      <c r="M3391" s="15"/>
      <c r="N3391" s="10"/>
      <c r="O3391" s="14"/>
      <c r="P3391" s="14"/>
      <c r="Q3391" s="14"/>
      <c r="R3391" s="14"/>
      <c r="S3391" s="14"/>
      <c r="T3391" s="14"/>
      <c r="U3391" s="14"/>
      <c r="V3391" s="14"/>
      <c r="W3391" s="14"/>
      <c r="X3391" s="14"/>
      <c r="Y3391" s="14"/>
      <c r="Z3391" s="14"/>
      <c r="AA3391" s="16"/>
      <c r="AB3391" s="10"/>
      <c r="AC3391" s="10"/>
      <c r="AD3391" s="10"/>
      <c r="AE3391" s="10"/>
      <c r="AF3391" s="10"/>
      <c r="AG3391" s="10"/>
      <c r="AH3391" s="10"/>
      <c r="AI3391" s="10"/>
      <c r="AJ3391" s="10"/>
      <c r="AK3391" s="10"/>
      <c r="AL3391" s="10"/>
      <c r="AM3391" s="10"/>
      <c r="AN3391" s="10"/>
      <c r="AO3391" s="10"/>
      <c r="AP3391" s="10"/>
      <c r="AQ3391" s="10"/>
      <c r="AR3391" s="10"/>
      <c r="AS3391" s="10"/>
      <c r="AT3391" s="10"/>
      <c r="AU3391" s="10"/>
      <c r="AV3391" s="10"/>
      <c r="AW3391" s="10"/>
      <c r="AX3391" s="10"/>
      <c r="AY3391" s="10"/>
      <c r="AZ3391" s="10"/>
      <c r="BA3391" s="10"/>
      <c r="BB3391" s="10"/>
      <c r="BC3391" s="10"/>
      <c r="BD3391" s="10"/>
      <c r="BE3391" s="10"/>
      <c r="BF3391" s="10"/>
      <c r="BG3391" s="10"/>
      <c r="BH3391" s="10"/>
      <c r="BI3391" s="10"/>
      <c r="BJ3391" s="10"/>
      <c r="BK3391" s="10"/>
      <c r="BM3391" s="10"/>
    </row>
    <row r="3392" spans="1:65" ht="12.75">
      <c r="A3392" s="9"/>
      <c r="B3392" s="10"/>
      <c r="C3392" s="11"/>
      <c r="D3392" s="12"/>
      <c r="E3392" s="10"/>
      <c r="F3392" s="10"/>
      <c r="G3392" s="10"/>
      <c r="H3392" s="14"/>
      <c r="I3392" s="14"/>
      <c r="J3392" s="14"/>
      <c r="K3392" s="14"/>
      <c r="L3392" s="14"/>
      <c r="M3392" s="15"/>
      <c r="N3392" s="10"/>
      <c r="O3392" s="14"/>
      <c r="P3392" s="14"/>
      <c r="Q3392" s="14"/>
      <c r="R3392" s="14"/>
      <c r="S3392" s="14"/>
      <c r="T3392" s="14"/>
      <c r="U3392" s="14"/>
      <c r="V3392" s="14"/>
      <c r="W3392" s="14"/>
      <c r="X3392" s="14"/>
      <c r="Y3392" s="14"/>
      <c r="Z3392" s="14"/>
      <c r="AA3392" s="16"/>
      <c r="AB3392" s="10"/>
      <c r="AC3392" s="10"/>
      <c r="AD3392" s="10"/>
      <c r="AE3392" s="10"/>
      <c r="AF3392" s="10"/>
      <c r="AG3392" s="10"/>
      <c r="AH3392" s="10"/>
      <c r="AI3392" s="10"/>
      <c r="AJ3392" s="10"/>
      <c r="AK3392" s="10"/>
      <c r="AL3392" s="10"/>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10"/>
      <c r="BK3392" s="10"/>
      <c r="BM3392" s="10"/>
    </row>
    <row r="3393" spans="1:65" ht="12.75">
      <c r="A3393" s="9"/>
      <c r="B3393" s="10"/>
      <c r="C3393" s="11"/>
      <c r="D3393" s="12"/>
      <c r="E3393" s="10"/>
      <c r="F3393" s="10"/>
      <c r="G3393" s="10"/>
      <c r="H3393" s="14"/>
      <c r="I3393" s="14"/>
      <c r="J3393" s="14"/>
      <c r="K3393" s="14"/>
      <c r="L3393" s="14"/>
      <c r="M3393" s="15"/>
      <c r="N3393" s="10"/>
      <c r="O3393" s="14"/>
      <c r="P3393" s="14"/>
      <c r="Q3393" s="14"/>
      <c r="R3393" s="14"/>
      <c r="S3393" s="14"/>
      <c r="T3393" s="14"/>
      <c r="U3393" s="14"/>
      <c r="V3393" s="14"/>
      <c r="W3393" s="14"/>
      <c r="X3393" s="14"/>
      <c r="Y3393" s="14"/>
      <c r="Z3393" s="14"/>
      <c r="AA3393" s="16"/>
      <c r="AB3393" s="10"/>
      <c r="AC3393" s="10"/>
      <c r="AD3393" s="10"/>
      <c r="AE3393" s="10"/>
      <c r="AF3393" s="10"/>
      <c r="AG3393" s="10"/>
      <c r="AH3393" s="10"/>
      <c r="AI3393" s="10"/>
      <c r="AJ3393" s="10"/>
      <c r="AK3393" s="10"/>
      <c r="AL3393" s="10"/>
      <c r="AM3393" s="10"/>
      <c r="AN3393" s="10"/>
      <c r="AO3393" s="10"/>
      <c r="AP3393" s="10"/>
      <c r="AQ3393" s="10"/>
      <c r="AR3393" s="10"/>
      <c r="AS3393" s="10"/>
      <c r="AT3393" s="10"/>
      <c r="AU3393" s="10"/>
      <c r="AV3393" s="10"/>
      <c r="AW3393" s="10"/>
      <c r="AX3393" s="10"/>
      <c r="AY3393" s="10"/>
      <c r="AZ3393" s="10"/>
      <c r="BA3393" s="10"/>
      <c r="BB3393" s="10"/>
      <c r="BC3393" s="10"/>
      <c r="BD3393" s="10"/>
      <c r="BE3393" s="10"/>
      <c r="BF3393" s="10"/>
      <c r="BG3393" s="10"/>
      <c r="BH3393" s="10"/>
      <c r="BI3393" s="10"/>
      <c r="BJ3393" s="10"/>
      <c r="BK3393" s="10"/>
      <c r="BM3393" s="10"/>
    </row>
    <row r="3394" spans="1:65" ht="12.75">
      <c r="A3394" s="9"/>
      <c r="B3394" s="10"/>
      <c r="C3394" s="11"/>
      <c r="D3394" s="12"/>
      <c r="E3394" s="10"/>
      <c r="F3394" s="10"/>
      <c r="G3394" s="10"/>
      <c r="H3394" s="14"/>
      <c r="I3394" s="14"/>
      <c r="J3394" s="14"/>
      <c r="K3394" s="14"/>
      <c r="L3394" s="14"/>
      <c r="M3394" s="15"/>
      <c r="N3394" s="10"/>
      <c r="O3394" s="14"/>
      <c r="P3394" s="14"/>
      <c r="Q3394" s="14"/>
      <c r="R3394" s="14"/>
      <c r="S3394" s="14"/>
      <c r="T3394" s="14"/>
      <c r="U3394" s="14"/>
      <c r="V3394" s="14"/>
      <c r="W3394" s="14"/>
      <c r="X3394" s="14"/>
      <c r="Y3394" s="14"/>
      <c r="Z3394" s="14"/>
      <c r="AA3394" s="16"/>
      <c r="AB3394" s="10"/>
      <c r="AC3394" s="10"/>
      <c r="AD3394" s="10"/>
      <c r="AE3394" s="10"/>
      <c r="AF3394" s="10"/>
      <c r="AG3394" s="10"/>
      <c r="AH3394" s="10"/>
      <c r="AI3394" s="10"/>
      <c r="AJ3394" s="10"/>
      <c r="AK3394" s="10"/>
      <c r="AL3394" s="10"/>
      <c r="AM3394" s="10"/>
      <c r="AN3394" s="10"/>
      <c r="AO3394" s="10"/>
      <c r="AP3394" s="10"/>
      <c r="AQ3394" s="10"/>
      <c r="AR3394" s="10"/>
      <c r="AS3394" s="10"/>
      <c r="AT3394" s="10"/>
      <c r="AU3394" s="10"/>
      <c r="AV3394" s="10"/>
      <c r="AW3394" s="10"/>
      <c r="AX3394" s="10"/>
      <c r="AY3394" s="10"/>
      <c r="AZ3394" s="10"/>
      <c r="BA3394" s="10"/>
      <c r="BB3394" s="10"/>
      <c r="BC3394" s="10"/>
      <c r="BD3394" s="10"/>
      <c r="BE3394" s="10"/>
      <c r="BF3394" s="10"/>
      <c r="BG3394" s="10"/>
      <c r="BH3394" s="10"/>
      <c r="BI3394" s="10"/>
      <c r="BJ3394" s="10"/>
      <c r="BK3394" s="10"/>
      <c r="BM3394" s="10"/>
    </row>
    <row r="3395" spans="1:65" ht="12.75">
      <c r="A3395" s="9"/>
      <c r="B3395" s="10"/>
      <c r="C3395" s="11"/>
      <c r="D3395" s="12"/>
      <c r="E3395" s="10"/>
      <c r="F3395" s="10"/>
      <c r="G3395" s="10"/>
      <c r="H3395" s="14"/>
      <c r="I3395" s="14"/>
      <c r="J3395" s="14"/>
      <c r="K3395" s="14"/>
      <c r="L3395" s="14"/>
      <c r="M3395" s="15"/>
      <c r="N3395" s="10"/>
      <c r="O3395" s="14"/>
      <c r="P3395" s="14"/>
      <c r="Q3395" s="14"/>
      <c r="R3395" s="14"/>
      <c r="S3395" s="14"/>
      <c r="T3395" s="14"/>
      <c r="U3395" s="14"/>
      <c r="V3395" s="14"/>
      <c r="W3395" s="14"/>
      <c r="X3395" s="14"/>
      <c r="Y3395" s="14"/>
      <c r="Z3395" s="14"/>
      <c r="AA3395" s="16"/>
      <c r="AB3395" s="10"/>
      <c r="AC3395" s="10"/>
      <c r="AD3395" s="10"/>
      <c r="AE3395" s="10"/>
      <c r="AF3395" s="10"/>
      <c r="AG3395" s="10"/>
      <c r="AH3395" s="10"/>
      <c r="AI3395" s="10"/>
      <c r="AJ3395" s="10"/>
      <c r="AK3395" s="10"/>
      <c r="AL3395" s="10"/>
      <c r="AM3395" s="10"/>
      <c r="AN3395" s="10"/>
      <c r="AO3395" s="10"/>
      <c r="AP3395" s="10"/>
      <c r="AQ3395" s="10"/>
      <c r="AR3395" s="10"/>
      <c r="AS3395" s="10"/>
      <c r="AT3395" s="10"/>
      <c r="AU3395" s="10"/>
      <c r="AV3395" s="10"/>
      <c r="AW3395" s="10"/>
      <c r="AX3395" s="10"/>
      <c r="AY3395" s="10"/>
      <c r="AZ3395" s="10"/>
      <c r="BA3395" s="10"/>
      <c r="BB3395" s="10"/>
      <c r="BC3395" s="10"/>
      <c r="BD3395" s="10"/>
      <c r="BE3395" s="10"/>
      <c r="BF3395" s="10"/>
      <c r="BG3395" s="10"/>
      <c r="BH3395" s="10"/>
      <c r="BI3395" s="10"/>
      <c r="BJ3395" s="10"/>
      <c r="BK3395" s="10"/>
      <c r="BM3395" s="10"/>
    </row>
    <row r="3396" spans="1:65" ht="12.75">
      <c r="A3396" s="9"/>
      <c r="B3396" s="10"/>
      <c r="C3396" s="11"/>
      <c r="D3396" s="12"/>
      <c r="E3396" s="10"/>
      <c r="F3396" s="10"/>
      <c r="G3396" s="10"/>
      <c r="H3396" s="14"/>
      <c r="I3396" s="14"/>
      <c r="J3396" s="14"/>
      <c r="K3396" s="14"/>
      <c r="L3396" s="14"/>
      <c r="M3396" s="15"/>
      <c r="N3396" s="10"/>
      <c r="O3396" s="14"/>
      <c r="P3396" s="14"/>
      <c r="Q3396" s="14"/>
      <c r="R3396" s="14"/>
      <c r="S3396" s="14"/>
      <c r="T3396" s="14"/>
      <c r="U3396" s="14"/>
      <c r="V3396" s="14"/>
      <c r="W3396" s="14"/>
      <c r="X3396" s="14"/>
      <c r="Y3396" s="14"/>
      <c r="Z3396" s="14"/>
      <c r="AA3396" s="16"/>
      <c r="AB3396" s="10"/>
      <c r="AC3396" s="10"/>
      <c r="AD3396" s="10"/>
      <c r="AE3396" s="10"/>
      <c r="AF3396" s="10"/>
      <c r="AG3396" s="10"/>
      <c r="AH3396" s="10"/>
      <c r="AI3396" s="10"/>
      <c r="AJ3396" s="10"/>
      <c r="AK3396" s="10"/>
      <c r="AL3396" s="10"/>
      <c r="AM3396" s="10"/>
      <c r="AN3396" s="10"/>
      <c r="AO3396" s="10"/>
      <c r="AP3396" s="10"/>
      <c r="AQ3396" s="10"/>
      <c r="AR3396" s="10"/>
      <c r="AS3396" s="10"/>
      <c r="AT3396" s="10"/>
      <c r="AU3396" s="10"/>
      <c r="AV3396" s="10"/>
      <c r="AW3396" s="10"/>
      <c r="AX3396" s="10"/>
      <c r="AY3396" s="10"/>
      <c r="AZ3396" s="10"/>
      <c r="BA3396" s="10"/>
      <c r="BB3396" s="10"/>
      <c r="BC3396" s="10"/>
      <c r="BD3396" s="10"/>
      <c r="BE3396" s="10"/>
      <c r="BF3396" s="10"/>
      <c r="BG3396" s="10"/>
      <c r="BH3396" s="10"/>
      <c r="BI3396" s="10"/>
      <c r="BJ3396" s="10"/>
      <c r="BK3396" s="10"/>
      <c r="BM3396" s="10"/>
    </row>
    <row r="3397" spans="1:65" ht="12.75">
      <c r="A3397" s="9"/>
      <c r="B3397" s="10"/>
      <c r="C3397" s="11"/>
      <c r="D3397" s="12"/>
      <c r="E3397" s="10"/>
      <c r="F3397" s="10"/>
      <c r="G3397" s="10"/>
      <c r="H3397" s="14"/>
      <c r="I3397" s="14"/>
      <c r="J3397" s="14"/>
      <c r="K3397" s="14"/>
      <c r="L3397" s="14"/>
      <c r="M3397" s="15"/>
      <c r="N3397" s="10"/>
      <c r="O3397" s="14"/>
      <c r="P3397" s="14"/>
      <c r="Q3397" s="14"/>
      <c r="R3397" s="14"/>
      <c r="S3397" s="14"/>
      <c r="T3397" s="14"/>
      <c r="U3397" s="14"/>
      <c r="V3397" s="14"/>
      <c r="W3397" s="14"/>
      <c r="X3397" s="14"/>
      <c r="Y3397" s="14"/>
      <c r="Z3397" s="14"/>
      <c r="AA3397" s="16"/>
      <c r="AB3397" s="10"/>
      <c r="AC3397" s="10"/>
      <c r="AD3397" s="10"/>
      <c r="AE3397" s="10"/>
      <c r="AF3397" s="10"/>
      <c r="AG3397" s="10"/>
      <c r="AH3397" s="10"/>
      <c r="AI3397" s="10"/>
      <c r="AJ3397" s="10"/>
      <c r="AK3397" s="10"/>
      <c r="AL3397" s="10"/>
      <c r="AM3397" s="10"/>
      <c r="AN3397" s="10"/>
      <c r="AO3397" s="10"/>
      <c r="AP3397" s="10"/>
      <c r="AQ3397" s="10"/>
      <c r="AR3397" s="10"/>
      <c r="AS3397" s="10"/>
      <c r="AT3397" s="10"/>
      <c r="AU3397" s="10"/>
      <c r="AV3397" s="10"/>
      <c r="AW3397" s="10"/>
      <c r="AX3397" s="10"/>
      <c r="AY3397" s="10"/>
      <c r="AZ3397" s="10"/>
      <c r="BA3397" s="10"/>
      <c r="BB3397" s="10"/>
      <c r="BC3397" s="10"/>
      <c r="BD3397" s="10"/>
      <c r="BE3397" s="10"/>
      <c r="BF3397" s="10"/>
      <c r="BG3397" s="10"/>
      <c r="BH3397" s="10"/>
      <c r="BI3397" s="10"/>
      <c r="BJ3397" s="10"/>
      <c r="BK3397" s="10"/>
      <c r="BM3397" s="10"/>
    </row>
    <row r="3398" spans="1:65" ht="12.75">
      <c r="A3398" s="9"/>
      <c r="B3398" s="10"/>
      <c r="C3398" s="11"/>
      <c r="D3398" s="12"/>
      <c r="E3398" s="10"/>
      <c r="F3398" s="10"/>
      <c r="G3398" s="10"/>
      <c r="H3398" s="14"/>
      <c r="I3398" s="14"/>
      <c r="J3398" s="14"/>
      <c r="K3398" s="14"/>
      <c r="L3398" s="14"/>
      <c r="M3398" s="15"/>
      <c r="N3398" s="10"/>
      <c r="O3398" s="14"/>
      <c r="P3398" s="14"/>
      <c r="Q3398" s="14"/>
      <c r="R3398" s="14"/>
      <c r="S3398" s="14"/>
      <c r="T3398" s="14"/>
      <c r="U3398" s="14"/>
      <c r="V3398" s="14"/>
      <c r="W3398" s="14"/>
      <c r="X3398" s="14"/>
      <c r="Y3398" s="14"/>
      <c r="Z3398" s="14"/>
      <c r="AA3398" s="16"/>
      <c r="AB3398" s="10"/>
      <c r="AC3398" s="10"/>
      <c r="AD3398" s="10"/>
      <c r="AE3398" s="10"/>
      <c r="AF3398" s="10"/>
      <c r="AG3398" s="10"/>
      <c r="AH3398" s="10"/>
      <c r="AI3398" s="10"/>
      <c r="AJ3398" s="10"/>
      <c r="AK3398" s="10"/>
      <c r="AL3398" s="10"/>
      <c r="AM3398" s="10"/>
      <c r="AN3398" s="10"/>
      <c r="AO3398" s="10"/>
      <c r="AP3398" s="10"/>
      <c r="AQ3398" s="10"/>
      <c r="AR3398" s="10"/>
      <c r="AS3398" s="10"/>
      <c r="AT3398" s="10"/>
      <c r="AU3398" s="10"/>
      <c r="AV3398" s="10"/>
      <c r="AW3398" s="10"/>
      <c r="AX3398" s="10"/>
      <c r="AY3398" s="10"/>
      <c r="AZ3398" s="10"/>
      <c r="BA3398" s="10"/>
      <c r="BB3398" s="10"/>
      <c r="BC3398" s="10"/>
      <c r="BD3398" s="10"/>
      <c r="BE3398" s="10"/>
      <c r="BF3398" s="10"/>
      <c r="BG3398" s="10"/>
      <c r="BH3398" s="10"/>
      <c r="BI3398" s="10"/>
      <c r="BJ3398" s="10"/>
      <c r="BK3398" s="10"/>
      <c r="BM3398" s="10"/>
    </row>
    <row r="3399" spans="1:65" ht="12.75">
      <c r="A3399" s="9"/>
      <c r="B3399" s="10"/>
      <c r="C3399" s="11"/>
      <c r="D3399" s="12"/>
      <c r="E3399" s="10"/>
      <c r="F3399" s="10"/>
      <c r="G3399" s="10"/>
      <c r="H3399" s="14"/>
      <c r="I3399" s="14"/>
      <c r="J3399" s="14"/>
      <c r="K3399" s="14"/>
      <c r="L3399" s="14"/>
      <c r="M3399" s="15"/>
      <c r="N3399" s="10"/>
      <c r="O3399" s="14"/>
      <c r="P3399" s="14"/>
      <c r="Q3399" s="14"/>
      <c r="R3399" s="14"/>
      <c r="S3399" s="14"/>
      <c r="T3399" s="14"/>
      <c r="U3399" s="14"/>
      <c r="V3399" s="14"/>
      <c r="W3399" s="14"/>
      <c r="X3399" s="14"/>
      <c r="Y3399" s="14"/>
      <c r="Z3399" s="14"/>
      <c r="AA3399" s="16"/>
      <c r="AB3399" s="10"/>
      <c r="AC3399" s="10"/>
      <c r="AD3399" s="10"/>
      <c r="AE3399" s="10"/>
      <c r="AF3399" s="10"/>
      <c r="AG3399" s="10"/>
      <c r="AH3399" s="10"/>
      <c r="AI3399" s="10"/>
      <c r="AJ3399" s="10"/>
      <c r="AK3399" s="10"/>
      <c r="AL3399" s="10"/>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0"/>
      <c r="BM3399" s="10"/>
    </row>
    <row r="3400" spans="1:65" ht="12.75">
      <c r="A3400" s="9"/>
      <c r="B3400" s="10"/>
      <c r="C3400" s="11"/>
      <c r="D3400" s="12"/>
      <c r="E3400" s="10"/>
      <c r="F3400" s="10"/>
      <c r="G3400" s="10"/>
      <c r="H3400" s="14"/>
      <c r="I3400" s="14"/>
      <c r="J3400" s="14"/>
      <c r="K3400" s="14"/>
      <c r="L3400" s="14"/>
      <c r="M3400" s="15"/>
      <c r="N3400" s="10"/>
      <c r="O3400" s="14"/>
      <c r="P3400" s="14"/>
      <c r="Q3400" s="14"/>
      <c r="R3400" s="14"/>
      <c r="S3400" s="14"/>
      <c r="T3400" s="14"/>
      <c r="U3400" s="14"/>
      <c r="V3400" s="14"/>
      <c r="W3400" s="14"/>
      <c r="X3400" s="14"/>
      <c r="Y3400" s="14"/>
      <c r="Z3400" s="14"/>
      <c r="AA3400" s="16"/>
      <c r="AB3400" s="10"/>
      <c r="AC3400" s="10"/>
      <c r="AD3400" s="10"/>
      <c r="AE3400" s="10"/>
      <c r="AF3400" s="10"/>
      <c r="AG3400" s="10"/>
      <c r="AH3400" s="10"/>
      <c r="AI3400" s="10"/>
      <c r="AJ3400" s="10"/>
      <c r="AK3400" s="10"/>
      <c r="AL3400" s="10"/>
      <c r="AM3400" s="10"/>
      <c r="AN3400" s="10"/>
      <c r="AO3400" s="10"/>
      <c r="AP3400" s="10"/>
      <c r="AQ3400" s="10"/>
      <c r="AR3400" s="10"/>
      <c r="AS3400" s="10"/>
      <c r="AT3400" s="10"/>
      <c r="AU3400" s="10"/>
      <c r="AV3400" s="10"/>
      <c r="AW3400" s="10"/>
      <c r="AX3400" s="10"/>
      <c r="AY3400" s="10"/>
      <c r="AZ3400" s="10"/>
      <c r="BA3400" s="10"/>
      <c r="BB3400" s="10"/>
      <c r="BC3400" s="10"/>
      <c r="BD3400" s="10"/>
      <c r="BE3400" s="10"/>
      <c r="BF3400" s="10"/>
      <c r="BG3400" s="10"/>
      <c r="BH3400" s="10"/>
      <c r="BI3400" s="10"/>
      <c r="BJ3400" s="10"/>
      <c r="BK3400" s="10"/>
      <c r="BM3400" s="10"/>
    </row>
    <row r="3401" spans="1:65" ht="12.75">
      <c r="A3401" s="9"/>
      <c r="B3401" s="10"/>
      <c r="C3401" s="11"/>
      <c r="D3401" s="12"/>
      <c r="E3401" s="10"/>
      <c r="F3401" s="10"/>
      <c r="G3401" s="10"/>
      <c r="H3401" s="14"/>
      <c r="I3401" s="14"/>
      <c r="J3401" s="14"/>
      <c r="K3401" s="14"/>
      <c r="L3401" s="14"/>
      <c r="M3401" s="15"/>
      <c r="N3401" s="10"/>
      <c r="O3401" s="14"/>
      <c r="P3401" s="14"/>
      <c r="Q3401" s="14"/>
      <c r="R3401" s="14"/>
      <c r="S3401" s="14"/>
      <c r="T3401" s="14"/>
      <c r="U3401" s="14"/>
      <c r="V3401" s="14"/>
      <c r="W3401" s="14"/>
      <c r="X3401" s="14"/>
      <c r="Y3401" s="14"/>
      <c r="Z3401" s="14"/>
      <c r="AA3401" s="16"/>
      <c r="AB3401" s="10"/>
      <c r="AC3401" s="10"/>
      <c r="AD3401" s="10"/>
      <c r="AE3401" s="10"/>
      <c r="AF3401" s="10"/>
      <c r="AG3401" s="10"/>
      <c r="AH3401" s="10"/>
      <c r="AI3401" s="10"/>
      <c r="AJ3401" s="10"/>
      <c r="AK3401" s="10"/>
      <c r="AL3401" s="10"/>
      <c r="AM3401" s="10"/>
      <c r="AN3401" s="10"/>
      <c r="AO3401" s="10"/>
      <c r="AP3401" s="10"/>
      <c r="AQ3401" s="10"/>
      <c r="AR3401" s="10"/>
      <c r="AS3401" s="10"/>
      <c r="AT3401" s="10"/>
      <c r="AU3401" s="10"/>
      <c r="AV3401" s="10"/>
      <c r="AW3401" s="10"/>
      <c r="AX3401" s="10"/>
      <c r="AY3401" s="10"/>
      <c r="AZ3401" s="10"/>
      <c r="BA3401" s="10"/>
      <c r="BB3401" s="10"/>
      <c r="BC3401" s="10"/>
      <c r="BD3401" s="10"/>
      <c r="BE3401" s="10"/>
      <c r="BF3401" s="10"/>
      <c r="BG3401" s="10"/>
      <c r="BH3401" s="10"/>
      <c r="BI3401" s="10"/>
      <c r="BJ3401" s="10"/>
      <c r="BK3401" s="10"/>
      <c r="BM3401" s="10"/>
    </row>
    <row r="3402" spans="1:65" ht="12.75">
      <c r="A3402" s="9"/>
      <c r="B3402" s="10"/>
      <c r="C3402" s="11"/>
      <c r="D3402" s="12"/>
      <c r="E3402" s="10"/>
      <c r="F3402" s="10"/>
      <c r="G3402" s="10"/>
      <c r="H3402" s="14"/>
      <c r="I3402" s="14"/>
      <c r="J3402" s="14"/>
      <c r="K3402" s="14"/>
      <c r="L3402" s="14"/>
      <c r="M3402" s="15"/>
      <c r="N3402" s="10"/>
      <c r="O3402" s="14"/>
      <c r="P3402" s="14"/>
      <c r="Q3402" s="14"/>
      <c r="R3402" s="14"/>
      <c r="S3402" s="14"/>
      <c r="T3402" s="14"/>
      <c r="U3402" s="14"/>
      <c r="V3402" s="14"/>
      <c r="W3402" s="14"/>
      <c r="X3402" s="14"/>
      <c r="Y3402" s="14"/>
      <c r="Z3402" s="14"/>
      <c r="AA3402" s="16"/>
      <c r="AB3402" s="10"/>
      <c r="AC3402" s="10"/>
      <c r="AD3402" s="10"/>
      <c r="AE3402" s="10"/>
      <c r="AF3402" s="10"/>
      <c r="AG3402" s="10"/>
      <c r="AH3402" s="10"/>
      <c r="AI3402" s="10"/>
      <c r="AJ3402" s="10"/>
      <c r="AK3402" s="10"/>
      <c r="AL3402" s="10"/>
      <c r="AM3402" s="10"/>
      <c r="AN3402" s="10"/>
      <c r="AO3402" s="10"/>
      <c r="AP3402" s="10"/>
      <c r="AQ3402" s="10"/>
      <c r="AR3402" s="10"/>
      <c r="AS3402" s="10"/>
      <c r="AT3402" s="10"/>
      <c r="AU3402" s="10"/>
      <c r="AV3402" s="10"/>
      <c r="AW3402" s="10"/>
      <c r="AX3402" s="10"/>
      <c r="AY3402" s="10"/>
      <c r="AZ3402" s="10"/>
      <c r="BA3402" s="10"/>
      <c r="BB3402" s="10"/>
      <c r="BC3402" s="10"/>
      <c r="BD3402" s="10"/>
      <c r="BE3402" s="10"/>
      <c r="BF3402" s="10"/>
      <c r="BG3402" s="10"/>
      <c r="BH3402" s="10"/>
      <c r="BI3402" s="10"/>
      <c r="BJ3402" s="10"/>
      <c r="BK3402" s="10"/>
      <c r="BM3402" s="10"/>
    </row>
    <row r="3403" spans="1:65" ht="12.75">
      <c r="A3403" s="9"/>
      <c r="B3403" s="10"/>
      <c r="C3403" s="11"/>
      <c r="D3403" s="12"/>
      <c r="E3403" s="10"/>
      <c r="F3403" s="10"/>
      <c r="G3403" s="10"/>
      <c r="H3403" s="14"/>
      <c r="I3403" s="14"/>
      <c r="J3403" s="14"/>
      <c r="K3403" s="14"/>
      <c r="L3403" s="14"/>
      <c r="M3403" s="15"/>
      <c r="N3403" s="10"/>
      <c r="O3403" s="14"/>
      <c r="P3403" s="14"/>
      <c r="Q3403" s="14"/>
      <c r="R3403" s="14"/>
      <c r="S3403" s="14"/>
      <c r="T3403" s="14"/>
      <c r="U3403" s="14"/>
      <c r="V3403" s="14"/>
      <c r="W3403" s="14"/>
      <c r="X3403" s="14"/>
      <c r="Y3403" s="14"/>
      <c r="Z3403" s="14"/>
      <c r="AA3403" s="16"/>
      <c r="AB3403" s="10"/>
      <c r="AC3403" s="10"/>
      <c r="AD3403" s="10"/>
      <c r="AE3403" s="10"/>
      <c r="AF3403" s="10"/>
      <c r="AG3403" s="10"/>
      <c r="AH3403" s="10"/>
      <c r="AI3403" s="10"/>
      <c r="AJ3403" s="10"/>
      <c r="AK3403" s="10"/>
      <c r="AL3403" s="10"/>
      <c r="AM3403" s="10"/>
      <c r="AN3403" s="10"/>
      <c r="AO3403" s="10"/>
      <c r="AP3403" s="10"/>
      <c r="AQ3403" s="10"/>
      <c r="AR3403" s="10"/>
      <c r="AS3403" s="10"/>
      <c r="AT3403" s="10"/>
      <c r="AU3403" s="10"/>
      <c r="AV3403" s="10"/>
      <c r="AW3403" s="10"/>
      <c r="AX3403" s="10"/>
      <c r="AY3403" s="10"/>
      <c r="AZ3403" s="10"/>
      <c r="BA3403" s="10"/>
      <c r="BB3403" s="10"/>
      <c r="BC3403" s="10"/>
      <c r="BD3403" s="10"/>
      <c r="BE3403" s="10"/>
      <c r="BF3403" s="10"/>
      <c r="BG3403" s="10"/>
      <c r="BH3403" s="10"/>
      <c r="BI3403" s="10"/>
      <c r="BJ3403" s="10"/>
      <c r="BK3403" s="10"/>
      <c r="BM3403" s="10"/>
    </row>
    <row r="3404" spans="1:65" ht="12.75">
      <c r="A3404" s="9"/>
      <c r="B3404" s="10"/>
      <c r="C3404" s="11"/>
      <c r="D3404" s="12"/>
      <c r="E3404" s="10"/>
      <c r="F3404" s="10"/>
      <c r="G3404" s="10"/>
      <c r="H3404" s="14"/>
      <c r="I3404" s="14"/>
      <c r="J3404" s="14"/>
      <c r="K3404" s="14"/>
      <c r="L3404" s="14"/>
      <c r="M3404" s="15"/>
      <c r="N3404" s="10"/>
      <c r="O3404" s="14"/>
      <c r="P3404" s="14"/>
      <c r="Q3404" s="14"/>
      <c r="R3404" s="14"/>
      <c r="S3404" s="14"/>
      <c r="T3404" s="14"/>
      <c r="U3404" s="14"/>
      <c r="V3404" s="14"/>
      <c r="W3404" s="14"/>
      <c r="X3404" s="14"/>
      <c r="Y3404" s="14"/>
      <c r="Z3404" s="14"/>
      <c r="AA3404" s="16"/>
      <c r="AB3404" s="10"/>
      <c r="AC3404" s="10"/>
      <c r="AD3404" s="10"/>
      <c r="AE3404" s="10"/>
      <c r="AF3404" s="10"/>
      <c r="AG3404" s="10"/>
      <c r="AH3404" s="10"/>
      <c r="AI3404" s="10"/>
      <c r="AJ3404" s="10"/>
      <c r="AK3404" s="10"/>
      <c r="AL3404" s="10"/>
      <c r="AM3404" s="10"/>
      <c r="AN3404" s="10"/>
      <c r="AO3404" s="10"/>
      <c r="AP3404" s="10"/>
      <c r="AQ3404" s="10"/>
      <c r="AR3404" s="10"/>
      <c r="AS3404" s="10"/>
      <c r="AT3404" s="10"/>
      <c r="AU3404" s="10"/>
      <c r="AV3404" s="10"/>
      <c r="AW3404" s="10"/>
      <c r="AX3404" s="10"/>
      <c r="AY3404" s="10"/>
      <c r="AZ3404" s="10"/>
      <c r="BA3404" s="10"/>
      <c r="BB3404" s="10"/>
      <c r="BC3404" s="10"/>
      <c r="BD3404" s="10"/>
      <c r="BE3404" s="10"/>
      <c r="BF3404" s="10"/>
      <c r="BG3404" s="10"/>
      <c r="BH3404" s="10"/>
      <c r="BI3404" s="10"/>
      <c r="BJ3404" s="10"/>
      <c r="BK3404" s="10"/>
      <c r="BM3404" s="10"/>
    </row>
    <row r="3405" spans="1:65" ht="12.75">
      <c r="A3405" s="9"/>
      <c r="B3405" s="10"/>
      <c r="C3405" s="11"/>
      <c r="D3405" s="12"/>
      <c r="E3405" s="10"/>
      <c r="F3405" s="10"/>
      <c r="G3405" s="10"/>
      <c r="H3405" s="14"/>
      <c r="I3405" s="14"/>
      <c r="J3405" s="14"/>
      <c r="K3405" s="14"/>
      <c r="L3405" s="14"/>
      <c r="M3405" s="15"/>
      <c r="N3405" s="10"/>
      <c r="O3405" s="14"/>
      <c r="P3405" s="14"/>
      <c r="Q3405" s="14"/>
      <c r="R3405" s="14"/>
      <c r="S3405" s="14"/>
      <c r="T3405" s="14"/>
      <c r="U3405" s="14"/>
      <c r="V3405" s="14"/>
      <c r="W3405" s="14"/>
      <c r="X3405" s="14"/>
      <c r="Y3405" s="14"/>
      <c r="Z3405" s="14"/>
      <c r="AA3405" s="16"/>
      <c r="AB3405" s="10"/>
      <c r="AC3405" s="10"/>
      <c r="AD3405" s="10"/>
      <c r="AE3405" s="10"/>
      <c r="AF3405" s="10"/>
      <c r="AG3405" s="10"/>
      <c r="AH3405" s="10"/>
      <c r="AI3405" s="10"/>
      <c r="AJ3405" s="10"/>
      <c r="AK3405" s="10"/>
      <c r="AL3405" s="10"/>
      <c r="AM3405" s="10"/>
      <c r="AN3405" s="10"/>
      <c r="AO3405" s="10"/>
      <c r="AP3405" s="10"/>
      <c r="AQ3405" s="10"/>
      <c r="AR3405" s="10"/>
      <c r="AS3405" s="10"/>
      <c r="AT3405" s="10"/>
      <c r="AU3405" s="10"/>
      <c r="AV3405" s="10"/>
      <c r="AW3405" s="10"/>
      <c r="AX3405" s="10"/>
      <c r="AY3405" s="10"/>
      <c r="AZ3405" s="10"/>
      <c r="BA3405" s="10"/>
      <c r="BB3405" s="10"/>
      <c r="BC3405" s="10"/>
      <c r="BD3405" s="10"/>
      <c r="BE3405" s="10"/>
      <c r="BF3405" s="10"/>
      <c r="BG3405" s="10"/>
      <c r="BH3405" s="10"/>
      <c r="BI3405" s="10"/>
      <c r="BJ3405" s="10"/>
      <c r="BK3405" s="10"/>
      <c r="BM3405" s="10"/>
    </row>
    <row r="3406" spans="1:65" ht="12.75">
      <c r="A3406" s="9"/>
      <c r="B3406" s="10"/>
      <c r="C3406" s="11"/>
      <c r="D3406" s="12"/>
      <c r="E3406" s="10"/>
      <c r="F3406" s="10"/>
      <c r="G3406" s="10"/>
      <c r="H3406" s="14"/>
      <c r="I3406" s="14"/>
      <c r="J3406" s="14"/>
      <c r="K3406" s="14"/>
      <c r="L3406" s="14"/>
      <c r="M3406" s="15"/>
      <c r="N3406" s="10"/>
      <c r="O3406" s="14"/>
      <c r="P3406" s="14"/>
      <c r="Q3406" s="14"/>
      <c r="R3406" s="14"/>
      <c r="S3406" s="14"/>
      <c r="T3406" s="14"/>
      <c r="U3406" s="14"/>
      <c r="V3406" s="14"/>
      <c r="W3406" s="14"/>
      <c r="X3406" s="14"/>
      <c r="Y3406" s="14"/>
      <c r="Z3406" s="14"/>
      <c r="AA3406" s="16"/>
      <c r="AB3406" s="10"/>
      <c r="AC3406" s="10"/>
      <c r="AD3406" s="10"/>
      <c r="AE3406" s="10"/>
      <c r="AF3406" s="10"/>
      <c r="AG3406" s="10"/>
      <c r="AH3406" s="10"/>
      <c r="AI3406" s="10"/>
      <c r="AJ3406" s="10"/>
      <c r="AK3406" s="10"/>
      <c r="AL3406" s="1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0"/>
      <c r="BM3406" s="10"/>
    </row>
    <row r="3407" spans="1:65" ht="12.75">
      <c r="A3407" s="9"/>
      <c r="B3407" s="10"/>
      <c r="C3407" s="11"/>
      <c r="D3407" s="12"/>
      <c r="E3407" s="10"/>
      <c r="F3407" s="10"/>
      <c r="G3407" s="10"/>
      <c r="H3407" s="14"/>
      <c r="I3407" s="14"/>
      <c r="J3407" s="14"/>
      <c r="K3407" s="14"/>
      <c r="L3407" s="14"/>
      <c r="M3407" s="15"/>
      <c r="N3407" s="10"/>
      <c r="O3407" s="14"/>
      <c r="P3407" s="14"/>
      <c r="Q3407" s="14"/>
      <c r="R3407" s="14"/>
      <c r="S3407" s="14"/>
      <c r="T3407" s="14"/>
      <c r="U3407" s="14"/>
      <c r="V3407" s="14"/>
      <c r="W3407" s="14"/>
      <c r="X3407" s="14"/>
      <c r="Y3407" s="14"/>
      <c r="Z3407" s="14"/>
      <c r="AA3407" s="16"/>
      <c r="AB3407" s="10"/>
      <c r="AC3407" s="10"/>
      <c r="AD3407" s="10"/>
      <c r="AE3407" s="10"/>
      <c r="AF3407" s="10"/>
      <c r="AG3407" s="10"/>
      <c r="AH3407" s="10"/>
      <c r="AI3407" s="10"/>
      <c r="AJ3407" s="10"/>
      <c r="AK3407" s="10"/>
      <c r="AL3407" s="10"/>
      <c r="AM3407" s="10"/>
      <c r="AN3407" s="10"/>
      <c r="AO3407" s="10"/>
      <c r="AP3407" s="10"/>
      <c r="AQ3407" s="10"/>
      <c r="AR3407" s="10"/>
      <c r="AS3407" s="10"/>
      <c r="AT3407" s="10"/>
      <c r="AU3407" s="10"/>
      <c r="AV3407" s="10"/>
      <c r="AW3407" s="10"/>
      <c r="AX3407" s="10"/>
      <c r="AY3407" s="10"/>
      <c r="AZ3407" s="10"/>
      <c r="BA3407" s="10"/>
      <c r="BB3407" s="10"/>
      <c r="BC3407" s="10"/>
      <c r="BD3407" s="10"/>
      <c r="BE3407" s="10"/>
      <c r="BF3407" s="10"/>
      <c r="BG3407" s="10"/>
      <c r="BH3407" s="10"/>
      <c r="BI3407" s="10"/>
      <c r="BJ3407" s="10"/>
      <c r="BK3407" s="10"/>
      <c r="BM3407" s="10"/>
    </row>
    <row r="3408" spans="1:65" ht="12.75">
      <c r="A3408" s="9"/>
      <c r="B3408" s="10"/>
      <c r="C3408" s="11"/>
      <c r="D3408" s="12"/>
      <c r="E3408" s="10"/>
      <c r="F3408" s="10"/>
      <c r="G3408" s="10"/>
      <c r="H3408" s="14"/>
      <c r="I3408" s="14"/>
      <c r="J3408" s="14"/>
      <c r="K3408" s="14"/>
      <c r="L3408" s="14"/>
      <c r="M3408" s="15"/>
      <c r="N3408" s="10"/>
      <c r="O3408" s="14"/>
      <c r="P3408" s="14"/>
      <c r="Q3408" s="14"/>
      <c r="R3408" s="14"/>
      <c r="S3408" s="14"/>
      <c r="T3408" s="14"/>
      <c r="U3408" s="14"/>
      <c r="V3408" s="14"/>
      <c r="W3408" s="14"/>
      <c r="X3408" s="14"/>
      <c r="Y3408" s="14"/>
      <c r="Z3408" s="14"/>
      <c r="AA3408" s="16"/>
      <c r="AB3408" s="10"/>
      <c r="AC3408" s="10"/>
      <c r="AD3408" s="10"/>
      <c r="AE3408" s="10"/>
      <c r="AF3408" s="10"/>
      <c r="AG3408" s="10"/>
      <c r="AH3408" s="10"/>
      <c r="AI3408" s="10"/>
      <c r="AJ3408" s="10"/>
      <c r="AK3408" s="10"/>
      <c r="AL3408" s="10"/>
      <c r="AM3408" s="10"/>
      <c r="AN3408" s="10"/>
      <c r="AO3408" s="10"/>
      <c r="AP3408" s="10"/>
      <c r="AQ3408" s="10"/>
      <c r="AR3408" s="10"/>
      <c r="AS3408" s="10"/>
      <c r="AT3408" s="10"/>
      <c r="AU3408" s="10"/>
      <c r="AV3408" s="10"/>
      <c r="AW3408" s="10"/>
      <c r="AX3408" s="10"/>
      <c r="AY3408" s="10"/>
      <c r="AZ3408" s="10"/>
      <c r="BA3408" s="10"/>
      <c r="BB3408" s="10"/>
      <c r="BC3408" s="10"/>
      <c r="BD3408" s="10"/>
      <c r="BE3408" s="10"/>
      <c r="BF3408" s="10"/>
      <c r="BG3408" s="10"/>
      <c r="BH3408" s="10"/>
      <c r="BI3408" s="10"/>
      <c r="BJ3408" s="10"/>
      <c r="BK3408" s="10"/>
      <c r="BM3408" s="10"/>
    </row>
    <row r="3409" spans="1:65" ht="12.75">
      <c r="A3409" s="9"/>
      <c r="B3409" s="10"/>
      <c r="C3409" s="11"/>
      <c r="D3409" s="12"/>
      <c r="E3409" s="10"/>
      <c r="F3409" s="10"/>
      <c r="G3409" s="10"/>
      <c r="H3409" s="14"/>
      <c r="I3409" s="14"/>
      <c r="J3409" s="14"/>
      <c r="K3409" s="14"/>
      <c r="L3409" s="14"/>
      <c r="M3409" s="15"/>
      <c r="N3409" s="10"/>
      <c r="O3409" s="14"/>
      <c r="P3409" s="14"/>
      <c r="Q3409" s="14"/>
      <c r="R3409" s="14"/>
      <c r="S3409" s="14"/>
      <c r="T3409" s="14"/>
      <c r="U3409" s="14"/>
      <c r="V3409" s="14"/>
      <c r="W3409" s="14"/>
      <c r="X3409" s="14"/>
      <c r="Y3409" s="14"/>
      <c r="Z3409" s="14"/>
      <c r="AA3409" s="16"/>
      <c r="AB3409" s="10"/>
      <c r="AC3409" s="10"/>
      <c r="AD3409" s="10"/>
      <c r="AE3409" s="10"/>
      <c r="AF3409" s="10"/>
      <c r="AG3409" s="10"/>
      <c r="AH3409" s="10"/>
      <c r="AI3409" s="10"/>
      <c r="AJ3409" s="10"/>
      <c r="AK3409" s="10"/>
      <c r="AL3409" s="10"/>
      <c r="AM3409" s="10"/>
      <c r="AN3409" s="10"/>
      <c r="AO3409" s="10"/>
      <c r="AP3409" s="10"/>
      <c r="AQ3409" s="10"/>
      <c r="AR3409" s="10"/>
      <c r="AS3409" s="10"/>
      <c r="AT3409" s="10"/>
      <c r="AU3409" s="10"/>
      <c r="AV3409" s="10"/>
      <c r="AW3409" s="10"/>
      <c r="AX3409" s="10"/>
      <c r="AY3409" s="10"/>
      <c r="AZ3409" s="10"/>
      <c r="BA3409" s="10"/>
      <c r="BB3409" s="10"/>
      <c r="BC3409" s="10"/>
      <c r="BD3409" s="10"/>
      <c r="BE3409" s="10"/>
      <c r="BF3409" s="10"/>
      <c r="BG3409" s="10"/>
      <c r="BH3409" s="10"/>
      <c r="BI3409" s="10"/>
      <c r="BJ3409" s="10"/>
      <c r="BK3409" s="10"/>
      <c r="BM3409" s="10"/>
    </row>
    <row r="3410" spans="1:65" ht="12.75">
      <c r="A3410" s="9"/>
      <c r="B3410" s="10"/>
      <c r="C3410" s="11"/>
      <c r="D3410" s="12"/>
      <c r="E3410" s="10"/>
      <c r="F3410" s="10"/>
      <c r="G3410" s="10"/>
      <c r="H3410" s="14"/>
      <c r="I3410" s="14"/>
      <c r="J3410" s="14"/>
      <c r="K3410" s="14"/>
      <c r="L3410" s="14"/>
      <c r="M3410" s="15"/>
      <c r="N3410" s="10"/>
      <c r="O3410" s="14"/>
      <c r="P3410" s="14"/>
      <c r="Q3410" s="14"/>
      <c r="R3410" s="14"/>
      <c r="S3410" s="14"/>
      <c r="T3410" s="14"/>
      <c r="U3410" s="14"/>
      <c r="V3410" s="14"/>
      <c r="W3410" s="14"/>
      <c r="X3410" s="14"/>
      <c r="Y3410" s="14"/>
      <c r="Z3410" s="14"/>
      <c r="AA3410" s="16"/>
      <c r="AB3410" s="10"/>
      <c r="AC3410" s="10"/>
      <c r="AD3410" s="10"/>
      <c r="AE3410" s="10"/>
      <c r="AF3410" s="10"/>
      <c r="AG3410" s="10"/>
      <c r="AH3410" s="10"/>
      <c r="AI3410" s="10"/>
      <c r="AJ3410" s="10"/>
      <c r="AK3410" s="10"/>
      <c r="AL3410" s="10"/>
      <c r="AM3410" s="10"/>
      <c r="AN3410" s="10"/>
      <c r="AO3410" s="10"/>
      <c r="AP3410" s="10"/>
      <c r="AQ3410" s="10"/>
      <c r="AR3410" s="10"/>
      <c r="AS3410" s="10"/>
      <c r="AT3410" s="10"/>
      <c r="AU3410" s="10"/>
      <c r="AV3410" s="10"/>
      <c r="AW3410" s="10"/>
      <c r="AX3410" s="10"/>
      <c r="AY3410" s="10"/>
      <c r="AZ3410" s="10"/>
      <c r="BA3410" s="10"/>
      <c r="BB3410" s="10"/>
      <c r="BC3410" s="10"/>
      <c r="BD3410" s="10"/>
      <c r="BE3410" s="10"/>
      <c r="BF3410" s="10"/>
      <c r="BG3410" s="10"/>
      <c r="BH3410" s="10"/>
      <c r="BI3410" s="10"/>
      <c r="BJ3410" s="10"/>
      <c r="BK3410" s="10"/>
      <c r="BM3410" s="10"/>
    </row>
    <row r="3411" spans="1:65" ht="12.75">
      <c r="A3411" s="9"/>
      <c r="B3411" s="10"/>
      <c r="C3411" s="11"/>
      <c r="D3411" s="12"/>
      <c r="E3411" s="10"/>
      <c r="F3411" s="10"/>
      <c r="G3411" s="10"/>
      <c r="H3411" s="14"/>
      <c r="I3411" s="14"/>
      <c r="J3411" s="14"/>
      <c r="K3411" s="14"/>
      <c r="L3411" s="14"/>
      <c r="M3411" s="15"/>
      <c r="N3411" s="10"/>
      <c r="O3411" s="14"/>
      <c r="P3411" s="14"/>
      <c r="Q3411" s="14"/>
      <c r="R3411" s="14"/>
      <c r="S3411" s="14"/>
      <c r="T3411" s="14"/>
      <c r="U3411" s="14"/>
      <c r="V3411" s="14"/>
      <c r="W3411" s="14"/>
      <c r="X3411" s="14"/>
      <c r="Y3411" s="14"/>
      <c r="Z3411" s="14"/>
      <c r="AA3411" s="16"/>
      <c r="AB3411" s="10"/>
      <c r="AC3411" s="10"/>
      <c r="AD3411" s="10"/>
      <c r="AE3411" s="10"/>
      <c r="AF3411" s="10"/>
      <c r="AG3411" s="10"/>
      <c r="AH3411" s="10"/>
      <c r="AI3411" s="10"/>
      <c r="AJ3411" s="10"/>
      <c r="AK3411" s="10"/>
      <c r="AL3411" s="10"/>
      <c r="AM3411" s="10"/>
      <c r="AN3411" s="10"/>
      <c r="AO3411" s="10"/>
      <c r="AP3411" s="10"/>
      <c r="AQ3411" s="10"/>
      <c r="AR3411" s="10"/>
      <c r="AS3411" s="10"/>
      <c r="AT3411" s="10"/>
      <c r="AU3411" s="10"/>
      <c r="AV3411" s="10"/>
      <c r="AW3411" s="10"/>
      <c r="AX3411" s="10"/>
      <c r="AY3411" s="10"/>
      <c r="AZ3411" s="10"/>
      <c r="BA3411" s="10"/>
      <c r="BB3411" s="10"/>
      <c r="BC3411" s="10"/>
      <c r="BD3411" s="10"/>
      <c r="BE3411" s="10"/>
      <c r="BF3411" s="10"/>
      <c r="BG3411" s="10"/>
      <c r="BH3411" s="10"/>
      <c r="BI3411" s="10"/>
      <c r="BJ3411" s="10"/>
      <c r="BK3411" s="10"/>
      <c r="BM3411" s="10"/>
    </row>
    <row r="3412" spans="1:65" ht="12.75">
      <c r="A3412" s="9"/>
      <c r="B3412" s="10"/>
      <c r="C3412" s="11"/>
      <c r="D3412" s="12"/>
      <c r="E3412" s="10"/>
      <c r="F3412" s="10"/>
      <c r="G3412" s="10"/>
      <c r="H3412" s="14"/>
      <c r="I3412" s="14"/>
      <c r="J3412" s="14"/>
      <c r="K3412" s="14"/>
      <c r="L3412" s="14"/>
      <c r="M3412" s="15"/>
      <c r="N3412" s="10"/>
      <c r="O3412" s="14"/>
      <c r="P3412" s="14"/>
      <c r="Q3412" s="14"/>
      <c r="R3412" s="14"/>
      <c r="S3412" s="14"/>
      <c r="T3412" s="14"/>
      <c r="U3412" s="14"/>
      <c r="V3412" s="14"/>
      <c r="W3412" s="14"/>
      <c r="X3412" s="14"/>
      <c r="Y3412" s="14"/>
      <c r="Z3412" s="14"/>
      <c r="AA3412" s="16"/>
      <c r="AB3412" s="10"/>
      <c r="AC3412" s="10"/>
      <c r="AD3412" s="10"/>
      <c r="AE3412" s="10"/>
      <c r="AF3412" s="10"/>
      <c r="AG3412" s="10"/>
      <c r="AH3412" s="10"/>
      <c r="AI3412" s="10"/>
      <c r="AJ3412" s="10"/>
      <c r="AK3412" s="10"/>
      <c r="AL3412" s="10"/>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10"/>
      <c r="BK3412" s="10"/>
      <c r="BM3412" s="10"/>
    </row>
    <row r="3413" spans="1:65" ht="12.75">
      <c r="A3413" s="9"/>
      <c r="B3413" s="10"/>
      <c r="C3413" s="11"/>
      <c r="D3413" s="12"/>
      <c r="E3413" s="10"/>
      <c r="F3413" s="10"/>
      <c r="G3413" s="10"/>
      <c r="H3413" s="14"/>
      <c r="I3413" s="14"/>
      <c r="J3413" s="14"/>
      <c r="K3413" s="14"/>
      <c r="L3413" s="14"/>
      <c r="M3413" s="15"/>
      <c r="N3413" s="10"/>
      <c r="O3413" s="14"/>
      <c r="P3413" s="14"/>
      <c r="Q3413" s="14"/>
      <c r="R3413" s="14"/>
      <c r="S3413" s="14"/>
      <c r="T3413" s="14"/>
      <c r="U3413" s="14"/>
      <c r="V3413" s="14"/>
      <c r="W3413" s="14"/>
      <c r="X3413" s="14"/>
      <c r="Y3413" s="14"/>
      <c r="Z3413" s="14"/>
      <c r="AA3413" s="16"/>
      <c r="AB3413" s="10"/>
      <c r="AC3413" s="10"/>
      <c r="AD3413" s="10"/>
      <c r="AE3413" s="10"/>
      <c r="AF3413" s="10"/>
      <c r="AG3413" s="10"/>
      <c r="AH3413" s="10"/>
      <c r="AI3413" s="10"/>
      <c r="AJ3413" s="10"/>
      <c r="AK3413" s="10"/>
      <c r="AL3413" s="10"/>
      <c r="AM3413" s="10"/>
      <c r="AN3413" s="10"/>
      <c r="AO3413" s="10"/>
      <c r="AP3413" s="10"/>
      <c r="AQ3413" s="10"/>
      <c r="AR3413" s="10"/>
      <c r="AS3413" s="10"/>
      <c r="AT3413" s="10"/>
      <c r="AU3413" s="10"/>
      <c r="AV3413" s="10"/>
      <c r="AW3413" s="10"/>
      <c r="AX3413" s="10"/>
      <c r="AY3413" s="10"/>
      <c r="AZ3413" s="10"/>
      <c r="BA3413" s="10"/>
      <c r="BB3413" s="10"/>
      <c r="BC3413" s="10"/>
      <c r="BD3413" s="10"/>
      <c r="BE3413" s="10"/>
      <c r="BF3413" s="10"/>
      <c r="BG3413" s="10"/>
      <c r="BH3413" s="10"/>
      <c r="BI3413" s="10"/>
      <c r="BJ3413" s="10"/>
      <c r="BK3413" s="10"/>
      <c r="BM3413" s="10"/>
    </row>
    <row r="3414" spans="1:65" ht="12.75">
      <c r="A3414" s="9"/>
      <c r="B3414" s="10"/>
      <c r="C3414" s="11"/>
      <c r="D3414" s="12"/>
      <c r="E3414" s="10"/>
      <c r="F3414" s="10"/>
      <c r="G3414" s="10"/>
      <c r="H3414" s="14"/>
      <c r="I3414" s="14"/>
      <c r="J3414" s="14"/>
      <c r="K3414" s="14"/>
      <c r="L3414" s="14"/>
      <c r="M3414" s="15"/>
      <c r="N3414" s="10"/>
      <c r="O3414" s="14"/>
      <c r="P3414" s="14"/>
      <c r="Q3414" s="14"/>
      <c r="R3414" s="14"/>
      <c r="S3414" s="14"/>
      <c r="T3414" s="14"/>
      <c r="U3414" s="14"/>
      <c r="V3414" s="14"/>
      <c r="W3414" s="14"/>
      <c r="X3414" s="14"/>
      <c r="Y3414" s="14"/>
      <c r="Z3414" s="14"/>
      <c r="AA3414" s="16"/>
      <c r="AB3414" s="10"/>
      <c r="AC3414" s="10"/>
      <c r="AD3414" s="10"/>
      <c r="AE3414" s="10"/>
      <c r="AF3414" s="10"/>
      <c r="AG3414" s="10"/>
      <c r="AH3414" s="10"/>
      <c r="AI3414" s="10"/>
      <c r="AJ3414" s="10"/>
      <c r="AK3414" s="10"/>
      <c r="AL3414" s="10"/>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10"/>
      <c r="BK3414" s="10"/>
      <c r="BM3414" s="10"/>
    </row>
    <row r="3415" spans="1:65" ht="12.75">
      <c r="A3415" s="9"/>
      <c r="B3415" s="10"/>
      <c r="C3415" s="11"/>
      <c r="D3415" s="12"/>
      <c r="E3415" s="10"/>
      <c r="F3415" s="10"/>
      <c r="G3415" s="10"/>
      <c r="H3415" s="14"/>
      <c r="I3415" s="14"/>
      <c r="J3415" s="14"/>
      <c r="K3415" s="14"/>
      <c r="L3415" s="14"/>
      <c r="M3415" s="15"/>
      <c r="N3415" s="10"/>
      <c r="O3415" s="14"/>
      <c r="P3415" s="14"/>
      <c r="Q3415" s="14"/>
      <c r="R3415" s="14"/>
      <c r="S3415" s="14"/>
      <c r="T3415" s="14"/>
      <c r="U3415" s="14"/>
      <c r="V3415" s="14"/>
      <c r="W3415" s="14"/>
      <c r="X3415" s="14"/>
      <c r="Y3415" s="14"/>
      <c r="Z3415" s="14"/>
      <c r="AA3415" s="16"/>
      <c r="AB3415" s="10"/>
      <c r="AC3415" s="10"/>
      <c r="AD3415" s="10"/>
      <c r="AE3415" s="10"/>
      <c r="AF3415" s="10"/>
      <c r="AG3415" s="10"/>
      <c r="AH3415" s="10"/>
      <c r="AI3415" s="10"/>
      <c r="AJ3415" s="10"/>
      <c r="AK3415" s="10"/>
      <c r="AL3415" s="10"/>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c r="BI3415" s="10"/>
      <c r="BJ3415" s="10"/>
      <c r="BK3415" s="10"/>
      <c r="BM3415" s="10"/>
    </row>
    <row r="3416" spans="1:65" ht="12.75">
      <c r="A3416" s="9"/>
      <c r="B3416" s="10"/>
      <c r="C3416" s="11"/>
      <c r="D3416" s="12"/>
      <c r="E3416" s="10"/>
      <c r="F3416" s="10"/>
      <c r="G3416" s="10"/>
      <c r="H3416" s="14"/>
      <c r="I3416" s="14"/>
      <c r="J3416" s="14"/>
      <c r="K3416" s="14"/>
      <c r="L3416" s="14"/>
      <c r="M3416" s="15"/>
      <c r="N3416" s="10"/>
      <c r="O3416" s="14"/>
      <c r="P3416" s="14"/>
      <c r="Q3416" s="14"/>
      <c r="R3416" s="14"/>
      <c r="S3416" s="14"/>
      <c r="T3416" s="14"/>
      <c r="U3416" s="14"/>
      <c r="V3416" s="14"/>
      <c r="W3416" s="14"/>
      <c r="X3416" s="14"/>
      <c r="Y3416" s="14"/>
      <c r="Z3416" s="14"/>
      <c r="AA3416" s="16"/>
      <c r="AB3416" s="10"/>
      <c r="AC3416" s="10"/>
      <c r="AD3416" s="10"/>
      <c r="AE3416" s="10"/>
      <c r="AF3416" s="10"/>
      <c r="AG3416" s="10"/>
      <c r="AH3416" s="10"/>
      <c r="AI3416" s="10"/>
      <c r="AJ3416" s="10"/>
      <c r="AK3416" s="10"/>
      <c r="AL3416" s="10"/>
      <c r="AM3416" s="10"/>
      <c r="AN3416" s="10"/>
      <c r="AO3416" s="10"/>
      <c r="AP3416" s="10"/>
      <c r="AQ3416" s="10"/>
      <c r="AR3416" s="10"/>
      <c r="AS3416" s="10"/>
      <c r="AT3416" s="10"/>
      <c r="AU3416" s="10"/>
      <c r="AV3416" s="10"/>
      <c r="AW3416" s="10"/>
      <c r="AX3416" s="10"/>
      <c r="AY3416" s="10"/>
      <c r="AZ3416" s="10"/>
      <c r="BA3416" s="10"/>
      <c r="BB3416" s="10"/>
      <c r="BC3416" s="10"/>
      <c r="BD3416" s="10"/>
      <c r="BE3416" s="10"/>
      <c r="BF3416" s="10"/>
      <c r="BG3416" s="10"/>
      <c r="BH3416" s="10"/>
      <c r="BI3416" s="10"/>
      <c r="BJ3416" s="10"/>
      <c r="BK3416" s="10"/>
      <c r="BM3416" s="10"/>
    </row>
    <row r="3417" spans="1:65" ht="12.75">
      <c r="A3417" s="9"/>
      <c r="B3417" s="10"/>
      <c r="C3417" s="11"/>
      <c r="D3417" s="12"/>
      <c r="E3417" s="10"/>
      <c r="F3417" s="10"/>
      <c r="G3417" s="10"/>
      <c r="H3417" s="14"/>
      <c r="I3417" s="14"/>
      <c r="J3417" s="14"/>
      <c r="K3417" s="14"/>
      <c r="L3417" s="14"/>
      <c r="M3417" s="15"/>
      <c r="N3417" s="10"/>
      <c r="O3417" s="14"/>
      <c r="P3417" s="14"/>
      <c r="Q3417" s="14"/>
      <c r="R3417" s="14"/>
      <c r="S3417" s="14"/>
      <c r="T3417" s="14"/>
      <c r="U3417" s="14"/>
      <c r="V3417" s="14"/>
      <c r="W3417" s="14"/>
      <c r="X3417" s="14"/>
      <c r="Y3417" s="14"/>
      <c r="Z3417" s="14"/>
      <c r="AA3417" s="16"/>
      <c r="AB3417" s="10"/>
      <c r="AC3417" s="10"/>
      <c r="AD3417" s="10"/>
      <c r="AE3417" s="10"/>
      <c r="AF3417" s="10"/>
      <c r="AG3417" s="10"/>
      <c r="AH3417" s="10"/>
      <c r="AI3417" s="10"/>
      <c r="AJ3417" s="10"/>
      <c r="AK3417" s="10"/>
      <c r="AL3417" s="10"/>
      <c r="AM3417" s="10"/>
      <c r="AN3417" s="10"/>
      <c r="AO3417" s="10"/>
      <c r="AP3417" s="10"/>
      <c r="AQ3417" s="10"/>
      <c r="AR3417" s="10"/>
      <c r="AS3417" s="10"/>
      <c r="AT3417" s="10"/>
      <c r="AU3417" s="10"/>
      <c r="AV3417" s="10"/>
      <c r="AW3417" s="10"/>
      <c r="AX3417" s="10"/>
      <c r="AY3417" s="10"/>
      <c r="AZ3417" s="10"/>
      <c r="BA3417" s="10"/>
      <c r="BB3417" s="10"/>
      <c r="BC3417" s="10"/>
      <c r="BD3417" s="10"/>
      <c r="BE3417" s="10"/>
      <c r="BF3417" s="10"/>
      <c r="BG3417" s="10"/>
      <c r="BH3417" s="10"/>
      <c r="BI3417" s="10"/>
      <c r="BJ3417" s="10"/>
      <c r="BK3417" s="10"/>
      <c r="BM3417" s="10"/>
    </row>
    <row r="3418" spans="1:65" ht="12.75">
      <c r="A3418" s="9"/>
      <c r="B3418" s="10"/>
      <c r="C3418" s="11"/>
      <c r="D3418" s="12"/>
      <c r="E3418" s="10"/>
      <c r="F3418" s="10"/>
      <c r="G3418" s="10"/>
      <c r="H3418" s="14"/>
      <c r="I3418" s="14"/>
      <c r="J3418" s="14"/>
      <c r="K3418" s="14"/>
      <c r="L3418" s="14"/>
      <c r="M3418" s="15"/>
      <c r="N3418" s="10"/>
      <c r="O3418" s="14"/>
      <c r="P3418" s="14"/>
      <c r="Q3418" s="14"/>
      <c r="R3418" s="14"/>
      <c r="S3418" s="14"/>
      <c r="T3418" s="14"/>
      <c r="U3418" s="14"/>
      <c r="V3418" s="14"/>
      <c r="W3418" s="14"/>
      <c r="X3418" s="14"/>
      <c r="Y3418" s="14"/>
      <c r="Z3418" s="14"/>
      <c r="AA3418" s="16"/>
      <c r="AB3418" s="10"/>
      <c r="AC3418" s="10"/>
      <c r="AD3418" s="10"/>
      <c r="AE3418" s="10"/>
      <c r="AF3418" s="10"/>
      <c r="AG3418" s="10"/>
      <c r="AH3418" s="10"/>
      <c r="AI3418" s="10"/>
      <c r="AJ3418" s="10"/>
      <c r="AK3418" s="10"/>
      <c r="AL3418" s="10"/>
      <c r="AM3418" s="10"/>
      <c r="AN3418" s="10"/>
      <c r="AO3418" s="10"/>
      <c r="AP3418" s="10"/>
      <c r="AQ3418" s="10"/>
      <c r="AR3418" s="10"/>
      <c r="AS3418" s="10"/>
      <c r="AT3418" s="10"/>
      <c r="AU3418" s="10"/>
      <c r="AV3418" s="10"/>
      <c r="AW3418" s="10"/>
      <c r="AX3418" s="10"/>
      <c r="AY3418" s="10"/>
      <c r="AZ3418" s="10"/>
      <c r="BA3418" s="10"/>
      <c r="BB3418" s="10"/>
      <c r="BC3418" s="10"/>
      <c r="BD3418" s="10"/>
      <c r="BE3418" s="10"/>
      <c r="BF3418" s="10"/>
      <c r="BG3418" s="10"/>
      <c r="BH3418" s="10"/>
      <c r="BI3418" s="10"/>
      <c r="BJ3418" s="10"/>
      <c r="BK3418" s="10"/>
      <c r="BM3418" s="10"/>
    </row>
    <row r="3419" spans="1:65" ht="12.75">
      <c r="A3419" s="9"/>
      <c r="B3419" s="10"/>
      <c r="C3419" s="11"/>
      <c r="D3419" s="12"/>
      <c r="E3419" s="10"/>
      <c r="F3419" s="10"/>
      <c r="G3419" s="10"/>
      <c r="H3419" s="14"/>
      <c r="I3419" s="14"/>
      <c r="J3419" s="14"/>
      <c r="K3419" s="14"/>
      <c r="L3419" s="14"/>
      <c r="M3419" s="15"/>
      <c r="N3419" s="10"/>
      <c r="O3419" s="14"/>
      <c r="P3419" s="14"/>
      <c r="Q3419" s="14"/>
      <c r="R3419" s="14"/>
      <c r="S3419" s="14"/>
      <c r="T3419" s="14"/>
      <c r="U3419" s="14"/>
      <c r="V3419" s="14"/>
      <c r="W3419" s="14"/>
      <c r="X3419" s="14"/>
      <c r="Y3419" s="14"/>
      <c r="Z3419" s="14"/>
      <c r="AA3419" s="16"/>
      <c r="AB3419" s="10"/>
      <c r="AC3419" s="10"/>
      <c r="AD3419" s="10"/>
      <c r="AE3419" s="10"/>
      <c r="AF3419" s="10"/>
      <c r="AG3419" s="10"/>
      <c r="AH3419" s="10"/>
      <c r="AI3419" s="10"/>
      <c r="AJ3419" s="10"/>
      <c r="AK3419" s="10"/>
      <c r="AL3419" s="10"/>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0"/>
      <c r="BM3419" s="10"/>
    </row>
    <row r="3420" spans="1:65" ht="12.75">
      <c r="A3420" s="9"/>
      <c r="B3420" s="10"/>
      <c r="C3420" s="11"/>
      <c r="D3420" s="12"/>
      <c r="E3420" s="10"/>
      <c r="F3420" s="10"/>
      <c r="G3420" s="10"/>
      <c r="H3420" s="14"/>
      <c r="I3420" s="14"/>
      <c r="J3420" s="14"/>
      <c r="K3420" s="14"/>
      <c r="L3420" s="14"/>
      <c r="M3420" s="15"/>
      <c r="N3420" s="10"/>
      <c r="O3420" s="14"/>
      <c r="P3420" s="14"/>
      <c r="Q3420" s="14"/>
      <c r="R3420" s="14"/>
      <c r="S3420" s="14"/>
      <c r="T3420" s="14"/>
      <c r="U3420" s="14"/>
      <c r="V3420" s="14"/>
      <c r="W3420" s="14"/>
      <c r="X3420" s="14"/>
      <c r="Y3420" s="14"/>
      <c r="Z3420" s="14"/>
      <c r="AA3420" s="16"/>
      <c r="AB3420" s="10"/>
      <c r="AC3420" s="10"/>
      <c r="AD3420" s="10"/>
      <c r="AE3420" s="10"/>
      <c r="AF3420" s="10"/>
      <c r="AG3420" s="10"/>
      <c r="AH3420" s="10"/>
      <c r="AI3420" s="10"/>
      <c r="AJ3420" s="10"/>
      <c r="AK3420" s="10"/>
      <c r="AL3420" s="1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0"/>
      <c r="BM3420" s="10"/>
    </row>
    <row r="3421" spans="1:65" ht="12.75">
      <c r="A3421" s="9"/>
      <c r="B3421" s="10"/>
      <c r="C3421" s="11"/>
      <c r="D3421" s="12"/>
      <c r="E3421" s="10"/>
      <c r="F3421" s="10"/>
      <c r="G3421" s="10"/>
      <c r="H3421" s="14"/>
      <c r="I3421" s="14"/>
      <c r="J3421" s="14"/>
      <c r="K3421" s="14"/>
      <c r="L3421" s="14"/>
      <c r="M3421" s="15"/>
      <c r="N3421" s="10"/>
      <c r="O3421" s="14"/>
      <c r="P3421" s="14"/>
      <c r="Q3421" s="14"/>
      <c r="R3421" s="14"/>
      <c r="S3421" s="14"/>
      <c r="T3421" s="14"/>
      <c r="U3421" s="14"/>
      <c r="V3421" s="14"/>
      <c r="W3421" s="14"/>
      <c r="X3421" s="14"/>
      <c r="Y3421" s="14"/>
      <c r="Z3421" s="14"/>
      <c r="AA3421" s="16"/>
      <c r="AB3421" s="10"/>
      <c r="AC3421" s="10"/>
      <c r="AD3421" s="10"/>
      <c r="AE3421" s="10"/>
      <c r="AF3421" s="10"/>
      <c r="AG3421" s="10"/>
      <c r="AH3421" s="10"/>
      <c r="AI3421" s="10"/>
      <c r="AJ3421" s="10"/>
      <c r="AK3421" s="10"/>
      <c r="AL3421" s="10"/>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c r="BG3421" s="10"/>
      <c r="BH3421" s="10"/>
      <c r="BI3421" s="10"/>
      <c r="BJ3421" s="10"/>
      <c r="BK3421" s="10"/>
      <c r="BM3421" s="10"/>
    </row>
    <row r="3422" spans="1:65" ht="12.75">
      <c r="A3422" s="9"/>
      <c r="B3422" s="10"/>
      <c r="C3422" s="11"/>
      <c r="D3422" s="12"/>
      <c r="E3422" s="10"/>
      <c r="F3422" s="10"/>
      <c r="G3422" s="10"/>
      <c r="H3422" s="14"/>
      <c r="I3422" s="14"/>
      <c r="J3422" s="14"/>
      <c r="K3422" s="14"/>
      <c r="L3422" s="14"/>
      <c r="M3422" s="15"/>
      <c r="N3422" s="10"/>
      <c r="O3422" s="14"/>
      <c r="P3422" s="14"/>
      <c r="Q3422" s="14"/>
      <c r="R3422" s="14"/>
      <c r="S3422" s="14"/>
      <c r="T3422" s="14"/>
      <c r="U3422" s="14"/>
      <c r="V3422" s="14"/>
      <c r="W3422" s="14"/>
      <c r="X3422" s="14"/>
      <c r="Y3422" s="14"/>
      <c r="Z3422" s="14"/>
      <c r="AA3422" s="16"/>
      <c r="AB3422" s="10"/>
      <c r="AC3422" s="10"/>
      <c r="AD3422" s="10"/>
      <c r="AE3422" s="10"/>
      <c r="AF3422" s="10"/>
      <c r="AG3422" s="10"/>
      <c r="AH3422" s="10"/>
      <c r="AI3422" s="10"/>
      <c r="AJ3422" s="10"/>
      <c r="AK3422" s="10"/>
      <c r="AL3422" s="10"/>
      <c r="AM3422" s="10"/>
      <c r="AN3422" s="10"/>
      <c r="AO3422" s="10"/>
      <c r="AP3422" s="10"/>
      <c r="AQ3422" s="10"/>
      <c r="AR3422" s="10"/>
      <c r="AS3422" s="10"/>
      <c r="AT3422" s="10"/>
      <c r="AU3422" s="10"/>
      <c r="AV3422" s="10"/>
      <c r="AW3422" s="10"/>
      <c r="AX3422" s="10"/>
      <c r="AY3422" s="10"/>
      <c r="AZ3422" s="10"/>
      <c r="BA3422" s="10"/>
      <c r="BB3422" s="10"/>
      <c r="BC3422" s="10"/>
      <c r="BD3422" s="10"/>
      <c r="BE3422" s="10"/>
      <c r="BF3422" s="10"/>
      <c r="BG3422" s="10"/>
      <c r="BH3422" s="10"/>
      <c r="BI3422" s="10"/>
      <c r="BJ3422" s="10"/>
      <c r="BK3422" s="10"/>
      <c r="BM3422" s="10"/>
    </row>
    <row r="3423" spans="1:65" ht="12.75">
      <c r="A3423" s="9"/>
      <c r="B3423" s="10"/>
      <c r="C3423" s="11"/>
      <c r="D3423" s="12"/>
      <c r="E3423" s="10"/>
      <c r="F3423" s="10"/>
      <c r="G3423" s="10"/>
      <c r="H3423" s="14"/>
      <c r="I3423" s="14"/>
      <c r="J3423" s="14"/>
      <c r="K3423" s="14"/>
      <c r="L3423" s="14"/>
      <c r="M3423" s="15"/>
      <c r="N3423" s="10"/>
      <c r="O3423" s="14"/>
      <c r="P3423" s="14"/>
      <c r="Q3423" s="14"/>
      <c r="R3423" s="14"/>
      <c r="S3423" s="14"/>
      <c r="T3423" s="14"/>
      <c r="U3423" s="14"/>
      <c r="V3423" s="14"/>
      <c r="W3423" s="14"/>
      <c r="X3423" s="14"/>
      <c r="Y3423" s="14"/>
      <c r="Z3423" s="14"/>
      <c r="AA3423" s="16"/>
      <c r="AB3423" s="10"/>
      <c r="AC3423" s="10"/>
      <c r="AD3423" s="10"/>
      <c r="AE3423" s="10"/>
      <c r="AF3423" s="10"/>
      <c r="AG3423" s="10"/>
      <c r="AH3423" s="10"/>
      <c r="AI3423" s="10"/>
      <c r="AJ3423" s="10"/>
      <c r="AK3423" s="10"/>
      <c r="AL3423" s="10"/>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10"/>
      <c r="BK3423" s="10"/>
      <c r="BM3423" s="10"/>
    </row>
    <row r="3424" spans="1:65" ht="12.75">
      <c r="A3424" s="9"/>
      <c r="B3424" s="10"/>
      <c r="C3424" s="11"/>
      <c r="D3424" s="12"/>
      <c r="E3424" s="10"/>
      <c r="F3424" s="10"/>
      <c r="G3424" s="10"/>
      <c r="H3424" s="14"/>
      <c r="I3424" s="14"/>
      <c r="J3424" s="14"/>
      <c r="K3424" s="14"/>
      <c r="L3424" s="14"/>
      <c r="M3424" s="15"/>
      <c r="N3424" s="10"/>
      <c r="O3424" s="14"/>
      <c r="P3424" s="14"/>
      <c r="Q3424" s="14"/>
      <c r="R3424" s="14"/>
      <c r="S3424" s="14"/>
      <c r="T3424" s="14"/>
      <c r="U3424" s="14"/>
      <c r="V3424" s="14"/>
      <c r="W3424" s="14"/>
      <c r="X3424" s="14"/>
      <c r="Y3424" s="14"/>
      <c r="Z3424" s="14"/>
      <c r="AA3424" s="16"/>
      <c r="AB3424" s="10"/>
      <c r="AC3424" s="10"/>
      <c r="AD3424" s="10"/>
      <c r="AE3424" s="10"/>
      <c r="AF3424" s="10"/>
      <c r="AG3424" s="10"/>
      <c r="AH3424" s="10"/>
      <c r="AI3424" s="10"/>
      <c r="AJ3424" s="10"/>
      <c r="AK3424" s="10"/>
      <c r="AL3424" s="10"/>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c r="BI3424" s="10"/>
      <c r="BJ3424" s="10"/>
      <c r="BK3424" s="10"/>
      <c r="BM3424" s="10"/>
    </row>
    <row r="3425" spans="1:65" ht="12.75">
      <c r="A3425" s="9"/>
      <c r="B3425" s="10"/>
      <c r="C3425" s="11"/>
      <c r="D3425" s="12"/>
      <c r="E3425" s="10"/>
      <c r="F3425" s="10"/>
      <c r="G3425" s="10"/>
      <c r="H3425" s="14"/>
      <c r="I3425" s="14"/>
      <c r="J3425" s="14"/>
      <c r="K3425" s="14"/>
      <c r="L3425" s="14"/>
      <c r="M3425" s="15"/>
      <c r="N3425" s="10"/>
      <c r="O3425" s="14"/>
      <c r="P3425" s="14"/>
      <c r="Q3425" s="14"/>
      <c r="R3425" s="14"/>
      <c r="S3425" s="14"/>
      <c r="T3425" s="14"/>
      <c r="U3425" s="14"/>
      <c r="V3425" s="14"/>
      <c r="W3425" s="14"/>
      <c r="X3425" s="14"/>
      <c r="Y3425" s="14"/>
      <c r="Z3425" s="14"/>
      <c r="AA3425" s="16"/>
      <c r="AB3425" s="10"/>
      <c r="AC3425" s="10"/>
      <c r="AD3425" s="10"/>
      <c r="AE3425" s="10"/>
      <c r="AF3425" s="10"/>
      <c r="AG3425" s="10"/>
      <c r="AH3425" s="10"/>
      <c r="AI3425" s="10"/>
      <c r="AJ3425" s="10"/>
      <c r="AK3425" s="10"/>
      <c r="AL3425" s="10"/>
      <c r="AM3425" s="10"/>
      <c r="AN3425" s="10"/>
      <c r="AO3425" s="10"/>
      <c r="AP3425" s="10"/>
      <c r="AQ3425" s="10"/>
      <c r="AR3425" s="10"/>
      <c r="AS3425" s="10"/>
      <c r="AT3425" s="10"/>
      <c r="AU3425" s="10"/>
      <c r="AV3425" s="10"/>
      <c r="AW3425" s="10"/>
      <c r="AX3425" s="10"/>
      <c r="AY3425" s="10"/>
      <c r="AZ3425" s="10"/>
      <c r="BA3425" s="10"/>
      <c r="BB3425" s="10"/>
      <c r="BC3425" s="10"/>
      <c r="BD3425" s="10"/>
      <c r="BE3425" s="10"/>
      <c r="BF3425" s="10"/>
      <c r="BG3425" s="10"/>
      <c r="BH3425" s="10"/>
      <c r="BI3425" s="10"/>
      <c r="BJ3425" s="10"/>
      <c r="BK3425" s="10"/>
      <c r="BM3425" s="10"/>
    </row>
    <row r="3426" spans="1:65" ht="12.75">
      <c r="A3426" s="9"/>
      <c r="B3426" s="10"/>
      <c r="C3426" s="11"/>
      <c r="D3426" s="12"/>
      <c r="E3426" s="10"/>
      <c r="F3426" s="10"/>
      <c r="G3426" s="10"/>
      <c r="H3426" s="14"/>
      <c r="I3426" s="14"/>
      <c r="J3426" s="14"/>
      <c r="K3426" s="14"/>
      <c r="L3426" s="14"/>
      <c r="M3426" s="15"/>
      <c r="N3426" s="10"/>
      <c r="O3426" s="14"/>
      <c r="P3426" s="14"/>
      <c r="Q3426" s="14"/>
      <c r="R3426" s="14"/>
      <c r="S3426" s="14"/>
      <c r="T3426" s="14"/>
      <c r="U3426" s="14"/>
      <c r="V3426" s="14"/>
      <c r="W3426" s="14"/>
      <c r="X3426" s="14"/>
      <c r="Y3426" s="14"/>
      <c r="Z3426" s="14"/>
      <c r="AA3426" s="16"/>
      <c r="AB3426" s="10"/>
      <c r="AC3426" s="10"/>
      <c r="AD3426" s="10"/>
      <c r="AE3426" s="10"/>
      <c r="AF3426" s="10"/>
      <c r="AG3426" s="10"/>
      <c r="AH3426" s="10"/>
      <c r="AI3426" s="10"/>
      <c r="AJ3426" s="10"/>
      <c r="AK3426" s="10"/>
      <c r="AL3426" s="10"/>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0"/>
      <c r="BM3426" s="10"/>
    </row>
    <row r="3427" spans="1:65" ht="12.75">
      <c r="A3427" s="9"/>
      <c r="B3427" s="10"/>
      <c r="C3427" s="11"/>
      <c r="D3427" s="12"/>
      <c r="E3427" s="10"/>
      <c r="F3427" s="10"/>
      <c r="G3427" s="10"/>
      <c r="H3427" s="14"/>
      <c r="I3427" s="14"/>
      <c r="J3427" s="14"/>
      <c r="K3427" s="14"/>
      <c r="L3427" s="14"/>
      <c r="M3427" s="15"/>
      <c r="N3427" s="10"/>
      <c r="O3427" s="14"/>
      <c r="P3427" s="14"/>
      <c r="Q3427" s="14"/>
      <c r="R3427" s="14"/>
      <c r="S3427" s="14"/>
      <c r="T3427" s="14"/>
      <c r="U3427" s="14"/>
      <c r="V3427" s="14"/>
      <c r="W3427" s="14"/>
      <c r="X3427" s="14"/>
      <c r="Y3427" s="14"/>
      <c r="Z3427" s="14"/>
      <c r="AA3427" s="16"/>
      <c r="AB3427" s="10"/>
      <c r="AC3427" s="10"/>
      <c r="AD3427" s="10"/>
      <c r="AE3427" s="10"/>
      <c r="AF3427" s="10"/>
      <c r="AG3427" s="10"/>
      <c r="AH3427" s="10"/>
      <c r="AI3427" s="10"/>
      <c r="AJ3427" s="10"/>
      <c r="AK3427" s="10"/>
      <c r="AL3427" s="10"/>
      <c r="AM3427" s="10"/>
      <c r="AN3427" s="10"/>
      <c r="AO3427" s="10"/>
      <c r="AP3427" s="10"/>
      <c r="AQ3427" s="10"/>
      <c r="AR3427" s="10"/>
      <c r="AS3427" s="10"/>
      <c r="AT3427" s="10"/>
      <c r="AU3427" s="10"/>
      <c r="AV3427" s="10"/>
      <c r="AW3427" s="10"/>
      <c r="AX3427" s="10"/>
      <c r="AY3427" s="10"/>
      <c r="AZ3427" s="10"/>
      <c r="BA3427" s="10"/>
      <c r="BB3427" s="10"/>
      <c r="BC3427" s="10"/>
      <c r="BD3427" s="10"/>
      <c r="BE3427" s="10"/>
      <c r="BF3427" s="10"/>
      <c r="BG3427" s="10"/>
      <c r="BH3427" s="10"/>
      <c r="BI3427" s="10"/>
      <c r="BJ3427" s="10"/>
      <c r="BK3427" s="10"/>
      <c r="BM3427" s="10"/>
    </row>
    <row r="3428" spans="1:65" ht="12.75">
      <c r="A3428" s="9"/>
      <c r="B3428" s="10"/>
      <c r="C3428" s="11"/>
      <c r="D3428" s="12"/>
      <c r="E3428" s="10"/>
      <c r="F3428" s="10"/>
      <c r="G3428" s="10"/>
      <c r="H3428" s="14"/>
      <c r="I3428" s="14"/>
      <c r="J3428" s="14"/>
      <c r="K3428" s="14"/>
      <c r="L3428" s="14"/>
      <c r="M3428" s="15"/>
      <c r="N3428" s="10"/>
      <c r="O3428" s="14"/>
      <c r="P3428" s="14"/>
      <c r="Q3428" s="14"/>
      <c r="R3428" s="14"/>
      <c r="S3428" s="14"/>
      <c r="T3428" s="14"/>
      <c r="U3428" s="14"/>
      <c r="V3428" s="14"/>
      <c r="W3428" s="14"/>
      <c r="X3428" s="14"/>
      <c r="Y3428" s="14"/>
      <c r="Z3428" s="14"/>
      <c r="AA3428" s="16"/>
      <c r="AB3428" s="10"/>
      <c r="AC3428" s="10"/>
      <c r="AD3428" s="10"/>
      <c r="AE3428" s="10"/>
      <c r="AF3428" s="10"/>
      <c r="AG3428" s="10"/>
      <c r="AH3428" s="10"/>
      <c r="AI3428" s="10"/>
      <c r="AJ3428" s="10"/>
      <c r="AK3428" s="10"/>
      <c r="AL3428" s="1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0"/>
      <c r="BM3428" s="10"/>
    </row>
    <row r="3429" spans="1:65" ht="12.75">
      <c r="A3429" s="9"/>
      <c r="B3429" s="10"/>
      <c r="C3429" s="11"/>
      <c r="D3429" s="12"/>
      <c r="E3429" s="10"/>
      <c r="F3429" s="10"/>
      <c r="G3429" s="10"/>
      <c r="H3429" s="14"/>
      <c r="I3429" s="14"/>
      <c r="J3429" s="14"/>
      <c r="K3429" s="14"/>
      <c r="L3429" s="14"/>
      <c r="M3429" s="15"/>
      <c r="N3429" s="10"/>
      <c r="O3429" s="14"/>
      <c r="P3429" s="14"/>
      <c r="Q3429" s="14"/>
      <c r="R3429" s="14"/>
      <c r="S3429" s="14"/>
      <c r="T3429" s="14"/>
      <c r="U3429" s="14"/>
      <c r="V3429" s="14"/>
      <c r="W3429" s="14"/>
      <c r="X3429" s="14"/>
      <c r="Y3429" s="14"/>
      <c r="Z3429" s="14"/>
      <c r="AA3429" s="16"/>
      <c r="AB3429" s="10"/>
      <c r="AC3429" s="10"/>
      <c r="AD3429" s="10"/>
      <c r="AE3429" s="10"/>
      <c r="AF3429" s="10"/>
      <c r="AG3429" s="10"/>
      <c r="AH3429" s="10"/>
      <c r="AI3429" s="10"/>
      <c r="AJ3429" s="10"/>
      <c r="AK3429" s="10"/>
      <c r="AL3429" s="10"/>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c r="BI3429" s="10"/>
      <c r="BJ3429" s="10"/>
      <c r="BK3429" s="10"/>
      <c r="BM3429" s="10"/>
    </row>
    <row r="3430" spans="1:65" ht="12.75">
      <c r="A3430" s="9"/>
      <c r="B3430" s="10"/>
      <c r="C3430" s="11"/>
      <c r="D3430" s="12"/>
      <c r="E3430" s="10"/>
      <c r="F3430" s="10"/>
      <c r="G3430" s="10"/>
      <c r="H3430" s="14"/>
      <c r="I3430" s="14"/>
      <c r="J3430" s="14"/>
      <c r="K3430" s="14"/>
      <c r="L3430" s="14"/>
      <c r="M3430" s="15"/>
      <c r="N3430" s="10"/>
      <c r="O3430" s="14"/>
      <c r="P3430" s="14"/>
      <c r="Q3430" s="14"/>
      <c r="R3430" s="14"/>
      <c r="S3430" s="14"/>
      <c r="T3430" s="14"/>
      <c r="U3430" s="14"/>
      <c r="V3430" s="14"/>
      <c r="W3430" s="14"/>
      <c r="X3430" s="14"/>
      <c r="Y3430" s="14"/>
      <c r="Z3430" s="14"/>
      <c r="AA3430" s="16"/>
      <c r="AB3430" s="10"/>
      <c r="AC3430" s="10"/>
      <c r="AD3430" s="10"/>
      <c r="AE3430" s="10"/>
      <c r="AF3430" s="10"/>
      <c r="AG3430" s="10"/>
      <c r="AH3430" s="10"/>
      <c r="AI3430" s="10"/>
      <c r="AJ3430" s="10"/>
      <c r="AK3430" s="10"/>
      <c r="AL3430" s="10"/>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c r="BI3430" s="10"/>
      <c r="BJ3430" s="10"/>
      <c r="BK3430" s="10"/>
      <c r="BM3430" s="10"/>
    </row>
    <row r="3431" spans="1:65" ht="12.75">
      <c r="A3431" s="9"/>
      <c r="B3431" s="10"/>
      <c r="C3431" s="11"/>
      <c r="D3431" s="12"/>
      <c r="E3431" s="10"/>
      <c r="F3431" s="10"/>
      <c r="G3431" s="10"/>
      <c r="H3431" s="14"/>
      <c r="I3431" s="14"/>
      <c r="J3431" s="14"/>
      <c r="K3431" s="14"/>
      <c r="L3431" s="14"/>
      <c r="M3431" s="15"/>
      <c r="N3431" s="10"/>
      <c r="O3431" s="14"/>
      <c r="P3431" s="14"/>
      <c r="Q3431" s="14"/>
      <c r="R3431" s="14"/>
      <c r="S3431" s="14"/>
      <c r="T3431" s="14"/>
      <c r="U3431" s="14"/>
      <c r="V3431" s="14"/>
      <c r="W3431" s="14"/>
      <c r="X3431" s="14"/>
      <c r="Y3431" s="14"/>
      <c r="Z3431" s="14"/>
      <c r="AA3431" s="16"/>
      <c r="AB3431" s="10"/>
      <c r="AC3431" s="10"/>
      <c r="AD3431" s="10"/>
      <c r="AE3431" s="10"/>
      <c r="AF3431" s="10"/>
      <c r="AG3431" s="10"/>
      <c r="AH3431" s="10"/>
      <c r="AI3431" s="10"/>
      <c r="AJ3431" s="10"/>
      <c r="AK3431" s="10"/>
      <c r="AL3431" s="10"/>
      <c r="AM3431" s="10"/>
      <c r="AN3431" s="10"/>
      <c r="AO3431" s="10"/>
      <c r="AP3431" s="10"/>
      <c r="AQ3431" s="10"/>
      <c r="AR3431" s="10"/>
      <c r="AS3431" s="10"/>
      <c r="AT3431" s="10"/>
      <c r="AU3431" s="10"/>
      <c r="AV3431" s="10"/>
      <c r="AW3431" s="10"/>
      <c r="AX3431" s="10"/>
      <c r="AY3431" s="10"/>
      <c r="AZ3431" s="10"/>
      <c r="BA3431" s="10"/>
      <c r="BB3431" s="10"/>
      <c r="BC3431" s="10"/>
      <c r="BD3431" s="10"/>
      <c r="BE3431" s="10"/>
      <c r="BF3431" s="10"/>
      <c r="BG3431" s="10"/>
      <c r="BH3431" s="10"/>
      <c r="BI3431" s="10"/>
      <c r="BJ3431" s="10"/>
      <c r="BK3431" s="10"/>
      <c r="BM3431" s="10"/>
    </row>
    <row r="3432" spans="1:65" ht="12.75">
      <c r="A3432" s="9"/>
      <c r="B3432" s="10"/>
      <c r="C3432" s="11"/>
      <c r="D3432" s="12"/>
      <c r="E3432" s="10"/>
      <c r="F3432" s="10"/>
      <c r="G3432" s="10"/>
      <c r="H3432" s="14"/>
      <c r="I3432" s="14"/>
      <c r="J3432" s="14"/>
      <c r="K3432" s="14"/>
      <c r="L3432" s="14"/>
      <c r="M3432" s="15"/>
      <c r="N3432" s="10"/>
      <c r="O3432" s="14"/>
      <c r="P3432" s="14"/>
      <c r="Q3432" s="14"/>
      <c r="R3432" s="14"/>
      <c r="S3432" s="14"/>
      <c r="T3432" s="14"/>
      <c r="U3432" s="14"/>
      <c r="V3432" s="14"/>
      <c r="W3432" s="14"/>
      <c r="X3432" s="14"/>
      <c r="Y3432" s="14"/>
      <c r="Z3432" s="14"/>
      <c r="AA3432" s="16"/>
      <c r="AB3432" s="10"/>
      <c r="AC3432" s="10"/>
      <c r="AD3432" s="10"/>
      <c r="AE3432" s="10"/>
      <c r="AF3432" s="10"/>
      <c r="AG3432" s="10"/>
      <c r="AH3432" s="10"/>
      <c r="AI3432" s="10"/>
      <c r="AJ3432" s="10"/>
      <c r="AK3432" s="10"/>
      <c r="AL3432" s="10"/>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0"/>
      <c r="BM3432" s="10"/>
    </row>
    <row r="3433" spans="1:65" ht="12.75">
      <c r="A3433" s="9"/>
      <c r="B3433" s="10"/>
      <c r="C3433" s="11"/>
      <c r="D3433" s="12"/>
      <c r="E3433" s="10"/>
      <c r="F3433" s="10"/>
      <c r="G3433" s="10"/>
      <c r="H3433" s="14"/>
      <c r="I3433" s="14"/>
      <c r="J3433" s="14"/>
      <c r="K3433" s="14"/>
      <c r="L3433" s="14"/>
      <c r="M3433" s="15"/>
      <c r="N3433" s="10"/>
      <c r="O3433" s="14"/>
      <c r="P3433" s="14"/>
      <c r="Q3433" s="14"/>
      <c r="R3433" s="14"/>
      <c r="S3433" s="14"/>
      <c r="T3433" s="14"/>
      <c r="U3433" s="14"/>
      <c r="V3433" s="14"/>
      <c r="W3433" s="14"/>
      <c r="X3433" s="14"/>
      <c r="Y3433" s="14"/>
      <c r="Z3433" s="14"/>
      <c r="AA3433" s="16"/>
      <c r="AB3433" s="10"/>
      <c r="AC3433" s="10"/>
      <c r="AD3433" s="10"/>
      <c r="AE3433" s="10"/>
      <c r="AF3433" s="10"/>
      <c r="AG3433" s="10"/>
      <c r="AH3433" s="10"/>
      <c r="AI3433" s="10"/>
      <c r="AJ3433" s="10"/>
      <c r="AK3433" s="10"/>
      <c r="AL3433" s="10"/>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10"/>
      <c r="BK3433" s="10"/>
      <c r="BM3433" s="10"/>
    </row>
    <row r="3434" spans="1:65" ht="12.75">
      <c r="A3434" s="9"/>
      <c r="B3434" s="10"/>
      <c r="C3434" s="11"/>
      <c r="D3434" s="12"/>
      <c r="E3434" s="10"/>
      <c r="F3434" s="10"/>
      <c r="G3434" s="10"/>
      <c r="H3434" s="14"/>
      <c r="I3434" s="14"/>
      <c r="J3434" s="14"/>
      <c r="K3434" s="14"/>
      <c r="L3434" s="14"/>
      <c r="M3434" s="15"/>
      <c r="N3434" s="10"/>
      <c r="O3434" s="14"/>
      <c r="P3434" s="14"/>
      <c r="Q3434" s="14"/>
      <c r="R3434" s="14"/>
      <c r="S3434" s="14"/>
      <c r="T3434" s="14"/>
      <c r="U3434" s="14"/>
      <c r="V3434" s="14"/>
      <c r="W3434" s="14"/>
      <c r="X3434" s="14"/>
      <c r="Y3434" s="14"/>
      <c r="Z3434" s="14"/>
      <c r="AA3434" s="16"/>
      <c r="AB3434" s="10"/>
      <c r="AC3434" s="10"/>
      <c r="AD3434" s="10"/>
      <c r="AE3434" s="10"/>
      <c r="AF3434" s="10"/>
      <c r="AG3434" s="10"/>
      <c r="AH3434" s="10"/>
      <c r="AI3434" s="10"/>
      <c r="AJ3434" s="10"/>
      <c r="AK3434" s="10"/>
      <c r="AL3434" s="10"/>
      <c r="AM3434" s="10"/>
      <c r="AN3434" s="10"/>
      <c r="AO3434" s="10"/>
      <c r="AP3434" s="10"/>
      <c r="AQ3434" s="10"/>
      <c r="AR3434" s="10"/>
      <c r="AS3434" s="10"/>
      <c r="AT3434" s="10"/>
      <c r="AU3434" s="10"/>
      <c r="AV3434" s="10"/>
      <c r="AW3434" s="10"/>
      <c r="AX3434" s="10"/>
      <c r="AY3434" s="10"/>
      <c r="AZ3434" s="10"/>
      <c r="BA3434" s="10"/>
      <c r="BB3434" s="10"/>
      <c r="BC3434" s="10"/>
      <c r="BD3434" s="10"/>
      <c r="BE3434" s="10"/>
      <c r="BF3434" s="10"/>
      <c r="BG3434" s="10"/>
      <c r="BH3434" s="10"/>
      <c r="BI3434" s="10"/>
      <c r="BJ3434" s="10"/>
      <c r="BK3434" s="10"/>
      <c r="BM3434" s="10"/>
    </row>
    <row r="3435" spans="1:65" ht="12.75">
      <c r="A3435" s="9"/>
      <c r="B3435" s="10"/>
      <c r="C3435" s="11"/>
      <c r="D3435" s="12"/>
      <c r="E3435" s="10"/>
      <c r="F3435" s="10"/>
      <c r="G3435" s="10"/>
      <c r="H3435" s="14"/>
      <c r="I3435" s="14"/>
      <c r="J3435" s="14"/>
      <c r="K3435" s="14"/>
      <c r="L3435" s="14"/>
      <c r="M3435" s="15"/>
      <c r="N3435" s="10"/>
      <c r="O3435" s="14"/>
      <c r="P3435" s="14"/>
      <c r="Q3435" s="14"/>
      <c r="R3435" s="14"/>
      <c r="S3435" s="14"/>
      <c r="T3435" s="14"/>
      <c r="U3435" s="14"/>
      <c r="V3435" s="14"/>
      <c r="W3435" s="14"/>
      <c r="X3435" s="14"/>
      <c r="Y3435" s="14"/>
      <c r="Z3435" s="14"/>
      <c r="AA3435" s="16"/>
      <c r="AB3435" s="10"/>
      <c r="AC3435" s="10"/>
      <c r="AD3435" s="10"/>
      <c r="AE3435" s="10"/>
      <c r="AF3435" s="10"/>
      <c r="AG3435" s="10"/>
      <c r="AH3435" s="10"/>
      <c r="AI3435" s="10"/>
      <c r="AJ3435" s="10"/>
      <c r="AK3435" s="10"/>
      <c r="AL3435" s="10"/>
      <c r="AM3435" s="10"/>
      <c r="AN3435" s="10"/>
      <c r="AO3435" s="10"/>
      <c r="AP3435" s="10"/>
      <c r="AQ3435" s="10"/>
      <c r="AR3435" s="10"/>
      <c r="AS3435" s="10"/>
      <c r="AT3435" s="10"/>
      <c r="AU3435" s="10"/>
      <c r="AV3435" s="10"/>
      <c r="AW3435" s="10"/>
      <c r="AX3435" s="10"/>
      <c r="AY3435" s="10"/>
      <c r="AZ3435" s="10"/>
      <c r="BA3435" s="10"/>
      <c r="BB3435" s="10"/>
      <c r="BC3435" s="10"/>
      <c r="BD3435" s="10"/>
      <c r="BE3435" s="10"/>
      <c r="BF3435" s="10"/>
      <c r="BG3435" s="10"/>
      <c r="BH3435" s="10"/>
      <c r="BI3435" s="10"/>
      <c r="BJ3435" s="10"/>
      <c r="BK3435" s="10"/>
      <c r="BM3435" s="10"/>
    </row>
    <row r="3436" spans="1:65" ht="12.75">
      <c r="A3436" s="9"/>
      <c r="B3436" s="10"/>
      <c r="C3436" s="11"/>
      <c r="D3436" s="12"/>
      <c r="E3436" s="10"/>
      <c r="F3436" s="10"/>
      <c r="G3436" s="10"/>
      <c r="H3436" s="14"/>
      <c r="I3436" s="14"/>
      <c r="J3436" s="14"/>
      <c r="K3436" s="14"/>
      <c r="L3436" s="14"/>
      <c r="M3436" s="15"/>
      <c r="N3436" s="10"/>
      <c r="O3436" s="14"/>
      <c r="P3436" s="14"/>
      <c r="Q3436" s="14"/>
      <c r="R3436" s="14"/>
      <c r="S3436" s="14"/>
      <c r="T3436" s="14"/>
      <c r="U3436" s="14"/>
      <c r="V3436" s="14"/>
      <c r="W3436" s="14"/>
      <c r="X3436" s="14"/>
      <c r="Y3436" s="14"/>
      <c r="Z3436" s="14"/>
      <c r="AA3436" s="16"/>
      <c r="AB3436" s="10"/>
      <c r="AC3436" s="10"/>
      <c r="AD3436" s="10"/>
      <c r="AE3436" s="10"/>
      <c r="AF3436" s="10"/>
      <c r="AG3436" s="10"/>
      <c r="AH3436" s="10"/>
      <c r="AI3436" s="10"/>
      <c r="AJ3436" s="10"/>
      <c r="AK3436" s="10"/>
      <c r="AL3436" s="10"/>
      <c r="AM3436" s="10"/>
      <c r="AN3436" s="10"/>
      <c r="AO3436" s="10"/>
      <c r="AP3436" s="10"/>
      <c r="AQ3436" s="10"/>
      <c r="AR3436" s="10"/>
      <c r="AS3436" s="10"/>
      <c r="AT3436" s="10"/>
      <c r="AU3436" s="10"/>
      <c r="AV3436" s="10"/>
      <c r="AW3436" s="10"/>
      <c r="AX3436" s="10"/>
      <c r="AY3436" s="10"/>
      <c r="AZ3436" s="10"/>
      <c r="BA3436" s="10"/>
      <c r="BB3436" s="10"/>
      <c r="BC3436" s="10"/>
      <c r="BD3436" s="10"/>
      <c r="BE3436" s="10"/>
      <c r="BF3436" s="10"/>
      <c r="BG3436" s="10"/>
      <c r="BH3436" s="10"/>
      <c r="BI3436" s="10"/>
      <c r="BJ3436" s="10"/>
      <c r="BK3436" s="10"/>
      <c r="BM3436" s="10"/>
    </row>
    <row r="3437" spans="1:65" ht="12.75">
      <c r="A3437" s="9"/>
      <c r="B3437" s="10"/>
      <c r="C3437" s="11"/>
      <c r="D3437" s="12"/>
      <c r="E3437" s="10"/>
      <c r="F3437" s="10"/>
      <c r="G3437" s="10"/>
      <c r="H3437" s="14"/>
      <c r="I3437" s="14"/>
      <c r="J3437" s="14"/>
      <c r="K3437" s="14"/>
      <c r="L3437" s="14"/>
      <c r="M3437" s="15"/>
      <c r="N3437" s="10"/>
      <c r="O3437" s="14"/>
      <c r="P3437" s="14"/>
      <c r="Q3437" s="14"/>
      <c r="R3437" s="14"/>
      <c r="S3437" s="14"/>
      <c r="T3437" s="14"/>
      <c r="U3437" s="14"/>
      <c r="V3437" s="14"/>
      <c r="W3437" s="14"/>
      <c r="X3437" s="14"/>
      <c r="Y3437" s="14"/>
      <c r="Z3437" s="14"/>
      <c r="AA3437" s="16"/>
      <c r="AB3437" s="10"/>
      <c r="AC3437" s="10"/>
      <c r="AD3437" s="10"/>
      <c r="AE3437" s="10"/>
      <c r="AF3437" s="10"/>
      <c r="AG3437" s="10"/>
      <c r="AH3437" s="10"/>
      <c r="AI3437" s="10"/>
      <c r="AJ3437" s="10"/>
      <c r="AK3437" s="10"/>
      <c r="AL3437" s="10"/>
      <c r="AM3437" s="10"/>
      <c r="AN3437" s="10"/>
      <c r="AO3437" s="10"/>
      <c r="AP3437" s="10"/>
      <c r="AQ3437" s="10"/>
      <c r="AR3437" s="10"/>
      <c r="AS3437" s="10"/>
      <c r="AT3437" s="10"/>
      <c r="AU3437" s="10"/>
      <c r="AV3437" s="10"/>
      <c r="AW3437" s="10"/>
      <c r="AX3437" s="10"/>
      <c r="AY3437" s="10"/>
      <c r="AZ3437" s="10"/>
      <c r="BA3437" s="10"/>
      <c r="BB3437" s="10"/>
      <c r="BC3437" s="10"/>
      <c r="BD3437" s="10"/>
      <c r="BE3437" s="10"/>
      <c r="BF3437" s="10"/>
      <c r="BG3437" s="10"/>
      <c r="BH3437" s="10"/>
      <c r="BI3437" s="10"/>
      <c r="BJ3437" s="10"/>
      <c r="BK3437" s="10"/>
      <c r="BM3437" s="10"/>
    </row>
    <row r="3438" spans="1:65" ht="12.75">
      <c r="A3438" s="9"/>
      <c r="B3438" s="10"/>
      <c r="C3438" s="11"/>
      <c r="D3438" s="12"/>
      <c r="E3438" s="10"/>
      <c r="F3438" s="10"/>
      <c r="G3438" s="10"/>
      <c r="H3438" s="14"/>
      <c r="I3438" s="14"/>
      <c r="J3438" s="14"/>
      <c r="K3438" s="14"/>
      <c r="L3438" s="14"/>
      <c r="M3438" s="15"/>
      <c r="N3438" s="10"/>
      <c r="O3438" s="14"/>
      <c r="P3438" s="14"/>
      <c r="Q3438" s="14"/>
      <c r="R3438" s="14"/>
      <c r="S3438" s="14"/>
      <c r="T3438" s="14"/>
      <c r="U3438" s="14"/>
      <c r="V3438" s="14"/>
      <c r="W3438" s="14"/>
      <c r="X3438" s="14"/>
      <c r="Y3438" s="14"/>
      <c r="Z3438" s="14"/>
      <c r="AA3438" s="16"/>
      <c r="AB3438" s="10"/>
      <c r="AC3438" s="10"/>
      <c r="AD3438" s="10"/>
      <c r="AE3438" s="10"/>
      <c r="AF3438" s="10"/>
      <c r="AG3438" s="10"/>
      <c r="AH3438" s="10"/>
      <c r="AI3438" s="10"/>
      <c r="AJ3438" s="10"/>
      <c r="AK3438" s="10"/>
      <c r="AL3438" s="10"/>
      <c r="AM3438" s="10"/>
      <c r="AN3438" s="10"/>
      <c r="AO3438" s="10"/>
      <c r="AP3438" s="10"/>
      <c r="AQ3438" s="10"/>
      <c r="AR3438" s="10"/>
      <c r="AS3438" s="10"/>
      <c r="AT3438" s="10"/>
      <c r="AU3438" s="10"/>
      <c r="AV3438" s="10"/>
      <c r="AW3438" s="10"/>
      <c r="AX3438" s="10"/>
      <c r="AY3438" s="10"/>
      <c r="AZ3438" s="10"/>
      <c r="BA3438" s="10"/>
      <c r="BB3438" s="10"/>
      <c r="BC3438" s="10"/>
      <c r="BD3438" s="10"/>
      <c r="BE3438" s="10"/>
      <c r="BF3438" s="10"/>
      <c r="BG3438" s="10"/>
      <c r="BH3438" s="10"/>
      <c r="BI3438" s="10"/>
      <c r="BJ3438" s="10"/>
      <c r="BK3438" s="10"/>
      <c r="BM3438" s="10"/>
    </row>
    <row r="3439" spans="1:65" ht="12.75">
      <c r="A3439" s="9"/>
      <c r="B3439" s="10"/>
      <c r="C3439" s="11"/>
      <c r="D3439" s="12"/>
      <c r="E3439" s="10"/>
      <c r="F3439" s="10"/>
      <c r="G3439" s="10"/>
      <c r="H3439" s="14"/>
      <c r="I3439" s="14"/>
      <c r="J3439" s="14"/>
      <c r="K3439" s="14"/>
      <c r="L3439" s="14"/>
      <c r="M3439" s="15"/>
      <c r="N3439" s="10"/>
      <c r="O3439" s="14"/>
      <c r="P3439" s="14"/>
      <c r="Q3439" s="14"/>
      <c r="R3439" s="14"/>
      <c r="S3439" s="14"/>
      <c r="T3439" s="14"/>
      <c r="U3439" s="14"/>
      <c r="V3439" s="14"/>
      <c r="W3439" s="14"/>
      <c r="X3439" s="14"/>
      <c r="Y3439" s="14"/>
      <c r="Z3439" s="14"/>
      <c r="AA3439" s="16"/>
      <c r="AB3439" s="10"/>
      <c r="AC3439" s="10"/>
      <c r="AD3439" s="10"/>
      <c r="AE3439" s="10"/>
      <c r="AF3439" s="10"/>
      <c r="AG3439" s="10"/>
      <c r="AH3439" s="10"/>
      <c r="AI3439" s="10"/>
      <c r="AJ3439" s="10"/>
      <c r="AK3439" s="10"/>
      <c r="AL3439" s="10"/>
      <c r="AM3439" s="10"/>
      <c r="AN3439" s="10"/>
      <c r="AO3439" s="10"/>
      <c r="AP3439" s="10"/>
      <c r="AQ3439" s="10"/>
      <c r="AR3439" s="10"/>
      <c r="AS3439" s="10"/>
      <c r="AT3439" s="10"/>
      <c r="AU3439" s="10"/>
      <c r="AV3439" s="10"/>
      <c r="AW3439" s="10"/>
      <c r="AX3439" s="10"/>
      <c r="AY3439" s="10"/>
      <c r="AZ3439" s="10"/>
      <c r="BA3439" s="10"/>
      <c r="BB3439" s="10"/>
      <c r="BC3439" s="10"/>
      <c r="BD3439" s="10"/>
      <c r="BE3439" s="10"/>
      <c r="BF3439" s="10"/>
      <c r="BG3439" s="10"/>
      <c r="BH3439" s="10"/>
      <c r="BI3439" s="10"/>
      <c r="BJ3439" s="10"/>
      <c r="BK3439" s="10"/>
      <c r="BM3439" s="10"/>
    </row>
    <row r="3440" spans="1:65" ht="12.75">
      <c r="A3440" s="9"/>
      <c r="B3440" s="10"/>
      <c r="C3440" s="11"/>
      <c r="D3440" s="12"/>
      <c r="E3440" s="10"/>
      <c r="F3440" s="10"/>
      <c r="G3440" s="10"/>
      <c r="H3440" s="14"/>
      <c r="I3440" s="14"/>
      <c r="J3440" s="14"/>
      <c r="K3440" s="14"/>
      <c r="L3440" s="14"/>
      <c r="M3440" s="15"/>
      <c r="N3440" s="10"/>
      <c r="O3440" s="14"/>
      <c r="P3440" s="14"/>
      <c r="Q3440" s="14"/>
      <c r="R3440" s="14"/>
      <c r="S3440" s="14"/>
      <c r="T3440" s="14"/>
      <c r="U3440" s="14"/>
      <c r="V3440" s="14"/>
      <c r="W3440" s="14"/>
      <c r="X3440" s="14"/>
      <c r="Y3440" s="14"/>
      <c r="Z3440" s="14"/>
      <c r="AA3440" s="16"/>
      <c r="AB3440" s="10"/>
      <c r="AC3440" s="10"/>
      <c r="AD3440" s="10"/>
      <c r="AE3440" s="10"/>
      <c r="AF3440" s="10"/>
      <c r="AG3440" s="10"/>
      <c r="AH3440" s="10"/>
      <c r="AI3440" s="10"/>
      <c r="AJ3440" s="10"/>
      <c r="AK3440" s="10"/>
      <c r="AL3440" s="10"/>
      <c r="AM3440" s="10"/>
      <c r="AN3440" s="10"/>
      <c r="AO3440" s="10"/>
      <c r="AP3440" s="10"/>
      <c r="AQ3440" s="10"/>
      <c r="AR3440" s="10"/>
      <c r="AS3440" s="10"/>
      <c r="AT3440" s="10"/>
      <c r="AU3440" s="10"/>
      <c r="AV3440" s="10"/>
      <c r="AW3440" s="10"/>
      <c r="AX3440" s="10"/>
      <c r="AY3440" s="10"/>
      <c r="AZ3440" s="10"/>
      <c r="BA3440" s="10"/>
      <c r="BB3440" s="10"/>
      <c r="BC3440" s="10"/>
      <c r="BD3440" s="10"/>
      <c r="BE3440" s="10"/>
      <c r="BF3440" s="10"/>
      <c r="BG3440" s="10"/>
      <c r="BH3440" s="10"/>
      <c r="BI3440" s="10"/>
      <c r="BJ3440" s="10"/>
      <c r="BK3440" s="10"/>
      <c r="BM3440" s="10"/>
    </row>
    <row r="3441" spans="1:65" ht="12.75">
      <c r="A3441" s="9"/>
      <c r="B3441" s="10"/>
      <c r="C3441" s="11"/>
      <c r="D3441" s="12"/>
      <c r="E3441" s="10"/>
      <c r="F3441" s="10"/>
      <c r="G3441" s="10"/>
      <c r="H3441" s="14"/>
      <c r="I3441" s="14"/>
      <c r="J3441" s="14"/>
      <c r="K3441" s="14"/>
      <c r="L3441" s="14"/>
      <c r="M3441" s="15"/>
      <c r="N3441" s="10"/>
      <c r="O3441" s="14"/>
      <c r="P3441" s="14"/>
      <c r="Q3441" s="14"/>
      <c r="R3441" s="14"/>
      <c r="S3441" s="14"/>
      <c r="T3441" s="14"/>
      <c r="U3441" s="14"/>
      <c r="V3441" s="14"/>
      <c r="W3441" s="14"/>
      <c r="X3441" s="14"/>
      <c r="Y3441" s="14"/>
      <c r="Z3441" s="14"/>
      <c r="AA3441" s="16"/>
      <c r="AB3441" s="10"/>
      <c r="AC3441" s="10"/>
      <c r="AD3441" s="10"/>
      <c r="AE3441" s="10"/>
      <c r="AF3441" s="10"/>
      <c r="AG3441" s="10"/>
      <c r="AH3441" s="10"/>
      <c r="AI3441" s="10"/>
      <c r="AJ3441" s="10"/>
      <c r="AK3441" s="10"/>
      <c r="AL3441" s="10"/>
      <c r="AM3441" s="10"/>
      <c r="AN3441" s="10"/>
      <c r="AO3441" s="10"/>
      <c r="AP3441" s="10"/>
      <c r="AQ3441" s="10"/>
      <c r="AR3441" s="10"/>
      <c r="AS3441" s="10"/>
      <c r="AT3441" s="10"/>
      <c r="AU3441" s="10"/>
      <c r="AV3441" s="10"/>
      <c r="AW3441" s="10"/>
      <c r="AX3441" s="10"/>
      <c r="AY3441" s="10"/>
      <c r="AZ3441" s="10"/>
      <c r="BA3441" s="10"/>
      <c r="BB3441" s="10"/>
      <c r="BC3441" s="10"/>
      <c r="BD3441" s="10"/>
      <c r="BE3441" s="10"/>
      <c r="BF3441" s="10"/>
      <c r="BG3441" s="10"/>
      <c r="BH3441" s="10"/>
      <c r="BI3441" s="10"/>
      <c r="BJ3441" s="10"/>
      <c r="BK3441" s="10"/>
      <c r="BM3441" s="10"/>
    </row>
    <row r="3442" spans="1:65" ht="12.75">
      <c r="A3442" s="9"/>
      <c r="B3442" s="10"/>
      <c r="C3442" s="11"/>
      <c r="D3442" s="12"/>
      <c r="E3442" s="10"/>
      <c r="F3442" s="10"/>
      <c r="G3442" s="10"/>
      <c r="H3442" s="14"/>
      <c r="I3442" s="14"/>
      <c r="J3442" s="14"/>
      <c r="K3442" s="14"/>
      <c r="L3442" s="14"/>
      <c r="M3442" s="15"/>
      <c r="N3442" s="10"/>
      <c r="O3442" s="14"/>
      <c r="P3442" s="14"/>
      <c r="Q3442" s="14"/>
      <c r="R3442" s="14"/>
      <c r="S3442" s="14"/>
      <c r="T3442" s="14"/>
      <c r="U3442" s="14"/>
      <c r="V3442" s="14"/>
      <c r="W3442" s="14"/>
      <c r="X3442" s="14"/>
      <c r="Y3442" s="14"/>
      <c r="Z3442" s="14"/>
      <c r="AA3442" s="16"/>
      <c r="AB3442" s="10"/>
      <c r="AC3442" s="10"/>
      <c r="AD3442" s="10"/>
      <c r="AE3442" s="10"/>
      <c r="AF3442" s="10"/>
      <c r="AG3442" s="10"/>
      <c r="AH3442" s="10"/>
      <c r="AI3442" s="10"/>
      <c r="AJ3442" s="10"/>
      <c r="AK3442" s="10"/>
      <c r="AL3442" s="10"/>
      <c r="AM3442" s="10"/>
      <c r="AN3442" s="10"/>
      <c r="AO3442" s="10"/>
      <c r="AP3442" s="10"/>
      <c r="AQ3442" s="10"/>
      <c r="AR3442" s="10"/>
      <c r="AS3442" s="10"/>
      <c r="AT3442" s="10"/>
      <c r="AU3442" s="10"/>
      <c r="AV3442" s="10"/>
      <c r="AW3442" s="10"/>
      <c r="AX3442" s="10"/>
      <c r="AY3442" s="10"/>
      <c r="AZ3442" s="10"/>
      <c r="BA3442" s="10"/>
      <c r="BB3442" s="10"/>
      <c r="BC3442" s="10"/>
      <c r="BD3442" s="10"/>
      <c r="BE3442" s="10"/>
      <c r="BF3442" s="10"/>
      <c r="BG3442" s="10"/>
      <c r="BH3442" s="10"/>
      <c r="BI3442" s="10"/>
      <c r="BJ3442" s="10"/>
      <c r="BK3442" s="10"/>
      <c r="BM3442" s="10"/>
    </row>
    <row r="3443" spans="1:65" ht="12.75">
      <c r="A3443" s="9"/>
      <c r="B3443" s="10"/>
      <c r="C3443" s="11"/>
      <c r="D3443" s="12"/>
      <c r="E3443" s="10"/>
      <c r="F3443" s="10"/>
      <c r="G3443" s="10"/>
      <c r="H3443" s="14"/>
      <c r="I3443" s="14"/>
      <c r="J3443" s="14"/>
      <c r="K3443" s="14"/>
      <c r="L3443" s="14"/>
      <c r="M3443" s="15"/>
      <c r="N3443" s="10"/>
      <c r="O3443" s="14"/>
      <c r="P3443" s="14"/>
      <c r="Q3443" s="14"/>
      <c r="R3443" s="14"/>
      <c r="S3443" s="14"/>
      <c r="T3443" s="14"/>
      <c r="U3443" s="14"/>
      <c r="V3443" s="14"/>
      <c r="W3443" s="14"/>
      <c r="X3443" s="14"/>
      <c r="Y3443" s="14"/>
      <c r="Z3443" s="14"/>
      <c r="AA3443" s="16"/>
      <c r="AB3443" s="10"/>
      <c r="AC3443" s="10"/>
      <c r="AD3443" s="10"/>
      <c r="AE3443" s="10"/>
      <c r="AF3443" s="10"/>
      <c r="AG3443" s="10"/>
      <c r="AH3443" s="10"/>
      <c r="AI3443" s="10"/>
      <c r="AJ3443" s="10"/>
      <c r="AK3443" s="10"/>
      <c r="AL3443" s="10"/>
      <c r="AM3443" s="10"/>
      <c r="AN3443" s="10"/>
      <c r="AO3443" s="10"/>
      <c r="AP3443" s="10"/>
      <c r="AQ3443" s="10"/>
      <c r="AR3443" s="10"/>
      <c r="AS3443" s="10"/>
      <c r="AT3443" s="10"/>
      <c r="AU3443" s="10"/>
      <c r="AV3443" s="10"/>
      <c r="AW3443" s="10"/>
      <c r="AX3443" s="10"/>
      <c r="AY3443" s="10"/>
      <c r="AZ3443" s="10"/>
      <c r="BA3443" s="10"/>
      <c r="BB3443" s="10"/>
      <c r="BC3443" s="10"/>
      <c r="BD3443" s="10"/>
      <c r="BE3443" s="10"/>
      <c r="BF3443" s="10"/>
      <c r="BG3443" s="10"/>
      <c r="BH3443" s="10"/>
      <c r="BI3443" s="10"/>
      <c r="BJ3443" s="10"/>
      <c r="BK3443" s="10"/>
      <c r="BM3443" s="10"/>
    </row>
    <row r="3444" spans="1:65" ht="12.75">
      <c r="A3444" s="9"/>
      <c r="B3444" s="10"/>
      <c r="C3444" s="11"/>
      <c r="D3444" s="12"/>
      <c r="E3444" s="10"/>
      <c r="F3444" s="10"/>
      <c r="G3444" s="10"/>
      <c r="H3444" s="14"/>
      <c r="I3444" s="14"/>
      <c r="J3444" s="14"/>
      <c r="K3444" s="14"/>
      <c r="L3444" s="14"/>
      <c r="M3444" s="15"/>
      <c r="N3444" s="10"/>
      <c r="O3444" s="14"/>
      <c r="P3444" s="14"/>
      <c r="Q3444" s="14"/>
      <c r="R3444" s="14"/>
      <c r="S3444" s="14"/>
      <c r="T3444" s="14"/>
      <c r="U3444" s="14"/>
      <c r="V3444" s="14"/>
      <c r="W3444" s="14"/>
      <c r="X3444" s="14"/>
      <c r="Y3444" s="14"/>
      <c r="Z3444" s="14"/>
      <c r="AA3444" s="16"/>
      <c r="AB3444" s="10"/>
      <c r="AC3444" s="10"/>
      <c r="AD3444" s="10"/>
      <c r="AE3444" s="10"/>
      <c r="AF3444" s="10"/>
      <c r="AG3444" s="10"/>
      <c r="AH3444" s="10"/>
      <c r="AI3444" s="10"/>
      <c r="AJ3444" s="10"/>
      <c r="AK3444" s="10"/>
      <c r="AL3444" s="10"/>
      <c r="AM3444" s="10"/>
      <c r="AN3444" s="10"/>
      <c r="AO3444" s="10"/>
      <c r="AP3444" s="10"/>
      <c r="AQ3444" s="10"/>
      <c r="AR3444" s="10"/>
      <c r="AS3444" s="10"/>
      <c r="AT3444" s="10"/>
      <c r="AU3444" s="10"/>
      <c r="AV3444" s="10"/>
      <c r="AW3444" s="10"/>
      <c r="AX3444" s="10"/>
      <c r="AY3444" s="10"/>
      <c r="AZ3444" s="10"/>
      <c r="BA3444" s="10"/>
      <c r="BB3444" s="10"/>
      <c r="BC3444" s="10"/>
      <c r="BD3444" s="10"/>
      <c r="BE3444" s="10"/>
      <c r="BF3444" s="10"/>
      <c r="BG3444" s="10"/>
      <c r="BH3444" s="10"/>
      <c r="BI3444" s="10"/>
      <c r="BJ3444" s="10"/>
      <c r="BK3444" s="10"/>
      <c r="BM3444" s="10"/>
    </row>
    <row r="3445" spans="1:65" ht="12.75">
      <c r="A3445" s="9"/>
      <c r="B3445" s="10"/>
      <c r="C3445" s="11"/>
      <c r="D3445" s="12"/>
      <c r="E3445" s="10"/>
      <c r="F3445" s="10"/>
      <c r="G3445" s="10"/>
      <c r="H3445" s="14"/>
      <c r="I3445" s="14"/>
      <c r="J3445" s="14"/>
      <c r="K3445" s="14"/>
      <c r="L3445" s="14"/>
      <c r="M3445" s="15"/>
      <c r="N3445" s="10"/>
      <c r="O3445" s="14"/>
      <c r="P3445" s="14"/>
      <c r="Q3445" s="14"/>
      <c r="R3445" s="14"/>
      <c r="S3445" s="14"/>
      <c r="T3445" s="14"/>
      <c r="U3445" s="14"/>
      <c r="V3445" s="14"/>
      <c r="W3445" s="14"/>
      <c r="X3445" s="14"/>
      <c r="Y3445" s="14"/>
      <c r="Z3445" s="14"/>
      <c r="AA3445" s="16"/>
      <c r="AB3445" s="10"/>
      <c r="AC3445" s="10"/>
      <c r="AD3445" s="10"/>
      <c r="AE3445" s="10"/>
      <c r="AF3445" s="10"/>
      <c r="AG3445" s="10"/>
      <c r="AH3445" s="10"/>
      <c r="AI3445" s="10"/>
      <c r="AJ3445" s="10"/>
      <c r="AK3445" s="10"/>
      <c r="AL3445" s="10"/>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c r="BI3445" s="10"/>
      <c r="BJ3445" s="10"/>
      <c r="BK3445" s="10"/>
      <c r="BM3445" s="10"/>
    </row>
    <row r="3446" spans="1:65" ht="12.75">
      <c r="A3446" s="9"/>
      <c r="B3446" s="10"/>
      <c r="C3446" s="11"/>
      <c r="D3446" s="12"/>
      <c r="E3446" s="10"/>
      <c r="F3446" s="10"/>
      <c r="G3446" s="10"/>
      <c r="H3446" s="14"/>
      <c r="I3446" s="14"/>
      <c r="J3446" s="14"/>
      <c r="K3446" s="14"/>
      <c r="L3446" s="14"/>
      <c r="M3446" s="15"/>
      <c r="N3446" s="10"/>
      <c r="O3446" s="14"/>
      <c r="P3446" s="14"/>
      <c r="Q3446" s="14"/>
      <c r="R3446" s="14"/>
      <c r="S3446" s="14"/>
      <c r="T3446" s="14"/>
      <c r="U3446" s="14"/>
      <c r="V3446" s="14"/>
      <c r="W3446" s="14"/>
      <c r="X3446" s="14"/>
      <c r="Y3446" s="14"/>
      <c r="Z3446" s="14"/>
      <c r="AA3446" s="16"/>
      <c r="AB3446" s="10"/>
      <c r="AC3446" s="10"/>
      <c r="AD3446" s="10"/>
      <c r="AE3446" s="10"/>
      <c r="AF3446" s="10"/>
      <c r="AG3446" s="10"/>
      <c r="AH3446" s="10"/>
      <c r="AI3446" s="10"/>
      <c r="AJ3446" s="10"/>
      <c r="AK3446" s="10"/>
      <c r="AL3446" s="10"/>
      <c r="AM3446" s="10"/>
      <c r="AN3446" s="10"/>
      <c r="AO3446" s="10"/>
      <c r="AP3446" s="10"/>
      <c r="AQ3446" s="10"/>
      <c r="AR3446" s="10"/>
      <c r="AS3446" s="10"/>
      <c r="AT3446" s="10"/>
      <c r="AU3446" s="10"/>
      <c r="AV3446" s="10"/>
      <c r="AW3446" s="10"/>
      <c r="AX3446" s="10"/>
      <c r="AY3446" s="10"/>
      <c r="AZ3446" s="10"/>
      <c r="BA3446" s="10"/>
      <c r="BB3446" s="10"/>
      <c r="BC3446" s="10"/>
      <c r="BD3446" s="10"/>
      <c r="BE3446" s="10"/>
      <c r="BF3446" s="10"/>
      <c r="BG3446" s="10"/>
      <c r="BH3446" s="10"/>
      <c r="BI3446" s="10"/>
      <c r="BJ3446" s="10"/>
      <c r="BK3446" s="10"/>
      <c r="BM3446" s="10"/>
    </row>
    <row r="3447" spans="1:65" ht="12.75">
      <c r="A3447" s="9"/>
      <c r="B3447" s="10"/>
      <c r="C3447" s="11"/>
      <c r="D3447" s="12"/>
      <c r="E3447" s="10"/>
      <c r="F3447" s="10"/>
      <c r="G3447" s="10"/>
      <c r="H3447" s="14"/>
      <c r="I3447" s="14"/>
      <c r="J3447" s="14"/>
      <c r="K3447" s="14"/>
      <c r="L3447" s="14"/>
      <c r="M3447" s="15"/>
      <c r="N3447" s="10"/>
      <c r="O3447" s="14"/>
      <c r="P3447" s="14"/>
      <c r="Q3447" s="14"/>
      <c r="R3447" s="14"/>
      <c r="S3447" s="14"/>
      <c r="T3447" s="14"/>
      <c r="U3447" s="14"/>
      <c r="V3447" s="14"/>
      <c r="W3447" s="14"/>
      <c r="X3447" s="14"/>
      <c r="Y3447" s="14"/>
      <c r="Z3447" s="14"/>
      <c r="AA3447" s="16"/>
      <c r="AB3447" s="10"/>
      <c r="AC3447" s="10"/>
      <c r="AD3447" s="10"/>
      <c r="AE3447" s="10"/>
      <c r="AF3447" s="10"/>
      <c r="AG3447" s="10"/>
      <c r="AH3447" s="10"/>
      <c r="AI3447" s="10"/>
      <c r="AJ3447" s="10"/>
      <c r="AK3447" s="10"/>
      <c r="AL3447" s="10"/>
      <c r="AM3447" s="10"/>
      <c r="AN3447" s="10"/>
      <c r="AO3447" s="10"/>
      <c r="AP3447" s="10"/>
      <c r="AQ3447" s="10"/>
      <c r="AR3447" s="10"/>
      <c r="AS3447" s="10"/>
      <c r="AT3447" s="10"/>
      <c r="AU3447" s="10"/>
      <c r="AV3447" s="10"/>
      <c r="AW3447" s="10"/>
      <c r="AX3447" s="10"/>
      <c r="AY3447" s="10"/>
      <c r="AZ3447" s="10"/>
      <c r="BA3447" s="10"/>
      <c r="BB3447" s="10"/>
      <c r="BC3447" s="10"/>
      <c r="BD3447" s="10"/>
      <c r="BE3447" s="10"/>
      <c r="BF3447" s="10"/>
      <c r="BG3447" s="10"/>
      <c r="BH3447" s="10"/>
      <c r="BI3447" s="10"/>
      <c r="BJ3447" s="10"/>
      <c r="BK3447" s="10"/>
      <c r="BM3447" s="10"/>
    </row>
    <row r="3448" spans="1:65" ht="12.75">
      <c r="A3448" s="9"/>
      <c r="B3448" s="10"/>
      <c r="C3448" s="11"/>
      <c r="D3448" s="12"/>
      <c r="E3448" s="10"/>
      <c r="F3448" s="10"/>
      <c r="G3448" s="10"/>
      <c r="H3448" s="14"/>
      <c r="I3448" s="14"/>
      <c r="J3448" s="14"/>
      <c r="K3448" s="14"/>
      <c r="L3448" s="14"/>
      <c r="M3448" s="15"/>
      <c r="N3448" s="10"/>
      <c r="O3448" s="14"/>
      <c r="P3448" s="14"/>
      <c r="Q3448" s="14"/>
      <c r="R3448" s="14"/>
      <c r="S3448" s="14"/>
      <c r="T3448" s="14"/>
      <c r="U3448" s="14"/>
      <c r="V3448" s="14"/>
      <c r="W3448" s="14"/>
      <c r="X3448" s="14"/>
      <c r="Y3448" s="14"/>
      <c r="Z3448" s="14"/>
      <c r="AA3448" s="16"/>
      <c r="AB3448" s="10"/>
      <c r="AC3448" s="10"/>
      <c r="AD3448" s="10"/>
      <c r="AE3448" s="10"/>
      <c r="AF3448" s="10"/>
      <c r="AG3448" s="10"/>
      <c r="AH3448" s="10"/>
      <c r="AI3448" s="10"/>
      <c r="AJ3448" s="10"/>
      <c r="AK3448" s="10"/>
      <c r="AL3448" s="10"/>
      <c r="AM3448" s="10"/>
      <c r="AN3448" s="10"/>
      <c r="AO3448" s="10"/>
      <c r="AP3448" s="10"/>
      <c r="AQ3448" s="10"/>
      <c r="AR3448" s="10"/>
      <c r="AS3448" s="10"/>
      <c r="AT3448" s="10"/>
      <c r="AU3448" s="10"/>
      <c r="AV3448" s="10"/>
      <c r="AW3448" s="10"/>
      <c r="AX3448" s="10"/>
      <c r="AY3448" s="10"/>
      <c r="AZ3448" s="10"/>
      <c r="BA3448" s="10"/>
      <c r="BB3448" s="10"/>
      <c r="BC3448" s="10"/>
      <c r="BD3448" s="10"/>
      <c r="BE3448" s="10"/>
      <c r="BF3448" s="10"/>
      <c r="BG3448" s="10"/>
      <c r="BH3448" s="10"/>
      <c r="BI3448" s="10"/>
      <c r="BJ3448" s="10"/>
      <c r="BK3448" s="10"/>
      <c r="BM3448" s="10"/>
    </row>
    <row r="3449" spans="1:65" ht="12.75">
      <c r="A3449" s="9"/>
      <c r="B3449" s="10"/>
      <c r="C3449" s="11"/>
      <c r="D3449" s="12"/>
      <c r="E3449" s="10"/>
      <c r="F3449" s="10"/>
      <c r="G3449" s="10"/>
      <c r="H3449" s="14"/>
      <c r="I3449" s="14"/>
      <c r="J3449" s="14"/>
      <c r="K3449" s="14"/>
      <c r="L3449" s="14"/>
      <c r="M3449" s="15"/>
      <c r="N3449" s="10"/>
      <c r="O3449" s="14"/>
      <c r="P3449" s="14"/>
      <c r="Q3449" s="14"/>
      <c r="R3449" s="14"/>
      <c r="S3449" s="14"/>
      <c r="T3449" s="14"/>
      <c r="U3449" s="14"/>
      <c r="V3449" s="14"/>
      <c r="W3449" s="14"/>
      <c r="X3449" s="14"/>
      <c r="Y3449" s="14"/>
      <c r="Z3449" s="14"/>
      <c r="AA3449" s="16"/>
      <c r="AB3449" s="10"/>
      <c r="AC3449" s="10"/>
      <c r="AD3449" s="10"/>
      <c r="AE3449" s="10"/>
      <c r="AF3449" s="10"/>
      <c r="AG3449" s="10"/>
      <c r="AH3449" s="10"/>
      <c r="AI3449" s="10"/>
      <c r="AJ3449" s="10"/>
      <c r="AK3449" s="10"/>
      <c r="AL3449" s="10"/>
      <c r="AM3449" s="10"/>
      <c r="AN3449" s="10"/>
      <c r="AO3449" s="10"/>
      <c r="AP3449" s="10"/>
      <c r="AQ3449" s="10"/>
      <c r="AR3449" s="10"/>
      <c r="AS3449" s="10"/>
      <c r="AT3449" s="10"/>
      <c r="AU3449" s="10"/>
      <c r="AV3449" s="10"/>
      <c r="AW3449" s="10"/>
      <c r="AX3449" s="10"/>
      <c r="AY3449" s="10"/>
      <c r="AZ3449" s="10"/>
      <c r="BA3449" s="10"/>
      <c r="BB3449" s="10"/>
      <c r="BC3449" s="10"/>
      <c r="BD3449" s="10"/>
      <c r="BE3449" s="10"/>
      <c r="BF3449" s="10"/>
      <c r="BG3449" s="10"/>
      <c r="BH3449" s="10"/>
      <c r="BI3449" s="10"/>
      <c r="BJ3449" s="10"/>
      <c r="BK3449" s="10"/>
      <c r="BM3449" s="10"/>
    </row>
    <row r="3450" spans="1:65" ht="12.75">
      <c r="A3450" s="9"/>
      <c r="B3450" s="10"/>
      <c r="C3450" s="11"/>
      <c r="D3450" s="12"/>
      <c r="E3450" s="10"/>
      <c r="F3450" s="10"/>
      <c r="G3450" s="10"/>
      <c r="H3450" s="14"/>
      <c r="I3450" s="14"/>
      <c r="J3450" s="14"/>
      <c r="K3450" s="14"/>
      <c r="L3450" s="14"/>
      <c r="M3450" s="15"/>
      <c r="N3450" s="10"/>
      <c r="O3450" s="14"/>
      <c r="P3450" s="14"/>
      <c r="Q3450" s="14"/>
      <c r="R3450" s="14"/>
      <c r="S3450" s="14"/>
      <c r="T3450" s="14"/>
      <c r="U3450" s="14"/>
      <c r="V3450" s="14"/>
      <c r="W3450" s="14"/>
      <c r="X3450" s="14"/>
      <c r="Y3450" s="14"/>
      <c r="Z3450" s="14"/>
      <c r="AA3450" s="16"/>
      <c r="AB3450" s="10"/>
      <c r="AC3450" s="10"/>
      <c r="AD3450" s="10"/>
      <c r="AE3450" s="10"/>
      <c r="AF3450" s="10"/>
      <c r="AG3450" s="10"/>
      <c r="AH3450" s="10"/>
      <c r="AI3450" s="10"/>
      <c r="AJ3450" s="10"/>
      <c r="AK3450" s="10"/>
      <c r="AL3450" s="10"/>
      <c r="AM3450" s="10"/>
      <c r="AN3450" s="10"/>
      <c r="AO3450" s="10"/>
      <c r="AP3450" s="10"/>
      <c r="AQ3450" s="10"/>
      <c r="AR3450" s="10"/>
      <c r="AS3450" s="10"/>
      <c r="AT3450" s="10"/>
      <c r="AU3450" s="10"/>
      <c r="AV3450" s="10"/>
      <c r="AW3450" s="10"/>
      <c r="AX3450" s="10"/>
      <c r="AY3450" s="10"/>
      <c r="AZ3450" s="10"/>
      <c r="BA3450" s="10"/>
      <c r="BB3450" s="10"/>
      <c r="BC3450" s="10"/>
      <c r="BD3450" s="10"/>
      <c r="BE3450" s="10"/>
      <c r="BF3450" s="10"/>
      <c r="BG3450" s="10"/>
      <c r="BH3450" s="10"/>
      <c r="BI3450" s="10"/>
      <c r="BJ3450" s="10"/>
      <c r="BK3450" s="10"/>
      <c r="BM3450" s="10"/>
    </row>
    <row r="3451" spans="1:65" ht="12.75">
      <c r="A3451" s="9"/>
      <c r="B3451" s="10"/>
      <c r="C3451" s="11"/>
      <c r="D3451" s="12"/>
      <c r="E3451" s="10"/>
      <c r="F3451" s="10"/>
      <c r="G3451" s="10"/>
      <c r="H3451" s="14"/>
      <c r="I3451" s="14"/>
      <c r="J3451" s="14"/>
      <c r="K3451" s="14"/>
      <c r="L3451" s="14"/>
      <c r="M3451" s="15"/>
      <c r="N3451" s="10"/>
      <c r="O3451" s="14"/>
      <c r="P3451" s="14"/>
      <c r="Q3451" s="14"/>
      <c r="R3451" s="14"/>
      <c r="S3451" s="14"/>
      <c r="T3451" s="14"/>
      <c r="U3451" s="14"/>
      <c r="V3451" s="14"/>
      <c r="W3451" s="14"/>
      <c r="X3451" s="14"/>
      <c r="Y3451" s="14"/>
      <c r="Z3451" s="14"/>
      <c r="AA3451" s="16"/>
      <c r="AB3451" s="10"/>
      <c r="AC3451" s="10"/>
      <c r="AD3451" s="10"/>
      <c r="AE3451" s="10"/>
      <c r="AF3451" s="10"/>
      <c r="AG3451" s="10"/>
      <c r="AH3451" s="10"/>
      <c r="AI3451" s="10"/>
      <c r="AJ3451" s="10"/>
      <c r="AK3451" s="10"/>
      <c r="AL3451" s="10"/>
      <c r="AM3451" s="10"/>
      <c r="AN3451" s="10"/>
      <c r="AO3451" s="10"/>
      <c r="AP3451" s="10"/>
      <c r="AQ3451" s="10"/>
      <c r="AR3451" s="10"/>
      <c r="AS3451" s="10"/>
      <c r="AT3451" s="10"/>
      <c r="AU3451" s="10"/>
      <c r="AV3451" s="10"/>
      <c r="AW3451" s="10"/>
      <c r="AX3451" s="10"/>
      <c r="AY3451" s="10"/>
      <c r="AZ3451" s="10"/>
      <c r="BA3451" s="10"/>
      <c r="BB3451" s="10"/>
      <c r="BC3451" s="10"/>
      <c r="BD3451" s="10"/>
      <c r="BE3451" s="10"/>
      <c r="BF3451" s="10"/>
      <c r="BG3451" s="10"/>
      <c r="BH3451" s="10"/>
      <c r="BI3451" s="10"/>
      <c r="BJ3451" s="10"/>
      <c r="BK3451" s="10"/>
      <c r="BM3451" s="10"/>
    </row>
    <row r="3452" spans="1:65" ht="12.75">
      <c r="A3452" s="9"/>
      <c r="B3452" s="10"/>
      <c r="C3452" s="11"/>
      <c r="D3452" s="12"/>
      <c r="E3452" s="10"/>
      <c r="F3452" s="10"/>
      <c r="G3452" s="10"/>
      <c r="H3452" s="14"/>
      <c r="I3452" s="14"/>
      <c r="J3452" s="14"/>
      <c r="K3452" s="14"/>
      <c r="L3452" s="14"/>
      <c r="M3452" s="15"/>
      <c r="N3452" s="10"/>
      <c r="O3452" s="14"/>
      <c r="P3452" s="14"/>
      <c r="Q3452" s="14"/>
      <c r="R3452" s="14"/>
      <c r="S3452" s="14"/>
      <c r="T3452" s="14"/>
      <c r="U3452" s="14"/>
      <c r="V3452" s="14"/>
      <c r="W3452" s="14"/>
      <c r="X3452" s="14"/>
      <c r="Y3452" s="14"/>
      <c r="Z3452" s="14"/>
      <c r="AA3452" s="16"/>
      <c r="AB3452" s="10"/>
      <c r="AC3452" s="10"/>
      <c r="AD3452" s="10"/>
      <c r="AE3452" s="10"/>
      <c r="AF3452" s="10"/>
      <c r="AG3452" s="10"/>
      <c r="AH3452" s="10"/>
      <c r="AI3452" s="10"/>
      <c r="AJ3452" s="10"/>
      <c r="AK3452" s="10"/>
      <c r="AL3452" s="10"/>
      <c r="AM3452" s="10"/>
      <c r="AN3452" s="10"/>
      <c r="AO3452" s="10"/>
      <c r="AP3452" s="10"/>
      <c r="AQ3452" s="10"/>
      <c r="AR3452" s="10"/>
      <c r="AS3452" s="10"/>
      <c r="AT3452" s="10"/>
      <c r="AU3452" s="10"/>
      <c r="AV3452" s="10"/>
      <c r="AW3452" s="10"/>
      <c r="AX3452" s="10"/>
      <c r="AY3452" s="10"/>
      <c r="AZ3452" s="10"/>
      <c r="BA3452" s="10"/>
      <c r="BB3452" s="10"/>
      <c r="BC3452" s="10"/>
      <c r="BD3452" s="10"/>
      <c r="BE3452" s="10"/>
      <c r="BF3452" s="10"/>
      <c r="BG3452" s="10"/>
      <c r="BH3452" s="10"/>
      <c r="BI3452" s="10"/>
      <c r="BJ3452" s="10"/>
      <c r="BK3452" s="10"/>
      <c r="BM3452" s="10"/>
    </row>
    <row r="3453" spans="1:65" ht="12.75">
      <c r="A3453" s="9"/>
      <c r="B3453" s="10"/>
      <c r="C3453" s="11"/>
      <c r="D3453" s="12"/>
      <c r="E3453" s="10"/>
      <c r="F3453" s="10"/>
      <c r="G3453" s="10"/>
      <c r="H3453" s="14"/>
      <c r="I3453" s="14"/>
      <c r="J3453" s="14"/>
      <c r="K3453" s="14"/>
      <c r="L3453" s="14"/>
      <c r="M3453" s="15"/>
      <c r="N3453" s="10"/>
      <c r="O3453" s="14"/>
      <c r="P3453" s="14"/>
      <c r="Q3453" s="14"/>
      <c r="R3453" s="14"/>
      <c r="S3453" s="14"/>
      <c r="T3453" s="14"/>
      <c r="U3453" s="14"/>
      <c r="V3453" s="14"/>
      <c r="W3453" s="14"/>
      <c r="X3453" s="14"/>
      <c r="Y3453" s="14"/>
      <c r="Z3453" s="14"/>
      <c r="AA3453" s="16"/>
      <c r="AB3453" s="10"/>
      <c r="AC3453" s="10"/>
      <c r="AD3453" s="10"/>
      <c r="AE3453" s="10"/>
      <c r="AF3453" s="10"/>
      <c r="AG3453" s="10"/>
      <c r="AH3453" s="10"/>
      <c r="AI3453" s="10"/>
      <c r="AJ3453" s="10"/>
      <c r="AK3453" s="10"/>
      <c r="AL3453" s="10"/>
      <c r="AM3453" s="10"/>
      <c r="AN3453" s="10"/>
      <c r="AO3453" s="10"/>
      <c r="AP3453" s="10"/>
      <c r="AQ3453" s="10"/>
      <c r="AR3453" s="10"/>
      <c r="AS3453" s="10"/>
      <c r="AT3453" s="10"/>
      <c r="AU3453" s="10"/>
      <c r="AV3453" s="10"/>
      <c r="AW3453" s="10"/>
      <c r="AX3453" s="10"/>
      <c r="AY3453" s="10"/>
      <c r="AZ3453" s="10"/>
      <c r="BA3453" s="10"/>
      <c r="BB3453" s="10"/>
      <c r="BC3453" s="10"/>
      <c r="BD3453" s="10"/>
      <c r="BE3453" s="10"/>
      <c r="BF3453" s="10"/>
      <c r="BG3453" s="10"/>
      <c r="BH3453" s="10"/>
      <c r="BI3453" s="10"/>
      <c r="BJ3453" s="10"/>
      <c r="BK3453" s="10"/>
      <c r="BM3453" s="10"/>
    </row>
    <row r="3454" spans="1:65" ht="12.75">
      <c r="A3454" s="9"/>
      <c r="B3454" s="10"/>
      <c r="C3454" s="11"/>
      <c r="D3454" s="12"/>
      <c r="E3454" s="10"/>
      <c r="F3454" s="10"/>
      <c r="G3454" s="10"/>
      <c r="H3454" s="14"/>
      <c r="I3454" s="14"/>
      <c r="J3454" s="14"/>
      <c r="K3454" s="14"/>
      <c r="L3454" s="14"/>
      <c r="M3454" s="15"/>
      <c r="N3454" s="10"/>
      <c r="O3454" s="14"/>
      <c r="P3454" s="14"/>
      <c r="Q3454" s="14"/>
      <c r="R3454" s="14"/>
      <c r="S3454" s="14"/>
      <c r="T3454" s="14"/>
      <c r="U3454" s="14"/>
      <c r="V3454" s="14"/>
      <c r="W3454" s="14"/>
      <c r="X3454" s="14"/>
      <c r="Y3454" s="14"/>
      <c r="Z3454" s="14"/>
      <c r="AA3454" s="16"/>
      <c r="AB3454" s="10"/>
      <c r="AC3454" s="10"/>
      <c r="AD3454" s="10"/>
      <c r="AE3454" s="10"/>
      <c r="AF3454" s="10"/>
      <c r="AG3454" s="10"/>
      <c r="AH3454" s="10"/>
      <c r="AI3454" s="10"/>
      <c r="AJ3454" s="10"/>
      <c r="AK3454" s="10"/>
      <c r="AL3454" s="10"/>
      <c r="AM3454" s="10"/>
      <c r="AN3454" s="10"/>
      <c r="AO3454" s="10"/>
      <c r="AP3454" s="10"/>
      <c r="AQ3454" s="10"/>
      <c r="AR3454" s="10"/>
      <c r="AS3454" s="10"/>
      <c r="AT3454" s="10"/>
      <c r="AU3454" s="10"/>
      <c r="AV3454" s="10"/>
      <c r="AW3454" s="10"/>
      <c r="AX3454" s="10"/>
      <c r="AY3454" s="10"/>
      <c r="AZ3454" s="10"/>
      <c r="BA3454" s="10"/>
      <c r="BB3454" s="10"/>
      <c r="BC3454" s="10"/>
      <c r="BD3454" s="10"/>
      <c r="BE3454" s="10"/>
      <c r="BF3454" s="10"/>
      <c r="BG3454" s="10"/>
      <c r="BH3454" s="10"/>
      <c r="BI3454" s="10"/>
      <c r="BJ3454" s="10"/>
      <c r="BK3454" s="10"/>
      <c r="BM3454" s="10"/>
    </row>
    <row r="3455" spans="1:65" ht="12.75">
      <c r="A3455" s="9"/>
      <c r="B3455" s="10"/>
      <c r="C3455" s="11"/>
      <c r="D3455" s="12"/>
      <c r="E3455" s="10"/>
      <c r="F3455" s="10"/>
      <c r="G3455" s="10"/>
      <c r="H3455" s="14"/>
      <c r="I3455" s="14"/>
      <c r="J3455" s="14"/>
      <c r="K3455" s="14"/>
      <c r="L3455" s="14"/>
      <c r="M3455" s="15"/>
      <c r="N3455" s="10"/>
      <c r="O3455" s="14"/>
      <c r="P3455" s="14"/>
      <c r="Q3455" s="14"/>
      <c r="R3455" s="14"/>
      <c r="S3455" s="14"/>
      <c r="T3455" s="14"/>
      <c r="U3455" s="14"/>
      <c r="V3455" s="14"/>
      <c r="W3455" s="14"/>
      <c r="X3455" s="14"/>
      <c r="Y3455" s="14"/>
      <c r="Z3455" s="14"/>
      <c r="AA3455" s="16"/>
      <c r="AB3455" s="10"/>
      <c r="AC3455" s="10"/>
      <c r="AD3455" s="10"/>
      <c r="AE3455" s="10"/>
      <c r="AF3455" s="10"/>
      <c r="AG3455" s="10"/>
      <c r="AH3455" s="10"/>
      <c r="AI3455" s="10"/>
      <c r="AJ3455" s="10"/>
      <c r="AK3455" s="10"/>
      <c r="AL3455" s="10"/>
      <c r="AM3455" s="10"/>
      <c r="AN3455" s="10"/>
      <c r="AO3455" s="10"/>
      <c r="AP3455" s="10"/>
      <c r="AQ3455" s="10"/>
      <c r="AR3455" s="10"/>
      <c r="AS3455" s="10"/>
      <c r="AT3455" s="10"/>
      <c r="AU3455" s="10"/>
      <c r="AV3455" s="10"/>
      <c r="AW3455" s="10"/>
      <c r="AX3455" s="10"/>
      <c r="AY3455" s="10"/>
      <c r="AZ3455" s="10"/>
      <c r="BA3455" s="10"/>
      <c r="BB3455" s="10"/>
      <c r="BC3455" s="10"/>
      <c r="BD3455" s="10"/>
      <c r="BE3455" s="10"/>
      <c r="BF3455" s="10"/>
      <c r="BG3455" s="10"/>
      <c r="BH3455" s="10"/>
      <c r="BI3455" s="10"/>
      <c r="BJ3455" s="10"/>
      <c r="BK3455" s="10"/>
      <c r="BM3455" s="10"/>
    </row>
    <row r="3456" spans="1:65" ht="12.75">
      <c r="A3456" s="9"/>
      <c r="B3456" s="10"/>
      <c r="C3456" s="11"/>
      <c r="D3456" s="12"/>
      <c r="E3456" s="10"/>
      <c r="F3456" s="10"/>
      <c r="G3456" s="10"/>
      <c r="H3456" s="14"/>
      <c r="I3456" s="14"/>
      <c r="J3456" s="14"/>
      <c r="K3456" s="14"/>
      <c r="L3456" s="14"/>
      <c r="M3456" s="15"/>
      <c r="N3456" s="10"/>
      <c r="O3456" s="14"/>
      <c r="P3456" s="14"/>
      <c r="Q3456" s="14"/>
      <c r="R3456" s="14"/>
      <c r="S3456" s="14"/>
      <c r="T3456" s="14"/>
      <c r="U3456" s="14"/>
      <c r="V3456" s="14"/>
      <c r="W3456" s="14"/>
      <c r="X3456" s="14"/>
      <c r="Y3456" s="14"/>
      <c r="Z3456" s="14"/>
      <c r="AA3456" s="16"/>
      <c r="AB3456" s="10"/>
      <c r="AC3456" s="10"/>
      <c r="AD3456" s="10"/>
      <c r="AE3456" s="10"/>
      <c r="AF3456" s="10"/>
      <c r="AG3456" s="10"/>
      <c r="AH3456" s="10"/>
      <c r="AI3456" s="10"/>
      <c r="AJ3456" s="10"/>
      <c r="AK3456" s="10"/>
      <c r="AL3456" s="10"/>
      <c r="AM3456" s="10"/>
      <c r="AN3456" s="10"/>
      <c r="AO3456" s="10"/>
      <c r="AP3456" s="10"/>
      <c r="AQ3456" s="10"/>
      <c r="AR3456" s="10"/>
      <c r="AS3456" s="10"/>
      <c r="AT3456" s="10"/>
      <c r="AU3456" s="10"/>
      <c r="AV3456" s="10"/>
      <c r="AW3456" s="10"/>
      <c r="AX3456" s="10"/>
      <c r="AY3456" s="10"/>
      <c r="AZ3456" s="10"/>
      <c r="BA3456" s="10"/>
      <c r="BB3456" s="10"/>
      <c r="BC3456" s="10"/>
      <c r="BD3456" s="10"/>
      <c r="BE3456" s="10"/>
      <c r="BF3456" s="10"/>
      <c r="BG3456" s="10"/>
      <c r="BH3456" s="10"/>
      <c r="BI3456" s="10"/>
      <c r="BJ3456" s="10"/>
      <c r="BK3456" s="10"/>
      <c r="BM3456" s="10"/>
    </row>
    <row r="3457" spans="1:65" ht="12.75">
      <c r="A3457" s="9"/>
      <c r="B3457" s="10"/>
      <c r="C3457" s="11"/>
      <c r="D3457" s="12"/>
      <c r="E3457" s="10"/>
      <c r="F3457" s="10"/>
      <c r="G3457" s="10"/>
      <c r="H3457" s="14"/>
      <c r="I3457" s="14"/>
      <c r="J3457" s="14"/>
      <c r="K3457" s="14"/>
      <c r="L3457" s="14"/>
      <c r="M3457" s="15"/>
      <c r="N3457" s="10"/>
      <c r="O3457" s="14"/>
      <c r="P3457" s="14"/>
      <c r="Q3457" s="14"/>
      <c r="R3457" s="14"/>
      <c r="S3457" s="14"/>
      <c r="T3457" s="14"/>
      <c r="U3457" s="14"/>
      <c r="V3457" s="14"/>
      <c r="W3457" s="14"/>
      <c r="X3457" s="14"/>
      <c r="Y3457" s="14"/>
      <c r="Z3457" s="14"/>
      <c r="AA3457" s="16"/>
      <c r="AB3457" s="10"/>
      <c r="AC3457" s="10"/>
      <c r="AD3457" s="10"/>
      <c r="AE3457" s="10"/>
      <c r="AF3457" s="10"/>
      <c r="AG3457" s="10"/>
      <c r="AH3457" s="10"/>
      <c r="AI3457" s="10"/>
      <c r="AJ3457" s="10"/>
      <c r="AK3457" s="10"/>
      <c r="AL3457" s="10"/>
      <c r="AM3457" s="10"/>
      <c r="AN3457" s="10"/>
      <c r="AO3457" s="10"/>
      <c r="AP3457" s="10"/>
      <c r="AQ3457" s="10"/>
      <c r="AR3457" s="10"/>
      <c r="AS3457" s="10"/>
      <c r="AT3457" s="10"/>
      <c r="AU3457" s="10"/>
      <c r="AV3457" s="10"/>
      <c r="AW3457" s="10"/>
      <c r="AX3457" s="10"/>
      <c r="AY3457" s="10"/>
      <c r="AZ3457" s="10"/>
      <c r="BA3457" s="10"/>
      <c r="BB3457" s="10"/>
      <c r="BC3457" s="10"/>
      <c r="BD3457" s="10"/>
      <c r="BE3457" s="10"/>
      <c r="BF3457" s="10"/>
      <c r="BG3457" s="10"/>
      <c r="BH3457" s="10"/>
      <c r="BI3457" s="10"/>
      <c r="BJ3457" s="10"/>
      <c r="BK3457" s="10"/>
      <c r="BM3457" s="10"/>
    </row>
    <row r="3458" spans="1:65" ht="12.75">
      <c r="A3458" s="9"/>
      <c r="B3458" s="10"/>
      <c r="C3458" s="11"/>
      <c r="D3458" s="12"/>
      <c r="E3458" s="10"/>
      <c r="F3458" s="10"/>
      <c r="G3458" s="10"/>
      <c r="H3458" s="14"/>
      <c r="I3458" s="14"/>
      <c r="J3458" s="14"/>
      <c r="K3458" s="14"/>
      <c r="L3458" s="14"/>
      <c r="M3458" s="15"/>
      <c r="N3458" s="10"/>
      <c r="O3458" s="14"/>
      <c r="P3458" s="14"/>
      <c r="Q3458" s="14"/>
      <c r="R3458" s="14"/>
      <c r="S3458" s="14"/>
      <c r="T3458" s="14"/>
      <c r="U3458" s="14"/>
      <c r="V3458" s="14"/>
      <c r="W3458" s="14"/>
      <c r="X3458" s="14"/>
      <c r="Y3458" s="14"/>
      <c r="Z3458" s="14"/>
      <c r="AA3458" s="16"/>
      <c r="AB3458" s="10"/>
      <c r="AC3458" s="10"/>
      <c r="AD3458" s="10"/>
      <c r="AE3458" s="10"/>
      <c r="AF3458" s="10"/>
      <c r="AG3458" s="10"/>
      <c r="AH3458" s="10"/>
      <c r="AI3458" s="10"/>
      <c r="AJ3458" s="10"/>
      <c r="AK3458" s="10"/>
      <c r="AL3458" s="10"/>
      <c r="AM3458" s="10"/>
      <c r="AN3458" s="10"/>
      <c r="AO3458" s="10"/>
      <c r="AP3458" s="10"/>
      <c r="AQ3458" s="10"/>
      <c r="AR3458" s="10"/>
      <c r="AS3458" s="10"/>
      <c r="AT3458" s="10"/>
      <c r="AU3458" s="10"/>
      <c r="AV3458" s="10"/>
      <c r="AW3458" s="10"/>
      <c r="AX3458" s="10"/>
      <c r="AY3458" s="10"/>
      <c r="AZ3458" s="10"/>
      <c r="BA3458" s="10"/>
      <c r="BB3458" s="10"/>
      <c r="BC3458" s="10"/>
      <c r="BD3458" s="10"/>
      <c r="BE3458" s="10"/>
      <c r="BF3458" s="10"/>
      <c r="BG3458" s="10"/>
      <c r="BH3458" s="10"/>
      <c r="BI3458" s="10"/>
      <c r="BJ3458" s="10"/>
      <c r="BK3458" s="10"/>
      <c r="BM3458" s="10"/>
    </row>
    <row r="3459" spans="1:65" ht="12.75">
      <c r="A3459" s="9"/>
      <c r="B3459" s="10"/>
      <c r="C3459" s="11"/>
      <c r="D3459" s="12"/>
      <c r="E3459" s="10"/>
      <c r="F3459" s="10"/>
      <c r="G3459" s="10"/>
      <c r="H3459" s="14"/>
      <c r="I3459" s="14"/>
      <c r="J3459" s="14"/>
      <c r="K3459" s="14"/>
      <c r="L3459" s="14"/>
      <c r="M3459" s="15"/>
      <c r="N3459" s="10"/>
      <c r="O3459" s="14"/>
      <c r="P3459" s="14"/>
      <c r="Q3459" s="14"/>
      <c r="R3459" s="14"/>
      <c r="S3459" s="14"/>
      <c r="T3459" s="14"/>
      <c r="U3459" s="14"/>
      <c r="V3459" s="14"/>
      <c r="W3459" s="14"/>
      <c r="X3459" s="14"/>
      <c r="Y3459" s="14"/>
      <c r="Z3459" s="14"/>
      <c r="AA3459" s="16"/>
      <c r="AB3459" s="10"/>
      <c r="AC3459" s="10"/>
      <c r="AD3459" s="10"/>
      <c r="AE3459" s="10"/>
      <c r="AF3459" s="10"/>
      <c r="AG3459" s="10"/>
      <c r="AH3459" s="10"/>
      <c r="AI3459" s="10"/>
      <c r="AJ3459" s="10"/>
      <c r="AK3459" s="10"/>
      <c r="AL3459" s="10"/>
      <c r="AM3459" s="10"/>
      <c r="AN3459" s="10"/>
      <c r="AO3459" s="10"/>
      <c r="AP3459" s="10"/>
      <c r="AQ3459" s="10"/>
      <c r="AR3459" s="10"/>
      <c r="AS3459" s="10"/>
      <c r="AT3459" s="10"/>
      <c r="AU3459" s="10"/>
      <c r="AV3459" s="10"/>
      <c r="AW3459" s="10"/>
      <c r="AX3459" s="10"/>
      <c r="AY3459" s="10"/>
      <c r="AZ3459" s="10"/>
      <c r="BA3459" s="10"/>
      <c r="BB3459" s="10"/>
      <c r="BC3459" s="10"/>
      <c r="BD3459" s="10"/>
      <c r="BE3459" s="10"/>
      <c r="BF3459" s="10"/>
      <c r="BG3459" s="10"/>
      <c r="BH3459" s="10"/>
      <c r="BI3459" s="10"/>
      <c r="BJ3459" s="10"/>
      <c r="BK3459" s="10"/>
      <c r="BM3459" s="10"/>
    </row>
    <row r="3460" spans="1:65" ht="12.75">
      <c r="A3460" s="9"/>
      <c r="B3460" s="10"/>
      <c r="C3460" s="11"/>
      <c r="D3460" s="12"/>
      <c r="E3460" s="10"/>
      <c r="F3460" s="10"/>
      <c r="G3460" s="10"/>
      <c r="H3460" s="14"/>
      <c r="I3460" s="14"/>
      <c r="J3460" s="14"/>
      <c r="K3460" s="14"/>
      <c r="L3460" s="14"/>
      <c r="M3460" s="15"/>
      <c r="N3460" s="10"/>
      <c r="O3460" s="14"/>
      <c r="P3460" s="14"/>
      <c r="Q3460" s="14"/>
      <c r="R3460" s="14"/>
      <c r="S3460" s="14"/>
      <c r="T3460" s="14"/>
      <c r="U3460" s="14"/>
      <c r="V3460" s="14"/>
      <c r="W3460" s="14"/>
      <c r="X3460" s="14"/>
      <c r="Y3460" s="14"/>
      <c r="Z3460" s="14"/>
      <c r="AA3460" s="16"/>
      <c r="AB3460" s="10"/>
      <c r="AC3460" s="10"/>
      <c r="AD3460" s="10"/>
      <c r="AE3460" s="10"/>
      <c r="AF3460" s="10"/>
      <c r="AG3460" s="10"/>
      <c r="AH3460" s="10"/>
      <c r="AI3460" s="10"/>
      <c r="AJ3460" s="10"/>
      <c r="AK3460" s="10"/>
      <c r="AL3460" s="10"/>
      <c r="AM3460" s="10"/>
      <c r="AN3460" s="10"/>
      <c r="AO3460" s="10"/>
      <c r="AP3460" s="10"/>
      <c r="AQ3460" s="10"/>
      <c r="AR3460" s="10"/>
      <c r="AS3460" s="10"/>
      <c r="AT3460" s="10"/>
      <c r="AU3460" s="10"/>
      <c r="AV3460" s="10"/>
      <c r="AW3460" s="10"/>
      <c r="AX3460" s="10"/>
      <c r="AY3460" s="10"/>
      <c r="AZ3460" s="10"/>
      <c r="BA3460" s="10"/>
      <c r="BB3460" s="10"/>
      <c r="BC3460" s="10"/>
      <c r="BD3460" s="10"/>
      <c r="BE3460" s="10"/>
      <c r="BF3460" s="10"/>
      <c r="BG3460" s="10"/>
      <c r="BH3460" s="10"/>
      <c r="BI3460" s="10"/>
      <c r="BJ3460" s="10"/>
      <c r="BK3460" s="10"/>
      <c r="BM3460" s="10"/>
    </row>
    <row r="3461" spans="1:65" ht="12.75">
      <c r="A3461" s="9"/>
      <c r="B3461" s="10"/>
      <c r="C3461" s="11"/>
      <c r="D3461" s="12"/>
      <c r="E3461" s="10"/>
      <c r="F3461" s="10"/>
      <c r="G3461" s="10"/>
      <c r="H3461" s="14"/>
      <c r="I3461" s="14"/>
      <c r="J3461" s="14"/>
      <c r="K3461" s="14"/>
      <c r="L3461" s="14"/>
      <c r="M3461" s="15"/>
      <c r="N3461" s="10"/>
      <c r="O3461" s="14"/>
      <c r="P3461" s="14"/>
      <c r="Q3461" s="14"/>
      <c r="R3461" s="14"/>
      <c r="S3461" s="14"/>
      <c r="T3461" s="14"/>
      <c r="U3461" s="14"/>
      <c r="V3461" s="14"/>
      <c r="W3461" s="14"/>
      <c r="X3461" s="14"/>
      <c r="Y3461" s="14"/>
      <c r="Z3461" s="14"/>
      <c r="AA3461" s="16"/>
      <c r="AB3461" s="10"/>
      <c r="AC3461" s="10"/>
      <c r="AD3461" s="10"/>
      <c r="AE3461" s="10"/>
      <c r="AF3461" s="10"/>
      <c r="AG3461" s="10"/>
      <c r="AH3461" s="10"/>
      <c r="AI3461" s="10"/>
      <c r="AJ3461" s="10"/>
      <c r="AK3461" s="10"/>
      <c r="AL3461" s="10"/>
      <c r="AM3461" s="10"/>
      <c r="AN3461" s="10"/>
      <c r="AO3461" s="10"/>
      <c r="AP3461" s="10"/>
      <c r="AQ3461" s="10"/>
      <c r="AR3461" s="10"/>
      <c r="AS3461" s="10"/>
      <c r="AT3461" s="10"/>
      <c r="AU3461" s="10"/>
      <c r="AV3461" s="10"/>
      <c r="AW3461" s="10"/>
      <c r="AX3461" s="10"/>
      <c r="AY3461" s="10"/>
      <c r="AZ3461" s="10"/>
      <c r="BA3461" s="10"/>
      <c r="BB3461" s="10"/>
      <c r="BC3461" s="10"/>
      <c r="BD3461" s="10"/>
      <c r="BE3461" s="10"/>
      <c r="BF3461" s="10"/>
      <c r="BG3461" s="10"/>
      <c r="BH3461" s="10"/>
      <c r="BI3461" s="10"/>
      <c r="BJ3461" s="10"/>
      <c r="BK3461" s="10"/>
      <c r="BM3461" s="10"/>
    </row>
    <row r="3462" spans="1:65" ht="12.75">
      <c r="A3462" s="9"/>
      <c r="B3462" s="10"/>
      <c r="C3462" s="11"/>
      <c r="D3462" s="12"/>
      <c r="E3462" s="10"/>
      <c r="F3462" s="10"/>
      <c r="G3462" s="10"/>
      <c r="H3462" s="14"/>
      <c r="I3462" s="14"/>
      <c r="J3462" s="14"/>
      <c r="K3462" s="14"/>
      <c r="L3462" s="14"/>
      <c r="M3462" s="15"/>
      <c r="N3462" s="10"/>
      <c r="O3462" s="14"/>
      <c r="P3462" s="14"/>
      <c r="Q3462" s="14"/>
      <c r="R3462" s="14"/>
      <c r="S3462" s="14"/>
      <c r="T3462" s="14"/>
      <c r="U3462" s="14"/>
      <c r="V3462" s="14"/>
      <c r="W3462" s="14"/>
      <c r="X3462" s="14"/>
      <c r="Y3462" s="14"/>
      <c r="Z3462" s="14"/>
      <c r="AA3462" s="16"/>
      <c r="AB3462" s="10"/>
      <c r="AC3462" s="10"/>
      <c r="AD3462" s="10"/>
      <c r="AE3462" s="10"/>
      <c r="AF3462" s="10"/>
      <c r="AG3462" s="10"/>
      <c r="AH3462" s="10"/>
      <c r="AI3462" s="10"/>
      <c r="AJ3462" s="10"/>
      <c r="AK3462" s="10"/>
      <c r="AL3462" s="10"/>
      <c r="AM3462" s="10"/>
      <c r="AN3462" s="10"/>
      <c r="AO3462" s="10"/>
      <c r="AP3462" s="10"/>
      <c r="AQ3462" s="10"/>
      <c r="AR3462" s="10"/>
      <c r="AS3462" s="10"/>
      <c r="AT3462" s="10"/>
      <c r="AU3462" s="10"/>
      <c r="AV3462" s="10"/>
      <c r="AW3462" s="10"/>
      <c r="AX3462" s="10"/>
      <c r="AY3462" s="10"/>
      <c r="AZ3462" s="10"/>
      <c r="BA3462" s="10"/>
      <c r="BB3462" s="10"/>
      <c r="BC3462" s="10"/>
      <c r="BD3462" s="10"/>
      <c r="BE3462" s="10"/>
      <c r="BF3462" s="10"/>
      <c r="BG3462" s="10"/>
      <c r="BH3462" s="10"/>
      <c r="BI3462" s="10"/>
      <c r="BJ3462" s="10"/>
      <c r="BK3462" s="10"/>
      <c r="BM3462" s="10"/>
    </row>
    <row r="3463" spans="1:65" ht="12.75">
      <c r="A3463" s="9"/>
      <c r="B3463" s="10"/>
      <c r="C3463" s="11"/>
      <c r="D3463" s="12"/>
      <c r="E3463" s="10"/>
      <c r="F3463" s="10"/>
      <c r="G3463" s="10"/>
      <c r="H3463" s="14"/>
      <c r="I3463" s="14"/>
      <c r="J3463" s="14"/>
      <c r="K3463" s="14"/>
      <c r="L3463" s="14"/>
      <c r="M3463" s="15"/>
      <c r="N3463" s="10"/>
      <c r="O3463" s="14"/>
      <c r="P3463" s="14"/>
      <c r="Q3463" s="14"/>
      <c r="R3463" s="14"/>
      <c r="S3463" s="14"/>
      <c r="T3463" s="14"/>
      <c r="U3463" s="14"/>
      <c r="V3463" s="14"/>
      <c r="W3463" s="14"/>
      <c r="X3463" s="14"/>
      <c r="Y3463" s="14"/>
      <c r="Z3463" s="14"/>
      <c r="AA3463" s="16"/>
      <c r="AB3463" s="10"/>
      <c r="AC3463" s="10"/>
      <c r="AD3463" s="10"/>
      <c r="AE3463" s="10"/>
      <c r="AF3463" s="10"/>
      <c r="AG3463" s="10"/>
      <c r="AH3463" s="10"/>
      <c r="AI3463" s="10"/>
      <c r="AJ3463" s="10"/>
      <c r="AK3463" s="10"/>
      <c r="AL3463" s="10"/>
      <c r="AM3463" s="10"/>
      <c r="AN3463" s="10"/>
      <c r="AO3463" s="10"/>
      <c r="AP3463" s="10"/>
      <c r="AQ3463" s="10"/>
      <c r="AR3463" s="10"/>
      <c r="AS3463" s="10"/>
      <c r="AT3463" s="10"/>
      <c r="AU3463" s="10"/>
      <c r="AV3463" s="10"/>
      <c r="AW3463" s="10"/>
      <c r="AX3463" s="10"/>
      <c r="AY3463" s="10"/>
      <c r="AZ3463" s="10"/>
      <c r="BA3463" s="10"/>
      <c r="BB3463" s="10"/>
      <c r="BC3463" s="10"/>
      <c r="BD3463" s="10"/>
      <c r="BE3463" s="10"/>
      <c r="BF3463" s="10"/>
      <c r="BG3463" s="10"/>
      <c r="BH3463" s="10"/>
      <c r="BI3463" s="10"/>
      <c r="BJ3463" s="10"/>
      <c r="BK3463" s="10"/>
      <c r="BM3463" s="10"/>
    </row>
    <row r="3464" spans="1:65" ht="12.75">
      <c r="A3464" s="9"/>
      <c r="B3464" s="10"/>
      <c r="C3464" s="11"/>
      <c r="D3464" s="12"/>
      <c r="E3464" s="10"/>
      <c r="F3464" s="10"/>
      <c r="G3464" s="10"/>
      <c r="H3464" s="14"/>
      <c r="I3464" s="14"/>
      <c r="J3464" s="14"/>
      <c r="K3464" s="14"/>
      <c r="L3464" s="14"/>
      <c r="M3464" s="15"/>
      <c r="N3464" s="10"/>
      <c r="O3464" s="14"/>
      <c r="P3464" s="14"/>
      <c r="Q3464" s="14"/>
      <c r="R3464" s="14"/>
      <c r="S3464" s="14"/>
      <c r="T3464" s="14"/>
      <c r="U3464" s="14"/>
      <c r="V3464" s="14"/>
      <c r="W3464" s="14"/>
      <c r="X3464" s="14"/>
      <c r="Y3464" s="14"/>
      <c r="Z3464" s="14"/>
      <c r="AA3464" s="16"/>
      <c r="AB3464" s="10"/>
      <c r="AC3464" s="10"/>
      <c r="AD3464" s="10"/>
      <c r="AE3464" s="10"/>
      <c r="AF3464" s="10"/>
      <c r="AG3464" s="10"/>
      <c r="AH3464" s="10"/>
      <c r="AI3464" s="10"/>
      <c r="AJ3464" s="10"/>
      <c r="AK3464" s="10"/>
      <c r="AL3464" s="10"/>
      <c r="AM3464" s="10"/>
      <c r="AN3464" s="10"/>
      <c r="AO3464" s="10"/>
      <c r="AP3464" s="10"/>
      <c r="AQ3464" s="10"/>
      <c r="AR3464" s="10"/>
      <c r="AS3464" s="10"/>
      <c r="AT3464" s="10"/>
      <c r="AU3464" s="10"/>
      <c r="AV3464" s="10"/>
      <c r="AW3464" s="10"/>
      <c r="AX3464" s="10"/>
      <c r="AY3464" s="10"/>
      <c r="AZ3464" s="10"/>
      <c r="BA3464" s="10"/>
      <c r="BB3464" s="10"/>
      <c r="BC3464" s="10"/>
      <c r="BD3464" s="10"/>
      <c r="BE3464" s="10"/>
      <c r="BF3464" s="10"/>
      <c r="BG3464" s="10"/>
      <c r="BH3464" s="10"/>
      <c r="BI3464" s="10"/>
      <c r="BJ3464" s="10"/>
      <c r="BK3464" s="10"/>
      <c r="BM3464" s="10"/>
    </row>
    <row r="3465" spans="1:65" ht="12.75">
      <c r="A3465" s="9"/>
      <c r="B3465" s="10"/>
      <c r="C3465" s="11"/>
      <c r="D3465" s="12"/>
      <c r="E3465" s="10"/>
      <c r="F3465" s="10"/>
      <c r="G3465" s="10"/>
      <c r="H3465" s="14"/>
      <c r="I3465" s="14"/>
      <c r="J3465" s="14"/>
      <c r="K3465" s="14"/>
      <c r="L3465" s="14"/>
      <c r="M3465" s="15"/>
      <c r="N3465" s="10"/>
      <c r="O3465" s="14"/>
      <c r="P3465" s="14"/>
      <c r="Q3465" s="14"/>
      <c r="R3465" s="14"/>
      <c r="S3465" s="14"/>
      <c r="T3465" s="14"/>
      <c r="U3465" s="14"/>
      <c r="V3465" s="14"/>
      <c r="W3465" s="14"/>
      <c r="X3465" s="14"/>
      <c r="Y3465" s="14"/>
      <c r="Z3465" s="14"/>
      <c r="AA3465" s="16"/>
      <c r="AB3465" s="10"/>
      <c r="AC3465" s="10"/>
      <c r="AD3465" s="10"/>
      <c r="AE3465" s="10"/>
      <c r="AF3465" s="10"/>
      <c r="AG3465" s="10"/>
      <c r="AH3465" s="10"/>
      <c r="AI3465" s="10"/>
      <c r="AJ3465" s="10"/>
      <c r="AK3465" s="10"/>
      <c r="AL3465" s="10"/>
      <c r="AM3465" s="10"/>
      <c r="AN3465" s="10"/>
      <c r="AO3465" s="10"/>
      <c r="AP3465" s="10"/>
      <c r="AQ3465" s="10"/>
      <c r="AR3465" s="10"/>
      <c r="AS3465" s="10"/>
      <c r="AT3465" s="10"/>
      <c r="AU3465" s="10"/>
      <c r="AV3465" s="10"/>
      <c r="AW3465" s="10"/>
      <c r="AX3465" s="10"/>
      <c r="AY3465" s="10"/>
      <c r="AZ3465" s="10"/>
      <c r="BA3465" s="10"/>
      <c r="BB3465" s="10"/>
      <c r="BC3465" s="10"/>
      <c r="BD3465" s="10"/>
      <c r="BE3465" s="10"/>
      <c r="BF3465" s="10"/>
      <c r="BG3465" s="10"/>
      <c r="BH3465" s="10"/>
      <c r="BI3465" s="10"/>
      <c r="BJ3465" s="10"/>
      <c r="BK3465" s="10"/>
      <c r="BM3465" s="10"/>
    </row>
    <row r="3466" spans="1:65" ht="12.75">
      <c r="A3466" s="9"/>
      <c r="B3466" s="10"/>
      <c r="C3466" s="11"/>
      <c r="D3466" s="12"/>
      <c r="E3466" s="10"/>
      <c r="F3466" s="10"/>
      <c r="G3466" s="10"/>
      <c r="H3466" s="14"/>
      <c r="I3466" s="14"/>
      <c r="J3466" s="14"/>
      <c r="K3466" s="14"/>
      <c r="L3466" s="14"/>
      <c r="M3466" s="15"/>
      <c r="N3466" s="10"/>
      <c r="O3466" s="14"/>
      <c r="P3466" s="14"/>
      <c r="Q3466" s="14"/>
      <c r="R3466" s="14"/>
      <c r="S3466" s="14"/>
      <c r="T3466" s="14"/>
      <c r="U3466" s="14"/>
      <c r="V3466" s="14"/>
      <c r="W3466" s="14"/>
      <c r="X3466" s="14"/>
      <c r="Y3466" s="14"/>
      <c r="Z3466" s="14"/>
      <c r="AA3466" s="16"/>
      <c r="AB3466" s="10"/>
      <c r="AC3466" s="10"/>
      <c r="AD3466" s="10"/>
      <c r="AE3466" s="10"/>
      <c r="AF3466" s="10"/>
      <c r="AG3466" s="10"/>
      <c r="AH3466" s="10"/>
      <c r="AI3466" s="10"/>
      <c r="AJ3466" s="10"/>
      <c r="AK3466" s="10"/>
      <c r="AL3466" s="10"/>
      <c r="AM3466" s="10"/>
      <c r="AN3466" s="10"/>
      <c r="AO3466" s="10"/>
      <c r="AP3466" s="10"/>
      <c r="AQ3466" s="10"/>
      <c r="AR3466" s="10"/>
      <c r="AS3466" s="10"/>
      <c r="AT3466" s="10"/>
      <c r="AU3466" s="10"/>
      <c r="AV3466" s="10"/>
      <c r="AW3466" s="10"/>
      <c r="AX3466" s="10"/>
      <c r="AY3466" s="10"/>
      <c r="AZ3466" s="10"/>
      <c r="BA3466" s="10"/>
      <c r="BB3466" s="10"/>
      <c r="BC3466" s="10"/>
      <c r="BD3466" s="10"/>
      <c r="BE3466" s="10"/>
      <c r="BF3466" s="10"/>
      <c r="BG3466" s="10"/>
      <c r="BH3466" s="10"/>
      <c r="BI3466" s="10"/>
      <c r="BJ3466" s="10"/>
      <c r="BK3466" s="10"/>
      <c r="BM3466" s="10"/>
    </row>
    <row r="3467" spans="1:65" ht="12.75">
      <c r="A3467" s="9"/>
      <c r="B3467" s="10"/>
      <c r="C3467" s="11"/>
      <c r="D3467" s="12"/>
      <c r="E3467" s="10"/>
      <c r="F3467" s="10"/>
      <c r="G3467" s="10"/>
      <c r="H3467" s="14"/>
      <c r="I3467" s="14"/>
      <c r="J3467" s="14"/>
      <c r="K3467" s="14"/>
      <c r="L3467" s="14"/>
      <c r="M3467" s="15"/>
      <c r="N3467" s="10"/>
      <c r="O3467" s="14"/>
      <c r="P3467" s="14"/>
      <c r="Q3467" s="14"/>
      <c r="R3467" s="14"/>
      <c r="S3467" s="14"/>
      <c r="T3467" s="14"/>
      <c r="U3467" s="14"/>
      <c r="V3467" s="14"/>
      <c r="W3467" s="14"/>
      <c r="X3467" s="14"/>
      <c r="Y3467" s="14"/>
      <c r="Z3467" s="14"/>
      <c r="AA3467" s="16"/>
      <c r="AB3467" s="10"/>
      <c r="AC3467" s="10"/>
      <c r="AD3467" s="10"/>
      <c r="AE3467" s="10"/>
      <c r="AF3467" s="10"/>
      <c r="AG3467" s="10"/>
      <c r="AH3467" s="10"/>
      <c r="AI3467" s="10"/>
      <c r="AJ3467" s="10"/>
      <c r="AK3467" s="10"/>
      <c r="AL3467" s="10"/>
      <c r="AM3467" s="10"/>
      <c r="AN3467" s="10"/>
      <c r="AO3467" s="10"/>
      <c r="AP3467" s="10"/>
      <c r="AQ3467" s="10"/>
      <c r="AR3467" s="10"/>
      <c r="AS3467" s="10"/>
      <c r="AT3467" s="10"/>
      <c r="AU3467" s="10"/>
      <c r="AV3467" s="10"/>
      <c r="AW3467" s="10"/>
      <c r="AX3467" s="10"/>
      <c r="AY3467" s="10"/>
      <c r="AZ3467" s="10"/>
      <c r="BA3467" s="10"/>
      <c r="BB3467" s="10"/>
      <c r="BC3467" s="10"/>
      <c r="BD3467" s="10"/>
      <c r="BE3467" s="10"/>
      <c r="BF3467" s="10"/>
      <c r="BG3467" s="10"/>
      <c r="BH3467" s="10"/>
      <c r="BI3467" s="10"/>
      <c r="BJ3467" s="10"/>
      <c r="BK3467" s="10"/>
      <c r="BM3467" s="10"/>
    </row>
    <row r="3468" spans="1:65" ht="12.75">
      <c r="A3468" s="9"/>
      <c r="B3468" s="10"/>
      <c r="C3468" s="11"/>
      <c r="D3468" s="12"/>
      <c r="E3468" s="10"/>
      <c r="F3468" s="10"/>
      <c r="G3468" s="10"/>
      <c r="H3468" s="14"/>
      <c r="I3468" s="14"/>
      <c r="J3468" s="14"/>
      <c r="K3468" s="14"/>
      <c r="L3468" s="14"/>
      <c r="M3468" s="15"/>
      <c r="N3468" s="10"/>
      <c r="O3468" s="14"/>
      <c r="P3468" s="14"/>
      <c r="Q3468" s="14"/>
      <c r="R3468" s="14"/>
      <c r="S3468" s="14"/>
      <c r="T3468" s="14"/>
      <c r="U3468" s="14"/>
      <c r="V3468" s="14"/>
      <c r="W3468" s="14"/>
      <c r="X3468" s="14"/>
      <c r="Y3468" s="14"/>
      <c r="Z3468" s="14"/>
      <c r="AA3468" s="16"/>
      <c r="AB3468" s="10"/>
      <c r="AC3468" s="10"/>
      <c r="AD3468" s="10"/>
      <c r="AE3468" s="10"/>
      <c r="AF3468" s="10"/>
      <c r="AG3468" s="10"/>
      <c r="AH3468" s="10"/>
      <c r="AI3468" s="10"/>
      <c r="AJ3468" s="10"/>
      <c r="AK3468" s="10"/>
      <c r="AL3468" s="10"/>
      <c r="AM3468" s="10"/>
      <c r="AN3468" s="10"/>
      <c r="AO3468" s="10"/>
      <c r="AP3468" s="10"/>
      <c r="AQ3468" s="10"/>
      <c r="AR3468" s="10"/>
      <c r="AS3468" s="10"/>
      <c r="AT3468" s="10"/>
      <c r="AU3468" s="10"/>
      <c r="AV3468" s="10"/>
      <c r="AW3468" s="10"/>
      <c r="AX3468" s="10"/>
      <c r="AY3468" s="10"/>
      <c r="AZ3468" s="10"/>
      <c r="BA3468" s="10"/>
      <c r="BB3468" s="10"/>
      <c r="BC3468" s="10"/>
      <c r="BD3468" s="10"/>
      <c r="BE3468" s="10"/>
      <c r="BF3468" s="10"/>
      <c r="BG3468" s="10"/>
      <c r="BH3468" s="10"/>
      <c r="BI3468" s="10"/>
      <c r="BJ3468" s="10"/>
      <c r="BK3468" s="10"/>
      <c r="BM3468" s="10"/>
    </row>
    <row r="3469" spans="1:65" ht="12.75">
      <c r="A3469" s="9"/>
      <c r="B3469" s="10"/>
      <c r="C3469" s="11"/>
      <c r="D3469" s="12"/>
      <c r="E3469" s="10"/>
      <c r="F3469" s="10"/>
      <c r="G3469" s="10"/>
      <c r="H3469" s="14"/>
      <c r="I3469" s="14"/>
      <c r="J3469" s="14"/>
      <c r="K3469" s="14"/>
      <c r="L3469" s="14"/>
      <c r="M3469" s="15"/>
      <c r="N3469" s="10"/>
      <c r="O3469" s="14"/>
      <c r="P3469" s="14"/>
      <c r="Q3469" s="14"/>
      <c r="R3469" s="14"/>
      <c r="S3469" s="14"/>
      <c r="T3469" s="14"/>
      <c r="U3469" s="14"/>
      <c r="V3469" s="14"/>
      <c r="W3469" s="14"/>
      <c r="X3469" s="14"/>
      <c r="Y3469" s="14"/>
      <c r="Z3469" s="14"/>
      <c r="AA3469" s="16"/>
      <c r="AB3469" s="10"/>
      <c r="AC3469" s="10"/>
      <c r="AD3469" s="10"/>
      <c r="AE3469" s="10"/>
      <c r="AF3469" s="10"/>
      <c r="AG3469" s="10"/>
      <c r="AH3469" s="10"/>
      <c r="AI3469" s="10"/>
      <c r="AJ3469" s="10"/>
      <c r="AK3469" s="10"/>
      <c r="AL3469" s="10"/>
      <c r="AM3469" s="10"/>
      <c r="AN3469" s="10"/>
      <c r="AO3469" s="10"/>
      <c r="AP3469" s="10"/>
      <c r="AQ3469" s="10"/>
      <c r="AR3469" s="10"/>
      <c r="AS3469" s="10"/>
      <c r="AT3469" s="10"/>
      <c r="AU3469" s="10"/>
      <c r="AV3469" s="10"/>
      <c r="AW3469" s="10"/>
      <c r="AX3469" s="10"/>
      <c r="AY3469" s="10"/>
      <c r="AZ3469" s="10"/>
      <c r="BA3469" s="10"/>
      <c r="BB3469" s="10"/>
      <c r="BC3469" s="10"/>
      <c r="BD3469" s="10"/>
      <c r="BE3469" s="10"/>
      <c r="BF3469" s="10"/>
      <c r="BG3469" s="10"/>
      <c r="BH3469" s="10"/>
      <c r="BI3469" s="10"/>
      <c r="BJ3469" s="10"/>
      <c r="BK3469" s="10"/>
      <c r="BM3469" s="10"/>
    </row>
    <row r="3470" spans="1:65" ht="12.75">
      <c r="A3470" s="9"/>
      <c r="B3470" s="10"/>
      <c r="C3470" s="11"/>
      <c r="D3470" s="12"/>
      <c r="E3470" s="10"/>
      <c r="F3470" s="10"/>
      <c r="G3470" s="10"/>
      <c r="H3470" s="14"/>
      <c r="I3470" s="14"/>
      <c r="J3470" s="14"/>
      <c r="K3470" s="14"/>
      <c r="L3470" s="14"/>
      <c r="M3470" s="15"/>
      <c r="N3470" s="10"/>
      <c r="O3470" s="14"/>
      <c r="P3470" s="14"/>
      <c r="Q3470" s="14"/>
      <c r="R3470" s="14"/>
      <c r="S3470" s="14"/>
      <c r="T3470" s="14"/>
      <c r="U3470" s="14"/>
      <c r="V3470" s="14"/>
      <c r="W3470" s="14"/>
      <c r="X3470" s="14"/>
      <c r="Y3470" s="14"/>
      <c r="Z3470" s="14"/>
      <c r="AA3470" s="16"/>
      <c r="AB3470" s="10"/>
      <c r="AC3470" s="10"/>
      <c r="AD3470" s="10"/>
      <c r="AE3470" s="10"/>
      <c r="AF3470" s="10"/>
      <c r="AG3470" s="10"/>
      <c r="AH3470" s="10"/>
      <c r="AI3470" s="10"/>
      <c r="AJ3470" s="10"/>
      <c r="AK3470" s="10"/>
      <c r="AL3470" s="10"/>
      <c r="AM3470" s="10"/>
      <c r="AN3470" s="10"/>
      <c r="AO3470" s="10"/>
      <c r="AP3470" s="10"/>
      <c r="AQ3470" s="10"/>
      <c r="AR3470" s="10"/>
      <c r="AS3470" s="10"/>
      <c r="AT3470" s="10"/>
      <c r="AU3470" s="10"/>
      <c r="AV3470" s="10"/>
      <c r="AW3470" s="10"/>
      <c r="AX3470" s="10"/>
      <c r="AY3470" s="10"/>
      <c r="AZ3470" s="10"/>
      <c r="BA3470" s="10"/>
      <c r="BB3470" s="10"/>
      <c r="BC3470" s="10"/>
      <c r="BD3470" s="10"/>
      <c r="BE3470" s="10"/>
      <c r="BF3470" s="10"/>
      <c r="BG3470" s="10"/>
      <c r="BH3470" s="10"/>
      <c r="BI3470" s="10"/>
      <c r="BJ3470" s="10"/>
      <c r="BK3470" s="10"/>
      <c r="BM3470" s="10"/>
    </row>
    <row r="3471" spans="1:65" ht="12.75">
      <c r="A3471" s="9"/>
      <c r="B3471" s="10"/>
      <c r="C3471" s="11"/>
      <c r="D3471" s="12"/>
      <c r="E3471" s="10"/>
      <c r="F3471" s="10"/>
      <c r="G3471" s="10"/>
      <c r="H3471" s="14"/>
      <c r="I3471" s="14"/>
      <c r="J3471" s="14"/>
      <c r="K3471" s="14"/>
      <c r="L3471" s="14"/>
      <c r="M3471" s="15"/>
      <c r="N3471" s="10"/>
      <c r="O3471" s="14"/>
      <c r="P3471" s="14"/>
      <c r="Q3471" s="14"/>
      <c r="R3471" s="14"/>
      <c r="S3471" s="14"/>
      <c r="T3471" s="14"/>
      <c r="U3471" s="14"/>
      <c r="V3471" s="14"/>
      <c r="W3471" s="14"/>
      <c r="X3471" s="14"/>
      <c r="Y3471" s="14"/>
      <c r="Z3471" s="14"/>
      <c r="AA3471" s="16"/>
      <c r="AB3471" s="10"/>
      <c r="AC3471" s="10"/>
      <c r="AD3471" s="10"/>
      <c r="AE3471" s="10"/>
      <c r="AF3471" s="10"/>
      <c r="AG3471" s="10"/>
      <c r="AH3471" s="10"/>
      <c r="AI3471" s="10"/>
      <c r="AJ3471" s="10"/>
      <c r="AK3471" s="10"/>
      <c r="AL3471" s="10"/>
      <c r="AM3471" s="10"/>
      <c r="AN3471" s="10"/>
      <c r="AO3471" s="10"/>
      <c r="AP3471" s="10"/>
      <c r="AQ3471" s="10"/>
      <c r="AR3471" s="10"/>
      <c r="AS3471" s="10"/>
      <c r="AT3471" s="10"/>
      <c r="AU3471" s="10"/>
      <c r="AV3471" s="10"/>
      <c r="AW3471" s="10"/>
      <c r="AX3471" s="10"/>
      <c r="AY3471" s="10"/>
      <c r="AZ3471" s="10"/>
      <c r="BA3471" s="10"/>
      <c r="BB3471" s="10"/>
      <c r="BC3471" s="10"/>
      <c r="BD3471" s="10"/>
      <c r="BE3471" s="10"/>
      <c r="BF3471" s="10"/>
      <c r="BG3471" s="10"/>
      <c r="BH3471" s="10"/>
      <c r="BI3471" s="10"/>
      <c r="BJ3471" s="10"/>
      <c r="BK3471" s="10"/>
      <c r="BM3471" s="10"/>
    </row>
    <row r="3472" spans="1:65" ht="12.75">
      <c r="A3472" s="9"/>
      <c r="B3472" s="10"/>
      <c r="C3472" s="11"/>
      <c r="D3472" s="12"/>
      <c r="E3472" s="10"/>
      <c r="F3472" s="10"/>
      <c r="G3472" s="10"/>
      <c r="H3472" s="14"/>
      <c r="I3472" s="14"/>
      <c r="J3472" s="14"/>
      <c r="K3472" s="14"/>
      <c r="L3472" s="14"/>
      <c r="M3472" s="15"/>
      <c r="N3472" s="10"/>
      <c r="O3472" s="14"/>
      <c r="P3472" s="14"/>
      <c r="Q3472" s="14"/>
      <c r="R3472" s="14"/>
      <c r="S3472" s="14"/>
      <c r="T3472" s="14"/>
      <c r="U3472" s="14"/>
      <c r="V3472" s="14"/>
      <c r="W3472" s="14"/>
      <c r="X3472" s="14"/>
      <c r="Y3472" s="14"/>
      <c r="Z3472" s="14"/>
      <c r="AA3472" s="16"/>
      <c r="AB3472" s="10"/>
      <c r="AC3472" s="10"/>
      <c r="AD3472" s="10"/>
      <c r="AE3472" s="10"/>
      <c r="AF3472" s="10"/>
      <c r="AG3472" s="10"/>
      <c r="AH3472" s="10"/>
      <c r="AI3472" s="10"/>
      <c r="AJ3472" s="10"/>
      <c r="AK3472" s="10"/>
      <c r="AL3472" s="10"/>
      <c r="AM3472" s="10"/>
      <c r="AN3472" s="10"/>
      <c r="AO3472" s="10"/>
      <c r="AP3472" s="10"/>
      <c r="AQ3472" s="10"/>
      <c r="AR3472" s="10"/>
      <c r="AS3472" s="10"/>
      <c r="AT3472" s="10"/>
      <c r="AU3472" s="10"/>
      <c r="AV3472" s="10"/>
      <c r="AW3472" s="10"/>
      <c r="AX3472" s="10"/>
      <c r="AY3472" s="10"/>
      <c r="AZ3472" s="10"/>
      <c r="BA3472" s="10"/>
      <c r="BB3472" s="10"/>
      <c r="BC3472" s="10"/>
      <c r="BD3472" s="10"/>
      <c r="BE3472" s="10"/>
      <c r="BF3472" s="10"/>
      <c r="BG3472" s="10"/>
      <c r="BH3472" s="10"/>
      <c r="BI3472" s="10"/>
      <c r="BJ3472" s="10"/>
      <c r="BK3472" s="10"/>
      <c r="BM3472" s="10"/>
    </row>
    <row r="3473" spans="1:65" ht="12.75">
      <c r="A3473" s="9"/>
      <c r="B3473" s="10"/>
      <c r="C3473" s="11"/>
      <c r="D3473" s="12"/>
      <c r="E3473" s="10"/>
      <c r="F3473" s="10"/>
      <c r="G3473" s="10"/>
      <c r="H3473" s="14"/>
      <c r="I3473" s="14"/>
      <c r="J3473" s="14"/>
      <c r="K3473" s="14"/>
      <c r="L3473" s="14"/>
      <c r="M3473" s="15"/>
      <c r="N3473" s="10"/>
      <c r="O3473" s="14"/>
      <c r="P3473" s="14"/>
      <c r="Q3473" s="14"/>
      <c r="R3473" s="14"/>
      <c r="S3473" s="14"/>
      <c r="T3473" s="14"/>
      <c r="U3473" s="14"/>
      <c r="V3473" s="14"/>
      <c r="W3473" s="14"/>
      <c r="X3473" s="14"/>
      <c r="Y3473" s="14"/>
      <c r="Z3473" s="14"/>
      <c r="AA3473" s="16"/>
      <c r="AB3473" s="10"/>
      <c r="AC3473" s="10"/>
      <c r="AD3473" s="10"/>
      <c r="AE3473" s="10"/>
      <c r="AF3473" s="10"/>
      <c r="AG3473" s="10"/>
      <c r="AH3473" s="10"/>
      <c r="AI3473" s="10"/>
      <c r="AJ3473" s="10"/>
      <c r="AK3473" s="10"/>
      <c r="AL3473" s="10"/>
      <c r="AM3473" s="10"/>
      <c r="AN3473" s="10"/>
      <c r="AO3473" s="10"/>
      <c r="AP3473" s="10"/>
      <c r="AQ3473" s="10"/>
      <c r="AR3473" s="10"/>
      <c r="AS3473" s="10"/>
      <c r="AT3473" s="10"/>
      <c r="AU3473" s="10"/>
      <c r="AV3473" s="10"/>
      <c r="AW3473" s="10"/>
      <c r="AX3473" s="10"/>
      <c r="AY3473" s="10"/>
      <c r="AZ3473" s="10"/>
      <c r="BA3473" s="10"/>
      <c r="BB3473" s="10"/>
      <c r="BC3473" s="10"/>
      <c r="BD3473" s="10"/>
      <c r="BE3473" s="10"/>
      <c r="BF3473" s="10"/>
      <c r="BG3473" s="10"/>
      <c r="BH3473" s="10"/>
      <c r="BI3473" s="10"/>
      <c r="BJ3473" s="10"/>
      <c r="BK3473" s="10"/>
      <c r="BM3473" s="10"/>
    </row>
    <row r="3474" spans="1:65" ht="12.75">
      <c r="A3474" s="9"/>
      <c r="B3474" s="10"/>
      <c r="C3474" s="11"/>
      <c r="D3474" s="12"/>
      <c r="E3474" s="10"/>
      <c r="F3474" s="10"/>
      <c r="G3474" s="10"/>
      <c r="H3474" s="14"/>
      <c r="I3474" s="14"/>
      <c r="J3474" s="14"/>
      <c r="K3474" s="14"/>
      <c r="L3474" s="14"/>
      <c r="M3474" s="15"/>
      <c r="N3474" s="10"/>
      <c r="O3474" s="14"/>
      <c r="P3474" s="14"/>
      <c r="Q3474" s="14"/>
      <c r="R3474" s="14"/>
      <c r="S3474" s="14"/>
      <c r="T3474" s="14"/>
      <c r="U3474" s="14"/>
      <c r="V3474" s="14"/>
      <c r="W3474" s="14"/>
      <c r="X3474" s="14"/>
      <c r="Y3474" s="14"/>
      <c r="Z3474" s="14"/>
      <c r="AA3474" s="16"/>
      <c r="AB3474" s="10"/>
      <c r="AC3474" s="10"/>
      <c r="AD3474" s="10"/>
      <c r="AE3474" s="10"/>
      <c r="AF3474" s="10"/>
      <c r="AG3474" s="10"/>
      <c r="AH3474" s="10"/>
      <c r="AI3474" s="10"/>
      <c r="AJ3474" s="10"/>
      <c r="AK3474" s="10"/>
      <c r="AL3474" s="10"/>
      <c r="AM3474" s="10"/>
      <c r="AN3474" s="10"/>
      <c r="AO3474" s="10"/>
      <c r="AP3474" s="10"/>
      <c r="AQ3474" s="10"/>
      <c r="AR3474" s="10"/>
      <c r="AS3474" s="10"/>
      <c r="AT3474" s="10"/>
      <c r="AU3474" s="10"/>
      <c r="AV3474" s="10"/>
      <c r="AW3474" s="10"/>
      <c r="AX3474" s="10"/>
      <c r="AY3474" s="10"/>
      <c r="AZ3474" s="10"/>
      <c r="BA3474" s="10"/>
      <c r="BB3474" s="10"/>
      <c r="BC3474" s="10"/>
      <c r="BD3474" s="10"/>
      <c r="BE3474" s="10"/>
      <c r="BF3474" s="10"/>
      <c r="BG3474" s="10"/>
      <c r="BH3474" s="10"/>
      <c r="BI3474" s="10"/>
      <c r="BJ3474" s="10"/>
      <c r="BK3474" s="10"/>
      <c r="BM3474" s="10"/>
    </row>
    <row r="3475" spans="1:65" ht="12.75">
      <c r="A3475" s="9"/>
      <c r="B3475" s="10"/>
      <c r="C3475" s="11"/>
      <c r="D3475" s="12"/>
      <c r="E3475" s="10"/>
      <c r="F3475" s="10"/>
      <c r="G3475" s="10"/>
      <c r="H3475" s="14"/>
      <c r="I3475" s="14"/>
      <c r="J3475" s="14"/>
      <c r="K3475" s="14"/>
      <c r="L3475" s="14"/>
      <c r="M3475" s="15"/>
      <c r="N3475" s="10"/>
      <c r="O3475" s="14"/>
      <c r="P3475" s="14"/>
      <c r="Q3475" s="14"/>
      <c r="R3475" s="14"/>
      <c r="S3475" s="14"/>
      <c r="T3475" s="14"/>
      <c r="U3475" s="14"/>
      <c r="V3475" s="14"/>
      <c r="W3475" s="14"/>
      <c r="X3475" s="14"/>
      <c r="Y3475" s="14"/>
      <c r="Z3475" s="14"/>
      <c r="AA3475" s="16"/>
      <c r="AB3475" s="10"/>
      <c r="AC3475" s="10"/>
      <c r="AD3475" s="10"/>
      <c r="AE3475" s="10"/>
      <c r="AF3475" s="10"/>
      <c r="AG3475" s="10"/>
      <c r="AH3475" s="10"/>
      <c r="AI3475" s="10"/>
      <c r="AJ3475" s="10"/>
      <c r="AK3475" s="10"/>
      <c r="AL3475" s="10"/>
      <c r="AM3475" s="10"/>
      <c r="AN3475" s="10"/>
      <c r="AO3475" s="10"/>
      <c r="AP3475" s="10"/>
      <c r="AQ3475" s="10"/>
      <c r="AR3475" s="10"/>
      <c r="AS3475" s="10"/>
      <c r="AT3475" s="10"/>
      <c r="AU3475" s="10"/>
      <c r="AV3475" s="10"/>
      <c r="AW3475" s="10"/>
      <c r="AX3475" s="10"/>
      <c r="AY3475" s="10"/>
      <c r="AZ3475" s="10"/>
      <c r="BA3475" s="10"/>
      <c r="BB3475" s="10"/>
      <c r="BC3475" s="10"/>
      <c r="BD3475" s="10"/>
      <c r="BE3475" s="10"/>
      <c r="BF3475" s="10"/>
      <c r="BG3475" s="10"/>
      <c r="BH3475" s="10"/>
      <c r="BI3475" s="10"/>
      <c r="BJ3475" s="10"/>
      <c r="BK3475" s="10"/>
      <c r="BM3475" s="10"/>
    </row>
    <row r="3476" spans="1:65" ht="12.75">
      <c r="A3476" s="9"/>
      <c r="B3476" s="10"/>
      <c r="C3476" s="11"/>
      <c r="D3476" s="12"/>
      <c r="E3476" s="10"/>
      <c r="F3476" s="10"/>
      <c r="G3476" s="10"/>
      <c r="H3476" s="14"/>
      <c r="I3476" s="14"/>
      <c r="J3476" s="14"/>
      <c r="K3476" s="14"/>
      <c r="L3476" s="14"/>
      <c r="M3476" s="15"/>
      <c r="N3476" s="10"/>
      <c r="O3476" s="14"/>
      <c r="P3476" s="14"/>
      <c r="Q3476" s="14"/>
      <c r="R3476" s="14"/>
      <c r="S3476" s="14"/>
      <c r="T3476" s="14"/>
      <c r="U3476" s="14"/>
      <c r="V3476" s="14"/>
      <c r="W3476" s="14"/>
      <c r="X3476" s="14"/>
      <c r="Y3476" s="14"/>
      <c r="Z3476" s="14"/>
      <c r="AA3476" s="16"/>
      <c r="AB3476" s="10"/>
      <c r="AC3476" s="10"/>
      <c r="AD3476" s="10"/>
      <c r="AE3476" s="10"/>
      <c r="AF3476" s="10"/>
      <c r="AG3476" s="10"/>
      <c r="AH3476" s="10"/>
      <c r="AI3476" s="10"/>
      <c r="AJ3476" s="10"/>
      <c r="AK3476" s="10"/>
      <c r="AL3476" s="10"/>
      <c r="AM3476" s="10"/>
      <c r="AN3476" s="10"/>
      <c r="AO3476" s="10"/>
      <c r="AP3476" s="10"/>
      <c r="AQ3476" s="10"/>
      <c r="AR3476" s="10"/>
      <c r="AS3476" s="10"/>
      <c r="AT3476" s="10"/>
      <c r="AU3476" s="10"/>
      <c r="AV3476" s="10"/>
      <c r="AW3476" s="10"/>
      <c r="AX3476" s="10"/>
      <c r="AY3476" s="10"/>
      <c r="AZ3476" s="10"/>
      <c r="BA3476" s="10"/>
      <c r="BB3476" s="10"/>
      <c r="BC3476" s="10"/>
      <c r="BD3476" s="10"/>
      <c r="BE3476" s="10"/>
      <c r="BF3476" s="10"/>
      <c r="BG3476" s="10"/>
      <c r="BH3476" s="10"/>
      <c r="BI3476" s="10"/>
      <c r="BJ3476" s="10"/>
      <c r="BK3476" s="10"/>
      <c r="BM3476" s="10"/>
    </row>
    <row r="3477" spans="1:65" ht="12.75">
      <c r="A3477" s="9"/>
      <c r="B3477" s="10"/>
      <c r="C3477" s="11"/>
      <c r="D3477" s="12"/>
      <c r="E3477" s="10"/>
      <c r="F3477" s="10"/>
      <c r="G3477" s="10"/>
      <c r="H3477" s="14"/>
      <c r="I3477" s="14"/>
      <c r="J3477" s="14"/>
      <c r="K3477" s="14"/>
      <c r="L3477" s="14"/>
      <c r="M3477" s="15"/>
      <c r="N3477" s="10"/>
      <c r="O3477" s="14"/>
      <c r="P3477" s="14"/>
      <c r="Q3477" s="14"/>
      <c r="R3477" s="14"/>
      <c r="S3477" s="14"/>
      <c r="T3477" s="14"/>
      <c r="U3477" s="14"/>
      <c r="V3477" s="14"/>
      <c r="W3477" s="14"/>
      <c r="X3477" s="14"/>
      <c r="Y3477" s="14"/>
      <c r="Z3477" s="14"/>
      <c r="AA3477" s="16"/>
      <c r="AB3477" s="10"/>
      <c r="AC3477" s="10"/>
      <c r="AD3477" s="10"/>
      <c r="AE3477" s="10"/>
      <c r="AF3477" s="10"/>
      <c r="AG3477" s="10"/>
      <c r="AH3477" s="10"/>
      <c r="AI3477" s="10"/>
      <c r="AJ3477" s="10"/>
      <c r="AK3477" s="10"/>
      <c r="AL3477" s="10"/>
      <c r="AM3477" s="10"/>
      <c r="AN3477" s="10"/>
      <c r="AO3477" s="10"/>
      <c r="AP3477" s="10"/>
      <c r="AQ3477" s="10"/>
      <c r="AR3477" s="10"/>
      <c r="AS3477" s="10"/>
      <c r="AT3477" s="10"/>
      <c r="AU3477" s="10"/>
      <c r="AV3477" s="10"/>
      <c r="AW3477" s="10"/>
      <c r="AX3477" s="10"/>
      <c r="AY3477" s="10"/>
      <c r="AZ3477" s="10"/>
      <c r="BA3477" s="10"/>
      <c r="BB3477" s="10"/>
      <c r="BC3477" s="10"/>
      <c r="BD3477" s="10"/>
      <c r="BE3477" s="10"/>
      <c r="BF3477" s="10"/>
      <c r="BG3477" s="10"/>
      <c r="BH3477" s="10"/>
      <c r="BI3477" s="10"/>
      <c r="BJ3477" s="10"/>
      <c r="BK3477" s="10"/>
      <c r="BM3477" s="10"/>
    </row>
    <row r="3478" spans="1:65" ht="12.75">
      <c r="A3478" s="9"/>
      <c r="B3478" s="10"/>
      <c r="C3478" s="11"/>
      <c r="D3478" s="12"/>
      <c r="E3478" s="10"/>
      <c r="F3478" s="10"/>
      <c r="G3478" s="10"/>
      <c r="H3478" s="14"/>
      <c r="I3478" s="14"/>
      <c r="J3478" s="14"/>
      <c r="K3478" s="14"/>
      <c r="L3478" s="14"/>
      <c r="M3478" s="15"/>
      <c r="N3478" s="10"/>
      <c r="O3478" s="14"/>
      <c r="P3478" s="14"/>
      <c r="Q3478" s="14"/>
      <c r="R3478" s="14"/>
      <c r="S3478" s="14"/>
      <c r="T3478" s="14"/>
      <c r="U3478" s="14"/>
      <c r="V3478" s="14"/>
      <c r="W3478" s="14"/>
      <c r="X3478" s="14"/>
      <c r="Y3478" s="14"/>
      <c r="Z3478" s="14"/>
      <c r="AA3478" s="16"/>
      <c r="AB3478" s="10"/>
      <c r="AC3478" s="10"/>
      <c r="AD3478" s="10"/>
      <c r="AE3478" s="10"/>
      <c r="AF3478" s="10"/>
      <c r="AG3478" s="10"/>
      <c r="AH3478" s="10"/>
      <c r="AI3478" s="10"/>
      <c r="AJ3478" s="10"/>
      <c r="AK3478" s="10"/>
      <c r="AL3478" s="10"/>
      <c r="AM3478" s="10"/>
      <c r="AN3478" s="10"/>
      <c r="AO3478" s="10"/>
      <c r="AP3478" s="10"/>
      <c r="AQ3478" s="10"/>
      <c r="AR3478" s="10"/>
      <c r="AS3478" s="10"/>
      <c r="AT3478" s="10"/>
      <c r="AU3478" s="10"/>
      <c r="AV3478" s="10"/>
      <c r="AW3478" s="10"/>
      <c r="AX3478" s="10"/>
      <c r="AY3478" s="10"/>
      <c r="AZ3478" s="10"/>
      <c r="BA3478" s="10"/>
      <c r="BB3478" s="10"/>
      <c r="BC3478" s="10"/>
      <c r="BD3478" s="10"/>
      <c r="BE3478" s="10"/>
      <c r="BF3478" s="10"/>
      <c r="BG3478" s="10"/>
      <c r="BH3478" s="10"/>
      <c r="BI3478" s="10"/>
      <c r="BJ3478" s="10"/>
      <c r="BK3478" s="10"/>
      <c r="BM3478" s="10"/>
    </row>
    <row r="3479" spans="1:65" ht="12.75">
      <c r="A3479" s="9"/>
      <c r="B3479" s="10"/>
      <c r="C3479" s="11"/>
      <c r="D3479" s="12"/>
      <c r="E3479" s="10"/>
      <c r="F3479" s="10"/>
      <c r="G3479" s="10"/>
      <c r="H3479" s="14"/>
      <c r="I3479" s="14"/>
      <c r="J3479" s="14"/>
      <c r="K3479" s="14"/>
      <c r="L3479" s="14"/>
      <c r="M3479" s="15"/>
      <c r="N3479" s="10"/>
      <c r="O3479" s="14"/>
      <c r="P3479" s="14"/>
      <c r="Q3479" s="14"/>
      <c r="R3479" s="14"/>
      <c r="S3479" s="14"/>
      <c r="T3479" s="14"/>
      <c r="U3479" s="14"/>
      <c r="V3479" s="14"/>
      <c r="W3479" s="14"/>
      <c r="X3479" s="14"/>
      <c r="Y3479" s="14"/>
      <c r="Z3479" s="14"/>
      <c r="AA3479" s="16"/>
      <c r="AB3479" s="10"/>
      <c r="AC3479" s="10"/>
      <c r="AD3479" s="10"/>
      <c r="AE3479" s="10"/>
      <c r="AF3479" s="10"/>
      <c r="AG3479" s="10"/>
      <c r="AH3479" s="10"/>
      <c r="AI3479" s="10"/>
      <c r="AJ3479" s="10"/>
      <c r="AK3479" s="10"/>
      <c r="AL3479" s="10"/>
      <c r="AM3479" s="10"/>
      <c r="AN3479" s="10"/>
      <c r="AO3479" s="10"/>
      <c r="AP3479" s="10"/>
      <c r="AQ3479" s="10"/>
      <c r="AR3479" s="10"/>
      <c r="AS3479" s="10"/>
      <c r="AT3479" s="10"/>
      <c r="AU3479" s="10"/>
      <c r="AV3479" s="10"/>
      <c r="AW3479" s="10"/>
      <c r="AX3479" s="10"/>
      <c r="AY3479" s="10"/>
      <c r="AZ3479" s="10"/>
      <c r="BA3479" s="10"/>
      <c r="BB3479" s="10"/>
      <c r="BC3479" s="10"/>
      <c r="BD3479" s="10"/>
      <c r="BE3479" s="10"/>
      <c r="BF3479" s="10"/>
      <c r="BG3479" s="10"/>
      <c r="BH3479" s="10"/>
      <c r="BI3479" s="10"/>
      <c r="BJ3479" s="10"/>
      <c r="BK3479" s="10"/>
      <c r="BM3479" s="10"/>
    </row>
    <row r="3480" spans="1:65" ht="12.75">
      <c r="A3480" s="9"/>
      <c r="B3480" s="10"/>
      <c r="C3480" s="11"/>
      <c r="D3480" s="12"/>
      <c r="E3480" s="10"/>
      <c r="F3480" s="10"/>
      <c r="G3480" s="10"/>
      <c r="H3480" s="14"/>
      <c r="I3480" s="14"/>
      <c r="J3480" s="14"/>
      <c r="K3480" s="14"/>
      <c r="L3480" s="14"/>
      <c r="M3480" s="15"/>
      <c r="N3480" s="10"/>
      <c r="O3480" s="14"/>
      <c r="P3480" s="14"/>
      <c r="Q3480" s="14"/>
      <c r="R3480" s="14"/>
      <c r="S3480" s="14"/>
      <c r="T3480" s="14"/>
      <c r="U3480" s="14"/>
      <c r="V3480" s="14"/>
      <c r="W3480" s="14"/>
      <c r="X3480" s="14"/>
      <c r="Y3480" s="14"/>
      <c r="Z3480" s="14"/>
      <c r="AA3480" s="16"/>
      <c r="AB3480" s="10"/>
      <c r="AC3480" s="10"/>
      <c r="AD3480" s="10"/>
      <c r="AE3480" s="10"/>
      <c r="AF3480" s="10"/>
      <c r="AG3480" s="10"/>
      <c r="AH3480" s="10"/>
      <c r="AI3480" s="10"/>
      <c r="AJ3480" s="10"/>
      <c r="AK3480" s="10"/>
      <c r="AL3480" s="10"/>
      <c r="AM3480" s="10"/>
      <c r="AN3480" s="10"/>
      <c r="AO3480" s="10"/>
      <c r="AP3480" s="10"/>
      <c r="AQ3480" s="10"/>
      <c r="AR3480" s="10"/>
      <c r="AS3480" s="10"/>
      <c r="AT3480" s="10"/>
      <c r="AU3480" s="10"/>
      <c r="AV3480" s="10"/>
      <c r="AW3480" s="10"/>
      <c r="AX3480" s="10"/>
      <c r="AY3480" s="10"/>
      <c r="AZ3480" s="10"/>
      <c r="BA3480" s="10"/>
      <c r="BB3480" s="10"/>
      <c r="BC3480" s="10"/>
      <c r="BD3480" s="10"/>
      <c r="BE3480" s="10"/>
      <c r="BF3480" s="10"/>
      <c r="BG3480" s="10"/>
      <c r="BH3480" s="10"/>
      <c r="BI3480" s="10"/>
      <c r="BJ3480" s="10"/>
      <c r="BK3480" s="10"/>
      <c r="BM3480" s="10"/>
    </row>
    <row r="3481" spans="1:65" ht="12.75">
      <c r="A3481" s="9"/>
      <c r="B3481" s="10"/>
      <c r="C3481" s="11"/>
      <c r="D3481" s="12"/>
      <c r="E3481" s="10"/>
      <c r="F3481" s="10"/>
      <c r="G3481" s="10"/>
      <c r="H3481" s="14"/>
      <c r="I3481" s="14"/>
      <c r="J3481" s="14"/>
      <c r="K3481" s="14"/>
      <c r="L3481" s="14"/>
      <c r="M3481" s="15"/>
      <c r="N3481" s="10"/>
      <c r="O3481" s="14"/>
      <c r="P3481" s="14"/>
      <c r="Q3481" s="14"/>
      <c r="R3481" s="14"/>
      <c r="S3481" s="14"/>
      <c r="T3481" s="14"/>
      <c r="U3481" s="14"/>
      <c r="V3481" s="14"/>
      <c r="W3481" s="14"/>
      <c r="X3481" s="14"/>
      <c r="Y3481" s="14"/>
      <c r="Z3481" s="14"/>
      <c r="AA3481" s="16"/>
      <c r="AB3481" s="10"/>
      <c r="AC3481" s="10"/>
      <c r="AD3481" s="10"/>
      <c r="AE3481" s="10"/>
      <c r="AF3481" s="10"/>
      <c r="AG3481" s="10"/>
      <c r="AH3481" s="10"/>
      <c r="AI3481" s="10"/>
      <c r="AJ3481" s="10"/>
      <c r="AK3481" s="10"/>
      <c r="AL3481" s="10"/>
      <c r="AM3481" s="10"/>
      <c r="AN3481" s="10"/>
      <c r="AO3481" s="10"/>
      <c r="AP3481" s="10"/>
      <c r="AQ3481" s="10"/>
      <c r="AR3481" s="10"/>
      <c r="AS3481" s="10"/>
      <c r="AT3481" s="10"/>
      <c r="AU3481" s="10"/>
      <c r="AV3481" s="10"/>
      <c r="AW3481" s="10"/>
      <c r="AX3481" s="10"/>
      <c r="AY3481" s="10"/>
      <c r="AZ3481" s="10"/>
      <c r="BA3481" s="10"/>
      <c r="BB3481" s="10"/>
      <c r="BC3481" s="10"/>
      <c r="BD3481" s="10"/>
      <c r="BE3481" s="10"/>
      <c r="BF3481" s="10"/>
      <c r="BG3481" s="10"/>
      <c r="BH3481" s="10"/>
      <c r="BI3481" s="10"/>
      <c r="BJ3481" s="10"/>
      <c r="BK3481" s="10"/>
      <c r="BM3481" s="10"/>
    </row>
    <row r="3482" spans="1:65" ht="12.75">
      <c r="A3482" s="9"/>
      <c r="B3482" s="10"/>
      <c r="C3482" s="11"/>
      <c r="D3482" s="12"/>
      <c r="E3482" s="10"/>
      <c r="F3482" s="10"/>
      <c r="G3482" s="10"/>
      <c r="H3482" s="14"/>
      <c r="I3482" s="14"/>
      <c r="J3482" s="14"/>
      <c r="K3482" s="14"/>
      <c r="L3482" s="14"/>
      <c r="M3482" s="15"/>
      <c r="N3482" s="10"/>
      <c r="O3482" s="14"/>
      <c r="P3482" s="14"/>
      <c r="Q3482" s="14"/>
      <c r="R3482" s="14"/>
      <c r="S3482" s="14"/>
      <c r="T3482" s="14"/>
      <c r="U3482" s="14"/>
      <c r="V3482" s="14"/>
      <c r="W3482" s="14"/>
      <c r="X3482" s="14"/>
      <c r="Y3482" s="14"/>
      <c r="Z3482" s="14"/>
      <c r="AA3482" s="16"/>
      <c r="AB3482" s="10"/>
      <c r="AC3482" s="10"/>
      <c r="AD3482" s="10"/>
      <c r="AE3482" s="10"/>
      <c r="AF3482" s="10"/>
      <c r="AG3482" s="10"/>
      <c r="AH3482" s="10"/>
      <c r="AI3482" s="10"/>
      <c r="AJ3482" s="10"/>
      <c r="AK3482" s="10"/>
      <c r="AL3482" s="10"/>
      <c r="AM3482" s="10"/>
      <c r="AN3482" s="10"/>
      <c r="AO3482" s="10"/>
      <c r="AP3482" s="10"/>
      <c r="AQ3482" s="10"/>
      <c r="AR3482" s="10"/>
      <c r="AS3482" s="10"/>
      <c r="AT3482" s="10"/>
      <c r="AU3482" s="10"/>
      <c r="AV3482" s="10"/>
      <c r="AW3482" s="10"/>
      <c r="AX3482" s="10"/>
      <c r="AY3482" s="10"/>
      <c r="AZ3482" s="10"/>
      <c r="BA3482" s="10"/>
      <c r="BB3482" s="10"/>
      <c r="BC3482" s="10"/>
      <c r="BD3482" s="10"/>
      <c r="BE3482" s="10"/>
      <c r="BF3482" s="10"/>
      <c r="BG3482" s="10"/>
      <c r="BH3482" s="10"/>
      <c r="BI3482" s="10"/>
      <c r="BJ3482" s="10"/>
      <c r="BK3482" s="10"/>
      <c r="BM3482" s="10"/>
    </row>
    <row r="3483" spans="1:65" ht="12.75">
      <c r="A3483" s="9"/>
      <c r="B3483" s="10"/>
      <c r="C3483" s="11"/>
      <c r="D3483" s="12"/>
      <c r="E3483" s="10"/>
      <c r="F3483" s="10"/>
      <c r="G3483" s="10"/>
      <c r="H3483" s="14"/>
      <c r="I3483" s="14"/>
      <c r="J3483" s="14"/>
      <c r="K3483" s="14"/>
      <c r="L3483" s="14"/>
      <c r="M3483" s="15"/>
      <c r="N3483" s="10"/>
      <c r="O3483" s="14"/>
      <c r="P3483" s="14"/>
      <c r="Q3483" s="14"/>
      <c r="R3483" s="14"/>
      <c r="S3483" s="14"/>
      <c r="T3483" s="14"/>
      <c r="U3483" s="14"/>
      <c r="V3483" s="14"/>
      <c r="W3483" s="14"/>
      <c r="X3483" s="14"/>
      <c r="Y3483" s="14"/>
      <c r="Z3483" s="14"/>
      <c r="AA3483" s="16"/>
      <c r="AB3483" s="10"/>
      <c r="AC3483" s="10"/>
      <c r="AD3483" s="10"/>
      <c r="AE3483" s="10"/>
      <c r="AF3483" s="10"/>
      <c r="AG3483" s="10"/>
      <c r="AH3483" s="10"/>
      <c r="AI3483" s="10"/>
      <c r="AJ3483" s="10"/>
      <c r="AK3483" s="10"/>
      <c r="AL3483" s="10"/>
      <c r="AM3483" s="10"/>
      <c r="AN3483" s="10"/>
      <c r="AO3483" s="10"/>
      <c r="AP3483" s="10"/>
      <c r="AQ3483" s="10"/>
      <c r="AR3483" s="10"/>
      <c r="AS3483" s="10"/>
      <c r="AT3483" s="10"/>
      <c r="AU3483" s="10"/>
      <c r="AV3483" s="10"/>
      <c r="AW3483" s="10"/>
      <c r="AX3483" s="10"/>
      <c r="AY3483" s="10"/>
      <c r="AZ3483" s="10"/>
      <c r="BA3483" s="10"/>
      <c r="BB3483" s="10"/>
      <c r="BC3483" s="10"/>
      <c r="BD3483" s="10"/>
      <c r="BE3483" s="10"/>
      <c r="BF3483" s="10"/>
      <c r="BG3483" s="10"/>
      <c r="BH3483" s="10"/>
      <c r="BI3483" s="10"/>
      <c r="BJ3483" s="10"/>
      <c r="BK3483" s="10"/>
      <c r="BM3483" s="10"/>
    </row>
    <row r="3484" spans="1:65" ht="12.75">
      <c r="A3484" s="9"/>
      <c r="B3484" s="10"/>
      <c r="C3484" s="11"/>
      <c r="D3484" s="12"/>
      <c r="E3484" s="10"/>
      <c r="F3484" s="10"/>
      <c r="G3484" s="10"/>
      <c r="H3484" s="14"/>
      <c r="I3484" s="14"/>
      <c r="J3484" s="14"/>
      <c r="K3484" s="14"/>
      <c r="L3484" s="14"/>
      <c r="M3484" s="15"/>
      <c r="N3484" s="10"/>
      <c r="O3484" s="14"/>
      <c r="P3484" s="14"/>
      <c r="Q3484" s="14"/>
      <c r="R3484" s="14"/>
      <c r="S3484" s="14"/>
      <c r="T3484" s="14"/>
      <c r="U3484" s="14"/>
      <c r="V3484" s="14"/>
      <c r="W3484" s="14"/>
      <c r="X3484" s="14"/>
      <c r="Y3484" s="14"/>
      <c r="Z3484" s="14"/>
      <c r="AA3484" s="16"/>
      <c r="AB3484" s="10"/>
      <c r="AC3484" s="10"/>
      <c r="AD3484" s="10"/>
      <c r="AE3484" s="10"/>
      <c r="AF3484" s="10"/>
      <c r="AG3484" s="10"/>
      <c r="AH3484" s="10"/>
      <c r="AI3484" s="10"/>
      <c r="AJ3484" s="10"/>
      <c r="AK3484" s="10"/>
      <c r="AL3484" s="10"/>
      <c r="AM3484" s="10"/>
      <c r="AN3484" s="10"/>
      <c r="AO3484" s="10"/>
      <c r="AP3484" s="10"/>
      <c r="AQ3484" s="10"/>
      <c r="AR3484" s="10"/>
      <c r="AS3484" s="10"/>
      <c r="AT3484" s="10"/>
      <c r="AU3484" s="10"/>
      <c r="AV3484" s="10"/>
      <c r="AW3484" s="10"/>
      <c r="AX3484" s="10"/>
      <c r="AY3484" s="10"/>
      <c r="AZ3484" s="10"/>
      <c r="BA3484" s="10"/>
      <c r="BB3484" s="10"/>
      <c r="BC3484" s="10"/>
      <c r="BD3484" s="10"/>
      <c r="BE3484" s="10"/>
      <c r="BF3484" s="10"/>
      <c r="BG3484" s="10"/>
      <c r="BH3484" s="10"/>
      <c r="BI3484" s="10"/>
      <c r="BJ3484" s="10"/>
      <c r="BK3484" s="10"/>
      <c r="BM3484" s="10"/>
    </row>
    <row r="3485" spans="1:65" ht="12.75">
      <c r="A3485" s="9"/>
      <c r="B3485" s="10"/>
      <c r="C3485" s="11"/>
      <c r="D3485" s="12"/>
      <c r="E3485" s="10"/>
      <c r="F3485" s="10"/>
      <c r="G3485" s="10"/>
      <c r="H3485" s="14"/>
      <c r="I3485" s="14"/>
      <c r="J3485" s="14"/>
      <c r="K3485" s="14"/>
      <c r="L3485" s="14"/>
      <c r="M3485" s="15"/>
      <c r="N3485" s="10"/>
      <c r="O3485" s="14"/>
      <c r="P3485" s="14"/>
      <c r="Q3485" s="14"/>
      <c r="R3485" s="14"/>
      <c r="S3485" s="14"/>
      <c r="T3485" s="14"/>
      <c r="U3485" s="14"/>
      <c r="V3485" s="14"/>
      <c r="W3485" s="14"/>
      <c r="X3485" s="14"/>
      <c r="Y3485" s="14"/>
      <c r="Z3485" s="14"/>
      <c r="AA3485" s="16"/>
      <c r="AB3485" s="10"/>
      <c r="AC3485" s="10"/>
      <c r="AD3485" s="10"/>
      <c r="AE3485" s="10"/>
      <c r="AF3485" s="10"/>
      <c r="AG3485" s="10"/>
      <c r="AH3485" s="10"/>
      <c r="AI3485" s="10"/>
      <c r="AJ3485" s="10"/>
      <c r="AK3485" s="10"/>
      <c r="AL3485" s="10"/>
      <c r="AM3485" s="10"/>
      <c r="AN3485" s="10"/>
      <c r="AO3485" s="10"/>
      <c r="AP3485" s="10"/>
      <c r="AQ3485" s="10"/>
      <c r="AR3485" s="10"/>
      <c r="AS3485" s="10"/>
      <c r="AT3485" s="10"/>
      <c r="AU3485" s="10"/>
      <c r="AV3485" s="10"/>
      <c r="AW3485" s="10"/>
      <c r="AX3485" s="10"/>
      <c r="AY3485" s="10"/>
      <c r="AZ3485" s="10"/>
      <c r="BA3485" s="10"/>
      <c r="BB3485" s="10"/>
      <c r="BC3485" s="10"/>
      <c r="BD3485" s="10"/>
      <c r="BE3485" s="10"/>
      <c r="BF3485" s="10"/>
      <c r="BG3485" s="10"/>
      <c r="BH3485" s="10"/>
      <c r="BI3485" s="10"/>
      <c r="BJ3485" s="10"/>
      <c r="BK3485" s="10"/>
      <c r="BM3485" s="10"/>
    </row>
    <row r="3486" spans="1:65" ht="12.75">
      <c r="A3486" s="9"/>
      <c r="B3486" s="10"/>
      <c r="C3486" s="11"/>
      <c r="D3486" s="12"/>
      <c r="E3486" s="10"/>
      <c r="F3486" s="10"/>
      <c r="G3486" s="10"/>
      <c r="H3486" s="14"/>
      <c r="I3486" s="14"/>
      <c r="J3486" s="14"/>
      <c r="K3486" s="14"/>
      <c r="L3486" s="14"/>
      <c r="M3486" s="15"/>
      <c r="N3486" s="10"/>
      <c r="O3486" s="14"/>
      <c r="P3486" s="14"/>
      <c r="Q3486" s="14"/>
      <c r="R3486" s="14"/>
      <c r="S3486" s="14"/>
      <c r="T3486" s="14"/>
      <c r="U3486" s="14"/>
      <c r="V3486" s="14"/>
      <c r="W3486" s="14"/>
      <c r="X3486" s="14"/>
      <c r="Y3486" s="14"/>
      <c r="Z3486" s="14"/>
      <c r="AA3486" s="16"/>
      <c r="AB3486" s="10"/>
      <c r="AC3486" s="10"/>
      <c r="AD3486" s="10"/>
      <c r="AE3486" s="10"/>
      <c r="AF3486" s="10"/>
      <c r="AG3486" s="10"/>
      <c r="AH3486" s="10"/>
      <c r="AI3486" s="10"/>
      <c r="AJ3486" s="10"/>
      <c r="AK3486" s="10"/>
      <c r="AL3486" s="10"/>
      <c r="AM3486" s="10"/>
      <c r="AN3486" s="10"/>
      <c r="AO3486" s="10"/>
      <c r="AP3486" s="10"/>
      <c r="AQ3486" s="10"/>
      <c r="AR3486" s="10"/>
      <c r="AS3486" s="10"/>
      <c r="AT3486" s="10"/>
      <c r="AU3486" s="10"/>
      <c r="AV3486" s="10"/>
      <c r="AW3486" s="10"/>
      <c r="AX3486" s="10"/>
      <c r="AY3486" s="10"/>
      <c r="AZ3486" s="10"/>
      <c r="BA3486" s="10"/>
      <c r="BB3486" s="10"/>
      <c r="BC3486" s="10"/>
      <c r="BD3486" s="10"/>
      <c r="BE3486" s="10"/>
      <c r="BF3486" s="10"/>
      <c r="BG3486" s="10"/>
      <c r="BH3486" s="10"/>
      <c r="BI3486" s="10"/>
      <c r="BJ3486" s="10"/>
      <c r="BK3486" s="10"/>
      <c r="BM3486" s="10"/>
    </row>
    <row r="3487" spans="1:65" ht="12.75">
      <c r="A3487" s="9"/>
      <c r="B3487" s="10"/>
      <c r="C3487" s="11"/>
      <c r="D3487" s="12"/>
      <c r="E3487" s="10"/>
      <c r="F3487" s="10"/>
      <c r="G3487" s="10"/>
      <c r="H3487" s="14"/>
      <c r="I3487" s="14"/>
      <c r="J3487" s="14"/>
      <c r="K3487" s="14"/>
      <c r="L3487" s="14"/>
      <c r="M3487" s="15"/>
      <c r="N3487" s="10"/>
      <c r="O3487" s="14"/>
      <c r="P3487" s="14"/>
      <c r="Q3487" s="14"/>
      <c r="R3487" s="14"/>
      <c r="S3487" s="14"/>
      <c r="T3487" s="14"/>
      <c r="U3487" s="14"/>
      <c r="V3487" s="14"/>
      <c r="W3487" s="14"/>
      <c r="X3487" s="14"/>
      <c r="Y3487" s="14"/>
      <c r="Z3487" s="14"/>
      <c r="AA3487" s="16"/>
      <c r="AB3487" s="10"/>
      <c r="AC3487" s="10"/>
      <c r="AD3487" s="10"/>
      <c r="AE3487" s="10"/>
      <c r="AF3487" s="10"/>
      <c r="AG3487" s="10"/>
      <c r="AH3487" s="10"/>
      <c r="AI3487" s="10"/>
      <c r="AJ3487" s="10"/>
      <c r="AK3487" s="10"/>
      <c r="AL3487" s="10"/>
      <c r="AM3487" s="10"/>
      <c r="AN3487" s="10"/>
      <c r="AO3487" s="10"/>
      <c r="AP3487" s="10"/>
      <c r="AQ3487" s="10"/>
      <c r="AR3487" s="10"/>
      <c r="AS3487" s="10"/>
      <c r="AT3487" s="10"/>
      <c r="AU3487" s="10"/>
      <c r="AV3487" s="10"/>
      <c r="AW3487" s="10"/>
      <c r="AX3487" s="10"/>
      <c r="AY3487" s="10"/>
      <c r="AZ3487" s="10"/>
      <c r="BA3487" s="10"/>
      <c r="BB3487" s="10"/>
      <c r="BC3487" s="10"/>
      <c r="BD3487" s="10"/>
      <c r="BE3487" s="10"/>
      <c r="BF3487" s="10"/>
      <c r="BG3487" s="10"/>
      <c r="BH3487" s="10"/>
      <c r="BI3487" s="10"/>
      <c r="BJ3487" s="10"/>
      <c r="BK3487" s="10"/>
      <c r="BM3487" s="10"/>
    </row>
    <row r="3488" spans="1:65" ht="12.75">
      <c r="A3488" s="9"/>
      <c r="B3488" s="10"/>
      <c r="C3488" s="11"/>
      <c r="D3488" s="12"/>
      <c r="E3488" s="10"/>
      <c r="F3488" s="10"/>
      <c r="G3488" s="10"/>
      <c r="H3488" s="14"/>
      <c r="I3488" s="14"/>
      <c r="J3488" s="14"/>
      <c r="K3488" s="14"/>
      <c r="L3488" s="14"/>
      <c r="M3488" s="15"/>
      <c r="N3488" s="10"/>
      <c r="O3488" s="14"/>
      <c r="P3488" s="14"/>
      <c r="Q3488" s="14"/>
      <c r="R3488" s="14"/>
      <c r="S3488" s="14"/>
      <c r="T3488" s="14"/>
      <c r="U3488" s="14"/>
      <c r="V3488" s="14"/>
      <c r="W3488" s="14"/>
      <c r="X3488" s="14"/>
      <c r="Y3488" s="14"/>
      <c r="Z3488" s="14"/>
      <c r="AA3488" s="16"/>
      <c r="AB3488" s="10"/>
      <c r="AC3488" s="10"/>
      <c r="AD3488" s="10"/>
      <c r="AE3488" s="10"/>
      <c r="AF3488" s="10"/>
      <c r="AG3488" s="10"/>
      <c r="AH3488" s="10"/>
      <c r="AI3488" s="10"/>
      <c r="AJ3488" s="10"/>
      <c r="AK3488" s="10"/>
      <c r="AL3488" s="10"/>
      <c r="AM3488" s="10"/>
      <c r="AN3488" s="10"/>
      <c r="AO3488" s="10"/>
      <c r="AP3488" s="10"/>
      <c r="AQ3488" s="10"/>
      <c r="AR3488" s="10"/>
      <c r="AS3488" s="10"/>
      <c r="AT3488" s="10"/>
      <c r="AU3488" s="10"/>
      <c r="AV3488" s="10"/>
      <c r="AW3488" s="10"/>
      <c r="AX3488" s="10"/>
      <c r="AY3488" s="10"/>
      <c r="AZ3488" s="10"/>
      <c r="BA3488" s="10"/>
      <c r="BB3488" s="10"/>
      <c r="BC3488" s="10"/>
      <c r="BD3488" s="10"/>
      <c r="BE3488" s="10"/>
      <c r="BF3488" s="10"/>
      <c r="BG3488" s="10"/>
      <c r="BH3488" s="10"/>
      <c r="BI3488" s="10"/>
      <c r="BJ3488" s="10"/>
      <c r="BK3488" s="10"/>
      <c r="BM3488" s="10"/>
    </row>
    <row r="3489" spans="1:65" ht="12.75">
      <c r="A3489" s="9"/>
      <c r="B3489" s="10"/>
      <c r="C3489" s="11"/>
      <c r="D3489" s="12"/>
      <c r="E3489" s="10"/>
      <c r="F3489" s="10"/>
      <c r="G3489" s="10"/>
      <c r="H3489" s="14"/>
      <c r="I3489" s="14"/>
      <c r="J3489" s="14"/>
      <c r="K3489" s="14"/>
      <c r="L3489" s="14"/>
      <c r="M3489" s="15"/>
      <c r="N3489" s="10"/>
      <c r="O3489" s="14"/>
      <c r="P3489" s="14"/>
      <c r="Q3489" s="14"/>
      <c r="R3489" s="14"/>
      <c r="S3489" s="14"/>
      <c r="T3489" s="14"/>
      <c r="U3489" s="14"/>
      <c r="V3489" s="14"/>
      <c r="W3489" s="14"/>
      <c r="X3489" s="14"/>
      <c r="Y3489" s="14"/>
      <c r="Z3489" s="14"/>
      <c r="AA3489" s="16"/>
      <c r="AB3489" s="10"/>
      <c r="AC3489" s="10"/>
      <c r="AD3489" s="10"/>
      <c r="AE3489" s="10"/>
      <c r="AF3489" s="10"/>
      <c r="AG3489" s="10"/>
      <c r="AH3489" s="10"/>
      <c r="AI3489" s="10"/>
      <c r="AJ3489" s="10"/>
      <c r="AK3489" s="10"/>
      <c r="AL3489" s="10"/>
      <c r="AM3489" s="10"/>
      <c r="AN3489" s="10"/>
      <c r="AO3489" s="10"/>
      <c r="AP3489" s="10"/>
      <c r="AQ3489" s="10"/>
      <c r="AR3489" s="10"/>
      <c r="AS3489" s="10"/>
      <c r="AT3489" s="10"/>
      <c r="AU3489" s="10"/>
      <c r="AV3489" s="10"/>
      <c r="AW3489" s="10"/>
      <c r="AX3489" s="10"/>
      <c r="AY3489" s="10"/>
      <c r="AZ3489" s="10"/>
      <c r="BA3489" s="10"/>
      <c r="BB3489" s="10"/>
      <c r="BC3489" s="10"/>
      <c r="BD3489" s="10"/>
      <c r="BE3489" s="10"/>
      <c r="BF3489" s="10"/>
      <c r="BG3489" s="10"/>
      <c r="BH3489" s="10"/>
      <c r="BI3489" s="10"/>
      <c r="BJ3489" s="10"/>
      <c r="BK3489" s="10"/>
      <c r="BM3489" s="10"/>
    </row>
    <row r="3490" spans="1:65" ht="12.75">
      <c r="A3490" s="9"/>
      <c r="B3490" s="10"/>
      <c r="C3490" s="11"/>
      <c r="D3490" s="12"/>
      <c r="E3490" s="10"/>
      <c r="F3490" s="10"/>
      <c r="G3490" s="10"/>
      <c r="H3490" s="14"/>
      <c r="I3490" s="14"/>
      <c r="J3490" s="14"/>
      <c r="K3490" s="14"/>
      <c r="L3490" s="14"/>
      <c r="M3490" s="15"/>
      <c r="N3490" s="10"/>
      <c r="O3490" s="14"/>
      <c r="P3490" s="14"/>
      <c r="Q3490" s="14"/>
      <c r="R3490" s="14"/>
      <c r="S3490" s="14"/>
      <c r="T3490" s="14"/>
      <c r="U3490" s="14"/>
      <c r="V3490" s="14"/>
      <c r="W3490" s="14"/>
      <c r="X3490" s="14"/>
      <c r="Y3490" s="14"/>
      <c r="Z3490" s="14"/>
      <c r="AA3490" s="16"/>
      <c r="AB3490" s="10"/>
      <c r="AC3490" s="10"/>
      <c r="AD3490" s="10"/>
      <c r="AE3490" s="10"/>
      <c r="AF3490" s="10"/>
      <c r="AG3490" s="10"/>
      <c r="AH3490" s="10"/>
      <c r="AI3490" s="10"/>
      <c r="AJ3490" s="10"/>
      <c r="AK3490" s="10"/>
      <c r="AL3490" s="10"/>
      <c r="AM3490" s="10"/>
      <c r="AN3490" s="10"/>
      <c r="AO3490" s="10"/>
      <c r="AP3490" s="10"/>
      <c r="AQ3490" s="10"/>
      <c r="AR3490" s="10"/>
      <c r="AS3490" s="10"/>
      <c r="AT3490" s="10"/>
      <c r="AU3490" s="10"/>
      <c r="AV3490" s="10"/>
      <c r="AW3490" s="10"/>
      <c r="AX3490" s="10"/>
      <c r="AY3490" s="10"/>
      <c r="AZ3490" s="10"/>
      <c r="BA3490" s="10"/>
      <c r="BB3490" s="10"/>
      <c r="BC3490" s="10"/>
      <c r="BD3490" s="10"/>
      <c r="BE3490" s="10"/>
      <c r="BF3490" s="10"/>
      <c r="BG3490" s="10"/>
      <c r="BH3490" s="10"/>
      <c r="BI3490" s="10"/>
      <c r="BJ3490" s="10"/>
      <c r="BK3490" s="10"/>
      <c r="BM3490" s="10"/>
    </row>
    <row r="3491" spans="1:65" ht="12.75">
      <c r="A3491" s="9"/>
      <c r="B3491" s="10"/>
      <c r="C3491" s="11"/>
      <c r="D3491" s="12"/>
      <c r="E3491" s="10"/>
      <c r="F3491" s="10"/>
      <c r="G3491" s="10"/>
      <c r="H3491" s="14"/>
      <c r="I3491" s="14"/>
      <c r="J3491" s="14"/>
      <c r="K3491" s="14"/>
      <c r="L3491" s="14"/>
      <c r="M3491" s="15"/>
      <c r="N3491" s="10"/>
      <c r="O3491" s="14"/>
      <c r="P3491" s="14"/>
      <c r="Q3491" s="14"/>
      <c r="R3491" s="14"/>
      <c r="S3491" s="14"/>
      <c r="T3491" s="14"/>
      <c r="U3491" s="14"/>
      <c r="V3491" s="14"/>
      <c r="W3491" s="14"/>
      <c r="X3491" s="14"/>
      <c r="Y3491" s="14"/>
      <c r="Z3491" s="14"/>
      <c r="AA3491" s="16"/>
      <c r="AB3491" s="10"/>
      <c r="AC3491" s="10"/>
      <c r="AD3491" s="10"/>
      <c r="AE3491" s="10"/>
      <c r="AF3491" s="10"/>
      <c r="AG3491" s="10"/>
      <c r="AH3491" s="10"/>
      <c r="AI3491" s="10"/>
      <c r="AJ3491" s="10"/>
      <c r="AK3491" s="10"/>
      <c r="AL3491" s="10"/>
      <c r="AM3491" s="10"/>
      <c r="AN3491" s="10"/>
      <c r="AO3491" s="10"/>
      <c r="AP3491" s="10"/>
      <c r="AQ3491" s="10"/>
      <c r="AR3491" s="10"/>
      <c r="AS3491" s="10"/>
      <c r="AT3491" s="10"/>
      <c r="AU3491" s="10"/>
      <c r="AV3491" s="10"/>
      <c r="AW3491" s="10"/>
      <c r="AX3491" s="10"/>
      <c r="AY3491" s="10"/>
      <c r="AZ3491" s="10"/>
      <c r="BA3491" s="10"/>
      <c r="BB3491" s="10"/>
      <c r="BC3491" s="10"/>
      <c r="BD3491" s="10"/>
      <c r="BE3491" s="10"/>
      <c r="BF3491" s="10"/>
      <c r="BG3491" s="10"/>
      <c r="BH3491" s="10"/>
      <c r="BI3491" s="10"/>
      <c r="BJ3491" s="10"/>
      <c r="BK3491" s="10"/>
      <c r="BM3491" s="10"/>
    </row>
    <row r="3492" spans="1:65" ht="12.75">
      <c r="A3492" s="9"/>
      <c r="B3492" s="10"/>
      <c r="C3492" s="11"/>
      <c r="D3492" s="12"/>
      <c r="E3492" s="10"/>
      <c r="F3492" s="10"/>
      <c r="G3492" s="10"/>
      <c r="H3492" s="14"/>
      <c r="I3492" s="14"/>
      <c r="J3492" s="14"/>
      <c r="K3492" s="14"/>
      <c r="L3492" s="14"/>
      <c r="M3492" s="15"/>
      <c r="N3492" s="10"/>
      <c r="O3492" s="14"/>
      <c r="P3492" s="14"/>
      <c r="Q3492" s="14"/>
      <c r="R3492" s="14"/>
      <c r="S3492" s="14"/>
      <c r="T3492" s="14"/>
      <c r="U3492" s="14"/>
      <c r="V3492" s="14"/>
      <c r="W3492" s="14"/>
      <c r="X3492" s="14"/>
      <c r="Y3492" s="14"/>
      <c r="Z3492" s="14"/>
      <c r="AA3492" s="16"/>
      <c r="AB3492" s="10"/>
      <c r="AC3492" s="10"/>
      <c r="AD3492" s="10"/>
      <c r="AE3492" s="10"/>
      <c r="AF3492" s="10"/>
      <c r="AG3492" s="10"/>
      <c r="AH3492" s="10"/>
      <c r="AI3492" s="10"/>
      <c r="AJ3492" s="10"/>
      <c r="AK3492" s="10"/>
      <c r="AL3492" s="10"/>
      <c r="AM3492" s="10"/>
      <c r="AN3492" s="10"/>
      <c r="AO3492" s="10"/>
      <c r="AP3492" s="10"/>
      <c r="AQ3492" s="10"/>
      <c r="AR3492" s="10"/>
      <c r="AS3492" s="10"/>
      <c r="AT3492" s="10"/>
      <c r="AU3492" s="10"/>
      <c r="AV3492" s="10"/>
      <c r="AW3492" s="10"/>
      <c r="AX3492" s="10"/>
      <c r="AY3492" s="10"/>
      <c r="AZ3492" s="10"/>
      <c r="BA3492" s="10"/>
      <c r="BB3492" s="10"/>
      <c r="BC3492" s="10"/>
      <c r="BD3492" s="10"/>
      <c r="BE3492" s="10"/>
      <c r="BF3492" s="10"/>
      <c r="BG3492" s="10"/>
      <c r="BH3492" s="10"/>
      <c r="BI3492" s="10"/>
      <c r="BJ3492" s="10"/>
      <c r="BK3492" s="10"/>
      <c r="BM3492" s="10"/>
    </row>
    <row r="3493" spans="1:65" ht="12.75">
      <c r="A3493" s="9"/>
      <c r="B3493" s="10"/>
      <c r="C3493" s="11"/>
      <c r="D3493" s="12"/>
      <c r="E3493" s="10"/>
      <c r="F3493" s="10"/>
      <c r="G3493" s="10"/>
      <c r="H3493" s="14"/>
      <c r="I3493" s="14"/>
      <c r="J3493" s="14"/>
      <c r="K3493" s="14"/>
      <c r="L3493" s="14"/>
      <c r="M3493" s="15"/>
      <c r="N3493" s="10"/>
      <c r="O3493" s="14"/>
      <c r="P3493" s="14"/>
      <c r="Q3493" s="14"/>
      <c r="R3493" s="14"/>
      <c r="S3493" s="14"/>
      <c r="T3493" s="14"/>
      <c r="U3493" s="14"/>
      <c r="V3493" s="14"/>
      <c r="W3493" s="14"/>
      <c r="X3493" s="14"/>
      <c r="Y3493" s="14"/>
      <c r="Z3493" s="14"/>
      <c r="AA3493" s="16"/>
      <c r="AB3493" s="10"/>
      <c r="AC3493" s="10"/>
      <c r="AD3493" s="10"/>
      <c r="AE3493" s="10"/>
      <c r="AF3493" s="10"/>
      <c r="AG3493" s="10"/>
      <c r="AH3493" s="10"/>
      <c r="AI3493" s="10"/>
      <c r="AJ3493" s="10"/>
      <c r="AK3493" s="10"/>
      <c r="AL3493" s="10"/>
      <c r="AM3493" s="10"/>
      <c r="AN3493" s="10"/>
      <c r="AO3493" s="10"/>
      <c r="AP3493" s="10"/>
      <c r="AQ3493" s="10"/>
      <c r="AR3493" s="10"/>
      <c r="AS3493" s="10"/>
      <c r="AT3493" s="10"/>
      <c r="AU3493" s="10"/>
      <c r="AV3493" s="10"/>
      <c r="AW3493" s="10"/>
      <c r="AX3493" s="10"/>
      <c r="AY3493" s="10"/>
      <c r="AZ3493" s="10"/>
      <c r="BA3493" s="10"/>
      <c r="BB3493" s="10"/>
      <c r="BC3493" s="10"/>
      <c r="BD3493" s="10"/>
      <c r="BE3493" s="10"/>
      <c r="BF3493" s="10"/>
      <c r="BG3493" s="10"/>
      <c r="BH3493" s="10"/>
      <c r="BI3493" s="10"/>
      <c r="BJ3493" s="10"/>
      <c r="BK3493" s="10"/>
      <c r="BM3493" s="10"/>
    </row>
    <row r="3494" spans="1:65" ht="12.75">
      <c r="A3494" s="9"/>
      <c r="B3494" s="10"/>
      <c r="C3494" s="11"/>
      <c r="D3494" s="12"/>
      <c r="E3494" s="10"/>
      <c r="F3494" s="10"/>
      <c r="G3494" s="10"/>
      <c r="H3494" s="14"/>
      <c r="I3494" s="14"/>
      <c r="J3494" s="14"/>
      <c r="K3494" s="14"/>
      <c r="L3494" s="14"/>
      <c r="M3494" s="15"/>
      <c r="N3494" s="10"/>
      <c r="O3494" s="14"/>
      <c r="P3494" s="14"/>
      <c r="Q3494" s="14"/>
      <c r="R3494" s="14"/>
      <c r="S3494" s="14"/>
      <c r="T3494" s="14"/>
      <c r="U3494" s="14"/>
      <c r="V3494" s="14"/>
      <c r="W3494" s="14"/>
      <c r="X3494" s="14"/>
      <c r="Y3494" s="14"/>
      <c r="Z3494" s="14"/>
      <c r="AA3494" s="16"/>
      <c r="AB3494" s="10"/>
      <c r="AC3494" s="10"/>
      <c r="AD3494" s="10"/>
      <c r="AE3494" s="10"/>
      <c r="AF3494" s="10"/>
      <c r="AG3494" s="10"/>
      <c r="AH3494" s="10"/>
      <c r="AI3494" s="10"/>
      <c r="AJ3494" s="10"/>
      <c r="AK3494" s="10"/>
      <c r="AL3494" s="10"/>
      <c r="AM3494" s="10"/>
      <c r="AN3494" s="10"/>
      <c r="AO3494" s="10"/>
      <c r="AP3494" s="10"/>
      <c r="AQ3494" s="10"/>
      <c r="AR3494" s="10"/>
      <c r="AS3494" s="10"/>
      <c r="AT3494" s="10"/>
      <c r="AU3494" s="10"/>
      <c r="AV3494" s="10"/>
      <c r="AW3494" s="10"/>
      <c r="AX3494" s="10"/>
      <c r="AY3494" s="10"/>
      <c r="AZ3494" s="10"/>
      <c r="BA3494" s="10"/>
      <c r="BB3494" s="10"/>
      <c r="BC3494" s="10"/>
      <c r="BD3494" s="10"/>
      <c r="BE3494" s="10"/>
      <c r="BF3494" s="10"/>
      <c r="BG3494" s="10"/>
      <c r="BH3494" s="10"/>
      <c r="BI3494" s="10"/>
      <c r="BJ3494" s="10"/>
      <c r="BK3494" s="10"/>
      <c r="BM3494" s="10"/>
    </row>
    <row r="3495" spans="1:65" ht="12.75">
      <c r="A3495" s="9"/>
      <c r="B3495" s="10"/>
      <c r="C3495" s="11"/>
      <c r="D3495" s="12"/>
      <c r="E3495" s="10"/>
      <c r="F3495" s="10"/>
      <c r="G3495" s="10"/>
      <c r="H3495" s="14"/>
      <c r="I3495" s="14"/>
      <c r="J3495" s="14"/>
      <c r="K3495" s="14"/>
      <c r="L3495" s="14"/>
      <c r="M3495" s="15"/>
      <c r="N3495" s="10"/>
      <c r="O3495" s="14"/>
      <c r="P3495" s="14"/>
      <c r="Q3495" s="14"/>
      <c r="R3495" s="14"/>
      <c r="S3495" s="14"/>
      <c r="T3495" s="14"/>
      <c r="U3495" s="14"/>
      <c r="V3495" s="14"/>
      <c r="W3495" s="14"/>
      <c r="X3495" s="14"/>
      <c r="Y3495" s="14"/>
      <c r="Z3495" s="14"/>
      <c r="AA3495" s="16"/>
      <c r="AB3495" s="10"/>
      <c r="AC3495" s="10"/>
      <c r="AD3495" s="10"/>
      <c r="AE3495" s="10"/>
      <c r="AF3495" s="10"/>
      <c r="AG3495" s="10"/>
      <c r="AH3495" s="10"/>
      <c r="AI3495" s="10"/>
      <c r="AJ3495" s="10"/>
      <c r="AK3495" s="10"/>
      <c r="AL3495" s="10"/>
      <c r="AM3495" s="10"/>
      <c r="AN3495" s="10"/>
      <c r="AO3495" s="10"/>
      <c r="AP3495" s="10"/>
      <c r="AQ3495" s="10"/>
      <c r="AR3495" s="10"/>
      <c r="AS3495" s="10"/>
      <c r="AT3495" s="10"/>
      <c r="AU3495" s="10"/>
      <c r="AV3495" s="10"/>
      <c r="AW3495" s="10"/>
      <c r="AX3495" s="10"/>
      <c r="AY3495" s="10"/>
      <c r="AZ3495" s="10"/>
      <c r="BA3495" s="10"/>
      <c r="BB3495" s="10"/>
      <c r="BC3495" s="10"/>
      <c r="BD3495" s="10"/>
      <c r="BE3495" s="10"/>
      <c r="BF3495" s="10"/>
      <c r="BG3495" s="10"/>
      <c r="BH3495" s="10"/>
      <c r="BI3495" s="10"/>
      <c r="BJ3495" s="10"/>
      <c r="BK3495" s="10"/>
      <c r="BM3495" s="10"/>
    </row>
    <row r="3496" spans="1:65" ht="12.75">
      <c r="A3496" s="9"/>
      <c r="B3496" s="10"/>
      <c r="C3496" s="11"/>
      <c r="D3496" s="12"/>
      <c r="E3496" s="10"/>
      <c r="F3496" s="10"/>
      <c r="G3496" s="10"/>
      <c r="H3496" s="14"/>
      <c r="I3496" s="14"/>
      <c r="J3496" s="14"/>
      <c r="K3496" s="14"/>
      <c r="L3496" s="14"/>
      <c r="M3496" s="15"/>
      <c r="N3496" s="10"/>
      <c r="O3496" s="14"/>
      <c r="P3496" s="14"/>
      <c r="Q3496" s="14"/>
      <c r="R3496" s="14"/>
      <c r="S3496" s="14"/>
      <c r="T3496" s="14"/>
      <c r="U3496" s="14"/>
      <c r="V3496" s="14"/>
      <c r="W3496" s="14"/>
      <c r="X3496" s="14"/>
      <c r="Y3496" s="14"/>
      <c r="Z3496" s="14"/>
      <c r="AA3496" s="16"/>
      <c r="AB3496" s="10"/>
      <c r="AC3496" s="10"/>
      <c r="AD3496" s="10"/>
      <c r="AE3496" s="10"/>
      <c r="AF3496" s="10"/>
      <c r="AG3496" s="10"/>
      <c r="AH3496" s="10"/>
      <c r="AI3496" s="10"/>
      <c r="AJ3496" s="10"/>
      <c r="AK3496" s="10"/>
      <c r="AL3496" s="10"/>
      <c r="AM3496" s="10"/>
      <c r="AN3496" s="10"/>
      <c r="AO3496" s="10"/>
      <c r="AP3496" s="10"/>
      <c r="AQ3496" s="10"/>
      <c r="AR3496" s="10"/>
      <c r="AS3496" s="10"/>
      <c r="AT3496" s="10"/>
      <c r="AU3496" s="10"/>
      <c r="AV3496" s="10"/>
      <c r="AW3496" s="10"/>
      <c r="AX3496" s="10"/>
      <c r="AY3496" s="10"/>
      <c r="AZ3496" s="10"/>
      <c r="BA3496" s="10"/>
      <c r="BB3496" s="10"/>
      <c r="BC3496" s="10"/>
      <c r="BD3496" s="10"/>
      <c r="BE3496" s="10"/>
      <c r="BF3496" s="10"/>
      <c r="BG3496" s="10"/>
      <c r="BH3496" s="10"/>
      <c r="BI3496" s="10"/>
      <c r="BJ3496" s="10"/>
      <c r="BK3496" s="10"/>
      <c r="BM3496" s="10"/>
    </row>
    <row r="3497" spans="1:65" ht="12.75">
      <c r="A3497" s="9"/>
      <c r="B3497" s="10"/>
      <c r="C3497" s="11"/>
      <c r="D3497" s="12"/>
      <c r="E3497" s="10"/>
      <c r="F3497" s="10"/>
      <c r="G3497" s="10"/>
      <c r="H3497" s="14"/>
      <c r="I3497" s="14"/>
      <c r="J3497" s="14"/>
      <c r="K3497" s="14"/>
      <c r="L3497" s="14"/>
      <c r="M3497" s="15"/>
      <c r="N3497" s="10"/>
      <c r="O3497" s="14"/>
      <c r="P3497" s="14"/>
      <c r="Q3497" s="14"/>
      <c r="R3497" s="14"/>
      <c r="S3497" s="14"/>
      <c r="T3497" s="14"/>
      <c r="U3497" s="14"/>
      <c r="V3497" s="14"/>
      <c r="W3497" s="14"/>
      <c r="X3497" s="14"/>
      <c r="Y3497" s="14"/>
      <c r="Z3497" s="14"/>
      <c r="AA3497" s="16"/>
      <c r="AB3497" s="10"/>
      <c r="AC3497" s="10"/>
      <c r="AD3497" s="10"/>
      <c r="AE3497" s="10"/>
      <c r="AF3497" s="10"/>
      <c r="AG3497" s="10"/>
      <c r="AH3497" s="10"/>
      <c r="AI3497" s="10"/>
      <c r="AJ3497" s="10"/>
      <c r="AK3497" s="10"/>
      <c r="AL3497" s="10"/>
      <c r="AM3497" s="10"/>
      <c r="AN3497" s="10"/>
      <c r="AO3497" s="10"/>
      <c r="AP3497" s="10"/>
      <c r="AQ3497" s="10"/>
      <c r="AR3497" s="10"/>
      <c r="AS3497" s="10"/>
      <c r="AT3497" s="10"/>
      <c r="AU3497" s="10"/>
      <c r="AV3497" s="10"/>
      <c r="AW3497" s="10"/>
      <c r="AX3497" s="10"/>
      <c r="AY3497" s="10"/>
      <c r="AZ3497" s="10"/>
      <c r="BA3497" s="10"/>
      <c r="BB3497" s="10"/>
      <c r="BC3497" s="10"/>
      <c r="BD3497" s="10"/>
      <c r="BE3497" s="10"/>
      <c r="BF3497" s="10"/>
      <c r="BG3497" s="10"/>
      <c r="BH3497" s="10"/>
      <c r="BI3497" s="10"/>
      <c r="BJ3497" s="10"/>
      <c r="BK3497" s="10"/>
      <c r="BM3497" s="10"/>
    </row>
    <row r="3498" spans="1:65" ht="12.75">
      <c r="A3498" s="9"/>
      <c r="B3498" s="10"/>
      <c r="C3498" s="11"/>
      <c r="D3498" s="12"/>
      <c r="E3498" s="10"/>
      <c r="F3498" s="10"/>
      <c r="G3498" s="10"/>
      <c r="H3498" s="14"/>
      <c r="I3498" s="14"/>
      <c r="J3498" s="14"/>
      <c r="K3498" s="14"/>
      <c r="L3498" s="14"/>
      <c r="M3498" s="15"/>
      <c r="N3498" s="10"/>
      <c r="O3498" s="14"/>
      <c r="P3498" s="14"/>
      <c r="Q3498" s="14"/>
      <c r="R3498" s="14"/>
      <c r="S3498" s="14"/>
      <c r="T3498" s="14"/>
      <c r="U3498" s="14"/>
      <c r="V3498" s="14"/>
      <c r="W3498" s="14"/>
      <c r="X3498" s="14"/>
      <c r="Y3498" s="14"/>
      <c r="Z3498" s="14"/>
      <c r="AA3498" s="16"/>
      <c r="AB3498" s="10"/>
      <c r="AC3498" s="10"/>
      <c r="AD3498" s="10"/>
      <c r="AE3498" s="10"/>
      <c r="AF3498" s="10"/>
      <c r="AG3498" s="10"/>
      <c r="AH3498" s="10"/>
      <c r="AI3498" s="10"/>
      <c r="AJ3498" s="10"/>
      <c r="AK3498" s="10"/>
      <c r="AL3498" s="10"/>
      <c r="AM3498" s="10"/>
      <c r="AN3498" s="10"/>
      <c r="AO3498" s="10"/>
      <c r="AP3498" s="10"/>
      <c r="AQ3498" s="10"/>
      <c r="AR3498" s="10"/>
      <c r="AS3498" s="10"/>
      <c r="AT3498" s="10"/>
      <c r="AU3498" s="10"/>
      <c r="AV3498" s="10"/>
      <c r="AW3498" s="10"/>
      <c r="AX3498" s="10"/>
      <c r="AY3498" s="10"/>
      <c r="AZ3498" s="10"/>
      <c r="BA3498" s="10"/>
      <c r="BB3498" s="10"/>
      <c r="BC3498" s="10"/>
      <c r="BD3498" s="10"/>
      <c r="BE3498" s="10"/>
      <c r="BF3498" s="10"/>
      <c r="BG3498" s="10"/>
      <c r="BH3498" s="10"/>
      <c r="BI3498" s="10"/>
      <c r="BJ3498" s="10"/>
      <c r="BK3498" s="10"/>
      <c r="BM3498" s="10"/>
    </row>
    <row r="3499" spans="1:65" ht="12.75">
      <c r="A3499" s="9"/>
      <c r="B3499" s="10"/>
      <c r="C3499" s="11"/>
      <c r="D3499" s="12"/>
      <c r="E3499" s="10"/>
      <c r="F3499" s="10"/>
      <c r="G3499" s="10"/>
      <c r="H3499" s="14"/>
      <c r="I3499" s="14"/>
      <c r="J3499" s="14"/>
      <c r="K3499" s="14"/>
      <c r="L3499" s="14"/>
      <c r="M3499" s="15"/>
      <c r="N3499" s="10"/>
      <c r="O3499" s="14"/>
      <c r="P3499" s="14"/>
      <c r="Q3499" s="14"/>
      <c r="R3499" s="14"/>
      <c r="S3499" s="14"/>
      <c r="T3499" s="14"/>
      <c r="U3499" s="14"/>
      <c r="V3499" s="14"/>
      <c r="W3499" s="14"/>
      <c r="X3499" s="14"/>
      <c r="Y3499" s="14"/>
      <c r="Z3499" s="14"/>
      <c r="AA3499" s="16"/>
      <c r="AB3499" s="10"/>
      <c r="AC3499" s="10"/>
      <c r="AD3499" s="10"/>
      <c r="AE3499" s="10"/>
      <c r="AF3499" s="10"/>
      <c r="AG3499" s="10"/>
      <c r="AH3499" s="10"/>
      <c r="AI3499" s="10"/>
      <c r="AJ3499" s="10"/>
      <c r="AK3499" s="10"/>
      <c r="AL3499" s="10"/>
      <c r="AM3499" s="10"/>
      <c r="AN3499" s="10"/>
      <c r="AO3499" s="10"/>
      <c r="AP3499" s="10"/>
      <c r="AQ3499" s="10"/>
      <c r="AR3499" s="10"/>
      <c r="AS3499" s="10"/>
      <c r="AT3499" s="10"/>
      <c r="AU3499" s="10"/>
      <c r="AV3499" s="10"/>
      <c r="AW3499" s="10"/>
      <c r="AX3499" s="10"/>
      <c r="AY3499" s="10"/>
      <c r="AZ3499" s="10"/>
      <c r="BA3499" s="10"/>
      <c r="BB3499" s="10"/>
      <c r="BC3499" s="10"/>
      <c r="BD3499" s="10"/>
      <c r="BE3499" s="10"/>
      <c r="BF3499" s="10"/>
      <c r="BG3499" s="10"/>
      <c r="BH3499" s="10"/>
      <c r="BI3499" s="10"/>
      <c r="BJ3499" s="10"/>
      <c r="BK3499" s="10"/>
      <c r="BM3499" s="10"/>
    </row>
    <row r="3500" spans="1:65" ht="12.75">
      <c r="A3500" s="9"/>
      <c r="B3500" s="10"/>
      <c r="C3500" s="11"/>
      <c r="D3500" s="12"/>
      <c r="E3500" s="10"/>
      <c r="F3500" s="10"/>
      <c r="G3500" s="10"/>
      <c r="H3500" s="14"/>
      <c r="I3500" s="14"/>
      <c r="J3500" s="14"/>
      <c r="K3500" s="14"/>
      <c r="L3500" s="14"/>
      <c r="M3500" s="15"/>
      <c r="N3500" s="10"/>
      <c r="O3500" s="14"/>
      <c r="P3500" s="14"/>
      <c r="Q3500" s="14"/>
      <c r="R3500" s="14"/>
      <c r="S3500" s="14"/>
      <c r="T3500" s="14"/>
      <c r="U3500" s="14"/>
      <c r="V3500" s="14"/>
      <c r="W3500" s="14"/>
      <c r="X3500" s="14"/>
      <c r="Y3500" s="14"/>
      <c r="Z3500" s="14"/>
      <c r="AA3500" s="16"/>
      <c r="AB3500" s="10"/>
      <c r="AC3500" s="10"/>
      <c r="AD3500" s="10"/>
      <c r="AE3500" s="10"/>
      <c r="AF3500" s="10"/>
      <c r="AG3500" s="10"/>
      <c r="AH3500" s="10"/>
      <c r="AI3500" s="10"/>
      <c r="AJ3500" s="10"/>
      <c r="AK3500" s="10"/>
      <c r="AL3500" s="10"/>
      <c r="AM3500" s="10"/>
      <c r="AN3500" s="10"/>
      <c r="AO3500" s="10"/>
      <c r="AP3500" s="10"/>
      <c r="AQ3500" s="10"/>
      <c r="AR3500" s="10"/>
      <c r="AS3500" s="10"/>
      <c r="AT3500" s="10"/>
      <c r="AU3500" s="10"/>
      <c r="AV3500" s="10"/>
      <c r="AW3500" s="10"/>
      <c r="AX3500" s="10"/>
      <c r="AY3500" s="10"/>
      <c r="AZ3500" s="10"/>
      <c r="BA3500" s="10"/>
      <c r="BB3500" s="10"/>
      <c r="BC3500" s="10"/>
      <c r="BD3500" s="10"/>
      <c r="BE3500" s="10"/>
      <c r="BF3500" s="10"/>
      <c r="BG3500" s="10"/>
      <c r="BH3500" s="10"/>
      <c r="BI3500" s="10"/>
      <c r="BJ3500" s="10"/>
      <c r="BK3500" s="10"/>
      <c r="BM3500" s="10"/>
    </row>
    <row r="3501" spans="1:65" ht="12.75">
      <c r="A3501" s="9"/>
      <c r="B3501" s="10"/>
      <c r="C3501" s="11"/>
      <c r="D3501" s="12"/>
      <c r="E3501" s="10"/>
      <c r="F3501" s="10"/>
      <c r="G3501" s="10"/>
      <c r="H3501" s="14"/>
      <c r="I3501" s="14"/>
      <c r="J3501" s="14"/>
      <c r="K3501" s="14"/>
      <c r="L3501" s="14"/>
      <c r="M3501" s="15"/>
      <c r="N3501" s="10"/>
      <c r="O3501" s="14"/>
      <c r="P3501" s="14"/>
      <c r="Q3501" s="14"/>
      <c r="R3501" s="14"/>
      <c r="S3501" s="14"/>
      <c r="T3501" s="14"/>
      <c r="U3501" s="14"/>
      <c r="V3501" s="14"/>
      <c r="W3501" s="14"/>
      <c r="X3501" s="14"/>
      <c r="Y3501" s="14"/>
      <c r="Z3501" s="14"/>
      <c r="AA3501" s="16"/>
      <c r="AB3501" s="10"/>
      <c r="AC3501" s="10"/>
      <c r="AD3501" s="10"/>
      <c r="AE3501" s="10"/>
      <c r="AF3501" s="10"/>
      <c r="AG3501" s="10"/>
      <c r="AH3501" s="10"/>
      <c r="AI3501" s="10"/>
      <c r="AJ3501" s="10"/>
      <c r="AK3501" s="10"/>
      <c r="AL3501" s="10"/>
      <c r="AM3501" s="10"/>
      <c r="AN3501" s="10"/>
      <c r="AO3501" s="10"/>
      <c r="AP3501" s="10"/>
      <c r="AQ3501" s="10"/>
      <c r="AR3501" s="10"/>
      <c r="AS3501" s="10"/>
      <c r="AT3501" s="10"/>
      <c r="AU3501" s="10"/>
      <c r="AV3501" s="10"/>
      <c r="AW3501" s="10"/>
      <c r="AX3501" s="10"/>
      <c r="AY3501" s="10"/>
      <c r="AZ3501" s="10"/>
      <c r="BA3501" s="10"/>
      <c r="BB3501" s="10"/>
      <c r="BC3501" s="10"/>
      <c r="BD3501" s="10"/>
      <c r="BE3501" s="10"/>
      <c r="BF3501" s="10"/>
      <c r="BG3501" s="10"/>
      <c r="BH3501" s="10"/>
      <c r="BI3501" s="10"/>
      <c r="BJ3501" s="10"/>
      <c r="BK3501" s="10"/>
      <c r="BM3501" s="10"/>
    </row>
    <row r="3502" spans="1:65" ht="12.75">
      <c r="A3502" s="9"/>
      <c r="B3502" s="10"/>
      <c r="C3502" s="11"/>
      <c r="D3502" s="12"/>
      <c r="E3502" s="10"/>
      <c r="F3502" s="10"/>
      <c r="G3502" s="10"/>
      <c r="H3502" s="14"/>
      <c r="I3502" s="14"/>
      <c r="J3502" s="14"/>
      <c r="K3502" s="14"/>
      <c r="L3502" s="14"/>
      <c r="M3502" s="15"/>
      <c r="N3502" s="10"/>
      <c r="O3502" s="14"/>
      <c r="P3502" s="14"/>
      <c r="Q3502" s="14"/>
      <c r="R3502" s="14"/>
      <c r="S3502" s="14"/>
      <c r="T3502" s="14"/>
      <c r="U3502" s="14"/>
      <c r="V3502" s="14"/>
      <c r="W3502" s="14"/>
      <c r="X3502" s="14"/>
      <c r="Y3502" s="14"/>
      <c r="Z3502" s="14"/>
      <c r="AA3502" s="16"/>
      <c r="AB3502" s="10"/>
      <c r="AC3502" s="10"/>
      <c r="AD3502" s="10"/>
      <c r="AE3502" s="10"/>
      <c r="AF3502" s="10"/>
      <c r="AG3502" s="10"/>
      <c r="AH3502" s="10"/>
      <c r="AI3502" s="10"/>
      <c r="AJ3502" s="10"/>
      <c r="AK3502" s="10"/>
      <c r="AL3502" s="10"/>
      <c r="AM3502" s="10"/>
      <c r="AN3502" s="10"/>
      <c r="AO3502" s="10"/>
      <c r="AP3502" s="10"/>
      <c r="AQ3502" s="10"/>
      <c r="AR3502" s="10"/>
      <c r="AS3502" s="10"/>
      <c r="AT3502" s="10"/>
      <c r="AU3502" s="10"/>
      <c r="AV3502" s="10"/>
      <c r="AW3502" s="10"/>
      <c r="AX3502" s="10"/>
      <c r="AY3502" s="10"/>
      <c r="AZ3502" s="10"/>
      <c r="BA3502" s="10"/>
      <c r="BB3502" s="10"/>
      <c r="BC3502" s="10"/>
      <c r="BD3502" s="10"/>
      <c r="BE3502" s="10"/>
      <c r="BF3502" s="10"/>
      <c r="BG3502" s="10"/>
      <c r="BH3502" s="10"/>
      <c r="BI3502" s="10"/>
      <c r="BJ3502" s="10"/>
      <c r="BK3502" s="10"/>
      <c r="BM3502" s="10"/>
    </row>
    <row r="3503" spans="1:65" ht="12.75">
      <c r="A3503" s="9"/>
      <c r="B3503" s="10"/>
      <c r="C3503" s="11"/>
      <c r="D3503" s="12"/>
      <c r="E3503" s="10"/>
      <c r="F3503" s="10"/>
      <c r="G3503" s="10"/>
      <c r="H3503" s="14"/>
      <c r="I3503" s="14"/>
      <c r="J3503" s="14"/>
      <c r="K3503" s="14"/>
      <c r="L3503" s="14"/>
      <c r="M3503" s="15"/>
      <c r="N3503" s="10"/>
      <c r="O3503" s="14"/>
      <c r="P3503" s="14"/>
      <c r="Q3503" s="14"/>
      <c r="R3503" s="14"/>
      <c r="S3503" s="14"/>
      <c r="T3503" s="14"/>
      <c r="U3503" s="14"/>
      <c r="V3503" s="14"/>
      <c r="W3503" s="14"/>
      <c r="X3503" s="14"/>
      <c r="Y3503" s="14"/>
      <c r="Z3503" s="14"/>
      <c r="AA3503" s="16"/>
      <c r="AB3503" s="10"/>
      <c r="AC3503" s="10"/>
      <c r="AD3503" s="10"/>
      <c r="AE3503" s="10"/>
      <c r="AF3503" s="10"/>
      <c r="AG3503" s="10"/>
      <c r="AH3503" s="10"/>
      <c r="AI3503" s="10"/>
      <c r="AJ3503" s="10"/>
      <c r="AK3503" s="10"/>
      <c r="AL3503" s="10"/>
      <c r="AM3503" s="10"/>
      <c r="AN3503" s="10"/>
      <c r="AO3503" s="10"/>
      <c r="AP3503" s="10"/>
      <c r="AQ3503" s="10"/>
      <c r="AR3503" s="10"/>
      <c r="AS3503" s="10"/>
      <c r="AT3503" s="10"/>
      <c r="AU3503" s="10"/>
      <c r="AV3503" s="10"/>
      <c r="AW3503" s="10"/>
      <c r="AX3503" s="10"/>
      <c r="AY3503" s="10"/>
      <c r="AZ3503" s="10"/>
      <c r="BA3503" s="10"/>
      <c r="BB3503" s="10"/>
      <c r="BC3503" s="10"/>
      <c r="BD3503" s="10"/>
      <c r="BE3503" s="10"/>
      <c r="BF3503" s="10"/>
      <c r="BG3503" s="10"/>
      <c r="BH3503" s="10"/>
      <c r="BI3503" s="10"/>
      <c r="BJ3503" s="10"/>
      <c r="BK3503" s="10"/>
      <c r="BM3503" s="10"/>
    </row>
    <row r="3504" spans="1:65" ht="12.75">
      <c r="A3504" s="9"/>
      <c r="B3504" s="10"/>
      <c r="C3504" s="11"/>
      <c r="D3504" s="12"/>
      <c r="E3504" s="10"/>
      <c r="F3504" s="10"/>
      <c r="G3504" s="10"/>
      <c r="H3504" s="14"/>
      <c r="I3504" s="14"/>
      <c r="J3504" s="14"/>
      <c r="K3504" s="14"/>
      <c r="L3504" s="14"/>
      <c r="M3504" s="15"/>
      <c r="N3504" s="10"/>
      <c r="O3504" s="14"/>
      <c r="P3504" s="14"/>
      <c r="Q3504" s="14"/>
      <c r="R3504" s="14"/>
      <c r="S3504" s="14"/>
      <c r="T3504" s="14"/>
      <c r="U3504" s="14"/>
      <c r="V3504" s="14"/>
      <c r="W3504" s="14"/>
      <c r="X3504" s="14"/>
      <c r="Y3504" s="14"/>
      <c r="Z3504" s="14"/>
      <c r="AA3504" s="16"/>
      <c r="AB3504" s="10"/>
      <c r="AC3504" s="10"/>
      <c r="AD3504" s="10"/>
      <c r="AE3504" s="10"/>
      <c r="AF3504" s="10"/>
      <c r="AG3504" s="10"/>
      <c r="AH3504" s="10"/>
      <c r="AI3504" s="10"/>
      <c r="AJ3504" s="10"/>
      <c r="AK3504" s="10"/>
      <c r="AL3504" s="10"/>
      <c r="AM3504" s="10"/>
      <c r="AN3504" s="10"/>
      <c r="AO3504" s="10"/>
      <c r="AP3504" s="10"/>
      <c r="AQ3504" s="10"/>
      <c r="AR3504" s="10"/>
      <c r="AS3504" s="10"/>
      <c r="AT3504" s="10"/>
      <c r="AU3504" s="10"/>
      <c r="AV3504" s="10"/>
      <c r="AW3504" s="10"/>
      <c r="AX3504" s="10"/>
      <c r="AY3504" s="10"/>
      <c r="AZ3504" s="10"/>
      <c r="BA3504" s="10"/>
      <c r="BB3504" s="10"/>
      <c r="BC3504" s="10"/>
      <c r="BD3504" s="10"/>
      <c r="BE3504" s="10"/>
      <c r="BF3504" s="10"/>
      <c r="BG3504" s="10"/>
      <c r="BH3504" s="10"/>
      <c r="BI3504" s="10"/>
      <c r="BJ3504" s="10"/>
      <c r="BK3504" s="10"/>
      <c r="BM3504" s="10"/>
    </row>
    <row r="3505" spans="1:65" ht="12.75">
      <c r="A3505" s="9"/>
      <c r="B3505" s="10"/>
      <c r="C3505" s="11"/>
      <c r="D3505" s="12"/>
      <c r="E3505" s="10"/>
      <c r="F3505" s="10"/>
      <c r="G3505" s="10"/>
      <c r="H3505" s="14"/>
      <c r="I3505" s="14"/>
      <c r="J3505" s="14"/>
      <c r="K3505" s="14"/>
      <c r="L3505" s="14"/>
      <c r="M3505" s="15"/>
      <c r="N3505" s="10"/>
      <c r="O3505" s="14"/>
      <c r="P3505" s="14"/>
      <c r="Q3505" s="14"/>
      <c r="R3505" s="14"/>
      <c r="S3505" s="14"/>
      <c r="T3505" s="14"/>
      <c r="U3505" s="14"/>
      <c r="V3505" s="14"/>
      <c r="W3505" s="14"/>
      <c r="X3505" s="14"/>
      <c r="Y3505" s="14"/>
      <c r="Z3505" s="14"/>
      <c r="AA3505" s="16"/>
      <c r="AB3505" s="10"/>
      <c r="AC3505" s="10"/>
      <c r="AD3505" s="10"/>
      <c r="AE3505" s="10"/>
      <c r="AF3505" s="10"/>
      <c r="AG3505" s="10"/>
      <c r="AH3505" s="10"/>
      <c r="AI3505" s="10"/>
      <c r="AJ3505" s="10"/>
      <c r="AK3505" s="10"/>
      <c r="AL3505" s="10"/>
      <c r="AM3505" s="10"/>
      <c r="AN3505" s="10"/>
      <c r="AO3505" s="10"/>
      <c r="AP3505" s="10"/>
      <c r="AQ3505" s="10"/>
      <c r="AR3505" s="10"/>
      <c r="AS3505" s="10"/>
      <c r="AT3505" s="10"/>
      <c r="AU3505" s="10"/>
      <c r="AV3505" s="10"/>
      <c r="AW3505" s="10"/>
      <c r="AX3505" s="10"/>
      <c r="AY3505" s="10"/>
      <c r="AZ3505" s="10"/>
      <c r="BA3505" s="10"/>
      <c r="BB3505" s="10"/>
      <c r="BC3505" s="10"/>
      <c r="BD3505" s="10"/>
      <c r="BE3505" s="10"/>
      <c r="BF3505" s="10"/>
      <c r="BG3505" s="10"/>
      <c r="BH3505" s="10"/>
      <c r="BI3505" s="10"/>
      <c r="BJ3505" s="10"/>
      <c r="BK3505" s="10"/>
      <c r="BM3505" s="10"/>
    </row>
    <row r="3506" spans="1:65" ht="12.75">
      <c r="A3506" s="9"/>
      <c r="B3506" s="10"/>
      <c r="C3506" s="11"/>
      <c r="D3506" s="12"/>
      <c r="E3506" s="10"/>
      <c r="F3506" s="10"/>
      <c r="G3506" s="10"/>
      <c r="H3506" s="14"/>
      <c r="I3506" s="14"/>
      <c r="J3506" s="14"/>
      <c r="K3506" s="14"/>
      <c r="L3506" s="14"/>
      <c r="M3506" s="15"/>
      <c r="N3506" s="10"/>
      <c r="O3506" s="14"/>
      <c r="P3506" s="14"/>
      <c r="Q3506" s="14"/>
      <c r="R3506" s="14"/>
      <c r="S3506" s="14"/>
      <c r="T3506" s="14"/>
      <c r="U3506" s="14"/>
      <c r="V3506" s="14"/>
      <c r="W3506" s="14"/>
      <c r="X3506" s="14"/>
      <c r="Y3506" s="14"/>
      <c r="Z3506" s="14"/>
      <c r="AA3506" s="16"/>
      <c r="AB3506" s="10"/>
      <c r="AC3506" s="10"/>
      <c r="AD3506" s="10"/>
      <c r="AE3506" s="10"/>
      <c r="AF3506" s="10"/>
      <c r="AG3506" s="10"/>
      <c r="AH3506" s="10"/>
      <c r="AI3506" s="10"/>
      <c r="AJ3506" s="10"/>
      <c r="AK3506" s="10"/>
      <c r="AL3506" s="10"/>
      <c r="AM3506" s="10"/>
      <c r="AN3506" s="10"/>
      <c r="AO3506" s="10"/>
      <c r="AP3506" s="10"/>
      <c r="AQ3506" s="10"/>
      <c r="AR3506" s="10"/>
      <c r="AS3506" s="10"/>
      <c r="AT3506" s="10"/>
      <c r="AU3506" s="10"/>
      <c r="AV3506" s="10"/>
      <c r="AW3506" s="10"/>
      <c r="AX3506" s="10"/>
      <c r="AY3506" s="10"/>
      <c r="AZ3506" s="10"/>
      <c r="BA3506" s="10"/>
      <c r="BB3506" s="10"/>
      <c r="BC3506" s="10"/>
      <c r="BD3506" s="10"/>
      <c r="BE3506" s="10"/>
      <c r="BF3506" s="10"/>
      <c r="BG3506" s="10"/>
      <c r="BH3506" s="10"/>
      <c r="BI3506" s="10"/>
      <c r="BJ3506" s="10"/>
      <c r="BK3506" s="10"/>
      <c r="BM3506" s="10"/>
    </row>
    <row r="3507" spans="1:65" ht="12.75">
      <c r="A3507" s="9"/>
      <c r="B3507" s="10"/>
      <c r="C3507" s="11"/>
      <c r="D3507" s="12"/>
      <c r="E3507" s="10"/>
      <c r="F3507" s="10"/>
      <c r="G3507" s="10"/>
      <c r="H3507" s="14"/>
      <c r="I3507" s="14"/>
      <c r="J3507" s="14"/>
      <c r="K3507" s="14"/>
      <c r="L3507" s="14"/>
      <c r="M3507" s="15"/>
      <c r="N3507" s="10"/>
      <c r="O3507" s="14"/>
      <c r="P3507" s="14"/>
      <c r="Q3507" s="14"/>
      <c r="R3507" s="14"/>
      <c r="S3507" s="14"/>
      <c r="T3507" s="14"/>
      <c r="U3507" s="14"/>
      <c r="V3507" s="14"/>
      <c r="W3507" s="14"/>
      <c r="X3507" s="14"/>
      <c r="Y3507" s="14"/>
      <c r="Z3507" s="14"/>
      <c r="AA3507" s="16"/>
      <c r="AB3507" s="10"/>
      <c r="AC3507" s="10"/>
      <c r="AD3507" s="10"/>
      <c r="AE3507" s="10"/>
      <c r="AF3507" s="10"/>
      <c r="AG3507" s="10"/>
      <c r="AH3507" s="10"/>
      <c r="AI3507" s="10"/>
      <c r="AJ3507" s="10"/>
      <c r="AK3507" s="10"/>
      <c r="AL3507" s="10"/>
      <c r="AM3507" s="10"/>
      <c r="AN3507" s="10"/>
      <c r="AO3507" s="10"/>
      <c r="AP3507" s="10"/>
      <c r="AQ3507" s="10"/>
      <c r="AR3507" s="10"/>
      <c r="AS3507" s="10"/>
      <c r="AT3507" s="10"/>
      <c r="AU3507" s="10"/>
      <c r="AV3507" s="10"/>
      <c r="AW3507" s="10"/>
      <c r="AX3507" s="10"/>
      <c r="AY3507" s="10"/>
      <c r="AZ3507" s="10"/>
      <c r="BA3507" s="10"/>
      <c r="BB3507" s="10"/>
      <c r="BC3507" s="10"/>
      <c r="BD3507" s="10"/>
      <c r="BE3507" s="10"/>
      <c r="BF3507" s="10"/>
      <c r="BG3507" s="10"/>
      <c r="BH3507" s="10"/>
      <c r="BI3507" s="10"/>
      <c r="BJ3507" s="10"/>
      <c r="BK3507" s="10"/>
      <c r="BM3507" s="10"/>
    </row>
    <row r="3508" spans="1:65" ht="12.75">
      <c r="A3508" s="9"/>
      <c r="B3508" s="10"/>
      <c r="C3508" s="11"/>
      <c r="D3508" s="12"/>
      <c r="E3508" s="10"/>
      <c r="F3508" s="10"/>
      <c r="G3508" s="10"/>
      <c r="H3508" s="14"/>
      <c r="I3508" s="14"/>
      <c r="J3508" s="14"/>
      <c r="K3508" s="14"/>
      <c r="L3508" s="14"/>
      <c r="M3508" s="15"/>
      <c r="N3508" s="10"/>
      <c r="O3508" s="14"/>
      <c r="P3508" s="14"/>
      <c r="Q3508" s="14"/>
      <c r="R3508" s="14"/>
      <c r="S3508" s="14"/>
      <c r="T3508" s="14"/>
      <c r="U3508" s="14"/>
      <c r="V3508" s="14"/>
      <c r="W3508" s="14"/>
      <c r="X3508" s="14"/>
      <c r="Y3508" s="14"/>
      <c r="Z3508" s="14"/>
      <c r="AA3508" s="16"/>
      <c r="AB3508" s="10"/>
      <c r="AC3508" s="10"/>
      <c r="AD3508" s="10"/>
      <c r="AE3508" s="10"/>
      <c r="AF3508" s="10"/>
      <c r="AG3508" s="10"/>
      <c r="AH3508" s="10"/>
      <c r="AI3508" s="10"/>
      <c r="AJ3508" s="10"/>
      <c r="AK3508" s="10"/>
      <c r="AL3508" s="10"/>
      <c r="AM3508" s="10"/>
      <c r="AN3508" s="10"/>
      <c r="AO3508" s="10"/>
      <c r="AP3508" s="10"/>
      <c r="AQ3508" s="10"/>
      <c r="AR3508" s="10"/>
      <c r="AS3508" s="10"/>
      <c r="AT3508" s="10"/>
      <c r="AU3508" s="10"/>
      <c r="AV3508" s="10"/>
      <c r="AW3508" s="10"/>
      <c r="AX3508" s="10"/>
      <c r="AY3508" s="10"/>
      <c r="AZ3508" s="10"/>
      <c r="BA3508" s="10"/>
      <c r="BB3508" s="10"/>
      <c r="BC3508" s="10"/>
      <c r="BD3508" s="10"/>
      <c r="BE3508" s="10"/>
      <c r="BF3508" s="10"/>
      <c r="BG3508" s="10"/>
      <c r="BH3508" s="10"/>
      <c r="BI3508" s="10"/>
      <c r="BJ3508" s="10"/>
      <c r="BK3508" s="10"/>
      <c r="BM3508" s="10"/>
    </row>
    <row r="3509" spans="1:65" ht="12.75">
      <c r="A3509" s="9"/>
      <c r="B3509" s="10"/>
      <c r="C3509" s="11"/>
      <c r="D3509" s="12"/>
      <c r="E3509" s="10"/>
      <c r="F3509" s="10"/>
      <c r="G3509" s="10"/>
      <c r="H3509" s="14"/>
      <c r="I3509" s="14"/>
      <c r="J3509" s="14"/>
      <c r="K3509" s="14"/>
      <c r="L3509" s="14"/>
      <c r="M3509" s="15"/>
      <c r="N3509" s="10"/>
      <c r="O3509" s="14"/>
      <c r="P3509" s="14"/>
      <c r="Q3509" s="14"/>
      <c r="R3509" s="14"/>
      <c r="S3509" s="14"/>
      <c r="T3509" s="14"/>
      <c r="U3509" s="14"/>
      <c r="V3509" s="14"/>
      <c r="W3509" s="14"/>
      <c r="X3509" s="14"/>
      <c r="Y3509" s="14"/>
      <c r="Z3509" s="14"/>
      <c r="AA3509" s="16"/>
      <c r="AB3509" s="10"/>
      <c r="AC3509" s="10"/>
      <c r="AD3509" s="10"/>
      <c r="AE3509" s="10"/>
      <c r="AF3509" s="10"/>
      <c r="AG3509" s="10"/>
      <c r="AH3509" s="10"/>
      <c r="AI3509" s="10"/>
      <c r="AJ3509" s="10"/>
      <c r="AK3509" s="10"/>
      <c r="AL3509" s="10"/>
      <c r="AM3509" s="10"/>
      <c r="AN3509" s="10"/>
      <c r="AO3509" s="10"/>
      <c r="AP3509" s="10"/>
      <c r="AQ3509" s="10"/>
      <c r="AR3509" s="10"/>
      <c r="AS3509" s="10"/>
      <c r="AT3509" s="10"/>
      <c r="AU3509" s="10"/>
      <c r="AV3509" s="10"/>
      <c r="AW3509" s="10"/>
      <c r="AX3509" s="10"/>
      <c r="AY3509" s="10"/>
      <c r="AZ3509" s="10"/>
      <c r="BA3509" s="10"/>
      <c r="BB3509" s="10"/>
      <c r="BC3509" s="10"/>
      <c r="BD3509" s="10"/>
      <c r="BE3509" s="10"/>
      <c r="BF3509" s="10"/>
      <c r="BG3509" s="10"/>
      <c r="BH3509" s="10"/>
      <c r="BI3509" s="10"/>
      <c r="BJ3509" s="10"/>
      <c r="BK3509" s="10"/>
      <c r="BM3509" s="10"/>
    </row>
    <row r="3510" spans="1:65" ht="12.75">
      <c r="A3510" s="9"/>
      <c r="B3510" s="10"/>
      <c r="C3510" s="11"/>
      <c r="D3510" s="12"/>
      <c r="E3510" s="10"/>
      <c r="F3510" s="10"/>
      <c r="G3510" s="10"/>
      <c r="H3510" s="14"/>
      <c r="I3510" s="14"/>
      <c r="J3510" s="14"/>
      <c r="K3510" s="14"/>
      <c r="L3510" s="14"/>
      <c r="M3510" s="15"/>
      <c r="N3510" s="10"/>
      <c r="O3510" s="14"/>
      <c r="P3510" s="14"/>
      <c r="Q3510" s="14"/>
      <c r="R3510" s="14"/>
      <c r="S3510" s="14"/>
      <c r="T3510" s="14"/>
      <c r="U3510" s="14"/>
      <c r="V3510" s="14"/>
      <c r="W3510" s="14"/>
      <c r="X3510" s="14"/>
      <c r="Y3510" s="14"/>
      <c r="Z3510" s="14"/>
      <c r="AA3510" s="16"/>
      <c r="AB3510" s="10"/>
      <c r="AC3510" s="10"/>
      <c r="AD3510" s="10"/>
      <c r="AE3510" s="10"/>
      <c r="AF3510" s="10"/>
      <c r="AG3510" s="10"/>
      <c r="AH3510" s="10"/>
      <c r="AI3510" s="10"/>
      <c r="AJ3510" s="10"/>
      <c r="AK3510" s="10"/>
      <c r="AL3510" s="10"/>
      <c r="AM3510" s="10"/>
      <c r="AN3510" s="10"/>
      <c r="AO3510" s="10"/>
      <c r="AP3510" s="10"/>
      <c r="AQ3510" s="10"/>
      <c r="AR3510" s="10"/>
      <c r="AS3510" s="10"/>
      <c r="AT3510" s="10"/>
      <c r="AU3510" s="10"/>
      <c r="AV3510" s="10"/>
      <c r="AW3510" s="10"/>
      <c r="AX3510" s="10"/>
      <c r="AY3510" s="10"/>
      <c r="AZ3510" s="10"/>
      <c r="BA3510" s="10"/>
      <c r="BB3510" s="10"/>
      <c r="BC3510" s="10"/>
      <c r="BD3510" s="10"/>
      <c r="BE3510" s="10"/>
      <c r="BF3510" s="10"/>
      <c r="BG3510" s="10"/>
      <c r="BH3510" s="10"/>
      <c r="BI3510" s="10"/>
      <c r="BJ3510" s="10"/>
      <c r="BK3510" s="10"/>
      <c r="BM3510" s="10"/>
    </row>
    <row r="3511" spans="1:65" ht="12.75">
      <c r="A3511" s="9"/>
      <c r="B3511" s="10"/>
      <c r="C3511" s="11"/>
      <c r="D3511" s="12"/>
      <c r="E3511" s="10"/>
      <c r="F3511" s="10"/>
      <c r="G3511" s="10"/>
      <c r="H3511" s="14"/>
      <c r="I3511" s="14"/>
      <c r="J3511" s="14"/>
      <c r="K3511" s="14"/>
      <c r="L3511" s="14"/>
      <c r="M3511" s="15"/>
      <c r="N3511" s="10"/>
      <c r="O3511" s="14"/>
      <c r="P3511" s="14"/>
      <c r="Q3511" s="14"/>
      <c r="R3511" s="14"/>
      <c r="S3511" s="14"/>
      <c r="T3511" s="14"/>
      <c r="U3511" s="14"/>
      <c r="V3511" s="14"/>
      <c r="W3511" s="14"/>
      <c r="X3511" s="14"/>
      <c r="Y3511" s="14"/>
      <c r="Z3511" s="14"/>
      <c r="AA3511" s="16"/>
      <c r="AB3511" s="10"/>
      <c r="AC3511" s="10"/>
      <c r="AD3511" s="10"/>
      <c r="AE3511" s="10"/>
      <c r="AF3511" s="10"/>
      <c r="AG3511" s="10"/>
      <c r="AH3511" s="10"/>
      <c r="AI3511" s="10"/>
      <c r="AJ3511" s="10"/>
      <c r="AK3511" s="10"/>
      <c r="AL3511" s="10"/>
      <c r="AM3511" s="10"/>
      <c r="AN3511" s="10"/>
      <c r="AO3511" s="10"/>
      <c r="AP3511" s="10"/>
      <c r="AQ3511" s="10"/>
      <c r="AR3511" s="10"/>
      <c r="AS3511" s="10"/>
      <c r="AT3511" s="10"/>
      <c r="AU3511" s="10"/>
      <c r="AV3511" s="10"/>
      <c r="AW3511" s="10"/>
      <c r="AX3511" s="10"/>
      <c r="AY3511" s="10"/>
      <c r="AZ3511" s="10"/>
      <c r="BA3511" s="10"/>
      <c r="BB3511" s="10"/>
      <c r="BC3511" s="10"/>
      <c r="BD3511" s="10"/>
      <c r="BE3511" s="10"/>
      <c r="BF3511" s="10"/>
      <c r="BG3511" s="10"/>
      <c r="BH3511" s="10"/>
      <c r="BI3511" s="10"/>
      <c r="BJ3511" s="10"/>
      <c r="BK3511" s="10"/>
      <c r="BM3511" s="10"/>
    </row>
    <row r="3512" spans="1:65" ht="12.75">
      <c r="A3512" s="9"/>
      <c r="B3512" s="10"/>
      <c r="C3512" s="11"/>
      <c r="D3512" s="12"/>
      <c r="E3512" s="10"/>
      <c r="F3512" s="10"/>
      <c r="G3512" s="10"/>
      <c r="H3512" s="14"/>
      <c r="I3512" s="14"/>
      <c r="J3512" s="14"/>
      <c r="K3512" s="14"/>
      <c r="L3512" s="14"/>
      <c r="M3512" s="15"/>
      <c r="N3512" s="10"/>
      <c r="O3512" s="14"/>
      <c r="P3512" s="14"/>
      <c r="Q3512" s="14"/>
      <c r="R3512" s="14"/>
      <c r="S3512" s="14"/>
      <c r="T3512" s="14"/>
      <c r="U3512" s="14"/>
      <c r="V3512" s="14"/>
      <c r="W3512" s="14"/>
      <c r="X3512" s="14"/>
      <c r="Y3512" s="14"/>
      <c r="Z3512" s="14"/>
      <c r="AA3512" s="16"/>
      <c r="AB3512" s="10"/>
      <c r="AC3512" s="10"/>
      <c r="AD3512" s="10"/>
      <c r="AE3512" s="10"/>
      <c r="AF3512" s="10"/>
      <c r="AG3512" s="10"/>
      <c r="AH3512" s="10"/>
      <c r="AI3512" s="10"/>
      <c r="AJ3512" s="10"/>
      <c r="AK3512" s="10"/>
      <c r="AL3512" s="10"/>
      <c r="AM3512" s="10"/>
      <c r="AN3512" s="10"/>
      <c r="AO3512" s="10"/>
      <c r="AP3512" s="10"/>
      <c r="AQ3512" s="10"/>
      <c r="AR3512" s="10"/>
      <c r="AS3512" s="10"/>
      <c r="AT3512" s="10"/>
      <c r="AU3512" s="10"/>
      <c r="AV3512" s="10"/>
      <c r="AW3512" s="10"/>
      <c r="AX3512" s="10"/>
      <c r="AY3512" s="10"/>
      <c r="AZ3512" s="10"/>
      <c r="BA3512" s="10"/>
      <c r="BB3512" s="10"/>
      <c r="BC3512" s="10"/>
      <c r="BD3512" s="10"/>
      <c r="BE3512" s="10"/>
      <c r="BF3512" s="10"/>
      <c r="BG3512" s="10"/>
      <c r="BH3512" s="10"/>
      <c r="BI3512" s="10"/>
      <c r="BJ3512" s="10"/>
      <c r="BK3512" s="10"/>
      <c r="BM3512" s="10"/>
    </row>
    <row r="3513" spans="1:65" ht="12.75">
      <c r="A3513" s="9"/>
      <c r="B3513" s="10"/>
      <c r="C3513" s="11"/>
      <c r="D3513" s="12"/>
      <c r="E3513" s="10"/>
      <c r="F3513" s="10"/>
      <c r="G3513" s="10"/>
      <c r="H3513" s="14"/>
      <c r="I3513" s="14"/>
      <c r="J3513" s="14"/>
      <c r="K3513" s="14"/>
      <c r="L3513" s="14"/>
      <c r="M3513" s="15"/>
      <c r="N3513" s="10"/>
      <c r="O3513" s="14"/>
      <c r="P3513" s="14"/>
      <c r="Q3513" s="14"/>
      <c r="R3513" s="14"/>
      <c r="S3513" s="14"/>
      <c r="T3513" s="14"/>
      <c r="U3513" s="14"/>
      <c r="V3513" s="14"/>
      <c r="W3513" s="14"/>
      <c r="X3513" s="14"/>
      <c r="Y3513" s="14"/>
      <c r="Z3513" s="14"/>
      <c r="AA3513" s="16"/>
      <c r="AB3513" s="10"/>
      <c r="AC3513" s="10"/>
      <c r="AD3513" s="10"/>
      <c r="AE3513" s="10"/>
      <c r="AF3513" s="10"/>
      <c r="AG3513" s="10"/>
      <c r="AH3513" s="10"/>
      <c r="AI3513" s="10"/>
      <c r="AJ3513" s="10"/>
      <c r="AK3513" s="10"/>
      <c r="AL3513" s="10"/>
      <c r="AM3513" s="10"/>
      <c r="AN3513" s="10"/>
      <c r="AO3513" s="10"/>
      <c r="AP3513" s="10"/>
      <c r="AQ3513" s="10"/>
      <c r="AR3513" s="10"/>
      <c r="AS3513" s="10"/>
      <c r="AT3513" s="10"/>
      <c r="AU3513" s="10"/>
      <c r="AV3513" s="10"/>
      <c r="AW3513" s="10"/>
      <c r="AX3513" s="10"/>
      <c r="AY3513" s="10"/>
      <c r="AZ3513" s="10"/>
      <c r="BA3513" s="10"/>
      <c r="BB3513" s="10"/>
      <c r="BC3513" s="10"/>
      <c r="BD3513" s="10"/>
      <c r="BE3513" s="10"/>
      <c r="BF3513" s="10"/>
      <c r="BG3513" s="10"/>
      <c r="BH3513" s="10"/>
      <c r="BI3513" s="10"/>
      <c r="BJ3513" s="10"/>
      <c r="BK3513" s="10"/>
      <c r="BM3513" s="10"/>
    </row>
    <row r="3514" spans="1:65" ht="12.75">
      <c r="A3514" s="9"/>
      <c r="B3514" s="10"/>
      <c r="C3514" s="11"/>
      <c r="D3514" s="12"/>
      <c r="E3514" s="10"/>
      <c r="F3514" s="10"/>
      <c r="G3514" s="10"/>
      <c r="H3514" s="14"/>
      <c r="I3514" s="14"/>
      <c r="J3514" s="14"/>
      <c r="K3514" s="14"/>
      <c r="L3514" s="14"/>
      <c r="M3514" s="15"/>
      <c r="N3514" s="10"/>
      <c r="O3514" s="14"/>
      <c r="P3514" s="14"/>
      <c r="Q3514" s="14"/>
      <c r="R3514" s="14"/>
      <c r="S3514" s="14"/>
      <c r="T3514" s="14"/>
      <c r="U3514" s="14"/>
      <c r="V3514" s="14"/>
      <c r="W3514" s="14"/>
      <c r="X3514" s="14"/>
      <c r="Y3514" s="14"/>
      <c r="Z3514" s="14"/>
      <c r="AA3514" s="16"/>
      <c r="AB3514" s="10"/>
      <c r="AC3514" s="10"/>
      <c r="AD3514" s="10"/>
      <c r="AE3514" s="10"/>
      <c r="AF3514" s="10"/>
      <c r="AG3514" s="10"/>
      <c r="AH3514" s="10"/>
      <c r="AI3514" s="10"/>
      <c r="AJ3514" s="10"/>
      <c r="AK3514" s="10"/>
      <c r="AL3514" s="10"/>
      <c r="AM3514" s="10"/>
      <c r="AN3514" s="10"/>
      <c r="AO3514" s="10"/>
      <c r="AP3514" s="10"/>
      <c r="AQ3514" s="10"/>
      <c r="AR3514" s="10"/>
      <c r="AS3514" s="10"/>
      <c r="AT3514" s="10"/>
      <c r="AU3514" s="10"/>
      <c r="AV3514" s="10"/>
      <c r="AW3514" s="10"/>
      <c r="AX3514" s="10"/>
      <c r="AY3514" s="10"/>
      <c r="AZ3514" s="10"/>
      <c r="BA3514" s="10"/>
      <c r="BB3514" s="10"/>
      <c r="BC3514" s="10"/>
      <c r="BD3514" s="10"/>
      <c r="BE3514" s="10"/>
      <c r="BF3514" s="10"/>
      <c r="BG3514" s="10"/>
      <c r="BH3514" s="10"/>
      <c r="BI3514" s="10"/>
      <c r="BJ3514" s="10"/>
      <c r="BK3514" s="10"/>
      <c r="BM3514" s="10"/>
    </row>
    <row r="3515" spans="1:65" ht="12.75">
      <c r="A3515" s="9"/>
      <c r="B3515" s="10"/>
      <c r="C3515" s="11"/>
      <c r="D3515" s="12"/>
      <c r="E3515" s="10"/>
      <c r="F3515" s="10"/>
      <c r="G3515" s="10"/>
      <c r="H3515" s="14"/>
      <c r="I3515" s="14"/>
      <c r="J3515" s="14"/>
      <c r="K3515" s="14"/>
      <c r="L3515" s="14"/>
      <c r="M3515" s="15"/>
      <c r="N3515" s="10"/>
      <c r="O3515" s="14"/>
      <c r="P3515" s="14"/>
      <c r="Q3515" s="14"/>
      <c r="R3515" s="14"/>
      <c r="S3515" s="14"/>
      <c r="T3515" s="14"/>
      <c r="U3515" s="14"/>
      <c r="V3515" s="14"/>
      <c r="W3515" s="14"/>
      <c r="X3515" s="14"/>
      <c r="Y3515" s="14"/>
      <c r="Z3515" s="14"/>
      <c r="AA3515" s="16"/>
      <c r="AB3515" s="10"/>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c r="BB3515" s="10"/>
      <c r="BC3515" s="10"/>
      <c r="BD3515" s="10"/>
      <c r="BE3515" s="10"/>
      <c r="BF3515" s="10"/>
      <c r="BG3515" s="10"/>
      <c r="BH3515" s="10"/>
      <c r="BI3515" s="10"/>
      <c r="BJ3515" s="10"/>
      <c r="BK3515" s="10"/>
      <c r="BM3515" s="10"/>
    </row>
    <row r="3516" spans="1:65" ht="12.75">
      <c r="A3516" s="9"/>
      <c r="B3516" s="10"/>
      <c r="C3516" s="11"/>
      <c r="D3516" s="12"/>
      <c r="E3516" s="10"/>
      <c r="F3516" s="10"/>
      <c r="G3516" s="10"/>
      <c r="H3516" s="14"/>
      <c r="I3516" s="14"/>
      <c r="J3516" s="14"/>
      <c r="K3516" s="14"/>
      <c r="L3516" s="14"/>
      <c r="M3516" s="15"/>
      <c r="N3516" s="10"/>
      <c r="O3516" s="14"/>
      <c r="P3516" s="14"/>
      <c r="Q3516" s="14"/>
      <c r="R3516" s="14"/>
      <c r="S3516" s="14"/>
      <c r="T3516" s="14"/>
      <c r="U3516" s="14"/>
      <c r="V3516" s="14"/>
      <c r="W3516" s="14"/>
      <c r="X3516" s="14"/>
      <c r="Y3516" s="14"/>
      <c r="Z3516" s="14"/>
      <c r="AA3516" s="16"/>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c r="BB3516" s="10"/>
      <c r="BC3516" s="10"/>
      <c r="BD3516" s="10"/>
      <c r="BE3516" s="10"/>
      <c r="BF3516" s="10"/>
      <c r="BG3516" s="10"/>
      <c r="BH3516" s="10"/>
      <c r="BI3516" s="10"/>
      <c r="BJ3516" s="10"/>
      <c r="BK3516" s="10"/>
      <c r="BM3516" s="10"/>
    </row>
    <row r="3517" spans="1:65" ht="12.75">
      <c r="A3517" s="9"/>
      <c r="B3517" s="10"/>
      <c r="C3517" s="11"/>
      <c r="D3517" s="12"/>
      <c r="E3517" s="10"/>
      <c r="F3517" s="10"/>
      <c r="G3517" s="10"/>
      <c r="H3517" s="14"/>
      <c r="I3517" s="14"/>
      <c r="J3517" s="14"/>
      <c r="K3517" s="14"/>
      <c r="L3517" s="14"/>
      <c r="M3517" s="15"/>
      <c r="N3517" s="10"/>
      <c r="O3517" s="14"/>
      <c r="P3517" s="14"/>
      <c r="Q3517" s="14"/>
      <c r="R3517" s="14"/>
      <c r="S3517" s="14"/>
      <c r="T3517" s="14"/>
      <c r="U3517" s="14"/>
      <c r="V3517" s="14"/>
      <c r="W3517" s="14"/>
      <c r="X3517" s="14"/>
      <c r="Y3517" s="14"/>
      <c r="Z3517" s="14"/>
      <c r="AA3517" s="16"/>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10"/>
      <c r="BC3517" s="10"/>
      <c r="BD3517" s="10"/>
      <c r="BE3517" s="10"/>
      <c r="BF3517" s="10"/>
      <c r="BG3517" s="10"/>
      <c r="BH3517" s="10"/>
      <c r="BI3517" s="10"/>
      <c r="BJ3517" s="10"/>
      <c r="BK3517" s="10"/>
      <c r="BM3517" s="10"/>
    </row>
    <row r="3518" spans="1:65" ht="12.75">
      <c r="A3518" s="9"/>
      <c r="B3518" s="10"/>
      <c r="C3518" s="11"/>
      <c r="D3518" s="12"/>
      <c r="E3518" s="10"/>
      <c r="F3518" s="10"/>
      <c r="G3518" s="10"/>
      <c r="H3518" s="14"/>
      <c r="I3518" s="14"/>
      <c r="J3518" s="14"/>
      <c r="K3518" s="14"/>
      <c r="L3518" s="14"/>
      <c r="M3518" s="15"/>
      <c r="N3518" s="10"/>
      <c r="O3518" s="14"/>
      <c r="P3518" s="14"/>
      <c r="Q3518" s="14"/>
      <c r="R3518" s="14"/>
      <c r="S3518" s="14"/>
      <c r="T3518" s="14"/>
      <c r="U3518" s="14"/>
      <c r="V3518" s="14"/>
      <c r="W3518" s="14"/>
      <c r="X3518" s="14"/>
      <c r="Y3518" s="14"/>
      <c r="Z3518" s="14"/>
      <c r="AA3518" s="16"/>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0"/>
      <c r="BC3518" s="10"/>
      <c r="BD3518" s="10"/>
      <c r="BE3518" s="10"/>
      <c r="BF3518" s="10"/>
      <c r="BG3518" s="10"/>
      <c r="BH3518" s="10"/>
      <c r="BI3518" s="10"/>
      <c r="BJ3518" s="10"/>
      <c r="BK3518" s="10"/>
      <c r="BM3518" s="10"/>
    </row>
    <row r="3519" spans="1:65" ht="12.75">
      <c r="A3519" s="9"/>
      <c r="B3519" s="10"/>
      <c r="C3519" s="11"/>
      <c r="D3519" s="12"/>
      <c r="E3519" s="10"/>
      <c r="F3519" s="10"/>
      <c r="G3519" s="10"/>
      <c r="H3519" s="14"/>
      <c r="I3519" s="14"/>
      <c r="J3519" s="14"/>
      <c r="K3519" s="14"/>
      <c r="L3519" s="14"/>
      <c r="M3519" s="15"/>
      <c r="N3519" s="10"/>
      <c r="O3519" s="14"/>
      <c r="P3519" s="14"/>
      <c r="Q3519" s="14"/>
      <c r="R3519" s="14"/>
      <c r="S3519" s="14"/>
      <c r="T3519" s="14"/>
      <c r="U3519" s="14"/>
      <c r="V3519" s="14"/>
      <c r="W3519" s="14"/>
      <c r="X3519" s="14"/>
      <c r="Y3519" s="14"/>
      <c r="Z3519" s="14"/>
      <c r="AA3519" s="16"/>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0"/>
      <c r="BC3519" s="10"/>
      <c r="BD3519" s="10"/>
      <c r="BE3519" s="10"/>
      <c r="BF3519" s="10"/>
      <c r="BG3519" s="10"/>
      <c r="BH3519" s="10"/>
      <c r="BI3519" s="10"/>
      <c r="BJ3519" s="10"/>
      <c r="BK3519" s="10"/>
      <c r="BM3519" s="10"/>
    </row>
    <row r="3520" spans="1:65" ht="12.75">
      <c r="A3520" s="9"/>
      <c r="B3520" s="10"/>
      <c r="C3520" s="11"/>
      <c r="D3520" s="12"/>
      <c r="E3520" s="10"/>
      <c r="F3520" s="10"/>
      <c r="G3520" s="10"/>
      <c r="H3520" s="14"/>
      <c r="I3520" s="14"/>
      <c r="J3520" s="14"/>
      <c r="K3520" s="14"/>
      <c r="L3520" s="14"/>
      <c r="M3520" s="15"/>
      <c r="N3520" s="10"/>
      <c r="O3520" s="14"/>
      <c r="P3520" s="14"/>
      <c r="Q3520" s="14"/>
      <c r="R3520" s="14"/>
      <c r="S3520" s="14"/>
      <c r="T3520" s="14"/>
      <c r="U3520" s="14"/>
      <c r="V3520" s="14"/>
      <c r="W3520" s="14"/>
      <c r="X3520" s="14"/>
      <c r="Y3520" s="14"/>
      <c r="Z3520" s="14"/>
      <c r="AA3520" s="16"/>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0"/>
      <c r="BC3520" s="10"/>
      <c r="BD3520" s="10"/>
      <c r="BE3520" s="10"/>
      <c r="BF3520" s="10"/>
      <c r="BG3520" s="10"/>
      <c r="BH3520" s="10"/>
      <c r="BI3520" s="10"/>
      <c r="BJ3520" s="10"/>
      <c r="BK3520" s="10"/>
      <c r="BM3520" s="10"/>
    </row>
    <row r="3521" spans="1:65" ht="12.75">
      <c r="A3521" s="9"/>
      <c r="B3521" s="10"/>
      <c r="C3521" s="11"/>
      <c r="D3521" s="12"/>
      <c r="E3521" s="10"/>
      <c r="F3521" s="10"/>
      <c r="G3521" s="10"/>
      <c r="H3521" s="14"/>
      <c r="I3521" s="14"/>
      <c r="J3521" s="14"/>
      <c r="K3521" s="14"/>
      <c r="L3521" s="14"/>
      <c r="M3521" s="15"/>
      <c r="N3521" s="10"/>
      <c r="O3521" s="14"/>
      <c r="P3521" s="14"/>
      <c r="Q3521" s="14"/>
      <c r="R3521" s="14"/>
      <c r="S3521" s="14"/>
      <c r="T3521" s="14"/>
      <c r="U3521" s="14"/>
      <c r="V3521" s="14"/>
      <c r="W3521" s="14"/>
      <c r="X3521" s="14"/>
      <c r="Y3521" s="14"/>
      <c r="Z3521" s="14"/>
      <c r="AA3521" s="16"/>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0"/>
      <c r="BC3521" s="10"/>
      <c r="BD3521" s="10"/>
      <c r="BE3521" s="10"/>
      <c r="BF3521" s="10"/>
      <c r="BG3521" s="10"/>
      <c r="BH3521" s="10"/>
      <c r="BI3521" s="10"/>
      <c r="BJ3521" s="10"/>
      <c r="BK3521" s="10"/>
      <c r="BM3521" s="10"/>
    </row>
    <row r="3522" spans="1:65" ht="12.75">
      <c r="A3522" s="9"/>
      <c r="B3522" s="10"/>
      <c r="C3522" s="11"/>
      <c r="D3522" s="12"/>
      <c r="E3522" s="10"/>
      <c r="F3522" s="10"/>
      <c r="G3522" s="10"/>
      <c r="H3522" s="14"/>
      <c r="I3522" s="14"/>
      <c r="J3522" s="14"/>
      <c r="K3522" s="14"/>
      <c r="L3522" s="14"/>
      <c r="M3522" s="15"/>
      <c r="N3522" s="10"/>
      <c r="O3522" s="14"/>
      <c r="P3522" s="14"/>
      <c r="Q3522" s="14"/>
      <c r="R3522" s="14"/>
      <c r="S3522" s="14"/>
      <c r="T3522" s="14"/>
      <c r="U3522" s="14"/>
      <c r="V3522" s="14"/>
      <c r="W3522" s="14"/>
      <c r="X3522" s="14"/>
      <c r="Y3522" s="14"/>
      <c r="Z3522" s="14"/>
      <c r="AA3522" s="16"/>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0"/>
      <c r="BC3522" s="10"/>
      <c r="BD3522" s="10"/>
      <c r="BE3522" s="10"/>
      <c r="BF3522" s="10"/>
      <c r="BG3522" s="10"/>
      <c r="BH3522" s="10"/>
      <c r="BI3522" s="10"/>
      <c r="BJ3522" s="10"/>
      <c r="BK3522" s="10"/>
      <c r="BM3522" s="10"/>
    </row>
    <row r="3523" spans="1:65" ht="12.75">
      <c r="A3523" s="9"/>
      <c r="B3523" s="10"/>
      <c r="C3523" s="11"/>
      <c r="D3523" s="12"/>
      <c r="E3523" s="10"/>
      <c r="F3523" s="10"/>
      <c r="G3523" s="10"/>
      <c r="H3523" s="14"/>
      <c r="I3523" s="14"/>
      <c r="J3523" s="14"/>
      <c r="K3523" s="14"/>
      <c r="L3523" s="14"/>
      <c r="M3523" s="15"/>
      <c r="N3523" s="10"/>
      <c r="O3523" s="14"/>
      <c r="P3523" s="14"/>
      <c r="Q3523" s="14"/>
      <c r="R3523" s="14"/>
      <c r="S3523" s="14"/>
      <c r="T3523" s="14"/>
      <c r="U3523" s="14"/>
      <c r="V3523" s="14"/>
      <c r="W3523" s="14"/>
      <c r="X3523" s="14"/>
      <c r="Y3523" s="14"/>
      <c r="Z3523" s="14"/>
      <c r="AA3523" s="16"/>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0"/>
      <c r="BC3523" s="10"/>
      <c r="BD3523" s="10"/>
      <c r="BE3523" s="10"/>
      <c r="BF3523" s="10"/>
      <c r="BG3523" s="10"/>
      <c r="BH3523" s="10"/>
      <c r="BI3523" s="10"/>
      <c r="BJ3523" s="10"/>
      <c r="BK3523" s="10"/>
      <c r="BM3523" s="10"/>
    </row>
    <row r="3524" spans="1:65" ht="12.75">
      <c r="A3524" s="9"/>
      <c r="B3524" s="10"/>
      <c r="C3524" s="11"/>
      <c r="D3524" s="12"/>
      <c r="E3524" s="10"/>
      <c r="F3524" s="10"/>
      <c r="G3524" s="10"/>
      <c r="H3524" s="14"/>
      <c r="I3524" s="14"/>
      <c r="J3524" s="14"/>
      <c r="K3524" s="14"/>
      <c r="L3524" s="14"/>
      <c r="M3524" s="15"/>
      <c r="N3524" s="10"/>
      <c r="O3524" s="14"/>
      <c r="P3524" s="14"/>
      <c r="Q3524" s="14"/>
      <c r="R3524" s="14"/>
      <c r="S3524" s="14"/>
      <c r="T3524" s="14"/>
      <c r="U3524" s="14"/>
      <c r="V3524" s="14"/>
      <c r="W3524" s="14"/>
      <c r="X3524" s="14"/>
      <c r="Y3524" s="14"/>
      <c r="Z3524" s="14"/>
      <c r="AA3524" s="16"/>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0"/>
      <c r="BC3524" s="10"/>
      <c r="BD3524" s="10"/>
      <c r="BE3524" s="10"/>
      <c r="BF3524" s="10"/>
      <c r="BG3524" s="10"/>
      <c r="BH3524" s="10"/>
      <c r="BI3524" s="10"/>
      <c r="BJ3524" s="10"/>
      <c r="BK3524" s="10"/>
      <c r="BM3524" s="10"/>
    </row>
    <row r="3525" spans="1:65" ht="12.75">
      <c r="A3525" s="9"/>
      <c r="B3525" s="10"/>
      <c r="C3525" s="11"/>
      <c r="D3525" s="12"/>
      <c r="E3525" s="10"/>
      <c r="F3525" s="10"/>
      <c r="G3525" s="10"/>
      <c r="H3525" s="14"/>
      <c r="I3525" s="14"/>
      <c r="J3525" s="14"/>
      <c r="K3525" s="14"/>
      <c r="L3525" s="14"/>
      <c r="M3525" s="15"/>
      <c r="N3525" s="10"/>
      <c r="O3525" s="14"/>
      <c r="P3525" s="14"/>
      <c r="Q3525" s="14"/>
      <c r="R3525" s="14"/>
      <c r="S3525" s="14"/>
      <c r="T3525" s="14"/>
      <c r="U3525" s="14"/>
      <c r="V3525" s="14"/>
      <c r="W3525" s="14"/>
      <c r="X3525" s="14"/>
      <c r="Y3525" s="14"/>
      <c r="Z3525" s="14"/>
      <c r="AA3525" s="16"/>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0"/>
      <c r="BC3525" s="10"/>
      <c r="BD3525" s="10"/>
      <c r="BE3525" s="10"/>
      <c r="BF3525" s="10"/>
      <c r="BG3525" s="10"/>
      <c r="BH3525" s="10"/>
      <c r="BI3525" s="10"/>
      <c r="BJ3525" s="10"/>
      <c r="BK3525" s="10"/>
      <c r="BM3525" s="10"/>
    </row>
    <row r="3526" spans="1:65" ht="12.75">
      <c r="A3526" s="9"/>
      <c r="B3526" s="10"/>
      <c r="C3526" s="11"/>
      <c r="D3526" s="12"/>
      <c r="E3526" s="10"/>
      <c r="F3526" s="10"/>
      <c r="G3526" s="10"/>
      <c r="H3526" s="14"/>
      <c r="I3526" s="14"/>
      <c r="J3526" s="14"/>
      <c r="K3526" s="14"/>
      <c r="L3526" s="14"/>
      <c r="M3526" s="15"/>
      <c r="N3526" s="10"/>
      <c r="O3526" s="14"/>
      <c r="P3526" s="14"/>
      <c r="Q3526" s="14"/>
      <c r="R3526" s="14"/>
      <c r="S3526" s="14"/>
      <c r="T3526" s="14"/>
      <c r="U3526" s="14"/>
      <c r="V3526" s="14"/>
      <c r="W3526" s="14"/>
      <c r="X3526" s="14"/>
      <c r="Y3526" s="14"/>
      <c r="Z3526" s="14"/>
      <c r="AA3526" s="16"/>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0"/>
      <c r="BC3526" s="10"/>
      <c r="BD3526" s="10"/>
      <c r="BE3526" s="10"/>
      <c r="BF3526" s="10"/>
      <c r="BG3526" s="10"/>
      <c r="BH3526" s="10"/>
      <c r="BI3526" s="10"/>
      <c r="BJ3526" s="10"/>
      <c r="BK3526" s="10"/>
      <c r="BM3526" s="10"/>
    </row>
    <row r="3527" spans="1:65" ht="12.75">
      <c r="A3527" s="9"/>
      <c r="B3527" s="10"/>
      <c r="C3527" s="11"/>
      <c r="D3527" s="12"/>
      <c r="E3527" s="10"/>
      <c r="F3527" s="10"/>
      <c r="G3527" s="10"/>
      <c r="H3527" s="14"/>
      <c r="I3527" s="14"/>
      <c r="J3527" s="14"/>
      <c r="K3527" s="14"/>
      <c r="L3527" s="14"/>
      <c r="M3527" s="15"/>
      <c r="N3527" s="10"/>
      <c r="O3527" s="14"/>
      <c r="P3527" s="14"/>
      <c r="Q3527" s="14"/>
      <c r="R3527" s="14"/>
      <c r="S3527" s="14"/>
      <c r="T3527" s="14"/>
      <c r="U3527" s="14"/>
      <c r="V3527" s="14"/>
      <c r="W3527" s="14"/>
      <c r="X3527" s="14"/>
      <c r="Y3527" s="14"/>
      <c r="Z3527" s="14"/>
      <c r="AA3527" s="16"/>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0"/>
      <c r="BC3527" s="10"/>
      <c r="BD3527" s="10"/>
      <c r="BE3527" s="10"/>
      <c r="BF3527" s="10"/>
      <c r="BG3527" s="10"/>
      <c r="BH3527" s="10"/>
      <c r="BI3527" s="10"/>
      <c r="BJ3527" s="10"/>
      <c r="BK3527" s="10"/>
      <c r="BM3527" s="10"/>
    </row>
    <row r="3528" spans="1:65" ht="12.75">
      <c r="A3528" s="9"/>
      <c r="B3528" s="10"/>
      <c r="C3528" s="11"/>
      <c r="D3528" s="12"/>
      <c r="E3528" s="10"/>
      <c r="F3528" s="10"/>
      <c r="G3528" s="10"/>
      <c r="H3528" s="14"/>
      <c r="I3528" s="14"/>
      <c r="J3528" s="14"/>
      <c r="K3528" s="14"/>
      <c r="L3528" s="14"/>
      <c r="M3528" s="15"/>
      <c r="N3528" s="10"/>
      <c r="O3528" s="14"/>
      <c r="P3528" s="14"/>
      <c r="Q3528" s="14"/>
      <c r="R3528" s="14"/>
      <c r="S3528" s="14"/>
      <c r="T3528" s="14"/>
      <c r="U3528" s="14"/>
      <c r="V3528" s="14"/>
      <c r="W3528" s="14"/>
      <c r="X3528" s="14"/>
      <c r="Y3528" s="14"/>
      <c r="Z3528" s="14"/>
      <c r="AA3528" s="16"/>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0"/>
      <c r="BC3528" s="10"/>
      <c r="BD3528" s="10"/>
      <c r="BE3528" s="10"/>
      <c r="BF3528" s="10"/>
      <c r="BG3528" s="10"/>
      <c r="BH3528" s="10"/>
      <c r="BI3528" s="10"/>
      <c r="BJ3528" s="10"/>
      <c r="BK3528" s="10"/>
      <c r="BM3528" s="10"/>
    </row>
    <row r="3529" spans="1:65" ht="12.75">
      <c r="A3529" s="9"/>
      <c r="B3529" s="10"/>
      <c r="C3529" s="11"/>
      <c r="D3529" s="12"/>
      <c r="E3529" s="10"/>
      <c r="F3529" s="10"/>
      <c r="G3529" s="10"/>
      <c r="H3529" s="14"/>
      <c r="I3529" s="14"/>
      <c r="J3529" s="14"/>
      <c r="K3529" s="14"/>
      <c r="L3529" s="14"/>
      <c r="M3529" s="15"/>
      <c r="N3529" s="10"/>
      <c r="O3529" s="14"/>
      <c r="P3529" s="14"/>
      <c r="Q3529" s="14"/>
      <c r="R3529" s="14"/>
      <c r="S3529" s="14"/>
      <c r="T3529" s="14"/>
      <c r="U3529" s="14"/>
      <c r="V3529" s="14"/>
      <c r="W3529" s="14"/>
      <c r="X3529" s="14"/>
      <c r="Y3529" s="14"/>
      <c r="Z3529" s="14"/>
      <c r="AA3529" s="16"/>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0"/>
      <c r="BC3529" s="10"/>
      <c r="BD3529" s="10"/>
      <c r="BE3529" s="10"/>
      <c r="BF3529" s="10"/>
      <c r="BG3529" s="10"/>
      <c r="BH3529" s="10"/>
      <c r="BI3529" s="10"/>
      <c r="BJ3529" s="10"/>
      <c r="BK3529" s="10"/>
      <c r="BM3529" s="10"/>
    </row>
    <row r="3530" spans="1:65" ht="12.75">
      <c r="A3530" s="9"/>
      <c r="B3530" s="10"/>
      <c r="C3530" s="11"/>
      <c r="D3530" s="12"/>
      <c r="E3530" s="10"/>
      <c r="F3530" s="10"/>
      <c r="G3530" s="10"/>
      <c r="H3530" s="14"/>
      <c r="I3530" s="14"/>
      <c r="J3530" s="14"/>
      <c r="K3530" s="14"/>
      <c r="L3530" s="14"/>
      <c r="M3530" s="15"/>
      <c r="N3530" s="10"/>
      <c r="O3530" s="14"/>
      <c r="P3530" s="14"/>
      <c r="Q3530" s="14"/>
      <c r="R3530" s="14"/>
      <c r="S3530" s="14"/>
      <c r="T3530" s="14"/>
      <c r="U3530" s="14"/>
      <c r="V3530" s="14"/>
      <c r="W3530" s="14"/>
      <c r="X3530" s="14"/>
      <c r="Y3530" s="14"/>
      <c r="Z3530" s="14"/>
      <c r="AA3530" s="16"/>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0"/>
      <c r="BC3530" s="10"/>
      <c r="BD3530" s="10"/>
      <c r="BE3530" s="10"/>
      <c r="BF3530" s="10"/>
      <c r="BG3530" s="10"/>
      <c r="BH3530" s="10"/>
      <c r="BI3530" s="10"/>
      <c r="BJ3530" s="10"/>
      <c r="BK3530" s="10"/>
      <c r="BM3530" s="10"/>
    </row>
    <row r="3531" spans="1:65" ht="12.75">
      <c r="A3531" s="9"/>
      <c r="B3531" s="10"/>
      <c r="C3531" s="11"/>
      <c r="D3531" s="12"/>
      <c r="E3531" s="10"/>
      <c r="F3531" s="10"/>
      <c r="G3531" s="10"/>
      <c r="H3531" s="14"/>
      <c r="I3531" s="14"/>
      <c r="J3531" s="14"/>
      <c r="K3531" s="14"/>
      <c r="L3531" s="14"/>
      <c r="M3531" s="15"/>
      <c r="N3531" s="10"/>
      <c r="O3531" s="14"/>
      <c r="P3531" s="14"/>
      <c r="Q3531" s="14"/>
      <c r="R3531" s="14"/>
      <c r="S3531" s="14"/>
      <c r="T3531" s="14"/>
      <c r="U3531" s="14"/>
      <c r="V3531" s="14"/>
      <c r="W3531" s="14"/>
      <c r="X3531" s="14"/>
      <c r="Y3531" s="14"/>
      <c r="Z3531" s="14"/>
      <c r="AA3531" s="16"/>
      <c r="AB3531" s="10"/>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10"/>
      <c r="AX3531" s="10"/>
      <c r="AY3531" s="10"/>
      <c r="AZ3531" s="10"/>
      <c r="BA3531" s="10"/>
      <c r="BB3531" s="10"/>
      <c r="BC3531" s="10"/>
      <c r="BD3531" s="10"/>
      <c r="BE3531" s="10"/>
      <c r="BF3531" s="10"/>
      <c r="BG3531" s="10"/>
      <c r="BH3531" s="10"/>
      <c r="BI3531" s="10"/>
      <c r="BJ3531" s="10"/>
      <c r="BK3531" s="10"/>
      <c r="BM3531" s="10"/>
    </row>
    <row r="3532" spans="1:65" ht="12.75">
      <c r="A3532" s="9"/>
      <c r="B3532" s="10"/>
      <c r="C3532" s="11"/>
      <c r="D3532" s="12"/>
      <c r="E3532" s="10"/>
      <c r="F3532" s="10"/>
      <c r="G3532" s="10"/>
      <c r="H3532" s="14"/>
      <c r="I3532" s="14"/>
      <c r="J3532" s="14"/>
      <c r="K3532" s="14"/>
      <c r="L3532" s="14"/>
      <c r="M3532" s="15"/>
      <c r="N3532" s="10"/>
      <c r="O3532" s="14"/>
      <c r="P3532" s="14"/>
      <c r="Q3532" s="14"/>
      <c r="R3532" s="14"/>
      <c r="S3532" s="14"/>
      <c r="T3532" s="14"/>
      <c r="U3532" s="14"/>
      <c r="V3532" s="14"/>
      <c r="W3532" s="14"/>
      <c r="X3532" s="14"/>
      <c r="Y3532" s="14"/>
      <c r="Z3532" s="14"/>
      <c r="AA3532" s="16"/>
      <c r="AB3532" s="10"/>
      <c r="AC3532" s="10"/>
      <c r="AD3532" s="10"/>
      <c r="AE3532" s="10"/>
      <c r="AF3532" s="10"/>
      <c r="AG3532" s="10"/>
      <c r="AH3532" s="10"/>
      <c r="AI3532" s="10"/>
      <c r="AJ3532" s="10"/>
      <c r="AK3532" s="10"/>
      <c r="AL3532" s="10"/>
      <c r="AM3532" s="10"/>
      <c r="AN3532" s="10"/>
      <c r="AO3532" s="10"/>
      <c r="AP3532" s="10"/>
      <c r="AQ3532" s="10"/>
      <c r="AR3532" s="10"/>
      <c r="AS3532" s="10"/>
      <c r="AT3532" s="10"/>
      <c r="AU3532" s="10"/>
      <c r="AV3532" s="10"/>
      <c r="AW3532" s="10"/>
      <c r="AX3532" s="10"/>
      <c r="AY3532" s="10"/>
      <c r="AZ3532" s="10"/>
      <c r="BA3532" s="10"/>
      <c r="BB3532" s="10"/>
      <c r="BC3532" s="10"/>
      <c r="BD3532" s="10"/>
      <c r="BE3532" s="10"/>
      <c r="BF3532" s="10"/>
      <c r="BG3532" s="10"/>
      <c r="BH3532" s="10"/>
      <c r="BI3532" s="10"/>
      <c r="BJ3532" s="10"/>
      <c r="BK3532" s="10"/>
      <c r="BM3532" s="10"/>
    </row>
    <row r="3533" spans="1:65" ht="12.75">
      <c r="A3533" s="9"/>
      <c r="B3533" s="10"/>
      <c r="C3533" s="11"/>
      <c r="D3533" s="12"/>
      <c r="E3533" s="10"/>
      <c r="F3533" s="10"/>
      <c r="G3533" s="10"/>
      <c r="H3533" s="14"/>
      <c r="I3533" s="14"/>
      <c r="J3533" s="14"/>
      <c r="K3533" s="14"/>
      <c r="L3533" s="14"/>
      <c r="M3533" s="15"/>
      <c r="N3533" s="10"/>
      <c r="O3533" s="14"/>
      <c r="P3533" s="14"/>
      <c r="Q3533" s="14"/>
      <c r="R3533" s="14"/>
      <c r="S3533" s="14"/>
      <c r="T3533" s="14"/>
      <c r="U3533" s="14"/>
      <c r="V3533" s="14"/>
      <c r="W3533" s="14"/>
      <c r="X3533" s="14"/>
      <c r="Y3533" s="14"/>
      <c r="Z3533" s="14"/>
      <c r="AA3533" s="16"/>
      <c r="AB3533" s="10"/>
      <c r="AC3533" s="10"/>
      <c r="AD3533" s="10"/>
      <c r="AE3533" s="10"/>
      <c r="AF3533" s="10"/>
      <c r="AG3533" s="10"/>
      <c r="AH3533" s="10"/>
      <c r="AI3533" s="10"/>
      <c r="AJ3533" s="10"/>
      <c r="AK3533" s="10"/>
      <c r="AL3533" s="10"/>
      <c r="AM3533" s="10"/>
      <c r="AN3533" s="10"/>
      <c r="AO3533" s="10"/>
      <c r="AP3533" s="10"/>
      <c r="AQ3533" s="10"/>
      <c r="AR3533" s="10"/>
      <c r="AS3533" s="10"/>
      <c r="AT3533" s="10"/>
      <c r="AU3533" s="10"/>
      <c r="AV3533" s="10"/>
      <c r="AW3533" s="10"/>
      <c r="AX3533" s="10"/>
      <c r="AY3533" s="10"/>
      <c r="AZ3533" s="10"/>
      <c r="BA3533" s="10"/>
      <c r="BB3533" s="10"/>
      <c r="BC3533" s="10"/>
      <c r="BD3533" s="10"/>
      <c r="BE3533" s="10"/>
      <c r="BF3533" s="10"/>
      <c r="BG3533" s="10"/>
      <c r="BH3533" s="10"/>
      <c r="BI3533" s="10"/>
      <c r="BJ3533" s="10"/>
      <c r="BK3533" s="10"/>
      <c r="BM3533" s="10"/>
    </row>
    <row r="3534" spans="1:65" ht="12.75">
      <c r="A3534" s="9"/>
      <c r="B3534" s="10"/>
      <c r="C3534" s="11"/>
      <c r="D3534" s="12"/>
      <c r="E3534" s="10"/>
      <c r="F3534" s="10"/>
      <c r="G3534" s="10"/>
      <c r="H3534" s="14"/>
      <c r="I3534" s="14"/>
      <c r="J3534" s="14"/>
      <c r="K3534" s="14"/>
      <c r="L3534" s="14"/>
      <c r="M3534" s="15"/>
      <c r="N3534" s="10"/>
      <c r="O3534" s="14"/>
      <c r="P3534" s="14"/>
      <c r="Q3534" s="14"/>
      <c r="R3534" s="14"/>
      <c r="S3534" s="14"/>
      <c r="T3534" s="14"/>
      <c r="U3534" s="14"/>
      <c r="V3534" s="14"/>
      <c r="W3534" s="14"/>
      <c r="X3534" s="14"/>
      <c r="Y3534" s="14"/>
      <c r="Z3534" s="14"/>
      <c r="AA3534" s="16"/>
      <c r="AB3534" s="10"/>
      <c r="AC3534" s="10"/>
      <c r="AD3534" s="10"/>
      <c r="AE3534" s="10"/>
      <c r="AF3534" s="10"/>
      <c r="AG3534" s="10"/>
      <c r="AH3534" s="10"/>
      <c r="AI3534" s="10"/>
      <c r="AJ3534" s="10"/>
      <c r="AK3534" s="10"/>
      <c r="AL3534" s="10"/>
      <c r="AM3534" s="10"/>
      <c r="AN3534" s="10"/>
      <c r="AO3534" s="10"/>
      <c r="AP3534" s="10"/>
      <c r="AQ3534" s="10"/>
      <c r="AR3534" s="10"/>
      <c r="AS3534" s="10"/>
      <c r="AT3534" s="10"/>
      <c r="AU3534" s="10"/>
      <c r="AV3534" s="10"/>
      <c r="AW3534" s="10"/>
      <c r="AX3534" s="10"/>
      <c r="AY3534" s="10"/>
      <c r="AZ3534" s="10"/>
      <c r="BA3534" s="10"/>
      <c r="BB3534" s="10"/>
      <c r="BC3534" s="10"/>
      <c r="BD3534" s="10"/>
      <c r="BE3534" s="10"/>
      <c r="BF3534" s="10"/>
      <c r="BG3534" s="10"/>
      <c r="BH3534" s="10"/>
      <c r="BI3534" s="10"/>
      <c r="BJ3534" s="10"/>
      <c r="BK3534" s="10"/>
      <c r="BM3534" s="10"/>
    </row>
    <row r="3535" spans="1:65" ht="12.75">
      <c r="A3535" s="9"/>
      <c r="B3535" s="10"/>
      <c r="C3535" s="11"/>
      <c r="D3535" s="12"/>
      <c r="E3535" s="10"/>
      <c r="F3535" s="10"/>
      <c r="G3535" s="10"/>
      <c r="H3535" s="14"/>
      <c r="I3535" s="14"/>
      <c r="J3535" s="14"/>
      <c r="K3535" s="14"/>
      <c r="L3535" s="14"/>
      <c r="M3535" s="15"/>
      <c r="N3535" s="10"/>
      <c r="O3535" s="14"/>
      <c r="P3535" s="14"/>
      <c r="Q3535" s="14"/>
      <c r="R3535" s="14"/>
      <c r="S3535" s="14"/>
      <c r="T3535" s="14"/>
      <c r="U3535" s="14"/>
      <c r="V3535" s="14"/>
      <c r="W3535" s="14"/>
      <c r="X3535" s="14"/>
      <c r="Y3535" s="14"/>
      <c r="Z3535" s="14"/>
      <c r="AA3535" s="16"/>
      <c r="AB3535" s="10"/>
      <c r="AC3535" s="10"/>
      <c r="AD3535" s="10"/>
      <c r="AE3535" s="10"/>
      <c r="AF3535" s="10"/>
      <c r="AG3535" s="10"/>
      <c r="AH3535" s="10"/>
      <c r="AI3535" s="10"/>
      <c r="AJ3535" s="10"/>
      <c r="AK3535" s="10"/>
      <c r="AL3535" s="10"/>
      <c r="AM3535" s="10"/>
      <c r="AN3535" s="10"/>
      <c r="AO3535" s="10"/>
      <c r="AP3535" s="10"/>
      <c r="AQ3535" s="10"/>
      <c r="AR3535" s="10"/>
      <c r="AS3535" s="10"/>
      <c r="AT3535" s="10"/>
      <c r="AU3535" s="10"/>
      <c r="AV3535" s="10"/>
      <c r="AW3535" s="10"/>
      <c r="AX3535" s="10"/>
      <c r="AY3535" s="10"/>
      <c r="AZ3535" s="10"/>
      <c r="BA3535" s="10"/>
      <c r="BB3535" s="10"/>
      <c r="BC3535" s="10"/>
      <c r="BD3535" s="10"/>
      <c r="BE3535" s="10"/>
      <c r="BF3535" s="10"/>
      <c r="BG3535" s="10"/>
      <c r="BH3535" s="10"/>
      <c r="BI3535" s="10"/>
      <c r="BJ3535" s="10"/>
      <c r="BK3535" s="10"/>
      <c r="BM3535" s="10"/>
    </row>
    <row r="3536" spans="1:65" ht="12.75">
      <c r="A3536" s="9"/>
      <c r="B3536" s="10"/>
      <c r="C3536" s="11"/>
      <c r="D3536" s="12"/>
      <c r="E3536" s="10"/>
      <c r="F3536" s="10"/>
      <c r="G3536" s="10"/>
      <c r="H3536" s="14"/>
      <c r="I3536" s="14"/>
      <c r="J3536" s="14"/>
      <c r="K3536" s="14"/>
      <c r="L3536" s="14"/>
      <c r="M3536" s="15"/>
      <c r="N3536" s="10"/>
      <c r="O3536" s="14"/>
      <c r="P3536" s="14"/>
      <c r="Q3536" s="14"/>
      <c r="R3536" s="14"/>
      <c r="S3536" s="14"/>
      <c r="T3536" s="14"/>
      <c r="U3536" s="14"/>
      <c r="V3536" s="14"/>
      <c r="W3536" s="14"/>
      <c r="X3536" s="14"/>
      <c r="Y3536" s="14"/>
      <c r="Z3536" s="14"/>
      <c r="AA3536" s="16"/>
      <c r="AB3536" s="10"/>
      <c r="AC3536" s="10"/>
      <c r="AD3536" s="10"/>
      <c r="AE3536" s="10"/>
      <c r="AF3536" s="10"/>
      <c r="AG3536" s="10"/>
      <c r="AH3536" s="10"/>
      <c r="AI3536" s="10"/>
      <c r="AJ3536" s="10"/>
      <c r="AK3536" s="10"/>
      <c r="AL3536" s="10"/>
      <c r="AM3536" s="10"/>
      <c r="AN3536" s="10"/>
      <c r="AO3536" s="10"/>
      <c r="AP3536" s="10"/>
      <c r="AQ3536" s="10"/>
      <c r="AR3536" s="10"/>
      <c r="AS3536" s="10"/>
      <c r="AT3536" s="10"/>
      <c r="AU3536" s="10"/>
      <c r="AV3536" s="10"/>
      <c r="AW3536" s="10"/>
      <c r="AX3536" s="10"/>
      <c r="AY3536" s="10"/>
      <c r="AZ3536" s="10"/>
      <c r="BA3536" s="10"/>
      <c r="BB3536" s="10"/>
      <c r="BC3536" s="10"/>
      <c r="BD3536" s="10"/>
      <c r="BE3536" s="10"/>
      <c r="BF3536" s="10"/>
      <c r="BG3536" s="10"/>
      <c r="BH3536" s="10"/>
      <c r="BI3536" s="10"/>
      <c r="BJ3536" s="10"/>
      <c r="BK3536" s="10"/>
      <c r="BM3536" s="10"/>
    </row>
    <row r="3537" spans="1:65" ht="12.75">
      <c r="A3537" s="9"/>
      <c r="B3537" s="10"/>
      <c r="C3537" s="11"/>
      <c r="D3537" s="12"/>
      <c r="E3537" s="10"/>
      <c r="F3537" s="10"/>
      <c r="G3537" s="10"/>
      <c r="H3537" s="14"/>
      <c r="I3537" s="14"/>
      <c r="J3537" s="14"/>
      <c r="K3537" s="14"/>
      <c r="L3537" s="14"/>
      <c r="M3537" s="15"/>
      <c r="N3537" s="10"/>
      <c r="O3537" s="14"/>
      <c r="P3537" s="14"/>
      <c r="Q3537" s="14"/>
      <c r="R3537" s="14"/>
      <c r="S3537" s="14"/>
      <c r="T3537" s="14"/>
      <c r="U3537" s="14"/>
      <c r="V3537" s="14"/>
      <c r="W3537" s="14"/>
      <c r="X3537" s="14"/>
      <c r="Y3537" s="14"/>
      <c r="Z3537" s="14"/>
      <c r="AA3537" s="16"/>
      <c r="AB3537" s="10"/>
      <c r="AC3537" s="10"/>
      <c r="AD3537" s="10"/>
      <c r="AE3537" s="10"/>
      <c r="AF3537" s="10"/>
      <c r="AG3537" s="10"/>
      <c r="AH3537" s="10"/>
      <c r="AI3537" s="10"/>
      <c r="AJ3537" s="10"/>
      <c r="AK3537" s="10"/>
      <c r="AL3537" s="10"/>
      <c r="AM3537" s="10"/>
      <c r="AN3537" s="10"/>
      <c r="AO3537" s="10"/>
      <c r="AP3537" s="10"/>
      <c r="AQ3537" s="10"/>
      <c r="AR3537" s="10"/>
      <c r="AS3537" s="10"/>
      <c r="AT3537" s="10"/>
      <c r="AU3537" s="10"/>
      <c r="AV3537" s="10"/>
      <c r="AW3537" s="10"/>
      <c r="AX3537" s="10"/>
      <c r="AY3537" s="10"/>
      <c r="AZ3537" s="10"/>
      <c r="BA3537" s="10"/>
      <c r="BB3537" s="10"/>
      <c r="BC3537" s="10"/>
      <c r="BD3537" s="10"/>
      <c r="BE3537" s="10"/>
      <c r="BF3537" s="10"/>
      <c r="BG3537" s="10"/>
      <c r="BH3537" s="10"/>
      <c r="BI3537" s="10"/>
      <c r="BJ3537" s="10"/>
      <c r="BK3537" s="10"/>
      <c r="BM3537" s="10"/>
    </row>
    <row r="3538" spans="1:65" ht="12.75">
      <c r="A3538" s="9"/>
      <c r="B3538" s="10"/>
      <c r="C3538" s="11"/>
      <c r="D3538" s="12"/>
      <c r="E3538" s="10"/>
      <c r="F3538" s="10"/>
      <c r="G3538" s="10"/>
      <c r="H3538" s="14"/>
      <c r="I3538" s="14"/>
      <c r="J3538" s="14"/>
      <c r="K3538" s="14"/>
      <c r="L3538" s="14"/>
      <c r="M3538" s="15"/>
      <c r="N3538" s="10"/>
      <c r="O3538" s="14"/>
      <c r="P3538" s="14"/>
      <c r="Q3538" s="14"/>
      <c r="R3538" s="14"/>
      <c r="S3538" s="14"/>
      <c r="T3538" s="14"/>
      <c r="U3538" s="14"/>
      <c r="V3538" s="14"/>
      <c r="W3538" s="14"/>
      <c r="X3538" s="14"/>
      <c r="Y3538" s="14"/>
      <c r="Z3538" s="14"/>
      <c r="AA3538" s="16"/>
      <c r="AB3538" s="10"/>
      <c r="AC3538" s="10"/>
      <c r="AD3538" s="10"/>
      <c r="AE3538" s="10"/>
      <c r="AF3538" s="10"/>
      <c r="AG3538" s="10"/>
      <c r="AH3538" s="10"/>
      <c r="AI3538" s="10"/>
      <c r="AJ3538" s="10"/>
      <c r="AK3538" s="10"/>
      <c r="AL3538" s="10"/>
      <c r="AM3538" s="10"/>
      <c r="AN3538" s="10"/>
      <c r="AO3538" s="10"/>
      <c r="AP3538" s="10"/>
      <c r="AQ3538" s="10"/>
      <c r="AR3538" s="10"/>
      <c r="AS3538" s="10"/>
      <c r="AT3538" s="10"/>
      <c r="AU3538" s="10"/>
      <c r="AV3538" s="10"/>
      <c r="AW3538" s="10"/>
      <c r="AX3538" s="10"/>
      <c r="AY3538" s="10"/>
      <c r="AZ3538" s="10"/>
      <c r="BA3538" s="10"/>
      <c r="BB3538" s="10"/>
      <c r="BC3538" s="10"/>
      <c r="BD3538" s="10"/>
      <c r="BE3538" s="10"/>
      <c r="BF3538" s="10"/>
      <c r="BG3538" s="10"/>
      <c r="BH3538" s="10"/>
      <c r="BI3538" s="10"/>
      <c r="BJ3538" s="10"/>
      <c r="BK3538" s="10"/>
      <c r="BM3538" s="10"/>
    </row>
    <row r="3539" spans="1:65" ht="12.75">
      <c r="A3539" s="9"/>
      <c r="B3539" s="10"/>
      <c r="C3539" s="11"/>
      <c r="D3539" s="12"/>
      <c r="E3539" s="10"/>
      <c r="F3539" s="10"/>
      <c r="G3539" s="10"/>
      <c r="H3539" s="14"/>
      <c r="I3539" s="14"/>
      <c r="J3539" s="14"/>
      <c r="K3539" s="14"/>
      <c r="L3539" s="14"/>
      <c r="M3539" s="15"/>
      <c r="N3539" s="10"/>
      <c r="O3539" s="14"/>
      <c r="P3539" s="14"/>
      <c r="Q3539" s="14"/>
      <c r="R3539" s="14"/>
      <c r="S3539" s="14"/>
      <c r="T3539" s="14"/>
      <c r="U3539" s="14"/>
      <c r="V3539" s="14"/>
      <c r="W3539" s="14"/>
      <c r="X3539" s="14"/>
      <c r="Y3539" s="14"/>
      <c r="Z3539" s="14"/>
      <c r="AA3539" s="16"/>
      <c r="AB3539" s="10"/>
      <c r="AC3539" s="10"/>
      <c r="AD3539" s="10"/>
      <c r="AE3539" s="10"/>
      <c r="AF3539" s="10"/>
      <c r="AG3539" s="10"/>
      <c r="AH3539" s="10"/>
      <c r="AI3539" s="10"/>
      <c r="AJ3539" s="10"/>
      <c r="AK3539" s="10"/>
      <c r="AL3539" s="10"/>
      <c r="AM3539" s="10"/>
      <c r="AN3539" s="10"/>
      <c r="AO3539" s="10"/>
      <c r="AP3539" s="10"/>
      <c r="AQ3539" s="10"/>
      <c r="AR3539" s="10"/>
      <c r="AS3539" s="10"/>
      <c r="AT3539" s="10"/>
      <c r="AU3539" s="10"/>
      <c r="AV3539" s="10"/>
      <c r="AW3539" s="10"/>
      <c r="AX3539" s="10"/>
      <c r="AY3539" s="10"/>
      <c r="AZ3539" s="10"/>
      <c r="BA3539" s="10"/>
      <c r="BB3539" s="10"/>
      <c r="BC3539" s="10"/>
      <c r="BD3539" s="10"/>
      <c r="BE3539" s="10"/>
      <c r="BF3539" s="10"/>
      <c r="BG3539" s="10"/>
      <c r="BH3539" s="10"/>
      <c r="BI3539" s="10"/>
      <c r="BJ3539" s="10"/>
      <c r="BK3539" s="10"/>
      <c r="BM3539" s="10"/>
    </row>
    <row r="3540" spans="1:65" ht="12.75">
      <c r="A3540" s="9"/>
      <c r="B3540" s="10"/>
      <c r="C3540" s="11"/>
      <c r="D3540" s="12"/>
      <c r="E3540" s="10"/>
      <c r="F3540" s="10"/>
      <c r="G3540" s="10"/>
      <c r="H3540" s="14"/>
      <c r="I3540" s="14"/>
      <c r="J3540" s="14"/>
      <c r="K3540" s="14"/>
      <c r="L3540" s="14"/>
      <c r="M3540" s="15"/>
      <c r="N3540" s="10"/>
      <c r="O3540" s="14"/>
      <c r="P3540" s="14"/>
      <c r="Q3540" s="14"/>
      <c r="R3540" s="14"/>
      <c r="S3540" s="14"/>
      <c r="T3540" s="14"/>
      <c r="U3540" s="14"/>
      <c r="V3540" s="14"/>
      <c r="W3540" s="14"/>
      <c r="X3540" s="14"/>
      <c r="Y3540" s="14"/>
      <c r="Z3540" s="14"/>
      <c r="AA3540" s="16"/>
      <c r="AB3540" s="10"/>
      <c r="AC3540" s="10"/>
      <c r="AD3540" s="10"/>
      <c r="AE3540" s="10"/>
      <c r="AF3540" s="10"/>
      <c r="AG3540" s="10"/>
      <c r="AH3540" s="10"/>
      <c r="AI3540" s="10"/>
      <c r="AJ3540" s="10"/>
      <c r="AK3540" s="10"/>
      <c r="AL3540" s="10"/>
      <c r="AM3540" s="10"/>
      <c r="AN3540" s="10"/>
      <c r="AO3540" s="10"/>
      <c r="AP3540" s="10"/>
      <c r="AQ3540" s="10"/>
      <c r="AR3540" s="10"/>
      <c r="AS3540" s="10"/>
      <c r="AT3540" s="10"/>
      <c r="AU3540" s="10"/>
      <c r="AV3540" s="10"/>
      <c r="AW3540" s="10"/>
      <c r="AX3540" s="10"/>
      <c r="AY3540" s="10"/>
      <c r="AZ3540" s="10"/>
      <c r="BA3540" s="10"/>
      <c r="BB3540" s="10"/>
      <c r="BC3540" s="10"/>
      <c r="BD3540" s="10"/>
      <c r="BE3540" s="10"/>
      <c r="BF3540" s="10"/>
      <c r="BG3540" s="10"/>
      <c r="BH3540" s="10"/>
      <c r="BI3540" s="10"/>
      <c r="BJ3540" s="10"/>
      <c r="BK3540" s="10"/>
      <c r="BM3540" s="10"/>
    </row>
    <row r="3541" spans="1:65" ht="12.75">
      <c r="A3541" s="9"/>
      <c r="B3541" s="10"/>
      <c r="C3541" s="11"/>
      <c r="D3541" s="12"/>
      <c r="E3541" s="10"/>
      <c r="F3541" s="10"/>
      <c r="G3541" s="10"/>
      <c r="H3541" s="14"/>
      <c r="I3541" s="14"/>
      <c r="J3541" s="14"/>
      <c r="K3541" s="14"/>
      <c r="L3541" s="14"/>
      <c r="M3541" s="15"/>
      <c r="N3541" s="10"/>
      <c r="O3541" s="14"/>
      <c r="P3541" s="14"/>
      <c r="Q3541" s="14"/>
      <c r="R3541" s="14"/>
      <c r="S3541" s="14"/>
      <c r="T3541" s="14"/>
      <c r="U3541" s="14"/>
      <c r="V3541" s="14"/>
      <c r="W3541" s="14"/>
      <c r="X3541" s="14"/>
      <c r="Y3541" s="14"/>
      <c r="Z3541" s="14"/>
      <c r="AA3541" s="16"/>
      <c r="AB3541" s="10"/>
      <c r="AC3541" s="10"/>
      <c r="AD3541" s="10"/>
      <c r="AE3541" s="10"/>
      <c r="AF3541" s="10"/>
      <c r="AG3541" s="10"/>
      <c r="AH3541" s="10"/>
      <c r="AI3541" s="10"/>
      <c r="AJ3541" s="10"/>
      <c r="AK3541" s="10"/>
      <c r="AL3541" s="10"/>
      <c r="AM3541" s="10"/>
      <c r="AN3541" s="10"/>
      <c r="AO3541" s="10"/>
      <c r="AP3541" s="10"/>
      <c r="AQ3541" s="10"/>
      <c r="AR3541" s="10"/>
      <c r="AS3541" s="10"/>
      <c r="AT3541" s="10"/>
      <c r="AU3541" s="10"/>
      <c r="AV3541" s="10"/>
      <c r="AW3541" s="10"/>
      <c r="AX3541" s="10"/>
      <c r="AY3541" s="10"/>
      <c r="AZ3541" s="10"/>
      <c r="BA3541" s="10"/>
      <c r="BB3541" s="10"/>
      <c r="BC3541" s="10"/>
      <c r="BD3541" s="10"/>
      <c r="BE3541" s="10"/>
      <c r="BF3541" s="10"/>
      <c r="BG3541" s="10"/>
      <c r="BH3541" s="10"/>
      <c r="BI3541" s="10"/>
      <c r="BJ3541" s="10"/>
      <c r="BK3541" s="10"/>
      <c r="BM3541" s="10"/>
    </row>
    <row r="3542" spans="1:65" ht="12.75">
      <c r="A3542" s="9"/>
      <c r="B3542" s="10"/>
      <c r="C3542" s="11"/>
      <c r="D3542" s="12"/>
      <c r="E3542" s="10"/>
      <c r="F3542" s="10"/>
      <c r="G3542" s="10"/>
      <c r="H3542" s="14"/>
      <c r="I3542" s="14"/>
      <c r="J3542" s="14"/>
      <c r="K3542" s="14"/>
      <c r="L3542" s="14"/>
      <c r="M3542" s="15"/>
      <c r="N3542" s="10"/>
      <c r="O3542" s="14"/>
      <c r="P3542" s="14"/>
      <c r="Q3542" s="14"/>
      <c r="R3542" s="14"/>
      <c r="S3542" s="14"/>
      <c r="T3542" s="14"/>
      <c r="U3542" s="14"/>
      <c r="V3542" s="14"/>
      <c r="W3542" s="14"/>
      <c r="X3542" s="14"/>
      <c r="Y3542" s="14"/>
      <c r="Z3542" s="14"/>
      <c r="AA3542" s="16"/>
      <c r="AB3542" s="10"/>
      <c r="AC3542" s="10"/>
      <c r="AD3542" s="10"/>
      <c r="AE3542" s="10"/>
      <c r="AF3542" s="10"/>
      <c r="AG3542" s="10"/>
      <c r="AH3542" s="10"/>
      <c r="AI3542" s="10"/>
      <c r="AJ3542" s="10"/>
      <c r="AK3542" s="10"/>
      <c r="AL3542" s="10"/>
      <c r="AM3542" s="10"/>
      <c r="AN3542" s="10"/>
      <c r="AO3542" s="10"/>
      <c r="AP3542" s="10"/>
      <c r="AQ3542" s="10"/>
      <c r="AR3542" s="10"/>
      <c r="AS3542" s="10"/>
      <c r="AT3542" s="10"/>
      <c r="AU3542" s="10"/>
      <c r="AV3542" s="10"/>
      <c r="AW3542" s="10"/>
      <c r="AX3542" s="10"/>
      <c r="AY3542" s="10"/>
      <c r="AZ3542" s="10"/>
      <c r="BA3542" s="10"/>
      <c r="BB3542" s="10"/>
      <c r="BC3542" s="10"/>
      <c r="BD3542" s="10"/>
      <c r="BE3542" s="10"/>
      <c r="BF3542" s="10"/>
      <c r="BG3542" s="10"/>
      <c r="BH3542" s="10"/>
      <c r="BI3542" s="10"/>
      <c r="BJ3542" s="10"/>
      <c r="BK3542" s="10"/>
      <c r="BM3542" s="10"/>
    </row>
    <row r="3543" spans="1:65" ht="12.75">
      <c r="A3543" s="9"/>
      <c r="B3543" s="10"/>
      <c r="C3543" s="11"/>
      <c r="D3543" s="12"/>
      <c r="E3543" s="10"/>
      <c r="F3543" s="10"/>
      <c r="G3543" s="10"/>
      <c r="H3543" s="14"/>
      <c r="I3543" s="14"/>
      <c r="J3543" s="14"/>
      <c r="K3543" s="14"/>
      <c r="L3543" s="14"/>
      <c r="M3543" s="15"/>
      <c r="N3543" s="10"/>
      <c r="O3543" s="14"/>
      <c r="P3543" s="14"/>
      <c r="Q3543" s="14"/>
      <c r="R3543" s="14"/>
      <c r="S3543" s="14"/>
      <c r="T3543" s="14"/>
      <c r="U3543" s="14"/>
      <c r="V3543" s="14"/>
      <c r="W3543" s="14"/>
      <c r="X3543" s="14"/>
      <c r="Y3543" s="14"/>
      <c r="Z3543" s="14"/>
      <c r="AA3543" s="16"/>
      <c r="AB3543" s="10"/>
      <c r="AC3543" s="10"/>
      <c r="AD3543" s="10"/>
      <c r="AE3543" s="10"/>
      <c r="AF3543" s="10"/>
      <c r="AG3543" s="10"/>
      <c r="AH3543" s="10"/>
      <c r="AI3543" s="10"/>
      <c r="AJ3543" s="10"/>
      <c r="AK3543" s="10"/>
      <c r="AL3543" s="10"/>
      <c r="AM3543" s="10"/>
      <c r="AN3543" s="10"/>
      <c r="AO3543" s="10"/>
      <c r="AP3543" s="10"/>
      <c r="AQ3543" s="10"/>
      <c r="AR3543" s="10"/>
      <c r="AS3543" s="10"/>
      <c r="AT3543" s="10"/>
      <c r="AU3543" s="10"/>
      <c r="AV3543" s="10"/>
      <c r="AW3543" s="10"/>
      <c r="AX3543" s="10"/>
      <c r="AY3543" s="10"/>
      <c r="AZ3543" s="10"/>
      <c r="BA3543" s="10"/>
      <c r="BB3543" s="10"/>
      <c r="BC3543" s="10"/>
      <c r="BD3543" s="10"/>
      <c r="BE3543" s="10"/>
      <c r="BF3543" s="10"/>
      <c r="BG3543" s="10"/>
      <c r="BH3543" s="10"/>
      <c r="BI3543" s="10"/>
      <c r="BJ3543" s="10"/>
      <c r="BK3543" s="10"/>
      <c r="BM3543" s="10"/>
    </row>
    <row r="3544" spans="1:65" ht="12.75">
      <c r="A3544" s="9"/>
      <c r="B3544" s="10"/>
      <c r="C3544" s="11"/>
      <c r="D3544" s="12"/>
      <c r="E3544" s="10"/>
      <c r="F3544" s="10"/>
      <c r="G3544" s="10"/>
      <c r="H3544" s="14"/>
      <c r="I3544" s="14"/>
      <c r="J3544" s="14"/>
      <c r="K3544" s="14"/>
      <c r="L3544" s="14"/>
      <c r="M3544" s="15"/>
      <c r="N3544" s="10"/>
      <c r="O3544" s="14"/>
      <c r="P3544" s="14"/>
      <c r="Q3544" s="14"/>
      <c r="R3544" s="14"/>
      <c r="S3544" s="14"/>
      <c r="T3544" s="14"/>
      <c r="U3544" s="14"/>
      <c r="V3544" s="14"/>
      <c r="W3544" s="14"/>
      <c r="X3544" s="14"/>
      <c r="Y3544" s="14"/>
      <c r="Z3544" s="14"/>
      <c r="AA3544" s="16"/>
      <c r="AB3544" s="10"/>
      <c r="AC3544" s="10"/>
      <c r="AD3544" s="10"/>
      <c r="AE3544" s="10"/>
      <c r="AF3544" s="10"/>
      <c r="AG3544" s="10"/>
      <c r="AH3544" s="10"/>
      <c r="AI3544" s="10"/>
      <c r="AJ3544" s="10"/>
      <c r="AK3544" s="10"/>
      <c r="AL3544" s="10"/>
      <c r="AM3544" s="10"/>
      <c r="AN3544" s="10"/>
      <c r="AO3544" s="10"/>
      <c r="AP3544" s="10"/>
      <c r="AQ3544" s="10"/>
      <c r="AR3544" s="10"/>
      <c r="AS3544" s="10"/>
      <c r="AT3544" s="10"/>
      <c r="AU3544" s="10"/>
      <c r="AV3544" s="10"/>
      <c r="AW3544" s="10"/>
      <c r="AX3544" s="10"/>
      <c r="AY3544" s="10"/>
      <c r="AZ3544" s="10"/>
      <c r="BA3544" s="10"/>
      <c r="BB3544" s="10"/>
      <c r="BC3544" s="10"/>
      <c r="BD3544" s="10"/>
      <c r="BE3544" s="10"/>
      <c r="BF3544" s="10"/>
      <c r="BG3544" s="10"/>
      <c r="BH3544" s="10"/>
      <c r="BI3544" s="10"/>
      <c r="BJ3544" s="10"/>
      <c r="BK3544" s="10"/>
      <c r="BM3544" s="10"/>
    </row>
    <row r="3545" spans="1:65" ht="12.75">
      <c r="A3545" s="9"/>
      <c r="B3545" s="10"/>
      <c r="C3545" s="11"/>
      <c r="D3545" s="12"/>
      <c r="E3545" s="10"/>
      <c r="F3545" s="10"/>
      <c r="G3545" s="10"/>
      <c r="H3545" s="14"/>
      <c r="I3545" s="14"/>
      <c r="J3545" s="14"/>
      <c r="K3545" s="14"/>
      <c r="L3545" s="14"/>
      <c r="M3545" s="15"/>
      <c r="N3545" s="10"/>
      <c r="O3545" s="14"/>
      <c r="P3545" s="14"/>
      <c r="Q3545" s="14"/>
      <c r="R3545" s="14"/>
      <c r="S3545" s="14"/>
      <c r="T3545" s="14"/>
      <c r="U3545" s="14"/>
      <c r="V3545" s="14"/>
      <c r="W3545" s="14"/>
      <c r="X3545" s="14"/>
      <c r="Y3545" s="14"/>
      <c r="Z3545" s="14"/>
      <c r="AA3545" s="16"/>
      <c r="AB3545" s="10"/>
      <c r="AC3545" s="10"/>
      <c r="AD3545" s="10"/>
      <c r="AE3545" s="10"/>
      <c r="AF3545" s="10"/>
      <c r="AG3545" s="10"/>
      <c r="AH3545" s="10"/>
      <c r="AI3545" s="10"/>
      <c r="AJ3545" s="10"/>
      <c r="AK3545" s="10"/>
      <c r="AL3545" s="10"/>
      <c r="AM3545" s="10"/>
      <c r="AN3545" s="10"/>
      <c r="AO3545" s="10"/>
      <c r="AP3545" s="10"/>
      <c r="AQ3545" s="10"/>
      <c r="AR3545" s="10"/>
      <c r="AS3545" s="10"/>
      <c r="AT3545" s="10"/>
      <c r="AU3545" s="10"/>
      <c r="AV3545" s="10"/>
      <c r="AW3545" s="10"/>
      <c r="AX3545" s="10"/>
      <c r="AY3545" s="10"/>
      <c r="AZ3545" s="10"/>
      <c r="BA3545" s="10"/>
      <c r="BB3545" s="10"/>
      <c r="BC3545" s="10"/>
      <c r="BD3545" s="10"/>
      <c r="BE3545" s="10"/>
      <c r="BF3545" s="10"/>
      <c r="BG3545" s="10"/>
      <c r="BH3545" s="10"/>
      <c r="BI3545" s="10"/>
      <c r="BJ3545" s="10"/>
      <c r="BK3545" s="10"/>
      <c r="BM3545" s="10"/>
    </row>
    <row r="3546" spans="1:65" ht="12.75">
      <c r="A3546" s="9"/>
      <c r="B3546" s="10"/>
      <c r="C3546" s="11"/>
      <c r="D3546" s="12"/>
      <c r="E3546" s="10"/>
      <c r="F3546" s="10"/>
      <c r="G3546" s="10"/>
      <c r="H3546" s="14"/>
      <c r="I3546" s="14"/>
      <c r="J3546" s="14"/>
      <c r="K3546" s="14"/>
      <c r="L3546" s="14"/>
      <c r="M3546" s="15"/>
      <c r="N3546" s="10"/>
      <c r="O3546" s="14"/>
      <c r="P3546" s="14"/>
      <c r="Q3546" s="14"/>
      <c r="R3546" s="14"/>
      <c r="S3546" s="14"/>
      <c r="T3546" s="14"/>
      <c r="U3546" s="14"/>
      <c r="V3546" s="14"/>
      <c r="W3546" s="14"/>
      <c r="X3546" s="14"/>
      <c r="Y3546" s="14"/>
      <c r="Z3546" s="14"/>
      <c r="AA3546" s="16"/>
      <c r="AB3546" s="10"/>
      <c r="AC3546" s="10"/>
      <c r="AD3546" s="10"/>
      <c r="AE3546" s="10"/>
      <c r="AF3546" s="10"/>
      <c r="AG3546" s="10"/>
      <c r="AH3546" s="10"/>
      <c r="AI3546" s="10"/>
      <c r="AJ3546" s="10"/>
      <c r="AK3546" s="10"/>
      <c r="AL3546" s="10"/>
      <c r="AM3546" s="10"/>
      <c r="AN3546" s="10"/>
      <c r="AO3546" s="10"/>
      <c r="AP3546" s="10"/>
      <c r="AQ3546" s="10"/>
      <c r="AR3546" s="10"/>
      <c r="AS3546" s="10"/>
      <c r="AT3546" s="10"/>
      <c r="AU3546" s="10"/>
      <c r="AV3546" s="10"/>
      <c r="AW3546" s="10"/>
      <c r="AX3546" s="10"/>
      <c r="AY3546" s="10"/>
      <c r="AZ3546" s="10"/>
      <c r="BA3546" s="10"/>
      <c r="BB3546" s="10"/>
      <c r="BC3546" s="10"/>
      <c r="BD3546" s="10"/>
      <c r="BE3546" s="10"/>
      <c r="BF3546" s="10"/>
      <c r="BG3546" s="10"/>
      <c r="BH3546" s="10"/>
      <c r="BI3546" s="10"/>
      <c r="BJ3546" s="10"/>
      <c r="BK3546" s="10"/>
      <c r="BM3546" s="10"/>
    </row>
    <row r="3547" spans="1:65" ht="12.75">
      <c r="A3547" s="9"/>
      <c r="B3547" s="10"/>
      <c r="C3547" s="11"/>
      <c r="D3547" s="12"/>
      <c r="E3547" s="10"/>
      <c r="F3547" s="10"/>
      <c r="G3547" s="10"/>
      <c r="H3547" s="14"/>
      <c r="I3547" s="14"/>
      <c r="J3547" s="14"/>
      <c r="K3547" s="14"/>
      <c r="L3547" s="14"/>
      <c r="M3547" s="15"/>
      <c r="N3547" s="10"/>
      <c r="O3547" s="14"/>
      <c r="P3547" s="14"/>
      <c r="Q3547" s="14"/>
      <c r="R3547" s="14"/>
      <c r="S3547" s="14"/>
      <c r="T3547" s="14"/>
      <c r="U3547" s="14"/>
      <c r="V3547" s="14"/>
      <c r="W3547" s="14"/>
      <c r="X3547" s="14"/>
      <c r="Y3547" s="14"/>
      <c r="Z3547" s="14"/>
      <c r="AA3547" s="16"/>
      <c r="AB3547" s="10"/>
      <c r="AC3547" s="10"/>
      <c r="AD3547" s="10"/>
      <c r="AE3547" s="10"/>
      <c r="AF3547" s="10"/>
      <c r="AG3547" s="10"/>
      <c r="AH3547" s="10"/>
      <c r="AI3547" s="10"/>
      <c r="AJ3547" s="10"/>
      <c r="AK3547" s="10"/>
      <c r="AL3547" s="10"/>
      <c r="AM3547" s="10"/>
      <c r="AN3547" s="10"/>
      <c r="AO3547" s="10"/>
      <c r="AP3547" s="10"/>
      <c r="AQ3547" s="10"/>
      <c r="AR3547" s="10"/>
      <c r="AS3547" s="10"/>
      <c r="AT3547" s="10"/>
      <c r="AU3547" s="10"/>
      <c r="AV3547" s="10"/>
      <c r="AW3547" s="10"/>
      <c r="AX3547" s="10"/>
      <c r="AY3547" s="10"/>
      <c r="AZ3547" s="10"/>
      <c r="BA3547" s="10"/>
      <c r="BB3547" s="10"/>
      <c r="BC3547" s="10"/>
      <c r="BD3547" s="10"/>
      <c r="BE3547" s="10"/>
      <c r="BF3547" s="10"/>
      <c r="BG3547" s="10"/>
      <c r="BH3547" s="10"/>
      <c r="BI3547" s="10"/>
      <c r="BJ3547" s="10"/>
      <c r="BK3547" s="10"/>
      <c r="BM3547" s="10"/>
    </row>
    <row r="3548" spans="1:65" ht="12.75">
      <c r="A3548" s="9"/>
      <c r="B3548" s="10"/>
      <c r="C3548" s="11"/>
      <c r="D3548" s="12"/>
      <c r="E3548" s="10"/>
      <c r="F3548" s="10"/>
      <c r="G3548" s="10"/>
      <c r="H3548" s="14"/>
      <c r="I3548" s="14"/>
      <c r="J3548" s="14"/>
      <c r="K3548" s="14"/>
      <c r="L3548" s="14"/>
      <c r="M3548" s="15"/>
      <c r="N3548" s="10"/>
      <c r="O3548" s="14"/>
      <c r="P3548" s="14"/>
      <c r="Q3548" s="14"/>
      <c r="R3548" s="14"/>
      <c r="S3548" s="14"/>
      <c r="T3548" s="14"/>
      <c r="U3548" s="14"/>
      <c r="V3548" s="14"/>
      <c r="W3548" s="14"/>
      <c r="X3548" s="14"/>
      <c r="Y3548" s="14"/>
      <c r="Z3548" s="14"/>
      <c r="AA3548" s="16"/>
      <c r="AB3548" s="10"/>
      <c r="AC3548" s="10"/>
      <c r="AD3548" s="10"/>
      <c r="AE3548" s="10"/>
      <c r="AF3548" s="10"/>
      <c r="AG3548" s="10"/>
      <c r="AH3548" s="10"/>
      <c r="AI3548" s="10"/>
      <c r="AJ3548" s="10"/>
      <c r="AK3548" s="10"/>
      <c r="AL3548" s="10"/>
      <c r="AM3548" s="10"/>
      <c r="AN3548" s="10"/>
      <c r="AO3548" s="10"/>
      <c r="AP3548" s="10"/>
      <c r="AQ3548" s="10"/>
      <c r="AR3548" s="10"/>
      <c r="AS3548" s="10"/>
      <c r="AT3548" s="10"/>
      <c r="AU3548" s="10"/>
      <c r="AV3548" s="10"/>
      <c r="AW3548" s="10"/>
      <c r="AX3548" s="10"/>
      <c r="AY3548" s="10"/>
      <c r="AZ3548" s="10"/>
      <c r="BA3548" s="10"/>
      <c r="BB3548" s="10"/>
      <c r="BC3548" s="10"/>
      <c r="BD3548" s="10"/>
      <c r="BE3548" s="10"/>
      <c r="BF3548" s="10"/>
      <c r="BG3548" s="10"/>
      <c r="BH3548" s="10"/>
      <c r="BI3548" s="10"/>
      <c r="BJ3548" s="10"/>
      <c r="BK3548" s="10"/>
      <c r="BM3548" s="10"/>
    </row>
    <row r="3549" spans="1:65" ht="12.75">
      <c r="A3549" s="9"/>
      <c r="B3549" s="10"/>
      <c r="C3549" s="11"/>
      <c r="D3549" s="12"/>
      <c r="E3549" s="10"/>
      <c r="F3549" s="10"/>
      <c r="G3549" s="10"/>
      <c r="H3549" s="14"/>
      <c r="I3549" s="14"/>
      <c r="J3549" s="14"/>
      <c r="K3549" s="14"/>
      <c r="L3549" s="14"/>
      <c r="M3549" s="15"/>
      <c r="N3549" s="10"/>
      <c r="O3549" s="14"/>
      <c r="P3549" s="14"/>
      <c r="Q3549" s="14"/>
      <c r="R3549" s="14"/>
      <c r="S3549" s="14"/>
      <c r="T3549" s="14"/>
      <c r="U3549" s="14"/>
      <c r="V3549" s="14"/>
      <c r="W3549" s="14"/>
      <c r="X3549" s="14"/>
      <c r="Y3549" s="14"/>
      <c r="Z3549" s="14"/>
      <c r="AA3549" s="16"/>
      <c r="AB3549" s="10"/>
      <c r="AC3549" s="10"/>
      <c r="AD3549" s="10"/>
      <c r="AE3549" s="10"/>
      <c r="AF3549" s="10"/>
      <c r="AG3549" s="10"/>
      <c r="AH3549" s="10"/>
      <c r="AI3549" s="10"/>
      <c r="AJ3549" s="10"/>
      <c r="AK3549" s="10"/>
      <c r="AL3549" s="10"/>
      <c r="AM3549" s="10"/>
      <c r="AN3549" s="10"/>
      <c r="AO3549" s="10"/>
      <c r="AP3549" s="10"/>
      <c r="AQ3549" s="10"/>
      <c r="AR3549" s="10"/>
      <c r="AS3549" s="10"/>
      <c r="AT3549" s="10"/>
      <c r="AU3549" s="10"/>
      <c r="AV3549" s="10"/>
      <c r="AW3549" s="10"/>
      <c r="AX3549" s="10"/>
      <c r="AY3549" s="10"/>
      <c r="AZ3549" s="10"/>
      <c r="BA3549" s="10"/>
      <c r="BB3549" s="10"/>
      <c r="BC3549" s="10"/>
      <c r="BD3549" s="10"/>
      <c r="BE3549" s="10"/>
      <c r="BF3549" s="10"/>
      <c r="BG3549" s="10"/>
      <c r="BH3549" s="10"/>
      <c r="BI3549" s="10"/>
      <c r="BJ3549" s="10"/>
      <c r="BK3549" s="10"/>
      <c r="BM3549" s="10"/>
    </row>
    <row r="3550" spans="1:65" ht="12.75">
      <c r="A3550" s="9"/>
      <c r="B3550" s="10"/>
      <c r="C3550" s="11"/>
      <c r="D3550" s="12"/>
      <c r="E3550" s="10"/>
      <c r="F3550" s="10"/>
      <c r="G3550" s="10"/>
      <c r="H3550" s="14"/>
      <c r="I3550" s="14"/>
      <c r="J3550" s="14"/>
      <c r="K3550" s="14"/>
      <c r="L3550" s="14"/>
      <c r="M3550" s="15"/>
      <c r="N3550" s="10"/>
      <c r="O3550" s="14"/>
      <c r="P3550" s="14"/>
      <c r="Q3550" s="14"/>
      <c r="R3550" s="14"/>
      <c r="S3550" s="14"/>
      <c r="T3550" s="14"/>
      <c r="U3550" s="14"/>
      <c r="V3550" s="14"/>
      <c r="W3550" s="14"/>
      <c r="X3550" s="14"/>
      <c r="Y3550" s="14"/>
      <c r="Z3550" s="14"/>
      <c r="AA3550" s="16"/>
      <c r="AB3550" s="10"/>
      <c r="AC3550" s="10"/>
      <c r="AD3550" s="10"/>
      <c r="AE3550" s="10"/>
      <c r="AF3550" s="10"/>
      <c r="AG3550" s="10"/>
      <c r="AH3550" s="10"/>
      <c r="AI3550" s="10"/>
      <c r="AJ3550" s="10"/>
      <c r="AK3550" s="10"/>
      <c r="AL3550" s="10"/>
      <c r="AM3550" s="10"/>
      <c r="AN3550" s="10"/>
      <c r="AO3550" s="10"/>
      <c r="AP3550" s="10"/>
      <c r="AQ3550" s="10"/>
      <c r="AR3550" s="10"/>
      <c r="AS3550" s="10"/>
      <c r="AT3550" s="10"/>
      <c r="AU3550" s="10"/>
      <c r="AV3550" s="10"/>
      <c r="AW3550" s="10"/>
      <c r="AX3550" s="10"/>
      <c r="AY3550" s="10"/>
      <c r="AZ3550" s="10"/>
      <c r="BA3550" s="10"/>
      <c r="BB3550" s="10"/>
      <c r="BC3550" s="10"/>
      <c r="BD3550" s="10"/>
      <c r="BE3550" s="10"/>
      <c r="BF3550" s="10"/>
      <c r="BG3550" s="10"/>
      <c r="BH3550" s="10"/>
      <c r="BI3550" s="10"/>
      <c r="BJ3550" s="10"/>
      <c r="BK3550" s="10"/>
      <c r="BM3550" s="10"/>
    </row>
    <row r="3551" spans="1:65" ht="12.75">
      <c r="A3551" s="9"/>
      <c r="B3551" s="10"/>
      <c r="C3551" s="11"/>
      <c r="D3551" s="12"/>
      <c r="E3551" s="10"/>
      <c r="F3551" s="10"/>
      <c r="G3551" s="10"/>
      <c r="H3551" s="14"/>
      <c r="I3551" s="14"/>
      <c r="J3551" s="14"/>
      <c r="K3551" s="14"/>
      <c r="L3551" s="14"/>
      <c r="M3551" s="15"/>
      <c r="N3551" s="10"/>
      <c r="O3551" s="14"/>
      <c r="P3551" s="14"/>
      <c r="Q3551" s="14"/>
      <c r="R3551" s="14"/>
      <c r="S3551" s="14"/>
      <c r="T3551" s="14"/>
      <c r="U3551" s="14"/>
      <c r="V3551" s="14"/>
      <c r="W3551" s="14"/>
      <c r="X3551" s="14"/>
      <c r="Y3551" s="14"/>
      <c r="Z3551" s="14"/>
      <c r="AA3551" s="16"/>
      <c r="AB3551" s="10"/>
      <c r="AC3551" s="10"/>
      <c r="AD3551" s="10"/>
      <c r="AE3551" s="10"/>
      <c r="AF3551" s="10"/>
      <c r="AG3551" s="10"/>
      <c r="AH3551" s="10"/>
      <c r="AI3551" s="10"/>
      <c r="AJ3551" s="10"/>
      <c r="AK3551" s="10"/>
      <c r="AL3551" s="10"/>
      <c r="AM3551" s="10"/>
      <c r="AN3551" s="10"/>
      <c r="AO3551" s="10"/>
      <c r="AP3551" s="10"/>
      <c r="AQ3551" s="10"/>
      <c r="AR3551" s="10"/>
      <c r="AS3551" s="10"/>
      <c r="AT3551" s="10"/>
      <c r="AU3551" s="10"/>
      <c r="AV3551" s="10"/>
      <c r="AW3551" s="10"/>
      <c r="AX3551" s="10"/>
      <c r="AY3551" s="10"/>
      <c r="AZ3551" s="10"/>
      <c r="BA3551" s="10"/>
      <c r="BB3551" s="10"/>
      <c r="BC3551" s="10"/>
      <c r="BD3551" s="10"/>
      <c r="BE3551" s="10"/>
      <c r="BF3551" s="10"/>
      <c r="BG3551" s="10"/>
      <c r="BH3551" s="10"/>
      <c r="BI3551" s="10"/>
      <c r="BJ3551" s="10"/>
      <c r="BK3551" s="10"/>
      <c r="BM3551" s="10"/>
    </row>
    <row r="3552" spans="1:65" ht="12.75">
      <c r="A3552" s="9"/>
      <c r="B3552" s="10"/>
      <c r="C3552" s="11"/>
      <c r="D3552" s="12"/>
      <c r="E3552" s="10"/>
      <c r="F3552" s="10"/>
      <c r="G3552" s="10"/>
      <c r="H3552" s="14"/>
      <c r="I3552" s="14"/>
      <c r="J3552" s="14"/>
      <c r="K3552" s="14"/>
      <c r="L3552" s="14"/>
      <c r="M3552" s="15"/>
      <c r="N3552" s="10"/>
      <c r="O3552" s="14"/>
      <c r="P3552" s="14"/>
      <c r="Q3552" s="14"/>
      <c r="R3552" s="14"/>
      <c r="S3552" s="14"/>
      <c r="T3552" s="14"/>
      <c r="U3552" s="14"/>
      <c r="V3552" s="14"/>
      <c r="W3552" s="14"/>
      <c r="X3552" s="14"/>
      <c r="Y3552" s="14"/>
      <c r="Z3552" s="14"/>
      <c r="AA3552" s="16"/>
      <c r="AB3552" s="10"/>
      <c r="AC3552" s="10"/>
      <c r="AD3552" s="10"/>
      <c r="AE3552" s="10"/>
      <c r="AF3552" s="10"/>
      <c r="AG3552" s="10"/>
      <c r="AH3552" s="10"/>
      <c r="AI3552" s="10"/>
      <c r="AJ3552" s="10"/>
      <c r="AK3552" s="10"/>
      <c r="AL3552" s="10"/>
      <c r="AM3552" s="10"/>
      <c r="AN3552" s="10"/>
      <c r="AO3552" s="10"/>
      <c r="AP3552" s="10"/>
      <c r="AQ3552" s="10"/>
      <c r="AR3552" s="10"/>
      <c r="AS3552" s="10"/>
      <c r="AT3552" s="10"/>
      <c r="AU3552" s="10"/>
      <c r="AV3552" s="10"/>
      <c r="AW3552" s="10"/>
      <c r="AX3552" s="10"/>
      <c r="AY3552" s="10"/>
      <c r="AZ3552" s="10"/>
      <c r="BA3552" s="10"/>
      <c r="BB3552" s="10"/>
      <c r="BC3552" s="10"/>
      <c r="BD3552" s="10"/>
      <c r="BE3552" s="10"/>
      <c r="BF3552" s="10"/>
      <c r="BG3552" s="10"/>
      <c r="BH3552" s="10"/>
      <c r="BI3552" s="10"/>
      <c r="BJ3552" s="10"/>
      <c r="BK3552" s="10"/>
      <c r="BM3552" s="10"/>
    </row>
    <row r="3553" spans="1:65" ht="12.75">
      <c r="A3553" s="9"/>
      <c r="B3553" s="10"/>
      <c r="C3553" s="11"/>
      <c r="D3553" s="12"/>
      <c r="E3553" s="10"/>
      <c r="F3553" s="10"/>
      <c r="G3553" s="10"/>
      <c r="H3553" s="14"/>
      <c r="I3553" s="14"/>
      <c r="J3553" s="14"/>
      <c r="K3553" s="14"/>
      <c r="L3553" s="14"/>
      <c r="M3553" s="15"/>
      <c r="N3553" s="10"/>
      <c r="O3553" s="14"/>
      <c r="P3553" s="14"/>
      <c r="Q3553" s="14"/>
      <c r="R3553" s="14"/>
      <c r="S3553" s="14"/>
      <c r="T3553" s="14"/>
      <c r="U3553" s="14"/>
      <c r="V3553" s="14"/>
      <c r="W3553" s="14"/>
      <c r="X3553" s="14"/>
      <c r="Y3553" s="14"/>
      <c r="Z3553" s="14"/>
      <c r="AA3553" s="16"/>
      <c r="AB3553" s="10"/>
      <c r="AC3553" s="10"/>
      <c r="AD3553" s="10"/>
      <c r="AE3553" s="10"/>
      <c r="AF3553" s="10"/>
      <c r="AG3553" s="10"/>
      <c r="AH3553" s="10"/>
      <c r="AI3553" s="10"/>
      <c r="AJ3553" s="10"/>
      <c r="AK3553" s="10"/>
      <c r="AL3553" s="10"/>
      <c r="AM3553" s="10"/>
      <c r="AN3553" s="10"/>
      <c r="AO3553" s="10"/>
      <c r="AP3553" s="10"/>
      <c r="AQ3553" s="10"/>
      <c r="AR3553" s="10"/>
      <c r="AS3553" s="10"/>
      <c r="AT3553" s="10"/>
      <c r="AU3553" s="10"/>
      <c r="AV3553" s="10"/>
      <c r="AW3553" s="10"/>
      <c r="AX3553" s="10"/>
      <c r="AY3553" s="10"/>
      <c r="AZ3553" s="10"/>
      <c r="BA3553" s="10"/>
      <c r="BB3553" s="10"/>
      <c r="BC3553" s="10"/>
      <c r="BD3553" s="10"/>
      <c r="BE3553" s="10"/>
      <c r="BF3553" s="10"/>
      <c r="BG3553" s="10"/>
      <c r="BH3553" s="10"/>
      <c r="BI3553" s="10"/>
      <c r="BJ3553" s="10"/>
      <c r="BK3553" s="10"/>
      <c r="BM3553" s="10"/>
    </row>
    <row r="3554" spans="1:65" ht="12.75">
      <c r="A3554" s="9"/>
      <c r="B3554" s="10"/>
      <c r="C3554" s="11"/>
      <c r="D3554" s="12"/>
      <c r="E3554" s="10"/>
      <c r="F3554" s="10"/>
      <c r="G3554" s="10"/>
      <c r="H3554" s="14"/>
      <c r="I3554" s="14"/>
      <c r="J3554" s="14"/>
      <c r="K3554" s="14"/>
      <c r="L3554" s="14"/>
      <c r="M3554" s="15"/>
      <c r="N3554" s="10"/>
      <c r="O3554" s="14"/>
      <c r="P3554" s="14"/>
      <c r="Q3554" s="14"/>
      <c r="R3554" s="14"/>
      <c r="S3554" s="14"/>
      <c r="T3554" s="14"/>
      <c r="U3554" s="14"/>
      <c r="V3554" s="14"/>
      <c r="W3554" s="14"/>
      <c r="X3554" s="14"/>
      <c r="Y3554" s="14"/>
      <c r="Z3554" s="14"/>
      <c r="AA3554" s="16"/>
      <c r="AB3554" s="10"/>
      <c r="AC3554" s="10"/>
      <c r="AD3554" s="10"/>
      <c r="AE3554" s="10"/>
      <c r="AF3554" s="10"/>
      <c r="AG3554" s="10"/>
      <c r="AH3554" s="10"/>
      <c r="AI3554" s="10"/>
      <c r="AJ3554" s="10"/>
      <c r="AK3554" s="10"/>
      <c r="AL3554" s="10"/>
      <c r="AM3554" s="10"/>
      <c r="AN3554" s="10"/>
      <c r="AO3554" s="10"/>
      <c r="AP3554" s="10"/>
      <c r="AQ3554" s="10"/>
      <c r="AR3554" s="10"/>
      <c r="AS3554" s="10"/>
      <c r="AT3554" s="10"/>
      <c r="AU3554" s="10"/>
      <c r="AV3554" s="10"/>
      <c r="AW3554" s="10"/>
      <c r="AX3554" s="10"/>
      <c r="AY3554" s="10"/>
      <c r="AZ3554" s="10"/>
      <c r="BA3554" s="10"/>
      <c r="BB3554" s="10"/>
      <c r="BC3554" s="10"/>
      <c r="BD3554" s="10"/>
      <c r="BE3554" s="10"/>
      <c r="BF3554" s="10"/>
      <c r="BG3554" s="10"/>
      <c r="BH3554" s="10"/>
      <c r="BI3554" s="10"/>
      <c r="BJ3554" s="10"/>
      <c r="BK3554" s="10"/>
      <c r="BM3554" s="10"/>
    </row>
    <row r="3555" spans="1:65" ht="12.75">
      <c r="A3555" s="9"/>
      <c r="B3555" s="10"/>
      <c r="C3555" s="11"/>
      <c r="D3555" s="12"/>
      <c r="E3555" s="10"/>
      <c r="F3555" s="10"/>
      <c r="G3555" s="10"/>
      <c r="H3555" s="14"/>
      <c r="I3555" s="14"/>
      <c r="J3555" s="14"/>
      <c r="K3555" s="14"/>
      <c r="L3555" s="14"/>
      <c r="M3555" s="15"/>
      <c r="N3555" s="10"/>
      <c r="O3555" s="14"/>
      <c r="P3555" s="14"/>
      <c r="Q3555" s="14"/>
      <c r="R3555" s="14"/>
      <c r="S3555" s="14"/>
      <c r="T3555" s="14"/>
      <c r="U3555" s="14"/>
      <c r="V3555" s="14"/>
      <c r="W3555" s="14"/>
      <c r="X3555" s="14"/>
      <c r="Y3555" s="14"/>
      <c r="Z3555" s="14"/>
      <c r="AA3555" s="16"/>
      <c r="AB3555" s="10"/>
      <c r="AC3555" s="10"/>
      <c r="AD3555" s="10"/>
      <c r="AE3555" s="10"/>
      <c r="AF3555" s="10"/>
      <c r="AG3555" s="10"/>
      <c r="AH3555" s="10"/>
      <c r="AI3555" s="10"/>
      <c r="AJ3555" s="10"/>
      <c r="AK3555" s="10"/>
      <c r="AL3555" s="10"/>
      <c r="AM3555" s="10"/>
      <c r="AN3555" s="10"/>
      <c r="AO3555" s="10"/>
      <c r="AP3555" s="10"/>
      <c r="AQ3555" s="10"/>
      <c r="AR3555" s="10"/>
      <c r="AS3555" s="10"/>
      <c r="AT3555" s="10"/>
      <c r="AU3555" s="10"/>
      <c r="AV3555" s="10"/>
      <c r="AW3555" s="10"/>
      <c r="AX3555" s="10"/>
      <c r="AY3555" s="10"/>
      <c r="AZ3555" s="10"/>
      <c r="BA3555" s="10"/>
      <c r="BB3555" s="10"/>
      <c r="BC3555" s="10"/>
      <c r="BD3555" s="10"/>
      <c r="BE3555" s="10"/>
      <c r="BF3555" s="10"/>
      <c r="BG3555" s="10"/>
      <c r="BH3555" s="10"/>
      <c r="BI3555" s="10"/>
      <c r="BJ3555" s="10"/>
      <c r="BK3555" s="10"/>
      <c r="BM3555" s="10"/>
    </row>
    <row r="3556" spans="1:65" ht="12.75">
      <c r="A3556" s="9"/>
      <c r="B3556" s="10"/>
      <c r="C3556" s="11"/>
      <c r="D3556" s="12"/>
      <c r="E3556" s="10"/>
      <c r="F3556" s="10"/>
      <c r="G3556" s="10"/>
      <c r="H3556" s="14"/>
      <c r="I3556" s="14"/>
      <c r="J3556" s="14"/>
      <c r="K3556" s="14"/>
      <c r="L3556" s="14"/>
      <c r="M3556" s="15"/>
      <c r="N3556" s="10"/>
      <c r="O3556" s="14"/>
      <c r="P3556" s="14"/>
      <c r="Q3556" s="14"/>
      <c r="R3556" s="14"/>
      <c r="S3556" s="14"/>
      <c r="T3556" s="14"/>
      <c r="U3556" s="14"/>
      <c r="V3556" s="14"/>
      <c r="W3556" s="14"/>
      <c r="X3556" s="14"/>
      <c r="Y3556" s="14"/>
      <c r="Z3556" s="14"/>
      <c r="AA3556" s="16"/>
      <c r="AB3556" s="10"/>
      <c r="AC3556" s="10"/>
      <c r="AD3556" s="10"/>
      <c r="AE3556" s="10"/>
      <c r="AF3556" s="10"/>
      <c r="AG3556" s="10"/>
      <c r="AH3556" s="10"/>
      <c r="AI3556" s="10"/>
      <c r="AJ3556" s="10"/>
      <c r="AK3556" s="10"/>
      <c r="AL3556" s="10"/>
      <c r="AM3556" s="10"/>
      <c r="AN3556" s="10"/>
      <c r="AO3556" s="10"/>
      <c r="AP3556" s="10"/>
      <c r="AQ3556" s="10"/>
      <c r="AR3556" s="10"/>
      <c r="AS3556" s="10"/>
      <c r="AT3556" s="10"/>
      <c r="AU3556" s="10"/>
      <c r="AV3556" s="10"/>
      <c r="AW3556" s="10"/>
      <c r="AX3556" s="10"/>
      <c r="AY3556" s="10"/>
      <c r="AZ3556" s="10"/>
      <c r="BA3556" s="10"/>
      <c r="BB3556" s="10"/>
      <c r="BC3556" s="10"/>
      <c r="BD3556" s="10"/>
      <c r="BE3556" s="10"/>
      <c r="BF3556" s="10"/>
      <c r="BG3556" s="10"/>
      <c r="BH3556" s="10"/>
      <c r="BI3556" s="10"/>
      <c r="BJ3556" s="10"/>
      <c r="BK3556" s="10"/>
      <c r="BM3556" s="10"/>
    </row>
    <row r="3557" spans="1:65" ht="12.75">
      <c r="A3557" s="9"/>
      <c r="B3557" s="10"/>
      <c r="C3557" s="11"/>
      <c r="D3557" s="12"/>
      <c r="E3557" s="10"/>
      <c r="F3557" s="10"/>
      <c r="G3557" s="10"/>
      <c r="H3557" s="14"/>
      <c r="I3557" s="14"/>
      <c r="J3557" s="14"/>
      <c r="K3557" s="14"/>
      <c r="L3557" s="14"/>
      <c r="M3557" s="15"/>
      <c r="N3557" s="10"/>
      <c r="O3557" s="14"/>
      <c r="P3557" s="14"/>
      <c r="Q3557" s="14"/>
      <c r="R3557" s="14"/>
      <c r="S3557" s="14"/>
      <c r="T3557" s="14"/>
      <c r="U3557" s="14"/>
      <c r="V3557" s="14"/>
      <c r="W3557" s="14"/>
      <c r="X3557" s="14"/>
      <c r="Y3557" s="14"/>
      <c r="Z3557" s="14"/>
      <c r="AA3557" s="16"/>
      <c r="AB3557" s="10"/>
      <c r="AC3557" s="10"/>
      <c r="AD3557" s="10"/>
      <c r="AE3557" s="10"/>
      <c r="AF3557" s="10"/>
      <c r="AG3557" s="10"/>
      <c r="AH3557" s="10"/>
      <c r="AI3557" s="10"/>
      <c r="AJ3557" s="10"/>
      <c r="AK3557" s="10"/>
      <c r="AL3557" s="10"/>
      <c r="AM3557" s="10"/>
      <c r="AN3557" s="10"/>
      <c r="AO3557" s="10"/>
      <c r="AP3557" s="10"/>
      <c r="AQ3557" s="10"/>
      <c r="AR3557" s="10"/>
      <c r="AS3557" s="10"/>
      <c r="AT3557" s="10"/>
      <c r="AU3557" s="10"/>
      <c r="AV3557" s="10"/>
      <c r="AW3557" s="10"/>
      <c r="AX3557" s="10"/>
      <c r="AY3557" s="10"/>
      <c r="AZ3557" s="10"/>
      <c r="BA3557" s="10"/>
      <c r="BB3557" s="10"/>
      <c r="BC3557" s="10"/>
      <c r="BD3557" s="10"/>
      <c r="BE3557" s="10"/>
      <c r="BF3557" s="10"/>
      <c r="BG3557" s="10"/>
      <c r="BH3557" s="10"/>
      <c r="BI3557" s="10"/>
      <c r="BJ3557" s="10"/>
      <c r="BK3557" s="10"/>
      <c r="BM3557" s="10"/>
    </row>
    <row r="3558" spans="1:65" ht="12.75">
      <c r="A3558" s="9"/>
      <c r="B3558" s="10"/>
      <c r="C3558" s="11"/>
      <c r="D3558" s="12"/>
      <c r="E3558" s="10"/>
      <c r="F3558" s="10"/>
      <c r="G3558" s="10"/>
      <c r="H3558" s="14"/>
      <c r="I3558" s="14"/>
      <c r="J3558" s="14"/>
      <c r="K3558" s="14"/>
      <c r="L3558" s="14"/>
      <c r="M3558" s="15"/>
      <c r="N3558" s="10"/>
      <c r="O3558" s="14"/>
      <c r="P3558" s="14"/>
      <c r="Q3558" s="14"/>
      <c r="R3558" s="14"/>
      <c r="S3558" s="14"/>
      <c r="T3558" s="14"/>
      <c r="U3558" s="14"/>
      <c r="V3558" s="14"/>
      <c r="W3558" s="14"/>
      <c r="X3558" s="14"/>
      <c r="Y3558" s="14"/>
      <c r="Z3558" s="14"/>
      <c r="AA3558" s="16"/>
      <c r="AB3558" s="10"/>
      <c r="AC3558" s="10"/>
      <c r="AD3558" s="10"/>
      <c r="AE3558" s="10"/>
      <c r="AF3558" s="10"/>
      <c r="AG3558" s="10"/>
      <c r="AH3558" s="10"/>
      <c r="AI3558" s="10"/>
      <c r="AJ3558" s="10"/>
      <c r="AK3558" s="10"/>
      <c r="AL3558" s="10"/>
      <c r="AM3558" s="10"/>
      <c r="AN3558" s="10"/>
      <c r="AO3558" s="10"/>
      <c r="AP3558" s="10"/>
      <c r="AQ3558" s="10"/>
      <c r="AR3558" s="10"/>
      <c r="AS3558" s="10"/>
      <c r="AT3558" s="10"/>
      <c r="AU3558" s="10"/>
      <c r="AV3558" s="10"/>
      <c r="AW3558" s="10"/>
      <c r="AX3558" s="10"/>
      <c r="AY3558" s="10"/>
      <c r="AZ3558" s="10"/>
      <c r="BA3558" s="10"/>
      <c r="BB3558" s="10"/>
      <c r="BC3558" s="10"/>
      <c r="BD3558" s="10"/>
      <c r="BE3558" s="10"/>
      <c r="BF3558" s="10"/>
      <c r="BG3558" s="10"/>
      <c r="BH3558" s="10"/>
      <c r="BI3558" s="10"/>
      <c r="BJ3558" s="10"/>
      <c r="BK3558" s="10"/>
      <c r="BM3558" s="10"/>
    </row>
    <row r="3559" spans="1:65" ht="12.75">
      <c r="A3559" s="9"/>
      <c r="B3559" s="10"/>
      <c r="C3559" s="11"/>
      <c r="D3559" s="12"/>
      <c r="E3559" s="10"/>
      <c r="F3559" s="10"/>
      <c r="G3559" s="10"/>
      <c r="H3559" s="14"/>
      <c r="I3559" s="14"/>
      <c r="J3559" s="14"/>
      <c r="K3559" s="14"/>
      <c r="L3559" s="14"/>
      <c r="M3559" s="15"/>
      <c r="N3559" s="10"/>
      <c r="O3559" s="14"/>
      <c r="P3559" s="14"/>
      <c r="Q3559" s="14"/>
      <c r="R3559" s="14"/>
      <c r="S3559" s="14"/>
      <c r="T3559" s="14"/>
      <c r="U3559" s="14"/>
      <c r="V3559" s="14"/>
      <c r="W3559" s="14"/>
      <c r="X3559" s="14"/>
      <c r="Y3559" s="14"/>
      <c r="Z3559" s="14"/>
      <c r="AA3559" s="16"/>
      <c r="AB3559" s="10"/>
      <c r="AC3559" s="10"/>
      <c r="AD3559" s="10"/>
      <c r="AE3559" s="10"/>
      <c r="AF3559" s="10"/>
      <c r="AG3559" s="10"/>
      <c r="AH3559" s="10"/>
      <c r="AI3559" s="10"/>
      <c r="AJ3559" s="10"/>
      <c r="AK3559" s="10"/>
      <c r="AL3559" s="10"/>
      <c r="AM3559" s="10"/>
      <c r="AN3559" s="10"/>
      <c r="AO3559" s="10"/>
      <c r="AP3559" s="10"/>
      <c r="AQ3559" s="10"/>
      <c r="AR3559" s="10"/>
      <c r="AS3559" s="10"/>
      <c r="AT3559" s="10"/>
      <c r="AU3559" s="10"/>
      <c r="AV3559" s="10"/>
      <c r="AW3559" s="10"/>
      <c r="AX3559" s="10"/>
      <c r="AY3559" s="10"/>
      <c r="AZ3559" s="10"/>
      <c r="BA3559" s="10"/>
      <c r="BB3559" s="10"/>
      <c r="BC3559" s="10"/>
      <c r="BD3559" s="10"/>
      <c r="BE3559" s="10"/>
      <c r="BF3559" s="10"/>
      <c r="BG3559" s="10"/>
      <c r="BH3559" s="10"/>
      <c r="BI3559" s="10"/>
      <c r="BJ3559" s="10"/>
      <c r="BK3559" s="10"/>
      <c r="BM3559" s="10"/>
    </row>
    <row r="3560" spans="1:65" ht="12.75">
      <c r="A3560" s="9"/>
      <c r="B3560" s="10"/>
      <c r="C3560" s="11"/>
      <c r="D3560" s="12"/>
      <c r="E3560" s="10"/>
      <c r="F3560" s="10"/>
      <c r="G3560" s="10"/>
      <c r="H3560" s="14"/>
      <c r="I3560" s="14"/>
      <c r="J3560" s="14"/>
      <c r="K3560" s="14"/>
      <c r="L3560" s="14"/>
      <c r="M3560" s="15"/>
      <c r="N3560" s="10"/>
      <c r="O3560" s="14"/>
      <c r="P3560" s="14"/>
      <c r="Q3560" s="14"/>
      <c r="R3560" s="14"/>
      <c r="S3560" s="14"/>
      <c r="T3560" s="14"/>
      <c r="U3560" s="14"/>
      <c r="V3560" s="14"/>
      <c r="W3560" s="14"/>
      <c r="X3560" s="14"/>
      <c r="Y3560" s="14"/>
      <c r="Z3560" s="14"/>
      <c r="AA3560" s="16"/>
      <c r="AB3560" s="10"/>
      <c r="AC3560" s="10"/>
      <c r="AD3560" s="10"/>
      <c r="AE3560" s="10"/>
      <c r="AF3560" s="10"/>
      <c r="AG3560" s="10"/>
      <c r="AH3560" s="10"/>
      <c r="AI3560" s="10"/>
      <c r="AJ3560" s="10"/>
      <c r="AK3560" s="10"/>
      <c r="AL3560" s="10"/>
      <c r="AM3560" s="10"/>
      <c r="AN3560" s="10"/>
      <c r="AO3560" s="10"/>
      <c r="AP3560" s="10"/>
      <c r="AQ3560" s="10"/>
      <c r="AR3560" s="10"/>
      <c r="AS3560" s="10"/>
      <c r="AT3560" s="10"/>
      <c r="AU3560" s="10"/>
      <c r="AV3560" s="10"/>
      <c r="AW3560" s="10"/>
      <c r="AX3560" s="10"/>
      <c r="AY3560" s="10"/>
      <c r="AZ3560" s="10"/>
      <c r="BA3560" s="10"/>
      <c r="BB3560" s="10"/>
      <c r="BC3560" s="10"/>
      <c r="BD3560" s="10"/>
      <c r="BE3560" s="10"/>
      <c r="BF3560" s="10"/>
      <c r="BG3560" s="10"/>
      <c r="BH3560" s="10"/>
      <c r="BI3560" s="10"/>
      <c r="BJ3560" s="10"/>
      <c r="BK3560" s="10"/>
      <c r="BM3560" s="10"/>
    </row>
    <row r="3561" spans="1:65" ht="12.75">
      <c r="A3561" s="9"/>
      <c r="B3561" s="10"/>
      <c r="C3561" s="11"/>
      <c r="D3561" s="12"/>
      <c r="E3561" s="10"/>
      <c r="F3561" s="10"/>
      <c r="G3561" s="10"/>
      <c r="H3561" s="14"/>
      <c r="I3561" s="14"/>
      <c r="J3561" s="14"/>
      <c r="K3561" s="14"/>
      <c r="L3561" s="14"/>
      <c r="M3561" s="15"/>
      <c r="N3561" s="10"/>
      <c r="O3561" s="14"/>
      <c r="P3561" s="14"/>
      <c r="Q3561" s="14"/>
      <c r="R3561" s="14"/>
      <c r="S3561" s="14"/>
      <c r="T3561" s="14"/>
      <c r="U3561" s="14"/>
      <c r="V3561" s="14"/>
      <c r="W3561" s="14"/>
      <c r="X3561" s="14"/>
      <c r="Y3561" s="14"/>
      <c r="Z3561" s="14"/>
      <c r="AA3561" s="16"/>
      <c r="AB3561" s="10"/>
      <c r="AC3561" s="10"/>
      <c r="AD3561" s="10"/>
      <c r="AE3561" s="10"/>
      <c r="AF3561" s="10"/>
      <c r="AG3561" s="10"/>
      <c r="AH3561" s="10"/>
      <c r="AI3561" s="10"/>
      <c r="AJ3561" s="10"/>
      <c r="AK3561" s="10"/>
      <c r="AL3561" s="10"/>
      <c r="AM3561" s="10"/>
      <c r="AN3561" s="10"/>
      <c r="AO3561" s="10"/>
      <c r="AP3561" s="10"/>
      <c r="AQ3561" s="10"/>
      <c r="AR3561" s="10"/>
      <c r="AS3561" s="10"/>
      <c r="AT3561" s="10"/>
      <c r="AU3561" s="10"/>
      <c r="AV3561" s="10"/>
      <c r="AW3561" s="10"/>
      <c r="AX3561" s="10"/>
      <c r="AY3561" s="10"/>
      <c r="AZ3561" s="10"/>
      <c r="BA3561" s="10"/>
      <c r="BB3561" s="10"/>
      <c r="BC3561" s="10"/>
      <c r="BD3561" s="10"/>
      <c r="BE3561" s="10"/>
      <c r="BF3561" s="10"/>
      <c r="BG3561" s="10"/>
      <c r="BH3561" s="10"/>
      <c r="BI3561" s="10"/>
      <c r="BJ3561" s="10"/>
      <c r="BK3561" s="10"/>
      <c r="BM3561" s="10"/>
    </row>
    <row r="3562" spans="1:65" ht="12.75">
      <c r="A3562" s="9"/>
      <c r="B3562" s="10"/>
      <c r="C3562" s="11"/>
      <c r="D3562" s="12"/>
      <c r="E3562" s="10"/>
      <c r="F3562" s="10"/>
      <c r="G3562" s="10"/>
      <c r="H3562" s="14"/>
      <c r="I3562" s="14"/>
      <c r="J3562" s="14"/>
      <c r="K3562" s="14"/>
      <c r="L3562" s="14"/>
      <c r="M3562" s="15"/>
      <c r="N3562" s="10"/>
      <c r="O3562" s="14"/>
      <c r="P3562" s="14"/>
      <c r="Q3562" s="14"/>
      <c r="R3562" s="14"/>
      <c r="S3562" s="14"/>
      <c r="T3562" s="14"/>
      <c r="U3562" s="14"/>
      <c r="V3562" s="14"/>
      <c r="W3562" s="14"/>
      <c r="X3562" s="14"/>
      <c r="Y3562" s="14"/>
      <c r="Z3562" s="14"/>
      <c r="AA3562" s="16"/>
      <c r="AB3562" s="10"/>
      <c r="AC3562" s="10"/>
      <c r="AD3562" s="10"/>
      <c r="AE3562" s="10"/>
      <c r="AF3562" s="10"/>
      <c r="AG3562" s="10"/>
      <c r="AH3562" s="10"/>
      <c r="AI3562" s="10"/>
      <c r="AJ3562" s="10"/>
      <c r="AK3562" s="10"/>
      <c r="AL3562" s="10"/>
      <c r="AM3562" s="10"/>
      <c r="AN3562" s="10"/>
      <c r="AO3562" s="10"/>
      <c r="AP3562" s="10"/>
      <c r="AQ3562" s="10"/>
      <c r="AR3562" s="10"/>
      <c r="AS3562" s="10"/>
      <c r="AT3562" s="10"/>
      <c r="AU3562" s="10"/>
      <c r="AV3562" s="10"/>
      <c r="AW3562" s="10"/>
      <c r="AX3562" s="10"/>
      <c r="AY3562" s="10"/>
      <c r="AZ3562" s="10"/>
      <c r="BA3562" s="10"/>
      <c r="BB3562" s="10"/>
      <c r="BC3562" s="10"/>
      <c r="BD3562" s="10"/>
      <c r="BE3562" s="10"/>
      <c r="BF3562" s="10"/>
      <c r="BG3562" s="10"/>
      <c r="BH3562" s="10"/>
      <c r="BI3562" s="10"/>
      <c r="BJ3562" s="10"/>
      <c r="BK3562" s="10"/>
      <c r="BM3562" s="10"/>
    </row>
    <row r="3563" spans="1:65" ht="12.75">
      <c r="A3563" s="9"/>
      <c r="B3563" s="10"/>
      <c r="C3563" s="11"/>
      <c r="D3563" s="12"/>
      <c r="E3563" s="10"/>
      <c r="F3563" s="10"/>
      <c r="G3563" s="10"/>
      <c r="H3563" s="14"/>
      <c r="I3563" s="14"/>
      <c r="J3563" s="14"/>
      <c r="K3563" s="14"/>
      <c r="L3563" s="14"/>
      <c r="M3563" s="15"/>
      <c r="N3563" s="10"/>
      <c r="O3563" s="14"/>
      <c r="P3563" s="14"/>
      <c r="Q3563" s="14"/>
      <c r="R3563" s="14"/>
      <c r="S3563" s="14"/>
      <c r="T3563" s="14"/>
      <c r="U3563" s="14"/>
      <c r="V3563" s="14"/>
      <c r="W3563" s="14"/>
      <c r="X3563" s="14"/>
      <c r="Y3563" s="14"/>
      <c r="Z3563" s="14"/>
      <c r="AA3563" s="16"/>
      <c r="AB3563" s="10"/>
      <c r="AC3563" s="10"/>
      <c r="AD3563" s="10"/>
      <c r="AE3563" s="10"/>
      <c r="AF3563" s="10"/>
      <c r="AG3563" s="10"/>
      <c r="AH3563" s="10"/>
      <c r="AI3563" s="10"/>
      <c r="AJ3563" s="10"/>
      <c r="AK3563" s="10"/>
      <c r="AL3563" s="10"/>
      <c r="AM3563" s="10"/>
      <c r="AN3563" s="10"/>
      <c r="AO3563" s="10"/>
      <c r="AP3563" s="10"/>
      <c r="AQ3563" s="10"/>
      <c r="AR3563" s="10"/>
      <c r="AS3563" s="10"/>
      <c r="AT3563" s="10"/>
      <c r="AU3563" s="10"/>
      <c r="AV3563" s="10"/>
      <c r="AW3563" s="10"/>
      <c r="AX3563" s="10"/>
      <c r="AY3563" s="10"/>
      <c r="AZ3563" s="10"/>
      <c r="BA3563" s="10"/>
      <c r="BB3563" s="10"/>
      <c r="BC3563" s="10"/>
      <c r="BD3563" s="10"/>
      <c r="BE3563" s="10"/>
      <c r="BF3563" s="10"/>
      <c r="BG3563" s="10"/>
      <c r="BH3563" s="10"/>
      <c r="BI3563" s="10"/>
      <c r="BJ3563" s="10"/>
      <c r="BK3563" s="10"/>
      <c r="BM3563" s="10"/>
    </row>
    <row r="3564" spans="1:65" ht="12.75">
      <c r="A3564" s="9"/>
      <c r="B3564" s="10"/>
      <c r="C3564" s="11"/>
      <c r="D3564" s="12"/>
      <c r="E3564" s="10"/>
      <c r="F3564" s="10"/>
      <c r="G3564" s="10"/>
      <c r="H3564" s="14"/>
      <c r="I3564" s="14"/>
      <c r="J3564" s="14"/>
      <c r="K3564" s="14"/>
      <c r="L3564" s="14"/>
      <c r="M3564" s="15"/>
      <c r="N3564" s="10"/>
      <c r="O3564" s="14"/>
      <c r="P3564" s="14"/>
      <c r="Q3564" s="14"/>
      <c r="R3564" s="14"/>
      <c r="S3564" s="14"/>
      <c r="T3564" s="14"/>
      <c r="U3564" s="14"/>
      <c r="V3564" s="14"/>
      <c r="W3564" s="14"/>
      <c r="X3564" s="14"/>
      <c r="Y3564" s="14"/>
      <c r="Z3564" s="14"/>
      <c r="AA3564" s="16"/>
      <c r="AB3564" s="10"/>
      <c r="AC3564" s="10"/>
      <c r="AD3564" s="10"/>
      <c r="AE3564" s="10"/>
      <c r="AF3564" s="10"/>
      <c r="AG3564" s="10"/>
      <c r="AH3564" s="10"/>
      <c r="AI3564" s="10"/>
      <c r="AJ3564" s="10"/>
      <c r="AK3564" s="10"/>
      <c r="AL3564" s="10"/>
      <c r="AM3564" s="10"/>
      <c r="AN3564" s="10"/>
      <c r="AO3564" s="10"/>
      <c r="AP3564" s="10"/>
      <c r="AQ3564" s="10"/>
      <c r="AR3564" s="10"/>
      <c r="AS3564" s="10"/>
      <c r="AT3564" s="10"/>
      <c r="AU3564" s="10"/>
      <c r="AV3564" s="10"/>
      <c r="AW3564" s="10"/>
      <c r="AX3564" s="10"/>
      <c r="AY3564" s="10"/>
      <c r="AZ3564" s="10"/>
      <c r="BA3564" s="10"/>
      <c r="BB3564" s="10"/>
      <c r="BC3564" s="10"/>
      <c r="BD3564" s="10"/>
      <c r="BE3564" s="10"/>
      <c r="BF3564" s="10"/>
      <c r="BG3564" s="10"/>
      <c r="BH3564" s="10"/>
      <c r="BI3564" s="10"/>
      <c r="BJ3564" s="10"/>
      <c r="BK3564" s="10"/>
      <c r="BM3564" s="10"/>
    </row>
    <row r="3565" spans="1:65" ht="12.75">
      <c r="A3565" s="9"/>
      <c r="B3565" s="10"/>
      <c r="C3565" s="11"/>
      <c r="D3565" s="12"/>
      <c r="E3565" s="10"/>
      <c r="F3565" s="10"/>
      <c r="G3565" s="10"/>
      <c r="H3565" s="14"/>
      <c r="I3565" s="14"/>
      <c r="J3565" s="14"/>
      <c r="K3565" s="14"/>
      <c r="L3565" s="14"/>
      <c r="M3565" s="15"/>
      <c r="N3565" s="10"/>
      <c r="O3565" s="14"/>
      <c r="P3565" s="14"/>
      <c r="Q3565" s="14"/>
      <c r="R3565" s="14"/>
      <c r="S3565" s="14"/>
      <c r="T3565" s="14"/>
      <c r="U3565" s="14"/>
      <c r="V3565" s="14"/>
      <c r="W3565" s="14"/>
      <c r="X3565" s="14"/>
      <c r="Y3565" s="14"/>
      <c r="Z3565" s="14"/>
      <c r="AA3565" s="16"/>
      <c r="AB3565" s="10"/>
      <c r="AC3565" s="10"/>
      <c r="AD3565" s="10"/>
      <c r="AE3565" s="10"/>
      <c r="AF3565" s="10"/>
      <c r="AG3565" s="10"/>
      <c r="AH3565" s="10"/>
      <c r="AI3565" s="10"/>
      <c r="AJ3565" s="10"/>
      <c r="AK3565" s="10"/>
      <c r="AL3565" s="10"/>
      <c r="AM3565" s="10"/>
      <c r="AN3565" s="10"/>
      <c r="AO3565" s="10"/>
      <c r="AP3565" s="10"/>
      <c r="AQ3565" s="10"/>
      <c r="AR3565" s="10"/>
      <c r="AS3565" s="10"/>
      <c r="AT3565" s="10"/>
      <c r="AU3565" s="10"/>
      <c r="AV3565" s="10"/>
      <c r="AW3565" s="10"/>
      <c r="AX3565" s="10"/>
      <c r="AY3565" s="10"/>
      <c r="AZ3565" s="10"/>
      <c r="BA3565" s="10"/>
      <c r="BB3565" s="10"/>
      <c r="BC3565" s="10"/>
      <c r="BD3565" s="10"/>
      <c r="BE3565" s="10"/>
      <c r="BF3565" s="10"/>
      <c r="BG3565" s="10"/>
      <c r="BH3565" s="10"/>
      <c r="BI3565" s="10"/>
      <c r="BJ3565" s="10"/>
      <c r="BK3565" s="10"/>
      <c r="BM3565" s="10"/>
    </row>
    <row r="3566" spans="1:65" ht="12.75">
      <c r="A3566" s="9"/>
      <c r="B3566" s="10"/>
      <c r="C3566" s="11"/>
      <c r="D3566" s="12"/>
      <c r="E3566" s="10"/>
      <c r="F3566" s="10"/>
      <c r="G3566" s="10"/>
      <c r="H3566" s="14"/>
      <c r="I3566" s="14"/>
      <c r="J3566" s="14"/>
      <c r="K3566" s="14"/>
      <c r="L3566" s="14"/>
      <c r="M3566" s="15"/>
      <c r="N3566" s="10"/>
      <c r="O3566" s="14"/>
      <c r="P3566" s="14"/>
      <c r="Q3566" s="14"/>
      <c r="R3566" s="14"/>
      <c r="S3566" s="14"/>
      <c r="T3566" s="14"/>
      <c r="U3566" s="14"/>
      <c r="V3566" s="14"/>
      <c r="W3566" s="14"/>
      <c r="X3566" s="14"/>
      <c r="Y3566" s="14"/>
      <c r="Z3566" s="14"/>
      <c r="AA3566" s="16"/>
      <c r="AB3566" s="10"/>
      <c r="AC3566" s="10"/>
      <c r="AD3566" s="10"/>
      <c r="AE3566" s="10"/>
      <c r="AF3566" s="10"/>
      <c r="AG3566" s="10"/>
      <c r="AH3566" s="10"/>
      <c r="AI3566" s="10"/>
      <c r="AJ3566" s="10"/>
      <c r="AK3566" s="10"/>
      <c r="AL3566" s="10"/>
      <c r="AM3566" s="10"/>
      <c r="AN3566" s="10"/>
      <c r="AO3566" s="10"/>
      <c r="AP3566" s="10"/>
      <c r="AQ3566" s="10"/>
      <c r="AR3566" s="10"/>
      <c r="AS3566" s="10"/>
      <c r="AT3566" s="10"/>
      <c r="AU3566" s="10"/>
      <c r="AV3566" s="10"/>
      <c r="AW3566" s="10"/>
      <c r="AX3566" s="10"/>
      <c r="AY3566" s="10"/>
      <c r="AZ3566" s="10"/>
      <c r="BA3566" s="10"/>
      <c r="BB3566" s="10"/>
      <c r="BC3566" s="10"/>
      <c r="BD3566" s="10"/>
      <c r="BE3566" s="10"/>
      <c r="BF3566" s="10"/>
      <c r="BG3566" s="10"/>
      <c r="BH3566" s="10"/>
      <c r="BI3566" s="10"/>
      <c r="BJ3566" s="10"/>
      <c r="BK3566" s="10"/>
      <c r="BM3566" s="10"/>
    </row>
    <row r="3567" spans="1:65" ht="12.75">
      <c r="A3567" s="9"/>
      <c r="B3567" s="10"/>
      <c r="C3567" s="11"/>
      <c r="D3567" s="12"/>
      <c r="E3567" s="10"/>
      <c r="F3567" s="10"/>
      <c r="G3567" s="10"/>
      <c r="H3567" s="14"/>
      <c r="I3567" s="14"/>
      <c r="J3567" s="14"/>
      <c r="K3567" s="14"/>
      <c r="L3567" s="14"/>
      <c r="M3567" s="15"/>
      <c r="N3567" s="10"/>
      <c r="O3567" s="14"/>
      <c r="P3567" s="14"/>
      <c r="Q3567" s="14"/>
      <c r="R3567" s="14"/>
      <c r="S3567" s="14"/>
      <c r="T3567" s="14"/>
      <c r="U3567" s="14"/>
      <c r="V3567" s="14"/>
      <c r="W3567" s="14"/>
      <c r="X3567" s="14"/>
      <c r="Y3567" s="14"/>
      <c r="Z3567" s="14"/>
      <c r="AA3567" s="16"/>
      <c r="AB3567" s="10"/>
      <c r="AC3567" s="10"/>
      <c r="AD3567" s="10"/>
      <c r="AE3567" s="10"/>
      <c r="AF3567" s="10"/>
      <c r="AG3567" s="10"/>
      <c r="AH3567" s="10"/>
      <c r="AI3567" s="10"/>
      <c r="AJ3567" s="10"/>
      <c r="AK3567" s="10"/>
      <c r="AL3567" s="10"/>
      <c r="AM3567" s="10"/>
      <c r="AN3567" s="10"/>
      <c r="AO3567" s="10"/>
      <c r="AP3567" s="10"/>
      <c r="AQ3567" s="10"/>
      <c r="AR3567" s="10"/>
      <c r="AS3567" s="10"/>
      <c r="AT3567" s="10"/>
      <c r="AU3567" s="10"/>
      <c r="AV3567" s="10"/>
      <c r="AW3567" s="10"/>
      <c r="AX3567" s="10"/>
      <c r="AY3567" s="10"/>
      <c r="AZ3567" s="10"/>
      <c r="BA3567" s="10"/>
      <c r="BB3567" s="10"/>
      <c r="BC3567" s="10"/>
      <c r="BD3567" s="10"/>
      <c r="BE3567" s="10"/>
      <c r="BF3567" s="10"/>
      <c r="BG3567" s="10"/>
      <c r="BH3567" s="10"/>
      <c r="BI3567" s="10"/>
      <c r="BJ3567" s="10"/>
      <c r="BK3567" s="10"/>
      <c r="BM3567" s="10"/>
    </row>
    <row r="3568" spans="1:65" ht="12.75">
      <c r="A3568" s="9"/>
      <c r="B3568" s="10"/>
      <c r="C3568" s="11"/>
      <c r="D3568" s="12"/>
      <c r="E3568" s="10"/>
      <c r="F3568" s="10"/>
      <c r="G3568" s="10"/>
      <c r="H3568" s="14"/>
      <c r="I3568" s="14"/>
      <c r="J3568" s="14"/>
      <c r="K3568" s="14"/>
      <c r="L3568" s="14"/>
      <c r="M3568" s="15"/>
      <c r="N3568" s="10"/>
      <c r="O3568" s="14"/>
      <c r="P3568" s="14"/>
      <c r="Q3568" s="14"/>
      <c r="R3568" s="14"/>
      <c r="S3568" s="14"/>
      <c r="T3568" s="14"/>
      <c r="U3568" s="14"/>
      <c r="V3568" s="14"/>
      <c r="W3568" s="14"/>
      <c r="X3568" s="14"/>
      <c r="Y3568" s="14"/>
      <c r="Z3568" s="14"/>
      <c r="AA3568" s="16"/>
      <c r="AB3568" s="10"/>
      <c r="AC3568" s="10"/>
      <c r="AD3568" s="10"/>
      <c r="AE3568" s="10"/>
      <c r="AF3568" s="10"/>
      <c r="AG3568" s="10"/>
      <c r="AH3568" s="10"/>
      <c r="AI3568" s="10"/>
      <c r="AJ3568" s="10"/>
      <c r="AK3568" s="10"/>
      <c r="AL3568" s="10"/>
      <c r="AM3568" s="10"/>
      <c r="AN3568" s="10"/>
      <c r="AO3568" s="10"/>
      <c r="AP3568" s="10"/>
      <c r="AQ3568" s="10"/>
      <c r="AR3568" s="10"/>
      <c r="AS3568" s="10"/>
      <c r="AT3568" s="10"/>
      <c r="AU3568" s="10"/>
      <c r="AV3568" s="10"/>
      <c r="AW3568" s="10"/>
      <c r="AX3568" s="10"/>
      <c r="AY3568" s="10"/>
      <c r="AZ3568" s="10"/>
      <c r="BA3568" s="10"/>
      <c r="BB3568" s="10"/>
      <c r="BC3568" s="10"/>
      <c r="BD3568" s="10"/>
      <c r="BE3568" s="10"/>
      <c r="BF3568" s="10"/>
      <c r="BG3568" s="10"/>
      <c r="BH3568" s="10"/>
      <c r="BI3568" s="10"/>
      <c r="BJ3568" s="10"/>
      <c r="BK3568" s="10"/>
      <c r="BM3568" s="10"/>
    </row>
    <row r="3569" spans="1:65" ht="12.75">
      <c r="A3569" s="9"/>
      <c r="B3569" s="10"/>
      <c r="C3569" s="11"/>
      <c r="D3569" s="12"/>
      <c r="E3569" s="10"/>
      <c r="F3569" s="10"/>
      <c r="G3569" s="10"/>
      <c r="H3569" s="14"/>
      <c r="I3569" s="14"/>
      <c r="J3569" s="14"/>
      <c r="K3569" s="14"/>
      <c r="L3569" s="14"/>
      <c r="M3569" s="15"/>
      <c r="N3569" s="10"/>
      <c r="O3569" s="14"/>
      <c r="P3569" s="14"/>
      <c r="Q3569" s="14"/>
      <c r="R3569" s="14"/>
      <c r="S3569" s="14"/>
      <c r="T3569" s="14"/>
      <c r="U3569" s="14"/>
      <c r="V3569" s="14"/>
      <c r="W3569" s="14"/>
      <c r="X3569" s="14"/>
      <c r="Y3569" s="14"/>
      <c r="Z3569" s="14"/>
      <c r="AA3569" s="16"/>
      <c r="AB3569" s="10"/>
      <c r="AC3569" s="10"/>
      <c r="AD3569" s="10"/>
      <c r="AE3569" s="10"/>
      <c r="AF3569" s="10"/>
      <c r="AG3569" s="10"/>
      <c r="AH3569" s="10"/>
      <c r="AI3569" s="10"/>
      <c r="AJ3569" s="10"/>
      <c r="AK3569" s="10"/>
      <c r="AL3569" s="10"/>
      <c r="AM3569" s="10"/>
      <c r="AN3569" s="10"/>
      <c r="AO3569" s="10"/>
      <c r="AP3569" s="10"/>
      <c r="AQ3569" s="10"/>
      <c r="AR3569" s="10"/>
      <c r="AS3569" s="10"/>
      <c r="AT3569" s="10"/>
      <c r="AU3569" s="10"/>
      <c r="AV3569" s="10"/>
      <c r="AW3569" s="10"/>
      <c r="AX3569" s="10"/>
      <c r="AY3569" s="10"/>
      <c r="AZ3569" s="10"/>
      <c r="BA3569" s="10"/>
      <c r="BB3569" s="10"/>
      <c r="BC3569" s="10"/>
      <c r="BD3569" s="10"/>
      <c r="BE3569" s="10"/>
      <c r="BF3569" s="10"/>
      <c r="BG3569" s="10"/>
      <c r="BH3569" s="10"/>
      <c r="BI3569" s="10"/>
      <c r="BJ3569" s="10"/>
      <c r="BK3569" s="10"/>
      <c r="BM3569" s="10"/>
    </row>
    <row r="3570" spans="1:65" ht="12.75">
      <c r="A3570" s="9"/>
      <c r="B3570" s="10"/>
      <c r="C3570" s="11"/>
      <c r="D3570" s="12"/>
      <c r="E3570" s="10"/>
      <c r="F3570" s="10"/>
      <c r="G3570" s="10"/>
      <c r="H3570" s="14"/>
      <c r="I3570" s="14"/>
      <c r="J3570" s="14"/>
      <c r="K3570" s="14"/>
      <c r="L3570" s="14"/>
      <c r="M3570" s="15"/>
      <c r="N3570" s="10"/>
      <c r="O3570" s="14"/>
      <c r="P3570" s="14"/>
      <c r="Q3570" s="14"/>
      <c r="R3570" s="14"/>
      <c r="S3570" s="14"/>
      <c r="T3570" s="14"/>
      <c r="U3570" s="14"/>
      <c r="V3570" s="14"/>
      <c r="W3570" s="14"/>
      <c r="X3570" s="14"/>
      <c r="Y3570" s="14"/>
      <c r="Z3570" s="14"/>
      <c r="AA3570" s="16"/>
      <c r="AB3570" s="10"/>
      <c r="AC3570" s="10"/>
      <c r="AD3570" s="10"/>
      <c r="AE3570" s="10"/>
      <c r="AF3570" s="10"/>
      <c r="AG3570" s="10"/>
      <c r="AH3570" s="10"/>
      <c r="AI3570" s="10"/>
      <c r="AJ3570" s="10"/>
      <c r="AK3570" s="10"/>
      <c r="AL3570" s="10"/>
      <c r="AM3570" s="10"/>
      <c r="AN3570" s="10"/>
      <c r="AO3570" s="10"/>
      <c r="AP3570" s="10"/>
      <c r="AQ3570" s="10"/>
      <c r="AR3570" s="10"/>
      <c r="AS3570" s="10"/>
      <c r="AT3570" s="10"/>
      <c r="AU3570" s="10"/>
      <c r="AV3570" s="10"/>
      <c r="AW3570" s="10"/>
      <c r="AX3570" s="10"/>
      <c r="AY3570" s="10"/>
      <c r="AZ3570" s="10"/>
      <c r="BA3570" s="10"/>
      <c r="BB3570" s="10"/>
      <c r="BC3570" s="10"/>
      <c r="BD3570" s="10"/>
      <c r="BE3570" s="10"/>
      <c r="BF3570" s="10"/>
      <c r="BG3570" s="10"/>
      <c r="BH3570" s="10"/>
      <c r="BI3570" s="10"/>
      <c r="BJ3570" s="10"/>
      <c r="BK3570" s="10"/>
      <c r="BM3570" s="10"/>
    </row>
    <row r="3571" spans="1:65" ht="12.75">
      <c r="A3571" s="9"/>
      <c r="B3571" s="10"/>
      <c r="C3571" s="11"/>
      <c r="D3571" s="12"/>
      <c r="E3571" s="10"/>
      <c r="F3571" s="10"/>
      <c r="G3571" s="10"/>
      <c r="H3571" s="14"/>
      <c r="I3571" s="14"/>
      <c r="J3571" s="14"/>
      <c r="K3571" s="14"/>
      <c r="L3571" s="14"/>
      <c r="M3571" s="15"/>
      <c r="N3571" s="10"/>
      <c r="O3571" s="14"/>
      <c r="P3571" s="14"/>
      <c r="Q3571" s="14"/>
      <c r="R3571" s="14"/>
      <c r="S3571" s="14"/>
      <c r="T3571" s="14"/>
      <c r="U3571" s="14"/>
      <c r="V3571" s="14"/>
      <c r="W3571" s="14"/>
      <c r="X3571" s="14"/>
      <c r="Y3571" s="14"/>
      <c r="Z3571" s="14"/>
      <c r="AA3571" s="16"/>
      <c r="AB3571" s="10"/>
      <c r="AC3571" s="10"/>
      <c r="AD3571" s="10"/>
      <c r="AE3571" s="10"/>
      <c r="AF3571" s="10"/>
      <c r="AG3571" s="10"/>
      <c r="AH3571" s="10"/>
      <c r="AI3571" s="10"/>
      <c r="AJ3571" s="10"/>
      <c r="AK3571" s="10"/>
      <c r="AL3571" s="10"/>
      <c r="AM3571" s="10"/>
      <c r="AN3571" s="10"/>
      <c r="AO3571" s="10"/>
      <c r="AP3571" s="10"/>
      <c r="AQ3571" s="10"/>
      <c r="AR3571" s="10"/>
      <c r="AS3571" s="10"/>
      <c r="AT3571" s="10"/>
      <c r="AU3571" s="10"/>
      <c r="AV3571" s="10"/>
      <c r="AW3571" s="10"/>
      <c r="AX3571" s="10"/>
      <c r="AY3571" s="10"/>
      <c r="AZ3571" s="10"/>
      <c r="BA3571" s="10"/>
      <c r="BB3571" s="10"/>
      <c r="BC3571" s="10"/>
      <c r="BD3571" s="10"/>
      <c r="BE3571" s="10"/>
      <c r="BF3571" s="10"/>
      <c r="BG3571" s="10"/>
      <c r="BH3571" s="10"/>
      <c r="BI3571" s="10"/>
      <c r="BJ3571" s="10"/>
      <c r="BK3571" s="10"/>
      <c r="BM3571" s="10"/>
    </row>
    <row r="3572" spans="1:65" ht="12.75">
      <c r="A3572" s="9"/>
      <c r="B3572" s="10"/>
      <c r="C3572" s="11"/>
      <c r="D3572" s="12"/>
      <c r="E3572" s="10"/>
      <c r="F3572" s="10"/>
      <c r="G3572" s="10"/>
      <c r="H3572" s="14"/>
      <c r="I3572" s="14"/>
      <c r="J3572" s="14"/>
      <c r="K3572" s="14"/>
      <c r="L3572" s="14"/>
      <c r="M3572" s="15"/>
      <c r="N3572" s="10"/>
      <c r="O3572" s="14"/>
      <c r="P3572" s="14"/>
      <c r="Q3572" s="14"/>
      <c r="R3572" s="14"/>
      <c r="S3572" s="14"/>
      <c r="T3572" s="14"/>
      <c r="U3572" s="14"/>
      <c r="V3572" s="14"/>
      <c r="W3572" s="14"/>
      <c r="X3572" s="14"/>
      <c r="Y3572" s="14"/>
      <c r="Z3572" s="14"/>
      <c r="AA3572" s="16"/>
      <c r="AB3572" s="10"/>
      <c r="AC3572" s="10"/>
      <c r="AD3572" s="10"/>
      <c r="AE3572" s="10"/>
      <c r="AF3572" s="10"/>
      <c r="AG3572" s="10"/>
      <c r="AH3572" s="10"/>
      <c r="AI3572" s="10"/>
      <c r="AJ3572" s="10"/>
      <c r="AK3572" s="10"/>
      <c r="AL3572" s="10"/>
      <c r="AM3572" s="10"/>
      <c r="AN3572" s="10"/>
      <c r="AO3572" s="10"/>
      <c r="AP3572" s="10"/>
      <c r="AQ3572" s="10"/>
      <c r="AR3572" s="10"/>
      <c r="AS3572" s="10"/>
      <c r="AT3572" s="10"/>
      <c r="AU3572" s="10"/>
      <c r="AV3572" s="10"/>
      <c r="AW3572" s="10"/>
      <c r="AX3572" s="10"/>
      <c r="AY3572" s="10"/>
      <c r="AZ3572" s="10"/>
      <c r="BA3572" s="10"/>
      <c r="BB3572" s="10"/>
      <c r="BC3572" s="10"/>
      <c r="BD3572" s="10"/>
      <c r="BE3572" s="10"/>
      <c r="BF3572" s="10"/>
      <c r="BG3572" s="10"/>
      <c r="BH3572" s="10"/>
      <c r="BI3572" s="10"/>
      <c r="BJ3572" s="10"/>
      <c r="BK3572" s="10"/>
      <c r="BM3572" s="10"/>
    </row>
    <row r="3573" spans="1:65" ht="12.75">
      <c r="A3573" s="9"/>
      <c r="B3573" s="10"/>
      <c r="C3573" s="11"/>
      <c r="D3573" s="12"/>
      <c r="E3573" s="10"/>
      <c r="F3573" s="10"/>
      <c r="G3573" s="10"/>
      <c r="H3573" s="14"/>
      <c r="I3573" s="14"/>
      <c r="J3573" s="14"/>
      <c r="K3573" s="14"/>
      <c r="L3573" s="14"/>
      <c r="M3573" s="15"/>
      <c r="N3573" s="10"/>
      <c r="O3573" s="14"/>
      <c r="P3573" s="14"/>
      <c r="Q3573" s="14"/>
      <c r="R3573" s="14"/>
      <c r="S3573" s="14"/>
      <c r="T3573" s="14"/>
      <c r="U3573" s="14"/>
      <c r="V3573" s="14"/>
      <c r="W3573" s="14"/>
      <c r="X3573" s="14"/>
      <c r="Y3573" s="14"/>
      <c r="Z3573" s="14"/>
      <c r="AA3573" s="16"/>
      <c r="AB3573" s="10"/>
      <c r="AC3573" s="10"/>
      <c r="AD3573" s="10"/>
      <c r="AE3573" s="10"/>
      <c r="AF3573" s="10"/>
      <c r="AG3573" s="10"/>
      <c r="AH3573" s="10"/>
      <c r="AI3573" s="10"/>
      <c r="AJ3573" s="10"/>
      <c r="AK3573" s="10"/>
      <c r="AL3573" s="10"/>
      <c r="AM3573" s="10"/>
      <c r="AN3573" s="10"/>
      <c r="AO3573" s="10"/>
      <c r="AP3573" s="10"/>
      <c r="AQ3573" s="10"/>
      <c r="AR3573" s="10"/>
      <c r="AS3573" s="10"/>
      <c r="AT3573" s="10"/>
      <c r="AU3573" s="10"/>
      <c r="AV3573" s="10"/>
      <c r="AW3573" s="10"/>
      <c r="AX3573" s="10"/>
      <c r="AY3573" s="10"/>
      <c r="AZ3573" s="10"/>
      <c r="BA3573" s="10"/>
      <c r="BB3573" s="10"/>
      <c r="BC3573" s="10"/>
      <c r="BD3573" s="10"/>
      <c r="BE3573" s="10"/>
      <c r="BF3573" s="10"/>
      <c r="BG3573" s="10"/>
      <c r="BH3573" s="10"/>
      <c r="BI3573" s="10"/>
      <c r="BJ3573" s="10"/>
      <c r="BK3573" s="10"/>
      <c r="BM3573" s="10"/>
    </row>
    <row r="3574" spans="1:65" ht="12.75">
      <c r="A3574" s="9"/>
      <c r="B3574" s="10"/>
      <c r="C3574" s="11"/>
      <c r="D3574" s="12"/>
      <c r="E3574" s="10"/>
      <c r="F3574" s="10"/>
      <c r="G3574" s="10"/>
      <c r="H3574" s="14"/>
      <c r="I3574" s="14"/>
      <c r="J3574" s="14"/>
      <c r="K3574" s="14"/>
      <c r="L3574" s="14"/>
      <c r="M3574" s="15"/>
      <c r="N3574" s="10"/>
      <c r="O3574" s="14"/>
      <c r="P3574" s="14"/>
      <c r="Q3574" s="14"/>
      <c r="R3574" s="14"/>
      <c r="S3574" s="14"/>
      <c r="T3574" s="14"/>
      <c r="U3574" s="14"/>
      <c r="V3574" s="14"/>
      <c r="W3574" s="14"/>
      <c r="X3574" s="14"/>
      <c r="Y3574" s="14"/>
      <c r="Z3574" s="14"/>
      <c r="AA3574" s="16"/>
      <c r="AB3574" s="10"/>
      <c r="AC3574" s="10"/>
      <c r="AD3574" s="10"/>
      <c r="AE3574" s="10"/>
      <c r="AF3574" s="10"/>
      <c r="AG3574" s="10"/>
      <c r="AH3574" s="10"/>
      <c r="AI3574" s="10"/>
      <c r="AJ3574" s="10"/>
      <c r="AK3574" s="10"/>
      <c r="AL3574" s="10"/>
      <c r="AM3574" s="10"/>
      <c r="AN3574" s="10"/>
      <c r="AO3574" s="10"/>
      <c r="AP3574" s="10"/>
      <c r="AQ3574" s="10"/>
      <c r="AR3574" s="10"/>
      <c r="AS3574" s="10"/>
      <c r="AT3574" s="10"/>
      <c r="AU3574" s="10"/>
      <c r="AV3574" s="10"/>
      <c r="AW3574" s="10"/>
      <c r="AX3574" s="10"/>
      <c r="AY3574" s="10"/>
      <c r="AZ3574" s="10"/>
      <c r="BA3574" s="10"/>
      <c r="BB3574" s="10"/>
      <c r="BC3574" s="10"/>
      <c r="BD3574" s="10"/>
      <c r="BE3574" s="10"/>
      <c r="BF3574" s="10"/>
      <c r="BG3574" s="10"/>
      <c r="BH3574" s="10"/>
      <c r="BI3574" s="10"/>
      <c r="BJ3574" s="10"/>
      <c r="BK3574" s="10"/>
      <c r="BM3574" s="10"/>
    </row>
    <row r="3575" spans="1:65" ht="12.75">
      <c r="A3575" s="9"/>
      <c r="B3575" s="10"/>
      <c r="C3575" s="11"/>
      <c r="D3575" s="12"/>
      <c r="E3575" s="10"/>
      <c r="F3575" s="10"/>
      <c r="G3575" s="10"/>
      <c r="H3575" s="14"/>
      <c r="I3575" s="14"/>
      <c r="J3575" s="14"/>
      <c r="K3575" s="14"/>
      <c r="L3575" s="14"/>
      <c r="M3575" s="15"/>
      <c r="N3575" s="10"/>
      <c r="O3575" s="14"/>
      <c r="P3575" s="14"/>
      <c r="Q3575" s="14"/>
      <c r="R3575" s="14"/>
      <c r="S3575" s="14"/>
      <c r="T3575" s="14"/>
      <c r="U3575" s="14"/>
      <c r="V3575" s="14"/>
      <c r="W3575" s="14"/>
      <c r="X3575" s="14"/>
      <c r="Y3575" s="14"/>
      <c r="Z3575" s="14"/>
      <c r="AA3575" s="16"/>
      <c r="AB3575" s="10"/>
      <c r="AC3575" s="10"/>
      <c r="AD3575" s="10"/>
      <c r="AE3575" s="10"/>
      <c r="AF3575" s="10"/>
      <c r="AG3575" s="10"/>
      <c r="AH3575" s="10"/>
      <c r="AI3575" s="10"/>
      <c r="AJ3575" s="10"/>
      <c r="AK3575" s="10"/>
      <c r="AL3575" s="10"/>
      <c r="AM3575" s="10"/>
      <c r="AN3575" s="10"/>
      <c r="AO3575" s="10"/>
      <c r="AP3575" s="10"/>
      <c r="AQ3575" s="10"/>
      <c r="AR3575" s="10"/>
      <c r="AS3575" s="10"/>
      <c r="AT3575" s="10"/>
      <c r="AU3575" s="10"/>
      <c r="AV3575" s="10"/>
      <c r="AW3575" s="10"/>
      <c r="AX3575" s="10"/>
      <c r="AY3575" s="10"/>
      <c r="AZ3575" s="10"/>
      <c r="BA3575" s="10"/>
      <c r="BB3575" s="10"/>
      <c r="BC3575" s="10"/>
      <c r="BD3575" s="10"/>
      <c r="BE3575" s="10"/>
      <c r="BF3575" s="10"/>
      <c r="BG3575" s="10"/>
      <c r="BH3575" s="10"/>
      <c r="BI3575" s="10"/>
      <c r="BJ3575" s="10"/>
      <c r="BK3575" s="10"/>
      <c r="BM3575" s="10"/>
    </row>
    <row r="3576" spans="1:65" ht="12.75">
      <c r="A3576" s="9"/>
      <c r="B3576" s="10"/>
      <c r="C3576" s="11"/>
      <c r="D3576" s="12"/>
      <c r="E3576" s="10"/>
      <c r="F3576" s="10"/>
      <c r="G3576" s="10"/>
      <c r="H3576" s="14"/>
      <c r="I3576" s="14"/>
      <c r="J3576" s="14"/>
      <c r="K3576" s="14"/>
      <c r="L3576" s="14"/>
      <c r="M3576" s="15"/>
      <c r="N3576" s="10"/>
      <c r="O3576" s="14"/>
      <c r="P3576" s="14"/>
      <c r="Q3576" s="14"/>
      <c r="R3576" s="14"/>
      <c r="S3576" s="14"/>
      <c r="T3576" s="14"/>
      <c r="U3576" s="14"/>
      <c r="V3576" s="14"/>
      <c r="W3576" s="14"/>
      <c r="X3576" s="14"/>
      <c r="Y3576" s="14"/>
      <c r="Z3576" s="14"/>
      <c r="AA3576" s="16"/>
      <c r="AB3576" s="10"/>
      <c r="AC3576" s="10"/>
      <c r="AD3576" s="10"/>
      <c r="AE3576" s="10"/>
      <c r="AF3576" s="10"/>
      <c r="AG3576" s="10"/>
      <c r="AH3576" s="10"/>
      <c r="AI3576" s="10"/>
      <c r="AJ3576" s="10"/>
      <c r="AK3576" s="10"/>
      <c r="AL3576" s="10"/>
      <c r="AM3576" s="10"/>
      <c r="AN3576" s="10"/>
      <c r="AO3576" s="10"/>
      <c r="AP3576" s="10"/>
      <c r="AQ3576" s="10"/>
      <c r="AR3576" s="10"/>
      <c r="AS3576" s="10"/>
      <c r="AT3576" s="10"/>
      <c r="AU3576" s="10"/>
      <c r="AV3576" s="10"/>
      <c r="AW3576" s="10"/>
      <c r="AX3576" s="10"/>
      <c r="AY3576" s="10"/>
      <c r="AZ3576" s="10"/>
      <c r="BA3576" s="10"/>
      <c r="BB3576" s="10"/>
      <c r="BC3576" s="10"/>
      <c r="BD3576" s="10"/>
      <c r="BE3576" s="10"/>
      <c r="BF3576" s="10"/>
      <c r="BG3576" s="10"/>
      <c r="BH3576" s="10"/>
      <c r="BI3576" s="10"/>
      <c r="BJ3576" s="10"/>
      <c r="BK3576" s="10"/>
      <c r="BM3576" s="10"/>
    </row>
    <row r="3577" spans="1:65" ht="12.75">
      <c r="A3577" s="9"/>
      <c r="B3577" s="10"/>
      <c r="C3577" s="11"/>
      <c r="D3577" s="12"/>
      <c r="E3577" s="10"/>
      <c r="F3577" s="10"/>
      <c r="G3577" s="10"/>
      <c r="H3577" s="14"/>
      <c r="I3577" s="14"/>
      <c r="J3577" s="14"/>
      <c r="K3577" s="14"/>
      <c r="L3577" s="14"/>
      <c r="M3577" s="15"/>
      <c r="N3577" s="10"/>
      <c r="O3577" s="14"/>
      <c r="P3577" s="14"/>
      <c r="Q3577" s="14"/>
      <c r="R3577" s="14"/>
      <c r="S3577" s="14"/>
      <c r="T3577" s="14"/>
      <c r="U3577" s="14"/>
      <c r="V3577" s="14"/>
      <c r="W3577" s="14"/>
      <c r="X3577" s="14"/>
      <c r="Y3577" s="14"/>
      <c r="Z3577" s="14"/>
      <c r="AA3577" s="16"/>
      <c r="AB3577" s="10"/>
      <c r="AC3577" s="10"/>
      <c r="AD3577" s="10"/>
      <c r="AE3577" s="10"/>
      <c r="AF3577" s="10"/>
      <c r="AG3577" s="10"/>
      <c r="AH3577" s="10"/>
      <c r="AI3577" s="10"/>
      <c r="AJ3577" s="10"/>
      <c r="AK3577" s="10"/>
      <c r="AL3577" s="10"/>
      <c r="AM3577" s="10"/>
      <c r="AN3577" s="10"/>
      <c r="AO3577" s="10"/>
      <c r="AP3577" s="10"/>
      <c r="AQ3577" s="10"/>
      <c r="AR3577" s="10"/>
      <c r="AS3577" s="10"/>
      <c r="AT3577" s="10"/>
      <c r="AU3577" s="10"/>
      <c r="AV3577" s="10"/>
      <c r="AW3577" s="10"/>
      <c r="AX3577" s="10"/>
      <c r="AY3577" s="10"/>
      <c r="AZ3577" s="10"/>
      <c r="BA3577" s="10"/>
      <c r="BB3577" s="10"/>
      <c r="BC3577" s="10"/>
      <c r="BD3577" s="10"/>
      <c r="BE3577" s="10"/>
      <c r="BF3577" s="10"/>
      <c r="BG3577" s="10"/>
      <c r="BH3577" s="10"/>
      <c r="BI3577" s="10"/>
      <c r="BJ3577" s="10"/>
      <c r="BK3577" s="10"/>
      <c r="BM3577" s="10"/>
    </row>
    <row r="3578" spans="1:65" ht="12.75">
      <c r="A3578" s="9"/>
      <c r="B3578" s="10"/>
      <c r="C3578" s="11"/>
      <c r="D3578" s="12"/>
      <c r="E3578" s="10"/>
      <c r="F3578" s="10"/>
      <c r="G3578" s="10"/>
      <c r="H3578" s="14"/>
      <c r="I3578" s="14"/>
      <c r="J3578" s="14"/>
      <c r="K3578" s="14"/>
      <c r="L3578" s="14"/>
      <c r="M3578" s="15"/>
      <c r="N3578" s="10"/>
      <c r="O3578" s="14"/>
      <c r="P3578" s="14"/>
      <c r="Q3578" s="14"/>
      <c r="R3578" s="14"/>
      <c r="S3578" s="14"/>
      <c r="T3578" s="14"/>
      <c r="U3578" s="14"/>
      <c r="V3578" s="14"/>
      <c r="W3578" s="14"/>
      <c r="X3578" s="14"/>
      <c r="Y3578" s="14"/>
      <c r="Z3578" s="14"/>
      <c r="AA3578" s="16"/>
      <c r="AB3578" s="10"/>
      <c r="AC3578" s="10"/>
      <c r="AD3578" s="10"/>
      <c r="AE3578" s="10"/>
      <c r="AF3578" s="10"/>
      <c r="AG3578" s="10"/>
      <c r="AH3578" s="10"/>
      <c r="AI3578" s="10"/>
      <c r="AJ3578" s="10"/>
      <c r="AK3578" s="10"/>
      <c r="AL3578" s="10"/>
      <c r="AM3578" s="10"/>
      <c r="AN3578" s="10"/>
      <c r="AO3578" s="10"/>
      <c r="AP3578" s="10"/>
      <c r="AQ3578" s="10"/>
      <c r="AR3578" s="10"/>
      <c r="AS3578" s="10"/>
      <c r="AT3578" s="10"/>
      <c r="AU3578" s="10"/>
      <c r="AV3578" s="10"/>
      <c r="AW3578" s="10"/>
      <c r="AX3578" s="10"/>
      <c r="AY3578" s="10"/>
      <c r="AZ3578" s="10"/>
      <c r="BA3578" s="10"/>
      <c r="BB3578" s="10"/>
      <c r="BC3578" s="10"/>
      <c r="BD3578" s="10"/>
      <c r="BE3578" s="10"/>
      <c r="BF3578" s="10"/>
      <c r="BG3578" s="10"/>
      <c r="BH3578" s="10"/>
      <c r="BI3578" s="10"/>
      <c r="BJ3578" s="10"/>
      <c r="BK3578" s="10"/>
      <c r="BM3578" s="10"/>
    </row>
    <row r="3579" spans="1:65" ht="12.75">
      <c r="A3579" s="9"/>
      <c r="B3579" s="10"/>
      <c r="C3579" s="11"/>
      <c r="D3579" s="12"/>
      <c r="E3579" s="10"/>
      <c r="F3579" s="10"/>
      <c r="G3579" s="10"/>
      <c r="H3579" s="14"/>
      <c r="I3579" s="14"/>
      <c r="J3579" s="14"/>
      <c r="K3579" s="14"/>
      <c r="L3579" s="14"/>
      <c r="M3579" s="15"/>
      <c r="N3579" s="10"/>
      <c r="O3579" s="14"/>
      <c r="P3579" s="14"/>
      <c r="Q3579" s="14"/>
      <c r="R3579" s="14"/>
      <c r="S3579" s="14"/>
      <c r="T3579" s="14"/>
      <c r="U3579" s="14"/>
      <c r="V3579" s="14"/>
      <c r="W3579" s="14"/>
      <c r="X3579" s="14"/>
      <c r="Y3579" s="14"/>
      <c r="Z3579" s="14"/>
      <c r="AA3579" s="16"/>
      <c r="AB3579" s="10"/>
      <c r="AC3579" s="10"/>
      <c r="AD3579" s="10"/>
      <c r="AE3579" s="10"/>
      <c r="AF3579" s="10"/>
      <c r="AG3579" s="10"/>
      <c r="AH3579" s="10"/>
      <c r="AI3579" s="10"/>
      <c r="AJ3579" s="10"/>
      <c r="AK3579" s="10"/>
      <c r="AL3579" s="10"/>
      <c r="AM3579" s="10"/>
      <c r="AN3579" s="10"/>
      <c r="AO3579" s="10"/>
      <c r="AP3579" s="10"/>
      <c r="AQ3579" s="10"/>
      <c r="AR3579" s="10"/>
      <c r="AS3579" s="10"/>
      <c r="AT3579" s="10"/>
      <c r="AU3579" s="10"/>
      <c r="AV3579" s="10"/>
      <c r="AW3579" s="10"/>
      <c r="AX3579" s="10"/>
      <c r="AY3579" s="10"/>
      <c r="AZ3579" s="10"/>
      <c r="BA3579" s="10"/>
      <c r="BB3579" s="10"/>
      <c r="BC3579" s="10"/>
      <c r="BD3579" s="10"/>
      <c r="BE3579" s="10"/>
      <c r="BF3579" s="10"/>
      <c r="BG3579" s="10"/>
      <c r="BH3579" s="10"/>
      <c r="BI3579" s="10"/>
      <c r="BJ3579" s="10"/>
      <c r="BK3579" s="10"/>
      <c r="BM3579" s="10"/>
    </row>
    <row r="3580" spans="1:65" ht="12.75">
      <c r="A3580" s="9"/>
      <c r="B3580" s="10"/>
      <c r="C3580" s="11"/>
      <c r="D3580" s="12"/>
      <c r="E3580" s="10"/>
      <c r="F3580" s="10"/>
      <c r="G3580" s="10"/>
      <c r="H3580" s="14"/>
      <c r="I3580" s="14"/>
      <c r="J3580" s="14"/>
      <c r="K3580" s="14"/>
      <c r="L3580" s="14"/>
      <c r="M3580" s="15"/>
      <c r="N3580" s="10"/>
      <c r="O3580" s="14"/>
      <c r="P3580" s="14"/>
      <c r="Q3580" s="14"/>
      <c r="R3580" s="14"/>
      <c r="S3580" s="14"/>
      <c r="T3580" s="14"/>
      <c r="U3580" s="14"/>
      <c r="V3580" s="14"/>
      <c r="W3580" s="14"/>
      <c r="X3580" s="14"/>
      <c r="Y3580" s="14"/>
      <c r="Z3580" s="14"/>
      <c r="AA3580" s="16"/>
      <c r="AB3580" s="10"/>
      <c r="AC3580" s="10"/>
      <c r="AD3580" s="10"/>
      <c r="AE3580" s="10"/>
      <c r="AF3580" s="10"/>
      <c r="AG3580" s="10"/>
      <c r="AH3580" s="10"/>
      <c r="AI3580" s="10"/>
      <c r="AJ3580" s="10"/>
      <c r="AK3580" s="10"/>
      <c r="AL3580" s="10"/>
      <c r="AM3580" s="10"/>
      <c r="AN3580" s="10"/>
      <c r="AO3580" s="10"/>
      <c r="AP3580" s="10"/>
      <c r="AQ3580" s="10"/>
      <c r="AR3580" s="10"/>
      <c r="AS3580" s="10"/>
      <c r="AT3580" s="10"/>
      <c r="AU3580" s="10"/>
      <c r="AV3580" s="10"/>
      <c r="AW3580" s="10"/>
      <c r="AX3580" s="10"/>
      <c r="AY3580" s="10"/>
      <c r="AZ3580" s="10"/>
      <c r="BA3580" s="10"/>
      <c r="BB3580" s="10"/>
      <c r="BC3580" s="10"/>
      <c r="BD3580" s="10"/>
      <c r="BE3580" s="10"/>
      <c r="BF3580" s="10"/>
      <c r="BG3580" s="10"/>
      <c r="BH3580" s="10"/>
      <c r="BI3580" s="10"/>
      <c r="BJ3580" s="10"/>
      <c r="BK3580" s="10"/>
      <c r="BM3580" s="10"/>
    </row>
    <row r="3581" spans="1:65" ht="12.75">
      <c r="A3581" s="9"/>
      <c r="B3581" s="10"/>
      <c r="C3581" s="11"/>
      <c r="D3581" s="12"/>
      <c r="E3581" s="10"/>
      <c r="F3581" s="10"/>
      <c r="G3581" s="10"/>
      <c r="H3581" s="14"/>
      <c r="I3581" s="14"/>
      <c r="J3581" s="14"/>
      <c r="K3581" s="14"/>
      <c r="L3581" s="14"/>
      <c r="M3581" s="15"/>
      <c r="N3581" s="10"/>
      <c r="O3581" s="14"/>
      <c r="P3581" s="14"/>
      <c r="Q3581" s="14"/>
      <c r="R3581" s="14"/>
      <c r="S3581" s="14"/>
      <c r="T3581" s="14"/>
      <c r="U3581" s="14"/>
      <c r="V3581" s="14"/>
      <c r="W3581" s="14"/>
      <c r="X3581" s="14"/>
      <c r="Y3581" s="14"/>
      <c r="Z3581" s="14"/>
      <c r="AA3581" s="16"/>
      <c r="AB3581" s="10"/>
      <c r="AC3581" s="10"/>
      <c r="AD3581" s="10"/>
      <c r="AE3581" s="10"/>
      <c r="AF3581" s="10"/>
      <c r="AG3581" s="10"/>
      <c r="AH3581" s="10"/>
      <c r="AI3581" s="10"/>
      <c r="AJ3581" s="10"/>
      <c r="AK3581" s="10"/>
      <c r="AL3581" s="10"/>
      <c r="AM3581" s="10"/>
      <c r="AN3581" s="10"/>
      <c r="AO3581" s="10"/>
      <c r="AP3581" s="10"/>
      <c r="AQ3581" s="10"/>
      <c r="AR3581" s="10"/>
      <c r="AS3581" s="10"/>
      <c r="AT3581" s="10"/>
      <c r="AU3581" s="10"/>
      <c r="AV3581" s="10"/>
      <c r="AW3581" s="10"/>
      <c r="AX3581" s="10"/>
      <c r="AY3581" s="10"/>
      <c r="AZ3581" s="10"/>
      <c r="BA3581" s="10"/>
      <c r="BB3581" s="10"/>
      <c r="BC3581" s="10"/>
      <c r="BD3581" s="10"/>
      <c r="BE3581" s="10"/>
      <c r="BF3581" s="10"/>
      <c r="BG3581" s="10"/>
      <c r="BH3581" s="10"/>
      <c r="BI3581" s="10"/>
      <c r="BJ3581" s="10"/>
      <c r="BK3581" s="10"/>
      <c r="BM3581" s="10"/>
    </row>
    <row r="3582" spans="1:65" ht="12.75">
      <c r="A3582" s="9"/>
      <c r="B3582" s="10"/>
      <c r="C3582" s="11"/>
      <c r="D3582" s="12"/>
      <c r="E3582" s="10"/>
      <c r="F3582" s="10"/>
      <c r="G3582" s="10"/>
      <c r="H3582" s="14"/>
      <c r="I3582" s="14"/>
      <c r="J3582" s="14"/>
      <c r="K3582" s="14"/>
      <c r="L3582" s="14"/>
      <c r="M3582" s="15"/>
      <c r="N3582" s="10"/>
      <c r="O3582" s="14"/>
      <c r="P3582" s="14"/>
      <c r="Q3582" s="14"/>
      <c r="R3582" s="14"/>
      <c r="S3582" s="14"/>
      <c r="T3582" s="14"/>
      <c r="U3582" s="14"/>
      <c r="V3582" s="14"/>
      <c r="W3582" s="14"/>
      <c r="X3582" s="14"/>
      <c r="Y3582" s="14"/>
      <c r="Z3582" s="14"/>
      <c r="AA3582" s="16"/>
      <c r="AB3582" s="10"/>
      <c r="AC3582" s="10"/>
      <c r="AD3582" s="10"/>
      <c r="AE3582" s="10"/>
      <c r="AF3582" s="10"/>
      <c r="AG3582" s="10"/>
      <c r="AH3582" s="10"/>
      <c r="AI3582" s="10"/>
      <c r="AJ3582" s="10"/>
      <c r="AK3582" s="10"/>
      <c r="AL3582" s="10"/>
      <c r="AM3582" s="10"/>
      <c r="AN3582" s="10"/>
      <c r="AO3582" s="10"/>
      <c r="AP3582" s="10"/>
      <c r="AQ3582" s="10"/>
      <c r="AR3582" s="10"/>
      <c r="AS3582" s="10"/>
      <c r="AT3582" s="10"/>
      <c r="AU3582" s="10"/>
      <c r="AV3582" s="10"/>
      <c r="AW3582" s="10"/>
      <c r="AX3582" s="10"/>
      <c r="AY3582" s="10"/>
      <c r="AZ3582" s="10"/>
      <c r="BA3582" s="10"/>
      <c r="BB3582" s="10"/>
      <c r="BC3582" s="10"/>
      <c r="BD3582" s="10"/>
      <c r="BE3582" s="10"/>
      <c r="BF3582" s="10"/>
      <c r="BG3582" s="10"/>
      <c r="BH3582" s="10"/>
      <c r="BI3582" s="10"/>
      <c r="BJ3582" s="10"/>
      <c r="BK3582" s="10"/>
      <c r="BM3582" s="10"/>
    </row>
    <row r="3583" spans="1:65" ht="12.75">
      <c r="A3583" s="9"/>
      <c r="B3583" s="10"/>
      <c r="C3583" s="11"/>
      <c r="D3583" s="12"/>
      <c r="E3583" s="10"/>
      <c r="F3583" s="10"/>
      <c r="G3583" s="10"/>
      <c r="H3583" s="14"/>
      <c r="I3583" s="14"/>
      <c r="J3583" s="14"/>
      <c r="K3583" s="14"/>
      <c r="L3583" s="14"/>
      <c r="M3583" s="15"/>
      <c r="N3583" s="10"/>
      <c r="O3583" s="14"/>
      <c r="P3583" s="14"/>
      <c r="Q3583" s="14"/>
      <c r="R3583" s="14"/>
      <c r="S3583" s="14"/>
      <c r="T3583" s="14"/>
      <c r="U3583" s="14"/>
      <c r="V3583" s="14"/>
      <c r="W3583" s="14"/>
      <c r="X3583" s="14"/>
      <c r="Y3583" s="14"/>
      <c r="Z3583" s="14"/>
      <c r="AA3583" s="16"/>
      <c r="AB3583" s="10"/>
      <c r="AC3583" s="10"/>
      <c r="AD3583" s="10"/>
      <c r="AE3583" s="10"/>
      <c r="AF3583" s="10"/>
      <c r="AG3583" s="10"/>
      <c r="AH3583" s="10"/>
      <c r="AI3583" s="10"/>
      <c r="AJ3583" s="10"/>
      <c r="AK3583" s="10"/>
      <c r="AL3583" s="10"/>
      <c r="AM3583" s="10"/>
      <c r="AN3583" s="10"/>
      <c r="AO3583" s="10"/>
      <c r="AP3583" s="10"/>
      <c r="AQ3583" s="10"/>
      <c r="AR3583" s="10"/>
      <c r="AS3583" s="10"/>
      <c r="AT3583" s="10"/>
      <c r="AU3583" s="10"/>
      <c r="AV3583" s="10"/>
      <c r="AW3583" s="10"/>
      <c r="AX3583" s="10"/>
      <c r="AY3583" s="10"/>
      <c r="AZ3583" s="10"/>
      <c r="BA3583" s="10"/>
      <c r="BB3583" s="10"/>
      <c r="BC3583" s="10"/>
      <c r="BD3583" s="10"/>
      <c r="BE3583" s="10"/>
      <c r="BF3583" s="10"/>
      <c r="BG3583" s="10"/>
      <c r="BH3583" s="10"/>
      <c r="BI3583" s="10"/>
      <c r="BJ3583" s="10"/>
      <c r="BK3583" s="10"/>
      <c r="BM3583" s="10"/>
    </row>
    <row r="3584" spans="1:65" ht="12.75">
      <c r="A3584" s="9"/>
      <c r="B3584" s="10"/>
      <c r="C3584" s="11"/>
      <c r="D3584" s="12"/>
      <c r="E3584" s="10"/>
      <c r="F3584" s="10"/>
      <c r="G3584" s="10"/>
      <c r="H3584" s="14"/>
      <c r="I3584" s="14"/>
      <c r="J3584" s="14"/>
      <c r="K3584" s="14"/>
      <c r="L3584" s="14"/>
      <c r="M3584" s="15"/>
      <c r="N3584" s="10"/>
      <c r="O3584" s="14"/>
      <c r="P3584" s="14"/>
      <c r="Q3584" s="14"/>
      <c r="R3584" s="14"/>
      <c r="S3584" s="14"/>
      <c r="T3584" s="14"/>
      <c r="U3584" s="14"/>
      <c r="V3584" s="14"/>
      <c r="W3584" s="14"/>
      <c r="X3584" s="14"/>
      <c r="Y3584" s="14"/>
      <c r="Z3584" s="14"/>
      <c r="AA3584" s="16"/>
      <c r="AB3584" s="10"/>
      <c r="AC3584" s="10"/>
      <c r="AD3584" s="10"/>
      <c r="AE3584" s="10"/>
      <c r="AF3584" s="10"/>
      <c r="AG3584" s="10"/>
      <c r="AH3584" s="10"/>
      <c r="AI3584" s="10"/>
      <c r="AJ3584" s="10"/>
      <c r="AK3584" s="10"/>
      <c r="AL3584" s="10"/>
      <c r="AM3584" s="10"/>
      <c r="AN3584" s="10"/>
      <c r="AO3584" s="10"/>
      <c r="AP3584" s="10"/>
      <c r="AQ3584" s="10"/>
      <c r="AR3584" s="10"/>
      <c r="AS3584" s="10"/>
      <c r="AT3584" s="10"/>
      <c r="AU3584" s="10"/>
      <c r="AV3584" s="10"/>
      <c r="AW3584" s="10"/>
      <c r="AX3584" s="10"/>
      <c r="AY3584" s="10"/>
      <c r="AZ3584" s="10"/>
      <c r="BA3584" s="10"/>
      <c r="BB3584" s="10"/>
      <c r="BC3584" s="10"/>
      <c r="BD3584" s="10"/>
      <c r="BE3584" s="10"/>
      <c r="BF3584" s="10"/>
      <c r="BG3584" s="10"/>
      <c r="BH3584" s="10"/>
      <c r="BI3584" s="10"/>
      <c r="BJ3584" s="10"/>
      <c r="BK3584" s="10"/>
      <c r="BM3584" s="10"/>
    </row>
    <row r="3585" spans="1:65" ht="12.75">
      <c r="A3585" s="9"/>
      <c r="B3585" s="10"/>
      <c r="C3585" s="11"/>
      <c r="D3585" s="12"/>
      <c r="E3585" s="10"/>
      <c r="F3585" s="10"/>
      <c r="G3585" s="10"/>
      <c r="H3585" s="14"/>
      <c r="I3585" s="14"/>
      <c r="J3585" s="14"/>
      <c r="K3585" s="14"/>
      <c r="L3585" s="14"/>
      <c r="M3585" s="15"/>
      <c r="N3585" s="10"/>
      <c r="O3585" s="14"/>
      <c r="P3585" s="14"/>
      <c r="Q3585" s="14"/>
      <c r="R3585" s="14"/>
      <c r="S3585" s="14"/>
      <c r="T3585" s="14"/>
      <c r="U3585" s="14"/>
      <c r="V3585" s="14"/>
      <c r="W3585" s="14"/>
      <c r="X3585" s="14"/>
      <c r="Y3585" s="14"/>
      <c r="Z3585" s="14"/>
      <c r="AA3585" s="16"/>
      <c r="AB3585" s="10"/>
      <c r="AC3585" s="10"/>
      <c r="AD3585" s="10"/>
      <c r="AE3585" s="10"/>
      <c r="AF3585" s="10"/>
      <c r="AG3585" s="10"/>
      <c r="AH3585" s="10"/>
      <c r="AI3585" s="10"/>
      <c r="AJ3585" s="10"/>
      <c r="AK3585" s="10"/>
      <c r="AL3585" s="10"/>
      <c r="AM3585" s="10"/>
      <c r="AN3585" s="10"/>
      <c r="AO3585" s="10"/>
      <c r="AP3585" s="10"/>
      <c r="AQ3585" s="10"/>
      <c r="AR3585" s="10"/>
      <c r="AS3585" s="10"/>
      <c r="AT3585" s="10"/>
      <c r="AU3585" s="10"/>
      <c r="AV3585" s="10"/>
      <c r="AW3585" s="10"/>
      <c r="AX3585" s="10"/>
      <c r="AY3585" s="10"/>
      <c r="AZ3585" s="10"/>
      <c r="BA3585" s="10"/>
      <c r="BB3585" s="10"/>
      <c r="BC3585" s="10"/>
      <c r="BD3585" s="10"/>
      <c r="BE3585" s="10"/>
      <c r="BF3585" s="10"/>
      <c r="BG3585" s="10"/>
      <c r="BH3585" s="10"/>
      <c r="BI3585" s="10"/>
      <c r="BJ3585" s="10"/>
      <c r="BK3585" s="10"/>
      <c r="BM3585" s="10"/>
    </row>
    <row r="3586" spans="1:65" ht="12.75">
      <c r="A3586" s="9"/>
      <c r="B3586" s="10"/>
      <c r="C3586" s="11"/>
      <c r="D3586" s="12"/>
      <c r="E3586" s="10"/>
      <c r="F3586" s="10"/>
      <c r="G3586" s="10"/>
      <c r="H3586" s="14"/>
      <c r="I3586" s="14"/>
      <c r="J3586" s="14"/>
      <c r="K3586" s="14"/>
      <c r="L3586" s="14"/>
      <c r="M3586" s="15"/>
      <c r="N3586" s="10"/>
      <c r="O3586" s="14"/>
      <c r="P3586" s="14"/>
      <c r="Q3586" s="14"/>
      <c r="R3586" s="14"/>
      <c r="S3586" s="14"/>
      <c r="T3586" s="14"/>
      <c r="U3586" s="14"/>
      <c r="V3586" s="14"/>
      <c r="W3586" s="14"/>
      <c r="X3586" s="14"/>
      <c r="Y3586" s="14"/>
      <c r="Z3586" s="14"/>
      <c r="AA3586" s="16"/>
      <c r="AB3586" s="10"/>
      <c r="AC3586" s="10"/>
      <c r="AD3586" s="10"/>
      <c r="AE3586" s="10"/>
      <c r="AF3586" s="10"/>
      <c r="AG3586" s="10"/>
      <c r="AH3586" s="10"/>
      <c r="AI3586" s="10"/>
      <c r="AJ3586" s="10"/>
      <c r="AK3586" s="10"/>
      <c r="AL3586" s="10"/>
      <c r="AM3586" s="10"/>
      <c r="AN3586" s="10"/>
      <c r="AO3586" s="10"/>
      <c r="AP3586" s="10"/>
      <c r="AQ3586" s="10"/>
      <c r="AR3586" s="10"/>
      <c r="AS3586" s="10"/>
      <c r="AT3586" s="10"/>
      <c r="AU3586" s="10"/>
      <c r="AV3586" s="10"/>
      <c r="AW3586" s="10"/>
      <c r="AX3586" s="10"/>
      <c r="AY3586" s="10"/>
      <c r="AZ3586" s="10"/>
      <c r="BA3586" s="10"/>
      <c r="BB3586" s="10"/>
      <c r="BC3586" s="10"/>
      <c r="BD3586" s="10"/>
      <c r="BE3586" s="10"/>
      <c r="BF3586" s="10"/>
      <c r="BG3586" s="10"/>
      <c r="BH3586" s="10"/>
      <c r="BI3586" s="10"/>
      <c r="BJ3586" s="10"/>
      <c r="BK3586" s="10"/>
      <c r="BM3586" s="10"/>
    </row>
    <row r="3587" spans="1:65" ht="12.75">
      <c r="A3587" s="9"/>
      <c r="B3587" s="10"/>
      <c r="C3587" s="11"/>
      <c r="D3587" s="12"/>
      <c r="E3587" s="10"/>
      <c r="F3587" s="10"/>
      <c r="G3587" s="10"/>
      <c r="H3587" s="14"/>
      <c r="I3587" s="14"/>
      <c r="J3587" s="14"/>
      <c r="K3587" s="14"/>
      <c r="L3587" s="14"/>
      <c r="M3587" s="15"/>
      <c r="N3587" s="10"/>
      <c r="O3587" s="14"/>
      <c r="P3587" s="14"/>
      <c r="Q3587" s="14"/>
      <c r="R3587" s="14"/>
      <c r="S3587" s="14"/>
      <c r="T3587" s="14"/>
      <c r="U3587" s="14"/>
      <c r="V3587" s="14"/>
      <c r="W3587" s="14"/>
      <c r="X3587" s="14"/>
      <c r="Y3587" s="14"/>
      <c r="Z3587" s="14"/>
      <c r="AA3587" s="16"/>
      <c r="AB3587" s="10"/>
      <c r="AC3587" s="10"/>
      <c r="AD3587" s="10"/>
      <c r="AE3587" s="10"/>
      <c r="AF3587" s="10"/>
      <c r="AG3587" s="10"/>
      <c r="AH3587" s="10"/>
      <c r="AI3587" s="10"/>
      <c r="AJ3587" s="10"/>
      <c r="AK3587" s="10"/>
      <c r="AL3587" s="10"/>
      <c r="AM3587" s="10"/>
      <c r="AN3587" s="10"/>
      <c r="AO3587" s="10"/>
      <c r="AP3587" s="10"/>
      <c r="AQ3587" s="10"/>
      <c r="AR3587" s="10"/>
      <c r="AS3587" s="10"/>
      <c r="AT3587" s="10"/>
      <c r="AU3587" s="10"/>
      <c r="AV3587" s="10"/>
      <c r="AW3587" s="10"/>
      <c r="AX3587" s="10"/>
      <c r="AY3587" s="10"/>
      <c r="AZ3587" s="10"/>
      <c r="BA3587" s="10"/>
      <c r="BB3587" s="10"/>
      <c r="BC3587" s="10"/>
      <c r="BD3587" s="10"/>
      <c r="BE3587" s="10"/>
      <c r="BF3587" s="10"/>
      <c r="BG3587" s="10"/>
      <c r="BH3587" s="10"/>
      <c r="BI3587" s="10"/>
      <c r="BJ3587" s="10"/>
      <c r="BK3587" s="10"/>
      <c r="BM3587" s="10"/>
    </row>
    <row r="3588" spans="1:65" ht="12.75">
      <c r="A3588" s="9"/>
      <c r="B3588" s="10"/>
      <c r="C3588" s="11"/>
      <c r="D3588" s="12"/>
      <c r="E3588" s="10"/>
      <c r="F3588" s="10"/>
      <c r="G3588" s="10"/>
      <c r="H3588" s="14"/>
      <c r="I3588" s="14"/>
      <c r="J3588" s="14"/>
      <c r="K3588" s="14"/>
      <c r="L3588" s="14"/>
      <c r="M3588" s="15"/>
      <c r="N3588" s="10"/>
      <c r="O3588" s="14"/>
      <c r="P3588" s="14"/>
      <c r="Q3588" s="14"/>
      <c r="R3588" s="14"/>
      <c r="S3588" s="14"/>
      <c r="T3588" s="14"/>
      <c r="U3588" s="14"/>
      <c r="V3588" s="14"/>
      <c r="W3588" s="14"/>
      <c r="X3588" s="14"/>
      <c r="Y3588" s="14"/>
      <c r="Z3588" s="14"/>
      <c r="AA3588" s="16"/>
      <c r="AB3588" s="10"/>
      <c r="AC3588" s="10"/>
      <c r="AD3588" s="10"/>
      <c r="AE3588" s="10"/>
      <c r="AF3588" s="10"/>
      <c r="AG3588" s="10"/>
      <c r="AH3588" s="10"/>
      <c r="AI3588" s="10"/>
      <c r="AJ3588" s="10"/>
      <c r="AK3588" s="10"/>
      <c r="AL3588" s="10"/>
      <c r="AM3588" s="10"/>
      <c r="AN3588" s="10"/>
      <c r="AO3588" s="10"/>
      <c r="AP3588" s="10"/>
      <c r="AQ3588" s="10"/>
      <c r="AR3588" s="10"/>
      <c r="AS3588" s="10"/>
      <c r="AT3588" s="10"/>
      <c r="AU3588" s="10"/>
      <c r="AV3588" s="10"/>
      <c r="AW3588" s="10"/>
      <c r="AX3588" s="10"/>
      <c r="AY3588" s="10"/>
      <c r="AZ3588" s="10"/>
      <c r="BA3588" s="10"/>
      <c r="BB3588" s="10"/>
      <c r="BC3588" s="10"/>
      <c r="BD3588" s="10"/>
      <c r="BE3588" s="10"/>
      <c r="BF3588" s="10"/>
      <c r="BG3588" s="10"/>
      <c r="BH3588" s="10"/>
      <c r="BI3588" s="10"/>
      <c r="BJ3588" s="10"/>
      <c r="BK3588" s="10"/>
      <c r="BM3588" s="10"/>
    </row>
    <row r="3589" spans="1:65" ht="12.75">
      <c r="A3589" s="9"/>
      <c r="B3589" s="10"/>
      <c r="C3589" s="11"/>
      <c r="D3589" s="12"/>
      <c r="E3589" s="10"/>
      <c r="F3589" s="10"/>
      <c r="G3589" s="10"/>
      <c r="H3589" s="14"/>
      <c r="I3589" s="14"/>
      <c r="J3589" s="14"/>
      <c r="K3589" s="14"/>
      <c r="L3589" s="14"/>
      <c r="M3589" s="15"/>
      <c r="N3589" s="10"/>
      <c r="O3589" s="14"/>
      <c r="P3589" s="14"/>
      <c r="Q3589" s="14"/>
      <c r="R3589" s="14"/>
      <c r="S3589" s="14"/>
      <c r="T3589" s="14"/>
      <c r="U3589" s="14"/>
      <c r="V3589" s="14"/>
      <c r="W3589" s="14"/>
      <c r="X3589" s="14"/>
      <c r="Y3589" s="14"/>
      <c r="Z3589" s="14"/>
      <c r="AA3589" s="16"/>
      <c r="AB3589" s="10"/>
      <c r="AC3589" s="10"/>
      <c r="AD3589" s="10"/>
      <c r="AE3589" s="10"/>
      <c r="AF3589" s="10"/>
      <c r="AG3589" s="10"/>
      <c r="AH3589" s="10"/>
      <c r="AI3589" s="10"/>
      <c r="AJ3589" s="10"/>
      <c r="AK3589" s="10"/>
      <c r="AL3589" s="10"/>
      <c r="AM3589" s="10"/>
      <c r="AN3589" s="10"/>
      <c r="AO3589" s="10"/>
      <c r="AP3589" s="10"/>
      <c r="AQ3589" s="10"/>
      <c r="AR3589" s="10"/>
      <c r="AS3589" s="10"/>
      <c r="AT3589" s="10"/>
      <c r="AU3589" s="10"/>
      <c r="AV3589" s="10"/>
      <c r="AW3589" s="10"/>
      <c r="AX3589" s="10"/>
      <c r="AY3589" s="10"/>
      <c r="AZ3589" s="10"/>
      <c r="BA3589" s="10"/>
      <c r="BB3589" s="10"/>
      <c r="BC3589" s="10"/>
      <c r="BD3589" s="10"/>
      <c r="BE3589" s="10"/>
      <c r="BF3589" s="10"/>
      <c r="BG3589" s="10"/>
      <c r="BH3589" s="10"/>
      <c r="BI3589" s="10"/>
      <c r="BJ3589" s="10"/>
      <c r="BK3589" s="10"/>
      <c r="BM3589" s="10"/>
    </row>
    <row r="3590" spans="1:65" ht="12.75">
      <c r="A3590" s="9"/>
      <c r="B3590" s="10"/>
      <c r="C3590" s="11"/>
      <c r="D3590" s="12"/>
      <c r="E3590" s="10"/>
      <c r="F3590" s="10"/>
      <c r="G3590" s="10"/>
      <c r="H3590" s="14"/>
      <c r="I3590" s="14"/>
      <c r="J3590" s="14"/>
      <c r="K3590" s="14"/>
      <c r="L3590" s="14"/>
      <c r="M3590" s="15"/>
      <c r="N3590" s="10"/>
      <c r="O3590" s="14"/>
      <c r="P3590" s="14"/>
      <c r="Q3590" s="14"/>
      <c r="R3590" s="14"/>
      <c r="S3590" s="14"/>
      <c r="T3590" s="14"/>
      <c r="U3590" s="14"/>
      <c r="V3590" s="14"/>
      <c r="W3590" s="14"/>
      <c r="X3590" s="14"/>
      <c r="Y3590" s="14"/>
      <c r="Z3590" s="14"/>
      <c r="AA3590" s="16"/>
      <c r="AB3590" s="10"/>
      <c r="AC3590" s="10"/>
      <c r="AD3590" s="10"/>
      <c r="AE3590" s="10"/>
      <c r="AF3590" s="10"/>
      <c r="AG3590" s="10"/>
      <c r="AH3590" s="10"/>
      <c r="AI3590" s="10"/>
      <c r="AJ3590" s="10"/>
      <c r="AK3590" s="10"/>
      <c r="AL3590" s="10"/>
      <c r="AM3590" s="10"/>
      <c r="AN3590" s="10"/>
      <c r="AO3590" s="10"/>
      <c r="AP3590" s="10"/>
      <c r="AQ3590" s="10"/>
      <c r="AR3590" s="10"/>
      <c r="AS3590" s="10"/>
      <c r="AT3590" s="10"/>
      <c r="AU3590" s="10"/>
      <c r="AV3590" s="10"/>
      <c r="AW3590" s="10"/>
      <c r="AX3590" s="10"/>
      <c r="AY3590" s="10"/>
      <c r="AZ3590" s="10"/>
      <c r="BA3590" s="10"/>
      <c r="BB3590" s="10"/>
      <c r="BC3590" s="10"/>
      <c r="BD3590" s="10"/>
      <c r="BE3590" s="10"/>
      <c r="BF3590" s="10"/>
      <c r="BG3590" s="10"/>
      <c r="BH3590" s="10"/>
      <c r="BI3590" s="10"/>
      <c r="BJ3590" s="10"/>
      <c r="BK3590" s="10"/>
      <c r="BM3590" s="10"/>
    </row>
    <row r="3591" spans="1:65" ht="12.75">
      <c r="A3591" s="9"/>
      <c r="B3591" s="10"/>
      <c r="C3591" s="11"/>
      <c r="D3591" s="12"/>
      <c r="E3591" s="10"/>
      <c r="F3591" s="10"/>
      <c r="G3591" s="10"/>
      <c r="H3591" s="14"/>
      <c r="I3591" s="14"/>
      <c r="J3591" s="14"/>
      <c r="K3591" s="14"/>
      <c r="L3591" s="14"/>
      <c r="M3591" s="15"/>
      <c r="N3591" s="10"/>
      <c r="O3591" s="14"/>
      <c r="P3591" s="14"/>
      <c r="Q3591" s="14"/>
      <c r="R3591" s="14"/>
      <c r="S3591" s="14"/>
      <c r="T3591" s="14"/>
      <c r="U3591" s="14"/>
      <c r="V3591" s="14"/>
      <c r="W3591" s="14"/>
      <c r="X3591" s="14"/>
      <c r="Y3591" s="14"/>
      <c r="Z3591" s="14"/>
      <c r="AA3591" s="16"/>
      <c r="AB3591" s="10"/>
      <c r="AC3591" s="10"/>
      <c r="AD3591" s="10"/>
      <c r="AE3591" s="10"/>
      <c r="AF3591" s="10"/>
      <c r="AG3591" s="10"/>
      <c r="AH3591" s="10"/>
      <c r="AI3591" s="10"/>
      <c r="AJ3591" s="10"/>
      <c r="AK3591" s="10"/>
      <c r="AL3591" s="10"/>
      <c r="AM3591" s="10"/>
      <c r="AN3591" s="10"/>
      <c r="AO3591" s="10"/>
      <c r="AP3591" s="10"/>
      <c r="AQ3591" s="10"/>
      <c r="AR3591" s="10"/>
      <c r="AS3591" s="10"/>
      <c r="AT3591" s="10"/>
      <c r="AU3591" s="10"/>
      <c r="AV3591" s="10"/>
      <c r="AW3591" s="10"/>
      <c r="AX3591" s="10"/>
      <c r="AY3591" s="10"/>
      <c r="AZ3591" s="10"/>
      <c r="BA3591" s="10"/>
      <c r="BB3591" s="10"/>
      <c r="BC3591" s="10"/>
      <c r="BD3591" s="10"/>
      <c r="BE3591" s="10"/>
      <c r="BF3591" s="10"/>
      <c r="BG3591" s="10"/>
      <c r="BH3591" s="10"/>
      <c r="BI3591" s="10"/>
      <c r="BJ3591" s="10"/>
      <c r="BK3591" s="10"/>
      <c r="BM3591" s="10"/>
    </row>
    <row r="3592" spans="1:65" ht="12.75">
      <c r="A3592" s="9"/>
      <c r="B3592" s="10"/>
      <c r="C3592" s="11"/>
      <c r="D3592" s="12"/>
      <c r="E3592" s="10"/>
      <c r="F3592" s="10"/>
      <c r="G3592" s="10"/>
      <c r="H3592" s="14"/>
      <c r="I3592" s="14"/>
      <c r="J3592" s="14"/>
      <c r="K3592" s="14"/>
      <c r="L3592" s="14"/>
      <c r="M3592" s="15"/>
      <c r="N3592" s="10"/>
      <c r="O3592" s="14"/>
      <c r="P3592" s="14"/>
      <c r="Q3592" s="14"/>
      <c r="R3592" s="14"/>
      <c r="S3592" s="14"/>
      <c r="T3592" s="14"/>
      <c r="U3592" s="14"/>
      <c r="V3592" s="14"/>
      <c r="W3592" s="14"/>
      <c r="X3592" s="14"/>
      <c r="Y3592" s="14"/>
      <c r="Z3592" s="14"/>
      <c r="AA3592" s="16"/>
      <c r="AB3592" s="10"/>
      <c r="AC3592" s="10"/>
      <c r="AD3592" s="10"/>
      <c r="AE3592" s="10"/>
      <c r="AF3592" s="10"/>
      <c r="AG3592" s="10"/>
      <c r="AH3592" s="10"/>
      <c r="AI3592" s="10"/>
      <c r="AJ3592" s="10"/>
      <c r="AK3592" s="10"/>
      <c r="AL3592" s="10"/>
      <c r="AM3592" s="10"/>
      <c r="AN3592" s="10"/>
      <c r="AO3592" s="10"/>
      <c r="AP3592" s="10"/>
      <c r="AQ3592" s="10"/>
      <c r="AR3592" s="10"/>
      <c r="AS3592" s="10"/>
      <c r="AT3592" s="10"/>
      <c r="AU3592" s="10"/>
      <c r="AV3592" s="10"/>
      <c r="AW3592" s="10"/>
      <c r="AX3592" s="10"/>
      <c r="AY3592" s="10"/>
      <c r="AZ3592" s="10"/>
      <c r="BA3592" s="10"/>
      <c r="BB3592" s="10"/>
      <c r="BC3592" s="10"/>
      <c r="BD3592" s="10"/>
      <c r="BE3592" s="10"/>
      <c r="BF3592" s="10"/>
      <c r="BG3592" s="10"/>
      <c r="BH3592" s="10"/>
      <c r="BI3592" s="10"/>
      <c r="BJ3592" s="10"/>
      <c r="BK3592" s="10"/>
      <c r="BM3592" s="10"/>
    </row>
    <row r="3593" spans="1:65" ht="12.75">
      <c r="A3593" s="9"/>
      <c r="B3593" s="10"/>
      <c r="C3593" s="11"/>
      <c r="D3593" s="12"/>
      <c r="E3593" s="10"/>
      <c r="F3593" s="10"/>
      <c r="G3593" s="10"/>
      <c r="H3593" s="14"/>
      <c r="I3593" s="14"/>
      <c r="J3593" s="14"/>
      <c r="K3593" s="14"/>
      <c r="L3593" s="14"/>
      <c r="M3593" s="15"/>
      <c r="N3593" s="10"/>
      <c r="O3593" s="14"/>
      <c r="P3593" s="14"/>
      <c r="Q3593" s="14"/>
      <c r="R3593" s="14"/>
      <c r="S3593" s="14"/>
      <c r="T3593" s="14"/>
      <c r="U3593" s="14"/>
      <c r="V3593" s="14"/>
      <c r="W3593" s="14"/>
      <c r="X3593" s="14"/>
      <c r="Y3593" s="14"/>
      <c r="Z3593" s="14"/>
      <c r="AA3593" s="16"/>
      <c r="AB3593" s="10"/>
      <c r="AC3593" s="10"/>
      <c r="AD3593" s="10"/>
      <c r="AE3593" s="10"/>
      <c r="AF3593" s="10"/>
      <c r="AG3593" s="10"/>
      <c r="AH3593" s="10"/>
      <c r="AI3593" s="10"/>
      <c r="AJ3593" s="10"/>
      <c r="AK3593" s="10"/>
      <c r="AL3593" s="10"/>
      <c r="AM3593" s="10"/>
      <c r="AN3593" s="10"/>
      <c r="AO3593" s="10"/>
      <c r="AP3593" s="10"/>
      <c r="AQ3593" s="10"/>
      <c r="AR3593" s="10"/>
      <c r="AS3593" s="10"/>
      <c r="AT3593" s="10"/>
      <c r="AU3593" s="10"/>
      <c r="AV3593" s="10"/>
      <c r="AW3593" s="10"/>
      <c r="AX3593" s="10"/>
      <c r="AY3593" s="10"/>
      <c r="AZ3593" s="10"/>
      <c r="BA3593" s="10"/>
      <c r="BB3593" s="10"/>
      <c r="BC3593" s="10"/>
      <c r="BD3593" s="10"/>
      <c r="BE3593" s="10"/>
      <c r="BF3593" s="10"/>
      <c r="BG3593" s="10"/>
      <c r="BH3593" s="10"/>
      <c r="BI3593" s="10"/>
      <c r="BJ3593" s="10"/>
      <c r="BK3593" s="10"/>
      <c r="BM3593" s="10"/>
    </row>
    <row r="3594" spans="1:65" ht="12.75">
      <c r="A3594" s="9"/>
      <c r="B3594" s="10"/>
      <c r="C3594" s="11"/>
      <c r="D3594" s="12"/>
      <c r="E3594" s="10"/>
      <c r="F3594" s="10"/>
      <c r="G3594" s="10"/>
      <c r="H3594" s="14"/>
      <c r="I3594" s="14"/>
      <c r="J3594" s="14"/>
      <c r="K3594" s="14"/>
      <c r="L3594" s="14"/>
      <c r="M3594" s="15"/>
      <c r="N3594" s="10"/>
      <c r="O3594" s="14"/>
      <c r="P3594" s="14"/>
      <c r="Q3594" s="14"/>
      <c r="R3594" s="14"/>
      <c r="S3594" s="14"/>
      <c r="T3594" s="14"/>
      <c r="U3594" s="14"/>
      <c r="V3594" s="14"/>
      <c r="W3594" s="14"/>
      <c r="X3594" s="14"/>
      <c r="Y3594" s="14"/>
      <c r="Z3594" s="14"/>
      <c r="AA3594" s="16"/>
      <c r="AB3594" s="10"/>
      <c r="AC3594" s="10"/>
      <c r="AD3594" s="10"/>
      <c r="AE3594" s="10"/>
      <c r="AF3594" s="10"/>
      <c r="AG3594" s="10"/>
      <c r="AH3594" s="10"/>
      <c r="AI3594" s="10"/>
      <c r="AJ3594" s="10"/>
      <c r="AK3594" s="10"/>
      <c r="AL3594" s="10"/>
      <c r="AM3594" s="10"/>
      <c r="AN3594" s="10"/>
      <c r="AO3594" s="10"/>
      <c r="AP3594" s="10"/>
      <c r="AQ3594" s="10"/>
      <c r="AR3594" s="10"/>
      <c r="AS3594" s="10"/>
      <c r="AT3594" s="10"/>
      <c r="AU3594" s="10"/>
      <c r="AV3594" s="10"/>
      <c r="AW3594" s="10"/>
      <c r="AX3594" s="10"/>
      <c r="AY3594" s="10"/>
      <c r="AZ3594" s="10"/>
      <c r="BA3594" s="10"/>
      <c r="BB3594" s="10"/>
      <c r="BC3594" s="10"/>
      <c r="BD3594" s="10"/>
      <c r="BE3594" s="10"/>
      <c r="BF3594" s="10"/>
      <c r="BG3594" s="10"/>
      <c r="BH3594" s="10"/>
      <c r="BI3594" s="10"/>
      <c r="BJ3594" s="10"/>
      <c r="BK3594" s="10"/>
      <c r="BM3594" s="10"/>
    </row>
    <row r="3595" spans="1:65" ht="12.75">
      <c r="A3595" s="9"/>
      <c r="B3595" s="10"/>
      <c r="C3595" s="11"/>
      <c r="D3595" s="12"/>
      <c r="E3595" s="10"/>
      <c r="F3595" s="10"/>
      <c r="G3595" s="10"/>
      <c r="H3595" s="14"/>
      <c r="I3595" s="14"/>
      <c r="J3595" s="14"/>
      <c r="K3595" s="14"/>
      <c r="L3595" s="14"/>
      <c r="M3595" s="15"/>
      <c r="N3595" s="10"/>
      <c r="O3595" s="14"/>
      <c r="P3595" s="14"/>
      <c r="Q3595" s="14"/>
      <c r="R3595" s="14"/>
      <c r="S3595" s="14"/>
      <c r="T3595" s="14"/>
      <c r="U3595" s="14"/>
      <c r="V3595" s="14"/>
      <c r="W3595" s="14"/>
      <c r="X3595" s="14"/>
      <c r="Y3595" s="14"/>
      <c r="Z3595" s="14"/>
      <c r="AA3595" s="16"/>
      <c r="AB3595" s="10"/>
      <c r="AC3595" s="10"/>
      <c r="AD3595" s="10"/>
      <c r="AE3595" s="10"/>
      <c r="AF3595" s="10"/>
      <c r="AG3595" s="10"/>
      <c r="AH3595" s="10"/>
      <c r="AI3595" s="10"/>
      <c r="AJ3595" s="10"/>
      <c r="AK3595" s="10"/>
      <c r="AL3595" s="10"/>
      <c r="AM3595" s="10"/>
      <c r="AN3595" s="10"/>
      <c r="AO3595" s="10"/>
      <c r="AP3595" s="10"/>
      <c r="AQ3595" s="10"/>
      <c r="AR3595" s="10"/>
      <c r="AS3595" s="10"/>
      <c r="AT3595" s="10"/>
      <c r="AU3595" s="10"/>
      <c r="AV3595" s="10"/>
      <c r="AW3595" s="10"/>
      <c r="AX3595" s="10"/>
      <c r="AY3595" s="10"/>
      <c r="AZ3595" s="10"/>
      <c r="BA3595" s="10"/>
      <c r="BB3595" s="10"/>
      <c r="BC3595" s="10"/>
      <c r="BD3595" s="10"/>
      <c r="BE3595" s="10"/>
      <c r="BF3595" s="10"/>
      <c r="BG3595" s="10"/>
      <c r="BH3595" s="10"/>
      <c r="BI3595" s="10"/>
      <c r="BJ3595" s="10"/>
      <c r="BK3595" s="10"/>
      <c r="BM3595" s="10"/>
    </row>
    <row r="3596" spans="1:65" ht="12.75">
      <c r="A3596" s="9"/>
      <c r="B3596" s="10"/>
      <c r="C3596" s="11"/>
      <c r="D3596" s="12"/>
      <c r="E3596" s="10"/>
      <c r="F3596" s="10"/>
      <c r="G3596" s="10"/>
      <c r="H3596" s="14"/>
      <c r="I3596" s="14"/>
      <c r="J3596" s="14"/>
      <c r="K3596" s="14"/>
      <c r="L3596" s="14"/>
      <c r="M3596" s="15"/>
      <c r="N3596" s="10"/>
      <c r="O3596" s="14"/>
      <c r="P3596" s="14"/>
      <c r="Q3596" s="14"/>
      <c r="R3596" s="14"/>
      <c r="S3596" s="14"/>
      <c r="T3596" s="14"/>
      <c r="U3596" s="14"/>
      <c r="V3596" s="14"/>
      <c r="W3596" s="14"/>
      <c r="X3596" s="14"/>
      <c r="Y3596" s="14"/>
      <c r="Z3596" s="14"/>
      <c r="AA3596" s="16"/>
      <c r="AB3596" s="10"/>
      <c r="AC3596" s="10"/>
      <c r="AD3596" s="10"/>
      <c r="AE3596" s="10"/>
      <c r="AF3596" s="10"/>
      <c r="AG3596" s="10"/>
      <c r="AH3596" s="10"/>
      <c r="AI3596" s="10"/>
      <c r="AJ3596" s="10"/>
      <c r="AK3596" s="10"/>
      <c r="AL3596" s="10"/>
      <c r="AM3596" s="10"/>
      <c r="AN3596" s="10"/>
      <c r="AO3596" s="10"/>
      <c r="AP3596" s="10"/>
      <c r="AQ3596" s="10"/>
      <c r="AR3596" s="10"/>
      <c r="AS3596" s="10"/>
      <c r="AT3596" s="10"/>
      <c r="AU3596" s="10"/>
      <c r="AV3596" s="10"/>
      <c r="AW3596" s="10"/>
      <c r="AX3596" s="10"/>
      <c r="AY3596" s="10"/>
      <c r="AZ3596" s="10"/>
      <c r="BA3596" s="10"/>
      <c r="BB3596" s="10"/>
      <c r="BC3596" s="10"/>
      <c r="BD3596" s="10"/>
      <c r="BE3596" s="10"/>
      <c r="BF3596" s="10"/>
      <c r="BG3596" s="10"/>
      <c r="BH3596" s="10"/>
      <c r="BI3596" s="10"/>
      <c r="BJ3596" s="10"/>
      <c r="BK3596" s="10"/>
      <c r="BM3596" s="10"/>
    </row>
    <row r="3597" spans="1:65" ht="12.75">
      <c r="A3597" s="9"/>
      <c r="B3597" s="10"/>
      <c r="C3597" s="11"/>
      <c r="D3597" s="12"/>
      <c r="E3597" s="10"/>
      <c r="F3597" s="10"/>
      <c r="G3597" s="10"/>
      <c r="H3597" s="14"/>
      <c r="I3597" s="14"/>
      <c r="J3597" s="14"/>
      <c r="K3597" s="14"/>
      <c r="L3597" s="14"/>
      <c r="M3597" s="15"/>
      <c r="N3597" s="10"/>
      <c r="O3597" s="14"/>
      <c r="P3597" s="14"/>
      <c r="Q3597" s="14"/>
      <c r="R3597" s="14"/>
      <c r="S3597" s="14"/>
      <c r="T3597" s="14"/>
      <c r="U3597" s="14"/>
      <c r="V3597" s="14"/>
      <c r="W3597" s="14"/>
      <c r="X3597" s="14"/>
      <c r="Y3597" s="14"/>
      <c r="Z3597" s="14"/>
      <c r="AA3597" s="16"/>
      <c r="AB3597" s="10"/>
      <c r="AC3597" s="10"/>
      <c r="AD3597" s="10"/>
      <c r="AE3597" s="10"/>
      <c r="AF3597" s="10"/>
      <c r="AG3597" s="10"/>
      <c r="AH3597" s="10"/>
      <c r="AI3597" s="10"/>
      <c r="AJ3597" s="10"/>
      <c r="AK3597" s="10"/>
      <c r="AL3597" s="10"/>
      <c r="AM3597" s="10"/>
      <c r="AN3597" s="10"/>
      <c r="AO3597" s="10"/>
      <c r="AP3597" s="10"/>
      <c r="AQ3597" s="10"/>
      <c r="AR3597" s="10"/>
      <c r="AS3597" s="10"/>
      <c r="AT3597" s="10"/>
      <c r="AU3597" s="10"/>
      <c r="AV3597" s="10"/>
      <c r="AW3597" s="10"/>
      <c r="AX3597" s="10"/>
      <c r="AY3597" s="10"/>
      <c r="AZ3597" s="10"/>
      <c r="BA3597" s="10"/>
      <c r="BB3597" s="10"/>
      <c r="BC3597" s="10"/>
      <c r="BD3597" s="10"/>
      <c r="BE3597" s="10"/>
      <c r="BF3597" s="10"/>
      <c r="BG3597" s="10"/>
      <c r="BH3597" s="10"/>
      <c r="BI3597" s="10"/>
      <c r="BJ3597" s="10"/>
      <c r="BK3597" s="10"/>
      <c r="BM3597" s="10"/>
    </row>
    <row r="3598" spans="1:65" ht="12.75">
      <c r="A3598" s="9"/>
      <c r="B3598" s="10"/>
      <c r="C3598" s="11"/>
      <c r="D3598" s="12"/>
      <c r="E3598" s="10"/>
      <c r="F3598" s="10"/>
      <c r="G3598" s="10"/>
      <c r="H3598" s="14"/>
      <c r="I3598" s="14"/>
      <c r="J3598" s="14"/>
      <c r="K3598" s="14"/>
      <c r="L3598" s="14"/>
      <c r="M3598" s="15"/>
      <c r="N3598" s="10"/>
      <c r="O3598" s="14"/>
      <c r="P3598" s="14"/>
      <c r="Q3598" s="14"/>
      <c r="R3598" s="14"/>
      <c r="S3598" s="14"/>
      <c r="T3598" s="14"/>
      <c r="U3598" s="14"/>
      <c r="V3598" s="14"/>
      <c r="W3598" s="14"/>
      <c r="X3598" s="14"/>
      <c r="Y3598" s="14"/>
      <c r="Z3598" s="14"/>
      <c r="AA3598" s="16"/>
      <c r="AB3598" s="10"/>
      <c r="AC3598" s="10"/>
      <c r="AD3598" s="10"/>
      <c r="AE3598" s="10"/>
      <c r="AF3598" s="10"/>
      <c r="AG3598" s="10"/>
      <c r="AH3598" s="10"/>
      <c r="AI3598" s="10"/>
      <c r="AJ3598" s="10"/>
      <c r="AK3598" s="10"/>
      <c r="AL3598" s="10"/>
      <c r="AM3598" s="10"/>
      <c r="AN3598" s="10"/>
      <c r="AO3598" s="10"/>
      <c r="AP3598" s="10"/>
      <c r="AQ3598" s="10"/>
      <c r="AR3598" s="10"/>
      <c r="AS3598" s="10"/>
      <c r="AT3598" s="10"/>
      <c r="AU3598" s="10"/>
      <c r="AV3598" s="10"/>
      <c r="AW3598" s="10"/>
      <c r="AX3598" s="10"/>
      <c r="AY3598" s="10"/>
      <c r="AZ3598" s="10"/>
      <c r="BA3598" s="10"/>
      <c r="BB3598" s="10"/>
      <c r="BC3598" s="10"/>
      <c r="BD3598" s="10"/>
      <c r="BE3598" s="10"/>
      <c r="BF3598" s="10"/>
      <c r="BG3598" s="10"/>
      <c r="BH3598" s="10"/>
      <c r="BI3598" s="10"/>
      <c r="BJ3598" s="10"/>
      <c r="BK3598" s="10"/>
      <c r="BM3598" s="10"/>
    </row>
    <row r="3599" spans="1:65" ht="12.75">
      <c r="A3599" s="9"/>
      <c r="B3599" s="10"/>
      <c r="C3599" s="11"/>
      <c r="D3599" s="12"/>
      <c r="E3599" s="10"/>
      <c r="F3599" s="10"/>
      <c r="G3599" s="10"/>
      <c r="H3599" s="14"/>
      <c r="I3599" s="14"/>
      <c r="J3599" s="14"/>
      <c r="K3599" s="14"/>
      <c r="L3599" s="14"/>
      <c r="M3599" s="15"/>
      <c r="N3599" s="10"/>
      <c r="O3599" s="14"/>
      <c r="P3599" s="14"/>
      <c r="Q3599" s="14"/>
      <c r="R3599" s="14"/>
      <c r="S3599" s="14"/>
      <c r="T3599" s="14"/>
      <c r="U3599" s="14"/>
      <c r="V3599" s="14"/>
      <c r="W3599" s="14"/>
      <c r="X3599" s="14"/>
      <c r="Y3599" s="14"/>
      <c r="Z3599" s="14"/>
      <c r="AA3599" s="16"/>
      <c r="AB3599" s="10"/>
      <c r="AC3599" s="10"/>
      <c r="AD3599" s="10"/>
      <c r="AE3599" s="10"/>
      <c r="AF3599" s="10"/>
      <c r="AG3599" s="10"/>
      <c r="AH3599" s="10"/>
      <c r="AI3599" s="10"/>
      <c r="AJ3599" s="10"/>
      <c r="AK3599" s="10"/>
      <c r="AL3599" s="10"/>
      <c r="AM3599" s="10"/>
      <c r="AN3599" s="10"/>
      <c r="AO3599" s="10"/>
      <c r="AP3599" s="10"/>
      <c r="AQ3599" s="10"/>
      <c r="AR3599" s="10"/>
      <c r="AS3599" s="10"/>
      <c r="AT3599" s="10"/>
      <c r="AU3599" s="10"/>
      <c r="AV3599" s="10"/>
      <c r="AW3599" s="10"/>
      <c r="AX3599" s="10"/>
      <c r="AY3599" s="10"/>
      <c r="AZ3599" s="10"/>
      <c r="BA3599" s="10"/>
      <c r="BB3599" s="10"/>
      <c r="BC3599" s="10"/>
      <c r="BD3599" s="10"/>
      <c r="BE3599" s="10"/>
      <c r="BF3599" s="10"/>
      <c r="BG3599" s="10"/>
      <c r="BH3599" s="10"/>
      <c r="BI3599" s="10"/>
      <c r="BJ3599" s="10"/>
      <c r="BK3599" s="10"/>
      <c r="BM3599" s="10"/>
    </row>
    <row r="3600" spans="1:65" ht="12.75">
      <c r="A3600" s="9"/>
      <c r="B3600" s="10"/>
      <c r="C3600" s="11"/>
      <c r="D3600" s="12"/>
      <c r="E3600" s="10"/>
      <c r="F3600" s="10"/>
      <c r="G3600" s="10"/>
      <c r="H3600" s="14"/>
      <c r="I3600" s="14"/>
      <c r="J3600" s="14"/>
      <c r="K3600" s="14"/>
      <c r="L3600" s="14"/>
      <c r="M3600" s="15"/>
      <c r="N3600" s="10"/>
      <c r="O3600" s="14"/>
      <c r="P3600" s="14"/>
      <c r="Q3600" s="14"/>
      <c r="R3600" s="14"/>
      <c r="S3600" s="14"/>
      <c r="T3600" s="14"/>
      <c r="U3600" s="14"/>
      <c r="V3600" s="14"/>
      <c r="W3600" s="14"/>
      <c r="X3600" s="14"/>
      <c r="Y3600" s="14"/>
      <c r="Z3600" s="14"/>
      <c r="AA3600" s="16"/>
      <c r="AB3600" s="10"/>
      <c r="AC3600" s="10"/>
      <c r="AD3600" s="10"/>
      <c r="AE3600" s="10"/>
      <c r="AF3600" s="10"/>
      <c r="AG3600" s="10"/>
      <c r="AH3600" s="10"/>
      <c r="AI3600" s="10"/>
      <c r="AJ3600" s="10"/>
      <c r="AK3600" s="10"/>
      <c r="AL3600" s="10"/>
      <c r="AM3600" s="10"/>
      <c r="AN3600" s="10"/>
      <c r="AO3600" s="10"/>
      <c r="AP3600" s="10"/>
      <c r="AQ3600" s="10"/>
      <c r="AR3600" s="10"/>
      <c r="AS3600" s="10"/>
      <c r="AT3600" s="10"/>
      <c r="AU3600" s="10"/>
      <c r="AV3600" s="10"/>
      <c r="AW3600" s="10"/>
      <c r="AX3600" s="10"/>
      <c r="AY3600" s="10"/>
      <c r="AZ3600" s="10"/>
      <c r="BA3600" s="10"/>
      <c r="BB3600" s="10"/>
      <c r="BC3600" s="10"/>
      <c r="BD3600" s="10"/>
      <c r="BE3600" s="10"/>
      <c r="BF3600" s="10"/>
      <c r="BG3600" s="10"/>
      <c r="BH3600" s="10"/>
      <c r="BI3600" s="10"/>
      <c r="BJ3600" s="10"/>
      <c r="BK3600" s="10"/>
      <c r="BM3600" s="10"/>
    </row>
    <row r="3601" spans="1:65" ht="12.75">
      <c r="A3601" s="9"/>
      <c r="B3601" s="10"/>
      <c r="C3601" s="11"/>
      <c r="D3601" s="12"/>
      <c r="E3601" s="10"/>
      <c r="F3601" s="10"/>
      <c r="G3601" s="10"/>
      <c r="H3601" s="14"/>
      <c r="I3601" s="14"/>
      <c r="J3601" s="14"/>
      <c r="K3601" s="14"/>
      <c r="L3601" s="14"/>
      <c r="M3601" s="15"/>
      <c r="N3601" s="10"/>
      <c r="O3601" s="14"/>
      <c r="P3601" s="14"/>
      <c r="Q3601" s="14"/>
      <c r="R3601" s="14"/>
      <c r="S3601" s="14"/>
      <c r="T3601" s="14"/>
      <c r="U3601" s="14"/>
      <c r="V3601" s="14"/>
      <c r="W3601" s="14"/>
      <c r="X3601" s="14"/>
      <c r="Y3601" s="14"/>
      <c r="Z3601" s="14"/>
      <c r="AA3601" s="16"/>
      <c r="AB3601" s="10"/>
      <c r="AC3601" s="10"/>
      <c r="AD3601" s="10"/>
      <c r="AE3601" s="10"/>
      <c r="AF3601" s="10"/>
      <c r="AG3601" s="10"/>
      <c r="AH3601" s="10"/>
      <c r="AI3601" s="10"/>
      <c r="AJ3601" s="10"/>
      <c r="AK3601" s="10"/>
      <c r="AL3601" s="10"/>
      <c r="AM3601" s="10"/>
      <c r="AN3601" s="10"/>
      <c r="AO3601" s="10"/>
      <c r="AP3601" s="10"/>
      <c r="AQ3601" s="10"/>
      <c r="AR3601" s="10"/>
      <c r="AS3601" s="10"/>
      <c r="AT3601" s="10"/>
      <c r="AU3601" s="10"/>
      <c r="AV3601" s="10"/>
      <c r="AW3601" s="10"/>
      <c r="AX3601" s="10"/>
      <c r="AY3601" s="10"/>
      <c r="AZ3601" s="10"/>
      <c r="BA3601" s="10"/>
      <c r="BB3601" s="10"/>
      <c r="BC3601" s="10"/>
      <c r="BD3601" s="10"/>
      <c r="BE3601" s="10"/>
      <c r="BF3601" s="10"/>
      <c r="BG3601" s="10"/>
      <c r="BH3601" s="10"/>
      <c r="BI3601" s="10"/>
      <c r="BJ3601" s="10"/>
      <c r="BK3601" s="10"/>
      <c r="BM3601" s="10"/>
    </row>
    <row r="3602" spans="1:65" ht="12.75">
      <c r="A3602" s="9"/>
      <c r="B3602" s="10"/>
      <c r="C3602" s="11"/>
      <c r="D3602" s="12"/>
      <c r="E3602" s="10"/>
      <c r="F3602" s="10"/>
      <c r="G3602" s="10"/>
      <c r="H3602" s="14"/>
      <c r="I3602" s="14"/>
      <c r="J3602" s="14"/>
      <c r="K3602" s="14"/>
      <c r="L3602" s="14"/>
      <c r="M3602" s="15"/>
      <c r="N3602" s="10"/>
      <c r="O3602" s="14"/>
      <c r="P3602" s="14"/>
      <c r="Q3602" s="14"/>
      <c r="R3602" s="14"/>
      <c r="S3602" s="14"/>
      <c r="T3602" s="14"/>
      <c r="U3602" s="14"/>
      <c r="V3602" s="14"/>
      <c r="W3602" s="14"/>
      <c r="X3602" s="14"/>
      <c r="Y3602" s="14"/>
      <c r="Z3602" s="14"/>
      <c r="AA3602" s="16"/>
      <c r="AB3602" s="10"/>
      <c r="AC3602" s="10"/>
      <c r="AD3602" s="10"/>
      <c r="AE3602" s="10"/>
      <c r="AF3602" s="10"/>
      <c r="AG3602" s="10"/>
      <c r="AH3602" s="10"/>
      <c r="AI3602" s="10"/>
      <c r="AJ3602" s="10"/>
      <c r="AK3602" s="10"/>
      <c r="AL3602" s="10"/>
      <c r="AM3602" s="10"/>
      <c r="AN3602" s="10"/>
      <c r="AO3602" s="10"/>
      <c r="AP3602" s="10"/>
      <c r="AQ3602" s="10"/>
      <c r="AR3602" s="10"/>
      <c r="AS3602" s="10"/>
      <c r="AT3602" s="10"/>
      <c r="AU3602" s="10"/>
      <c r="AV3602" s="10"/>
      <c r="AW3602" s="10"/>
      <c r="AX3602" s="10"/>
      <c r="AY3602" s="10"/>
      <c r="AZ3602" s="10"/>
      <c r="BA3602" s="10"/>
      <c r="BB3602" s="10"/>
      <c r="BC3602" s="10"/>
      <c r="BD3602" s="10"/>
      <c r="BE3602" s="10"/>
      <c r="BF3602" s="10"/>
      <c r="BG3602" s="10"/>
      <c r="BH3602" s="10"/>
      <c r="BI3602" s="10"/>
      <c r="BJ3602" s="10"/>
      <c r="BK3602" s="10"/>
      <c r="BM3602" s="10"/>
    </row>
    <row r="3603" spans="1:65" ht="12.75">
      <c r="A3603" s="9"/>
      <c r="B3603" s="10"/>
      <c r="C3603" s="11"/>
      <c r="D3603" s="12"/>
      <c r="E3603" s="10"/>
      <c r="F3603" s="10"/>
      <c r="G3603" s="10"/>
      <c r="H3603" s="14"/>
      <c r="I3603" s="14"/>
      <c r="J3603" s="14"/>
      <c r="K3603" s="14"/>
      <c r="L3603" s="14"/>
      <c r="M3603" s="15"/>
      <c r="N3603" s="10"/>
      <c r="O3603" s="14"/>
      <c r="P3603" s="14"/>
      <c r="Q3603" s="14"/>
      <c r="R3603" s="14"/>
      <c r="S3603" s="14"/>
      <c r="T3603" s="14"/>
      <c r="U3603" s="14"/>
      <c r="V3603" s="14"/>
      <c r="W3603" s="14"/>
      <c r="X3603" s="14"/>
      <c r="Y3603" s="14"/>
      <c r="Z3603" s="14"/>
      <c r="AA3603" s="16"/>
      <c r="AB3603" s="10"/>
      <c r="AC3603" s="10"/>
      <c r="AD3603" s="10"/>
      <c r="AE3603" s="10"/>
      <c r="AF3603" s="10"/>
      <c r="AG3603" s="10"/>
      <c r="AH3603" s="10"/>
      <c r="AI3603" s="10"/>
      <c r="AJ3603" s="10"/>
      <c r="AK3603" s="10"/>
      <c r="AL3603" s="10"/>
      <c r="AM3603" s="10"/>
      <c r="AN3603" s="10"/>
      <c r="AO3603" s="10"/>
      <c r="AP3603" s="10"/>
      <c r="AQ3603" s="10"/>
      <c r="AR3603" s="10"/>
      <c r="AS3603" s="10"/>
      <c r="AT3603" s="10"/>
      <c r="AU3603" s="10"/>
      <c r="AV3603" s="10"/>
      <c r="AW3603" s="10"/>
      <c r="AX3603" s="10"/>
      <c r="AY3603" s="10"/>
      <c r="AZ3603" s="10"/>
      <c r="BA3603" s="10"/>
      <c r="BB3603" s="10"/>
      <c r="BC3603" s="10"/>
      <c r="BD3603" s="10"/>
      <c r="BE3603" s="10"/>
      <c r="BF3603" s="10"/>
      <c r="BG3603" s="10"/>
      <c r="BH3603" s="10"/>
      <c r="BI3603" s="10"/>
      <c r="BJ3603" s="10"/>
      <c r="BK3603" s="10"/>
      <c r="BM3603" s="10"/>
    </row>
    <row r="3604" spans="1:65" ht="12.75">
      <c r="A3604" s="9"/>
      <c r="B3604" s="10"/>
      <c r="C3604" s="11"/>
      <c r="D3604" s="12"/>
      <c r="E3604" s="10"/>
      <c r="F3604" s="10"/>
      <c r="G3604" s="10"/>
      <c r="H3604" s="14"/>
      <c r="I3604" s="14"/>
      <c r="J3604" s="14"/>
      <c r="K3604" s="14"/>
      <c r="L3604" s="14"/>
      <c r="M3604" s="15"/>
      <c r="N3604" s="10"/>
      <c r="O3604" s="14"/>
      <c r="P3604" s="14"/>
      <c r="Q3604" s="14"/>
      <c r="R3604" s="14"/>
      <c r="S3604" s="14"/>
      <c r="T3604" s="14"/>
      <c r="U3604" s="14"/>
      <c r="V3604" s="14"/>
      <c r="W3604" s="14"/>
      <c r="X3604" s="14"/>
      <c r="Y3604" s="14"/>
      <c r="Z3604" s="14"/>
      <c r="AA3604" s="16"/>
      <c r="AB3604" s="10"/>
      <c r="AC3604" s="10"/>
      <c r="AD3604" s="10"/>
      <c r="AE3604" s="10"/>
      <c r="AF3604" s="10"/>
      <c r="AG3604" s="10"/>
      <c r="AH3604" s="10"/>
      <c r="AI3604" s="10"/>
      <c r="AJ3604" s="10"/>
      <c r="AK3604" s="10"/>
      <c r="AL3604" s="10"/>
      <c r="AM3604" s="10"/>
      <c r="AN3604" s="10"/>
      <c r="AO3604" s="10"/>
      <c r="AP3604" s="10"/>
      <c r="AQ3604" s="10"/>
      <c r="AR3604" s="10"/>
      <c r="AS3604" s="10"/>
      <c r="AT3604" s="10"/>
      <c r="AU3604" s="10"/>
      <c r="AV3604" s="10"/>
      <c r="AW3604" s="10"/>
      <c r="AX3604" s="10"/>
      <c r="AY3604" s="10"/>
      <c r="AZ3604" s="10"/>
      <c r="BA3604" s="10"/>
      <c r="BB3604" s="10"/>
      <c r="BC3604" s="10"/>
      <c r="BD3604" s="10"/>
      <c r="BE3604" s="10"/>
      <c r="BF3604" s="10"/>
      <c r="BG3604" s="10"/>
      <c r="BH3604" s="10"/>
      <c r="BI3604" s="10"/>
      <c r="BJ3604" s="10"/>
      <c r="BK3604" s="10"/>
      <c r="BM3604" s="10"/>
    </row>
    <row r="3605" spans="1:65" ht="12.75">
      <c r="A3605" s="9"/>
      <c r="B3605" s="10"/>
      <c r="C3605" s="11"/>
      <c r="D3605" s="12"/>
      <c r="E3605" s="10"/>
      <c r="F3605" s="10"/>
      <c r="G3605" s="10"/>
      <c r="H3605" s="14"/>
      <c r="I3605" s="14"/>
      <c r="J3605" s="14"/>
      <c r="K3605" s="14"/>
      <c r="L3605" s="14"/>
      <c r="M3605" s="15"/>
      <c r="N3605" s="10"/>
      <c r="O3605" s="14"/>
      <c r="P3605" s="14"/>
      <c r="Q3605" s="14"/>
      <c r="R3605" s="14"/>
      <c r="S3605" s="14"/>
      <c r="T3605" s="14"/>
      <c r="U3605" s="14"/>
      <c r="V3605" s="14"/>
      <c r="W3605" s="14"/>
      <c r="X3605" s="14"/>
      <c r="Y3605" s="14"/>
      <c r="Z3605" s="14"/>
      <c r="AA3605" s="16"/>
      <c r="AB3605" s="10"/>
      <c r="AC3605" s="10"/>
      <c r="AD3605" s="10"/>
      <c r="AE3605" s="10"/>
      <c r="AF3605" s="10"/>
      <c r="AG3605" s="10"/>
      <c r="AH3605" s="10"/>
      <c r="AI3605" s="10"/>
      <c r="AJ3605" s="10"/>
      <c r="AK3605" s="10"/>
      <c r="AL3605" s="10"/>
      <c r="AM3605" s="10"/>
      <c r="AN3605" s="10"/>
      <c r="AO3605" s="10"/>
      <c r="AP3605" s="10"/>
      <c r="AQ3605" s="10"/>
      <c r="AR3605" s="10"/>
      <c r="AS3605" s="10"/>
      <c r="AT3605" s="10"/>
      <c r="AU3605" s="10"/>
      <c r="AV3605" s="10"/>
      <c r="AW3605" s="10"/>
      <c r="AX3605" s="10"/>
      <c r="AY3605" s="10"/>
      <c r="AZ3605" s="10"/>
      <c r="BA3605" s="10"/>
      <c r="BB3605" s="10"/>
      <c r="BC3605" s="10"/>
      <c r="BD3605" s="10"/>
      <c r="BE3605" s="10"/>
      <c r="BF3605" s="10"/>
      <c r="BG3605" s="10"/>
      <c r="BH3605" s="10"/>
      <c r="BI3605" s="10"/>
      <c r="BJ3605" s="10"/>
      <c r="BK3605" s="10"/>
      <c r="BM3605" s="10"/>
    </row>
    <row r="3606" spans="1:65" ht="12.75">
      <c r="A3606" s="9"/>
      <c r="B3606" s="10"/>
      <c r="C3606" s="11"/>
      <c r="D3606" s="12"/>
      <c r="E3606" s="10"/>
      <c r="F3606" s="10"/>
      <c r="G3606" s="10"/>
      <c r="H3606" s="14"/>
      <c r="I3606" s="14"/>
      <c r="J3606" s="14"/>
      <c r="K3606" s="14"/>
      <c r="L3606" s="14"/>
      <c r="M3606" s="15"/>
      <c r="N3606" s="10"/>
      <c r="O3606" s="14"/>
      <c r="P3606" s="14"/>
      <c r="Q3606" s="14"/>
      <c r="R3606" s="14"/>
      <c r="S3606" s="14"/>
      <c r="T3606" s="14"/>
      <c r="U3606" s="14"/>
      <c r="V3606" s="14"/>
      <c r="W3606" s="14"/>
      <c r="X3606" s="14"/>
      <c r="Y3606" s="14"/>
      <c r="Z3606" s="14"/>
      <c r="AA3606" s="16"/>
      <c r="AB3606" s="10"/>
      <c r="AC3606" s="10"/>
      <c r="AD3606" s="10"/>
      <c r="AE3606" s="10"/>
      <c r="AF3606" s="10"/>
      <c r="AG3606" s="10"/>
      <c r="AH3606" s="10"/>
      <c r="AI3606" s="10"/>
      <c r="AJ3606" s="10"/>
      <c r="AK3606" s="10"/>
      <c r="AL3606" s="10"/>
      <c r="AM3606" s="10"/>
      <c r="AN3606" s="10"/>
      <c r="AO3606" s="10"/>
      <c r="AP3606" s="10"/>
      <c r="AQ3606" s="10"/>
      <c r="AR3606" s="10"/>
      <c r="AS3606" s="10"/>
      <c r="AT3606" s="10"/>
      <c r="AU3606" s="10"/>
      <c r="AV3606" s="10"/>
      <c r="AW3606" s="10"/>
      <c r="AX3606" s="10"/>
      <c r="AY3606" s="10"/>
      <c r="AZ3606" s="10"/>
      <c r="BA3606" s="10"/>
      <c r="BB3606" s="10"/>
      <c r="BC3606" s="10"/>
      <c r="BD3606" s="10"/>
      <c r="BE3606" s="10"/>
      <c r="BF3606" s="10"/>
      <c r="BG3606" s="10"/>
      <c r="BH3606" s="10"/>
      <c r="BI3606" s="10"/>
      <c r="BJ3606" s="10"/>
      <c r="BK3606" s="10"/>
      <c r="BM3606" s="10"/>
    </row>
    <row r="3607" spans="1:65" ht="12.75">
      <c r="A3607" s="9"/>
      <c r="B3607" s="10"/>
      <c r="C3607" s="11"/>
      <c r="D3607" s="12"/>
      <c r="E3607" s="10"/>
      <c r="F3607" s="10"/>
      <c r="G3607" s="10"/>
      <c r="H3607" s="14"/>
      <c r="I3607" s="14"/>
      <c r="J3607" s="14"/>
      <c r="K3607" s="14"/>
      <c r="L3607" s="14"/>
      <c r="M3607" s="15"/>
      <c r="N3607" s="10"/>
      <c r="O3607" s="14"/>
      <c r="P3607" s="14"/>
      <c r="Q3607" s="14"/>
      <c r="R3607" s="14"/>
      <c r="S3607" s="14"/>
      <c r="T3607" s="14"/>
      <c r="U3607" s="14"/>
      <c r="V3607" s="14"/>
      <c r="W3607" s="14"/>
      <c r="X3607" s="14"/>
      <c r="Y3607" s="14"/>
      <c r="Z3607" s="14"/>
      <c r="AA3607" s="16"/>
      <c r="AB3607" s="10"/>
      <c r="AC3607" s="10"/>
      <c r="AD3607" s="10"/>
      <c r="AE3607" s="10"/>
      <c r="AF3607" s="10"/>
      <c r="AG3607" s="10"/>
      <c r="AH3607" s="10"/>
      <c r="AI3607" s="10"/>
      <c r="AJ3607" s="10"/>
      <c r="AK3607" s="10"/>
      <c r="AL3607" s="10"/>
      <c r="AM3607" s="10"/>
      <c r="AN3607" s="10"/>
      <c r="AO3607" s="10"/>
      <c r="AP3607" s="10"/>
      <c r="AQ3607" s="10"/>
      <c r="AR3607" s="10"/>
      <c r="AS3607" s="10"/>
      <c r="AT3607" s="10"/>
      <c r="AU3607" s="10"/>
      <c r="AV3607" s="10"/>
      <c r="AW3607" s="10"/>
      <c r="AX3607" s="10"/>
      <c r="AY3607" s="10"/>
      <c r="AZ3607" s="10"/>
      <c r="BA3607" s="10"/>
      <c r="BB3607" s="10"/>
      <c r="BC3607" s="10"/>
      <c r="BD3607" s="10"/>
      <c r="BE3607" s="10"/>
      <c r="BF3607" s="10"/>
      <c r="BG3607" s="10"/>
      <c r="BH3607" s="10"/>
      <c r="BI3607" s="10"/>
      <c r="BJ3607" s="10"/>
      <c r="BK3607" s="10"/>
      <c r="BM3607" s="10"/>
    </row>
    <row r="3608" spans="1:65" ht="12.75">
      <c r="A3608" s="9"/>
      <c r="B3608" s="10"/>
      <c r="C3608" s="11"/>
      <c r="D3608" s="12"/>
      <c r="E3608" s="10"/>
      <c r="F3608" s="10"/>
      <c r="G3608" s="10"/>
      <c r="H3608" s="14"/>
      <c r="I3608" s="14"/>
      <c r="J3608" s="14"/>
      <c r="K3608" s="14"/>
      <c r="L3608" s="14"/>
      <c r="M3608" s="15"/>
      <c r="N3608" s="10"/>
      <c r="O3608" s="14"/>
      <c r="P3608" s="14"/>
      <c r="Q3608" s="14"/>
      <c r="R3608" s="14"/>
      <c r="S3608" s="14"/>
      <c r="T3608" s="14"/>
      <c r="U3608" s="14"/>
      <c r="V3608" s="14"/>
      <c r="W3608" s="14"/>
      <c r="X3608" s="14"/>
      <c r="Y3608" s="14"/>
      <c r="Z3608" s="14"/>
      <c r="AA3608" s="16"/>
      <c r="AB3608" s="10"/>
      <c r="AC3608" s="10"/>
      <c r="AD3608" s="10"/>
      <c r="AE3608" s="10"/>
      <c r="AF3608" s="10"/>
      <c r="AG3608" s="10"/>
      <c r="AH3608" s="10"/>
      <c r="AI3608" s="10"/>
      <c r="AJ3608" s="10"/>
      <c r="AK3608" s="10"/>
      <c r="AL3608" s="10"/>
      <c r="AM3608" s="10"/>
      <c r="AN3608" s="10"/>
      <c r="AO3608" s="10"/>
      <c r="AP3608" s="10"/>
      <c r="AQ3608" s="10"/>
      <c r="AR3608" s="10"/>
      <c r="AS3608" s="10"/>
      <c r="AT3608" s="10"/>
      <c r="AU3608" s="10"/>
      <c r="AV3608" s="10"/>
      <c r="AW3608" s="10"/>
      <c r="AX3608" s="10"/>
      <c r="AY3608" s="10"/>
      <c r="AZ3608" s="10"/>
      <c r="BA3608" s="10"/>
      <c r="BB3608" s="10"/>
      <c r="BC3608" s="10"/>
      <c r="BD3608" s="10"/>
      <c r="BE3608" s="10"/>
      <c r="BF3608" s="10"/>
      <c r="BG3608" s="10"/>
      <c r="BH3608" s="10"/>
      <c r="BI3608" s="10"/>
      <c r="BJ3608" s="10"/>
      <c r="BK3608" s="10"/>
      <c r="BM3608" s="10"/>
    </row>
    <row r="3609" spans="1:65" ht="12.75">
      <c r="A3609" s="9"/>
      <c r="B3609" s="10"/>
      <c r="C3609" s="11"/>
      <c r="D3609" s="12"/>
      <c r="E3609" s="10"/>
      <c r="F3609" s="10"/>
      <c r="G3609" s="10"/>
      <c r="H3609" s="14"/>
      <c r="I3609" s="14"/>
      <c r="J3609" s="14"/>
      <c r="K3609" s="14"/>
      <c r="L3609" s="14"/>
      <c r="M3609" s="15"/>
      <c r="N3609" s="10"/>
      <c r="O3609" s="14"/>
      <c r="P3609" s="14"/>
      <c r="Q3609" s="14"/>
      <c r="R3609" s="14"/>
      <c r="S3609" s="14"/>
      <c r="T3609" s="14"/>
      <c r="U3609" s="14"/>
      <c r="V3609" s="14"/>
      <c r="W3609" s="14"/>
      <c r="X3609" s="14"/>
      <c r="Y3609" s="14"/>
      <c r="Z3609" s="14"/>
      <c r="AA3609" s="16"/>
      <c r="AB3609" s="10"/>
      <c r="AC3609" s="10"/>
      <c r="AD3609" s="10"/>
      <c r="AE3609" s="10"/>
      <c r="AF3609" s="10"/>
      <c r="AG3609" s="10"/>
      <c r="AH3609" s="10"/>
      <c r="AI3609" s="10"/>
      <c r="AJ3609" s="10"/>
      <c r="AK3609" s="10"/>
      <c r="AL3609" s="10"/>
      <c r="AM3609" s="10"/>
      <c r="AN3609" s="10"/>
      <c r="AO3609" s="10"/>
      <c r="AP3609" s="10"/>
      <c r="AQ3609" s="10"/>
      <c r="AR3609" s="10"/>
      <c r="AS3609" s="10"/>
      <c r="AT3609" s="10"/>
      <c r="AU3609" s="10"/>
      <c r="AV3609" s="10"/>
      <c r="AW3609" s="10"/>
      <c r="AX3609" s="10"/>
      <c r="AY3609" s="10"/>
      <c r="AZ3609" s="10"/>
      <c r="BA3609" s="10"/>
      <c r="BB3609" s="10"/>
      <c r="BC3609" s="10"/>
      <c r="BD3609" s="10"/>
      <c r="BE3609" s="10"/>
      <c r="BF3609" s="10"/>
      <c r="BG3609" s="10"/>
      <c r="BH3609" s="10"/>
      <c r="BI3609" s="10"/>
      <c r="BJ3609" s="10"/>
      <c r="BK3609" s="10"/>
      <c r="BM3609" s="10"/>
    </row>
    <row r="3610" spans="1:65" ht="12.75">
      <c r="A3610" s="9"/>
      <c r="B3610" s="10"/>
      <c r="C3610" s="11"/>
      <c r="D3610" s="12"/>
      <c r="E3610" s="10"/>
      <c r="F3610" s="10"/>
      <c r="G3610" s="10"/>
      <c r="H3610" s="14"/>
      <c r="I3610" s="14"/>
      <c r="J3610" s="14"/>
      <c r="K3610" s="14"/>
      <c r="L3610" s="14"/>
      <c r="M3610" s="15"/>
      <c r="N3610" s="10"/>
      <c r="O3610" s="14"/>
      <c r="P3610" s="14"/>
      <c r="Q3610" s="14"/>
      <c r="R3610" s="14"/>
      <c r="S3610" s="14"/>
      <c r="T3610" s="14"/>
      <c r="U3610" s="14"/>
      <c r="V3610" s="14"/>
      <c r="W3610" s="14"/>
      <c r="X3610" s="14"/>
      <c r="Y3610" s="14"/>
      <c r="Z3610" s="14"/>
      <c r="AA3610" s="16"/>
      <c r="AB3610" s="10"/>
      <c r="AC3610" s="10"/>
      <c r="AD3610" s="10"/>
      <c r="AE3610" s="10"/>
      <c r="AF3610" s="10"/>
      <c r="AG3610" s="10"/>
      <c r="AH3610" s="10"/>
      <c r="AI3610" s="10"/>
      <c r="AJ3610" s="10"/>
      <c r="AK3610" s="10"/>
      <c r="AL3610" s="10"/>
      <c r="AM3610" s="10"/>
      <c r="AN3610" s="10"/>
      <c r="AO3610" s="10"/>
      <c r="AP3610" s="10"/>
      <c r="AQ3610" s="10"/>
      <c r="AR3610" s="10"/>
      <c r="AS3610" s="10"/>
      <c r="AT3610" s="10"/>
      <c r="AU3610" s="10"/>
      <c r="AV3610" s="10"/>
      <c r="AW3610" s="10"/>
      <c r="AX3610" s="10"/>
      <c r="AY3610" s="10"/>
      <c r="AZ3610" s="10"/>
      <c r="BA3610" s="10"/>
      <c r="BB3610" s="10"/>
      <c r="BC3610" s="10"/>
      <c r="BD3610" s="10"/>
      <c r="BE3610" s="10"/>
      <c r="BF3610" s="10"/>
      <c r="BG3610" s="10"/>
      <c r="BH3610" s="10"/>
      <c r="BI3610" s="10"/>
      <c r="BJ3610" s="10"/>
      <c r="BK3610" s="10"/>
      <c r="BM3610" s="10"/>
    </row>
    <row r="3611" spans="1:65" ht="12.75">
      <c r="A3611" s="9"/>
      <c r="B3611" s="10"/>
      <c r="C3611" s="11"/>
      <c r="D3611" s="12"/>
      <c r="E3611" s="10"/>
      <c r="F3611" s="10"/>
      <c r="G3611" s="10"/>
      <c r="H3611" s="14"/>
      <c r="I3611" s="14"/>
      <c r="J3611" s="14"/>
      <c r="K3611" s="14"/>
      <c r="L3611" s="14"/>
      <c r="M3611" s="15"/>
      <c r="N3611" s="10"/>
      <c r="O3611" s="14"/>
      <c r="P3611" s="14"/>
      <c r="Q3611" s="14"/>
      <c r="R3611" s="14"/>
      <c r="S3611" s="14"/>
      <c r="T3611" s="14"/>
      <c r="U3611" s="14"/>
      <c r="V3611" s="14"/>
      <c r="W3611" s="14"/>
      <c r="X3611" s="14"/>
      <c r="Y3611" s="14"/>
      <c r="Z3611" s="14"/>
      <c r="AA3611" s="16"/>
      <c r="AB3611" s="10"/>
      <c r="AC3611" s="10"/>
      <c r="AD3611" s="10"/>
      <c r="AE3611" s="10"/>
      <c r="AF3611" s="10"/>
      <c r="AG3611" s="10"/>
      <c r="AH3611" s="10"/>
      <c r="AI3611" s="10"/>
      <c r="AJ3611" s="10"/>
      <c r="AK3611" s="10"/>
      <c r="AL3611" s="10"/>
      <c r="AM3611" s="10"/>
      <c r="AN3611" s="10"/>
      <c r="AO3611" s="10"/>
      <c r="AP3611" s="10"/>
      <c r="AQ3611" s="10"/>
      <c r="AR3611" s="10"/>
      <c r="AS3611" s="10"/>
      <c r="AT3611" s="10"/>
      <c r="AU3611" s="10"/>
      <c r="AV3611" s="10"/>
      <c r="AW3611" s="10"/>
      <c r="AX3611" s="10"/>
      <c r="AY3611" s="10"/>
      <c r="AZ3611" s="10"/>
      <c r="BA3611" s="10"/>
      <c r="BB3611" s="10"/>
      <c r="BC3611" s="10"/>
      <c r="BD3611" s="10"/>
      <c r="BE3611" s="10"/>
      <c r="BF3611" s="10"/>
      <c r="BG3611" s="10"/>
      <c r="BH3611" s="10"/>
      <c r="BI3611" s="10"/>
      <c r="BJ3611" s="10"/>
      <c r="BK3611" s="10"/>
      <c r="BM3611" s="10"/>
    </row>
    <row r="3612" spans="1:65" ht="12.75">
      <c r="A3612" s="9"/>
      <c r="B3612" s="10"/>
      <c r="C3612" s="11"/>
      <c r="D3612" s="12"/>
      <c r="E3612" s="10"/>
      <c r="F3612" s="10"/>
      <c r="G3612" s="10"/>
      <c r="H3612" s="14"/>
      <c r="I3612" s="14"/>
      <c r="J3612" s="14"/>
      <c r="K3612" s="14"/>
      <c r="L3612" s="14"/>
      <c r="M3612" s="15"/>
      <c r="N3612" s="10"/>
      <c r="O3612" s="14"/>
      <c r="P3612" s="14"/>
      <c r="Q3612" s="14"/>
      <c r="R3612" s="14"/>
      <c r="S3612" s="14"/>
      <c r="T3612" s="14"/>
      <c r="U3612" s="14"/>
      <c r="V3612" s="14"/>
      <c r="W3612" s="14"/>
      <c r="X3612" s="14"/>
      <c r="Y3612" s="14"/>
      <c r="Z3612" s="14"/>
      <c r="AA3612" s="16"/>
      <c r="AB3612" s="10"/>
      <c r="AC3612" s="10"/>
      <c r="AD3612" s="10"/>
      <c r="AE3612" s="10"/>
      <c r="AF3612" s="10"/>
      <c r="AG3612" s="10"/>
      <c r="AH3612" s="10"/>
      <c r="AI3612" s="10"/>
      <c r="AJ3612" s="10"/>
      <c r="AK3612" s="10"/>
      <c r="AL3612" s="10"/>
      <c r="AM3612" s="10"/>
      <c r="AN3612" s="10"/>
      <c r="AO3612" s="10"/>
      <c r="AP3612" s="10"/>
      <c r="AQ3612" s="10"/>
      <c r="AR3612" s="10"/>
      <c r="AS3612" s="10"/>
      <c r="AT3612" s="10"/>
      <c r="AU3612" s="10"/>
      <c r="AV3612" s="10"/>
      <c r="AW3612" s="10"/>
      <c r="AX3612" s="10"/>
      <c r="AY3612" s="10"/>
      <c r="AZ3612" s="10"/>
      <c r="BA3612" s="10"/>
      <c r="BB3612" s="10"/>
      <c r="BC3612" s="10"/>
      <c r="BD3612" s="10"/>
      <c r="BE3612" s="10"/>
      <c r="BF3612" s="10"/>
      <c r="BG3612" s="10"/>
      <c r="BH3612" s="10"/>
      <c r="BI3612" s="10"/>
      <c r="BJ3612" s="10"/>
      <c r="BK3612" s="10"/>
      <c r="BM3612" s="10"/>
    </row>
    <row r="3613" spans="1:65" ht="12.75">
      <c r="A3613" s="9"/>
      <c r="B3613" s="10"/>
      <c r="C3613" s="11"/>
      <c r="D3613" s="12"/>
      <c r="E3613" s="10"/>
      <c r="F3613" s="10"/>
      <c r="G3613" s="10"/>
      <c r="H3613" s="14"/>
      <c r="I3613" s="14"/>
      <c r="J3613" s="14"/>
      <c r="K3613" s="14"/>
      <c r="L3613" s="14"/>
      <c r="M3613" s="15"/>
      <c r="N3613" s="10"/>
      <c r="O3613" s="14"/>
      <c r="P3613" s="14"/>
      <c r="Q3613" s="14"/>
      <c r="R3613" s="14"/>
      <c r="S3613" s="14"/>
      <c r="T3613" s="14"/>
      <c r="U3613" s="14"/>
      <c r="V3613" s="14"/>
      <c r="W3613" s="14"/>
      <c r="X3613" s="14"/>
      <c r="Y3613" s="14"/>
      <c r="Z3613" s="14"/>
      <c r="AA3613" s="16"/>
      <c r="AB3613" s="10"/>
      <c r="AC3613" s="10"/>
      <c r="AD3613" s="10"/>
      <c r="AE3613" s="10"/>
      <c r="AF3613" s="10"/>
      <c r="AG3613" s="10"/>
      <c r="AH3613" s="10"/>
      <c r="AI3613" s="10"/>
      <c r="AJ3613" s="10"/>
      <c r="AK3613" s="10"/>
      <c r="AL3613" s="10"/>
      <c r="AM3613" s="10"/>
      <c r="AN3613" s="10"/>
      <c r="AO3613" s="10"/>
      <c r="AP3613" s="10"/>
      <c r="AQ3613" s="10"/>
      <c r="AR3613" s="10"/>
      <c r="AS3613" s="10"/>
      <c r="AT3613" s="10"/>
      <c r="AU3613" s="10"/>
      <c r="AV3613" s="10"/>
      <c r="AW3613" s="10"/>
      <c r="AX3613" s="10"/>
      <c r="AY3613" s="10"/>
      <c r="AZ3613" s="10"/>
      <c r="BA3613" s="10"/>
      <c r="BB3613" s="10"/>
      <c r="BC3613" s="10"/>
      <c r="BD3613" s="10"/>
      <c r="BE3613" s="10"/>
      <c r="BF3613" s="10"/>
      <c r="BG3613" s="10"/>
      <c r="BH3613" s="10"/>
      <c r="BI3613" s="10"/>
      <c r="BJ3613" s="10"/>
      <c r="BK3613" s="10"/>
      <c r="BM3613" s="10"/>
    </row>
    <row r="3614" spans="1:65" ht="12.75">
      <c r="A3614" s="9"/>
      <c r="B3614" s="10"/>
      <c r="C3614" s="11"/>
      <c r="D3614" s="12"/>
      <c r="E3614" s="10"/>
      <c r="F3614" s="10"/>
      <c r="G3614" s="10"/>
      <c r="H3614" s="14"/>
      <c r="I3614" s="14"/>
      <c r="J3614" s="14"/>
      <c r="K3614" s="14"/>
      <c r="L3614" s="14"/>
      <c r="M3614" s="15"/>
      <c r="N3614" s="10"/>
      <c r="O3614" s="14"/>
      <c r="P3614" s="14"/>
      <c r="Q3614" s="14"/>
      <c r="R3614" s="14"/>
      <c r="S3614" s="14"/>
      <c r="T3614" s="14"/>
      <c r="U3614" s="14"/>
      <c r="V3614" s="14"/>
      <c r="W3614" s="14"/>
      <c r="X3614" s="14"/>
      <c r="Y3614" s="14"/>
      <c r="Z3614" s="14"/>
      <c r="AA3614" s="16"/>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c r="BB3614" s="10"/>
      <c r="BC3614" s="10"/>
      <c r="BD3614" s="10"/>
      <c r="BE3614" s="10"/>
      <c r="BF3614" s="10"/>
      <c r="BG3614" s="10"/>
      <c r="BH3614" s="10"/>
      <c r="BI3614" s="10"/>
      <c r="BJ3614" s="10"/>
      <c r="BK3614" s="10"/>
      <c r="BM3614" s="10"/>
    </row>
    <row r="3615" spans="1:65" ht="12.75">
      <c r="A3615" s="9"/>
      <c r="B3615" s="10"/>
      <c r="C3615" s="11"/>
      <c r="D3615" s="12"/>
      <c r="E3615" s="10"/>
      <c r="F3615" s="10"/>
      <c r="G3615" s="10"/>
      <c r="H3615" s="14"/>
      <c r="I3615" s="14"/>
      <c r="J3615" s="14"/>
      <c r="K3615" s="14"/>
      <c r="L3615" s="14"/>
      <c r="M3615" s="15"/>
      <c r="N3615" s="10"/>
      <c r="O3615" s="14"/>
      <c r="P3615" s="14"/>
      <c r="Q3615" s="14"/>
      <c r="R3615" s="14"/>
      <c r="S3615" s="14"/>
      <c r="T3615" s="14"/>
      <c r="U3615" s="14"/>
      <c r="V3615" s="14"/>
      <c r="W3615" s="14"/>
      <c r="X3615" s="14"/>
      <c r="Y3615" s="14"/>
      <c r="Z3615" s="14"/>
      <c r="AA3615" s="16"/>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c r="BB3615" s="10"/>
      <c r="BC3615" s="10"/>
      <c r="BD3615" s="10"/>
      <c r="BE3615" s="10"/>
      <c r="BF3615" s="10"/>
      <c r="BG3615" s="10"/>
      <c r="BH3615" s="10"/>
      <c r="BI3615" s="10"/>
      <c r="BJ3615" s="10"/>
      <c r="BK3615" s="10"/>
      <c r="BM3615" s="10"/>
    </row>
    <row r="3616" spans="1:65" ht="12.75">
      <c r="A3616" s="9"/>
      <c r="B3616" s="10"/>
      <c r="C3616" s="11"/>
      <c r="D3616" s="12"/>
      <c r="E3616" s="10"/>
      <c r="F3616" s="10"/>
      <c r="G3616" s="10"/>
      <c r="H3616" s="14"/>
      <c r="I3616" s="14"/>
      <c r="J3616" s="14"/>
      <c r="K3616" s="14"/>
      <c r="L3616" s="14"/>
      <c r="M3616" s="15"/>
      <c r="N3616" s="10"/>
      <c r="O3616" s="14"/>
      <c r="P3616" s="14"/>
      <c r="Q3616" s="14"/>
      <c r="R3616" s="14"/>
      <c r="S3616" s="14"/>
      <c r="T3616" s="14"/>
      <c r="U3616" s="14"/>
      <c r="V3616" s="14"/>
      <c r="W3616" s="14"/>
      <c r="X3616" s="14"/>
      <c r="Y3616" s="14"/>
      <c r="Z3616" s="14"/>
      <c r="AA3616" s="16"/>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0"/>
      <c r="BC3616" s="10"/>
      <c r="BD3616" s="10"/>
      <c r="BE3616" s="10"/>
      <c r="BF3616" s="10"/>
      <c r="BG3616" s="10"/>
      <c r="BH3616" s="10"/>
      <c r="BI3616" s="10"/>
      <c r="BJ3616" s="10"/>
      <c r="BK3616" s="10"/>
      <c r="BM3616" s="10"/>
    </row>
    <row r="3617" spans="1:65" ht="12.75">
      <c r="A3617" s="9"/>
      <c r="B3617" s="10"/>
      <c r="C3617" s="11"/>
      <c r="D3617" s="12"/>
      <c r="E3617" s="10"/>
      <c r="F3617" s="10"/>
      <c r="G3617" s="10"/>
      <c r="H3617" s="14"/>
      <c r="I3617" s="14"/>
      <c r="J3617" s="14"/>
      <c r="K3617" s="14"/>
      <c r="L3617" s="14"/>
      <c r="M3617" s="15"/>
      <c r="N3617" s="10"/>
      <c r="O3617" s="14"/>
      <c r="P3617" s="14"/>
      <c r="Q3617" s="14"/>
      <c r="R3617" s="14"/>
      <c r="S3617" s="14"/>
      <c r="T3617" s="14"/>
      <c r="U3617" s="14"/>
      <c r="V3617" s="14"/>
      <c r="W3617" s="14"/>
      <c r="X3617" s="14"/>
      <c r="Y3617" s="14"/>
      <c r="Z3617" s="14"/>
      <c r="AA3617" s="16"/>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0"/>
      <c r="BC3617" s="10"/>
      <c r="BD3617" s="10"/>
      <c r="BE3617" s="10"/>
      <c r="BF3617" s="10"/>
      <c r="BG3617" s="10"/>
      <c r="BH3617" s="10"/>
      <c r="BI3617" s="10"/>
      <c r="BJ3617" s="10"/>
      <c r="BK3617" s="10"/>
      <c r="BM3617" s="10"/>
    </row>
    <row r="3618" spans="1:65" ht="12.75">
      <c r="A3618" s="9"/>
      <c r="B3618" s="10"/>
      <c r="C3618" s="11"/>
      <c r="D3618" s="12"/>
      <c r="E3618" s="10"/>
      <c r="F3618" s="10"/>
      <c r="G3618" s="10"/>
      <c r="H3618" s="14"/>
      <c r="I3618" s="14"/>
      <c r="J3618" s="14"/>
      <c r="K3618" s="14"/>
      <c r="L3618" s="14"/>
      <c r="M3618" s="15"/>
      <c r="N3618" s="10"/>
      <c r="O3618" s="14"/>
      <c r="P3618" s="14"/>
      <c r="Q3618" s="14"/>
      <c r="R3618" s="14"/>
      <c r="S3618" s="14"/>
      <c r="T3618" s="14"/>
      <c r="U3618" s="14"/>
      <c r="V3618" s="14"/>
      <c r="W3618" s="14"/>
      <c r="X3618" s="14"/>
      <c r="Y3618" s="14"/>
      <c r="Z3618" s="14"/>
      <c r="AA3618" s="16"/>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0"/>
      <c r="BC3618" s="10"/>
      <c r="BD3618" s="10"/>
      <c r="BE3618" s="10"/>
      <c r="BF3618" s="10"/>
      <c r="BG3618" s="10"/>
      <c r="BH3618" s="10"/>
      <c r="BI3618" s="10"/>
      <c r="BJ3618" s="10"/>
      <c r="BK3618" s="10"/>
      <c r="BM3618" s="10"/>
    </row>
    <row r="3619" spans="1:65" ht="12.75">
      <c r="A3619" s="9"/>
      <c r="B3619" s="10"/>
      <c r="C3619" s="11"/>
      <c r="D3619" s="12"/>
      <c r="E3619" s="10"/>
      <c r="F3619" s="10"/>
      <c r="G3619" s="10"/>
      <c r="H3619" s="14"/>
      <c r="I3619" s="14"/>
      <c r="J3619" s="14"/>
      <c r="K3619" s="14"/>
      <c r="L3619" s="14"/>
      <c r="M3619" s="15"/>
      <c r="N3619" s="10"/>
      <c r="O3619" s="14"/>
      <c r="P3619" s="14"/>
      <c r="Q3619" s="14"/>
      <c r="R3619" s="14"/>
      <c r="S3619" s="14"/>
      <c r="T3619" s="14"/>
      <c r="U3619" s="14"/>
      <c r="V3619" s="14"/>
      <c r="W3619" s="14"/>
      <c r="X3619" s="14"/>
      <c r="Y3619" s="14"/>
      <c r="Z3619" s="14"/>
      <c r="AA3619" s="16"/>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0"/>
      <c r="BC3619" s="10"/>
      <c r="BD3619" s="10"/>
      <c r="BE3619" s="10"/>
      <c r="BF3619" s="10"/>
      <c r="BG3619" s="10"/>
      <c r="BH3619" s="10"/>
      <c r="BI3619" s="10"/>
      <c r="BJ3619" s="10"/>
      <c r="BK3619" s="10"/>
      <c r="BM3619" s="10"/>
    </row>
    <row r="3620" spans="1:65" ht="12.75">
      <c r="A3620" s="9"/>
      <c r="B3620" s="10"/>
      <c r="C3620" s="11"/>
      <c r="D3620" s="12"/>
      <c r="E3620" s="10"/>
      <c r="F3620" s="10"/>
      <c r="G3620" s="10"/>
      <c r="H3620" s="14"/>
      <c r="I3620" s="14"/>
      <c r="J3620" s="14"/>
      <c r="K3620" s="14"/>
      <c r="L3620" s="14"/>
      <c r="M3620" s="15"/>
      <c r="N3620" s="10"/>
      <c r="O3620" s="14"/>
      <c r="P3620" s="14"/>
      <c r="Q3620" s="14"/>
      <c r="R3620" s="14"/>
      <c r="S3620" s="14"/>
      <c r="T3620" s="14"/>
      <c r="U3620" s="14"/>
      <c r="V3620" s="14"/>
      <c r="W3620" s="14"/>
      <c r="X3620" s="14"/>
      <c r="Y3620" s="14"/>
      <c r="Z3620" s="14"/>
      <c r="AA3620" s="16"/>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0"/>
      <c r="BC3620" s="10"/>
      <c r="BD3620" s="10"/>
      <c r="BE3620" s="10"/>
      <c r="BF3620" s="10"/>
      <c r="BG3620" s="10"/>
      <c r="BH3620" s="10"/>
      <c r="BI3620" s="10"/>
      <c r="BJ3620" s="10"/>
      <c r="BK3620" s="10"/>
      <c r="BM3620" s="10"/>
    </row>
    <row r="3621" spans="1:65" ht="12.75">
      <c r="A3621" s="9"/>
      <c r="B3621" s="10"/>
      <c r="C3621" s="11"/>
      <c r="D3621" s="12"/>
      <c r="E3621" s="10"/>
      <c r="F3621" s="10"/>
      <c r="G3621" s="10"/>
      <c r="H3621" s="14"/>
      <c r="I3621" s="14"/>
      <c r="J3621" s="14"/>
      <c r="K3621" s="14"/>
      <c r="L3621" s="14"/>
      <c r="M3621" s="15"/>
      <c r="N3621" s="10"/>
      <c r="O3621" s="14"/>
      <c r="P3621" s="14"/>
      <c r="Q3621" s="14"/>
      <c r="R3621" s="14"/>
      <c r="S3621" s="14"/>
      <c r="T3621" s="14"/>
      <c r="U3621" s="14"/>
      <c r="V3621" s="14"/>
      <c r="W3621" s="14"/>
      <c r="X3621" s="14"/>
      <c r="Y3621" s="14"/>
      <c r="Z3621" s="14"/>
      <c r="AA3621" s="16"/>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0"/>
      <c r="BC3621" s="10"/>
      <c r="BD3621" s="10"/>
      <c r="BE3621" s="10"/>
      <c r="BF3621" s="10"/>
      <c r="BG3621" s="10"/>
      <c r="BH3621" s="10"/>
      <c r="BI3621" s="10"/>
      <c r="BJ3621" s="10"/>
      <c r="BK3621" s="10"/>
      <c r="BM3621" s="10"/>
    </row>
    <row r="3622" spans="1:65" ht="12.75">
      <c r="A3622" s="9"/>
      <c r="B3622" s="10"/>
      <c r="C3622" s="11"/>
      <c r="D3622" s="12"/>
      <c r="E3622" s="10"/>
      <c r="F3622" s="10"/>
      <c r="G3622" s="10"/>
      <c r="H3622" s="14"/>
      <c r="I3622" s="14"/>
      <c r="J3622" s="14"/>
      <c r="K3622" s="14"/>
      <c r="L3622" s="14"/>
      <c r="M3622" s="15"/>
      <c r="N3622" s="10"/>
      <c r="O3622" s="14"/>
      <c r="P3622" s="14"/>
      <c r="Q3622" s="14"/>
      <c r="R3622" s="14"/>
      <c r="S3622" s="14"/>
      <c r="T3622" s="14"/>
      <c r="U3622" s="14"/>
      <c r="V3622" s="14"/>
      <c r="W3622" s="14"/>
      <c r="X3622" s="14"/>
      <c r="Y3622" s="14"/>
      <c r="Z3622" s="14"/>
      <c r="AA3622" s="16"/>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0"/>
      <c r="BC3622" s="10"/>
      <c r="BD3622" s="10"/>
      <c r="BE3622" s="10"/>
      <c r="BF3622" s="10"/>
      <c r="BG3622" s="10"/>
      <c r="BH3622" s="10"/>
      <c r="BI3622" s="10"/>
      <c r="BJ3622" s="10"/>
      <c r="BK3622" s="10"/>
      <c r="BM3622" s="10"/>
    </row>
    <row r="3623" spans="1:65" ht="12.75">
      <c r="A3623" s="9"/>
      <c r="B3623" s="10"/>
      <c r="C3623" s="11"/>
      <c r="D3623" s="12"/>
      <c r="E3623" s="10"/>
      <c r="F3623" s="10"/>
      <c r="G3623" s="10"/>
      <c r="H3623" s="14"/>
      <c r="I3623" s="14"/>
      <c r="J3623" s="14"/>
      <c r="K3623" s="14"/>
      <c r="L3623" s="14"/>
      <c r="M3623" s="15"/>
      <c r="N3623" s="10"/>
      <c r="O3623" s="14"/>
      <c r="P3623" s="14"/>
      <c r="Q3623" s="14"/>
      <c r="R3623" s="14"/>
      <c r="S3623" s="14"/>
      <c r="T3623" s="14"/>
      <c r="U3623" s="14"/>
      <c r="V3623" s="14"/>
      <c r="W3623" s="14"/>
      <c r="X3623" s="14"/>
      <c r="Y3623" s="14"/>
      <c r="Z3623" s="14"/>
      <c r="AA3623" s="16"/>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0"/>
      <c r="BC3623" s="10"/>
      <c r="BD3623" s="10"/>
      <c r="BE3623" s="10"/>
      <c r="BF3623" s="10"/>
      <c r="BG3623" s="10"/>
      <c r="BH3623" s="10"/>
      <c r="BI3623" s="10"/>
      <c r="BJ3623" s="10"/>
      <c r="BK3623" s="10"/>
      <c r="BM3623" s="10"/>
    </row>
    <row r="3624" spans="1:65" ht="12.75">
      <c r="A3624" s="9"/>
      <c r="B3624" s="10"/>
      <c r="C3624" s="11"/>
      <c r="D3624" s="12"/>
      <c r="E3624" s="10"/>
      <c r="F3624" s="10"/>
      <c r="G3624" s="10"/>
      <c r="H3624" s="14"/>
      <c r="I3624" s="14"/>
      <c r="J3624" s="14"/>
      <c r="K3624" s="14"/>
      <c r="L3624" s="14"/>
      <c r="M3624" s="15"/>
      <c r="N3624" s="10"/>
      <c r="O3624" s="14"/>
      <c r="P3624" s="14"/>
      <c r="Q3624" s="14"/>
      <c r="R3624" s="14"/>
      <c r="S3624" s="14"/>
      <c r="T3624" s="14"/>
      <c r="U3624" s="14"/>
      <c r="V3624" s="14"/>
      <c r="W3624" s="14"/>
      <c r="X3624" s="14"/>
      <c r="Y3624" s="14"/>
      <c r="Z3624" s="14"/>
      <c r="AA3624" s="16"/>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0"/>
      <c r="BC3624" s="10"/>
      <c r="BD3624" s="10"/>
      <c r="BE3624" s="10"/>
      <c r="BF3624" s="10"/>
      <c r="BG3624" s="10"/>
      <c r="BH3624" s="10"/>
      <c r="BI3624" s="10"/>
      <c r="BJ3624" s="10"/>
      <c r="BK3624" s="10"/>
      <c r="BM3624" s="10"/>
    </row>
    <row r="3625" spans="1:65" ht="12.75">
      <c r="A3625" s="9"/>
      <c r="B3625" s="10"/>
      <c r="C3625" s="11"/>
      <c r="D3625" s="12"/>
      <c r="E3625" s="10"/>
      <c r="F3625" s="10"/>
      <c r="G3625" s="10"/>
      <c r="H3625" s="14"/>
      <c r="I3625" s="14"/>
      <c r="J3625" s="14"/>
      <c r="K3625" s="14"/>
      <c r="L3625" s="14"/>
      <c r="M3625" s="15"/>
      <c r="N3625" s="10"/>
      <c r="O3625" s="14"/>
      <c r="P3625" s="14"/>
      <c r="Q3625" s="14"/>
      <c r="R3625" s="14"/>
      <c r="S3625" s="14"/>
      <c r="T3625" s="14"/>
      <c r="U3625" s="14"/>
      <c r="V3625" s="14"/>
      <c r="W3625" s="14"/>
      <c r="X3625" s="14"/>
      <c r="Y3625" s="14"/>
      <c r="Z3625" s="14"/>
      <c r="AA3625" s="16"/>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0"/>
      <c r="BC3625" s="10"/>
      <c r="BD3625" s="10"/>
      <c r="BE3625" s="10"/>
      <c r="BF3625" s="10"/>
      <c r="BG3625" s="10"/>
      <c r="BH3625" s="10"/>
      <c r="BI3625" s="10"/>
      <c r="BJ3625" s="10"/>
      <c r="BK3625" s="10"/>
      <c r="BM3625" s="10"/>
    </row>
    <row r="3626" spans="1:65" ht="12.75">
      <c r="A3626" s="9"/>
      <c r="B3626" s="10"/>
      <c r="C3626" s="11"/>
      <c r="D3626" s="12"/>
      <c r="E3626" s="10"/>
      <c r="F3626" s="10"/>
      <c r="G3626" s="10"/>
      <c r="H3626" s="14"/>
      <c r="I3626" s="14"/>
      <c r="J3626" s="14"/>
      <c r="K3626" s="14"/>
      <c r="L3626" s="14"/>
      <c r="M3626" s="15"/>
      <c r="N3626" s="10"/>
      <c r="O3626" s="14"/>
      <c r="P3626" s="14"/>
      <c r="Q3626" s="14"/>
      <c r="R3626" s="14"/>
      <c r="S3626" s="14"/>
      <c r="T3626" s="14"/>
      <c r="U3626" s="14"/>
      <c r="V3626" s="14"/>
      <c r="W3626" s="14"/>
      <c r="X3626" s="14"/>
      <c r="Y3626" s="14"/>
      <c r="Z3626" s="14"/>
      <c r="AA3626" s="16"/>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0"/>
      <c r="BC3626" s="10"/>
      <c r="BD3626" s="10"/>
      <c r="BE3626" s="10"/>
      <c r="BF3626" s="10"/>
      <c r="BG3626" s="10"/>
      <c r="BH3626" s="10"/>
      <c r="BI3626" s="10"/>
      <c r="BJ3626" s="10"/>
      <c r="BK3626" s="10"/>
      <c r="BM3626" s="10"/>
    </row>
    <row r="3627" spans="1:65" ht="12.75">
      <c r="A3627" s="9"/>
      <c r="B3627" s="10"/>
      <c r="C3627" s="11"/>
      <c r="D3627" s="12"/>
      <c r="E3627" s="10"/>
      <c r="F3627" s="10"/>
      <c r="G3627" s="10"/>
      <c r="H3627" s="14"/>
      <c r="I3627" s="14"/>
      <c r="J3627" s="14"/>
      <c r="K3627" s="14"/>
      <c r="L3627" s="14"/>
      <c r="M3627" s="15"/>
      <c r="N3627" s="10"/>
      <c r="O3627" s="14"/>
      <c r="P3627" s="14"/>
      <c r="Q3627" s="14"/>
      <c r="R3627" s="14"/>
      <c r="S3627" s="14"/>
      <c r="T3627" s="14"/>
      <c r="U3627" s="14"/>
      <c r="V3627" s="14"/>
      <c r="W3627" s="14"/>
      <c r="X3627" s="14"/>
      <c r="Y3627" s="14"/>
      <c r="Z3627" s="14"/>
      <c r="AA3627" s="16"/>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0"/>
      <c r="BC3627" s="10"/>
      <c r="BD3627" s="10"/>
      <c r="BE3627" s="10"/>
      <c r="BF3627" s="10"/>
      <c r="BG3627" s="10"/>
      <c r="BH3627" s="10"/>
      <c r="BI3627" s="10"/>
      <c r="BJ3627" s="10"/>
      <c r="BK3627" s="10"/>
      <c r="BM3627" s="10"/>
    </row>
    <row r="3628" spans="1:65" ht="12.75">
      <c r="A3628" s="9"/>
      <c r="B3628" s="10"/>
      <c r="C3628" s="11"/>
      <c r="D3628" s="12"/>
      <c r="E3628" s="10"/>
      <c r="F3628" s="10"/>
      <c r="G3628" s="10"/>
      <c r="H3628" s="14"/>
      <c r="I3628" s="14"/>
      <c r="J3628" s="14"/>
      <c r="K3628" s="14"/>
      <c r="L3628" s="14"/>
      <c r="M3628" s="15"/>
      <c r="N3628" s="10"/>
      <c r="O3628" s="14"/>
      <c r="P3628" s="14"/>
      <c r="Q3628" s="14"/>
      <c r="R3628" s="14"/>
      <c r="S3628" s="14"/>
      <c r="T3628" s="14"/>
      <c r="U3628" s="14"/>
      <c r="V3628" s="14"/>
      <c r="W3628" s="14"/>
      <c r="X3628" s="14"/>
      <c r="Y3628" s="14"/>
      <c r="Z3628" s="14"/>
      <c r="AA3628" s="16"/>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0"/>
      <c r="BC3628" s="10"/>
      <c r="BD3628" s="10"/>
      <c r="BE3628" s="10"/>
      <c r="BF3628" s="10"/>
      <c r="BG3628" s="10"/>
      <c r="BH3628" s="10"/>
      <c r="BI3628" s="10"/>
      <c r="BJ3628" s="10"/>
      <c r="BK3628" s="10"/>
      <c r="BM3628" s="10"/>
    </row>
    <row r="3629" spans="1:65" ht="12.75">
      <c r="A3629" s="9"/>
      <c r="B3629" s="10"/>
      <c r="C3629" s="11"/>
      <c r="D3629" s="12"/>
      <c r="E3629" s="10"/>
      <c r="F3629" s="10"/>
      <c r="G3629" s="10"/>
      <c r="H3629" s="14"/>
      <c r="I3629" s="14"/>
      <c r="J3629" s="14"/>
      <c r="K3629" s="14"/>
      <c r="L3629" s="14"/>
      <c r="M3629" s="15"/>
      <c r="N3629" s="10"/>
      <c r="O3629" s="14"/>
      <c r="P3629" s="14"/>
      <c r="Q3629" s="14"/>
      <c r="R3629" s="14"/>
      <c r="S3629" s="14"/>
      <c r="T3629" s="14"/>
      <c r="U3629" s="14"/>
      <c r="V3629" s="14"/>
      <c r="W3629" s="14"/>
      <c r="X3629" s="14"/>
      <c r="Y3629" s="14"/>
      <c r="Z3629" s="14"/>
      <c r="AA3629" s="16"/>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0"/>
      <c r="BC3629" s="10"/>
      <c r="BD3629" s="10"/>
      <c r="BE3629" s="10"/>
      <c r="BF3629" s="10"/>
      <c r="BG3629" s="10"/>
      <c r="BH3629" s="10"/>
      <c r="BI3629" s="10"/>
      <c r="BJ3629" s="10"/>
      <c r="BK3629" s="10"/>
      <c r="BM3629" s="10"/>
    </row>
    <row r="3630" spans="1:65" ht="12.75">
      <c r="A3630" s="9"/>
      <c r="B3630" s="10"/>
      <c r="C3630" s="11"/>
      <c r="D3630" s="12"/>
      <c r="E3630" s="10"/>
      <c r="F3630" s="10"/>
      <c r="G3630" s="10"/>
      <c r="H3630" s="14"/>
      <c r="I3630" s="14"/>
      <c r="J3630" s="14"/>
      <c r="K3630" s="14"/>
      <c r="L3630" s="14"/>
      <c r="M3630" s="15"/>
      <c r="N3630" s="10"/>
      <c r="O3630" s="14"/>
      <c r="P3630" s="14"/>
      <c r="Q3630" s="14"/>
      <c r="R3630" s="14"/>
      <c r="S3630" s="14"/>
      <c r="T3630" s="14"/>
      <c r="U3630" s="14"/>
      <c r="V3630" s="14"/>
      <c r="W3630" s="14"/>
      <c r="X3630" s="14"/>
      <c r="Y3630" s="14"/>
      <c r="Z3630" s="14"/>
      <c r="AA3630" s="16"/>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0"/>
      <c r="BC3630" s="10"/>
      <c r="BD3630" s="10"/>
      <c r="BE3630" s="10"/>
      <c r="BF3630" s="10"/>
      <c r="BG3630" s="10"/>
      <c r="BH3630" s="10"/>
      <c r="BI3630" s="10"/>
      <c r="BJ3630" s="10"/>
      <c r="BK3630" s="10"/>
      <c r="BM3630" s="10"/>
    </row>
    <row r="3631" spans="1:65" ht="12.75">
      <c r="A3631" s="9"/>
      <c r="B3631" s="10"/>
      <c r="C3631" s="11"/>
      <c r="D3631" s="12"/>
      <c r="E3631" s="10"/>
      <c r="F3631" s="10"/>
      <c r="G3631" s="10"/>
      <c r="H3631" s="14"/>
      <c r="I3631" s="14"/>
      <c r="J3631" s="14"/>
      <c r="K3631" s="14"/>
      <c r="L3631" s="14"/>
      <c r="M3631" s="15"/>
      <c r="N3631" s="10"/>
      <c r="O3631" s="14"/>
      <c r="P3631" s="14"/>
      <c r="Q3631" s="14"/>
      <c r="R3631" s="14"/>
      <c r="S3631" s="14"/>
      <c r="T3631" s="14"/>
      <c r="U3631" s="14"/>
      <c r="V3631" s="14"/>
      <c r="W3631" s="14"/>
      <c r="X3631" s="14"/>
      <c r="Y3631" s="14"/>
      <c r="Z3631" s="14"/>
      <c r="AA3631" s="16"/>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0"/>
      <c r="BC3631" s="10"/>
      <c r="BD3631" s="10"/>
      <c r="BE3631" s="10"/>
      <c r="BF3631" s="10"/>
      <c r="BG3631" s="10"/>
      <c r="BH3631" s="10"/>
      <c r="BI3631" s="10"/>
      <c r="BJ3631" s="10"/>
      <c r="BK3631" s="10"/>
      <c r="BM3631" s="10"/>
    </row>
    <row r="3632" spans="1:65" ht="12.75">
      <c r="A3632" s="9"/>
      <c r="B3632" s="10"/>
      <c r="C3632" s="11"/>
      <c r="D3632" s="12"/>
      <c r="E3632" s="10"/>
      <c r="F3632" s="10"/>
      <c r="G3632" s="10"/>
      <c r="H3632" s="14"/>
      <c r="I3632" s="14"/>
      <c r="J3632" s="14"/>
      <c r="K3632" s="14"/>
      <c r="L3632" s="14"/>
      <c r="M3632" s="15"/>
      <c r="N3632" s="10"/>
      <c r="O3632" s="14"/>
      <c r="P3632" s="14"/>
      <c r="Q3632" s="14"/>
      <c r="R3632" s="14"/>
      <c r="S3632" s="14"/>
      <c r="T3632" s="14"/>
      <c r="U3632" s="14"/>
      <c r="V3632" s="14"/>
      <c r="W3632" s="14"/>
      <c r="X3632" s="14"/>
      <c r="Y3632" s="14"/>
      <c r="Z3632" s="14"/>
      <c r="AA3632" s="16"/>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0"/>
      <c r="BC3632" s="10"/>
      <c r="BD3632" s="10"/>
      <c r="BE3632" s="10"/>
      <c r="BF3632" s="10"/>
      <c r="BG3632" s="10"/>
      <c r="BH3632" s="10"/>
      <c r="BI3632" s="10"/>
      <c r="BJ3632" s="10"/>
      <c r="BK3632" s="10"/>
      <c r="BM3632" s="10"/>
    </row>
    <row r="3633" spans="1:65" ht="12.75">
      <c r="A3633" s="9"/>
      <c r="B3633" s="10"/>
      <c r="C3633" s="11"/>
      <c r="D3633" s="12"/>
      <c r="E3633" s="10"/>
      <c r="F3633" s="10"/>
      <c r="G3633" s="10"/>
      <c r="H3633" s="14"/>
      <c r="I3633" s="14"/>
      <c r="J3633" s="14"/>
      <c r="K3633" s="14"/>
      <c r="L3633" s="14"/>
      <c r="M3633" s="15"/>
      <c r="N3633" s="10"/>
      <c r="O3633" s="14"/>
      <c r="P3633" s="14"/>
      <c r="Q3633" s="14"/>
      <c r="R3633" s="14"/>
      <c r="S3633" s="14"/>
      <c r="T3633" s="14"/>
      <c r="U3633" s="14"/>
      <c r="V3633" s="14"/>
      <c r="W3633" s="14"/>
      <c r="X3633" s="14"/>
      <c r="Y3633" s="14"/>
      <c r="Z3633" s="14"/>
      <c r="AA3633" s="16"/>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0"/>
      <c r="BC3633" s="10"/>
      <c r="BD3633" s="10"/>
      <c r="BE3633" s="10"/>
      <c r="BF3633" s="10"/>
      <c r="BG3633" s="10"/>
      <c r="BH3633" s="10"/>
      <c r="BI3633" s="10"/>
      <c r="BJ3633" s="10"/>
      <c r="BK3633" s="10"/>
      <c r="BM3633" s="10"/>
    </row>
    <row r="3634" spans="1:65" ht="12.75">
      <c r="A3634" s="9"/>
      <c r="B3634" s="10"/>
      <c r="C3634" s="11"/>
      <c r="D3634" s="12"/>
      <c r="E3634" s="10"/>
      <c r="F3634" s="10"/>
      <c r="G3634" s="10"/>
      <c r="H3634" s="14"/>
      <c r="I3634" s="14"/>
      <c r="J3634" s="14"/>
      <c r="K3634" s="14"/>
      <c r="L3634" s="14"/>
      <c r="M3634" s="15"/>
      <c r="N3634" s="10"/>
      <c r="O3634" s="14"/>
      <c r="P3634" s="14"/>
      <c r="Q3634" s="14"/>
      <c r="R3634" s="14"/>
      <c r="S3634" s="14"/>
      <c r="T3634" s="14"/>
      <c r="U3634" s="14"/>
      <c r="V3634" s="14"/>
      <c r="W3634" s="14"/>
      <c r="X3634" s="14"/>
      <c r="Y3634" s="14"/>
      <c r="Z3634" s="14"/>
      <c r="AA3634" s="16"/>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0"/>
      <c r="BC3634" s="10"/>
      <c r="BD3634" s="10"/>
      <c r="BE3634" s="10"/>
      <c r="BF3634" s="10"/>
      <c r="BG3634" s="10"/>
      <c r="BH3634" s="10"/>
      <c r="BI3634" s="10"/>
      <c r="BJ3634" s="10"/>
      <c r="BK3634" s="10"/>
      <c r="BM3634" s="10"/>
    </row>
    <row r="3635" spans="1:65" ht="12.75">
      <c r="A3635" s="9"/>
      <c r="B3635" s="10"/>
      <c r="C3635" s="11"/>
      <c r="D3635" s="12"/>
      <c r="E3635" s="10"/>
      <c r="F3635" s="10"/>
      <c r="G3635" s="10"/>
      <c r="H3635" s="14"/>
      <c r="I3635" s="14"/>
      <c r="J3635" s="14"/>
      <c r="K3635" s="14"/>
      <c r="L3635" s="14"/>
      <c r="M3635" s="15"/>
      <c r="N3635" s="10"/>
      <c r="O3635" s="14"/>
      <c r="P3635" s="14"/>
      <c r="Q3635" s="14"/>
      <c r="R3635" s="14"/>
      <c r="S3635" s="14"/>
      <c r="T3635" s="14"/>
      <c r="U3635" s="14"/>
      <c r="V3635" s="14"/>
      <c r="W3635" s="14"/>
      <c r="X3635" s="14"/>
      <c r="Y3635" s="14"/>
      <c r="Z3635" s="14"/>
      <c r="AA3635" s="16"/>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0"/>
      <c r="BC3635" s="10"/>
      <c r="BD3635" s="10"/>
      <c r="BE3635" s="10"/>
      <c r="BF3635" s="10"/>
      <c r="BG3635" s="10"/>
      <c r="BH3635" s="10"/>
      <c r="BI3635" s="10"/>
      <c r="BJ3635" s="10"/>
      <c r="BK3635" s="10"/>
      <c r="BM3635" s="10"/>
    </row>
    <row r="3636" spans="1:65" ht="12.75">
      <c r="A3636" s="9"/>
      <c r="B3636" s="10"/>
      <c r="C3636" s="11"/>
      <c r="D3636" s="12"/>
      <c r="E3636" s="10"/>
      <c r="F3636" s="10"/>
      <c r="G3636" s="10"/>
      <c r="H3636" s="14"/>
      <c r="I3636" s="14"/>
      <c r="J3636" s="14"/>
      <c r="K3636" s="14"/>
      <c r="L3636" s="14"/>
      <c r="M3636" s="15"/>
      <c r="N3636" s="10"/>
      <c r="O3636" s="14"/>
      <c r="P3636" s="14"/>
      <c r="Q3636" s="14"/>
      <c r="R3636" s="14"/>
      <c r="S3636" s="14"/>
      <c r="T3636" s="14"/>
      <c r="U3636" s="14"/>
      <c r="V3636" s="14"/>
      <c r="W3636" s="14"/>
      <c r="X3636" s="14"/>
      <c r="Y3636" s="14"/>
      <c r="Z3636" s="14"/>
      <c r="AA3636" s="16"/>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0"/>
      <c r="BC3636" s="10"/>
      <c r="BD3636" s="10"/>
      <c r="BE3636" s="10"/>
      <c r="BF3636" s="10"/>
      <c r="BG3636" s="10"/>
      <c r="BH3636" s="10"/>
      <c r="BI3636" s="10"/>
      <c r="BJ3636" s="10"/>
      <c r="BK3636" s="10"/>
      <c r="BM3636" s="10"/>
    </row>
    <row r="3637" spans="1:65" ht="12.75">
      <c r="A3637" s="9"/>
      <c r="B3637" s="10"/>
      <c r="C3637" s="11"/>
      <c r="D3637" s="12"/>
      <c r="E3637" s="10"/>
      <c r="F3637" s="10"/>
      <c r="G3637" s="10"/>
      <c r="H3637" s="14"/>
      <c r="I3637" s="14"/>
      <c r="J3637" s="14"/>
      <c r="K3637" s="14"/>
      <c r="L3637" s="14"/>
      <c r="M3637" s="15"/>
      <c r="N3637" s="10"/>
      <c r="O3637" s="14"/>
      <c r="P3637" s="14"/>
      <c r="Q3637" s="14"/>
      <c r="R3637" s="14"/>
      <c r="S3637" s="14"/>
      <c r="T3637" s="14"/>
      <c r="U3637" s="14"/>
      <c r="V3637" s="14"/>
      <c r="W3637" s="14"/>
      <c r="X3637" s="14"/>
      <c r="Y3637" s="14"/>
      <c r="Z3637" s="14"/>
      <c r="AA3637" s="16"/>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0"/>
      <c r="BC3637" s="10"/>
      <c r="BD3637" s="10"/>
      <c r="BE3637" s="10"/>
      <c r="BF3637" s="10"/>
      <c r="BG3637" s="10"/>
      <c r="BH3637" s="10"/>
      <c r="BI3637" s="10"/>
      <c r="BJ3637" s="10"/>
      <c r="BK3637" s="10"/>
      <c r="BM3637" s="10"/>
    </row>
    <row r="3638" spans="1:65" ht="12.75">
      <c r="A3638" s="9"/>
      <c r="B3638" s="10"/>
      <c r="C3638" s="11"/>
      <c r="D3638" s="12"/>
      <c r="E3638" s="10"/>
      <c r="F3638" s="10"/>
      <c r="G3638" s="10"/>
      <c r="H3638" s="14"/>
      <c r="I3638" s="14"/>
      <c r="J3638" s="14"/>
      <c r="K3638" s="14"/>
      <c r="L3638" s="14"/>
      <c r="M3638" s="15"/>
      <c r="N3638" s="10"/>
      <c r="O3638" s="14"/>
      <c r="P3638" s="14"/>
      <c r="Q3638" s="14"/>
      <c r="R3638" s="14"/>
      <c r="S3638" s="14"/>
      <c r="T3638" s="14"/>
      <c r="U3638" s="14"/>
      <c r="V3638" s="14"/>
      <c r="W3638" s="14"/>
      <c r="X3638" s="14"/>
      <c r="Y3638" s="14"/>
      <c r="Z3638" s="14"/>
      <c r="AA3638" s="16"/>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0"/>
      <c r="BC3638" s="10"/>
      <c r="BD3638" s="10"/>
      <c r="BE3638" s="10"/>
      <c r="BF3638" s="10"/>
      <c r="BG3638" s="10"/>
      <c r="BH3638" s="10"/>
      <c r="BI3638" s="10"/>
      <c r="BJ3638" s="10"/>
      <c r="BK3638" s="10"/>
      <c r="BM3638" s="10"/>
    </row>
    <row r="3639" spans="1:65" ht="12.75">
      <c r="A3639" s="9"/>
      <c r="B3639" s="10"/>
      <c r="C3639" s="11"/>
      <c r="D3639" s="12"/>
      <c r="E3639" s="10"/>
      <c r="F3639" s="10"/>
      <c r="G3639" s="10"/>
      <c r="H3639" s="14"/>
      <c r="I3639" s="14"/>
      <c r="J3639" s="14"/>
      <c r="K3639" s="14"/>
      <c r="L3639" s="14"/>
      <c r="M3639" s="15"/>
      <c r="N3639" s="10"/>
      <c r="O3639" s="14"/>
      <c r="P3639" s="14"/>
      <c r="Q3639" s="14"/>
      <c r="R3639" s="14"/>
      <c r="S3639" s="14"/>
      <c r="T3639" s="14"/>
      <c r="U3639" s="14"/>
      <c r="V3639" s="14"/>
      <c r="W3639" s="14"/>
      <c r="X3639" s="14"/>
      <c r="Y3639" s="14"/>
      <c r="Z3639" s="14"/>
      <c r="AA3639" s="16"/>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0"/>
      <c r="BC3639" s="10"/>
      <c r="BD3639" s="10"/>
      <c r="BE3639" s="10"/>
      <c r="BF3639" s="10"/>
      <c r="BG3639" s="10"/>
      <c r="BH3639" s="10"/>
      <c r="BI3639" s="10"/>
      <c r="BJ3639" s="10"/>
      <c r="BK3639" s="10"/>
      <c r="BM3639" s="10"/>
    </row>
    <row r="3640" spans="1:65" ht="12.75">
      <c r="A3640" s="9"/>
      <c r="B3640" s="10"/>
      <c r="C3640" s="11"/>
      <c r="D3640" s="12"/>
      <c r="E3640" s="10"/>
      <c r="F3640" s="10"/>
      <c r="G3640" s="10"/>
      <c r="H3640" s="14"/>
      <c r="I3640" s="14"/>
      <c r="J3640" s="14"/>
      <c r="K3640" s="14"/>
      <c r="L3640" s="14"/>
      <c r="M3640" s="15"/>
      <c r="N3640" s="10"/>
      <c r="O3640" s="14"/>
      <c r="P3640" s="14"/>
      <c r="Q3640" s="14"/>
      <c r="R3640" s="14"/>
      <c r="S3640" s="14"/>
      <c r="T3640" s="14"/>
      <c r="U3640" s="14"/>
      <c r="V3640" s="14"/>
      <c r="W3640" s="14"/>
      <c r="X3640" s="14"/>
      <c r="Y3640" s="14"/>
      <c r="Z3640" s="14"/>
      <c r="AA3640" s="16"/>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0"/>
      <c r="BC3640" s="10"/>
      <c r="BD3640" s="10"/>
      <c r="BE3640" s="10"/>
      <c r="BF3640" s="10"/>
      <c r="BG3640" s="10"/>
      <c r="BH3640" s="10"/>
      <c r="BI3640" s="10"/>
      <c r="BJ3640" s="10"/>
      <c r="BK3640" s="10"/>
      <c r="BM3640" s="10"/>
    </row>
    <row r="3641" spans="1:65" ht="12.75">
      <c r="A3641" s="9"/>
      <c r="B3641" s="10"/>
      <c r="C3641" s="11"/>
      <c r="D3641" s="12"/>
      <c r="E3641" s="10"/>
      <c r="F3641" s="10"/>
      <c r="G3641" s="10"/>
      <c r="H3641" s="14"/>
      <c r="I3641" s="14"/>
      <c r="J3641" s="14"/>
      <c r="K3641" s="14"/>
      <c r="L3641" s="14"/>
      <c r="M3641" s="15"/>
      <c r="N3641" s="10"/>
      <c r="O3641" s="14"/>
      <c r="P3641" s="14"/>
      <c r="Q3641" s="14"/>
      <c r="R3641" s="14"/>
      <c r="S3641" s="14"/>
      <c r="T3641" s="14"/>
      <c r="U3641" s="14"/>
      <c r="V3641" s="14"/>
      <c r="W3641" s="14"/>
      <c r="X3641" s="14"/>
      <c r="Y3641" s="14"/>
      <c r="Z3641" s="14"/>
      <c r="AA3641" s="16"/>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0"/>
      <c r="BC3641" s="10"/>
      <c r="BD3641" s="10"/>
      <c r="BE3641" s="10"/>
      <c r="BF3641" s="10"/>
      <c r="BG3641" s="10"/>
      <c r="BH3641" s="10"/>
      <c r="BI3641" s="10"/>
      <c r="BJ3641" s="10"/>
      <c r="BK3641" s="10"/>
      <c r="BM3641" s="10"/>
    </row>
    <row r="3642" spans="1:65" ht="12.75">
      <c r="A3642" s="9"/>
      <c r="B3642" s="10"/>
      <c r="C3642" s="11"/>
      <c r="D3642" s="12"/>
      <c r="E3642" s="10"/>
      <c r="F3642" s="10"/>
      <c r="G3642" s="10"/>
      <c r="H3642" s="14"/>
      <c r="I3642" s="14"/>
      <c r="J3642" s="14"/>
      <c r="K3642" s="14"/>
      <c r="L3642" s="14"/>
      <c r="M3642" s="15"/>
      <c r="N3642" s="10"/>
      <c r="O3642" s="14"/>
      <c r="P3642" s="14"/>
      <c r="Q3642" s="14"/>
      <c r="R3642" s="14"/>
      <c r="S3642" s="14"/>
      <c r="T3642" s="14"/>
      <c r="U3642" s="14"/>
      <c r="V3642" s="14"/>
      <c r="W3642" s="14"/>
      <c r="X3642" s="14"/>
      <c r="Y3642" s="14"/>
      <c r="Z3642" s="14"/>
      <c r="AA3642" s="16"/>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10"/>
      <c r="BC3642" s="10"/>
      <c r="BD3642" s="10"/>
      <c r="BE3642" s="10"/>
      <c r="BF3642" s="10"/>
      <c r="BG3642" s="10"/>
      <c r="BH3642" s="10"/>
      <c r="BI3642" s="10"/>
      <c r="BJ3642" s="10"/>
      <c r="BK3642" s="10"/>
      <c r="BM3642" s="10"/>
    </row>
    <row r="3643" spans="1:65" ht="12.75">
      <c r="A3643" s="9"/>
      <c r="B3643" s="10"/>
      <c r="C3643" s="11"/>
      <c r="D3643" s="12"/>
      <c r="E3643" s="10"/>
      <c r="F3643" s="10"/>
      <c r="G3643" s="10"/>
      <c r="H3643" s="14"/>
      <c r="I3643" s="14"/>
      <c r="J3643" s="14"/>
      <c r="K3643" s="14"/>
      <c r="L3643" s="14"/>
      <c r="M3643" s="15"/>
      <c r="N3643" s="10"/>
      <c r="O3643" s="14"/>
      <c r="P3643" s="14"/>
      <c r="Q3643" s="14"/>
      <c r="R3643" s="14"/>
      <c r="S3643" s="14"/>
      <c r="T3643" s="14"/>
      <c r="U3643" s="14"/>
      <c r="V3643" s="14"/>
      <c r="W3643" s="14"/>
      <c r="X3643" s="14"/>
      <c r="Y3643" s="14"/>
      <c r="Z3643" s="14"/>
      <c r="AA3643" s="16"/>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0"/>
      <c r="BC3643" s="10"/>
      <c r="BD3643" s="10"/>
      <c r="BE3643" s="10"/>
      <c r="BF3643" s="10"/>
      <c r="BG3643" s="10"/>
      <c r="BH3643" s="10"/>
      <c r="BI3643" s="10"/>
      <c r="BJ3643" s="10"/>
      <c r="BK3643" s="10"/>
      <c r="BM3643" s="10"/>
    </row>
    <row r="3644" spans="1:65" ht="12.75">
      <c r="A3644" s="9"/>
      <c r="B3644" s="10"/>
      <c r="C3644" s="11"/>
      <c r="D3644" s="12"/>
      <c r="E3644" s="10"/>
      <c r="F3644" s="10"/>
      <c r="G3644" s="10"/>
      <c r="H3644" s="14"/>
      <c r="I3644" s="14"/>
      <c r="J3644" s="14"/>
      <c r="K3644" s="14"/>
      <c r="L3644" s="14"/>
      <c r="M3644" s="15"/>
      <c r="N3644" s="10"/>
      <c r="O3644" s="14"/>
      <c r="P3644" s="14"/>
      <c r="Q3644" s="14"/>
      <c r="R3644" s="14"/>
      <c r="S3644" s="14"/>
      <c r="T3644" s="14"/>
      <c r="U3644" s="14"/>
      <c r="V3644" s="14"/>
      <c r="W3644" s="14"/>
      <c r="X3644" s="14"/>
      <c r="Y3644" s="14"/>
      <c r="Z3644" s="14"/>
      <c r="AA3644" s="16"/>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0"/>
      <c r="BC3644" s="10"/>
      <c r="BD3644" s="10"/>
      <c r="BE3644" s="10"/>
      <c r="BF3644" s="10"/>
      <c r="BG3644" s="10"/>
      <c r="BH3644" s="10"/>
      <c r="BI3644" s="10"/>
      <c r="BJ3644" s="10"/>
      <c r="BK3644" s="10"/>
      <c r="BM3644" s="10"/>
    </row>
    <row r="3645" spans="1:65" ht="12.75">
      <c r="A3645" s="9"/>
      <c r="B3645" s="10"/>
      <c r="C3645" s="11"/>
      <c r="D3645" s="12"/>
      <c r="E3645" s="10"/>
      <c r="F3645" s="10"/>
      <c r="G3645" s="10"/>
      <c r="H3645" s="14"/>
      <c r="I3645" s="14"/>
      <c r="J3645" s="14"/>
      <c r="K3645" s="14"/>
      <c r="L3645" s="14"/>
      <c r="M3645" s="15"/>
      <c r="N3645" s="10"/>
      <c r="O3645" s="14"/>
      <c r="P3645" s="14"/>
      <c r="Q3645" s="14"/>
      <c r="R3645" s="14"/>
      <c r="S3645" s="14"/>
      <c r="T3645" s="14"/>
      <c r="U3645" s="14"/>
      <c r="V3645" s="14"/>
      <c r="W3645" s="14"/>
      <c r="X3645" s="14"/>
      <c r="Y3645" s="14"/>
      <c r="Z3645" s="14"/>
      <c r="AA3645" s="16"/>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0"/>
      <c r="BC3645" s="10"/>
      <c r="BD3645" s="10"/>
      <c r="BE3645" s="10"/>
      <c r="BF3645" s="10"/>
      <c r="BG3645" s="10"/>
      <c r="BH3645" s="10"/>
      <c r="BI3645" s="10"/>
      <c r="BJ3645" s="10"/>
      <c r="BK3645" s="10"/>
      <c r="BM3645" s="10"/>
    </row>
    <row r="3646" spans="1:65" ht="12.75">
      <c r="A3646" s="9"/>
      <c r="B3646" s="10"/>
      <c r="C3646" s="11"/>
      <c r="D3646" s="12"/>
      <c r="E3646" s="10"/>
      <c r="F3646" s="10"/>
      <c r="G3646" s="10"/>
      <c r="H3646" s="14"/>
      <c r="I3646" s="14"/>
      <c r="J3646" s="14"/>
      <c r="K3646" s="14"/>
      <c r="L3646" s="14"/>
      <c r="M3646" s="15"/>
      <c r="N3646" s="10"/>
      <c r="O3646" s="14"/>
      <c r="P3646" s="14"/>
      <c r="Q3646" s="14"/>
      <c r="R3646" s="14"/>
      <c r="S3646" s="14"/>
      <c r="T3646" s="14"/>
      <c r="U3646" s="14"/>
      <c r="V3646" s="14"/>
      <c r="W3646" s="14"/>
      <c r="X3646" s="14"/>
      <c r="Y3646" s="14"/>
      <c r="Z3646" s="14"/>
      <c r="AA3646" s="16"/>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0"/>
      <c r="BC3646" s="10"/>
      <c r="BD3646" s="10"/>
      <c r="BE3646" s="10"/>
      <c r="BF3646" s="10"/>
      <c r="BG3646" s="10"/>
      <c r="BH3646" s="10"/>
      <c r="BI3646" s="10"/>
      <c r="BJ3646" s="10"/>
      <c r="BK3646" s="10"/>
      <c r="BM3646" s="10"/>
    </row>
    <row r="3647" spans="1:65" ht="12.75">
      <c r="A3647" s="9"/>
      <c r="B3647" s="10"/>
      <c r="C3647" s="11"/>
      <c r="D3647" s="12"/>
      <c r="E3647" s="10"/>
      <c r="F3647" s="10"/>
      <c r="G3647" s="10"/>
      <c r="H3647" s="14"/>
      <c r="I3647" s="14"/>
      <c r="J3647" s="14"/>
      <c r="K3647" s="14"/>
      <c r="L3647" s="14"/>
      <c r="M3647" s="15"/>
      <c r="N3647" s="10"/>
      <c r="O3647" s="14"/>
      <c r="P3647" s="14"/>
      <c r="Q3647" s="14"/>
      <c r="R3647" s="14"/>
      <c r="S3647" s="14"/>
      <c r="T3647" s="14"/>
      <c r="U3647" s="14"/>
      <c r="V3647" s="14"/>
      <c r="W3647" s="14"/>
      <c r="X3647" s="14"/>
      <c r="Y3647" s="14"/>
      <c r="Z3647" s="14"/>
      <c r="AA3647" s="16"/>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0"/>
      <c r="BC3647" s="10"/>
      <c r="BD3647" s="10"/>
      <c r="BE3647" s="10"/>
      <c r="BF3647" s="10"/>
      <c r="BG3647" s="10"/>
      <c r="BH3647" s="10"/>
      <c r="BI3647" s="10"/>
      <c r="BJ3647" s="10"/>
      <c r="BK3647" s="10"/>
      <c r="BM3647" s="10"/>
    </row>
    <row r="3648" spans="1:65" ht="12.75">
      <c r="A3648" s="9"/>
      <c r="B3648" s="10"/>
      <c r="C3648" s="11"/>
      <c r="D3648" s="12"/>
      <c r="E3648" s="10"/>
      <c r="F3648" s="10"/>
      <c r="G3648" s="10"/>
      <c r="H3648" s="14"/>
      <c r="I3648" s="14"/>
      <c r="J3648" s="14"/>
      <c r="K3648" s="14"/>
      <c r="L3648" s="14"/>
      <c r="M3648" s="15"/>
      <c r="N3648" s="10"/>
      <c r="O3648" s="14"/>
      <c r="P3648" s="14"/>
      <c r="Q3648" s="14"/>
      <c r="R3648" s="14"/>
      <c r="S3648" s="14"/>
      <c r="T3648" s="14"/>
      <c r="U3648" s="14"/>
      <c r="V3648" s="14"/>
      <c r="W3648" s="14"/>
      <c r="X3648" s="14"/>
      <c r="Y3648" s="14"/>
      <c r="Z3648" s="14"/>
      <c r="AA3648" s="16"/>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0"/>
      <c r="BC3648" s="10"/>
      <c r="BD3648" s="10"/>
      <c r="BE3648" s="10"/>
      <c r="BF3648" s="10"/>
      <c r="BG3648" s="10"/>
      <c r="BH3648" s="10"/>
      <c r="BI3648" s="10"/>
      <c r="BJ3648" s="10"/>
      <c r="BK3648" s="10"/>
      <c r="BM3648" s="10"/>
    </row>
    <row r="3649" spans="1:65" ht="12.75">
      <c r="A3649" s="9"/>
      <c r="B3649" s="10"/>
      <c r="C3649" s="11"/>
      <c r="D3649" s="12"/>
      <c r="E3649" s="10"/>
      <c r="F3649" s="10"/>
      <c r="G3649" s="10"/>
      <c r="H3649" s="14"/>
      <c r="I3649" s="14"/>
      <c r="J3649" s="14"/>
      <c r="K3649" s="14"/>
      <c r="L3649" s="14"/>
      <c r="M3649" s="15"/>
      <c r="N3649" s="10"/>
      <c r="O3649" s="14"/>
      <c r="P3649" s="14"/>
      <c r="Q3649" s="14"/>
      <c r="R3649" s="14"/>
      <c r="S3649" s="14"/>
      <c r="T3649" s="14"/>
      <c r="U3649" s="14"/>
      <c r="V3649" s="14"/>
      <c r="W3649" s="14"/>
      <c r="X3649" s="14"/>
      <c r="Y3649" s="14"/>
      <c r="Z3649" s="14"/>
      <c r="AA3649" s="16"/>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0"/>
      <c r="BC3649" s="10"/>
      <c r="BD3649" s="10"/>
      <c r="BE3649" s="10"/>
      <c r="BF3649" s="10"/>
      <c r="BG3649" s="10"/>
      <c r="BH3649" s="10"/>
      <c r="BI3649" s="10"/>
      <c r="BJ3649" s="10"/>
      <c r="BK3649" s="10"/>
      <c r="BM3649" s="10"/>
    </row>
    <row r="3650" spans="1:65" ht="12.75">
      <c r="A3650" s="9"/>
      <c r="B3650" s="10"/>
      <c r="C3650" s="11"/>
      <c r="D3650" s="12"/>
      <c r="E3650" s="10"/>
      <c r="F3650" s="10"/>
      <c r="G3650" s="10"/>
      <c r="H3650" s="14"/>
      <c r="I3650" s="14"/>
      <c r="J3650" s="14"/>
      <c r="K3650" s="14"/>
      <c r="L3650" s="14"/>
      <c r="M3650" s="15"/>
      <c r="N3650" s="10"/>
      <c r="O3650" s="14"/>
      <c r="P3650" s="14"/>
      <c r="Q3650" s="14"/>
      <c r="R3650" s="14"/>
      <c r="S3650" s="14"/>
      <c r="T3650" s="14"/>
      <c r="U3650" s="14"/>
      <c r="V3650" s="14"/>
      <c r="W3650" s="14"/>
      <c r="X3650" s="14"/>
      <c r="Y3650" s="14"/>
      <c r="Z3650" s="14"/>
      <c r="AA3650" s="16"/>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0"/>
      <c r="BC3650" s="10"/>
      <c r="BD3650" s="10"/>
      <c r="BE3650" s="10"/>
      <c r="BF3650" s="10"/>
      <c r="BG3650" s="10"/>
      <c r="BH3650" s="10"/>
      <c r="BI3650" s="10"/>
      <c r="BJ3650" s="10"/>
      <c r="BK3650" s="10"/>
      <c r="BM3650" s="10"/>
    </row>
    <row r="3651" spans="1:65" ht="12.75">
      <c r="A3651" s="9"/>
      <c r="B3651" s="10"/>
      <c r="C3651" s="11"/>
      <c r="D3651" s="12"/>
      <c r="E3651" s="10"/>
      <c r="F3651" s="10"/>
      <c r="G3651" s="10"/>
      <c r="H3651" s="14"/>
      <c r="I3651" s="14"/>
      <c r="J3651" s="14"/>
      <c r="K3651" s="14"/>
      <c r="L3651" s="14"/>
      <c r="M3651" s="15"/>
      <c r="N3651" s="10"/>
      <c r="O3651" s="14"/>
      <c r="P3651" s="14"/>
      <c r="Q3651" s="14"/>
      <c r="R3651" s="14"/>
      <c r="S3651" s="14"/>
      <c r="T3651" s="14"/>
      <c r="U3651" s="14"/>
      <c r="V3651" s="14"/>
      <c r="W3651" s="14"/>
      <c r="X3651" s="14"/>
      <c r="Y3651" s="14"/>
      <c r="Z3651" s="14"/>
      <c r="AA3651" s="16"/>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0"/>
      <c r="BC3651" s="10"/>
      <c r="BD3651" s="10"/>
      <c r="BE3651" s="10"/>
      <c r="BF3651" s="10"/>
      <c r="BG3651" s="10"/>
      <c r="BH3651" s="10"/>
      <c r="BI3651" s="10"/>
      <c r="BJ3651" s="10"/>
      <c r="BK3651" s="10"/>
      <c r="BM3651" s="10"/>
    </row>
    <row r="3652" spans="1:65" ht="12.75">
      <c r="A3652" s="9"/>
      <c r="B3652" s="10"/>
      <c r="C3652" s="11"/>
      <c r="D3652" s="12"/>
      <c r="E3652" s="10"/>
      <c r="F3652" s="10"/>
      <c r="G3652" s="10"/>
      <c r="H3652" s="14"/>
      <c r="I3652" s="14"/>
      <c r="J3652" s="14"/>
      <c r="K3652" s="14"/>
      <c r="L3652" s="14"/>
      <c r="M3652" s="15"/>
      <c r="N3652" s="10"/>
      <c r="O3652" s="14"/>
      <c r="P3652" s="14"/>
      <c r="Q3652" s="14"/>
      <c r="R3652" s="14"/>
      <c r="S3652" s="14"/>
      <c r="T3652" s="14"/>
      <c r="U3652" s="14"/>
      <c r="V3652" s="14"/>
      <c r="W3652" s="14"/>
      <c r="X3652" s="14"/>
      <c r="Y3652" s="14"/>
      <c r="Z3652" s="14"/>
      <c r="AA3652" s="16"/>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0"/>
      <c r="BC3652" s="10"/>
      <c r="BD3652" s="10"/>
      <c r="BE3652" s="10"/>
      <c r="BF3652" s="10"/>
      <c r="BG3652" s="10"/>
      <c r="BH3652" s="10"/>
      <c r="BI3652" s="10"/>
      <c r="BJ3652" s="10"/>
      <c r="BK3652" s="10"/>
      <c r="BM3652" s="10"/>
    </row>
    <row r="3653" spans="1:65" ht="12.75">
      <c r="A3653" s="9"/>
      <c r="B3653" s="10"/>
      <c r="C3653" s="11"/>
      <c r="D3653" s="12"/>
      <c r="E3653" s="10"/>
      <c r="F3653" s="10"/>
      <c r="G3653" s="10"/>
      <c r="H3653" s="14"/>
      <c r="I3653" s="14"/>
      <c r="J3653" s="14"/>
      <c r="K3653" s="14"/>
      <c r="L3653" s="14"/>
      <c r="M3653" s="15"/>
      <c r="N3653" s="10"/>
      <c r="O3653" s="14"/>
      <c r="P3653" s="14"/>
      <c r="Q3653" s="14"/>
      <c r="R3653" s="14"/>
      <c r="S3653" s="14"/>
      <c r="T3653" s="14"/>
      <c r="U3653" s="14"/>
      <c r="V3653" s="14"/>
      <c r="W3653" s="14"/>
      <c r="X3653" s="14"/>
      <c r="Y3653" s="14"/>
      <c r="Z3653" s="14"/>
      <c r="AA3653" s="16"/>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0"/>
      <c r="BC3653" s="10"/>
      <c r="BD3653" s="10"/>
      <c r="BE3653" s="10"/>
      <c r="BF3653" s="10"/>
      <c r="BG3653" s="10"/>
      <c r="BH3653" s="10"/>
      <c r="BI3653" s="10"/>
      <c r="BJ3653" s="10"/>
      <c r="BK3653" s="10"/>
      <c r="BM3653" s="10"/>
    </row>
    <row r="3654" spans="1:65" ht="12.75">
      <c r="A3654" s="9"/>
      <c r="B3654" s="10"/>
      <c r="C3654" s="11"/>
      <c r="D3654" s="12"/>
      <c r="E3654" s="10"/>
      <c r="F3654" s="10"/>
      <c r="G3654" s="10"/>
      <c r="H3654" s="14"/>
      <c r="I3654" s="14"/>
      <c r="J3654" s="14"/>
      <c r="K3654" s="14"/>
      <c r="L3654" s="14"/>
      <c r="M3654" s="15"/>
      <c r="N3654" s="10"/>
      <c r="O3654" s="14"/>
      <c r="P3654" s="14"/>
      <c r="Q3654" s="14"/>
      <c r="R3654" s="14"/>
      <c r="S3654" s="14"/>
      <c r="T3654" s="14"/>
      <c r="U3654" s="14"/>
      <c r="V3654" s="14"/>
      <c r="W3654" s="14"/>
      <c r="X3654" s="14"/>
      <c r="Y3654" s="14"/>
      <c r="Z3654" s="14"/>
      <c r="AA3654" s="16"/>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0"/>
      <c r="BC3654" s="10"/>
      <c r="BD3654" s="10"/>
      <c r="BE3654" s="10"/>
      <c r="BF3654" s="10"/>
      <c r="BG3654" s="10"/>
      <c r="BH3654" s="10"/>
      <c r="BI3654" s="10"/>
      <c r="BJ3654" s="10"/>
      <c r="BK3654" s="10"/>
      <c r="BM3654" s="10"/>
    </row>
    <row r="3655" spans="1:65" ht="12.75">
      <c r="A3655" s="9"/>
      <c r="B3655" s="10"/>
      <c r="C3655" s="11"/>
      <c r="D3655" s="12"/>
      <c r="E3655" s="10"/>
      <c r="F3655" s="10"/>
      <c r="G3655" s="10"/>
      <c r="H3655" s="14"/>
      <c r="I3655" s="14"/>
      <c r="J3655" s="14"/>
      <c r="K3655" s="14"/>
      <c r="L3655" s="14"/>
      <c r="M3655" s="15"/>
      <c r="N3655" s="10"/>
      <c r="O3655" s="14"/>
      <c r="P3655" s="14"/>
      <c r="Q3655" s="14"/>
      <c r="R3655" s="14"/>
      <c r="S3655" s="14"/>
      <c r="T3655" s="14"/>
      <c r="U3655" s="14"/>
      <c r="V3655" s="14"/>
      <c r="W3655" s="14"/>
      <c r="X3655" s="14"/>
      <c r="Y3655" s="14"/>
      <c r="Z3655" s="14"/>
      <c r="AA3655" s="16"/>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0"/>
      <c r="BC3655" s="10"/>
      <c r="BD3655" s="10"/>
      <c r="BE3655" s="10"/>
      <c r="BF3655" s="10"/>
      <c r="BG3655" s="10"/>
      <c r="BH3655" s="10"/>
      <c r="BI3655" s="10"/>
      <c r="BJ3655" s="10"/>
      <c r="BK3655" s="10"/>
      <c r="BM3655" s="10"/>
    </row>
    <row r="3656" spans="1:65" ht="12.75">
      <c r="A3656" s="9"/>
      <c r="B3656" s="10"/>
      <c r="C3656" s="11"/>
      <c r="D3656" s="12"/>
      <c r="E3656" s="10"/>
      <c r="F3656" s="10"/>
      <c r="G3656" s="10"/>
      <c r="H3656" s="14"/>
      <c r="I3656" s="14"/>
      <c r="J3656" s="14"/>
      <c r="K3656" s="14"/>
      <c r="L3656" s="14"/>
      <c r="M3656" s="15"/>
      <c r="N3656" s="10"/>
      <c r="O3656" s="14"/>
      <c r="P3656" s="14"/>
      <c r="Q3656" s="14"/>
      <c r="R3656" s="14"/>
      <c r="S3656" s="14"/>
      <c r="T3656" s="14"/>
      <c r="U3656" s="14"/>
      <c r="V3656" s="14"/>
      <c r="W3656" s="14"/>
      <c r="X3656" s="14"/>
      <c r="Y3656" s="14"/>
      <c r="Z3656" s="14"/>
      <c r="AA3656" s="16"/>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0"/>
      <c r="BC3656" s="10"/>
      <c r="BD3656" s="10"/>
      <c r="BE3656" s="10"/>
      <c r="BF3656" s="10"/>
      <c r="BG3656" s="10"/>
      <c r="BH3656" s="10"/>
      <c r="BI3656" s="10"/>
      <c r="BJ3656" s="10"/>
      <c r="BK3656" s="10"/>
      <c r="BM3656" s="10"/>
    </row>
    <row r="3657" spans="1:65" ht="12.75">
      <c r="A3657" s="9"/>
      <c r="B3657" s="10"/>
      <c r="C3657" s="11"/>
      <c r="D3657" s="12"/>
      <c r="E3657" s="10"/>
      <c r="F3657" s="10"/>
      <c r="G3657" s="10"/>
      <c r="H3657" s="14"/>
      <c r="I3657" s="14"/>
      <c r="J3657" s="14"/>
      <c r="K3657" s="14"/>
      <c r="L3657" s="14"/>
      <c r="M3657" s="15"/>
      <c r="N3657" s="10"/>
      <c r="O3657" s="14"/>
      <c r="P3657" s="14"/>
      <c r="Q3657" s="14"/>
      <c r="R3657" s="14"/>
      <c r="S3657" s="14"/>
      <c r="T3657" s="14"/>
      <c r="U3657" s="14"/>
      <c r="V3657" s="14"/>
      <c r="W3657" s="14"/>
      <c r="X3657" s="14"/>
      <c r="Y3657" s="14"/>
      <c r="Z3657" s="14"/>
      <c r="AA3657" s="16"/>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0"/>
      <c r="BC3657" s="10"/>
      <c r="BD3657" s="10"/>
      <c r="BE3657" s="10"/>
      <c r="BF3657" s="10"/>
      <c r="BG3657" s="10"/>
      <c r="BH3657" s="10"/>
      <c r="BI3657" s="10"/>
      <c r="BJ3657" s="10"/>
      <c r="BK3657" s="10"/>
      <c r="BM3657" s="10"/>
    </row>
    <row r="3658" spans="1:65" ht="12.75">
      <c r="A3658" s="9"/>
      <c r="B3658" s="10"/>
      <c r="C3658" s="11"/>
      <c r="D3658" s="12"/>
      <c r="E3658" s="10"/>
      <c r="F3658" s="10"/>
      <c r="G3658" s="10"/>
      <c r="H3658" s="14"/>
      <c r="I3658" s="14"/>
      <c r="J3658" s="14"/>
      <c r="K3658" s="14"/>
      <c r="L3658" s="14"/>
      <c r="M3658" s="15"/>
      <c r="N3658" s="10"/>
      <c r="O3658" s="14"/>
      <c r="P3658" s="14"/>
      <c r="Q3658" s="14"/>
      <c r="R3658" s="14"/>
      <c r="S3658" s="14"/>
      <c r="T3658" s="14"/>
      <c r="U3658" s="14"/>
      <c r="V3658" s="14"/>
      <c r="W3658" s="14"/>
      <c r="X3658" s="14"/>
      <c r="Y3658" s="14"/>
      <c r="Z3658" s="14"/>
      <c r="AA3658" s="16"/>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0"/>
      <c r="BC3658" s="10"/>
      <c r="BD3658" s="10"/>
      <c r="BE3658" s="10"/>
      <c r="BF3658" s="10"/>
      <c r="BG3658" s="10"/>
      <c r="BH3658" s="10"/>
      <c r="BI3658" s="10"/>
      <c r="BJ3658" s="10"/>
      <c r="BK3658" s="10"/>
      <c r="BM3658" s="10"/>
    </row>
    <row r="3659" spans="1:65" ht="12.75">
      <c r="A3659" s="9"/>
      <c r="B3659" s="10"/>
      <c r="C3659" s="11"/>
      <c r="D3659" s="12"/>
      <c r="E3659" s="10"/>
      <c r="F3659" s="10"/>
      <c r="G3659" s="10"/>
      <c r="H3659" s="14"/>
      <c r="I3659" s="14"/>
      <c r="J3659" s="14"/>
      <c r="K3659" s="14"/>
      <c r="L3659" s="14"/>
      <c r="M3659" s="15"/>
      <c r="N3659" s="10"/>
      <c r="O3659" s="14"/>
      <c r="P3659" s="14"/>
      <c r="Q3659" s="14"/>
      <c r="R3659" s="14"/>
      <c r="S3659" s="14"/>
      <c r="T3659" s="14"/>
      <c r="U3659" s="14"/>
      <c r="V3659" s="14"/>
      <c r="W3659" s="14"/>
      <c r="X3659" s="14"/>
      <c r="Y3659" s="14"/>
      <c r="Z3659" s="14"/>
      <c r="AA3659" s="16"/>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0"/>
      <c r="BC3659" s="10"/>
      <c r="BD3659" s="10"/>
      <c r="BE3659" s="10"/>
      <c r="BF3659" s="10"/>
      <c r="BG3659" s="10"/>
      <c r="BH3659" s="10"/>
      <c r="BI3659" s="10"/>
      <c r="BJ3659" s="10"/>
      <c r="BK3659" s="10"/>
      <c r="BM3659" s="10"/>
    </row>
    <row r="3660" spans="1:65" ht="12.75">
      <c r="A3660" s="9"/>
      <c r="B3660" s="10"/>
      <c r="C3660" s="11"/>
      <c r="D3660" s="12"/>
      <c r="E3660" s="10"/>
      <c r="F3660" s="10"/>
      <c r="G3660" s="10"/>
      <c r="H3660" s="14"/>
      <c r="I3660" s="14"/>
      <c r="J3660" s="14"/>
      <c r="K3660" s="14"/>
      <c r="L3660" s="14"/>
      <c r="M3660" s="15"/>
      <c r="N3660" s="10"/>
      <c r="O3660" s="14"/>
      <c r="P3660" s="14"/>
      <c r="Q3660" s="14"/>
      <c r="R3660" s="14"/>
      <c r="S3660" s="14"/>
      <c r="T3660" s="14"/>
      <c r="U3660" s="14"/>
      <c r="V3660" s="14"/>
      <c r="W3660" s="14"/>
      <c r="X3660" s="14"/>
      <c r="Y3660" s="14"/>
      <c r="Z3660" s="14"/>
      <c r="AA3660" s="16"/>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0"/>
      <c r="BC3660" s="10"/>
      <c r="BD3660" s="10"/>
      <c r="BE3660" s="10"/>
      <c r="BF3660" s="10"/>
      <c r="BG3660" s="10"/>
      <c r="BH3660" s="10"/>
      <c r="BI3660" s="10"/>
      <c r="BJ3660" s="10"/>
      <c r="BK3660" s="10"/>
      <c r="BM3660" s="10"/>
    </row>
    <row r="3661" spans="1:65" ht="12.75">
      <c r="A3661" s="9"/>
      <c r="B3661" s="10"/>
      <c r="C3661" s="11"/>
      <c r="D3661" s="12"/>
      <c r="E3661" s="10"/>
      <c r="F3661" s="10"/>
      <c r="G3661" s="10"/>
      <c r="H3661" s="14"/>
      <c r="I3661" s="14"/>
      <c r="J3661" s="14"/>
      <c r="K3661" s="14"/>
      <c r="L3661" s="14"/>
      <c r="M3661" s="15"/>
      <c r="N3661" s="10"/>
      <c r="O3661" s="14"/>
      <c r="P3661" s="14"/>
      <c r="Q3661" s="14"/>
      <c r="R3661" s="14"/>
      <c r="S3661" s="14"/>
      <c r="T3661" s="14"/>
      <c r="U3661" s="14"/>
      <c r="V3661" s="14"/>
      <c r="W3661" s="14"/>
      <c r="X3661" s="14"/>
      <c r="Y3661" s="14"/>
      <c r="Z3661" s="14"/>
      <c r="AA3661" s="16"/>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0"/>
      <c r="BC3661" s="10"/>
      <c r="BD3661" s="10"/>
      <c r="BE3661" s="10"/>
      <c r="BF3661" s="10"/>
      <c r="BG3661" s="10"/>
      <c r="BH3661" s="10"/>
      <c r="BI3661" s="10"/>
      <c r="BJ3661" s="10"/>
      <c r="BK3661" s="10"/>
      <c r="BM3661" s="10"/>
    </row>
    <row r="3662" spans="1:65" ht="12.75">
      <c r="A3662" s="9"/>
      <c r="B3662" s="10"/>
      <c r="C3662" s="11"/>
      <c r="D3662" s="12"/>
      <c r="E3662" s="10"/>
      <c r="F3662" s="10"/>
      <c r="G3662" s="10"/>
      <c r="H3662" s="14"/>
      <c r="I3662" s="14"/>
      <c r="J3662" s="14"/>
      <c r="K3662" s="14"/>
      <c r="L3662" s="14"/>
      <c r="M3662" s="15"/>
      <c r="N3662" s="10"/>
      <c r="O3662" s="14"/>
      <c r="P3662" s="14"/>
      <c r="Q3662" s="14"/>
      <c r="R3662" s="14"/>
      <c r="S3662" s="14"/>
      <c r="T3662" s="14"/>
      <c r="U3662" s="14"/>
      <c r="V3662" s="14"/>
      <c r="W3662" s="14"/>
      <c r="X3662" s="14"/>
      <c r="Y3662" s="14"/>
      <c r="Z3662" s="14"/>
      <c r="AA3662" s="16"/>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0"/>
      <c r="BC3662" s="10"/>
      <c r="BD3662" s="10"/>
      <c r="BE3662" s="10"/>
      <c r="BF3662" s="10"/>
      <c r="BG3662" s="10"/>
      <c r="BH3662" s="10"/>
      <c r="BI3662" s="10"/>
      <c r="BJ3662" s="10"/>
      <c r="BK3662" s="10"/>
      <c r="BM3662" s="10"/>
    </row>
    <row r="3663" spans="1:65" ht="12.75">
      <c r="A3663" s="9"/>
      <c r="B3663" s="10"/>
      <c r="C3663" s="11"/>
      <c r="D3663" s="12"/>
      <c r="E3663" s="10"/>
      <c r="F3663" s="10"/>
      <c r="G3663" s="10"/>
      <c r="H3663" s="14"/>
      <c r="I3663" s="14"/>
      <c r="J3663" s="14"/>
      <c r="K3663" s="14"/>
      <c r="L3663" s="14"/>
      <c r="M3663" s="15"/>
      <c r="N3663" s="10"/>
      <c r="O3663" s="14"/>
      <c r="P3663" s="14"/>
      <c r="Q3663" s="14"/>
      <c r="R3663" s="14"/>
      <c r="S3663" s="14"/>
      <c r="T3663" s="14"/>
      <c r="U3663" s="14"/>
      <c r="V3663" s="14"/>
      <c r="W3663" s="14"/>
      <c r="X3663" s="14"/>
      <c r="Y3663" s="14"/>
      <c r="Z3663" s="14"/>
      <c r="AA3663" s="16"/>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0"/>
      <c r="BC3663" s="10"/>
      <c r="BD3663" s="10"/>
      <c r="BE3663" s="10"/>
      <c r="BF3663" s="10"/>
      <c r="BG3663" s="10"/>
      <c r="BH3663" s="10"/>
      <c r="BI3663" s="10"/>
      <c r="BJ3663" s="10"/>
      <c r="BK3663" s="10"/>
      <c r="BM3663" s="10"/>
    </row>
    <row r="3664" spans="1:65" ht="12.75">
      <c r="A3664" s="9"/>
      <c r="B3664" s="10"/>
      <c r="C3664" s="11"/>
      <c r="D3664" s="12"/>
      <c r="E3664" s="10"/>
      <c r="F3664" s="10"/>
      <c r="G3664" s="10"/>
      <c r="H3664" s="14"/>
      <c r="I3664" s="14"/>
      <c r="J3664" s="14"/>
      <c r="K3664" s="14"/>
      <c r="L3664" s="14"/>
      <c r="M3664" s="15"/>
      <c r="N3664" s="10"/>
      <c r="O3664" s="14"/>
      <c r="P3664" s="14"/>
      <c r="Q3664" s="14"/>
      <c r="R3664" s="14"/>
      <c r="S3664" s="14"/>
      <c r="T3664" s="14"/>
      <c r="U3664" s="14"/>
      <c r="V3664" s="14"/>
      <c r="W3664" s="14"/>
      <c r="X3664" s="14"/>
      <c r="Y3664" s="14"/>
      <c r="Z3664" s="14"/>
      <c r="AA3664" s="16"/>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10"/>
      <c r="BC3664" s="10"/>
      <c r="BD3664" s="10"/>
      <c r="BE3664" s="10"/>
      <c r="BF3664" s="10"/>
      <c r="BG3664" s="10"/>
      <c r="BH3664" s="10"/>
      <c r="BI3664" s="10"/>
      <c r="BJ3664" s="10"/>
      <c r="BK3664" s="10"/>
      <c r="BM3664" s="10"/>
    </row>
    <row r="3665" spans="1:65" ht="12.75">
      <c r="A3665" s="9"/>
      <c r="B3665" s="10"/>
      <c r="C3665" s="11"/>
      <c r="D3665" s="12"/>
      <c r="E3665" s="10"/>
      <c r="F3665" s="10"/>
      <c r="G3665" s="10"/>
      <c r="H3665" s="14"/>
      <c r="I3665" s="14"/>
      <c r="J3665" s="14"/>
      <c r="K3665" s="14"/>
      <c r="L3665" s="14"/>
      <c r="M3665" s="15"/>
      <c r="N3665" s="10"/>
      <c r="O3665" s="14"/>
      <c r="P3665" s="14"/>
      <c r="Q3665" s="14"/>
      <c r="R3665" s="14"/>
      <c r="S3665" s="14"/>
      <c r="T3665" s="14"/>
      <c r="U3665" s="14"/>
      <c r="V3665" s="14"/>
      <c r="W3665" s="14"/>
      <c r="X3665" s="14"/>
      <c r="Y3665" s="14"/>
      <c r="Z3665" s="14"/>
      <c r="AA3665" s="16"/>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0"/>
      <c r="BC3665" s="10"/>
      <c r="BD3665" s="10"/>
      <c r="BE3665" s="10"/>
      <c r="BF3665" s="10"/>
      <c r="BG3665" s="10"/>
      <c r="BH3665" s="10"/>
      <c r="BI3665" s="10"/>
      <c r="BJ3665" s="10"/>
      <c r="BK3665" s="10"/>
      <c r="BM3665" s="10"/>
    </row>
    <row r="3666" spans="1:65" ht="12.75">
      <c r="A3666" s="9"/>
      <c r="B3666" s="10"/>
      <c r="C3666" s="11"/>
      <c r="D3666" s="12"/>
      <c r="E3666" s="10"/>
      <c r="F3666" s="10"/>
      <c r="G3666" s="10"/>
      <c r="H3666" s="14"/>
      <c r="I3666" s="14"/>
      <c r="J3666" s="14"/>
      <c r="K3666" s="14"/>
      <c r="L3666" s="14"/>
      <c r="M3666" s="15"/>
      <c r="N3666" s="10"/>
      <c r="O3666" s="14"/>
      <c r="P3666" s="14"/>
      <c r="Q3666" s="14"/>
      <c r="R3666" s="14"/>
      <c r="S3666" s="14"/>
      <c r="T3666" s="14"/>
      <c r="U3666" s="14"/>
      <c r="V3666" s="14"/>
      <c r="W3666" s="14"/>
      <c r="X3666" s="14"/>
      <c r="Y3666" s="14"/>
      <c r="Z3666" s="14"/>
      <c r="AA3666" s="16"/>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0"/>
      <c r="BC3666" s="10"/>
      <c r="BD3666" s="10"/>
      <c r="BE3666" s="10"/>
      <c r="BF3666" s="10"/>
      <c r="BG3666" s="10"/>
      <c r="BH3666" s="10"/>
      <c r="BI3666" s="10"/>
      <c r="BJ3666" s="10"/>
      <c r="BK3666" s="10"/>
      <c r="BM3666" s="10"/>
    </row>
    <row r="3667" spans="1:65" ht="12.75">
      <c r="A3667" s="9"/>
      <c r="B3667" s="10"/>
      <c r="C3667" s="11"/>
      <c r="D3667" s="12"/>
      <c r="E3667" s="10"/>
      <c r="F3667" s="10"/>
      <c r="G3667" s="10"/>
      <c r="H3667" s="14"/>
      <c r="I3667" s="14"/>
      <c r="J3667" s="14"/>
      <c r="K3667" s="14"/>
      <c r="L3667" s="14"/>
      <c r="M3667" s="15"/>
      <c r="N3667" s="10"/>
      <c r="O3667" s="14"/>
      <c r="P3667" s="14"/>
      <c r="Q3667" s="14"/>
      <c r="R3667" s="14"/>
      <c r="S3667" s="14"/>
      <c r="T3667" s="14"/>
      <c r="U3667" s="14"/>
      <c r="V3667" s="14"/>
      <c r="W3667" s="14"/>
      <c r="X3667" s="14"/>
      <c r="Y3667" s="14"/>
      <c r="Z3667" s="14"/>
      <c r="AA3667" s="16"/>
      <c r="AB3667" s="10"/>
      <c r="AC3667" s="10"/>
      <c r="AD3667" s="10"/>
      <c r="AE3667" s="10"/>
      <c r="AF3667" s="10"/>
      <c r="AG3667" s="10"/>
      <c r="AH3667" s="10"/>
      <c r="AI3667" s="10"/>
      <c r="AJ3667" s="10"/>
      <c r="AK3667" s="10"/>
      <c r="AL3667" s="10"/>
      <c r="AM3667" s="10"/>
      <c r="AN3667" s="10"/>
      <c r="AO3667" s="10"/>
      <c r="AP3667" s="10"/>
      <c r="AQ3667" s="10"/>
      <c r="AR3667" s="10"/>
      <c r="AS3667" s="10"/>
      <c r="AT3667" s="10"/>
      <c r="AU3667" s="10"/>
      <c r="AV3667" s="10"/>
      <c r="AW3667" s="10"/>
      <c r="AX3667" s="10"/>
      <c r="AY3667" s="10"/>
      <c r="AZ3667" s="10"/>
      <c r="BA3667" s="10"/>
      <c r="BB3667" s="10"/>
      <c r="BC3667" s="10"/>
      <c r="BD3667" s="10"/>
      <c r="BE3667" s="10"/>
      <c r="BF3667" s="10"/>
      <c r="BG3667" s="10"/>
      <c r="BH3667" s="10"/>
      <c r="BI3667" s="10"/>
      <c r="BJ3667" s="10"/>
      <c r="BK3667" s="10"/>
      <c r="BM3667" s="10"/>
    </row>
    <row r="3668" spans="1:65" ht="12.75">
      <c r="A3668" s="9"/>
      <c r="B3668" s="10"/>
      <c r="C3668" s="11"/>
      <c r="D3668" s="12"/>
      <c r="E3668" s="10"/>
      <c r="F3668" s="10"/>
      <c r="G3668" s="10"/>
      <c r="H3668" s="14"/>
      <c r="I3668" s="14"/>
      <c r="J3668" s="14"/>
      <c r="K3668" s="14"/>
      <c r="L3668" s="14"/>
      <c r="M3668" s="15"/>
      <c r="N3668" s="10"/>
      <c r="O3668" s="14"/>
      <c r="P3668" s="14"/>
      <c r="Q3668" s="14"/>
      <c r="R3668" s="14"/>
      <c r="S3668" s="14"/>
      <c r="T3668" s="14"/>
      <c r="U3668" s="14"/>
      <c r="V3668" s="14"/>
      <c r="W3668" s="14"/>
      <c r="X3668" s="14"/>
      <c r="Y3668" s="14"/>
      <c r="Z3668" s="14"/>
      <c r="AA3668" s="16"/>
      <c r="AB3668" s="10"/>
      <c r="AC3668" s="10"/>
      <c r="AD3668" s="10"/>
      <c r="AE3668" s="10"/>
      <c r="AF3668" s="10"/>
      <c r="AG3668" s="10"/>
      <c r="AH3668" s="10"/>
      <c r="AI3668" s="10"/>
      <c r="AJ3668" s="10"/>
      <c r="AK3668" s="10"/>
      <c r="AL3668" s="10"/>
      <c r="AM3668" s="10"/>
      <c r="AN3668" s="10"/>
      <c r="AO3668" s="10"/>
      <c r="AP3668" s="10"/>
      <c r="AQ3668" s="10"/>
      <c r="AR3668" s="10"/>
      <c r="AS3668" s="10"/>
      <c r="AT3668" s="10"/>
      <c r="AU3668" s="10"/>
      <c r="AV3668" s="10"/>
      <c r="AW3668" s="10"/>
      <c r="AX3668" s="10"/>
      <c r="AY3668" s="10"/>
      <c r="AZ3668" s="10"/>
      <c r="BA3668" s="10"/>
      <c r="BB3668" s="10"/>
      <c r="BC3668" s="10"/>
      <c r="BD3668" s="10"/>
      <c r="BE3668" s="10"/>
      <c r="BF3668" s="10"/>
      <c r="BG3668" s="10"/>
      <c r="BH3668" s="10"/>
      <c r="BI3668" s="10"/>
      <c r="BJ3668" s="10"/>
      <c r="BK3668" s="10"/>
      <c r="BM3668" s="10"/>
    </row>
    <row r="3669" spans="1:65" ht="12.75">
      <c r="A3669" s="9"/>
      <c r="B3669" s="10"/>
      <c r="C3669" s="11"/>
      <c r="D3669" s="12"/>
      <c r="E3669" s="10"/>
      <c r="F3669" s="10"/>
      <c r="G3669" s="10"/>
      <c r="H3669" s="14"/>
      <c r="I3669" s="14"/>
      <c r="J3669" s="14"/>
      <c r="K3669" s="14"/>
      <c r="L3669" s="14"/>
      <c r="M3669" s="15"/>
      <c r="N3669" s="10"/>
      <c r="O3669" s="14"/>
      <c r="P3669" s="14"/>
      <c r="Q3669" s="14"/>
      <c r="R3669" s="14"/>
      <c r="S3669" s="14"/>
      <c r="T3669" s="14"/>
      <c r="U3669" s="14"/>
      <c r="V3669" s="14"/>
      <c r="W3669" s="14"/>
      <c r="X3669" s="14"/>
      <c r="Y3669" s="14"/>
      <c r="Z3669" s="14"/>
      <c r="AA3669" s="16"/>
      <c r="AB3669" s="10"/>
      <c r="AC3669" s="10"/>
      <c r="AD3669" s="10"/>
      <c r="AE3669" s="10"/>
      <c r="AF3669" s="10"/>
      <c r="AG3669" s="10"/>
      <c r="AH3669" s="10"/>
      <c r="AI3669" s="10"/>
      <c r="AJ3669" s="10"/>
      <c r="AK3669" s="10"/>
      <c r="AL3669" s="10"/>
      <c r="AM3669" s="10"/>
      <c r="AN3669" s="10"/>
      <c r="AO3669" s="10"/>
      <c r="AP3669" s="10"/>
      <c r="AQ3669" s="10"/>
      <c r="AR3669" s="10"/>
      <c r="AS3669" s="10"/>
      <c r="AT3669" s="10"/>
      <c r="AU3669" s="10"/>
      <c r="AV3669" s="10"/>
      <c r="AW3669" s="10"/>
      <c r="AX3669" s="10"/>
      <c r="AY3669" s="10"/>
      <c r="AZ3669" s="10"/>
      <c r="BA3669" s="10"/>
      <c r="BB3669" s="10"/>
      <c r="BC3669" s="10"/>
      <c r="BD3669" s="10"/>
      <c r="BE3669" s="10"/>
      <c r="BF3669" s="10"/>
      <c r="BG3669" s="10"/>
      <c r="BH3669" s="10"/>
      <c r="BI3669" s="10"/>
      <c r="BJ3669" s="10"/>
      <c r="BK3669" s="10"/>
      <c r="BM3669" s="10"/>
    </row>
    <row r="3670" spans="1:65" ht="12.75">
      <c r="A3670" s="9"/>
      <c r="B3670" s="10"/>
      <c r="C3670" s="11"/>
      <c r="D3670" s="12"/>
      <c r="E3670" s="10"/>
      <c r="F3670" s="10"/>
      <c r="G3670" s="10"/>
      <c r="H3670" s="14"/>
      <c r="I3670" s="14"/>
      <c r="J3670" s="14"/>
      <c r="K3670" s="14"/>
      <c r="L3670" s="14"/>
      <c r="M3670" s="15"/>
      <c r="N3670" s="10"/>
      <c r="O3670" s="14"/>
      <c r="P3670" s="14"/>
      <c r="Q3670" s="14"/>
      <c r="R3670" s="14"/>
      <c r="S3670" s="14"/>
      <c r="T3670" s="14"/>
      <c r="U3670" s="14"/>
      <c r="V3670" s="14"/>
      <c r="W3670" s="14"/>
      <c r="X3670" s="14"/>
      <c r="Y3670" s="14"/>
      <c r="Z3670" s="14"/>
      <c r="AA3670" s="16"/>
      <c r="AB3670" s="10"/>
      <c r="AC3670" s="10"/>
      <c r="AD3670" s="10"/>
      <c r="AE3670" s="10"/>
      <c r="AF3670" s="10"/>
      <c r="AG3670" s="10"/>
      <c r="AH3670" s="10"/>
      <c r="AI3670" s="10"/>
      <c r="AJ3670" s="10"/>
      <c r="AK3670" s="10"/>
      <c r="AL3670" s="10"/>
      <c r="AM3670" s="10"/>
      <c r="AN3670" s="10"/>
      <c r="AO3670" s="10"/>
      <c r="AP3670" s="10"/>
      <c r="AQ3670" s="10"/>
      <c r="AR3670" s="10"/>
      <c r="AS3670" s="10"/>
      <c r="AT3670" s="10"/>
      <c r="AU3670" s="10"/>
      <c r="AV3670" s="10"/>
      <c r="AW3670" s="10"/>
      <c r="AX3670" s="10"/>
      <c r="AY3670" s="10"/>
      <c r="AZ3670" s="10"/>
      <c r="BA3670" s="10"/>
      <c r="BB3670" s="10"/>
      <c r="BC3670" s="10"/>
      <c r="BD3670" s="10"/>
      <c r="BE3670" s="10"/>
      <c r="BF3670" s="10"/>
      <c r="BG3670" s="10"/>
      <c r="BH3670" s="10"/>
      <c r="BI3670" s="10"/>
      <c r="BJ3670" s="10"/>
      <c r="BK3670" s="10"/>
      <c r="BM3670" s="10"/>
    </row>
    <row r="3671" spans="1:65" ht="12.75">
      <c r="A3671" s="9"/>
      <c r="B3671" s="10"/>
      <c r="C3671" s="11"/>
      <c r="D3671" s="12"/>
      <c r="E3671" s="10"/>
      <c r="F3671" s="10"/>
      <c r="G3671" s="10"/>
      <c r="H3671" s="14"/>
      <c r="I3671" s="14"/>
      <c r="J3671" s="14"/>
      <c r="K3671" s="14"/>
      <c r="L3671" s="14"/>
      <c r="M3671" s="15"/>
      <c r="N3671" s="10"/>
      <c r="O3671" s="14"/>
      <c r="P3671" s="14"/>
      <c r="Q3671" s="14"/>
      <c r="R3671" s="14"/>
      <c r="S3671" s="14"/>
      <c r="T3671" s="14"/>
      <c r="U3671" s="14"/>
      <c r="V3671" s="14"/>
      <c r="W3671" s="14"/>
      <c r="X3671" s="14"/>
      <c r="Y3671" s="14"/>
      <c r="Z3671" s="14"/>
      <c r="AA3671" s="16"/>
      <c r="AB3671" s="10"/>
      <c r="AC3671" s="10"/>
      <c r="AD3671" s="10"/>
      <c r="AE3671" s="10"/>
      <c r="AF3671" s="10"/>
      <c r="AG3671" s="10"/>
      <c r="AH3671" s="10"/>
      <c r="AI3671" s="10"/>
      <c r="AJ3671" s="10"/>
      <c r="AK3671" s="10"/>
      <c r="AL3671" s="10"/>
      <c r="AM3671" s="10"/>
      <c r="AN3671" s="10"/>
      <c r="AO3671" s="10"/>
      <c r="AP3671" s="10"/>
      <c r="AQ3671" s="10"/>
      <c r="AR3671" s="10"/>
      <c r="AS3671" s="10"/>
      <c r="AT3671" s="10"/>
      <c r="AU3671" s="10"/>
      <c r="AV3671" s="10"/>
      <c r="AW3671" s="10"/>
      <c r="AX3671" s="10"/>
      <c r="AY3671" s="10"/>
      <c r="AZ3671" s="10"/>
      <c r="BA3671" s="10"/>
      <c r="BB3671" s="10"/>
      <c r="BC3671" s="10"/>
      <c r="BD3671" s="10"/>
      <c r="BE3671" s="10"/>
      <c r="BF3671" s="10"/>
      <c r="BG3671" s="10"/>
      <c r="BH3671" s="10"/>
      <c r="BI3671" s="10"/>
      <c r="BJ3671" s="10"/>
      <c r="BK3671" s="10"/>
      <c r="BM3671" s="10"/>
    </row>
    <row r="3672" spans="1:65" ht="12.75">
      <c r="A3672" s="9"/>
      <c r="B3672" s="10"/>
      <c r="C3672" s="11"/>
      <c r="D3672" s="12"/>
      <c r="E3672" s="10"/>
      <c r="F3672" s="10"/>
      <c r="G3672" s="10"/>
      <c r="H3672" s="14"/>
      <c r="I3672" s="14"/>
      <c r="J3672" s="14"/>
      <c r="K3672" s="14"/>
      <c r="L3672" s="14"/>
      <c r="M3672" s="15"/>
      <c r="N3672" s="10"/>
      <c r="O3672" s="14"/>
      <c r="P3672" s="14"/>
      <c r="Q3672" s="14"/>
      <c r="R3672" s="14"/>
      <c r="S3672" s="14"/>
      <c r="T3672" s="14"/>
      <c r="U3672" s="14"/>
      <c r="V3672" s="14"/>
      <c r="W3672" s="14"/>
      <c r="X3672" s="14"/>
      <c r="Y3672" s="14"/>
      <c r="Z3672" s="14"/>
      <c r="AA3672" s="16"/>
      <c r="AB3672" s="10"/>
      <c r="AC3672" s="10"/>
      <c r="AD3672" s="10"/>
      <c r="AE3672" s="10"/>
      <c r="AF3672" s="10"/>
      <c r="AG3672" s="10"/>
      <c r="AH3672" s="10"/>
      <c r="AI3672" s="10"/>
      <c r="AJ3672" s="10"/>
      <c r="AK3672" s="10"/>
      <c r="AL3672" s="10"/>
      <c r="AM3672" s="10"/>
      <c r="AN3672" s="10"/>
      <c r="AO3672" s="10"/>
      <c r="AP3672" s="10"/>
      <c r="AQ3672" s="10"/>
      <c r="AR3672" s="10"/>
      <c r="AS3672" s="10"/>
      <c r="AT3672" s="10"/>
      <c r="AU3672" s="10"/>
      <c r="AV3672" s="10"/>
      <c r="AW3672" s="10"/>
      <c r="AX3672" s="10"/>
      <c r="AY3672" s="10"/>
      <c r="AZ3672" s="10"/>
      <c r="BA3672" s="10"/>
      <c r="BB3672" s="10"/>
      <c r="BC3672" s="10"/>
      <c r="BD3672" s="10"/>
      <c r="BE3672" s="10"/>
      <c r="BF3672" s="10"/>
      <c r="BG3672" s="10"/>
      <c r="BH3672" s="10"/>
      <c r="BI3672" s="10"/>
      <c r="BJ3672" s="10"/>
      <c r="BK3672" s="10"/>
      <c r="BM3672" s="10"/>
    </row>
    <row r="3673" spans="1:65" ht="12.75">
      <c r="A3673" s="9"/>
      <c r="B3673" s="10"/>
      <c r="C3673" s="11"/>
      <c r="D3673" s="12"/>
      <c r="E3673" s="10"/>
      <c r="F3673" s="10"/>
      <c r="G3673" s="10"/>
      <c r="H3673" s="14"/>
      <c r="I3673" s="14"/>
      <c r="J3673" s="14"/>
      <c r="K3673" s="14"/>
      <c r="L3673" s="14"/>
      <c r="M3673" s="15"/>
      <c r="N3673" s="10"/>
      <c r="O3673" s="14"/>
      <c r="P3673" s="14"/>
      <c r="Q3673" s="14"/>
      <c r="R3673" s="14"/>
      <c r="S3673" s="14"/>
      <c r="T3673" s="14"/>
      <c r="U3673" s="14"/>
      <c r="V3673" s="14"/>
      <c r="W3673" s="14"/>
      <c r="X3673" s="14"/>
      <c r="Y3673" s="14"/>
      <c r="Z3673" s="14"/>
      <c r="AA3673" s="16"/>
      <c r="AB3673" s="10"/>
      <c r="AC3673" s="10"/>
      <c r="AD3673" s="10"/>
      <c r="AE3673" s="10"/>
      <c r="AF3673" s="10"/>
      <c r="AG3673" s="10"/>
      <c r="AH3673" s="10"/>
      <c r="AI3673" s="10"/>
      <c r="AJ3673" s="10"/>
      <c r="AK3673" s="10"/>
      <c r="AL3673" s="10"/>
      <c r="AM3673" s="10"/>
      <c r="AN3673" s="10"/>
      <c r="AO3673" s="10"/>
      <c r="AP3673" s="10"/>
      <c r="AQ3673" s="10"/>
      <c r="AR3673" s="10"/>
      <c r="AS3673" s="10"/>
      <c r="AT3673" s="10"/>
      <c r="AU3673" s="10"/>
      <c r="AV3673" s="10"/>
      <c r="AW3673" s="10"/>
      <c r="AX3673" s="10"/>
      <c r="AY3673" s="10"/>
      <c r="AZ3673" s="10"/>
      <c r="BA3673" s="10"/>
      <c r="BB3673" s="10"/>
      <c r="BC3673" s="10"/>
      <c r="BD3673" s="10"/>
      <c r="BE3673" s="10"/>
      <c r="BF3673" s="10"/>
      <c r="BG3673" s="10"/>
      <c r="BH3673" s="10"/>
      <c r="BI3673" s="10"/>
      <c r="BJ3673" s="10"/>
      <c r="BK3673" s="10"/>
      <c r="BM3673" s="10"/>
    </row>
    <row r="3674" spans="1:65" ht="12.75">
      <c r="A3674" s="9"/>
      <c r="B3674" s="10"/>
      <c r="C3674" s="11"/>
      <c r="D3674" s="12"/>
      <c r="E3674" s="10"/>
      <c r="F3674" s="10"/>
      <c r="G3674" s="10"/>
      <c r="H3674" s="14"/>
      <c r="I3674" s="14"/>
      <c r="J3674" s="14"/>
      <c r="K3674" s="14"/>
      <c r="L3674" s="14"/>
      <c r="M3674" s="15"/>
      <c r="N3674" s="10"/>
      <c r="O3674" s="14"/>
      <c r="P3674" s="14"/>
      <c r="Q3674" s="14"/>
      <c r="R3674" s="14"/>
      <c r="S3674" s="14"/>
      <c r="T3674" s="14"/>
      <c r="U3674" s="14"/>
      <c r="V3674" s="14"/>
      <c r="W3674" s="14"/>
      <c r="X3674" s="14"/>
      <c r="Y3674" s="14"/>
      <c r="Z3674" s="14"/>
      <c r="AA3674" s="16"/>
      <c r="AB3674" s="10"/>
      <c r="AC3674" s="10"/>
      <c r="AD3674" s="10"/>
      <c r="AE3674" s="10"/>
      <c r="AF3674" s="10"/>
      <c r="AG3674" s="10"/>
      <c r="AH3674" s="10"/>
      <c r="AI3674" s="10"/>
      <c r="AJ3674" s="10"/>
      <c r="AK3674" s="10"/>
      <c r="AL3674" s="10"/>
      <c r="AM3674" s="10"/>
      <c r="AN3674" s="10"/>
      <c r="AO3674" s="10"/>
      <c r="AP3674" s="10"/>
      <c r="AQ3674" s="10"/>
      <c r="AR3674" s="10"/>
      <c r="AS3674" s="10"/>
      <c r="AT3674" s="10"/>
      <c r="AU3674" s="10"/>
      <c r="AV3674" s="10"/>
      <c r="AW3674" s="10"/>
      <c r="AX3674" s="10"/>
      <c r="AY3674" s="10"/>
      <c r="AZ3674" s="10"/>
      <c r="BA3674" s="10"/>
      <c r="BB3674" s="10"/>
      <c r="BC3674" s="10"/>
      <c r="BD3674" s="10"/>
      <c r="BE3674" s="10"/>
      <c r="BF3674" s="10"/>
      <c r="BG3674" s="10"/>
      <c r="BH3674" s="10"/>
      <c r="BI3674" s="10"/>
      <c r="BJ3674" s="10"/>
      <c r="BK3674" s="10"/>
      <c r="BM3674" s="10"/>
    </row>
    <row r="3675" spans="1:65" ht="12.75">
      <c r="A3675" s="9"/>
      <c r="B3675" s="10"/>
      <c r="C3675" s="11"/>
      <c r="D3675" s="12"/>
      <c r="E3675" s="10"/>
      <c r="F3675" s="10"/>
      <c r="G3675" s="10"/>
      <c r="H3675" s="14"/>
      <c r="I3675" s="14"/>
      <c r="J3675" s="14"/>
      <c r="K3675" s="14"/>
      <c r="L3675" s="14"/>
      <c r="M3675" s="15"/>
      <c r="N3675" s="10"/>
      <c r="O3675" s="14"/>
      <c r="P3675" s="14"/>
      <c r="Q3675" s="14"/>
      <c r="R3675" s="14"/>
      <c r="S3675" s="14"/>
      <c r="T3675" s="14"/>
      <c r="U3675" s="14"/>
      <c r="V3675" s="14"/>
      <c r="W3675" s="14"/>
      <c r="X3675" s="14"/>
      <c r="Y3675" s="14"/>
      <c r="Z3675" s="14"/>
      <c r="AA3675" s="16"/>
      <c r="AB3675" s="10"/>
      <c r="AC3675" s="10"/>
      <c r="AD3675" s="10"/>
      <c r="AE3675" s="10"/>
      <c r="AF3675" s="10"/>
      <c r="AG3675" s="10"/>
      <c r="AH3675" s="10"/>
      <c r="AI3675" s="10"/>
      <c r="AJ3675" s="10"/>
      <c r="AK3675" s="10"/>
      <c r="AL3675" s="10"/>
      <c r="AM3675" s="10"/>
      <c r="AN3675" s="10"/>
      <c r="AO3675" s="10"/>
      <c r="AP3675" s="10"/>
      <c r="AQ3675" s="10"/>
      <c r="AR3675" s="10"/>
      <c r="AS3675" s="10"/>
      <c r="AT3675" s="10"/>
      <c r="AU3675" s="10"/>
      <c r="AV3675" s="10"/>
      <c r="AW3675" s="10"/>
      <c r="AX3675" s="10"/>
      <c r="AY3675" s="10"/>
      <c r="AZ3675" s="10"/>
      <c r="BA3675" s="10"/>
      <c r="BB3675" s="10"/>
      <c r="BC3675" s="10"/>
      <c r="BD3675" s="10"/>
      <c r="BE3675" s="10"/>
      <c r="BF3675" s="10"/>
      <c r="BG3675" s="10"/>
      <c r="BH3675" s="10"/>
      <c r="BI3675" s="10"/>
      <c r="BJ3675" s="10"/>
      <c r="BK3675" s="10"/>
      <c r="BM3675" s="10"/>
    </row>
    <row r="3676" spans="1:65" ht="12.75">
      <c r="A3676" s="9"/>
      <c r="B3676" s="10"/>
      <c r="C3676" s="11"/>
      <c r="D3676" s="12"/>
      <c r="E3676" s="10"/>
      <c r="F3676" s="10"/>
      <c r="G3676" s="10"/>
      <c r="H3676" s="14"/>
      <c r="I3676" s="14"/>
      <c r="J3676" s="14"/>
      <c r="K3676" s="14"/>
      <c r="L3676" s="14"/>
      <c r="M3676" s="15"/>
      <c r="N3676" s="10"/>
      <c r="O3676" s="14"/>
      <c r="P3676" s="14"/>
      <c r="Q3676" s="14"/>
      <c r="R3676" s="14"/>
      <c r="S3676" s="14"/>
      <c r="T3676" s="14"/>
      <c r="U3676" s="14"/>
      <c r="V3676" s="14"/>
      <c r="W3676" s="14"/>
      <c r="X3676" s="14"/>
      <c r="Y3676" s="14"/>
      <c r="Z3676" s="14"/>
      <c r="AA3676" s="16"/>
      <c r="AB3676" s="10"/>
      <c r="AC3676" s="10"/>
      <c r="AD3676" s="10"/>
      <c r="AE3676" s="10"/>
      <c r="AF3676" s="10"/>
      <c r="AG3676" s="10"/>
      <c r="AH3676" s="10"/>
      <c r="AI3676" s="10"/>
      <c r="AJ3676" s="10"/>
      <c r="AK3676" s="10"/>
      <c r="AL3676" s="10"/>
      <c r="AM3676" s="10"/>
      <c r="AN3676" s="10"/>
      <c r="AO3676" s="10"/>
      <c r="AP3676" s="10"/>
      <c r="AQ3676" s="10"/>
      <c r="AR3676" s="10"/>
      <c r="AS3676" s="10"/>
      <c r="AT3676" s="10"/>
      <c r="AU3676" s="10"/>
      <c r="AV3676" s="10"/>
      <c r="AW3676" s="10"/>
      <c r="AX3676" s="10"/>
      <c r="AY3676" s="10"/>
      <c r="AZ3676" s="10"/>
      <c r="BA3676" s="10"/>
      <c r="BB3676" s="10"/>
      <c r="BC3676" s="10"/>
      <c r="BD3676" s="10"/>
      <c r="BE3676" s="10"/>
      <c r="BF3676" s="10"/>
      <c r="BG3676" s="10"/>
      <c r="BH3676" s="10"/>
      <c r="BI3676" s="10"/>
      <c r="BJ3676" s="10"/>
      <c r="BK3676" s="10"/>
      <c r="BM3676" s="10"/>
    </row>
    <row r="3677" spans="1:65" ht="12.75">
      <c r="A3677" s="9"/>
      <c r="B3677" s="10"/>
      <c r="C3677" s="11"/>
      <c r="D3677" s="12"/>
      <c r="E3677" s="10"/>
      <c r="F3677" s="10"/>
      <c r="G3677" s="10"/>
      <c r="H3677" s="14"/>
      <c r="I3677" s="14"/>
      <c r="J3677" s="14"/>
      <c r="K3677" s="14"/>
      <c r="L3677" s="14"/>
      <c r="M3677" s="15"/>
      <c r="N3677" s="10"/>
      <c r="O3677" s="14"/>
      <c r="P3677" s="14"/>
      <c r="Q3677" s="14"/>
      <c r="R3677" s="14"/>
      <c r="S3677" s="14"/>
      <c r="T3677" s="14"/>
      <c r="U3677" s="14"/>
      <c r="V3677" s="14"/>
      <c r="W3677" s="14"/>
      <c r="X3677" s="14"/>
      <c r="Y3677" s="14"/>
      <c r="Z3677" s="14"/>
      <c r="AA3677" s="16"/>
      <c r="AB3677" s="10"/>
      <c r="AC3677" s="10"/>
      <c r="AD3677" s="10"/>
      <c r="AE3677" s="10"/>
      <c r="AF3677" s="10"/>
      <c r="AG3677" s="10"/>
      <c r="AH3677" s="10"/>
      <c r="AI3677" s="10"/>
      <c r="AJ3677" s="10"/>
      <c r="AK3677" s="10"/>
      <c r="AL3677" s="10"/>
      <c r="AM3677" s="10"/>
      <c r="AN3677" s="10"/>
      <c r="AO3677" s="10"/>
      <c r="AP3677" s="10"/>
      <c r="AQ3677" s="10"/>
      <c r="AR3677" s="10"/>
      <c r="AS3677" s="10"/>
      <c r="AT3677" s="10"/>
      <c r="AU3677" s="10"/>
      <c r="AV3677" s="10"/>
      <c r="AW3677" s="10"/>
      <c r="AX3677" s="10"/>
      <c r="AY3677" s="10"/>
      <c r="AZ3677" s="10"/>
      <c r="BA3677" s="10"/>
      <c r="BB3677" s="10"/>
      <c r="BC3677" s="10"/>
      <c r="BD3677" s="10"/>
      <c r="BE3677" s="10"/>
      <c r="BF3677" s="10"/>
      <c r="BG3677" s="10"/>
      <c r="BH3677" s="10"/>
      <c r="BI3677" s="10"/>
      <c r="BJ3677" s="10"/>
      <c r="BK3677" s="10"/>
      <c r="BM3677" s="10"/>
    </row>
    <row r="3678" spans="1:65" ht="12.75">
      <c r="A3678" s="9"/>
      <c r="B3678" s="10"/>
      <c r="C3678" s="11"/>
      <c r="D3678" s="12"/>
      <c r="E3678" s="10"/>
      <c r="F3678" s="10"/>
      <c r="G3678" s="10"/>
      <c r="H3678" s="14"/>
      <c r="I3678" s="14"/>
      <c r="J3678" s="14"/>
      <c r="K3678" s="14"/>
      <c r="L3678" s="14"/>
      <c r="M3678" s="15"/>
      <c r="N3678" s="10"/>
      <c r="O3678" s="14"/>
      <c r="P3678" s="14"/>
      <c r="Q3678" s="14"/>
      <c r="R3678" s="14"/>
      <c r="S3678" s="14"/>
      <c r="T3678" s="14"/>
      <c r="U3678" s="14"/>
      <c r="V3678" s="14"/>
      <c r="W3678" s="14"/>
      <c r="X3678" s="14"/>
      <c r="Y3678" s="14"/>
      <c r="Z3678" s="14"/>
      <c r="AA3678" s="16"/>
      <c r="AB3678" s="10"/>
      <c r="AC3678" s="10"/>
      <c r="AD3678" s="10"/>
      <c r="AE3678" s="10"/>
      <c r="AF3678" s="10"/>
      <c r="AG3678" s="10"/>
      <c r="AH3678" s="10"/>
      <c r="AI3678" s="10"/>
      <c r="AJ3678" s="10"/>
      <c r="AK3678" s="10"/>
      <c r="AL3678" s="10"/>
      <c r="AM3678" s="10"/>
      <c r="AN3678" s="10"/>
      <c r="AO3678" s="10"/>
      <c r="AP3678" s="10"/>
      <c r="AQ3678" s="10"/>
      <c r="AR3678" s="10"/>
      <c r="AS3678" s="10"/>
      <c r="AT3678" s="10"/>
      <c r="AU3678" s="10"/>
      <c r="AV3678" s="10"/>
      <c r="AW3678" s="10"/>
      <c r="AX3678" s="10"/>
      <c r="AY3678" s="10"/>
      <c r="AZ3678" s="10"/>
      <c r="BA3678" s="10"/>
      <c r="BB3678" s="10"/>
      <c r="BC3678" s="10"/>
      <c r="BD3678" s="10"/>
      <c r="BE3678" s="10"/>
      <c r="BF3678" s="10"/>
      <c r="BG3678" s="10"/>
      <c r="BH3678" s="10"/>
      <c r="BI3678" s="10"/>
      <c r="BJ3678" s="10"/>
      <c r="BK3678" s="10"/>
      <c r="BM3678" s="10"/>
    </row>
    <row r="3679" spans="1:65" ht="12.75">
      <c r="A3679" s="9"/>
      <c r="B3679" s="10"/>
      <c r="C3679" s="11"/>
      <c r="D3679" s="12"/>
      <c r="E3679" s="10"/>
      <c r="F3679" s="10"/>
      <c r="G3679" s="10"/>
      <c r="H3679" s="14"/>
      <c r="I3679" s="14"/>
      <c r="J3679" s="14"/>
      <c r="K3679" s="14"/>
      <c r="L3679" s="14"/>
      <c r="M3679" s="15"/>
      <c r="N3679" s="10"/>
      <c r="O3679" s="14"/>
      <c r="P3679" s="14"/>
      <c r="Q3679" s="14"/>
      <c r="R3679" s="14"/>
      <c r="S3679" s="14"/>
      <c r="T3679" s="14"/>
      <c r="U3679" s="14"/>
      <c r="V3679" s="14"/>
      <c r="W3679" s="14"/>
      <c r="X3679" s="14"/>
      <c r="Y3679" s="14"/>
      <c r="Z3679" s="14"/>
      <c r="AA3679" s="16"/>
      <c r="AB3679" s="10"/>
      <c r="AC3679" s="10"/>
      <c r="AD3679" s="10"/>
      <c r="AE3679" s="10"/>
      <c r="AF3679" s="10"/>
      <c r="AG3679" s="10"/>
      <c r="AH3679" s="10"/>
      <c r="AI3679" s="10"/>
      <c r="AJ3679" s="10"/>
      <c r="AK3679" s="10"/>
      <c r="AL3679" s="10"/>
      <c r="AM3679" s="10"/>
      <c r="AN3679" s="10"/>
      <c r="AO3679" s="10"/>
      <c r="AP3679" s="10"/>
      <c r="AQ3679" s="10"/>
      <c r="AR3679" s="10"/>
      <c r="AS3679" s="10"/>
      <c r="AT3679" s="10"/>
      <c r="AU3679" s="10"/>
      <c r="AV3679" s="10"/>
      <c r="AW3679" s="10"/>
      <c r="AX3679" s="10"/>
      <c r="AY3679" s="10"/>
      <c r="AZ3679" s="10"/>
      <c r="BA3679" s="10"/>
      <c r="BB3679" s="10"/>
      <c r="BC3679" s="10"/>
      <c r="BD3679" s="10"/>
      <c r="BE3679" s="10"/>
      <c r="BF3679" s="10"/>
      <c r="BG3679" s="10"/>
      <c r="BH3679" s="10"/>
      <c r="BI3679" s="10"/>
      <c r="BJ3679" s="10"/>
      <c r="BK3679" s="10"/>
      <c r="BM3679" s="10"/>
    </row>
    <row r="3680" spans="1:65" ht="12.75">
      <c r="A3680" s="9"/>
      <c r="B3680" s="10"/>
      <c r="C3680" s="11"/>
      <c r="D3680" s="12"/>
      <c r="E3680" s="10"/>
      <c r="F3680" s="10"/>
      <c r="G3680" s="10"/>
      <c r="H3680" s="14"/>
      <c r="I3680" s="14"/>
      <c r="J3680" s="14"/>
      <c r="K3680" s="14"/>
      <c r="L3680" s="14"/>
      <c r="M3680" s="15"/>
      <c r="N3680" s="10"/>
      <c r="O3680" s="14"/>
      <c r="P3680" s="14"/>
      <c r="Q3680" s="14"/>
      <c r="R3680" s="14"/>
      <c r="S3680" s="14"/>
      <c r="T3680" s="14"/>
      <c r="U3680" s="14"/>
      <c r="V3680" s="14"/>
      <c r="W3680" s="14"/>
      <c r="X3680" s="14"/>
      <c r="Y3680" s="14"/>
      <c r="Z3680" s="14"/>
      <c r="AA3680" s="16"/>
      <c r="AB3680" s="10"/>
      <c r="AC3680" s="10"/>
      <c r="AD3680" s="10"/>
      <c r="AE3680" s="10"/>
      <c r="AF3680" s="10"/>
      <c r="AG3680" s="10"/>
      <c r="AH3680" s="10"/>
      <c r="AI3680" s="10"/>
      <c r="AJ3680" s="10"/>
      <c r="AK3680" s="10"/>
      <c r="AL3680" s="10"/>
      <c r="AM3680" s="10"/>
      <c r="AN3680" s="10"/>
      <c r="AO3680" s="10"/>
      <c r="AP3680" s="10"/>
      <c r="AQ3680" s="10"/>
      <c r="AR3680" s="10"/>
      <c r="AS3680" s="10"/>
      <c r="AT3680" s="10"/>
      <c r="AU3680" s="10"/>
      <c r="AV3680" s="10"/>
      <c r="AW3680" s="10"/>
      <c r="AX3680" s="10"/>
      <c r="AY3680" s="10"/>
      <c r="AZ3680" s="10"/>
      <c r="BA3680" s="10"/>
      <c r="BB3680" s="10"/>
      <c r="BC3680" s="10"/>
      <c r="BD3680" s="10"/>
      <c r="BE3680" s="10"/>
      <c r="BF3680" s="10"/>
      <c r="BG3680" s="10"/>
      <c r="BH3680" s="10"/>
      <c r="BI3680" s="10"/>
      <c r="BJ3680" s="10"/>
      <c r="BK3680" s="10"/>
      <c r="BM3680" s="10"/>
    </row>
    <row r="3681" spans="1:65" ht="12.75">
      <c r="A3681" s="9"/>
      <c r="B3681" s="10"/>
      <c r="C3681" s="11"/>
      <c r="D3681" s="12"/>
      <c r="E3681" s="10"/>
      <c r="F3681" s="10"/>
      <c r="G3681" s="10"/>
      <c r="H3681" s="14"/>
      <c r="I3681" s="14"/>
      <c r="J3681" s="14"/>
      <c r="K3681" s="14"/>
      <c r="L3681" s="14"/>
      <c r="M3681" s="15"/>
      <c r="N3681" s="10"/>
      <c r="O3681" s="14"/>
      <c r="P3681" s="14"/>
      <c r="Q3681" s="14"/>
      <c r="R3681" s="14"/>
      <c r="S3681" s="14"/>
      <c r="T3681" s="14"/>
      <c r="U3681" s="14"/>
      <c r="V3681" s="14"/>
      <c r="W3681" s="14"/>
      <c r="X3681" s="14"/>
      <c r="Y3681" s="14"/>
      <c r="Z3681" s="14"/>
      <c r="AA3681" s="16"/>
      <c r="AB3681" s="10"/>
      <c r="AC3681" s="10"/>
      <c r="AD3681" s="10"/>
      <c r="AE3681" s="10"/>
      <c r="AF3681" s="10"/>
      <c r="AG3681" s="10"/>
      <c r="AH3681" s="10"/>
      <c r="AI3681" s="10"/>
      <c r="AJ3681" s="10"/>
      <c r="AK3681" s="10"/>
      <c r="AL3681" s="10"/>
      <c r="AM3681" s="10"/>
      <c r="AN3681" s="10"/>
      <c r="AO3681" s="10"/>
      <c r="AP3681" s="10"/>
      <c r="AQ3681" s="10"/>
      <c r="AR3681" s="10"/>
      <c r="AS3681" s="10"/>
      <c r="AT3681" s="10"/>
      <c r="AU3681" s="10"/>
      <c r="AV3681" s="10"/>
      <c r="AW3681" s="10"/>
      <c r="AX3681" s="10"/>
      <c r="AY3681" s="10"/>
      <c r="AZ3681" s="10"/>
      <c r="BA3681" s="10"/>
      <c r="BB3681" s="10"/>
      <c r="BC3681" s="10"/>
      <c r="BD3681" s="10"/>
      <c r="BE3681" s="10"/>
      <c r="BF3681" s="10"/>
      <c r="BG3681" s="10"/>
      <c r="BH3681" s="10"/>
      <c r="BI3681" s="10"/>
      <c r="BJ3681" s="10"/>
      <c r="BK3681" s="10"/>
      <c r="BM3681" s="10"/>
    </row>
    <row r="3682" spans="1:65" ht="12.75">
      <c r="A3682" s="9"/>
      <c r="B3682" s="10"/>
      <c r="C3682" s="11"/>
      <c r="D3682" s="12"/>
      <c r="E3682" s="10"/>
      <c r="F3682" s="10"/>
      <c r="G3682" s="10"/>
      <c r="H3682" s="14"/>
      <c r="I3682" s="14"/>
      <c r="J3682" s="14"/>
      <c r="K3682" s="14"/>
      <c r="L3682" s="14"/>
      <c r="M3682" s="15"/>
      <c r="N3682" s="10"/>
      <c r="O3682" s="14"/>
      <c r="P3682" s="14"/>
      <c r="Q3682" s="14"/>
      <c r="R3682" s="14"/>
      <c r="S3682" s="14"/>
      <c r="T3682" s="14"/>
      <c r="U3682" s="14"/>
      <c r="V3682" s="14"/>
      <c r="W3682" s="14"/>
      <c r="X3682" s="14"/>
      <c r="Y3682" s="14"/>
      <c r="Z3682" s="14"/>
      <c r="AA3682" s="16"/>
      <c r="AB3682" s="10"/>
      <c r="AC3682" s="10"/>
      <c r="AD3682" s="10"/>
      <c r="AE3682" s="10"/>
      <c r="AF3682" s="10"/>
      <c r="AG3682" s="10"/>
      <c r="AH3682" s="10"/>
      <c r="AI3682" s="10"/>
      <c r="AJ3682" s="10"/>
      <c r="AK3682" s="10"/>
      <c r="AL3682" s="10"/>
      <c r="AM3682" s="10"/>
      <c r="AN3682" s="10"/>
      <c r="AO3682" s="10"/>
      <c r="AP3682" s="10"/>
      <c r="AQ3682" s="10"/>
      <c r="AR3682" s="10"/>
      <c r="AS3682" s="10"/>
      <c r="AT3682" s="10"/>
      <c r="AU3682" s="10"/>
      <c r="AV3682" s="10"/>
      <c r="AW3682" s="10"/>
      <c r="AX3682" s="10"/>
      <c r="AY3682" s="10"/>
      <c r="AZ3682" s="10"/>
      <c r="BA3682" s="10"/>
      <c r="BB3682" s="10"/>
      <c r="BC3682" s="10"/>
      <c r="BD3682" s="10"/>
      <c r="BE3682" s="10"/>
      <c r="BF3682" s="10"/>
      <c r="BG3682" s="10"/>
      <c r="BH3682" s="10"/>
      <c r="BI3682" s="10"/>
      <c r="BJ3682" s="10"/>
      <c r="BK3682" s="10"/>
      <c r="BM3682" s="10"/>
    </row>
    <row r="3683" spans="1:65" ht="12.75">
      <c r="A3683" s="9"/>
      <c r="B3683" s="10"/>
      <c r="C3683" s="11"/>
      <c r="D3683" s="12"/>
      <c r="E3683" s="10"/>
      <c r="F3683" s="10"/>
      <c r="G3683" s="10"/>
      <c r="H3683" s="14"/>
      <c r="I3683" s="14"/>
      <c r="J3683" s="14"/>
      <c r="K3683" s="14"/>
      <c r="L3683" s="14"/>
      <c r="M3683" s="15"/>
      <c r="N3683" s="10"/>
      <c r="O3683" s="14"/>
      <c r="P3683" s="14"/>
      <c r="Q3683" s="14"/>
      <c r="R3683" s="14"/>
      <c r="S3683" s="14"/>
      <c r="T3683" s="14"/>
      <c r="U3683" s="14"/>
      <c r="V3683" s="14"/>
      <c r="W3683" s="14"/>
      <c r="X3683" s="14"/>
      <c r="Y3683" s="14"/>
      <c r="Z3683" s="14"/>
      <c r="AA3683" s="16"/>
      <c r="AB3683" s="10"/>
      <c r="AC3683" s="10"/>
      <c r="AD3683" s="10"/>
      <c r="AE3683" s="10"/>
      <c r="AF3683" s="10"/>
      <c r="AG3683" s="10"/>
      <c r="AH3683" s="10"/>
      <c r="AI3683" s="10"/>
      <c r="AJ3683" s="10"/>
      <c r="AK3683" s="10"/>
      <c r="AL3683" s="10"/>
      <c r="AM3683" s="10"/>
      <c r="AN3683" s="10"/>
      <c r="AO3683" s="10"/>
      <c r="AP3683" s="10"/>
      <c r="AQ3683" s="10"/>
      <c r="AR3683" s="10"/>
      <c r="AS3683" s="10"/>
      <c r="AT3683" s="10"/>
      <c r="AU3683" s="10"/>
      <c r="AV3683" s="10"/>
      <c r="AW3683" s="10"/>
      <c r="AX3683" s="10"/>
      <c r="AY3683" s="10"/>
      <c r="AZ3683" s="10"/>
      <c r="BA3683" s="10"/>
      <c r="BB3683" s="10"/>
      <c r="BC3683" s="10"/>
      <c r="BD3683" s="10"/>
      <c r="BE3683" s="10"/>
      <c r="BF3683" s="10"/>
      <c r="BG3683" s="10"/>
      <c r="BH3683" s="10"/>
      <c r="BI3683" s="10"/>
      <c r="BJ3683" s="10"/>
      <c r="BK3683" s="10"/>
      <c r="BM3683" s="10"/>
    </row>
    <row r="3684" spans="1:65" ht="12.75">
      <c r="A3684" s="9"/>
      <c r="B3684" s="10"/>
      <c r="C3684" s="11"/>
      <c r="D3684" s="12"/>
      <c r="E3684" s="10"/>
      <c r="F3684" s="10"/>
      <c r="G3684" s="10"/>
      <c r="H3684" s="14"/>
      <c r="I3684" s="14"/>
      <c r="J3684" s="14"/>
      <c r="K3684" s="14"/>
      <c r="L3684" s="14"/>
      <c r="M3684" s="15"/>
      <c r="N3684" s="10"/>
      <c r="O3684" s="14"/>
      <c r="P3684" s="14"/>
      <c r="Q3684" s="14"/>
      <c r="R3684" s="14"/>
      <c r="S3684" s="14"/>
      <c r="T3684" s="14"/>
      <c r="U3684" s="14"/>
      <c r="V3684" s="14"/>
      <c r="W3684" s="14"/>
      <c r="X3684" s="14"/>
      <c r="Y3684" s="14"/>
      <c r="Z3684" s="14"/>
      <c r="AA3684" s="16"/>
      <c r="AB3684" s="10"/>
      <c r="AC3684" s="10"/>
      <c r="AD3684" s="10"/>
      <c r="AE3684" s="10"/>
      <c r="AF3684" s="10"/>
      <c r="AG3684" s="10"/>
      <c r="AH3684" s="10"/>
      <c r="AI3684" s="10"/>
      <c r="AJ3684" s="10"/>
      <c r="AK3684" s="10"/>
      <c r="AL3684" s="10"/>
      <c r="AM3684" s="10"/>
      <c r="AN3684" s="10"/>
      <c r="AO3684" s="10"/>
      <c r="AP3684" s="10"/>
      <c r="AQ3684" s="10"/>
      <c r="AR3684" s="10"/>
      <c r="AS3684" s="10"/>
      <c r="AT3684" s="10"/>
      <c r="AU3684" s="10"/>
      <c r="AV3684" s="10"/>
      <c r="AW3684" s="10"/>
      <c r="AX3684" s="10"/>
      <c r="AY3684" s="10"/>
      <c r="AZ3684" s="10"/>
      <c r="BA3684" s="10"/>
      <c r="BB3684" s="10"/>
      <c r="BC3684" s="10"/>
      <c r="BD3684" s="10"/>
      <c r="BE3684" s="10"/>
      <c r="BF3684" s="10"/>
      <c r="BG3684" s="10"/>
      <c r="BH3684" s="10"/>
      <c r="BI3684" s="10"/>
      <c r="BJ3684" s="10"/>
      <c r="BK3684" s="10"/>
      <c r="BM3684" s="10"/>
    </row>
    <row r="3685" spans="1:65" ht="12.75">
      <c r="A3685" s="9"/>
      <c r="B3685" s="10"/>
      <c r="C3685" s="11"/>
      <c r="D3685" s="12"/>
      <c r="E3685" s="10"/>
      <c r="F3685" s="10"/>
      <c r="G3685" s="10"/>
      <c r="H3685" s="14"/>
      <c r="I3685" s="14"/>
      <c r="J3685" s="14"/>
      <c r="K3685" s="14"/>
      <c r="L3685" s="14"/>
      <c r="M3685" s="15"/>
      <c r="N3685" s="10"/>
      <c r="O3685" s="14"/>
      <c r="P3685" s="14"/>
      <c r="Q3685" s="14"/>
      <c r="R3685" s="14"/>
      <c r="S3685" s="14"/>
      <c r="T3685" s="14"/>
      <c r="U3685" s="14"/>
      <c r="V3685" s="14"/>
      <c r="W3685" s="14"/>
      <c r="X3685" s="14"/>
      <c r="Y3685" s="14"/>
      <c r="Z3685" s="14"/>
      <c r="AA3685" s="16"/>
      <c r="AB3685" s="10"/>
      <c r="AC3685" s="10"/>
      <c r="AD3685" s="10"/>
      <c r="AE3685" s="10"/>
      <c r="AF3685" s="10"/>
      <c r="AG3685" s="10"/>
      <c r="AH3685" s="10"/>
      <c r="AI3685" s="10"/>
      <c r="AJ3685" s="10"/>
      <c r="AK3685" s="10"/>
      <c r="AL3685" s="10"/>
      <c r="AM3685" s="10"/>
      <c r="AN3685" s="10"/>
      <c r="AO3685" s="10"/>
      <c r="AP3685" s="10"/>
      <c r="AQ3685" s="10"/>
      <c r="AR3685" s="10"/>
      <c r="AS3685" s="10"/>
      <c r="AT3685" s="10"/>
      <c r="AU3685" s="10"/>
      <c r="AV3685" s="10"/>
      <c r="AW3685" s="10"/>
      <c r="AX3685" s="10"/>
      <c r="AY3685" s="10"/>
      <c r="AZ3685" s="10"/>
      <c r="BA3685" s="10"/>
      <c r="BB3685" s="10"/>
      <c r="BC3685" s="10"/>
      <c r="BD3685" s="10"/>
      <c r="BE3685" s="10"/>
      <c r="BF3685" s="10"/>
      <c r="BG3685" s="10"/>
      <c r="BH3685" s="10"/>
      <c r="BI3685" s="10"/>
      <c r="BJ3685" s="10"/>
      <c r="BK3685" s="10"/>
      <c r="BM3685" s="10"/>
    </row>
    <row r="3686" spans="1:65" ht="12.75">
      <c r="A3686" s="9"/>
      <c r="B3686" s="10"/>
      <c r="C3686" s="11"/>
      <c r="D3686" s="12"/>
      <c r="E3686" s="10"/>
      <c r="F3686" s="10"/>
      <c r="G3686" s="10"/>
      <c r="H3686" s="14"/>
      <c r="I3686" s="14"/>
      <c r="J3686" s="14"/>
      <c r="K3686" s="14"/>
      <c r="L3686" s="14"/>
      <c r="M3686" s="15"/>
      <c r="N3686" s="10"/>
      <c r="O3686" s="14"/>
      <c r="P3686" s="14"/>
      <c r="Q3686" s="14"/>
      <c r="R3686" s="14"/>
      <c r="S3686" s="14"/>
      <c r="T3686" s="14"/>
      <c r="U3686" s="14"/>
      <c r="V3686" s="14"/>
      <c r="W3686" s="14"/>
      <c r="X3686" s="14"/>
      <c r="Y3686" s="14"/>
      <c r="Z3686" s="14"/>
      <c r="AA3686" s="16"/>
      <c r="AB3686" s="10"/>
      <c r="AC3686" s="10"/>
      <c r="AD3686" s="10"/>
      <c r="AE3686" s="10"/>
      <c r="AF3686" s="10"/>
      <c r="AG3686" s="10"/>
      <c r="AH3686" s="10"/>
      <c r="AI3686" s="10"/>
      <c r="AJ3686" s="10"/>
      <c r="AK3686" s="10"/>
      <c r="AL3686" s="10"/>
      <c r="AM3686" s="10"/>
      <c r="AN3686" s="10"/>
      <c r="AO3686" s="10"/>
      <c r="AP3686" s="10"/>
      <c r="AQ3686" s="10"/>
      <c r="AR3686" s="10"/>
      <c r="AS3686" s="10"/>
      <c r="AT3686" s="10"/>
      <c r="AU3686" s="10"/>
      <c r="AV3686" s="10"/>
      <c r="AW3686" s="10"/>
      <c r="AX3686" s="10"/>
      <c r="AY3686" s="10"/>
      <c r="AZ3686" s="10"/>
      <c r="BA3686" s="10"/>
      <c r="BB3686" s="10"/>
      <c r="BC3686" s="10"/>
      <c r="BD3686" s="10"/>
      <c r="BE3686" s="10"/>
      <c r="BF3686" s="10"/>
      <c r="BG3686" s="10"/>
      <c r="BH3686" s="10"/>
      <c r="BI3686" s="10"/>
      <c r="BJ3686" s="10"/>
      <c r="BK3686" s="10"/>
      <c r="BM3686" s="10"/>
    </row>
    <row r="3687" spans="1:65" ht="12.75">
      <c r="A3687" s="9"/>
      <c r="B3687" s="10"/>
      <c r="C3687" s="11"/>
      <c r="D3687" s="12"/>
      <c r="E3687" s="10"/>
      <c r="F3687" s="10"/>
      <c r="G3687" s="10"/>
      <c r="H3687" s="14"/>
      <c r="I3687" s="14"/>
      <c r="J3687" s="14"/>
      <c r="K3687" s="14"/>
      <c r="L3687" s="14"/>
      <c r="M3687" s="15"/>
      <c r="N3687" s="10"/>
      <c r="O3687" s="14"/>
      <c r="P3687" s="14"/>
      <c r="Q3687" s="14"/>
      <c r="R3687" s="14"/>
      <c r="S3687" s="14"/>
      <c r="T3687" s="14"/>
      <c r="U3687" s="14"/>
      <c r="V3687" s="14"/>
      <c r="W3687" s="14"/>
      <c r="X3687" s="14"/>
      <c r="Y3687" s="14"/>
      <c r="Z3687" s="14"/>
      <c r="AA3687" s="16"/>
      <c r="AB3687" s="10"/>
      <c r="AC3687" s="10"/>
      <c r="AD3687" s="10"/>
      <c r="AE3687" s="10"/>
      <c r="AF3687" s="10"/>
      <c r="AG3687" s="10"/>
      <c r="AH3687" s="10"/>
      <c r="AI3687" s="10"/>
      <c r="AJ3687" s="10"/>
      <c r="AK3687" s="10"/>
      <c r="AL3687" s="10"/>
      <c r="AM3687" s="10"/>
      <c r="AN3687" s="10"/>
      <c r="AO3687" s="10"/>
      <c r="AP3687" s="10"/>
      <c r="AQ3687" s="10"/>
      <c r="AR3687" s="10"/>
      <c r="AS3687" s="10"/>
      <c r="AT3687" s="10"/>
      <c r="AU3687" s="10"/>
      <c r="AV3687" s="10"/>
      <c r="AW3687" s="10"/>
      <c r="AX3687" s="10"/>
      <c r="AY3687" s="10"/>
      <c r="AZ3687" s="10"/>
      <c r="BA3687" s="10"/>
      <c r="BB3687" s="10"/>
      <c r="BC3687" s="10"/>
      <c r="BD3687" s="10"/>
      <c r="BE3687" s="10"/>
      <c r="BF3687" s="10"/>
      <c r="BG3687" s="10"/>
      <c r="BH3687" s="10"/>
      <c r="BI3687" s="10"/>
      <c r="BJ3687" s="10"/>
      <c r="BK3687" s="10"/>
      <c r="BM3687" s="10"/>
    </row>
    <row r="3688" spans="1:65" ht="12.75">
      <c r="A3688" s="9"/>
      <c r="B3688" s="10"/>
      <c r="C3688" s="11"/>
      <c r="D3688" s="12"/>
      <c r="E3688" s="10"/>
      <c r="F3688" s="10"/>
      <c r="G3688" s="10"/>
      <c r="H3688" s="14"/>
      <c r="I3688" s="14"/>
      <c r="J3688" s="14"/>
      <c r="K3688" s="14"/>
      <c r="L3688" s="14"/>
      <c r="M3688" s="15"/>
      <c r="N3688" s="10"/>
      <c r="O3688" s="14"/>
      <c r="P3688" s="14"/>
      <c r="Q3688" s="14"/>
      <c r="R3688" s="14"/>
      <c r="S3688" s="14"/>
      <c r="T3688" s="14"/>
      <c r="U3688" s="14"/>
      <c r="V3688" s="14"/>
      <c r="W3688" s="14"/>
      <c r="X3688" s="14"/>
      <c r="Y3688" s="14"/>
      <c r="Z3688" s="14"/>
      <c r="AA3688" s="16"/>
      <c r="AB3688" s="10"/>
      <c r="AC3688" s="10"/>
      <c r="AD3688" s="10"/>
      <c r="AE3688" s="10"/>
      <c r="AF3688" s="10"/>
      <c r="AG3688" s="10"/>
      <c r="AH3688" s="10"/>
      <c r="AI3688" s="10"/>
      <c r="AJ3688" s="10"/>
      <c r="AK3688" s="10"/>
      <c r="AL3688" s="10"/>
      <c r="AM3688" s="10"/>
      <c r="AN3688" s="10"/>
      <c r="AO3688" s="10"/>
      <c r="AP3688" s="10"/>
      <c r="AQ3688" s="10"/>
      <c r="AR3688" s="10"/>
      <c r="AS3688" s="10"/>
      <c r="AT3688" s="10"/>
      <c r="AU3688" s="10"/>
      <c r="AV3688" s="10"/>
      <c r="AW3688" s="10"/>
      <c r="AX3688" s="10"/>
      <c r="AY3688" s="10"/>
      <c r="AZ3688" s="10"/>
      <c r="BA3688" s="10"/>
      <c r="BB3688" s="10"/>
      <c r="BC3688" s="10"/>
      <c r="BD3688" s="10"/>
      <c r="BE3688" s="10"/>
      <c r="BF3688" s="10"/>
      <c r="BG3688" s="10"/>
      <c r="BH3688" s="10"/>
      <c r="BI3688" s="10"/>
      <c r="BJ3688" s="10"/>
      <c r="BK3688" s="10"/>
      <c r="BM3688" s="10"/>
    </row>
    <row r="3689" spans="1:65" ht="12.75">
      <c r="A3689" s="9"/>
      <c r="B3689" s="10"/>
      <c r="C3689" s="11"/>
      <c r="D3689" s="12"/>
      <c r="E3689" s="10"/>
      <c r="F3689" s="10"/>
      <c r="G3689" s="10"/>
      <c r="H3689" s="14"/>
      <c r="I3689" s="14"/>
      <c r="J3689" s="14"/>
      <c r="K3689" s="14"/>
      <c r="L3689" s="14"/>
      <c r="M3689" s="15"/>
      <c r="N3689" s="10"/>
      <c r="O3689" s="14"/>
      <c r="P3689" s="14"/>
      <c r="Q3689" s="14"/>
      <c r="R3689" s="14"/>
      <c r="S3689" s="14"/>
      <c r="T3689" s="14"/>
      <c r="U3689" s="14"/>
      <c r="V3689" s="14"/>
      <c r="W3689" s="14"/>
      <c r="X3689" s="14"/>
      <c r="Y3689" s="14"/>
      <c r="Z3689" s="14"/>
      <c r="AA3689" s="16"/>
      <c r="AB3689" s="10"/>
      <c r="AC3689" s="10"/>
      <c r="AD3689" s="10"/>
      <c r="AE3689" s="10"/>
      <c r="AF3689" s="10"/>
      <c r="AG3689" s="10"/>
      <c r="AH3689" s="10"/>
      <c r="AI3689" s="10"/>
      <c r="AJ3689" s="10"/>
      <c r="AK3689" s="10"/>
      <c r="AL3689" s="10"/>
      <c r="AM3689" s="10"/>
      <c r="AN3689" s="10"/>
      <c r="AO3689" s="10"/>
      <c r="AP3689" s="10"/>
      <c r="AQ3689" s="10"/>
      <c r="AR3689" s="10"/>
      <c r="AS3689" s="10"/>
      <c r="AT3689" s="10"/>
      <c r="AU3689" s="10"/>
      <c r="AV3689" s="10"/>
      <c r="AW3689" s="10"/>
      <c r="AX3689" s="10"/>
      <c r="AY3689" s="10"/>
      <c r="AZ3689" s="10"/>
      <c r="BA3689" s="10"/>
      <c r="BB3689" s="10"/>
      <c r="BC3689" s="10"/>
      <c r="BD3689" s="10"/>
      <c r="BE3689" s="10"/>
      <c r="BF3689" s="10"/>
      <c r="BG3689" s="10"/>
      <c r="BH3689" s="10"/>
      <c r="BI3689" s="10"/>
      <c r="BJ3689" s="10"/>
      <c r="BK3689" s="10"/>
      <c r="BM3689" s="10"/>
    </row>
    <row r="3690" spans="1:65" ht="12.75">
      <c r="A3690" s="9"/>
      <c r="B3690" s="10"/>
      <c r="C3690" s="11"/>
      <c r="D3690" s="12"/>
      <c r="E3690" s="10"/>
      <c r="F3690" s="10"/>
      <c r="G3690" s="10"/>
      <c r="H3690" s="14"/>
      <c r="I3690" s="14"/>
      <c r="J3690" s="14"/>
      <c r="K3690" s="14"/>
      <c r="L3690" s="14"/>
      <c r="M3690" s="15"/>
      <c r="N3690" s="10"/>
      <c r="O3690" s="14"/>
      <c r="P3690" s="14"/>
      <c r="Q3690" s="14"/>
      <c r="R3690" s="14"/>
      <c r="S3690" s="14"/>
      <c r="T3690" s="14"/>
      <c r="U3690" s="14"/>
      <c r="V3690" s="14"/>
      <c r="W3690" s="14"/>
      <c r="X3690" s="14"/>
      <c r="Y3690" s="14"/>
      <c r="Z3690" s="14"/>
      <c r="AA3690" s="16"/>
      <c r="AB3690" s="10"/>
      <c r="AC3690" s="10"/>
      <c r="AD3690" s="10"/>
      <c r="AE3690" s="10"/>
      <c r="AF3690" s="10"/>
      <c r="AG3690" s="10"/>
      <c r="AH3690" s="10"/>
      <c r="AI3690" s="10"/>
      <c r="AJ3690" s="10"/>
      <c r="AK3690" s="10"/>
      <c r="AL3690" s="10"/>
      <c r="AM3690" s="10"/>
      <c r="AN3690" s="10"/>
      <c r="AO3690" s="10"/>
      <c r="AP3690" s="10"/>
      <c r="AQ3690" s="10"/>
      <c r="AR3690" s="10"/>
      <c r="AS3690" s="10"/>
      <c r="AT3690" s="10"/>
      <c r="AU3690" s="10"/>
      <c r="AV3690" s="10"/>
      <c r="AW3690" s="10"/>
      <c r="AX3690" s="10"/>
      <c r="AY3690" s="10"/>
      <c r="AZ3690" s="10"/>
      <c r="BA3690" s="10"/>
      <c r="BB3690" s="10"/>
      <c r="BC3690" s="10"/>
      <c r="BD3690" s="10"/>
      <c r="BE3690" s="10"/>
      <c r="BF3690" s="10"/>
      <c r="BG3690" s="10"/>
      <c r="BH3690" s="10"/>
      <c r="BI3690" s="10"/>
      <c r="BJ3690" s="10"/>
      <c r="BK3690" s="10"/>
      <c r="BM3690" s="10"/>
    </row>
    <row r="3691" spans="1:65" ht="12.75">
      <c r="A3691" s="9"/>
      <c r="B3691" s="10"/>
      <c r="C3691" s="11"/>
      <c r="D3691" s="12"/>
      <c r="E3691" s="10"/>
      <c r="F3691" s="10"/>
      <c r="G3691" s="10"/>
      <c r="H3691" s="14"/>
      <c r="I3691" s="14"/>
      <c r="J3691" s="14"/>
      <c r="K3691" s="14"/>
      <c r="L3691" s="14"/>
      <c r="M3691" s="15"/>
      <c r="N3691" s="10"/>
      <c r="O3691" s="14"/>
      <c r="P3691" s="14"/>
      <c r="Q3691" s="14"/>
      <c r="R3691" s="14"/>
      <c r="S3691" s="14"/>
      <c r="T3691" s="14"/>
      <c r="U3691" s="14"/>
      <c r="V3691" s="14"/>
      <c r="W3691" s="14"/>
      <c r="X3691" s="14"/>
      <c r="Y3691" s="14"/>
      <c r="Z3691" s="14"/>
      <c r="AA3691" s="16"/>
      <c r="AB3691" s="10"/>
      <c r="AC3691" s="10"/>
      <c r="AD3691" s="10"/>
      <c r="AE3691" s="10"/>
      <c r="AF3691" s="10"/>
      <c r="AG3691" s="10"/>
      <c r="AH3691" s="10"/>
      <c r="AI3691" s="10"/>
      <c r="AJ3691" s="10"/>
      <c r="AK3691" s="10"/>
      <c r="AL3691" s="10"/>
      <c r="AM3691" s="10"/>
      <c r="AN3691" s="10"/>
      <c r="AO3691" s="10"/>
      <c r="AP3691" s="10"/>
      <c r="AQ3691" s="10"/>
      <c r="AR3691" s="10"/>
      <c r="AS3691" s="10"/>
      <c r="AT3691" s="10"/>
      <c r="AU3691" s="10"/>
      <c r="AV3691" s="10"/>
      <c r="AW3691" s="10"/>
      <c r="AX3691" s="10"/>
      <c r="AY3691" s="10"/>
      <c r="AZ3691" s="10"/>
      <c r="BA3691" s="10"/>
      <c r="BB3691" s="10"/>
      <c r="BC3691" s="10"/>
      <c r="BD3691" s="10"/>
      <c r="BE3691" s="10"/>
      <c r="BF3691" s="10"/>
      <c r="BG3691" s="10"/>
      <c r="BH3691" s="10"/>
      <c r="BI3691" s="10"/>
      <c r="BJ3691" s="10"/>
      <c r="BK3691" s="10"/>
      <c r="BM3691" s="10"/>
    </row>
    <row r="3692" spans="1:65" ht="12.75">
      <c r="A3692" s="9"/>
      <c r="B3692" s="10"/>
      <c r="C3692" s="11"/>
      <c r="D3692" s="12"/>
      <c r="E3692" s="10"/>
      <c r="F3692" s="10"/>
      <c r="G3692" s="10"/>
      <c r="H3692" s="14"/>
      <c r="I3692" s="14"/>
      <c r="J3692" s="14"/>
      <c r="K3692" s="14"/>
      <c r="L3692" s="14"/>
      <c r="M3692" s="15"/>
      <c r="N3692" s="10"/>
      <c r="O3692" s="14"/>
      <c r="P3692" s="14"/>
      <c r="Q3692" s="14"/>
      <c r="R3692" s="14"/>
      <c r="S3692" s="14"/>
      <c r="T3692" s="14"/>
      <c r="U3692" s="14"/>
      <c r="V3692" s="14"/>
      <c r="W3692" s="14"/>
      <c r="X3692" s="14"/>
      <c r="Y3692" s="14"/>
      <c r="Z3692" s="14"/>
      <c r="AA3692" s="16"/>
      <c r="AB3692" s="10"/>
      <c r="AC3692" s="10"/>
      <c r="AD3692" s="10"/>
      <c r="AE3692" s="10"/>
      <c r="AF3692" s="10"/>
      <c r="AG3692" s="10"/>
      <c r="AH3692" s="10"/>
      <c r="AI3692" s="10"/>
      <c r="AJ3692" s="10"/>
      <c r="AK3692" s="10"/>
      <c r="AL3692" s="10"/>
      <c r="AM3692" s="10"/>
      <c r="AN3692" s="10"/>
      <c r="AO3692" s="10"/>
      <c r="AP3692" s="10"/>
      <c r="AQ3692" s="10"/>
      <c r="AR3692" s="10"/>
      <c r="AS3692" s="10"/>
      <c r="AT3692" s="10"/>
      <c r="AU3692" s="10"/>
      <c r="AV3692" s="10"/>
      <c r="AW3692" s="10"/>
      <c r="AX3692" s="10"/>
      <c r="AY3692" s="10"/>
      <c r="AZ3692" s="10"/>
      <c r="BA3692" s="10"/>
      <c r="BB3692" s="10"/>
      <c r="BC3692" s="10"/>
      <c r="BD3692" s="10"/>
      <c r="BE3692" s="10"/>
      <c r="BF3692" s="10"/>
      <c r="BG3692" s="10"/>
      <c r="BH3692" s="10"/>
      <c r="BI3692" s="10"/>
      <c r="BJ3692" s="10"/>
      <c r="BK3692" s="10"/>
      <c r="BM3692" s="10"/>
    </row>
    <row r="3693" spans="1:65" ht="12.75">
      <c r="A3693" s="9"/>
      <c r="B3693" s="10"/>
      <c r="C3693" s="11"/>
      <c r="D3693" s="12"/>
      <c r="E3693" s="10"/>
      <c r="F3693" s="10"/>
      <c r="G3693" s="10"/>
      <c r="H3693" s="14"/>
      <c r="I3693" s="14"/>
      <c r="J3693" s="14"/>
      <c r="K3693" s="14"/>
      <c r="L3693" s="14"/>
      <c r="M3693" s="15"/>
      <c r="N3693" s="10"/>
      <c r="O3693" s="14"/>
      <c r="P3693" s="14"/>
      <c r="Q3693" s="14"/>
      <c r="R3693" s="14"/>
      <c r="S3693" s="14"/>
      <c r="T3693" s="14"/>
      <c r="U3693" s="14"/>
      <c r="V3693" s="14"/>
      <c r="W3693" s="14"/>
      <c r="X3693" s="14"/>
      <c r="Y3693" s="14"/>
      <c r="Z3693" s="14"/>
      <c r="AA3693" s="16"/>
      <c r="AB3693" s="10"/>
      <c r="AC3693" s="10"/>
      <c r="AD3693" s="10"/>
      <c r="AE3693" s="10"/>
      <c r="AF3693" s="10"/>
      <c r="AG3693" s="10"/>
      <c r="AH3693" s="10"/>
      <c r="AI3693" s="10"/>
      <c r="AJ3693" s="10"/>
      <c r="AK3693" s="10"/>
      <c r="AL3693" s="10"/>
      <c r="AM3693" s="10"/>
      <c r="AN3693" s="10"/>
      <c r="AO3693" s="10"/>
      <c r="AP3693" s="10"/>
      <c r="AQ3693" s="10"/>
      <c r="AR3693" s="10"/>
      <c r="AS3693" s="10"/>
      <c r="AT3693" s="10"/>
      <c r="AU3693" s="10"/>
      <c r="AV3693" s="10"/>
      <c r="AW3693" s="10"/>
      <c r="AX3693" s="10"/>
      <c r="AY3693" s="10"/>
      <c r="AZ3693" s="10"/>
      <c r="BA3693" s="10"/>
      <c r="BB3693" s="10"/>
      <c r="BC3693" s="10"/>
      <c r="BD3693" s="10"/>
      <c r="BE3693" s="10"/>
      <c r="BF3693" s="10"/>
      <c r="BG3693" s="10"/>
      <c r="BH3693" s="10"/>
      <c r="BI3693" s="10"/>
      <c r="BJ3693" s="10"/>
      <c r="BK3693" s="10"/>
      <c r="BM3693" s="10"/>
    </row>
    <row r="3694" spans="1:65" ht="12.75">
      <c r="A3694" s="9"/>
      <c r="B3694" s="10"/>
      <c r="C3694" s="11"/>
      <c r="D3694" s="12"/>
      <c r="E3694" s="10"/>
      <c r="F3694" s="10"/>
      <c r="G3694" s="10"/>
      <c r="H3694" s="14"/>
      <c r="I3694" s="14"/>
      <c r="J3694" s="14"/>
      <c r="K3694" s="14"/>
      <c r="L3694" s="14"/>
      <c r="M3694" s="15"/>
      <c r="N3694" s="10"/>
      <c r="O3694" s="14"/>
      <c r="P3694" s="14"/>
      <c r="Q3694" s="14"/>
      <c r="R3694" s="14"/>
      <c r="S3694" s="14"/>
      <c r="T3694" s="14"/>
      <c r="U3694" s="14"/>
      <c r="V3694" s="14"/>
      <c r="W3694" s="14"/>
      <c r="X3694" s="14"/>
      <c r="Y3694" s="14"/>
      <c r="Z3694" s="14"/>
      <c r="AA3694" s="16"/>
      <c r="AB3694" s="10"/>
      <c r="AC3694" s="10"/>
      <c r="AD3694" s="10"/>
      <c r="AE3694" s="10"/>
      <c r="AF3694" s="10"/>
      <c r="AG3694" s="10"/>
      <c r="AH3694" s="10"/>
      <c r="AI3694" s="10"/>
      <c r="AJ3694" s="10"/>
      <c r="AK3694" s="10"/>
      <c r="AL3694" s="10"/>
      <c r="AM3694" s="10"/>
      <c r="AN3694" s="10"/>
      <c r="AO3694" s="10"/>
      <c r="AP3694" s="10"/>
      <c r="AQ3694" s="10"/>
      <c r="AR3694" s="10"/>
      <c r="AS3694" s="10"/>
      <c r="AT3694" s="10"/>
      <c r="AU3694" s="10"/>
      <c r="AV3694" s="10"/>
      <c r="AW3694" s="10"/>
      <c r="AX3694" s="10"/>
      <c r="AY3694" s="10"/>
      <c r="AZ3694" s="10"/>
      <c r="BA3694" s="10"/>
      <c r="BB3694" s="10"/>
      <c r="BC3694" s="10"/>
      <c r="BD3694" s="10"/>
      <c r="BE3694" s="10"/>
      <c r="BF3694" s="10"/>
      <c r="BG3694" s="10"/>
      <c r="BH3694" s="10"/>
      <c r="BI3694" s="10"/>
      <c r="BJ3694" s="10"/>
      <c r="BK3694" s="10"/>
      <c r="BM3694" s="10"/>
    </row>
    <row r="3695" spans="1:65" ht="12.75">
      <c r="A3695" s="9"/>
      <c r="B3695" s="10"/>
      <c r="C3695" s="11"/>
      <c r="D3695" s="12"/>
      <c r="E3695" s="10"/>
      <c r="F3695" s="10"/>
      <c r="G3695" s="10"/>
      <c r="H3695" s="14"/>
      <c r="I3695" s="14"/>
      <c r="J3695" s="14"/>
      <c r="K3695" s="14"/>
      <c r="L3695" s="14"/>
      <c r="M3695" s="15"/>
      <c r="N3695" s="10"/>
      <c r="O3695" s="14"/>
      <c r="P3695" s="14"/>
      <c r="Q3695" s="14"/>
      <c r="R3695" s="14"/>
      <c r="S3695" s="14"/>
      <c r="T3695" s="14"/>
      <c r="U3695" s="14"/>
      <c r="V3695" s="14"/>
      <c r="W3695" s="14"/>
      <c r="X3695" s="14"/>
      <c r="Y3695" s="14"/>
      <c r="Z3695" s="14"/>
      <c r="AA3695" s="16"/>
      <c r="AB3695" s="10"/>
      <c r="AC3695" s="10"/>
      <c r="AD3695" s="10"/>
      <c r="AE3695" s="10"/>
      <c r="AF3695" s="10"/>
      <c r="AG3695" s="10"/>
      <c r="AH3695" s="10"/>
      <c r="AI3695" s="10"/>
      <c r="AJ3695" s="10"/>
      <c r="AK3695" s="10"/>
      <c r="AL3695" s="10"/>
      <c r="AM3695" s="10"/>
      <c r="AN3695" s="10"/>
      <c r="AO3695" s="10"/>
      <c r="AP3695" s="10"/>
      <c r="AQ3695" s="10"/>
      <c r="AR3695" s="10"/>
      <c r="AS3695" s="10"/>
      <c r="AT3695" s="10"/>
      <c r="AU3695" s="10"/>
      <c r="AV3695" s="10"/>
      <c r="AW3695" s="10"/>
      <c r="AX3695" s="10"/>
      <c r="AY3695" s="10"/>
      <c r="AZ3695" s="10"/>
      <c r="BA3695" s="10"/>
      <c r="BB3695" s="10"/>
      <c r="BC3695" s="10"/>
      <c r="BD3695" s="10"/>
      <c r="BE3695" s="10"/>
      <c r="BF3695" s="10"/>
      <c r="BG3695" s="10"/>
      <c r="BH3695" s="10"/>
      <c r="BI3695" s="10"/>
      <c r="BJ3695" s="10"/>
      <c r="BK3695" s="10"/>
      <c r="BM3695" s="10"/>
    </row>
    <row r="3696" spans="1:65" ht="12.75">
      <c r="A3696" s="9"/>
      <c r="B3696" s="10"/>
      <c r="C3696" s="11"/>
      <c r="D3696" s="12"/>
      <c r="E3696" s="10"/>
      <c r="F3696" s="10"/>
      <c r="G3696" s="10"/>
      <c r="H3696" s="14"/>
      <c r="I3696" s="14"/>
      <c r="J3696" s="14"/>
      <c r="K3696" s="14"/>
      <c r="L3696" s="14"/>
      <c r="M3696" s="15"/>
      <c r="N3696" s="10"/>
      <c r="O3696" s="14"/>
      <c r="P3696" s="14"/>
      <c r="Q3696" s="14"/>
      <c r="R3696" s="14"/>
      <c r="S3696" s="14"/>
      <c r="T3696" s="14"/>
      <c r="U3696" s="14"/>
      <c r="V3696" s="14"/>
      <c r="W3696" s="14"/>
      <c r="X3696" s="14"/>
      <c r="Y3696" s="14"/>
      <c r="Z3696" s="14"/>
      <c r="AA3696" s="16"/>
      <c r="AB3696" s="10"/>
      <c r="AC3696" s="10"/>
      <c r="AD3696" s="10"/>
      <c r="AE3696" s="10"/>
      <c r="AF3696" s="10"/>
      <c r="AG3696" s="10"/>
      <c r="AH3696" s="10"/>
      <c r="AI3696" s="10"/>
      <c r="AJ3696" s="10"/>
      <c r="AK3696" s="10"/>
      <c r="AL3696" s="10"/>
      <c r="AM3696" s="10"/>
      <c r="AN3696" s="10"/>
      <c r="AO3696" s="10"/>
      <c r="AP3696" s="10"/>
      <c r="AQ3696" s="10"/>
      <c r="AR3696" s="10"/>
      <c r="AS3696" s="10"/>
      <c r="AT3696" s="10"/>
      <c r="AU3696" s="10"/>
      <c r="AV3696" s="10"/>
      <c r="AW3696" s="10"/>
      <c r="AX3696" s="10"/>
      <c r="AY3696" s="10"/>
      <c r="AZ3696" s="10"/>
      <c r="BA3696" s="10"/>
      <c r="BB3696" s="10"/>
      <c r="BC3696" s="10"/>
      <c r="BD3696" s="10"/>
      <c r="BE3696" s="10"/>
      <c r="BF3696" s="10"/>
      <c r="BG3696" s="10"/>
      <c r="BH3696" s="10"/>
      <c r="BI3696" s="10"/>
      <c r="BJ3696" s="10"/>
      <c r="BK3696" s="10"/>
      <c r="BM3696" s="10"/>
    </row>
    <row r="3697" spans="1:65" ht="12.75">
      <c r="A3697" s="9"/>
      <c r="B3697" s="10"/>
      <c r="C3697" s="11"/>
      <c r="D3697" s="12"/>
      <c r="E3697" s="10"/>
      <c r="F3697" s="10"/>
      <c r="G3697" s="10"/>
      <c r="H3697" s="14"/>
      <c r="I3697" s="14"/>
      <c r="J3697" s="14"/>
      <c r="K3697" s="14"/>
      <c r="L3697" s="14"/>
      <c r="M3697" s="15"/>
      <c r="N3697" s="10"/>
      <c r="O3697" s="14"/>
      <c r="P3697" s="14"/>
      <c r="Q3697" s="14"/>
      <c r="R3697" s="14"/>
      <c r="S3697" s="14"/>
      <c r="T3697" s="14"/>
      <c r="U3697" s="14"/>
      <c r="V3697" s="14"/>
      <c r="W3697" s="14"/>
      <c r="X3697" s="14"/>
      <c r="Y3697" s="14"/>
      <c r="Z3697" s="14"/>
      <c r="AA3697" s="16"/>
      <c r="AB3697" s="10"/>
      <c r="AC3697" s="10"/>
      <c r="AD3697" s="10"/>
      <c r="AE3697" s="10"/>
      <c r="AF3697" s="10"/>
      <c r="AG3697" s="10"/>
      <c r="AH3697" s="10"/>
      <c r="AI3697" s="10"/>
      <c r="AJ3697" s="10"/>
      <c r="AK3697" s="10"/>
      <c r="AL3697" s="10"/>
      <c r="AM3697" s="10"/>
      <c r="AN3697" s="10"/>
      <c r="AO3697" s="10"/>
      <c r="AP3697" s="10"/>
      <c r="AQ3697" s="10"/>
      <c r="AR3697" s="10"/>
      <c r="AS3697" s="10"/>
      <c r="AT3697" s="10"/>
      <c r="AU3697" s="10"/>
      <c r="AV3697" s="10"/>
      <c r="AW3697" s="10"/>
      <c r="AX3697" s="10"/>
      <c r="AY3697" s="10"/>
      <c r="AZ3697" s="10"/>
      <c r="BA3697" s="10"/>
      <c r="BB3697" s="10"/>
      <c r="BC3697" s="10"/>
      <c r="BD3697" s="10"/>
      <c r="BE3697" s="10"/>
      <c r="BF3697" s="10"/>
      <c r="BG3697" s="10"/>
      <c r="BH3697" s="10"/>
      <c r="BI3697" s="10"/>
      <c r="BJ3697" s="10"/>
      <c r="BK3697" s="10"/>
      <c r="BM3697" s="10"/>
    </row>
    <row r="3698" spans="1:65" ht="12.75">
      <c r="A3698" s="9"/>
      <c r="B3698" s="10"/>
      <c r="C3698" s="11"/>
      <c r="D3698" s="12"/>
      <c r="E3698" s="10"/>
      <c r="F3698" s="10"/>
      <c r="G3698" s="10"/>
      <c r="H3698" s="14"/>
      <c r="I3698" s="14"/>
      <c r="J3698" s="14"/>
      <c r="K3698" s="14"/>
      <c r="L3698" s="14"/>
      <c r="M3698" s="15"/>
      <c r="N3698" s="10"/>
      <c r="O3698" s="14"/>
      <c r="P3698" s="14"/>
      <c r="Q3698" s="14"/>
      <c r="R3698" s="14"/>
      <c r="S3698" s="14"/>
      <c r="T3698" s="14"/>
      <c r="U3698" s="14"/>
      <c r="V3698" s="14"/>
      <c r="W3698" s="14"/>
      <c r="X3698" s="14"/>
      <c r="Y3698" s="14"/>
      <c r="Z3698" s="14"/>
      <c r="AA3698" s="16"/>
      <c r="AB3698" s="10"/>
      <c r="AC3698" s="10"/>
      <c r="AD3698" s="10"/>
      <c r="AE3698" s="10"/>
      <c r="AF3698" s="10"/>
      <c r="AG3698" s="10"/>
      <c r="AH3698" s="10"/>
      <c r="AI3698" s="10"/>
      <c r="AJ3698" s="10"/>
      <c r="AK3698" s="10"/>
      <c r="AL3698" s="10"/>
      <c r="AM3698" s="10"/>
      <c r="AN3698" s="10"/>
      <c r="AO3698" s="10"/>
      <c r="AP3698" s="10"/>
      <c r="AQ3698" s="10"/>
      <c r="AR3698" s="10"/>
      <c r="AS3698" s="10"/>
      <c r="AT3698" s="10"/>
      <c r="AU3698" s="10"/>
      <c r="AV3698" s="10"/>
      <c r="AW3698" s="10"/>
      <c r="AX3698" s="10"/>
      <c r="AY3698" s="10"/>
      <c r="AZ3698" s="10"/>
      <c r="BA3698" s="10"/>
      <c r="BB3698" s="10"/>
      <c r="BC3698" s="10"/>
      <c r="BD3698" s="10"/>
      <c r="BE3698" s="10"/>
      <c r="BF3698" s="10"/>
      <c r="BG3698" s="10"/>
      <c r="BH3698" s="10"/>
      <c r="BI3698" s="10"/>
      <c r="BJ3698" s="10"/>
      <c r="BK3698" s="10"/>
      <c r="BM3698" s="10"/>
    </row>
    <row r="3699" spans="1:65" ht="12.75">
      <c r="A3699" s="9"/>
      <c r="B3699" s="10"/>
      <c r="C3699" s="11"/>
      <c r="D3699" s="12"/>
      <c r="E3699" s="10"/>
      <c r="F3699" s="10"/>
      <c r="G3699" s="10"/>
      <c r="H3699" s="14"/>
      <c r="I3699" s="14"/>
      <c r="J3699" s="14"/>
      <c r="K3699" s="14"/>
      <c r="L3699" s="14"/>
      <c r="M3699" s="15"/>
      <c r="N3699" s="10"/>
      <c r="O3699" s="14"/>
      <c r="P3699" s="14"/>
      <c r="Q3699" s="14"/>
      <c r="R3699" s="14"/>
      <c r="S3699" s="14"/>
      <c r="T3699" s="14"/>
      <c r="U3699" s="14"/>
      <c r="V3699" s="14"/>
      <c r="W3699" s="14"/>
      <c r="X3699" s="14"/>
      <c r="Y3699" s="14"/>
      <c r="Z3699" s="14"/>
      <c r="AA3699" s="16"/>
      <c r="AB3699" s="10"/>
      <c r="AC3699" s="10"/>
      <c r="AD3699" s="10"/>
      <c r="AE3699" s="10"/>
      <c r="AF3699" s="10"/>
      <c r="AG3699" s="10"/>
      <c r="AH3699" s="10"/>
      <c r="AI3699" s="10"/>
      <c r="AJ3699" s="10"/>
      <c r="AK3699" s="10"/>
      <c r="AL3699" s="10"/>
      <c r="AM3699" s="10"/>
      <c r="AN3699" s="10"/>
      <c r="AO3699" s="10"/>
      <c r="AP3699" s="10"/>
      <c r="AQ3699" s="10"/>
      <c r="AR3699" s="10"/>
      <c r="AS3699" s="10"/>
      <c r="AT3699" s="10"/>
      <c r="AU3699" s="10"/>
      <c r="AV3699" s="10"/>
      <c r="AW3699" s="10"/>
      <c r="AX3699" s="10"/>
      <c r="AY3699" s="10"/>
      <c r="AZ3699" s="10"/>
      <c r="BA3699" s="10"/>
      <c r="BB3699" s="10"/>
      <c r="BC3699" s="10"/>
      <c r="BD3699" s="10"/>
      <c r="BE3699" s="10"/>
      <c r="BF3699" s="10"/>
      <c r="BG3699" s="10"/>
      <c r="BH3699" s="10"/>
      <c r="BI3699" s="10"/>
      <c r="BJ3699" s="10"/>
      <c r="BK3699" s="10"/>
      <c r="BM3699" s="10"/>
    </row>
    <row r="3700" spans="1:65" ht="12.75">
      <c r="A3700" s="9"/>
      <c r="B3700" s="10"/>
      <c r="C3700" s="11"/>
      <c r="D3700" s="12"/>
      <c r="E3700" s="10"/>
      <c r="F3700" s="10"/>
      <c r="G3700" s="10"/>
      <c r="H3700" s="14"/>
      <c r="I3700" s="14"/>
      <c r="J3700" s="14"/>
      <c r="K3700" s="14"/>
      <c r="L3700" s="14"/>
      <c r="M3700" s="15"/>
      <c r="N3700" s="10"/>
      <c r="O3700" s="14"/>
      <c r="P3700" s="14"/>
      <c r="Q3700" s="14"/>
      <c r="R3700" s="14"/>
      <c r="S3700" s="14"/>
      <c r="T3700" s="14"/>
      <c r="U3700" s="14"/>
      <c r="V3700" s="14"/>
      <c r="W3700" s="14"/>
      <c r="X3700" s="14"/>
      <c r="Y3700" s="14"/>
      <c r="Z3700" s="14"/>
      <c r="AA3700" s="16"/>
      <c r="AB3700" s="10"/>
      <c r="AC3700" s="10"/>
      <c r="AD3700" s="10"/>
      <c r="AE3700" s="10"/>
      <c r="AF3700" s="10"/>
      <c r="AG3700" s="10"/>
      <c r="AH3700" s="10"/>
      <c r="AI3700" s="10"/>
      <c r="AJ3700" s="10"/>
      <c r="AK3700" s="10"/>
      <c r="AL3700" s="10"/>
      <c r="AM3700" s="10"/>
      <c r="AN3700" s="10"/>
      <c r="AO3700" s="10"/>
      <c r="AP3700" s="10"/>
      <c r="AQ3700" s="10"/>
      <c r="AR3700" s="10"/>
      <c r="AS3700" s="10"/>
      <c r="AT3700" s="10"/>
      <c r="AU3700" s="10"/>
      <c r="AV3700" s="10"/>
      <c r="AW3700" s="10"/>
      <c r="AX3700" s="10"/>
      <c r="AY3700" s="10"/>
      <c r="AZ3700" s="10"/>
      <c r="BA3700" s="10"/>
      <c r="BB3700" s="10"/>
      <c r="BC3700" s="10"/>
      <c r="BD3700" s="10"/>
      <c r="BE3700" s="10"/>
      <c r="BF3700" s="10"/>
      <c r="BG3700" s="10"/>
      <c r="BH3700" s="10"/>
      <c r="BI3700" s="10"/>
      <c r="BJ3700" s="10"/>
      <c r="BK3700" s="10"/>
      <c r="BM3700" s="10"/>
    </row>
    <row r="3701" spans="1:65" ht="12.75">
      <c r="A3701" s="9"/>
      <c r="B3701" s="10"/>
      <c r="C3701" s="11"/>
      <c r="D3701" s="12"/>
      <c r="E3701" s="10"/>
      <c r="F3701" s="10"/>
      <c r="G3701" s="10"/>
      <c r="H3701" s="14"/>
      <c r="I3701" s="14"/>
      <c r="J3701" s="14"/>
      <c r="K3701" s="14"/>
      <c r="L3701" s="14"/>
      <c r="M3701" s="15"/>
      <c r="N3701" s="10"/>
      <c r="O3701" s="14"/>
      <c r="P3701" s="14"/>
      <c r="Q3701" s="14"/>
      <c r="R3701" s="14"/>
      <c r="S3701" s="14"/>
      <c r="T3701" s="14"/>
      <c r="U3701" s="14"/>
      <c r="V3701" s="14"/>
      <c r="W3701" s="14"/>
      <c r="X3701" s="14"/>
      <c r="Y3701" s="14"/>
      <c r="Z3701" s="14"/>
      <c r="AA3701" s="16"/>
      <c r="AB3701" s="10"/>
      <c r="AC3701" s="10"/>
      <c r="AD3701" s="10"/>
      <c r="AE3701" s="10"/>
      <c r="AF3701" s="10"/>
      <c r="AG3701" s="10"/>
      <c r="AH3701" s="10"/>
      <c r="AI3701" s="10"/>
      <c r="AJ3701" s="10"/>
      <c r="AK3701" s="10"/>
      <c r="AL3701" s="10"/>
      <c r="AM3701" s="10"/>
      <c r="AN3701" s="10"/>
      <c r="AO3701" s="10"/>
      <c r="AP3701" s="10"/>
      <c r="AQ3701" s="10"/>
      <c r="AR3701" s="10"/>
      <c r="AS3701" s="10"/>
      <c r="AT3701" s="10"/>
      <c r="AU3701" s="10"/>
      <c r="AV3701" s="10"/>
      <c r="AW3701" s="10"/>
      <c r="AX3701" s="10"/>
      <c r="AY3701" s="10"/>
      <c r="AZ3701" s="10"/>
      <c r="BA3701" s="10"/>
      <c r="BB3701" s="10"/>
      <c r="BC3701" s="10"/>
      <c r="BD3701" s="10"/>
      <c r="BE3701" s="10"/>
      <c r="BF3701" s="10"/>
      <c r="BG3701" s="10"/>
      <c r="BH3701" s="10"/>
      <c r="BI3701" s="10"/>
      <c r="BJ3701" s="10"/>
      <c r="BK3701" s="10"/>
      <c r="BM3701" s="10"/>
    </row>
    <row r="3702" spans="1:65" ht="12.75">
      <c r="A3702" s="9"/>
      <c r="B3702" s="10"/>
      <c r="C3702" s="11"/>
      <c r="D3702" s="12"/>
      <c r="E3702" s="10"/>
      <c r="F3702" s="10"/>
      <c r="G3702" s="10"/>
      <c r="H3702" s="14"/>
      <c r="I3702" s="14"/>
      <c r="J3702" s="14"/>
      <c r="K3702" s="14"/>
      <c r="L3702" s="14"/>
      <c r="M3702" s="15"/>
      <c r="N3702" s="10"/>
      <c r="O3702" s="14"/>
      <c r="P3702" s="14"/>
      <c r="Q3702" s="14"/>
      <c r="R3702" s="14"/>
      <c r="S3702" s="14"/>
      <c r="T3702" s="14"/>
      <c r="U3702" s="14"/>
      <c r="V3702" s="14"/>
      <c r="W3702" s="14"/>
      <c r="X3702" s="14"/>
      <c r="Y3702" s="14"/>
      <c r="Z3702" s="14"/>
      <c r="AA3702" s="16"/>
      <c r="AB3702" s="10"/>
      <c r="AC3702" s="10"/>
      <c r="AD3702" s="10"/>
      <c r="AE3702" s="10"/>
      <c r="AF3702" s="10"/>
      <c r="AG3702" s="10"/>
      <c r="AH3702" s="10"/>
      <c r="AI3702" s="10"/>
      <c r="AJ3702" s="10"/>
      <c r="AK3702" s="10"/>
      <c r="AL3702" s="10"/>
      <c r="AM3702" s="10"/>
      <c r="AN3702" s="10"/>
      <c r="AO3702" s="10"/>
      <c r="AP3702" s="10"/>
      <c r="AQ3702" s="10"/>
      <c r="AR3702" s="10"/>
      <c r="AS3702" s="10"/>
      <c r="AT3702" s="10"/>
      <c r="AU3702" s="10"/>
      <c r="AV3702" s="10"/>
      <c r="AW3702" s="10"/>
      <c r="AX3702" s="10"/>
      <c r="AY3702" s="10"/>
      <c r="AZ3702" s="10"/>
      <c r="BA3702" s="10"/>
      <c r="BB3702" s="10"/>
      <c r="BC3702" s="10"/>
      <c r="BD3702" s="10"/>
      <c r="BE3702" s="10"/>
      <c r="BF3702" s="10"/>
      <c r="BG3702" s="10"/>
      <c r="BH3702" s="10"/>
      <c r="BI3702" s="10"/>
      <c r="BJ3702" s="10"/>
      <c r="BK3702" s="10"/>
      <c r="BM3702" s="10"/>
    </row>
    <row r="3703" spans="1:65" ht="12.75">
      <c r="A3703" s="9"/>
      <c r="B3703" s="10"/>
      <c r="C3703" s="11"/>
      <c r="D3703" s="12"/>
      <c r="E3703" s="10"/>
      <c r="F3703" s="10"/>
      <c r="G3703" s="10"/>
      <c r="H3703" s="14"/>
      <c r="I3703" s="14"/>
      <c r="J3703" s="14"/>
      <c r="K3703" s="14"/>
      <c r="L3703" s="14"/>
      <c r="M3703" s="15"/>
      <c r="N3703" s="10"/>
      <c r="O3703" s="14"/>
      <c r="P3703" s="14"/>
      <c r="Q3703" s="14"/>
      <c r="R3703" s="14"/>
      <c r="S3703" s="14"/>
      <c r="T3703" s="14"/>
      <c r="U3703" s="14"/>
      <c r="V3703" s="14"/>
      <c r="W3703" s="14"/>
      <c r="X3703" s="14"/>
      <c r="Y3703" s="14"/>
      <c r="Z3703" s="14"/>
      <c r="AA3703" s="16"/>
      <c r="AB3703" s="10"/>
      <c r="AC3703" s="10"/>
      <c r="AD3703" s="10"/>
      <c r="AE3703" s="10"/>
      <c r="AF3703" s="10"/>
      <c r="AG3703" s="10"/>
      <c r="AH3703" s="10"/>
      <c r="AI3703" s="10"/>
      <c r="AJ3703" s="10"/>
      <c r="AK3703" s="10"/>
      <c r="AL3703" s="10"/>
      <c r="AM3703" s="10"/>
      <c r="AN3703" s="10"/>
      <c r="AO3703" s="10"/>
      <c r="AP3703" s="10"/>
      <c r="AQ3703" s="10"/>
      <c r="AR3703" s="10"/>
      <c r="AS3703" s="10"/>
      <c r="AT3703" s="10"/>
      <c r="AU3703" s="10"/>
      <c r="AV3703" s="10"/>
      <c r="AW3703" s="10"/>
      <c r="AX3703" s="10"/>
      <c r="AY3703" s="10"/>
      <c r="AZ3703" s="10"/>
      <c r="BA3703" s="10"/>
      <c r="BB3703" s="10"/>
      <c r="BC3703" s="10"/>
      <c r="BD3703" s="10"/>
      <c r="BE3703" s="10"/>
      <c r="BF3703" s="10"/>
      <c r="BG3703" s="10"/>
      <c r="BH3703" s="10"/>
      <c r="BI3703" s="10"/>
      <c r="BJ3703" s="10"/>
      <c r="BK3703" s="10"/>
      <c r="BM3703" s="10"/>
    </row>
    <row r="3704" spans="1:65" ht="12.75">
      <c r="A3704" s="9"/>
      <c r="B3704" s="10"/>
      <c r="C3704" s="11"/>
      <c r="D3704" s="12"/>
      <c r="E3704" s="10"/>
      <c r="F3704" s="10"/>
      <c r="G3704" s="10"/>
      <c r="H3704" s="14"/>
      <c r="I3704" s="14"/>
      <c r="J3704" s="14"/>
      <c r="K3704" s="14"/>
      <c r="L3704" s="14"/>
      <c r="M3704" s="15"/>
      <c r="N3704" s="10"/>
      <c r="O3704" s="14"/>
      <c r="P3704" s="14"/>
      <c r="Q3704" s="14"/>
      <c r="R3704" s="14"/>
      <c r="S3704" s="14"/>
      <c r="T3704" s="14"/>
      <c r="U3704" s="14"/>
      <c r="V3704" s="14"/>
      <c r="W3704" s="14"/>
      <c r="X3704" s="14"/>
      <c r="Y3704" s="14"/>
      <c r="Z3704" s="14"/>
      <c r="AA3704" s="16"/>
      <c r="AB3704" s="10"/>
      <c r="AC3704" s="10"/>
      <c r="AD3704" s="10"/>
      <c r="AE3704" s="10"/>
      <c r="AF3704" s="10"/>
      <c r="AG3704" s="10"/>
      <c r="AH3704" s="10"/>
      <c r="AI3704" s="10"/>
      <c r="AJ3704" s="10"/>
      <c r="AK3704" s="10"/>
      <c r="AL3704" s="10"/>
      <c r="AM3704" s="10"/>
      <c r="AN3704" s="10"/>
      <c r="AO3704" s="10"/>
      <c r="AP3704" s="10"/>
      <c r="AQ3704" s="10"/>
      <c r="AR3704" s="10"/>
      <c r="AS3704" s="10"/>
      <c r="AT3704" s="10"/>
      <c r="AU3704" s="10"/>
      <c r="AV3704" s="10"/>
      <c r="AW3704" s="10"/>
      <c r="AX3704" s="10"/>
      <c r="AY3704" s="10"/>
      <c r="AZ3704" s="10"/>
      <c r="BA3704" s="10"/>
      <c r="BB3704" s="10"/>
      <c r="BC3704" s="10"/>
      <c r="BD3704" s="10"/>
      <c r="BE3704" s="10"/>
      <c r="BF3704" s="10"/>
      <c r="BG3704" s="10"/>
      <c r="BH3704" s="10"/>
      <c r="BI3704" s="10"/>
      <c r="BJ3704" s="10"/>
      <c r="BK3704" s="10"/>
      <c r="BM3704" s="10"/>
    </row>
    <row r="3705" spans="1:65" ht="12.75">
      <c r="A3705" s="9"/>
      <c r="B3705" s="10"/>
      <c r="C3705" s="11"/>
      <c r="D3705" s="12"/>
      <c r="E3705" s="10"/>
      <c r="F3705" s="10"/>
      <c r="G3705" s="10"/>
      <c r="H3705" s="14"/>
      <c r="I3705" s="14"/>
      <c r="J3705" s="14"/>
      <c r="K3705" s="14"/>
      <c r="L3705" s="14"/>
      <c r="M3705" s="15"/>
      <c r="N3705" s="10"/>
      <c r="O3705" s="14"/>
      <c r="P3705" s="14"/>
      <c r="Q3705" s="14"/>
      <c r="R3705" s="14"/>
      <c r="S3705" s="14"/>
      <c r="T3705" s="14"/>
      <c r="U3705" s="14"/>
      <c r="V3705" s="14"/>
      <c r="W3705" s="14"/>
      <c r="X3705" s="14"/>
      <c r="Y3705" s="14"/>
      <c r="Z3705" s="14"/>
      <c r="AA3705" s="16"/>
      <c r="AB3705" s="10"/>
      <c r="AC3705" s="10"/>
      <c r="AD3705" s="10"/>
      <c r="AE3705" s="10"/>
      <c r="AF3705" s="10"/>
      <c r="AG3705" s="10"/>
      <c r="AH3705" s="10"/>
      <c r="AI3705" s="10"/>
      <c r="AJ3705" s="10"/>
      <c r="AK3705" s="10"/>
      <c r="AL3705" s="10"/>
      <c r="AM3705" s="10"/>
      <c r="AN3705" s="10"/>
      <c r="AO3705" s="10"/>
      <c r="AP3705" s="10"/>
      <c r="AQ3705" s="10"/>
      <c r="AR3705" s="10"/>
      <c r="AS3705" s="10"/>
      <c r="AT3705" s="10"/>
      <c r="AU3705" s="10"/>
      <c r="AV3705" s="10"/>
      <c r="AW3705" s="10"/>
      <c r="AX3705" s="10"/>
      <c r="AY3705" s="10"/>
      <c r="AZ3705" s="10"/>
      <c r="BA3705" s="10"/>
      <c r="BB3705" s="10"/>
      <c r="BC3705" s="10"/>
      <c r="BD3705" s="10"/>
      <c r="BE3705" s="10"/>
      <c r="BF3705" s="10"/>
      <c r="BG3705" s="10"/>
      <c r="BH3705" s="10"/>
      <c r="BI3705" s="10"/>
      <c r="BJ3705" s="10"/>
      <c r="BK3705" s="10"/>
      <c r="BM3705" s="10"/>
    </row>
    <row r="3706" spans="1:65" ht="12.75">
      <c r="A3706" s="9"/>
      <c r="B3706" s="10"/>
      <c r="C3706" s="11"/>
      <c r="D3706" s="12"/>
      <c r="E3706" s="10"/>
      <c r="F3706" s="10"/>
      <c r="G3706" s="10"/>
      <c r="H3706" s="14"/>
      <c r="I3706" s="14"/>
      <c r="J3706" s="14"/>
      <c r="K3706" s="14"/>
      <c r="L3706" s="14"/>
      <c r="M3706" s="15"/>
      <c r="N3706" s="10"/>
      <c r="O3706" s="14"/>
      <c r="P3706" s="14"/>
      <c r="Q3706" s="14"/>
      <c r="R3706" s="14"/>
      <c r="S3706" s="14"/>
      <c r="T3706" s="14"/>
      <c r="U3706" s="14"/>
      <c r="V3706" s="14"/>
      <c r="W3706" s="14"/>
      <c r="X3706" s="14"/>
      <c r="Y3706" s="14"/>
      <c r="Z3706" s="14"/>
      <c r="AA3706" s="16"/>
      <c r="AB3706" s="10"/>
      <c r="AC3706" s="10"/>
      <c r="AD3706" s="10"/>
      <c r="AE3706" s="10"/>
      <c r="AF3706" s="10"/>
      <c r="AG3706" s="10"/>
      <c r="AH3706" s="10"/>
      <c r="AI3706" s="10"/>
      <c r="AJ3706" s="10"/>
      <c r="AK3706" s="10"/>
      <c r="AL3706" s="10"/>
      <c r="AM3706" s="10"/>
      <c r="AN3706" s="10"/>
      <c r="AO3706" s="10"/>
      <c r="AP3706" s="10"/>
      <c r="AQ3706" s="10"/>
      <c r="AR3706" s="10"/>
      <c r="AS3706" s="10"/>
      <c r="AT3706" s="10"/>
      <c r="AU3706" s="10"/>
      <c r="AV3706" s="10"/>
      <c r="AW3706" s="10"/>
      <c r="AX3706" s="10"/>
      <c r="AY3706" s="10"/>
      <c r="AZ3706" s="10"/>
      <c r="BA3706" s="10"/>
      <c r="BB3706" s="10"/>
      <c r="BC3706" s="10"/>
      <c r="BD3706" s="10"/>
      <c r="BE3706" s="10"/>
      <c r="BF3706" s="10"/>
      <c r="BG3706" s="10"/>
      <c r="BH3706" s="10"/>
      <c r="BI3706" s="10"/>
      <c r="BJ3706" s="10"/>
      <c r="BK3706" s="10"/>
      <c r="BM3706" s="10"/>
    </row>
    <row r="3707" spans="1:65" ht="12.75">
      <c r="A3707" s="9"/>
      <c r="B3707" s="10"/>
      <c r="C3707" s="11"/>
      <c r="D3707" s="12"/>
      <c r="E3707" s="10"/>
      <c r="F3707" s="10"/>
      <c r="G3707" s="10"/>
      <c r="H3707" s="14"/>
      <c r="I3707" s="14"/>
      <c r="J3707" s="14"/>
      <c r="K3707" s="14"/>
      <c r="L3707" s="14"/>
      <c r="M3707" s="15"/>
      <c r="N3707" s="10"/>
      <c r="O3707" s="14"/>
      <c r="P3707" s="14"/>
      <c r="Q3707" s="14"/>
      <c r="R3707" s="14"/>
      <c r="S3707" s="14"/>
      <c r="T3707" s="14"/>
      <c r="U3707" s="14"/>
      <c r="V3707" s="14"/>
      <c r="W3707" s="14"/>
      <c r="X3707" s="14"/>
      <c r="Y3707" s="14"/>
      <c r="Z3707" s="14"/>
      <c r="AA3707" s="16"/>
      <c r="AB3707" s="10"/>
      <c r="AC3707" s="10"/>
      <c r="AD3707" s="10"/>
      <c r="AE3707" s="10"/>
      <c r="AF3707" s="10"/>
      <c r="AG3707" s="10"/>
      <c r="AH3707" s="10"/>
      <c r="AI3707" s="10"/>
      <c r="AJ3707" s="10"/>
      <c r="AK3707" s="10"/>
      <c r="AL3707" s="10"/>
      <c r="AM3707" s="10"/>
      <c r="AN3707" s="10"/>
      <c r="AO3707" s="10"/>
      <c r="AP3707" s="10"/>
      <c r="AQ3707" s="10"/>
      <c r="AR3707" s="10"/>
      <c r="AS3707" s="10"/>
      <c r="AT3707" s="10"/>
      <c r="AU3707" s="10"/>
      <c r="AV3707" s="10"/>
      <c r="AW3707" s="10"/>
      <c r="AX3707" s="10"/>
      <c r="AY3707" s="10"/>
      <c r="AZ3707" s="10"/>
      <c r="BA3707" s="10"/>
      <c r="BB3707" s="10"/>
      <c r="BC3707" s="10"/>
      <c r="BD3707" s="10"/>
      <c r="BE3707" s="10"/>
      <c r="BF3707" s="10"/>
      <c r="BG3707" s="10"/>
      <c r="BH3707" s="10"/>
      <c r="BI3707" s="10"/>
      <c r="BJ3707" s="10"/>
      <c r="BK3707" s="10"/>
      <c r="BM3707" s="10"/>
    </row>
    <row r="3708" spans="1:65" ht="12.75">
      <c r="A3708" s="9"/>
      <c r="B3708" s="10"/>
      <c r="C3708" s="11"/>
      <c r="D3708" s="12"/>
      <c r="E3708" s="10"/>
      <c r="F3708" s="10"/>
      <c r="G3708" s="10"/>
      <c r="H3708" s="14"/>
      <c r="I3708" s="14"/>
      <c r="J3708" s="14"/>
      <c r="K3708" s="14"/>
      <c r="L3708" s="14"/>
      <c r="M3708" s="15"/>
      <c r="N3708" s="10"/>
      <c r="O3708" s="14"/>
      <c r="P3708" s="14"/>
      <c r="Q3708" s="14"/>
      <c r="R3708" s="14"/>
      <c r="S3708" s="14"/>
      <c r="T3708" s="14"/>
      <c r="U3708" s="14"/>
      <c r="V3708" s="14"/>
      <c r="W3708" s="14"/>
      <c r="X3708" s="14"/>
      <c r="Y3708" s="14"/>
      <c r="Z3708" s="14"/>
      <c r="AA3708" s="16"/>
      <c r="AB3708" s="10"/>
      <c r="AC3708" s="10"/>
      <c r="AD3708" s="10"/>
      <c r="AE3708" s="10"/>
      <c r="AF3708" s="10"/>
      <c r="AG3708" s="10"/>
      <c r="AH3708" s="10"/>
      <c r="AI3708" s="10"/>
      <c r="AJ3708" s="10"/>
      <c r="AK3708" s="10"/>
      <c r="AL3708" s="10"/>
      <c r="AM3708" s="10"/>
      <c r="AN3708" s="10"/>
      <c r="AO3708" s="10"/>
      <c r="AP3708" s="10"/>
      <c r="AQ3708" s="10"/>
      <c r="AR3708" s="10"/>
      <c r="AS3708" s="10"/>
      <c r="AT3708" s="10"/>
      <c r="AU3708" s="10"/>
      <c r="AV3708" s="10"/>
      <c r="AW3708" s="10"/>
      <c r="AX3708" s="10"/>
      <c r="AY3708" s="10"/>
      <c r="AZ3708" s="10"/>
      <c r="BA3708" s="10"/>
      <c r="BB3708" s="10"/>
      <c r="BC3708" s="10"/>
      <c r="BD3708" s="10"/>
      <c r="BE3708" s="10"/>
      <c r="BF3708" s="10"/>
      <c r="BG3708" s="10"/>
      <c r="BH3708" s="10"/>
      <c r="BI3708" s="10"/>
      <c r="BJ3708" s="10"/>
      <c r="BK3708" s="10"/>
      <c r="BM3708" s="10"/>
    </row>
    <row r="3709" spans="1:65" ht="12.75">
      <c r="A3709" s="9"/>
      <c r="B3709" s="10"/>
      <c r="C3709" s="11"/>
      <c r="D3709" s="12"/>
      <c r="E3709" s="10"/>
      <c r="F3709" s="10"/>
      <c r="G3709" s="10"/>
      <c r="H3709" s="14"/>
      <c r="I3709" s="14"/>
      <c r="J3709" s="14"/>
      <c r="K3709" s="14"/>
      <c r="L3709" s="14"/>
      <c r="M3709" s="15"/>
      <c r="N3709" s="10"/>
      <c r="O3709" s="14"/>
      <c r="P3709" s="14"/>
      <c r="Q3709" s="14"/>
      <c r="R3709" s="14"/>
      <c r="S3709" s="14"/>
      <c r="T3709" s="14"/>
      <c r="U3709" s="14"/>
      <c r="V3709" s="14"/>
      <c r="W3709" s="14"/>
      <c r="X3709" s="14"/>
      <c r="Y3709" s="14"/>
      <c r="Z3709" s="14"/>
      <c r="AA3709" s="16"/>
      <c r="AB3709" s="10"/>
      <c r="AC3709" s="10"/>
      <c r="AD3709" s="10"/>
      <c r="AE3709" s="10"/>
      <c r="AF3709" s="10"/>
      <c r="AG3709" s="10"/>
      <c r="AH3709" s="10"/>
      <c r="AI3709" s="10"/>
      <c r="AJ3709" s="10"/>
      <c r="AK3709" s="10"/>
      <c r="AL3709" s="10"/>
      <c r="AM3709" s="10"/>
      <c r="AN3709" s="10"/>
      <c r="AO3709" s="10"/>
      <c r="AP3709" s="10"/>
      <c r="AQ3709" s="10"/>
      <c r="AR3709" s="10"/>
      <c r="AS3709" s="10"/>
      <c r="AT3709" s="10"/>
      <c r="AU3709" s="10"/>
      <c r="AV3709" s="10"/>
      <c r="AW3709" s="10"/>
      <c r="AX3709" s="10"/>
      <c r="AY3709" s="10"/>
      <c r="AZ3709" s="10"/>
      <c r="BA3709" s="10"/>
      <c r="BB3709" s="10"/>
      <c r="BC3709" s="10"/>
      <c r="BD3709" s="10"/>
      <c r="BE3709" s="10"/>
      <c r="BF3709" s="10"/>
      <c r="BG3709" s="10"/>
      <c r="BH3709" s="10"/>
      <c r="BI3709" s="10"/>
      <c r="BJ3709" s="10"/>
      <c r="BK3709" s="10"/>
      <c r="BM3709" s="10"/>
    </row>
    <row r="3710" spans="1:65" ht="12.75">
      <c r="A3710" s="9"/>
      <c r="B3710" s="10"/>
      <c r="C3710" s="11"/>
      <c r="D3710" s="12"/>
      <c r="E3710" s="10"/>
      <c r="F3710" s="10"/>
      <c r="G3710" s="10"/>
      <c r="H3710" s="14"/>
      <c r="I3710" s="14"/>
      <c r="J3710" s="14"/>
      <c r="K3710" s="14"/>
      <c r="L3710" s="14"/>
      <c r="M3710" s="15"/>
      <c r="N3710" s="10"/>
      <c r="O3710" s="14"/>
      <c r="P3710" s="14"/>
      <c r="Q3710" s="14"/>
      <c r="R3710" s="14"/>
      <c r="S3710" s="14"/>
      <c r="T3710" s="14"/>
      <c r="U3710" s="14"/>
      <c r="V3710" s="14"/>
      <c r="W3710" s="14"/>
      <c r="X3710" s="14"/>
      <c r="Y3710" s="14"/>
      <c r="Z3710" s="14"/>
      <c r="AA3710" s="16"/>
      <c r="AB3710" s="10"/>
      <c r="AC3710" s="10"/>
      <c r="AD3710" s="10"/>
      <c r="AE3710" s="10"/>
      <c r="AF3710" s="10"/>
      <c r="AG3710" s="10"/>
      <c r="AH3710" s="10"/>
      <c r="AI3710" s="10"/>
      <c r="AJ3710" s="10"/>
      <c r="AK3710" s="10"/>
      <c r="AL3710" s="10"/>
      <c r="AM3710" s="10"/>
      <c r="AN3710" s="10"/>
      <c r="AO3710" s="10"/>
      <c r="AP3710" s="10"/>
      <c r="AQ3710" s="10"/>
      <c r="AR3710" s="10"/>
      <c r="AS3710" s="10"/>
      <c r="AT3710" s="10"/>
      <c r="AU3710" s="10"/>
      <c r="AV3710" s="10"/>
      <c r="AW3710" s="10"/>
      <c r="AX3710" s="10"/>
      <c r="AY3710" s="10"/>
      <c r="AZ3710" s="10"/>
      <c r="BA3710" s="10"/>
      <c r="BB3710" s="10"/>
      <c r="BC3710" s="10"/>
      <c r="BD3710" s="10"/>
      <c r="BE3710" s="10"/>
      <c r="BF3710" s="10"/>
      <c r="BG3710" s="10"/>
      <c r="BH3710" s="10"/>
      <c r="BI3710" s="10"/>
      <c r="BJ3710" s="10"/>
      <c r="BK3710" s="10"/>
      <c r="BM3710" s="10"/>
    </row>
    <row r="3711" spans="1:65" ht="12.75">
      <c r="A3711" s="9"/>
      <c r="B3711" s="10"/>
      <c r="C3711" s="11"/>
      <c r="D3711" s="12"/>
      <c r="E3711" s="10"/>
      <c r="F3711" s="10"/>
      <c r="G3711" s="10"/>
      <c r="H3711" s="14"/>
      <c r="I3711" s="14"/>
      <c r="J3711" s="14"/>
      <c r="K3711" s="14"/>
      <c r="L3711" s="14"/>
      <c r="M3711" s="15"/>
      <c r="N3711" s="10"/>
      <c r="O3711" s="14"/>
      <c r="P3711" s="14"/>
      <c r="Q3711" s="14"/>
      <c r="R3711" s="14"/>
      <c r="S3711" s="14"/>
      <c r="T3711" s="14"/>
      <c r="U3711" s="14"/>
      <c r="V3711" s="14"/>
      <c r="W3711" s="14"/>
      <c r="X3711" s="14"/>
      <c r="Y3711" s="14"/>
      <c r="Z3711" s="14"/>
      <c r="AA3711" s="16"/>
      <c r="AB3711" s="10"/>
      <c r="AC3711" s="10"/>
      <c r="AD3711" s="10"/>
      <c r="AE3711" s="10"/>
      <c r="AF3711" s="10"/>
      <c r="AG3711" s="10"/>
      <c r="AH3711" s="10"/>
      <c r="AI3711" s="10"/>
      <c r="AJ3711" s="10"/>
      <c r="AK3711" s="10"/>
      <c r="AL3711" s="10"/>
      <c r="AM3711" s="10"/>
      <c r="AN3711" s="10"/>
      <c r="AO3711" s="10"/>
      <c r="AP3711" s="10"/>
      <c r="AQ3711" s="10"/>
      <c r="AR3711" s="10"/>
      <c r="AS3711" s="10"/>
      <c r="AT3711" s="10"/>
      <c r="AU3711" s="10"/>
      <c r="AV3711" s="10"/>
      <c r="AW3711" s="10"/>
      <c r="AX3711" s="10"/>
      <c r="AY3711" s="10"/>
      <c r="AZ3711" s="10"/>
      <c r="BA3711" s="10"/>
      <c r="BB3711" s="10"/>
      <c r="BC3711" s="10"/>
      <c r="BD3711" s="10"/>
      <c r="BE3711" s="10"/>
      <c r="BF3711" s="10"/>
      <c r="BG3711" s="10"/>
      <c r="BH3711" s="10"/>
      <c r="BI3711" s="10"/>
      <c r="BJ3711" s="10"/>
      <c r="BK3711" s="10"/>
      <c r="BM3711" s="10"/>
    </row>
    <row r="3712" spans="1:65" ht="12.75">
      <c r="A3712" s="9"/>
      <c r="B3712" s="10"/>
      <c r="C3712" s="11"/>
      <c r="D3712" s="12"/>
      <c r="E3712" s="10"/>
      <c r="F3712" s="10"/>
      <c r="G3712" s="10"/>
      <c r="H3712" s="14"/>
      <c r="I3712" s="14"/>
      <c r="J3712" s="14"/>
      <c r="K3712" s="14"/>
      <c r="L3712" s="14"/>
      <c r="M3712" s="15"/>
      <c r="N3712" s="10"/>
      <c r="O3712" s="14"/>
      <c r="P3712" s="14"/>
      <c r="Q3712" s="14"/>
      <c r="R3712" s="14"/>
      <c r="S3712" s="14"/>
      <c r="T3712" s="14"/>
      <c r="U3712" s="14"/>
      <c r="V3712" s="14"/>
      <c r="W3712" s="14"/>
      <c r="X3712" s="14"/>
      <c r="Y3712" s="14"/>
      <c r="Z3712" s="14"/>
      <c r="AA3712" s="16"/>
      <c r="AB3712" s="10"/>
      <c r="AC3712" s="10"/>
      <c r="AD3712" s="10"/>
      <c r="AE3712" s="10"/>
      <c r="AF3712" s="10"/>
      <c r="AG3712" s="10"/>
      <c r="AH3712" s="10"/>
      <c r="AI3712" s="10"/>
      <c r="AJ3712" s="10"/>
      <c r="AK3712" s="10"/>
      <c r="AL3712" s="10"/>
      <c r="AM3712" s="10"/>
      <c r="AN3712" s="10"/>
      <c r="AO3712" s="10"/>
      <c r="AP3712" s="10"/>
      <c r="AQ3712" s="10"/>
      <c r="AR3712" s="10"/>
      <c r="AS3712" s="10"/>
      <c r="AT3712" s="10"/>
      <c r="AU3712" s="10"/>
      <c r="AV3712" s="10"/>
      <c r="AW3712" s="10"/>
      <c r="AX3712" s="10"/>
      <c r="AY3712" s="10"/>
      <c r="AZ3712" s="10"/>
      <c r="BA3712" s="10"/>
      <c r="BB3712" s="10"/>
      <c r="BC3712" s="10"/>
      <c r="BD3712" s="10"/>
      <c r="BE3712" s="10"/>
      <c r="BF3712" s="10"/>
      <c r="BG3712" s="10"/>
      <c r="BH3712" s="10"/>
      <c r="BI3712" s="10"/>
      <c r="BJ3712" s="10"/>
      <c r="BK3712" s="10"/>
      <c r="BM3712" s="10"/>
    </row>
    <row r="3713" spans="1:65" ht="12.75">
      <c r="A3713" s="9"/>
      <c r="B3713" s="10"/>
      <c r="C3713" s="11"/>
      <c r="D3713" s="12"/>
      <c r="E3713" s="10"/>
      <c r="F3713" s="10"/>
      <c r="G3713" s="10"/>
      <c r="H3713" s="14"/>
      <c r="I3713" s="14"/>
      <c r="J3713" s="14"/>
      <c r="K3713" s="14"/>
      <c r="L3713" s="14"/>
      <c r="M3713" s="15"/>
      <c r="N3713" s="10"/>
      <c r="O3713" s="14"/>
      <c r="P3713" s="14"/>
      <c r="Q3713" s="14"/>
      <c r="R3713" s="14"/>
      <c r="S3713" s="14"/>
      <c r="T3713" s="14"/>
      <c r="U3713" s="14"/>
      <c r="V3713" s="14"/>
      <c r="W3713" s="14"/>
      <c r="X3713" s="14"/>
      <c r="Y3713" s="14"/>
      <c r="Z3713" s="14"/>
      <c r="AA3713" s="16"/>
      <c r="AB3713" s="10"/>
      <c r="AC3713" s="10"/>
      <c r="AD3713" s="10"/>
      <c r="AE3713" s="10"/>
      <c r="AF3713" s="10"/>
      <c r="AG3713" s="10"/>
      <c r="AH3713" s="10"/>
      <c r="AI3713" s="10"/>
      <c r="AJ3713" s="10"/>
      <c r="AK3713" s="10"/>
      <c r="AL3713" s="10"/>
      <c r="AM3713" s="10"/>
      <c r="AN3713" s="10"/>
      <c r="AO3713" s="10"/>
      <c r="AP3713" s="10"/>
      <c r="AQ3713" s="10"/>
      <c r="AR3713" s="10"/>
      <c r="AS3713" s="10"/>
      <c r="AT3713" s="10"/>
      <c r="AU3713" s="10"/>
      <c r="AV3713" s="10"/>
      <c r="AW3713" s="10"/>
      <c r="AX3713" s="10"/>
      <c r="AY3713" s="10"/>
      <c r="AZ3713" s="10"/>
      <c r="BA3713" s="10"/>
      <c r="BB3713" s="10"/>
      <c r="BC3713" s="10"/>
      <c r="BD3713" s="10"/>
      <c r="BE3713" s="10"/>
      <c r="BF3713" s="10"/>
      <c r="BG3713" s="10"/>
      <c r="BH3713" s="10"/>
      <c r="BI3713" s="10"/>
      <c r="BJ3713" s="10"/>
      <c r="BK3713" s="10"/>
      <c r="BM3713" s="10"/>
    </row>
    <row r="3714" spans="1:65" ht="12.75">
      <c r="A3714" s="9"/>
      <c r="B3714" s="10"/>
      <c r="C3714" s="11"/>
      <c r="D3714" s="12"/>
      <c r="E3714" s="10"/>
      <c r="F3714" s="10"/>
      <c r="G3714" s="10"/>
      <c r="H3714" s="14"/>
      <c r="I3714" s="14"/>
      <c r="J3714" s="14"/>
      <c r="K3714" s="14"/>
      <c r="L3714" s="14"/>
      <c r="M3714" s="15"/>
      <c r="N3714" s="10"/>
      <c r="O3714" s="14"/>
      <c r="P3714" s="14"/>
      <c r="Q3714" s="14"/>
      <c r="R3714" s="14"/>
      <c r="S3714" s="14"/>
      <c r="T3714" s="14"/>
      <c r="U3714" s="14"/>
      <c r="V3714" s="14"/>
      <c r="W3714" s="14"/>
      <c r="X3714" s="14"/>
      <c r="Y3714" s="14"/>
      <c r="Z3714" s="14"/>
      <c r="AA3714" s="16"/>
      <c r="AB3714" s="10"/>
      <c r="AC3714" s="10"/>
      <c r="AD3714" s="10"/>
      <c r="AE3714" s="10"/>
      <c r="AF3714" s="10"/>
      <c r="AG3714" s="10"/>
      <c r="AH3714" s="10"/>
      <c r="AI3714" s="10"/>
      <c r="AJ3714" s="10"/>
      <c r="AK3714" s="10"/>
      <c r="AL3714" s="10"/>
      <c r="AM3714" s="10"/>
      <c r="AN3714" s="10"/>
      <c r="AO3714" s="10"/>
      <c r="AP3714" s="10"/>
      <c r="AQ3714" s="10"/>
      <c r="AR3714" s="10"/>
      <c r="AS3714" s="10"/>
      <c r="AT3714" s="10"/>
      <c r="AU3714" s="10"/>
      <c r="AV3714" s="10"/>
      <c r="AW3714" s="10"/>
      <c r="AX3714" s="10"/>
      <c r="AY3714" s="10"/>
      <c r="AZ3714" s="10"/>
      <c r="BA3714" s="10"/>
      <c r="BB3714" s="10"/>
      <c r="BC3714" s="10"/>
      <c r="BD3714" s="10"/>
      <c r="BE3714" s="10"/>
      <c r="BF3714" s="10"/>
      <c r="BG3714" s="10"/>
      <c r="BH3714" s="10"/>
      <c r="BI3714" s="10"/>
      <c r="BJ3714" s="10"/>
      <c r="BK3714" s="10"/>
      <c r="BM3714" s="10"/>
    </row>
    <row r="3715" spans="1:65" ht="12.75">
      <c r="A3715" s="9"/>
      <c r="B3715" s="10"/>
      <c r="C3715" s="11"/>
      <c r="D3715" s="12"/>
      <c r="E3715" s="10"/>
      <c r="F3715" s="10"/>
      <c r="G3715" s="10"/>
      <c r="H3715" s="14"/>
      <c r="I3715" s="14"/>
      <c r="J3715" s="14"/>
      <c r="K3715" s="14"/>
      <c r="L3715" s="14"/>
      <c r="M3715" s="15"/>
      <c r="N3715" s="10"/>
      <c r="O3715" s="14"/>
      <c r="P3715" s="14"/>
      <c r="Q3715" s="14"/>
      <c r="R3715" s="14"/>
      <c r="S3715" s="14"/>
      <c r="T3715" s="14"/>
      <c r="U3715" s="14"/>
      <c r="V3715" s="14"/>
      <c r="W3715" s="14"/>
      <c r="X3715" s="14"/>
      <c r="Y3715" s="14"/>
      <c r="Z3715" s="14"/>
      <c r="AA3715" s="16"/>
      <c r="AB3715" s="10"/>
      <c r="AC3715" s="10"/>
      <c r="AD3715" s="10"/>
      <c r="AE3715" s="10"/>
      <c r="AF3715" s="10"/>
      <c r="AG3715" s="10"/>
      <c r="AH3715" s="10"/>
      <c r="AI3715" s="10"/>
      <c r="AJ3715" s="10"/>
      <c r="AK3715" s="10"/>
      <c r="AL3715" s="10"/>
      <c r="AM3715" s="10"/>
      <c r="AN3715" s="10"/>
      <c r="AO3715" s="10"/>
      <c r="AP3715" s="10"/>
      <c r="AQ3715" s="10"/>
      <c r="AR3715" s="10"/>
      <c r="AS3715" s="10"/>
      <c r="AT3715" s="10"/>
      <c r="AU3715" s="10"/>
      <c r="AV3715" s="10"/>
      <c r="AW3715" s="10"/>
      <c r="AX3715" s="10"/>
      <c r="AY3715" s="10"/>
      <c r="AZ3715" s="10"/>
      <c r="BA3715" s="10"/>
      <c r="BB3715" s="10"/>
      <c r="BC3715" s="10"/>
      <c r="BD3715" s="10"/>
      <c r="BE3715" s="10"/>
      <c r="BF3715" s="10"/>
      <c r="BG3715" s="10"/>
      <c r="BH3715" s="10"/>
      <c r="BI3715" s="10"/>
      <c r="BJ3715" s="10"/>
      <c r="BK3715" s="10"/>
      <c r="BM3715" s="10"/>
    </row>
    <row r="3716" spans="1:65" ht="12.75">
      <c r="A3716" s="9"/>
      <c r="B3716" s="10"/>
      <c r="C3716" s="11"/>
      <c r="D3716" s="12"/>
      <c r="E3716" s="10"/>
      <c r="F3716" s="10"/>
      <c r="G3716" s="10"/>
      <c r="H3716" s="14"/>
      <c r="I3716" s="14"/>
      <c r="J3716" s="14"/>
      <c r="K3716" s="14"/>
      <c r="L3716" s="14"/>
      <c r="M3716" s="15"/>
      <c r="N3716" s="10"/>
      <c r="O3716" s="14"/>
      <c r="P3716" s="14"/>
      <c r="Q3716" s="14"/>
      <c r="R3716" s="14"/>
      <c r="S3716" s="14"/>
      <c r="T3716" s="14"/>
      <c r="U3716" s="14"/>
      <c r="V3716" s="14"/>
      <c r="W3716" s="14"/>
      <c r="X3716" s="14"/>
      <c r="Y3716" s="14"/>
      <c r="Z3716" s="14"/>
      <c r="AA3716" s="16"/>
      <c r="AB3716" s="10"/>
      <c r="AC3716" s="10"/>
      <c r="AD3716" s="10"/>
      <c r="AE3716" s="10"/>
      <c r="AF3716" s="10"/>
      <c r="AG3716" s="10"/>
      <c r="AH3716" s="10"/>
      <c r="AI3716" s="10"/>
      <c r="AJ3716" s="10"/>
      <c r="AK3716" s="10"/>
      <c r="AL3716" s="10"/>
      <c r="AM3716" s="10"/>
      <c r="AN3716" s="10"/>
      <c r="AO3716" s="10"/>
      <c r="AP3716" s="10"/>
      <c r="AQ3716" s="10"/>
      <c r="AR3716" s="10"/>
      <c r="AS3716" s="10"/>
      <c r="AT3716" s="10"/>
      <c r="AU3716" s="10"/>
      <c r="AV3716" s="10"/>
      <c r="AW3716" s="10"/>
      <c r="AX3716" s="10"/>
      <c r="AY3716" s="10"/>
      <c r="AZ3716" s="10"/>
      <c r="BA3716" s="10"/>
      <c r="BB3716" s="10"/>
      <c r="BC3716" s="10"/>
      <c r="BD3716" s="10"/>
      <c r="BE3716" s="10"/>
      <c r="BF3716" s="10"/>
      <c r="BG3716" s="10"/>
      <c r="BH3716" s="10"/>
      <c r="BI3716" s="10"/>
      <c r="BJ3716" s="10"/>
      <c r="BK3716" s="10"/>
      <c r="BM3716" s="10"/>
    </row>
    <row r="3717" spans="1:65" ht="12.75">
      <c r="A3717" s="9"/>
      <c r="B3717" s="10"/>
      <c r="C3717" s="11"/>
      <c r="D3717" s="12"/>
      <c r="E3717" s="10"/>
      <c r="F3717" s="10"/>
      <c r="G3717" s="10"/>
      <c r="H3717" s="14"/>
      <c r="I3717" s="14"/>
      <c r="J3717" s="14"/>
      <c r="K3717" s="14"/>
      <c r="L3717" s="14"/>
      <c r="M3717" s="15"/>
      <c r="N3717" s="10"/>
      <c r="O3717" s="14"/>
      <c r="P3717" s="14"/>
      <c r="Q3717" s="14"/>
      <c r="R3717" s="14"/>
      <c r="S3717" s="14"/>
      <c r="T3717" s="14"/>
      <c r="U3717" s="14"/>
      <c r="V3717" s="14"/>
      <c r="W3717" s="14"/>
      <c r="X3717" s="14"/>
      <c r="Y3717" s="14"/>
      <c r="Z3717" s="14"/>
      <c r="AA3717" s="16"/>
      <c r="AB3717" s="10"/>
      <c r="AC3717" s="10"/>
      <c r="AD3717" s="10"/>
      <c r="AE3717" s="10"/>
      <c r="AF3717" s="10"/>
      <c r="AG3717" s="10"/>
      <c r="AH3717" s="10"/>
      <c r="AI3717" s="10"/>
      <c r="AJ3717" s="10"/>
      <c r="AK3717" s="10"/>
      <c r="AL3717" s="10"/>
      <c r="AM3717" s="10"/>
      <c r="AN3717" s="10"/>
      <c r="AO3717" s="10"/>
      <c r="AP3717" s="10"/>
      <c r="AQ3717" s="10"/>
      <c r="AR3717" s="10"/>
      <c r="AS3717" s="10"/>
      <c r="AT3717" s="10"/>
      <c r="AU3717" s="10"/>
      <c r="AV3717" s="10"/>
      <c r="AW3717" s="10"/>
      <c r="AX3717" s="10"/>
      <c r="AY3717" s="10"/>
      <c r="AZ3717" s="10"/>
      <c r="BA3717" s="10"/>
      <c r="BB3717" s="10"/>
      <c r="BC3717" s="10"/>
      <c r="BD3717" s="10"/>
      <c r="BE3717" s="10"/>
      <c r="BF3717" s="10"/>
      <c r="BG3717" s="10"/>
      <c r="BH3717" s="10"/>
      <c r="BI3717" s="10"/>
      <c r="BJ3717" s="10"/>
      <c r="BK3717" s="10"/>
      <c r="BM3717" s="10"/>
    </row>
    <row r="3718" spans="1:65" ht="12.75">
      <c r="A3718" s="9"/>
      <c r="B3718" s="10"/>
      <c r="C3718" s="11"/>
      <c r="D3718" s="12"/>
      <c r="E3718" s="10"/>
      <c r="F3718" s="10"/>
      <c r="G3718" s="10"/>
      <c r="H3718" s="14"/>
      <c r="I3718" s="14"/>
      <c r="J3718" s="14"/>
      <c r="K3718" s="14"/>
      <c r="L3718" s="14"/>
      <c r="M3718" s="15"/>
      <c r="N3718" s="10"/>
      <c r="O3718" s="14"/>
      <c r="P3718" s="14"/>
      <c r="Q3718" s="14"/>
      <c r="R3718" s="14"/>
      <c r="S3718" s="14"/>
      <c r="T3718" s="14"/>
      <c r="U3718" s="14"/>
      <c r="V3718" s="14"/>
      <c r="W3718" s="14"/>
      <c r="X3718" s="14"/>
      <c r="Y3718" s="14"/>
      <c r="Z3718" s="14"/>
      <c r="AA3718" s="16"/>
      <c r="AB3718" s="10"/>
      <c r="AC3718" s="10"/>
      <c r="AD3718" s="10"/>
      <c r="AE3718" s="10"/>
      <c r="AF3718" s="10"/>
      <c r="AG3718" s="10"/>
      <c r="AH3718" s="10"/>
      <c r="AI3718" s="10"/>
      <c r="AJ3718" s="10"/>
      <c r="AK3718" s="10"/>
      <c r="AL3718" s="10"/>
      <c r="AM3718" s="10"/>
      <c r="AN3718" s="10"/>
      <c r="AO3718" s="10"/>
      <c r="AP3718" s="10"/>
      <c r="AQ3718" s="10"/>
      <c r="AR3718" s="10"/>
      <c r="AS3718" s="10"/>
      <c r="AT3718" s="10"/>
      <c r="AU3718" s="10"/>
      <c r="AV3718" s="10"/>
      <c r="AW3718" s="10"/>
      <c r="AX3718" s="10"/>
      <c r="AY3718" s="10"/>
      <c r="AZ3718" s="10"/>
      <c r="BA3718" s="10"/>
      <c r="BB3718" s="10"/>
      <c r="BC3718" s="10"/>
      <c r="BD3718" s="10"/>
      <c r="BE3718" s="10"/>
      <c r="BF3718" s="10"/>
      <c r="BG3718" s="10"/>
      <c r="BH3718" s="10"/>
      <c r="BI3718" s="10"/>
      <c r="BJ3718" s="10"/>
      <c r="BK3718" s="10"/>
      <c r="BM3718" s="10"/>
    </row>
    <row r="3719" spans="1:65" ht="12.75">
      <c r="A3719" s="9"/>
      <c r="B3719" s="10"/>
      <c r="C3719" s="11"/>
      <c r="D3719" s="12"/>
      <c r="E3719" s="10"/>
      <c r="F3719" s="10"/>
      <c r="G3719" s="10"/>
      <c r="H3719" s="14"/>
      <c r="I3719" s="14"/>
      <c r="J3719" s="14"/>
      <c r="K3719" s="14"/>
      <c r="L3719" s="14"/>
      <c r="M3719" s="15"/>
      <c r="N3719" s="10"/>
      <c r="O3719" s="14"/>
      <c r="P3719" s="14"/>
      <c r="Q3719" s="14"/>
      <c r="R3719" s="14"/>
      <c r="S3719" s="14"/>
      <c r="T3719" s="14"/>
      <c r="U3719" s="14"/>
      <c r="V3719" s="14"/>
      <c r="W3719" s="14"/>
      <c r="X3719" s="14"/>
      <c r="Y3719" s="14"/>
      <c r="Z3719" s="14"/>
      <c r="AA3719" s="16"/>
      <c r="AB3719" s="10"/>
      <c r="AC3719" s="10"/>
      <c r="AD3719" s="10"/>
      <c r="AE3719" s="10"/>
      <c r="AF3719" s="10"/>
      <c r="AG3719" s="10"/>
      <c r="AH3719" s="10"/>
      <c r="AI3719" s="10"/>
      <c r="AJ3719" s="10"/>
      <c r="AK3719" s="10"/>
      <c r="AL3719" s="10"/>
      <c r="AM3719" s="10"/>
      <c r="AN3719" s="10"/>
      <c r="AO3719" s="10"/>
      <c r="AP3719" s="10"/>
      <c r="AQ3719" s="10"/>
      <c r="AR3719" s="10"/>
      <c r="AS3719" s="10"/>
      <c r="AT3719" s="10"/>
      <c r="AU3719" s="10"/>
      <c r="AV3719" s="10"/>
      <c r="AW3719" s="10"/>
      <c r="AX3719" s="10"/>
      <c r="AY3719" s="10"/>
      <c r="AZ3719" s="10"/>
      <c r="BA3719" s="10"/>
      <c r="BB3719" s="10"/>
      <c r="BC3719" s="10"/>
      <c r="BD3719" s="10"/>
      <c r="BE3719" s="10"/>
      <c r="BF3719" s="10"/>
      <c r="BG3719" s="10"/>
      <c r="BH3719" s="10"/>
      <c r="BI3719" s="10"/>
      <c r="BJ3719" s="10"/>
      <c r="BK3719" s="10"/>
      <c r="BM3719" s="10"/>
    </row>
    <row r="3720" spans="1:65" ht="12.75">
      <c r="A3720" s="9"/>
      <c r="B3720" s="10"/>
      <c r="C3720" s="11"/>
      <c r="D3720" s="12"/>
      <c r="E3720" s="10"/>
      <c r="F3720" s="10"/>
      <c r="G3720" s="10"/>
      <c r="H3720" s="14"/>
      <c r="I3720" s="14"/>
      <c r="J3720" s="14"/>
      <c r="K3720" s="14"/>
      <c r="L3720" s="14"/>
      <c r="M3720" s="15"/>
      <c r="N3720" s="10"/>
      <c r="O3720" s="14"/>
      <c r="P3720" s="14"/>
      <c r="Q3720" s="14"/>
      <c r="R3720" s="14"/>
      <c r="S3720" s="14"/>
      <c r="T3720" s="14"/>
      <c r="U3720" s="14"/>
      <c r="V3720" s="14"/>
      <c r="W3720" s="14"/>
      <c r="X3720" s="14"/>
      <c r="Y3720" s="14"/>
      <c r="Z3720" s="14"/>
      <c r="AA3720" s="16"/>
      <c r="AB3720" s="10"/>
      <c r="AC3720" s="10"/>
      <c r="AD3720" s="10"/>
      <c r="AE3720" s="10"/>
      <c r="AF3720" s="10"/>
      <c r="AG3720" s="10"/>
      <c r="AH3720" s="10"/>
      <c r="AI3720" s="10"/>
      <c r="AJ3720" s="10"/>
      <c r="AK3720" s="10"/>
      <c r="AL3720" s="10"/>
      <c r="AM3720" s="10"/>
      <c r="AN3720" s="10"/>
      <c r="AO3720" s="10"/>
      <c r="AP3720" s="10"/>
      <c r="AQ3720" s="10"/>
      <c r="AR3720" s="10"/>
      <c r="AS3720" s="10"/>
      <c r="AT3720" s="10"/>
      <c r="AU3720" s="10"/>
      <c r="AV3720" s="10"/>
      <c r="AW3720" s="10"/>
      <c r="AX3720" s="10"/>
      <c r="AY3720" s="10"/>
      <c r="AZ3720" s="10"/>
      <c r="BA3720" s="10"/>
      <c r="BB3720" s="10"/>
      <c r="BC3720" s="10"/>
      <c r="BD3720" s="10"/>
      <c r="BE3720" s="10"/>
      <c r="BF3720" s="10"/>
      <c r="BG3720" s="10"/>
      <c r="BH3720" s="10"/>
      <c r="BI3720" s="10"/>
      <c r="BJ3720" s="10"/>
      <c r="BK3720" s="10"/>
      <c r="BM3720" s="10"/>
    </row>
    <row r="3721" spans="1:65" ht="12.75">
      <c r="A3721" s="9"/>
      <c r="B3721" s="10"/>
      <c r="C3721" s="11"/>
      <c r="D3721" s="12"/>
      <c r="E3721" s="10"/>
      <c r="F3721" s="10"/>
      <c r="G3721" s="10"/>
      <c r="H3721" s="14"/>
      <c r="I3721" s="14"/>
      <c r="J3721" s="14"/>
      <c r="K3721" s="14"/>
      <c r="L3721" s="14"/>
      <c r="M3721" s="15"/>
      <c r="N3721" s="10"/>
      <c r="O3721" s="14"/>
      <c r="P3721" s="14"/>
      <c r="Q3721" s="14"/>
      <c r="R3721" s="14"/>
      <c r="S3721" s="14"/>
      <c r="T3721" s="14"/>
      <c r="U3721" s="14"/>
      <c r="V3721" s="14"/>
      <c r="W3721" s="14"/>
      <c r="X3721" s="14"/>
      <c r="Y3721" s="14"/>
      <c r="Z3721" s="14"/>
      <c r="AA3721" s="16"/>
      <c r="AB3721" s="10"/>
      <c r="AC3721" s="10"/>
      <c r="AD3721" s="10"/>
      <c r="AE3721" s="10"/>
      <c r="AF3721" s="10"/>
      <c r="AG3721" s="10"/>
      <c r="AH3721" s="10"/>
      <c r="AI3721" s="10"/>
      <c r="AJ3721" s="10"/>
      <c r="AK3721" s="10"/>
      <c r="AL3721" s="10"/>
      <c r="AM3721" s="10"/>
      <c r="AN3721" s="10"/>
      <c r="AO3721" s="10"/>
      <c r="AP3721" s="10"/>
      <c r="AQ3721" s="10"/>
      <c r="AR3721" s="10"/>
      <c r="AS3721" s="10"/>
      <c r="AT3721" s="10"/>
      <c r="AU3721" s="10"/>
      <c r="AV3721" s="10"/>
      <c r="AW3721" s="10"/>
      <c r="AX3721" s="10"/>
      <c r="AY3721" s="10"/>
      <c r="AZ3721" s="10"/>
      <c r="BA3721" s="10"/>
      <c r="BB3721" s="10"/>
      <c r="BC3721" s="10"/>
      <c r="BD3721" s="10"/>
      <c r="BE3721" s="10"/>
      <c r="BF3721" s="10"/>
      <c r="BG3721" s="10"/>
      <c r="BH3721" s="10"/>
      <c r="BI3721" s="10"/>
      <c r="BJ3721" s="10"/>
      <c r="BK3721" s="10"/>
      <c r="BM3721" s="10"/>
    </row>
    <row r="3722" spans="1:65" ht="12.75">
      <c r="A3722" s="9"/>
      <c r="B3722" s="10"/>
      <c r="C3722" s="11"/>
      <c r="D3722" s="12"/>
      <c r="E3722" s="10"/>
      <c r="F3722" s="10"/>
      <c r="G3722" s="10"/>
      <c r="H3722" s="14"/>
      <c r="I3722" s="14"/>
      <c r="J3722" s="14"/>
      <c r="K3722" s="14"/>
      <c r="L3722" s="14"/>
      <c r="M3722" s="15"/>
      <c r="N3722" s="10"/>
      <c r="O3722" s="14"/>
      <c r="P3722" s="14"/>
      <c r="Q3722" s="14"/>
      <c r="R3722" s="14"/>
      <c r="S3722" s="14"/>
      <c r="T3722" s="14"/>
      <c r="U3722" s="14"/>
      <c r="V3722" s="14"/>
      <c r="W3722" s="14"/>
      <c r="X3722" s="14"/>
      <c r="Y3722" s="14"/>
      <c r="Z3722" s="14"/>
      <c r="AA3722" s="16"/>
      <c r="AB3722" s="10"/>
      <c r="AC3722" s="10"/>
      <c r="AD3722" s="10"/>
      <c r="AE3722" s="10"/>
      <c r="AF3722" s="10"/>
      <c r="AG3722" s="10"/>
      <c r="AH3722" s="10"/>
      <c r="AI3722" s="10"/>
      <c r="AJ3722" s="10"/>
      <c r="AK3722" s="10"/>
      <c r="AL3722" s="10"/>
      <c r="AM3722" s="10"/>
      <c r="AN3722" s="10"/>
      <c r="AO3722" s="10"/>
      <c r="AP3722" s="10"/>
      <c r="AQ3722" s="10"/>
      <c r="AR3722" s="10"/>
      <c r="AS3722" s="10"/>
      <c r="AT3722" s="10"/>
      <c r="AU3722" s="10"/>
      <c r="AV3722" s="10"/>
      <c r="AW3722" s="10"/>
      <c r="AX3722" s="10"/>
      <c r="AY3722" s="10"/>
      <c r="AZ3722" s="10"/>
      <c r="BA3722" s="10"/>
      <c r="BB3722" s="10"/>
      <c r="BC3722" s="10"/>
      <c r="BD3722" s="10"/>
      <c r="BE3722" s="10"/>
      <c r="BF3722" s="10"/>
      <c r="BG3722" s="10"/>
      <c r="BH3722" s="10"/>
      <c r="BI3722" s="10"/>
      <c r="BJ3722" s="10"/>
      <c r="BK3722" s="10"/>
      <c r="BM3722" s="10"/>
    </row>
    <row r="3723" spans="1:65" ht="12.75">
      <c r="A3723" s="9"/>
      <c r="B3723" s="10"/>
      <c r="C3723" s="11"/>
      <c r="D3723" s="12"/>
      <c r="E3723" s="10"/>
      <c r="F3723" s="10"/>
      <c r="G3723" s="10"/>
      <c r="H3723" s="14"/>
      <c r="I3723" s="14"/>
      <c r="J3723" s="14"/>
      <c r="K3723" s="14"/>
      <c r="L3723" s="14"/>
      <c r="M3723" s="15"/>
      <c r="N3723" s="10"/>
      <c r="O3723" s="14"/>
      <c r="P3723" s="14"/>
      <c r="Q3723" s="14"/>
      <c r="R3723" s="14"/>
      <c r="S3723" s="14"/>
      <c r="T3723" s="14"/>
      <c r="U3723" s="14"/>
      <c r="V3723" s="14"/>
      <c r="W3723" s="14"/>
      <c r="X3723" s="14"/>
      <c r="Y3723" s="14"/>
      <c r="Z3723" s="14"/>
      <c r="AA3723" s="16"/>
      <c r="AB3723" s="10"/>
      <c r="AC3723" s="10"/>
      <c r="AD3723" s="10"/>
      <c r="AE3723" s="10"/>
      <c r="AF3723" s="10"/>
      <c r="AG3723" s="10"/>
      <c r="AH3723" s="10"/>
      <c r="AI3723" s="10"/>
      <c r="AJ3723" s="10"/>
      <c r="AK3723" s="10"/>
      <c r="AL3723" s="10"/>
      <c r="AM3723" s="10"/>
      <c r="AN3723" s="10"/>
      <c r="AO3723" s="10"/>
      <c r="AP3723" s="10"/>
      <c r="AQ3723" s="10"/>
      <c r="AR3723" s="10"/>
      <c r="AS3723" s="10"/>
      <c r="AT3723" s="10"/>
      <c r="AU3723" s="10"/>
      <c r="AV3723" s="10"/>
      <c r="AW3723" s="10"/>
      <c r="AX3723" s="10"/>
      <c r="AY3723" s="10"/>
      <c r="AZ3723" s="10"/>
      <c r="BA3723" s="10"/>
      <c r="BB3723" s="10"/>
      <c r="BC3723" s="10"/>
      <c r="BD3723" s="10"/>
      <c r="BE3723" s="10"/>
      <c r="BF3723" s="10"/>
      <c r="BG3723" s="10"/>
      <c r="BH3723" s="10"/>
      <c r="BI3723" s="10"/>
      <c r="BJ3723" s="10"/>
      <c r="BK3723" s="10"/>
      <c r="BM3723" s="10"/>
    </row>
    <row r="3724" spans="1:65" ht="12.75">
      <c r="A3724" s="9"/>
      <c r="B3724" s="10"/>
      <c r="C3724" s="11"/>
      <c r="D3724" s="12"/>
      <c r="E3724" s="10"/>
      <c r="F3724" s="10"/>
      <c r="G3724" s="10"/>
      <c r="H3724" s="14"/>
      <c r="I3724" s="14"/>
      <c r="J3724" s="14"/>
      <c r="K3724" s="14"/>
      <c r="L3724" s="14"/>
      <c r="M3724" s="15"/>
      <c r="N3724" s="10"/>
      <c r="O3724" s="14"/>
      <c r="P3724" s="14"/>
      <c r="Q3724" s="14"/>
      <c r="R3724" s="14"/>
      <c r="S3724" s="14"/>
      <c r="T3724" s="14"/>
      <c r="U3724" s="14"/>
      <c r="V3724" s="14"/>
      <c r="W3724" s="14"/>
      <c r="X3724" s="14"/>
      <c r="Y3724" s="14"/>
      <c r="Z3724" s="14"/>
      <c r="AA3724" s="16"/>
      <c r="AB3724" s="10"/>
      <c r="AC3724" s="10"/>
      <c r="AD3724" s="10"/>
      <c r="AE3724" s="10"/>
      <c r="AF3724" s="10"/>
      <c r="AG3724" s="10"/>
      <c r="AH3724" s="10"/>
      <c r="AI3724" s="10"/>
      <c r="AJ3724" s="10"/>
      <c r="AK3724" s="10"/>
      <c r="AL3724" s="10"/>
      <c r="AM3724" s="10"/>
      <c r="AN3724" s="10"/>
      <c r="AO3724" s="10"/>
      <c r="AP3724" s="10"/>
      <c r="AQ3724" s="10"/>
      <c r="AR3724" s="10"/>
      <c r="AS3724" s="10"/>
      <c r="AT3724" s="10"/>
      <c r="AU3724" s="10"/>
      <c r="AV3724" s="10"/>
      <c r="AW3724" s="10"/>
      <c r="AX3724" s="10"/>
      <c r="AY3724" s="10"/>
      <c r="AZ3724" s="10"/>
      <c r="BA3724" s="10"/>
      <c r="BB3724" s="10"/>
      <c r="BC3724" s="10"/>
      <c r="BD3724" s="10"/>
      <c r="BE3724" s="10"/>
      <c r="BF3724" s="10"/>
      <c r="BG3724" s="10"/>
      <c r="BH3724" s="10"/>
      <c r="BI3724" s="10"/>
      <c r="BJ3724" s="10"/>
      <c r="BK3724" s="10"/>
      <c r="BM3724" s="10"/>
    </row>
    <row r="3725" spans="1:65" ht="12.75">
      <c r="A3725" s="9"/>
      <c r="B3725" s="10"/>
      <c r="C3725" s="11"/>
      <c r="D3725" s="12"/>
      <c r="E3725" s="10"/>
      <c r="F3725" s="10"/>
      <c r="G3725" s="10"/>
      <c r="H3725" s="14"/>
      <c r="I3725" s="14"/>
      <c r="J3725" s="14"/>
      <c r="K3725" s="14"/>
      <c r="L3725" s="14"/>
      <c r="M3725" s="15"/>
      <c r="N3725" s="10"/>
      <c r="O3725" s="14"/>
      <c r="P3725" s="14"/>
      <c r="Q3725" s="14"/>
      <c r="R3725" s="14"/>
      <c r="S3725" s="14"/>
      <c r="T3725" s="14"/>
      <c r="U3725" s="14"/>
      <c r="V3725" s="14"/>
      <c r="W3725" s="14"/>
      <c r="X3725" s="14"/>
      <c r="Y3725" s="14"/>
      <c r="Z3725" s="14"/>
      <c r="AA3725" s="16"/>
      <c r="AB3725" s="10"/>
      <c r="AC3725" s="10"/>
      <c r="AD3725" s="10"/>
      <c r="AE3725" s="10"/>
      <c r="AF3725" s="10"/>
      <c r="AG3725" s="10"/>
      <c r="AH3725" s="10"/>
      <c r="AI3725" s="10"/>
      <c r="AJ3725" s="10"/>
      <c r="AK3725" s="10"/>
      <c r="AL3725" s="10"/>
      <c r="AM3725" s="10"/>
      <c r="AN3725" s="10"/>
      <c r="AO3725" s="10"/>
      <c r="AP3725" s="10"/>
      <c r="AQ3725" s="10"/>
      <c r="AR3725" s="10"/>
      <c r="AS3725" s="10"/>
      <c r="AT3725" s="10"/>
      <c r="AU3725" s="10"/>
      <c r="AV3725" s="10"/>
      <c r="AW3725" s="10"/>
      <c r="AX3725" s="10"/>
      <c r="AY3725" s="10"/>
      <c r="AZ3725" s="10"/>
      <c r="BA3725" s="10"/>
      <c r="BB3725" s="10"/>
      <c r="BC3725" s="10"/>
      <c r="BD3725" s="10"/>
      <c r="BE3725" s="10"/>
      <c r="BF3725" s="10"/>
      <c r="BG3725" s="10"/>
      <c r="BH3725" s="10"/>
      <c r="BI3725" s="10"/>
      <c r="BJ3725" s="10"/>
      <c r="BK3725" s="10"/>
      <c r="BM3725" s="10"/>
    </row>
    <row r="3726" spans="1:65" ht="12.75">
      <c r="A3726" s="9"/>
      <c r="B3726" s="10"/>
      <c r="C3726" s="11"/>
      <c r="D3726" s="12"/>
      <c r="E3726" s="10"/>
      <c r="F3726" s="10"/>
      <c r="G3726" s="10"/>
      <c r="H3726" s="14"/>
      <c r="I3726" s="14"/>
      <c r="J3726" s="14"/>
      <c r="K3726" s="14"/>
      <c r="L3726" s="14"/>
      <c r="M3726" s="15"/>
      <c r="N3726" s="10"/>
      <c r="O3726" s="14"/>
      <c r="P3726" s="14"/>
      <c r="Q3726" s="14"/>
      <c r="R3726" s="14"/>
      <c r="S3726" s="14"/>
      <c r="T3726" s="14"/>
      <c r="U3726" s="14"/>
      <c r="V3726" s="14"/>
      <c r="W3726" s="14"/>
      <c r="X3726" s="14"/>
      <c r="Y3726" s="14"/>
      <c r="Z3726" s="14"/>
      <c r="AA3726" s="16"/>
      <c r="AB3726" s="10"/>
      <c r="AC3726" s="10"/>
      <c r="AD3726" s="10"/>
      <c r="AE3726" s="10"/>
      <c r="AF3726" s="10"/>
      <c r="AG3726" s="10"/>
      <c r="AH3726" s="10"/>
      <c r="AI3726" s="10"/>
      <c r="AJ3726" s="10"/>
      <c r="AK3726" s="10"/>
      <c r="AL3726" s="10"/>
      <c r="AM3726" s="10"/>
      <c r="AN3726" s="10"/>
      <c r="AO3726" s="10"/>
      <c r="AP3726" s="10"/>
      <c r="AQ3726" s="10"/>
      <c r="AR3726" s="10"/>
      <c r="AS3726" s="10"/>
      <c r="AT3726" s="10"/>
      <c r="AU3726" s="10"/>
      <c r="AV3726" s="10"/>
      <c r="AW3726" s="10"/>
      <c r="AX3726" s="10"/>
      <c r="AY3726" s="10"/>
      <c r="AZ3726" s="10"/>
      <c r="BA3726" s="10"/>
      <c r="BB3726" s="10"/>
      <c r="BC3726" s="10"/>
      <c r="BD3726" s="10"/>
      <c r="BE3726" s="10"/>
      <c r="BF3726" s="10"/>
      <c r="BG3726" s="10"/>
      <c r="BH3726" s="10"/>
      <c r="BI3726" s="10"/>
      <c r="BJ3726" s="10"/>
      <c r="BK3726" s="10"/>
      <c r="BM3726" s="10"/>
    </row>
    <row r="3727" spans="1:65" ht="12.75">
      <c r="A3727" s="9"/>
      <c r="B3727" s="10"/>
      <c r="C3727" s="11"/>
      <c r="D3727" s="12"/>
      <c r="E3727" s="10"/>
      <c r="F3727" s="10"/>
      <c r="G3727" s="10"/>
      <c r="H3727" s="14"/>
      <c r="I3727" s="14"/>
      <c r="J3727" s="14"/>
      <c r="K3727" s="14"/>
      <c r="L3727" s="14"/>
      <c r="M3727" s="15"/>
      <c r="N3727" s="10"/>
      <c r="O3727" s="14"/>
      <c r="P3727" s="14"/>
      <c r="Q3727" s="14"/>
      <c r="R3727" s="14"/>
      <c r="S3727" s="14"/>
      <c r="T3727" s="14"/>
      <c r="U3727" s="14"/>
      <c r="V3727" s="14"/>
      <c r="W3727" s="14"/>
      <c r="X3727" s="14"/>
      <c r="Y3727" s="14"/>
      <c r="Z3727" s="14"/>
      <c r="AA3727" s="16"/>
      <c r="AB3727" s="10"/>
      <c r="AC3727" s="10"/>
      <c r="AD3727" s="10"/>
      <c r="AE3727" s="10"/>
      <c r="AF3727" s="10"/>
      <c r="AG3727" s="10"/>
      <c r="AH3727" s="10"/>
      <c r="AI3727" s="10"/>
      <c r="AJ3727" s="10"/>
      <c r="AK3727" s="10"/>
      <c r="AL3727" s="10"/>
      <c r="AM3727" s="10"/>
      <c r="AN3727" s="10"/>
      <c r="AO3727" s="10"/>
      <c r="AP3727" s="10"/>
      <c r="AQ3727" s="10"/>
      <c r="AR3727" s="10"/>
      <c r="AS3727" s="10"/>
      <c r="AT3727" s="10"/>
      <c r="AU3727" s="10"/>
      <c r="AV3727" s="10"/>
      <c r="AW3727" s="10"/>
      <c r="AX3727" s="10"/>
      <c r="AY3727" s="10"/>
      <c r="AZ3727" s="10"/>
      <c r="BA3727" s="10"/>
      <c r="BB3727" s="10"/>
      <c r="BC3727" s="10"/>
      <c r="BD3727" s="10"/>
      <c r="BE3727" s="10"/>
      <c r="BF3727" s="10"/>
      <c r="BG3727" s="10"/>
      <c r="BH3727" s="10"/>
      <c r="BI3727" s="10"/>
      <c r="BJ3727" s="10"/>
      <c r="BK3727" s="10"/>
      <c r="BM3727" s="10"/>
    </row>
    <row r="3728" spans="1:65" ht="12.75">
      <c r="A3728" s="9"/>
      <c r="B3728" s="10"/>
      <c r="C3728" s="11"/>
      <c r="D3728" s="12"/>
      <c r="E3728" s="10"/>
      <c r="F3728" s="10"/>
      <c r="G3728" s="10"/>
      <c r="H3728" s="14"/>
      <c r="I3728" s="14"/>
      <c r="J3728" s="14"/>
      <c r="K3728" s="14"/>
      <c r="L3728" s="14"/>
      <c r="M3728" s="15"/>
      <c r="N3728" s="10"/>
      <c r="O3728" s="14"/>
      <c r="P3728" s="14"/>
      <c r="Q3728" s="14"/>
      <c r="R3728" s="14"/>
      <c r="S3728" s="14"/>
      <c r="T3728" s="14"/>
      <c r="U3728" s="14"/>
      <c r="V3728" s="14"/>
      <c r="W3728" s="14"/>
      <c r="X3728" s="14"/>
      <c r="Y3728" s="14"/>
      <c r="Z3728" s="14"/>
      <c r="AA3728" s="16"/>
      <c r="AB3728" s="10"/>
      <c r="AC3728" s="10"/>
      <c r="AD3728" s="10"/>
      <c r="AE3728" s="10"/>
      <c r="AF3728" s="10"/>
      <c r="AG3728" s="10"/>
      <c r="AH3728" s="10"/>
      <c r="AI3728" s="10"/>
      <c r="AJ3728" s="10"/>
      <c r="AK3728" s="10"/>
      <c r="AL3728" s="10"/>
      <c r="AM3728" s="10"/>
      <c r="AN3728" s="10"/>
      <c r="AO3728" s="10"/>
      <c r="AP3728" s="10"/>
      <c r="AQ3728" s="10"/>
      <c r="AR3728" s="10"/>
      <c r="AS3728" s="10"/>
      <c r="AT3728" s="10"/>
      <c r="AU3728" s="10"/>
      <c r="AV3728" s="10"/>
      <c r="AW3728" s="10"/>
      <c r="AX3728" s="10"/>
      <c r="AY3728" s="10"/>
      <c r="AZ3728" s="10"/>
      <c r="BA3728" s="10"/>
      <c r="BB3728" s="10"/>
      <c r="BC3728" s="10"/>
      <c r="BD3728" s="10"/>
      <c r="BE3728" s="10"/>
      <c r="BF3728" s="10"/>
      <c r="BG3728" s="10"/>
      <c r="BH3728" s="10"/>
      <c r="BI3728" s="10"/>
      <c r="BJ3728" s="10"/>
      <c r="BK3728" s="10"/>
      <c r="BM3728" s="10"/>
    </row>
    <row r="3729" spans="1:65" ht="12.75">
      <c r="A3729" s="9"/>
      <c r="B3729" s="10"/>
      <c r="C3729" s="11"/>
      <c r="D3729" s="12"/>
      <c r="E3729" s="10"/>
      <c r="F3729" s="10"/>
      <c r="G3729" s="10"/>
      <c r="H3729" s="14"/>
      <c r="I3729" s="14"/>
      <c r="J3729" s="14"/>
      <c r="K3729" s="14"/>
      <c r="L3729" s="14"/>
      <c r="M3729" s="15"/>
      <c r="N3729" s="10"/>
      <c r="O3729" s="14"/>
      <c r="P3729" s="14"/>
      <c r="Q3729" s="14"/>
      <c r="R3729" s="14"/>
      <c r="S3729" s="14"/>
      <c r="T3729" s="14"/>
      <c r="U3729" s="14"/>
      <c r="V3729" s="14"/>
      <c r="W3729" s="14"/>
      <c r="X3729" s="14"/>
      <c r="Y3729" s="14"/>
      <c r="Z3729" s="14"/>
      <c r="AA3729" s="16"/>
      <c r="AB3729" s="10"/>
      <c r="AC3729" s="10"/>
      <c r="AD3729" s="10"/>
      <c r="AE3729" s="10"/>
      <c r="AF3729" s="10"/>
      <c r="AG3729" s="10"/>
      <c r="AH3729" s="10"/>
      <c r="AI3729" s="10"/>
      <c r="AJ3729" s="10"/>
      <c r="AK3729" s="10"/>
      <c r="AL3729" s="10"/>
      <c r="AM3729" s="10"/>
      <c r="AN3729" s="10"/>
      <c r="AO3729" s="10"/>
      <c r="AP3729" s="10"/>
      <c r="AQ3729" s="10"/>
      <c r="AR3729" s="10"/>
      <c r="AS3729" s="10"/>
      <c r="AT3729" s="10"/>
      <c r="AU3729" s="10"/>
      <c r="AV3729" s="10"/>
      <c r="AW3729" s="10"/>
      <c r="AX3729" s="10"/>
      <c r="AY3729" s="10"/>
      <c r="AZ3729" s="10"/>
      <c r="BA3729" s="10"/>
      <c r="BB3729" s="10"/>
      <c r="BC3729" s="10"/>
      <c r="BD3729" s="10"/>
      <c r="BE3729" s="10"/>
      <c r="BF3729" s="10"/>
      <c r="BG3729" s="10"/>
      <c r="BH3729" s="10"/>
      <c r="BI3729" s="10"/>
      <c r="BJ3729" s="10"/>
      <c r="BK3729" s="10"/>
      <c r="BM3729" s="10"/>
    </row>
    <row r="3730" spans="1:65" ht="12.75">
      <c r="A3730" s="9"/>
      <c r="B3730" s="10"/>
      <c r="C3730" s="11"/>
      <c r="D3730" s="12"/>
      <c r="E3730" s="10"/>
      <c r="F3730" s="10"/>
      <c r="G3730" s="10"/>
      <c r="H3730" s="14"/>
      <c r="I3730" s="14"/>
      <c r="J3730" s="14"/>
      <c r="K3730" s="14"/>
      <c r="L3730" s="14"/>
      <c r="M3730" s="15"/>
      <c r="N3730" s="10"/>
      <c r="O3730" s="14"/>
      <c r="P3730" s="14"/>
      <c r="Q3730" s="14"/>
      <c r="R3730" s="14"/>
      <c r="S3730" s="14"/>
      <c r="T3730" s="14"/>
      <c r="U3730" s="14"/>
      <c r="V3730" s="14"/>
      <c r="W3730" s="14"/>
      <c r="X3730" s="14"/>
      <c r="Y3730" s="14"/>
      <c r="Z3730" s="14"/>
      <c r="AA3730" s="16"/>
      <c r="AB3730" s="10"/>
      <c r="AC3730" s="10"/>
      <c r="AD3730" s="10"/>
      <c r="AE3730" s="10"/>
      <c r="AF3730" s="10"/>
      <c r="AG3730" s="10"/>
      <c r="AH3730" s="10"/>
      <c r="AI3730" s="10"/>
      <c r="AJ3730" s="10"/>
      <c r="AK3730" s="10"/>
      <c r="AL3730" s="10"/>
      <c r="AM3730" s="10"/>
      <c r="AN3730" s="10"/>
      <c r="AO3730" s="10"/>
      <c r="AP3730" s="10"/>
      <c r="AQ3730" s="10"/>
      <c r="AR3730" s="10"/>
      <c r="AS3730" s="10"/>
      <c r="AT3730" s="10"/>
      <c r="AU3730" s="10"/>
      <c r="AV3730" s="10"/>
      <c r="AW3730" s="10"/>
      <c r="AX3730" s="10"/>
      <c r="AY3730" s="10"/>
      <c r="AZ3730" s="10"/>
      <c r="BA3730" s="10"/>
      <c r="BB3730" s="10"/>
      <c r="BC3730" s="10"/>
      <c r="BD3730" s="10"/>
      <c r="BE3730" s="10"/>
      <c r="BF3730" s="10"/>
      <c r="BG3730" s="10"/>
      <c r="BH3730" s="10"/>
      <c r="BI3730" s="10"/>
      <c r="BJ3730" s="10"/>
      <c r="BK3730" s="10"/>
      <c r="BM3730" s="10"/>
    </row>
    <row r="3731" spans="1:65" ht="12.75">
      <c r="A3731" s="9"/>
      <c r="B3731" s="10"/>
      <c r="C3731" s="11"/>
      <c r="D3731" s="12"/>
      <c r="E3731" s="10"/>
      <c r="F3731" s="10"/>
      <c r="G3731" s="10"/>
      <c r="H3731" s="14"/>
      <c r="I3731" s="14"/>
      <c r="J3731" s="14"/>
      <c r="K3731" s="14"/>
      <c r="L3731" s="14"/>
      <c r="M3731" s="15"/>
      <c r="N3731" s="10"/>
      <c r="O3731" s="14"/>
      <c r="P3731" s="14"/>
      <c r="Q3731" s="14"/>
      <c r="R3731" s="14"/>
      <c r="S3731" s="14"/>
      <c r="T3731" s="14"/>
      <c r="U3731" s="14"/>
      <c r="V3731" s="14"/>
      <c r="W3731" s="14"/>
      <c r="X3731" s="14"/>
      <c r="Y3731" s="14"/>
      <c r="Z3731" s="14"/>
      <c r="AA3731" s="16"/>
      <c r="AB3731" s="10"/>
      <c r="AC3731" s="10"/>
      <c r="AD3731" s="10"/>
      <c r="AE3731" s="10"/>
      <c r="AF3731" s="10"/>
      <c r="AG3731" s="10"/>
      <c r="AH3731" s="10"/>
      <c r="AI3731" s="10"/>
      <c r="AJ3731" s="10"/>
      <c r="AK3731" s="10"/>
      <c r="AL3731" s="10"/>
      <c r="AM3731" s="10"/>
      <c r="AN3731" s="10"/>
      <c r="AO3731" s="10"/>
      <c r="AP3731" s="10"/>
      <c r="AQ3731" s="10"/>
      <c r="AR3731" s="10"/>
      <c r="AS3731" s="10"/>
      <c r="AT3731" s="10"/>
      <c r="AU3731" s="10"/>
      <c r="AV3731" s="10"/>
      <c r="AW3731" s="10"/>
      <c r="AX3731" s="10"/>
      <c r="AY3731" s="10"/>
      <c r="AZ3731" s="10"/>
      <c r="BA3731" s="10"/>
      <c r="BB3731" s="10"/>
      <c r="BC3731" s="10"/>
      <c r="BD3731" s="10"/>
      <c r="BE3731" s="10"/>
      <c r="BF3731" s="10"/>
      <c r="BG3731" s="10"/>
      <c r="BH3731" s="10"/>
      <c r="BI3731" s="10"/>
      <c r="BJ3731" s="10"/>
      <c r="BK3731" s="10"/>
      <c r="BM3731" s="10"/>
    </row>
    <row r="3732" spans="1:65" ht="12.75">
      <c r="A3732" s="9"/>
      <c r="B3732" s="10"/>
      <c r="C3732" s="11"/>
      <c r="D3732" s="12"/>
      <c r="E3732" s="10"/>
      <c r="F3732" s="10"/>
      <c r="G3732" s="10"/>
      <c r="H3732" s="14"/>
      <c r="I3732" s="14"/>
      <c r="J3732" s="14"/>
      <c r="K3732" s="14"/>
      <c r="L3732" s="14"/>
      <c r="M3732" s="15"/>
      <c r="N3732" s="10"/>
      <c r="O3732" s="14"/>
      <c r="P3732" s="14"/>
      <c r="Q3732" s="14"/>
      <c r="R3732" s="14"/>
      <c r="S3732" s="14"/>
      <c r="T3732" s="14"/>
      <c r="U3732" s="14"/>
      <c r="V3732" s="14"/>
      <c r="W3732" s="14"/>
      <c r="X3732" s="14"/>
      <c r="Y3732" s="14"/>
      <c r="Z3732" s="14"/>
      <c r="AA3732" s="16"/>
      <c r="AB3732" s="10"/>
      <c r="AC3732" s="10"/>
      <c r="AD3732" s="10"/>
      <c r="AE3732" s="10"/>
      <c r="AF3732" s="10"/>
      <c r="AG3732" s="10"/>
      <c r="AH3732" s="10"/>
      <c r="AI3732" s="10"/>
      <c r="AJ3732" s="10"/>
      <c r="AK3732" s="10"/>
      <c r="AL3732" s="10"/>
      <c r="AM3732" s="10"/>
      <c r="AN3732" s="10"/>
      <c r="AO3732" s="10"/>
      <c r="AP3732" s="10"/>
      <c r="AQ3732" s="10"/>
      <c r="AR3732" s="10"/>
      <c r="AS3732" s="10"/>
      <c r="AT3732" s="10"/>
      <c r="AU3732" s="10"/>
      <c r="AV3732" s="10"/>
      <c r="AW3732" s="10"/>
      <c r="AX3732" s="10"/>
      <c r="AY3732" s="10"/>
      <c r="AZ3732" s="10"/>
      <c r="BA3732" s="10"/>
      <c r="BB3732" s="10"/>
      <c r="BC3732" s="10"/>
      <c r="BD3732" s="10"/>
      <c r="BE3732" s="10"/>
      <c r="BF3732" s="10"/>
      <c r="BG3732" s="10"/>
      <c r="BH3732" s="10"/>
      <c r="BI3732" s="10"/>
      <c r="BJ3732" s="10"/>
      <c r="BK3732" s="10"/>
      <c r="BM3732" s="10"/>
    </row>
    <row r="3733" spans="1:65" ht="12.75">
      <c r="A3733" s="9"/>
      <c r="B3733" s="10"/>
      <c r="C3733" s="11"/>
      <c r="D3733" s="12"/>
      <c r="E3733" s="10"/>
      <c r="F3733" s="10"/>
      <c r="G3733" s="10"/>
      <c r="H3733" s="14"/>
      <c r="I3733" s="14"/>
      <c r="J3733" s="14"/>
      <c r="K3733" s="14"/>
      <c r="L3733" s="14"/>
      <c r="M3733" s="15"/>
      <c r="N3733" s="10"/>
      <c r="O3733" s="14"/>
      <c r="P3733" s="14"/>
      <c r="Q3733" s="14"/>
      <c r="R3733" s="14"/>
      <c r="S3733" s="14"/>
      <c r="T3733" s="14"/>
      <c r="U3733" s="14"/>
      <c r="V3733" s="14"/>
      <c r="W3733" s="14"/>
      <c r="X3733" s="14"/>
      <c r="Y3733" s="14"/>
      <c r="Z3733" s="14"/>
      <c r="AA3733" s="16"/>
      <c r="AB3733" s="10"/>
      <c r="AC3733" s="10"/>
      <c r="AD3733" s="10"/>
      <c r="AE3733" s="10"/>
      <c r="AF3733" s="10"/>
      <c r="AG3733" s="10"/>
      <c r="AH3733" s="10"/>
      <c r="AI3733" s="10"/>
      <c r="AJ3733" s="10"/>
      <c r="AK3733" s="10"/>
      <c r="AL3733" s="10"/>
      <c r="AM3733" s="10"/>
      <c r="AN3733" s="10"/>
      <c r="AO3733" s="10"/>
      <c r="AP3733" s="10"/>
      <c r="AQ3733" s="10"/>
      <c r="AR3733" s="10"/>
      <c r="AS3733" s="10"/>
      <c r="AT3733" s="10"/>
      <c r="AU3733" s="10"/>
      <c r="AV3733" s="10"/>
      <c r="AW3733" s="10"/>
      <c r="AX3733" s="10"/>
      <c r="AY3733" s="10"/>
      <c r="AZ3733" s="10"/>
      <c r="BA3733" s="10"/>
      <c r="BB3733" s="10"/>
      <c r="BC3733" s="10"/>
      <c r="BD3733" s="10"/>
      <c r="BE3733" s="10"/>
      <c r="BF3733" s="10"/>
      <c r="BG3733" s="10"/>
      <c r="BH3733" s="10"/>
      <c r="BI3733" s="10"/>
      <c r="BJ3733" s="10"/>
      <c r="BK3733" s="10"/>
      <c r="BM3733" s="10"/>
    </row>
    <row r="3734" spans="1:65" ht="12.75">
      <c r="A3734" s="9"/>
      <c r="B3734" s="10"/>
      <c r="C3734" s="11"/>
      <c r="D3734" s="12"/>
      <c r="E3734" s="10"/>
      <c r="F3734" s="10"/>
      <c r="G3734" s="10"/>
      <c r="H3734" s="14"/>
      <c r="I3734" s="14"/>
      <c r="J3734" s="14"/>
      <c r="K3734" s="14"/>
      <c r="L3734" s="14"/>
      <c r="M3734" s="15"/>
      <c r="N3734" s="10"/>
      <c r="O3734" s="14"/>
      <c r="P3734" s="14"/>
      <c r="Q3734" s="14"/>
      <c r="R3734" s="14"/>
      <c r="S3734" s="14"/>
      <c r="T3734" s="14"/>
      <c r="U3734" s="14"/>
      <c r="V3734" s="14"/>
      <c r="W3734" s="14"/>
      <c r="X3734" s="14"/>
      <c r="Y3734" s="14"/>
      <c r="Z3734" s="14"/>
      <c r="AA3734" s="16"/>
      <c r="AB3734" s="10"/>
      <c r="AC3734" s="10"/>
      <c r="AD3734" s="10"/>
      <c r="AE3734" s="10"/>
      <c r="AF3734" s="10"/>
      <c r="AG3734" s="10"/>
      <c r="AH3734" s="10"/>
      <c r="AI3734" s="10"/>
      <c r="AJ3734" s="10"/>
      <c r="AK3734" s="10"/>
      <c r="AL3734" s="10"/>
      <c r="AM3734" s="10"/>
      <c r="AN3734" s="10"/>
      <c r="AO3734" s="10"/>
      <c r="AP3734" s="10"/>
      <c r="AQ3734" s="10"/>
      <c r="AR3734" s="10"/>
      <c r="AS3734" s="10"/>
      <c r="AT3734" s="10"/>
      <c r="AU3734" s="10"/>
      <c r="AV3734" s="10"/>
      <c r="AW3734" s="10"/>
      <c r="AX3734" s="10"/>
      <c r="AY3734" s="10"/>
      <c r="AZ3734" s="10"/>
      <c r="BA3734" s="10"/>
      <c r="BB3734" s="10"/>
      <c r="BC3734" s="10"/>
      <c r="BD3734" s="10"/>
      <c r="BE3734" s="10"/>
      <c r="BF3734" s="10"/>
      <c r="BG3734" s="10"/>
      <c r="BH3734" s="10"/>
      <c r="BI3734" s="10"/>
      <c r="BJ3734" s="10"/>
      <c r="BK3734" s="10"/>
      <c r="BM3734" s="10"/>
    </row>
    <row r="3735" spans="1:65" ht="12.75">
      <c r="A3735" s="9"/>
      <c r="B3735" s="10"/>
      <c r="C3735" s="11"/>
      <c r="D3735" s="12"/>
      <c r="E3735" s="10"/>
      <c r="F3735" s="10"/>
      <c r="G3735" s="10"/>
      <c r="H3735" s="14"/>
      <c r="I3735" s="14"/>
      <c r="J3735" s="14"/>
      <c r="K3735" s="14"/>
      <c r="L3735" s="14"/>
      <c r="M3735" s="15"/>
      <c r="N3735" s="10"/>
      <c r="O3735" s="14"/>
      <c r="P3735" s="14"/>
      <c r="Q3735" s="14"/>
      <c r="R3735" s="14"/>
      <c r="S3735" s="14"/>
      <c r="T3735" s="14"/>
      <c r="U3735" s="14"/>
      <c r="V3735" s="14"/>
      <c r="W3735" s="14"/>
      <c r="X3735" s="14"/>
      <c r="Y3735" s="14"/>
      <c r="Z3735" s="14"/>
      <c r="AA3735" s="16"/>
      <c r="AB3735" s="10"/>
      <c r="AC3735" s="10"/>
      <c r="AD3735" s="10"/>
      <c r="AE3735" s="10"/>
      <c r="AF3735" s="10"/>
      <c r="AG3735" s="10"/>
      <c r="AH3735" s="10"/>
      <c r="AI3735" s="10"/>
      <c r="AJ3735" s="10"/>
      <c r="AK3735" s="10"/>
      <c r="AL3735" s="10"/>
      <c r="AM3735" s="10"/>
      <c r="AN3735" s="10"/>
      <c r="AO3735" s="10"/>
      <c r="AP3735" s="10"/>
      <c r="AQ3735" s="10"/>
      <c r="AR3735" s="10"/>
      <c r="AS3735" s="10"/>
      <c r="AT3735" s="10"/>
      <c r="AU3735" s="10"/>
      <c r="AV3735" s="10"/>
      <c r="AW3735" s="10"/>
      <c r="AX3735" s="10"/>
      <c r="AY3735" s="10"/>
      <c r="AZ3735" s="10"/>
      <c r="BA3735" s="10"/>
      <c r="BB3735" s="10"/>
      <c r="BC3735" s="10"/>
      <c r="BD3735" s="10"/>
      <c r="BE3735" s="10"/>
      <c r="BF3735" s="10"/>
      <c r="BG3735" s="10"/>
      <c r="BH3735" s="10"/>
      <c r="BI3735" s="10"/>
      <c r="BJ3735" s="10"/>
      <c r="BK3735" s="10"/>
      <c r="BM3735" s="10"/>
    </row>
    <row r="3736" spans="1:65" ht="12.75">
      <c r="A3736" s="9"/>
      <c r="B3736" s="10"/>
      <c r="C3736" s="11"/>
      <c r="D3736" s="12"/>
      <c r="E3736" s="10"/>
      <c r="F3736" s="10"/>
      <c r="G3736" s="10"/>
      <c r="H3736" s="14"/>
      <c r="I3736" s="14"/>
      <c r="J3736" s="14"/>
      <c r="K3736" s="14"/>
      <c r="L3736" s="14"/>
      <c r="M3736" s="15"/>
      <c r="N3736" s="10"/>
      <c r="O3736" s="14"/>
      <c r="P3736" s="14"/>
      <c r="Q3736" s="14"/>
      <c r="R3736" s="14"/>
      <c r="S3736" s="14"/>
      <c r="T3736" s="14"/>
      <c r="U3736" s="14"/>
      <c r="V3736" s="14"/>
      <c r="W3736" s="14"/>
      <c r="X3736" s="14"/>
      <c r="Y3736" s="14"/>
      <c r="Z3736" s="14"/>
      <c r="AA3736" s="16"/>
      <c r="AB3736" s="10"/>
      <c r="AC3736" s="10"/>
      <c r="AD3736" s="10"/>
      <c r="AE3736" s="10"/>
      <c r="AF3736" s="10"/>
      <c r="AG3736" s="10"/>
      <c r="AH3736" s="10"/>
      <c r="AI3736" s="10"/>
      <c r="AJ3736" s="10"/>
      <c r="AK3736" s="10"/>
      <c r="AL3736" s="10"/>
      <c r="AM3736" s="10"/>
      <c r="AN3736" s="10"/>
      <c r="AO3736" s="10"/>
      <c r="AP3736" s="10"/>
      <c r="AQ3736" s="10"/>
      <c r="AR3736" s="10"/>
      <c r="AS3736" s="10"/>
      <c r="AT3736" s="10"/>
      <c r="AU3736" s="10"/>
      <c r="AV3736" s="10"/>
      <c r="AW3736" s="10"/>
      <c r="AX3736" s="10"/>
      <c r="AY3736" s="10"/>
      <c r="AZ3736" s="10"/>
      <c r="BA3736" s="10"/>
      <c r="BB3736" s="10"/>
      <c r="BC3736" s="10"/>
      <c r="BD3736" s="10"/>
      <c r="BE3736" s="10"/>
      <c r="BF3736" s="10"/>
      <c r="BG3736" s="10"/>
      <c r="BH3736" s="10"/>
      <c r="BI3736" s="10"/>
      <c r="BJ3736" s="10"/>
      <c r="BK3736" s="10"/>
      <c r="BM3736" s="10"/>
    </row>
    <row r="3737" spans="1:65" ht="12.75">
      <c r="A3737" s="9"/>
      <c r="B3737" s="10"/>
      <c r="C3737" s="11"/>
      <c r="D3737" s="12"/>
      <c r="E3737" s="10"/>
      <c r="F3737" s="10"/>
      <c r="G3737" s="10"/>
      <c r="H3737" s="14"/>
      <c r="I3737" s="14"/>
      <c r="J3737" s="14"/>
      <c r="K3737" s="14"/>
      <c r="L3737" s="14"/>
      <c r="M3737" s="15"/>
      <c r="N3737" s="10"/>
      <c r="O3737" s="14"/>
      <c r="P3737" s="14"/>
      <c r="Q3737" s="14"/>
      <c r="R3737" s="14"/>
      <c r="S3737" s="14"/>
      <c r="T3737" s="14"/>
      <c r="U3737" s="14"/>
      <c r="V3737" s="14"/>
      <c r="W3737" s="14"/>
      <c r="X3737" s="14"/>
      <c r="Y3737" s="14"/>
      <c r="Z3737" s="14"/>
      <c r="AA3737" s="16"/>
      <c r="AB3737" s="10"/>
      <c r="AC3737" s="10"/>
      <c r="AD3737" s="10"/>
      <c r="AE3737" s="10"/>
      <c r="AF3737" s="10"/>
      <c r="AG3737" s="10"/>
      <c r="AH3737" s="10"/>
      <c r="AI3737" s="10"/>
      <c r="AJ3737" s="10"/>
      <c r="AK3737" s="10"/>
      <c r="AL3737" s="10"/>
      <c r="AM3737" s="10"/>
      <c r="AN3737" s="10"/>
      <c r="AO3737" s="10"/>
      <c r="AP3737" s="10"/>
      <c r="AQ3737" s="10"/>
      <c r="AR3737" s="10"/>
      <c r="AS3737" s="10"/>
      <c r="AT3737" s="10"/>
      <c r="AU3737" s="10"/>
      <c r="AV3737" s="10"/>
      <c r="AW3737" s="10"/>
      <c r="AX3737" s="10"/>
      <c r="AY3737" s="10"/>
      <c r="AZ3737" s="10"/>
      <c r="BA3737" s="10"/>
      <c r="BB3737" s="10"/>
      <c r="BC3737" s="10"/>
      <c r="BD3737" s="10"/>
      <c r="BE3737" s="10"/>
      <c r="BF3737" s="10"/>
      <c r="BG3737" s="10"/>
      <c r="BH3737" s="10"/>
      <c r="BI3737" s="10"/>
      <c r="BJ3737" s="10"/>
      <c r="BK3737" s="10"/>
      <c r="BM3737" s="10"/>
    </row>
    <row r="3738" spans="1:65" ht="12.75">
      <c r="A3738" s="9"/>
      <c r="B3738" s="10"/>
      <c r="C3738" s="11"/>
      <c r="D3738" s="12"/>
      <c r="E3738" s="10"/>
      <c r="F3738" s="10"/>
      <c r="G3738" s="10"/>
      <c r="H3738" s="14"/>
      <c r="I3738" s="14"/>
      <c r="J3738" s="14"/>
      <c r="K3738" s="14"/>
      <c r="L3738" s="14"/>
      <c r="M3738" s="15"/>
      <c r="N3738" s="10"/>
      <c r="O3738" s="14"/>
      <c r="P3738" s="14"/>
      <c r="Q3738" s="14"/>
      <c r="R3738" s="14"/>
      <c r="S3738" s="14"/>
      <c r="T3738" s="14"/>
      <c r="U3738" s="14"/>
      <c r="V3738" s="14"/>
      <c r="W3738" s="14"/>
      <c r="X3738" s="14"/>
      <c r="Y3738" s="14"/>
      <c r="Z3738" s="14"/>
      <c r="AA3738" s="16"/>
      <c r="AB3738" s="10"/>
      <c r="AC3738" s="10"/>
      <c r="AD3738" s="10"/>
      <c r="AE3738" s="10"/>
      <c r="AF3738" s="10"/>
      <c r="AG3738" s="10"/>
      <c r="AH3738" s="10"/>
      <c r="AI3738" s="10"/>
      <c r="AJ3738" s="10"/>
      <c r="AK3738" s="10"/>
      <c r="AL3738" s="10"/>
      <c r="AM3738" s="10"/>
      <c r="AN3738" s="10"/>
      <c r="AO3738" s="10"/>
      <c r="AP3738" s="10"/>
      <c r="AQ3738" s="10"/>
      <c r="AR3738" s="10"/>
      <c r="AS3738" s="10"/>
      <c r="AT3738" s="10"/>
      <c r="AU3738" s="10"/>
      <c r="AV3738" s="10"/>
      <c r="AW3738" s="10"/>
      <c r="AX3738" s="10"/>
      <c r="AY3738" s="10"/>
      <c r="AZ3738" s="10"/>
      <c r="BA3738" s="10"/>
      <c r="BB3738" s="10"/>
      <c r="BC3738" s="10"/>
      <c r="BD3738" s="10"/>
      <c r="BE3738" s="10"/>
      <c r="BF3738" s="10"/>
      <c r="BG3738" s="10"/>
      <c r="BH3738" s="10"/>
      <c r="BI3738" s="10"/>
      <c r="BJ3738" s="10"/>
      <c r="BK3738" s="10"/>
      <c r="BM3738" s="10"/>
    </row>
    <row r="3739" spans="1:65" ht="12.75">
      <c r="A3739" s="9"/>
      <c r="B3739" s="10"/>
      <c r="C3739" s="11"/>
      <c r="D3739" s="12"/>
      <c r="E3739" s="10"/>
      <c r="F3739" s="10"/>
      <c r="G3739" s="10"/>
      <c r="H3739" s="14"/>
      <c r="I3739" s="14"/>
      <c r="J3739" s="14"/>
      <c r="K3739" s="14"/>
      <c r="L3739" s="14"/>
      <c r="M3739" s="15"/>
      <c r="N3739" s="10"/>
      <c r="O3739" s="14"/>
      <c r="P3739" s="14"/>
      <c r="Q3739" s="14"/>
      <c r="R3739" s="14"/>
      <c r="S3739" s="14"/>
      <c r="T3739" s="14"/>
      <c r="U3739" s="14"/>
      <c r="V3739" s="14"/>
      <c r="W3739" s="14"/>
      <c r="X3739" s="14"/>
      <c r="Y3739" s="14"/>
      <c r="Z3739" s="14"/>
      <c r="AA3739" s="16"/>
      <c r="AB3739" s="10"/>
      <c r="AC3739" s="10"/>
      <c r="AD3739" s="10"/>
      <c r="AE3739" s="10"/>
      <c r="AF3739" s="10"/>
      <c r="AG3739" s="10"/>
      <c r="AH3739" s="10"/>
      <c r="AI3739" s="10"/>
      <c r="AJ3739" s="10"/>
      <c r="AK3739" s="10"/>
      <c r="AL3739" s="10"/>
      <c r="AM3739" s="10"/>
      <c r="AN3739" s="10"/>
      <c r="AO3739" s="10"/>
      <c r="AP3739" s="10"/>
      <c r="AQ3739" s="10"/>
      <c r="AR3739" s="10"/>
      <c r="AS3739" s="10"/>
      <c r="AT3739" s="10"/>
      <c r="AU3739" s="10"/>
      <c r="AV3739" s="10"/>
      <c r="AW3739" s="10"/>
      <c r="AX3739" s="10"/>
      <c r="AY3739" s="10"/>
      <c r="AZ3739" s="10"/>
      <c r="BA3739" s="10"/>
      <c r="BB3739" s="10"/>
      <c r="BC3739" s="10"/>
      <c r="BD3739" s="10"/>
      <c r="BE3739" s="10"/>
      <c r="BF3739" s="10"/>
      <c r="BG3739" s="10"/>
      <c r="BH3739" s="10"/>
      <c r="BI3739" s="10"/>
      <c r="BJ3739" s="10"/>
      <c r="BK3739" s="10"/>
      <c r="BM3739" s="10"/>
    </row>
    <row r="3740" spans="1:65" ht="12.75">
      <c r="A3740" s="9"/>
      <c r="B3740" s="10"/>
      <c r="C3740" s="11"/>
      <c r="D3740" s="12"/>
      <c r="E3740" s="10"/>
      <c r="F3740" s="10"/>
      <c r="G3740" s="10"/>
      <c r="H3740" s="14"/>
      <c r="I3740" s="14"/>
      <c r="J3740" s="14"/>
      <c r="K3740" s="14"/>
      <c r="L3740" s="14"/>
      <c r="M3740" s="15"/>
      <c r="N3740" s="10"/>
      <c r="O3740" s="14"/>
      <c r="P3740" s="14"/>
      <c r="Q3740" s="14"/>
      <c r="R3740" s="14"/>
      <c r="S3740" s="14"/>
      <c r="T3740" s="14"/>
      <c r="U3740" s="14"/>
      <c r="V3740" s="14"/>
      <c r="W3740" s="14"/>
      <c r="X3740" s="14"/>
      <c r="Y3740" s="14"/>
      <c r="Z3740" s="14"/>
      <c r="AA3740" s="16"/>
      <c r="AB3740" s="10"/>
      <c r="AC3740" s="10"/>
      <c r="AD3740" s="10"/>
      <c r="AE3740" s="10"/>
      <c r="AF3740" s="10"/>
      <c r="AG3740" s="10"/>
      <c r="AH3740" s="10"/>
      <c r="AI3740" s="10"/>
      <c r="AJ3740" s="10"/>
      <c r="AK3740" s="10"/>
      <c r="AL3740" s="10"/>
      <c r="AM3740" s="10"/>
      <c r="AN3740" s="10"/>
      <c r="AO3740" s="10"/>
      <c r="AP3740" s="10"/>
      <c r="AQ3740" s="10"/>
      <c r="AR3740" s="10"/>
      <c r="AS3740" s="10"/>
      <c r="AT3740" s="10"/>
      <c r="AU3740" s="10"/>
      <c r="AV3740" s="10"/>
      <c r="AW3740" s="10"/>
      <c r="AX3740" s="10"/>
      <c r="AY3740" s="10"/>
      <c r="AZ3740" s="10"/>
      <c r="BA3740" s="10"/>
      <c r="BB3740" s="10"/>
      <c r="BC3740" s="10"/>
      <c r="BD3740" s="10"/>
      <c r="BE3740" s="10"/>
      <c r="BF3740" s="10"/>
      <c r="BG3740" s="10"/>
      <c r="BH3740" s="10"/>
      <c r="BI3740" s="10"/>
      <c r="BJ3740" s="10"/>
      <c r="BK3740" s="10"/>
      <c r="BM3740" s="10"/>
    </row>
    <row r="3741" spans="1:65" ht="12.75">
      <c r="A3741" s="9"/>
      <c r="B3741" s="10"/>
      <c r="C3741" s="11"/>
      <c r="D3741" s="12"/>
      <c r="E3741" s="10"/>
      <c r="F3741" s="10"/>
      <c r="G3741" s="10"/>
      <c r="H3741" s="14"/>
      <c r="I3741" s="14"/>
      <c r="J3741" s="14"/>
      <c r="K3741" s="14"/>
      <c r="L3741" s="14"/>
      <c r="M3741" s="15"/>
      <c r="N3741" s="10"/>
      <c r="O3741" s="14"/>
      <c r="P3741" s="14"/>
      <c r="Q3741" s="14"/>
      <c r="R3741" s="14"/>
      <c r="S3741" s="14"/>
      <c r="T3741" s="14"/>
      <c r="U3741" s="14"/>
      <c r="V3741" s="14"/>
      <c r="W3741" s="14"/>
      <c r="X3741" s="14"/>
      <c r="Y3741" s="14"/>
      <c r="Z3741" s="14"/>
      <c r="AA3741" s="16"/>
      <c r="AB3741" s="10"/>
      <c r="AC3741" s="10"/>
      <c r="AD3741" s="10"/>
      <c r="AE3741" s="10"/>
      <c r="AF3741" s="10"/>
      <c r="AG3741" s="10"/>
      <c r="AH3741" s="10"/>
      <c r="AI3741" s="10"/>
      <c r="AJ3741" s="10"/>
      <c r="AK3741" s="10"/>
      <c r="AL3741" s="10"/>
      <c r="AM3741" s="10"/>
      <c r="AN3741" s="10"/>
      <c r="AO3741" s="10"/>
      <c r="AP3741" s="10"/>
      <c r="AQ3741" s="10"/>
      <c r="AR3741" s="10"/>
      <c r="AS3741" s="10"/>
      <c r="AT3741" s="10"/>
      <c r="AU3741" s="10"/>
      <c r="AV3741" s="10"/>
      <c r="AW3741" s="10"/>
      <c r="AX3741" s="10"/>
      <c r="AY3741" s="10"/>
      <c r="AZ3741" s="10"/>
      <c r="BA3741" s="10"/>
      <c r="BB3741" s="10"/>
      <c r="BC3741" s="10"/>
      <c r="BD3741" s="10"/>
      <c r="BE3741" s="10"/>
      <c r="BF3741" s="10"/>
      <c r="BG3741" s="10"/>
      <c r="BH3741" s="10"/>
      <c r="BI3741" s="10"/>
      <c r="BJ3741" s="10"/>
      <c r="BK3741" s="10"/>
      <c r="BM3741" s="10"/>
    </row>
    <row r="3742" spans="1:65" ht="12.75">
      <c r="A3742" s="9"/>
      <c r="B3742" s="10"/>
      <c r="C3742" s="11"/>
      <c r="D3742" s="12"/>
      <c r="E3742" s="10"/>
      <c r="F3742" s="10"/>
      <c r="G3742" s="10"/>
      <c r="H3742" s="14"/>
      <c r="I3742" s="14"/>
      <c r="J3742" s="14"/>
      <c r="K3742" s="14"/>
      <c r="L3742" s="14"/>
      <c r="M3742" s="15"/>
      <c r="N3742" s="10"/>
      <c r="O3742" s="14"/>
      <c r="P3742" s="14"/>
      <c r="Q3742" s="14"/>
      <c r="R3742" s="14"/>
      <c r="S3742" s="14"/>
      <c r="T3742" s="14"/>
      <c r="U3742" s="14"/>
      <c r="V3742" s="14"/>
      <c r="W3742" s="14"/>
      <c r="X3742" s="14"/>
      <c r="Y3742" s="14"/>
      <c r="Z3742" s="14"/>
      <c r="AA3742" s="16"/>
      <c r="AB3742" s="10"/>
      <c r="AC3742" s="10"/>
      <c r="AD3742" s="10"/>
      <c r="AE3742" s="10"/>
      <c r="AF3742" s="10"/>
      <c r="AG3742" s="10"/>
      <c r="AH3742" s="10"/>
      <c r="AI3742" s="10"/>
      <c r="AJ3742" s="10"/>
      <c r="AK3742" s="10"/>
      <c r="AL3742" s="10"/>
      <c r="AM3742" s="10"/>
      <c r="AN3742" s="10"/>
      <c r="AO3742" s="10"/>
      <c r="AP3742" s="10"/>
      <c r="AQ3742" s="10"/>
      <c r="AR3742" s="10"/>
      <c r="AS3742" s="10"/>
      <c r="AT3742" s="10"/>
      <c r="AU3742" s="10"/>
      <c r="AV3742" s="10"/>
      <c r="AW3742" s="10"/>
      <c r="AX3742" s="10"/>
      <c r="AY3742" s="10"/>
      <c r="AZ3742" s="10"/>
      <c r="BA3742" s="10"/>
      <c r="BB3742" s="10"/>
      <c r="BC3742" s="10"/>
      <c r="BD3742" s="10"/>
      <c r="BE3742" s="10"/>
      <c r="BF3742" s="10"/>
      <c r="BG3742" s="10"/>
      <c r="BH3742" s="10"/>
      <c r="BI3742" s="10"/>
      <c r="BJ3742" s="10"/>
      <c r="BK3742" s="10"/>
      <c r="BM3742" s="10"/>
    </row>
    <row r="3743" spans="1:65" ht="12.75">
      <c r="A3743" s="9"/>
      <c r="B3743" s="10"/>
      <c r="C3743" s="11"/>
      <c r="D3743" s="12"/>
      <c r="E3743" s="10"/>
      <c r="F3743" s="10"/>
      <c r="G3743" s="10"/>
      <c r="H3743" s="14"/>
      <c r="I3743" s="14"/>
      <c r="J3743" s="14"/>
      <c r="K3743" s="14"/>
      <c r="L3743" s="14"/>
      <c r="M3743" s="15"/>
      <c r="N3743" s="10"/>
      <c r="O3743" s="14"/>
      <c r="P3743" s="14"/>
      <c r="Q3743" s="14"/>
      <c r="R3743" s="14"/>
      <c r="S3743" s="14"/>
      <c r="T3743" s="14"/>
      <c r="U3743" s="14"/>
      <c r="V3743" s="14"/>
      <c r="W3743" s="14"/>
      <c r="X3743" s="14"/>
      <c r="Y3743" s="14"/>
      <c r="Z3743" s="14"/>
      <c r="AA3743" s="16"/>
      <c r="AB3743" s="10"/>
      <c r="AC3743" s="10"/>
      <c r="AD3743" s="10"/>
      <c r="AE3743" s="10"/>
      <c r="AF3743" s="10"/>
      <c r="AG3743" s="10"/>
      <c r="AH3743" s="10"/>
      <c r="AI3743" s="10"/>
      <c r="AJ3743" s="10"/>
      <c r="AK3743" s="10"/>
      <c r="AL3743" s="10"/>
      <c r="AM3743" s="10"/>
      <c r="AN3743" s="10"/>
      <c r="AO3743" s="10"/>
      <c r="AP3743" s="10"/>
      <c r="AQ3743" s="10"/>
      <c r="AR3743" s="10"/>
      <c r="AS3743" s="10"/>
      <c r="AT3743" s="10"/>
      <c r="AU3743" s="10"/>
      <c r="AV3743" s="10"/>
      <c r="AW3743" s="10"/>
      <c r="AX3743" s="10"/>
      <c r="AY3743" s="10"/>
      <c r="AZ3743" s="10"/>
      <c r="BA3743" s="10"/>
      <c r="BB3743" s="10"/>
      <c r="BC3743" s="10"/>
      <c r="BD3743" s="10"/>
      <c r="BE3743" s="10"/>
      <c r="BF3743" s="10"/>
      <c r="BG3743" s="10"/>
      <c r="BH3743" s="10"/>
      <c r="BI3743" s="10"/>
      <c r="BJ3743" s="10"/>
      <c r="BK3743" s="10"/>
      <c r="BM3743" s="10"/>
    </row>
    <row r="3744" spans="1:65" ht="12.75">
      <c r="A3744" s="9"/>
      <c r="B3744" s="10"/>
      <c r="C3744" s="11"/>
      <c r="D3744" s="12"/>
      <c r="E3744" s="10"/>
      <c r="F3744" s="10"/>
      <c r="G3744" s="10"/>
      <c r="H3744" s="14"/>
      <c r="I3744" s="14"/>
      <c r="J3744" s="14"/>
      <c r="K3744" s="14"/>
      <c r="L3744" s="14"/>
      <c r="M3744" s="15"/>
      <c r="N3744" s="10"/>
      <c r="O3744" s="14"/>
      <c r="P3744" s="14"/>
      <c r="Q3744" s="14"/>
      <c r="R3744" s="14"/>
      <c r="S3744" s="14"/>
      <c r="T3744" s="14"/>
      <c r="U3744" s="14"/>
      <c r="V3744" s="14"/>
      <c r="W3744" s="14"/>
      <c r="X3744" s="14"/>
      <c r="Y3744" s="14"/>
      <c r="Z3744" s="14"/>
      <c r="AA3744" s="16"/>
      <c r="AB3744" s="10"/>
      <c r="AC3744" s="10"/>
      <c r="AD3744" s="10"/>
      <c r="AE3744" s="10"/>
      <c r="AF3744" s="10"/>
      <c r="AG3744" s="10"/>
      <c r="AH3744" s="10"/>
      <c r="AI3744" s="10"/>
      <c r="AJ3744" s="10"/>
      <c r="AK3744" s="10"/>
      <c r="AL3744" s="10"/>
      <c r="AM3744" s="10"/>
      <c r="AN3744" s="10"/>
      <c r="AO3744" s="10"/>
      <c r="AP3744" s="10"/>
      <c r="AQ3744" s="10"/>
      <c r="AR3744" s="10"/>
      <c r="AS3744" s="10"/>
      <c r="AT3744" s="10"/>
      <c r="AU3744" s="10"/>
      <c r="AV3744" s="10"/>
      <c r="AW3744" s="10"/>
      <c r="AX3744" s="10"/>
      <c r="AY3744" s="10"/>
      <c r="AZ3744" s="10"/>
      <c r="BA3744" s="10"/>
      <c r="BB3744" s="10"/>
      <c r="BC3744" s="10"/>
      <c r="BD3744" s="10"/>
      <c r="BE3744" s="10"/>
      <c r="BF3744" s="10"/>
      <c r="BG3744" s="10"/>
      <c r="BH3744" s="10"/>
      <c r="BI3744" s="10"/>
      <c r="BJ3744" s="10"/>
      <c r="BK3744" s="10"/>
      <c r="BM3744" s="10"/>
    </row>
    <row r="3745" spans="1:65" ht="12.75">
      <c r="A3745" s="9"/>
      <c r="B3745" s="10"/>
      <c r="C3745" s="11"/>
      <c r="D3745" s="12"/>
      <c r="E3745" s="10"/>
      <c r="F3745" s="10"/>
      <c r="G3745" s="10"/>
      <c r="H3745" s="14"/>
      <c r="I3745" s="14"/>
      <c r="J3745" s="14"/>
      <c r="K3745" s="14"/>
      <c r="L3745" s="14"/>
      <c r="M3745" s="15"/>
      <c r="N3745" s="10"/>
      <c r="O3745" s="14"/>
      <c r="P3745" s="14"/>
      <c r="Q3745" s="14"/>
      <c r="R3745" s="14"/>
      <c r="S3745" s="14"/>
      <c r="T3745" s="14"/>
      <c r="U3745" s="14"/>
      <c r="V3745" s="14"/>
      <c r="W3745" s="14"/>
      <c r="X3745" s="14"/>
      <c r="Y3745" s="14"/>
      <c r="Z3745" s="14"/>
      <c r="AA3745" s="16"/>
      <c r="AB3745" s="10"/>
      <c r="AC3745" s="10"/>
      <c r="AD3745" s="10"/>
      <c r="AE3745" s="10"/>
      <c r="AF3745" s="10"/>
      <c r="AG3745" s="10"/>
      <c r="AH3745" s="10"/>
      <c r="AI3745" s="10"/>
      <c r="AJ3745" s="10"/>
      <c r="AK3745" s="10"/>
      <c r="AL3745" s="10"/>
      <c r="AM3745" s="10"/>
      <c r="AN3745" s="10"/>
      <c r="AO3745" s="10"/>
      <c r="AP3745" s="10"/>
      <c r="AQ3745" s="10"/>
      <c r="AR3745" s="10"/>
      <c r="AS3745" s="10"/>
      <c r="AT3745" s="10"/>
      <c r="AU3745" s="10"/>
      <c r="AV3745" s="10"/>
      <c r="AW3745" s="10"/>
      <c r="AX3745" s="10"/>
      <c r="AY3745" s="10"/>
      <c r="AZ3745" s="10"/>
      <c r="BA3745" s="10"/>
      <c r="BB3745" s="10"/>
      <c r="BC3745" s="10"/>
      <c r="BD3745" s="10"/>
      <c r="BE3745" s="10"/>
      <c r="BF3745" s="10"/>
      <c r="BG3745" s="10"/>
      <c r="BH3745" s="10"/>
      <c r="BI3745" s="10"/>
      <c r="BJ3745" s="10"/>
      <c r="BK3745" s="10"/>
      <c r="BM3745" s="10"/>
    </row>
    <row r="3746" spans="1:65" ht="12.75">
      <c r="A3746" s="9"/>
      <c r="B3746" s="10"/>
      <c r="C3746" s="11"/>
      <c r="D3746" s="12"/>
      <c r="E3746" s="10"/>
      <c r="F3746" s="10"/>
      <c r="G3746" s="10"/>
      <c r="H3746" s="14"/>
      <c r="I3746" s="14"/>
      <c r="J3746" s="14"/>
      <c r="K3746" s="14"/>
      <c r="L3746" s="14"/>
      <c r="M3746" s="15"/>
      <c r="N3746" s="10"/>
      <c r="O3746" s="14"/>
      <c r="P3746" s="14"/>
      <c r="Q3746" s="14"/>
      <c r="R3746" s="14"/>
      <c r="S3746" s="14"/>
      <c r="T3746" s="14"/>
      <c r="U3746" s="14"/>
      <c r="V3746" s="14"/>
      <c r="W3746" s="14"/>
      <c r="X3746" s="14"/>
      <c r="Y3746" s="14"/>
      <c r="Z3746" s="14"/>
      <c r="AA3746" s="16"/>
      <c r="AB3746" s="10"/>
      <c r="AC3746" s="10"/>
      <c r="AD3746" s="10"/>
      <c r="AE3746" s="10"/>
      <c r="AF3746" s="10"/>
      <c r="AG3746" s="10"/>
      <c r="AH3746" s="10"/>
      <c r="AI3746" s="10"/>
      <c r="AJ3746" s="10"/>
      <c r="AK3746" s="10"/>
      <c r="AL3746" s="10"/>
      <c r="AM3746" s="10"/>
      <c r="AN3746" s="10"/>
      <c r="AO3746" s="10"/>
      <c r="AP3746" s="10"/>
      <c r="AQ3746" s="10"/>
      <c r="AR3746" s="10"/>
      <c r="AS3746" s="10"/>
      <c r="AT3746" s="10"/>
      <c r="AU3746" s="10"/>
      <c r="AV3746" s="10"/>
      <c r="AW3746" s="10"/>
      <c r="AX3746" s="10"/>
      <c r="AY3746" s="10"/>
      <c r="AZ3746" s="10"/>
      <c r="BA3746" s="10"/>
      <c r="BB3746" s="10"/>
      <c r="BC3746" s="10"/>
      <c r="BD3746" s="10"/>
      <c r="BE3746" s="10"/>
      <c r="BF3746" s="10"/>
      <c r="BG3746" s="10"/>
      <c r="BH3746" s="10"/>
      <c r="BI3746" s="10"/>
      <c r="BJ3746" s="10"/>
      <c r="BK3746" s="10"/>
      <c r="BM3746" s="10"/>
    </row>
    <row r="3747" spans="1:65" ht="12.75">
      <c r="A3747" s="9"/>
      <c r="B3747" s="10"/>
      <c r="C3747" s="11"/>
      <c r="D3747" s="12"/>
      <c r="E3747" s="10"/>
      <c r="F3747" s="10"/>
      <c r="G3747" s="10"/>
      <c r="H3747" s="14"/>
      <c r="I3747" s="14"/>
      <c r="J3747" s="14"/>
      <c r="K3747" s="14"/>
      <c r="L3747" s="14"/>
      <c r="M3747" s="15"/>
      <c r="N3747" s="10"/>
      <c r="O3747" s="14"/>
      <c r="P3747" s="14"/>
      <c r="Q3747" s="14"/>
      <c r="R3747" s="14"/>
      <c r="S3747" s="14"/>
      <c r="T3747" s="14"/>
      <c r="U3747" s="14"/>
      <c r="V3747" s="14"/>
      <c r="W3747" s="14"/>
      <c r="X3747" s="14"/>
      <c r="Y3747" s="14"/>
      <c r="Z3747" s="14"/>
      <c r="AA3747" s="16"/>
      <c r="AB3747" s="10"/>
      <c r="AC3747" s="10"/>
      <c r="AD3747" s="10"/>
      <c r="AE3747" s="10"/>
      <c r="AF3747" s="10"/>
      <c r="AG3747" s="10"/>
      <c r="AH3747" s="10"/>
      <c r="AI3747" s="10"/>
      <c r="AJ3747" s="10"/>
      <c r="AK3747" s="10"/>
      <c r="AL3747" s="10"/>
      <c r="AM3747" s="10"/>
      <c r="AN3747" s="10"/>
      <c r="AO3747" s="10"/>
      <c r="AP3747" s="10"/>
      <c r="AQ3747" s="10"/>
      <c r="AR3747" s="10"/>
      <c r="AS3747" s="10"/>
      <c r="AT3747" s="10"/>
      <c r="AU3747" s="10"/>
      <c r="AV3747" s="10"/>
      <c r="AW3747" s="10"/>
      <c r="AX3747" s="10"/>
      <c r="AY3747" s="10"/>
      <c r="AZ3747" s="10"/>
      <c r="BA3747" s="10"/>
      <c r="BB3747" s="10"/>
      <c r="BC3747" s="10"/>
      <c r="BD3747" s="10"/>
      <c r="BE3747" s="10"/>
      <c r="BF3747" s="10"/>
      <c r="BG3747" s="10"/>
      <c r="BH3747" s="10"/>
      <c r="BI3747" s="10"/>
      <c r="BJ3747" s="10"/>
      <c r="BK3747" s="10"/>
      <c r="BM3747" s="10"/>
    </row>
    <row r="3748" spans="1:65" ht="12.75">
      <c r="A3748" s="9"/>
      <c r="B3748" s="10"/>
      <c r="C3748" s="11"/>
      <c r="D3748" s="12"/>
      <c r="E3748" s="10"/>
      <c r="F3748" s="10"/>
      <c r="G3748" s="10"/>
      <c r="H3748" s="14"/>
      <c r="I3748" s="14"/>
      <c r="J3748" s="14"/>
      <c r="K3748" s="14"/>
      <c r="L3748" s="14"/>
      <c r="M3748" s="15"/>
      <c r="N3748" s="10"/>
      <c r="O3748" s="14"/>
      <c r="P3748" s="14"/>
      <c r="Q3748" s="14"/>
      <c r="R3748" s="14"/>
      <c r="S3748" s="14"/>
      <c r="T3748" s="14"/>
      <c r="U3748" s="14"/>
      <c r="V3748" s="14"/>
      <c r="W3748" s="14"/>
      <c r="X3748" s="14"/>
      <c r="Y3748" s="14"/>
      <c r="Z3748" s="14"/>
      <c r="AA3748" s="16"/>
      <c r="AB3748" s="10"/>
      <c r="AC3748" s="10"/>
      <c r="AD3748" s="10"/>
      <c r="AE3748" s="10"/>
      <c r="AF3748" s="10"/>
      <c r="AG3748" s="10"/>
      <c r="AH3748" s="10"/>
      <c r="AI3748" s="10"/>
      <c r="AJ3748" s="10"/>
      <c r="AK3748" s="10"/>
      <c r="AL3748" s="10"/>
      <c r="AM3748" s="10"/>
      <c r="AN3748" s="10"/>
      <c r="AO3748" s="10"/>
      <c r="AP3748" s="10"/>
      <c r="AQ3748" s="10"/>
      <c r="AR3748" s="10"/>
      <c r="AS3748" s="10"/>
      <c r="AT3748" s="10"/>
      <c r="AU3748" s="10"/>
      <c r="AV3748" s="10"/>
      <c r="AW3748" s="10"/>
      <c r="AX3748" s="10"/>
      <c r="AY3748" s="10"/>
      <c r="AZ3748" s="10"/>
      <c r="BA3748" s="10"/>
      <c r="BB3748" s="10"/>
      <c r="BC3748" s="10"/>
      <c r="BD3748" s="10"/>
      <c r="BE3748" s="10"/>
      <c r="BF3748" s="10"/>
      <c r="BG3748" s="10"/>
      <c r="BH3748" s="10"/>
      <c r="BI3748" s="10"/>
      <c r="BJ3748" s="10"/>
      <c r="BK3748" s="10"/>
      <c r="BM3748" s="10"/>
    </row>
    <row r="3749" spans="1:65" ht="12.75">
      <c r="A3749" s="9"/>
      <c r="B3749" s="10"/>
      <c r="C3749" s="11"/>
      <c r="D3749" s="12"/>
      <c r="E3749" s="10"/>
      <c r="F3749" s="10"/>
      <c r="G3749" s="10"/>
      <c r="H3749" s="14"/>
      <c r="I3749" s="14"/>
      <c r="J3749" s="14"/>
      <c r="K3749" s="14"/>
      <c r="L3749" s="14"/>
      <c r="M3749" s="15"/>
      <c r="N3749" s="10"/>
      <c r="O3749" s="14"/>
      <c r="P3749" s="14"/>
      <c r="Q3749" s="14"/>
      <c r="R3749" s="14"/>
      <c r="S3749" s="14"/>
      <c r="T3749" s="14"/>
      <c r="U3749" s="14"/>
      <c r="V3749" s="14"/>
      <c r="W3749" s="14"/>
      <c r="X3749" s="14"/>
      <c r="Y3749" s="14"/>
      <c r="Z3749" s="14"/>
      <c r="AA3749" s="16"/>
      <c r="AB3749" s="10"/>
      <c r="AC3749" s="10"/>
      <c r="AD3749" s="10"/>
      <c r="AE3749" s="10"/>
      <c r="AF3749" s="10"/>
      <c r="AG3749" s="10"/>
      <c r="AH3749" s="10"/>
      <c r="AI3749" s="10"/>
      <c r="AJ3749" s="10"/>
      <c r="AK3749" s="10"/>
      <c r="AL3749" s="10"/>
      <c r="AM3749" s="10"/>
      <c r="AN3749" s="10"/>
      <c r="AO3749" s="10"/>
      <c r="AP3749" s="10"/>
      <c r="AQ3749" s="10"/>
      <c r="AR3749" s="10"/>
      <c r="AS3749" s="10"/>
      <c r="AT3749" s="10"/>
      <c r="AU3749" s="10"/>
      <c r="AV3749" s="10"/>
      <c r="AW3749" s="10"/>
      <c r="AX3749" s="10"/>
      <c r="AY3749" s="10"/>
      <c r="AZ3749" s="10"/>
      <c r="BA3749" s="10"/>
      <c r="BB3749" s="10"/>
      <c r="BC3749" s="10"/>
      <c r="BD3749" s="10"/>
      <c r="BE3749" s="10"/>
      <c r="BF3749" s="10"/>
      <c r="BG3749" s="10"/>
      <c r="BH3749" s="10"/>
      <c r="BI3749" s="10"/>
      <c r="BJ3749" s="10"/>
      <c r="BK3749" s="10"/>
      <c r="BM3749" s="10"/>
    </row>
    <row r="3750" spans="1:65" ht="12.75">
      <c r="A3750" s="9"/>
      <c r="B3750" s="10"/>
      <c r="C3750" s="11"/>
      <c r="D3750" s="12"/>
      <c r="E3750" s="10"/>
      <c r="F3750" s="10"/>
      <c r="G3750" s="10"/>
      <c r="H3750" s="14"/>
      <c r="I3750" s="14"/>
      <c r="J3750" s="14"/>
      <c r="K3750" s="14"/>
      <c r="L3750" s="14"/>
      <c r="M3750" s="15"/>
      <c r="N3750" s="10"/>
      <c r="O3750" s="14"/>
      <c r="P3750" s="14"/>
      <c r="Q3750" s="14"/>
      <c r="R3750" s="14"/>
      <c r="S3750" s="14"/>
      <c r="T3750" s="14"/>
      <c r="U3750" s="14"/>
      <c r="V3750" s="14"/>
      <c r="W3750" s="14"/>
      <c r="X3750" s="14"/>
      <c r="Y3750" s="14"/>
      <c r="Z3750" s="14"/>
      <c r="AA3750" s="16"/>
      <c r="AB3750" s="10"/>
      <c r="AC3750" s="10"/>
      <c r="AD3750" s="10"/>
      <c r="AE3750" s="10"/>
      <c r="AF3750" s="10"/>
      <c r="AG3750" s="10"/>
      <c r="AH3750" s="10"/>
      <c r="AI3750" s="10"/>
      <c r="AJ3750" s="10"/>
      <c r="AK3750" s="10"/>
      <c r="AL3750" s="10"/>
      <c r="AM3750" s="10"/>
      <c r="AN3750" s="10"/>
      <c r="AO3750" s="10"/>
      <c r="AP3750" s="10"/>
      <c r="AQ3750" s="10"/>
      <c r="AR3750" s="10"/>
      <c r="AS3750" s="10"/>
      <c r="AT3750" s="10"/>
      <c r="AU3750" s="10"/>
      <c r="AV3750" s="10"/>
      <c r="AW3750" s="10"/>
      <c r="AX3750" s="10"/>
      <c r="AY3750" s="10"/>
      <c r="AZ3750" s="10"/>
      <c r="BA3750" s="10"/>
      <c r="BB3750" s="10"/>
      <c r="BC3750" s="10"/>
      <c r="BD3750" s="10"/>
      <c r="BE3750" s="10"/>
      <c r="BF3750" s="10"/>
      <c r="BG3750" s="10"/>
      <c r="BH3750" s="10"/>
      <c r="BI3750" s="10"/>
      <c r="BJ3750" s="10"/>
      <c r="BK3750" s="10"/>
      <c r="BM3750" s="10"/>
    </row>
    <row r="3751" spans="1:65" ht="12.75">
      <c r="A3751" s="9"/>
      <c r="B3751" s="10"/>
      <c r="C3751" s="11"/>
      <c r="D3751" s="12"/>
      <c r="E3751" s="10"/>
      <c r="F3751" s="10"/>
      <c r="G3751" s="10"/>
      <c r="H3751" s="14"/>
      <c r="I3751" s="14"/>
      <c r="J3751" s="14"/>
      <c r="K3751" s="14"/>
      <c r="L3751" s="14"/>
      <c r="M3751" s="15"/>
      <c r="N3751" s="10"/>
      <c r="O3751" s="14"/>
      <c r="P3751" s="14"/>
      <c r="Q3751" s="14"/>
      <c r="R3751" s="14"/>
      <c r="S3751" s="14"/>
      <c r="T3751" s="14"/>
      <c r="U3751" s="14"/>
      <c r="V3751" s="14"/>
      <c r="W3751" s="14"/>
      <c r="X3751" s="14"/>
      <c r="Y3751" s="14"/>
      <c r="Z3751" s="14"/>
      <c r="AA3751" s="16"/>
      <c r="AB3751" s="10"/>
      <c r="AC3751" s="10"/>
      <c r="AD3751" s="10"/>
      <c r="AE3751" s="10"/>
      <c r="AF3751" s="10"/>
      <c r="AG3751" s="10"/>
      <c r="AH3751" s="10"/>
      <c r="AI3751" s="10"/>
      <c r="AJ3751" s="10"/>
      <c r="AK3751" s="10"/>
      <c r="AL3751" s="10"/>
      <c r="AM3751" s="10"/>
      <c r="AN3751" s="10"/>
      <c r="AO3751" s="10"/>
      <c r="AP3751" s="10"/>
      <c r="AQ3751" s="10"/>
      <c r="AR3751" s="10"/>
      <c r="AS3751" s="10"/>
      <c r="AT3751" s="10"/>
      <c r="AU3751" s="10"/>
      <c r="AV3751" s="10"/>
      <c r="AW3751" s="10"/>
      <c r="AX3751" s="10"/>
      <c r="AY3751" s="10"/>
      <c r="AZ3751" s="10"/>
      <c r="BA3751" s="10"/>
      <c r="BB3751" s="10"/>
      <c r="BC3751" s="10"/>
      <c r="BD3751" s="10"/>
      <c r="BE3751" s="10"/>
      <c r="BF3751" s="10"/>
      <c r="BG3751" s="10"/>
      <c r="BH3751" s="10"/>
      <c r="BI3751" s="10"/>
      <c r="BJ3751" s="10"/>
      <c r="BK3751" s="10"/>
      <c r="BM3751" s="10"/>
    </row>
    <row r="3752" spans="1:65" ht="12.75">
      <c r="A3752" s="9"/>
      <c r="B3752" s="10"/>
      <c r="C3752" s="11"/>
      <c r="D3752" s="12"/>
      <c r="E3752" s="10"/>
      <c r="F3752" s="10"/>
      <c r="G3752" s="10"/>
      <c r="H3752" s="14"/>
      <c r="I3752" s="14"/>
      <c r="J3752" s="14"/>
      <c r="K3752" s="14"/>
      <c r="L3752" s="14"/>
      <c r="M3752" s="15"/>
      <c r="N3752" s="10"/>
      <c r="O3752" s="14"/>
      <c r="P3752" s="14"/>
      <c r="Q3752" s="14"/>
      <c r="R3752" s="14"/>
      <c r="S3752" s="14"/>
      <c r="T3752" s="14"/>
      <c r="U3752" s="14"/>
      <c r="V3752" s="14"/>
      <c r="W3752" s="14"/>
      <c r="X3752" s="14"/>
      <c r="Y3752" s="14"/>
      <c r="Z3752" s="14"/>
      <c r="AA3752" s="16"/>
      <c r="AB3752" s="10"/>
      <c r="AC3752" s="10"/>
      <c r="AD3752" s="10"/>
      <c r="AE3752" s="10"/>
      <c r="AF3752" s="10"/>
      <c r="AG3752" s="10"/>
      <c r="AH3752" s="10"/>
      <c r="AI3752" s="10"/>
      <c r="AJ3752" s="10"/>
      <c r="AK3752" s="10"/>
      <c r="AL3752" s="10"/>
      <c r="AM3752" s="10"/>
      <c r="AN3752" s="10"/>
      <c r="AO3752" s="10"/>
      <c r="AP3752" s="10"/>
      <c r="AQ3752" s="10"/>
      <c r="AR3752" s="10"/>
      <c r="AS3752" s="10"/>
      <c r="AT3752" s="10"/>
      <c r="AU3752" s="10"/>
      <c r="AV3752" s="10"/>
      <c r="AW3752" s="10"/>
      <c r="AX3752" s="10"/>
      <c r="AY3752" s="10"/>
      <c r="AZ3752" s="10"/>
      <c r="BA3752" s="10"/>
      <c r="BB3752" s="10"/>
      <c r="BC3752" s="10"/>
      <c r="BD3752" s="10"/>
      <c r="BE3752" s="10"/>
      <c r="BF3752" s="10"/>
      <c r="BG3752" s="10"/>
      <c r="BH3752" s="10"/>
      <c r="BI3752" s="10"/>
      <c r="BJ3752" s="10"/>
      <c r="BK3752" s="10"/>
      <c r="BM3752" s="10"/>
    </row>
    <row r="3753" spans="1:65" ht="12.75">
      <c r="A3753" s="9"/>
      <c r="B3753" s="10"/>
      <c r="C3753" s="11"/>
      <c r="D3753" s="12"/>
      <c r="E3753" s="10"/>
      <c r="F3753" s="10"/>
      <c r="G3753" s="10"/>
      <c r="H3753" s="14"/>
      <c r="I3753" s="14"/>
      <c r="J3753" s="14"/>
      <c r="K3753" s="14"/>
      <c r="L3753" s="14"/>
      <c r="M3753" s="15"/>
      <c r="N3753" s="10"/>
      <c r="O3753" s="14"/>
      <c r="P3753" s="14"/>
      <c r="Q3753" s="14"/>
      <c r="R3753" s="14"/>
      <c r="S3753" s="14"/>
      <c r="T3753" s="14"/>
      <c r="U3753" s="14"/>
      <c r="V3753" s="14"/>
      <c r="W3753" s="14"/>
      <c r="X3753" s="14"/>
      <c r="Y3753" s="14"/>
      <c r="Z3753" s="14"/>
      <c r="AA3753" s="16"/>
      <c r="AB3753" s="10"/>
      <c r="AC3753" s="10"/>
      <c r="AD3753" s="10"/>
      <c r="AE3753" s="10"/>
      <c r="AF3753" s="10"/>
      <c r="AG3753" s="10"/>
      <c r="AH3753" s="10"/>
      <c r="AI3753" s="10"/>
      <c r="AJ3753" s="10"/>
      <c r="AK3753" s="10"/>
      <c r="AL3753" s="10"/>
      <c r="AM3753" s="10"/>
      <c r="AN3753" s="10"/>
      <c r="AO3753" s="10"/>
      <c r="AP3753" s="10"/>
      <c r="AQ3753" s="10"/>
      <c r="AR3753" s="10"/>
      <c r="AS3753" s="10"/>
      <c r="AT3753" s="10"/>
      <c r="AU3753" s="10"/>
      <c r="AV3753" s="10"/>
      <c r="AW3753" s="10"/>
      <c r="AX3753" s="10"/>
      <c r="AY3753" s="10"/>
      <c r="AZ3753" s="10"/>
      <c r="BA3753" s="10"/>
      <c r="BB3753" s="10"/>
      <c r="BC3753" s="10"/>
      <c r="BD3753" s="10"/>
      <c r="BE3753" s="10"/>
      <c r="BF3753" s="10"/>
      <c r="BG3753" s="10"/>
      <c r="BH3753" s="10"/>
      <c r="BI3753" s="10"/>
      <c r="BJ3753" s="10"/>
      <c r="BK3753" s="10"/>
      <c r="BM3753" s="10"/>
    </row>
    <row r="3754" spans="1:65" ht="12.75">
      <c r="A3754" s="9"/>
      <c r="B3754" s="10"/>
      <c r="C3754" s="11"/>
      <c r="D3754" s="12"/>
      <c r="E3754" s="10"/>
      <c r="F3754" s="10"/>
      <c r="G3754" s="10"/>
      <c r="H3754" s="14"/>
      <c r="I3754" s="14"/>
      <c r="J3754" s="14"/>
      <c r="K3754" s="14"/>
      <c r="L3754" s="14"/>
      <c r="M3754" s="15"/>
      <c r="N3754" s="10"/>
      <c r="O3754" s="14"/>
      <c r="P3754" s="14"/>
      <c r="Q3754" s="14"/>
      <c r="R3754" s="14"/>
      <c r="S3754" s="14"/>
      <c r="T3754" s="14"/>
      <c r="U3754" s="14"/>
      <c r="V3754" s="14"/>
      <c r="W3754" s="14"/>
      <c r="X3754" s="14"/>
      <c r="Y3754" s="14"/>
      <c r="Z3754" s="14"/>
      <c r="AA3754" s="16"/>
      <c r="AB3754" s="10"/>
      <c r="AC3754" s="10"/>
      <c r="AD3754" s="10"/>
      <c r="AE3754" s="10"/>
      <c r="AF3754" s="10"/>
      <c r="AG3754" s="10"/>
      <c r="AH3754" s="10"/>
      <c r="AI3754" s="10"/>
      <c r="AJ3754" s="10"/>
      <c r="AK3754" s="10"/>
      <c r="AL3754" s="10"/>
      <c r="AM3754" s="10"/>
      <c r="AN3754" s="10"/>
      <c r="AO3754" s="10"/>
      <c r="AP3754" s="10"/>
      <c r="AQ3754" s="10"/>
      <c r="AR3754" s="10"/>
      <c r="AS3754" s="10"/>
      <c r="AT3754" s="10"/>
      <c r="AU3754" s="10"/>
      <c r="AV3754" s="10"/>
      <c r="AW3754" s="10"/>
      <c r="AX3754" s="10"/>
      <c r="AY3754" s="10"/>
      <c r="AZ3754" s="10"/>
      <c r="BA3754" s="10"/>
      <c r="BB3754" s="10"/>
      <c r="BC3754" s="10"/>
      <c r="BD3754" s="10"/>
      <c r="BE3754" s="10"/>
      <c r="BF3754" s="10"/>
      <c r="BG3754" s="10"/>
      <c r="BH3754" s="10"/>
      <c r="BI3754" s="10"/>
      <c r="BJ3754" s="10"/>
      <c r="BK3754" s="10"/>
      <c r="BM3754" s="10"/>
    </row>
    <row r="3755" spans="1:65" ht="12.75">
      <c r="A3755" s="9"/>
      <c r="B3755" s="10"/>
      <c r="C3755" s="11"/>
      <c r="D3755" s="12"/>
      <c r="E3755" s="10"/>
      <c r="F3755" s="10"/>
      <c r="G3755" s="10"/>
      <c r="H3755" s="14"/>
      <c r="I3755" s="14"/>
      <c r="J3755" s="14"/>
      <c r="K3755" s="14"/>
      <c r="L3755" s="14"/>
      <c r="M3755" s="15"/>
      <c r="N3755" s="10"/>
      <c r="O3755" s="14"/>
      <c r="P3755" s="14"/>
      <c r="Q3755" s="14"/>
      <c r="R3755" s="14"/>
      <c r="S3755" s="14"/>
      <c r="T3755" s="14"/>
      <c r="U3755" s="14"/>
      <c r="V3755" s="14"/>
      <c r="W3755" s="14"/>
      <c r="X3755" s="14"/>
      <c r="Y3755" s="14"/>
      <c r="Z3755" s="14"/>
      <c r="AA3755" s="16"/>
      <c r="AB3755" s="10"/>
      <c r="AC3755" s="10"/>
      <c r="AD3755" s="10"/>
      <c r="AE3755" s="10"/>
      <c r="AF3755" s="10"/>
      <c r="AG3755" s="10"/>
      <c r="AH3755" s="10"/>
      <c r="AI3755" s="10"/>
      <c r="AJ3755" s="10"/>
      <c r="AK3755" s="10"/>
      <c r="AL3755" s="10"/>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c r="BI3755" s="10"/>
      <c r="BJ3755" s="10"/>
      <c r="BK3755" s="10"/>
      <c r="BM3755" s="10"/>
    </row>
    <row r="3756" spans="1:65" ht="12.75">
      <c r="A3756" s="9"/>
      <c r="B3756" s="10"/>
      <c r="C3756" s="11"/>
      <c r="D3756" s="12"/>
      <c r="E3756" s="10"/>
      <c r="F3756" s="10"/>
      <c r="G3756" s="10"/>
      <c r="H3756" s="14"/>
      <c r="I3756" s="14"/>
      <c r="J3756" s="14"/>
      <c r="K3756" s="14"/>
      <c r="L3756" s="14"/>
      <c r="M3756" s="15"/>
      <c r="N3756" s="10"/>
      <c r="O3756" s="14"/>
      <c r="P3756" s="14"/>
      <c r="Q3756" s="14"/>
      <c r="R3756" s="14"/>
      <c r="S3756" s="14"/>
      <c r="T3756" s="14"/>
      <c r="U3756" s="14"/>
      <c r="V3756" s="14"/>
      <c r="W3756" s="14"/>
      <c r="X3756" s="14"/>
      <c r="Y3756" s="14"/>
      <c r="Z3756" s="14"/>
      <c r="AA3756" s="16"/>
      <c r="AB3756" s="10"/>
      <c r="AC3756" s="10"/>
      <c r="AD3756" s="10"/>
      <c r="AE3756" s="10"/>
      <c r="AF3756" s="10"/>
      <c r="AG3756" s="10"/>
      <c r="AH3756" s="10"/>
      <c r="AI3756" s="10"/>
      <c r="AJ3756" s="10"/>
      <c r="AK3756" s="10"/>
      <c r="AL3756" s="10"/>
      <c r="AM3756" s="10"/>
      <c r="AN3756" s="10"/>
      <c r="AO3756" s="10"/>
      <c r="AP3756" s="10"/>
      <c r="AQ3756" s="10"/>
      <c r="AR3756" s="10"/>
      <c r="AS3756" s="10"/>
      <c r="AT3756" s="10"/>
      <c r="AU3756" s="10"/>
      <c r="AV3756" s="10"/>
      <c r="AW3756" s="10"/>
      <c r="AX3756" s="10"/>
      <c r="AY3756" s="10"/>
      <c r="AZ3756" s="10"/>
      <c r="BA3756" s="10"/>
      <c r="BB3756" s="10"/>
      <c r="BC3756" s="10"/>
      <c r="BD3756" s="10"/>
      <c r="BE3756" s="10"/>
      <c r="BF3756" s="10"/>
      <c r="BG3756" s="10"/>
      <c r="BH3756" s="10"/>
      <c r="BI3756" s="10"/>
      <c r="BJ3756" s="10"/>
      <c r="BK3756" s="10"/>
      <c r="BM3756" s="10"/>
    </row>
    <row r="3757" spans="1:65" ht="12.75">
      <c r="A3757" s="9"/>
      <c r="B3757" s="10"/>
      <c r="C3757" s="11"/>
      <c r="D3757" s="12"/>
      <c r="E3757" s="10"/>
      <c r="F3757" s="10"/>
      <c r="G3757" s="10"/>
      <c r="H3757" s="14"/>
      <c r="I3757" s="14"/>
      <c r="J3757" s="14"/>
      <c r="K3757" s="14"/>
      <c r="L3757" s="14"/>
      <c r="M3757" s="15"/>
      <c r="N3757" s="10"/>
      <c r="O3757" s="14"/>
      <c r="P3757" s="14"/>
      <c r="Q3757" s="14"/>
      <c r="R3757" s="14"/>
      <c r="S3757" s="14"/>
      <c r="T3757" s="14"/>
      <c r="U3757" s="14"/>
      <c r="V3757" s="14"/>
      <c r="W3757" s="14"/>
      <c r="X3757" s="14"/>
      <c r="Y3757" s="14"/>
      <c r="Z3757" s="14"/>
      <c r="AA3757" s="16"/>
      <c r="AB3757" s="10"/>
      <c r="AC3757" s="10"/>
      <c r="AD3757" s="10"/>
      <c r="AE3757" s="10"/>
      <c r="AF3757" s="10"/>
      <c r="AG3757" s="10"/>
      <c r="AH3757" s="10"/>
      <c r="AI3757" s="10"/>
      <c r="AJ3757" s="10"/>
      <c r="AK3757" s="10"/>
      <c r="AL3757" s="10"/>
      <c r="AM3757" s="10"/>
      <c r="AN3757" s="10"/>
      <c r="AO3757" s="10"/>
      <c r="AP3757" s="10"/>
      <c r="AQ3757" s="10"/>
      <c r="AR3757" s="10"/>
      <c r="AS3757" s="10"/>
      <c r="AT3757" s="10"/>
      <c r="AU3757" s="10"/>
      <c r="AV3757" s="10"/>
      <c r="AW3757" s="10"/>
      <c r="AX3757" s="10"/>
      <c r="AY3757" s="10"/>
      <c r="AZ3757" s="10"/>
      <c r="BA3757" s="10"/>
      <c r="BB3757" s="10"/>
      <c r="BC3757" s="10"/>
      <c r="BD3757" s="10"/>
      <c r="BE3757" s="10"/>
      <c r="BF3757" s="10"/>
      <c r="BG3757" s="10"/>
      <c r="BH3757" s="10"/>
      <c r="BI3757" s="10"/>
      <c r="BJ3757" s="10"/>
      <c r="BK3757" s="10"/>
      <c r="BM3757" s="10"/>
    </row>
    <row r="3758" spans="1:65" ht="12.75">
      <c r="A3758" s="9"/>
      <c r="B3758" s="10"/>
      <c r="C3758" s="11"/>
      <c r="D3758" s="12"/>
      <c r="E3758" s="10"/>
      <c r="F3758" s="10"/>
      <c r="G3758" s="10"/>
      <c r="H3758" s="14"/>
      <c r="I3758" s="14"/>
      <c r="J3758" s="14"/>
      <c r="K3758" s="14"/>
      <c r="L3758" s="14"/>
      <c r="M3758" s="15"/>
      <c r="N3758" s="10"/>
      <c r="O3758" s="14"/>
      <c r="P3758" s="14"/>
      <c r="Q3758" s="14"/>
      <c r="R3758" s="14"/>
      <c r="S3758" s="14"/>
      <c r="T3758" s="14"/>
      <c r="U3758" s="14"/>
      <c r="V3758" s="14"/>
      <c r="W3758" s="14"/>
      <c r="X3758" s="14"/>
      <c r="Y3758" s="14"/>
      <c r="Z3758" s="14"/>
      <c r="AA3758" s="16"/>
      <c r="AB3758" s="10"/>
      <c r="AC3758" s="10"/>
      <c r="AD3758" s="10"/>
      <c r="AE3758" s="10"/>
      <c r="AF3758" s="10"/>
      <c r="AG3758" s="10"/>
      <c r="AH3758" s="10"/>
      <c r="AI3758" s="10"/>
      <c r="AJ3758" s="10"/>
      <c r="AK3758" s="10"/>
      <c r="AL3758" s="10"/>
      <c r="AM3758" s="10"/>
      <c r="AN3758" s="10"/>
      <c r="AO3758" s="10"/>
      <c r="AP3758" s="10"/>
      <c r="AQ3758" s="10"/>
      <c r="AR3758" s="10"/>
      <c r="AS3758" s="10"/>
      <c r="AT3758" s="10"/>
      <c r="AU3758" s="10"/>
      <c r="AV3758" s="10"/>
      <c r="AW3758" s="10"/>
      <c r="AX3758" s="10"/>
      <c r="AY3758" s="10"/>
      <c r="AZ3758" s="10"/>
      <c r="BA3758" s="10"/>
      <c r="BB3758" s="10"/>
      <c r="BC3758" s="10"/>
      <c r="BD3758" s="10"/>
      <c r="BE3758" s="10"/>
      <c r="BF3758" s="10"/>
      <c r="BG3758" s="10"/>
      <c r="BH3758" s="10"/>
      <c r="BI3758" s="10"/>
      <c r="BJ3758" s="10"/>
      <c r="BK3758" s="10"/>
      <c r="BM3758" s="10"/>
    </row>
    <row r="3759" spans="1:65" ht="12.75">
      <c r="A3759" s="9"/>
      <c r="B3759" s="10"/>
      <c r="C3759" s="11"/>
      <c r="D3759" s="12"/>
      <c r="E3759" s="10"/>
      <c r="F3759" s="10"/>
      <c r="G3759" s="10"/>
      <c r="H3759" s="14"/>
      <c r="I3759" s="14"/>
      <c r="J3759" s="14"/>
      <c r="K3759" s="14"/>
      <c r="L3759" s="14"/>
      <c r="M3759" s="15"/>
      <c r="N3759" s="10"/>
      <c r="O3759" s="14"/>
      <c r="P3759" s="14"/>
      <c r="Q3759" s="14"/>
      <c r="R3759" s="14"/>
      <c r="S3759" s="14"/>
      <c r="T3759" s="14"/>
      <c r="U3759" s="14"/>
      <c r="V3759" s="14"/>
      <c r="W3759" s="14"/>
      <c r="X3759" s="14"/>
      <c r="Y3759" s="14"/>
      <c r="Z3759" s="14"/>
      <c r="AA3759" s="16"/>
      <c r="AB3759" s="10"/>
      <c r="AC3759" s="10"/>
      <c r="AD3759" s="10"/>
      <c r="AE3759" s="10"/>
      <c r="AF3759" s="10"/>
      <c r="AG3759" s="10"/>
      <c r="AH3759" s="10"/>
      <c r="AI3759" s="10"/>
      <c r="AJ3759" s="10"/>
      <c r="AK3759" s="10"/>
      <c r="AL3759" s="10"/>
      <c r="AM3759" s="10"/>
      <c r="AN3759" s="10"/>
      <c r="AO3759" s="10"/>
      <c r="AP3759" s="10"/>
      <c r="AQ3759" s="10"/>
      <c r="AR3759" s="10"/>
      <c r="AS3759" s="10"/>
      <c r="AT3759" s="10"/>
      <c r="AU3759" s="10"/>
      <c r="AV3759" s="10"/>
      <c r="AW3759" s="10"/>
      <c r="AX3759" s="10"/>
      <c r="AY3759" s="10"/>
      <c r="AZ3759" s="10"/>
      <c r="BA3759" s="10"/>
      <c r="BB3759" s="10"/>
      <c r="BC3759" s="10"/>
      <c r="BD3759" s="10"/>
      <c r="BE3759" s="10"/>
      <c r="BF3759" s="10"/>
      <c r="BG3759" s="10"/>
      <c r="BH3759" s="10"/>
      <c r="BI3759" s="10"/>
      <c r="BJ3759" s="10"/>
      <c r="BK3759" s="10"/>
      <c r="BM3759" s="10"/>
    </row>
    <row r="3760" spans="1:65" ht="12.75">
      <c r="A3760" s="9"/>
      <c r="B3760" s="10"/>
      <c r="C3760" s="11"/>
      <c r="D3760" s="12"/>
      <c r="E3760" s="10"/>
      <c r="F3760" s="10"/>
      <c r="G3760" s="10"/>
      <c r="H3760" s="14"/>
      <c r="I3760" s="14"/>
      <c r="J3760" s="14"/>
      <c r="K3760" s="14"/>
      <c r="L3760" s="14"/>
      <c r="M3760" s="15"/>
      <c r="N3760" s="10"/>
      <c r="O3760" s="14"/>
      <c r="P3760" s="14"/>
      <c r="Q3760" s="14"/>
      <c r="R3760" s="14"/>
      <c r="S3760" s="14"/>
      <c r="T3760" s="14"/>
      <c r="U3760" s="14"/>
      <c r="V3760" s="14"/>
      <c r="W3760" s="14"/>
      <c r="X3760" s="14"/>
      <c r="Y3760" s="14"/>
      <c r="Z3760" s="14"/>
      <c r="AA3760" s="16"/>
      <c r="AB3760" s="10"/>
      <c r="AC3760" s="10"/>
      <c r="AD3760" s="10"/>
      <c r="AE3760" s="10"/>
      <c r="AF3760" s="10"/>
      <c r="AG3760" s="10"/>
      <c r="AH3760" s="10"/>
      <c r="AI3760" s="10"/>
      <c r="AJ3760" s="10"/>
      <c r="AK3760" s="10"/>
      <c r="AL3760" s="10"/>
      <c r="AM3760" s="10"/>
      <c r="AN3760" s="10"/>
      <c r="AO3760" s="10"/>
      <c r="AP3760" s="10"/>
      <c r="AQ3760" s="10"/>
      <c r="AR3760" s="10"/>
      <c r="AS3760" s="10"/>
      <c r="AT3760" s="10"/>
      <c r="AU3760" s="10"/>
      <c r="AV3760" s="10"/>
      <c r="AW3760" s="10"/>
      <c r="AX3760" s="10"/>
      <c r="AY3760" s="10"/>
      <c r="AZ3760" s="10"/>
      <c r="BA3760" s="10"/>
      <c r="BB3760" s="10"/>
      <c r="BC3760" s="10"/>
      <c r="BD3760" s="10"/>
      <c r="BE3760" s="10"/>
      <c r="BF3760" s="10"/>
      <c r="BG3760" s="10"/>
      <c r="BH3760" s="10"/>
      <c r="BI3760" s="10"/>
      <c r="BJ3760" s="10"/>
      <c r="BK3760" s="10"/>
      <c r="BM3760" s="10"/>
    </row>
    <row r="3761" spans="1:65" ht="12.75">
      <c r="A3761" s="9"/>
      <c r="B3761" s="10"/>
      <c r="C3761" s="11"/>
      <c r="D3761" s="12"/>
      <c r="E3761" s="10"/>
      <c r="F3761" s="10"/>
      <c r="G3761" s="10"/>
      <c r="H3761" s="14"/>
      <c r="I3761" s="14"/>
      <c r="J3761" s="14"/>
      <c r="K3761" s="14"/>
      <c r="L3761" s="14"/>
      <c r="M3761" s="15"/>
      <c r="N3761" s="10"/>
      <c r="O3761" s="14"/>
      <c r="P3761" s="14"/>
      <c r="Q3761" s="14"/>
      <c r="R3761" s="14"/>
      <c r="S3761" s="14"/>
      <c r="T3761" s="14"/>
      <c r="U3761" s="14"/>
      <c r="V3761" s="14"/>
      <c r="W3761" s="14"/>
      <c r="X3761" s="14"/>
      <c r="Y3761" s="14"/>
      <c r="Z3761" s="14"/>
      <c r="AA3761" s="16"/>
      <c r="AB3761" s="10"/>
      <c r="AC3761" s="10"/>
      <c r="AD3761" s="10"/>
      <c r="AE3761" s="10"/>
      <c r="AF3761" s="10"/>
      <c r="AG3761" s="10"/>
      <c r="AH3761" s="10"/>
      <c r="AI3761" s="10"/>
      <c r="AJ3761" s="10"/>
      <c r="AK3761" s="10"/>
      <c r="AL3761" s="10"/>
      <c r="AM3761" s="10"/>
      <c r="AN3761" s="10"/>
      <c r="AO3761" s="10"/>
      <c r="AP3761" s="10"/>
      <c r="AQ3761" s="10"/>
      <c r="AR3761" s="10"/>
      <c r="AS3761" s="10"/>
      <c r="AT3761" s="10"/>
      <c r="AU3761" s="10"/>
      <c r="AV3761" s="10"/>
      <c r="AW3761" s="10"/>
      <c r="AX3761" s="10"/>
      <c r="AY3761" s="10"/>
      <c r="AZ3761" s="10"/>
      <c r="BA3761" s="10"/>
      <c r="BB3761" s="10"/>
      <c r="BC3761" s="10"/>
      <c r="BD3761" s="10"/>
      <c r="BE3761" s="10"/>
      <c r="BF3761" s="10"/>
      <c r="BG3761" s="10"/>
      <c r="BH3761" s="10"/>
      <c r="BI3761" s="10"/>
      <c r="BJ3761" s="10"/>
      <c r="BK3761" s="10"/>
      <c r="BM3761" s="10"/>
    </row>
    <row r="3762" spans="1:65" ht="12.75">
      <c r="A3762" s="9"/>
      <c r="B3762" s="10"/>
      <c r="C3762" s="11"/>
      <c r="D3762" s="12"/>
      <c r="E3762" s="10"/>
      <c r="F3762" s="10"/>
      <c r="G3762" s="10"/>
      <c r="H3762" s="14"/>
      <c r="I3762" s="14"/>
      <c r="J3762" s="14"/>
      <c r="K3762" s="14"/>
      <c r="L3762" s="14"/>
      <c r="M3762" s="15"/>
      <c r="N3762" s="10"/>
      <c r="O3762" s="14"/>
      <c r="P3762" s="14"/>
      <c r="Q3762" s="14"/>
      <c r="R3762" s="14"/>
      <c r="S3762" s="14"/>
      <c r="T3762" s="14"/>
      <c r="U3762" s="14"/>
      <c r="V3762" s="14"/>
      <c r="W3762" s="14"/>
      <c r="X3762" s="14"/>
      <c r="Y3762" s="14"/>
      <c r="Z3762" s="14"/>
      <c r="AA3762" s="16"/>
      <c r="AB3762" s="10"/>
      <c r="AC3762" s="10"/>
      <c r="AD3762" s="10"/>
      <c r="AE3762" s="10"/>
      <c r="AF3762" s="10"/>
      <c r="AG3762" s="10"/>
      <c r="AH3762" s="10"/>
      <c r="AI3762" s="10"/>
      <c r="AJ3762" s="10"/>
      <c r="AK3762" s="10"/>
      <c r="AL3762" s="10"/>
      <c r="AM3762" s="10"/>
      <c r="AN3762" s="10"/>
      <c r="AO3762" s="10"/>
      <c r="AP3762" s="10"/>
      <c r="AQ3762" s="10"/>
      <c r="AR3762" s="10"/>
      <c r="AS3762" s="10"/>
      <c r="AT3762" s="10"/>
      <c r="AU3762" s="10"/>
      <c r="AV3762" s="10"/>
      <c r="AW3762" s="10"/>
      <c r="AX3762" s="10"/>
      <c r="AY3762" s="10"/>
      <c r="AZ3762" s="10"/>
      <c r="BA3762" s="10"/>
      <c r="BB3762" s="10"/>
      <c r="BC3762" s="10"/>
      <c r="BD3762" s="10"/>
      <c r="BE3762" s="10"/>
      <c r="BF3762" s="10"/>
      <c r="BG3762" s="10"/>
      <c r="BH3762" s="10"/>
      <c r="BI3762" s="10"/>
      <c r="BJ3762" s="10"/>
      <c r="BK3762" s="10"/>
      <c r="BM3762" s="10"/>
    </row>
    <row r="3763" spans="1:65" ht="12.75">
      <c r="A3763" s="9"/>
      <c r="B3763" s="10"/>
      <c r="C3763" s="11"/>
      <c r="D3763" s="12"/>
      <c r="E3763" s="10"/>
      <c r="F3763" s="10"/>
      <c r="G3763" s="10"/>
      <c r="H3763" s="14"/>
      <c r="I3763" s="14"/>
      <c r="J3763" s="14"/>
      <c r="K3763" s="14"/>
      <c r="L3763" s="14"/>
      <c r="M3763" s="15"/>
      <c r="N3763" s="10"/>
      <c r="O3763" s="14"/>
      <c r="P3763" s="14"/>
      <c r="Q3763" s="14"/>
      <c r="R3763" s="14"/>
      <c r="S3763" s="14"/>
      <c r="T3763" s="14"/>
      <c r="U3763" s="14"/>
      <c r="V3763" s="14"/>
      <c r="W3763" s="14"/>
      <c r="X3763" s="14"/>
      <c r="Y3763" s="14"/>
      <c r="Z3763" s="14"/>
      <c r="AA3763" s="16"/>
      <c r="AB3763" s="10"/>
      <c r="AC3763" s="10"/>
      <c r="AD3763" s="10"/>
      <c r="AE3763" s="10"/>
      <c r="AF3763" s="10"/>
      <c r="AG3763" s="10"/>
      <c r="AH3763" s="10"/>
      <c r="AI3763" s="10"/>
      <c r="AJ3763" s="10"/>
      <c r="AK3763" s="10"/>
      <c r="AL3763" s="10"/>
      <c r="AM3763" s="10"/>
      <c r="AN3763" s="10"/>
      <c r="AO3763" s="10"/>
      <c r="AP3763" s="10"/>
      <c r="AQ3763" s="10"/>
      <c r="AR3763" s="10"/>
      <c r="AS3763" s="10"/>
      <c r="AT3763" s="10"/>
      <c r="AU3763" s="10"/>
      <c r="AV3763" s="10"/>
      <c r="AW3763" s="10"/>
      <c r="AX3763" s="10"/>
      <c r="AY3763" s="10"/>
      <c r="AZ3763" s="10"/>
      <c r="BA3763" s="10"/>
      <c r="BB3763" s="10"/>
      <c r="BC3763" s="10"/>
      <c r="BD3763" s="10"/>
      <c r="BE3763" s="10"/>
      <c r="BF3763" s="10"/>
      <c r="BG3763" s="10"/>
      <c r="BH3763" s="10"/>
      <c r="BI3763" s="10"/>
      <c r="BJ3763" s="10"/>
      <c r="BK3763" s="10"/>
      <c r="BM3763" s="10"/>
    </row>
    <row r="3764" spans="1:65" ht="12.75">
      <c r="A3764" s="9"/>
      <c r="B3764" s="10"/>
      <c r="C3764" s="11"/>
      <c r="D3764" s="12"/>
      <c r="E3764" s="10"/>
      <c r="F3764" s="10"/>
      <c r="G3764" s="10"/>
      <c r="H3764" s="14"/>
      <c r="I3764" s="14"/>
      <c r="J3764" s="14"/>
      <c r="K3764" s="14"/>
      <c r="L3764" s="14"/>
      <c r="M3764" s="15"/>
      <c r="N3764" s="10"/>
      <c r="O3764" s="14"/>
      <c r="P3764" s="14"/>
      <c r="Q3764" s="14"/>
      <c r="R3764" s="14"/>
      <c r="S3764" s="14"/>
      <c r="T3764" s="14"/>
      <c r="U3764" s="14"/>
      <c r="V3764" s="14"/>
      <c r="W3764" s="14"/>
      <c r="X3764" s="14"/>
      <c r="Y3764" s="14"/>
      <c r="Z3764" s="14"/>
      <c r="AA3764" s="16"/>
      <c r="AB3764" s="10"/>
      <c r="AC3764" s="10"/>
      <c r="AD3764" s="10"/>
      <c r="AE3764" s="10"/>
      <c r="AF3764" s="10"/>
      <c r="AG3764" s="10"/>
      <c r="AH3764" s="10"/>
      <c r="AI3764" s="10"/>
      <c r="AJ3764" s="10"/>
      <c r="AK3764" s="10"/>
      <c r="AL3764" s="10"/>
      <c r="AM3764" s="10"/>
      <c r="AN3764" s="10"/>
      <c r="AO3764" s="10"/>
      <c r="AP3764" s="10"/>
      <c r="AQ3764" s="10"/>
      <c r="AR3764" s="10"/>
      <c r="AS3764" s="10"/>
      <c r="AT3764" s="10"/>
      <c r="AU3764" s="10"/>
      <c r="AV3764" s="10"/>
      <c r="AW3764" s="10"/>
      <c r="AX3764" s="10"/>
      <c r="AY3764" s="10"/>
      <c r="AZ3764" s="10"/>
      <c r="BA3764" s="10"/>
      <c r="BB3764" s="10"/>
      <c r="BC3764" s="10"/>
      <c r="BD3764" s="10"/>
      <c r="BE3764" s="10"/>
      <c r="BF3764" s="10"/>
      <c r="BG3764" s="10"/>
      <c r="BH3764" s="10"/>
      <c r="BI3764" s="10"/>
      <c r="BJ3764" s="10"/>
      <c r="BK3764" s="10"/>
      <c r="BM3764" s="10"/>
    </row>
    <row r="3765" spans="1:65" ht="12.75">
      <c r="A3765" s="9"/>
      <c r="B3765" s="10"/>
      <c r="C3765" s="11"/>
      <c r="D3765" s="12"/>
      <c r="E3765" s="10"/>
      <c r="F3765" s="10"/>
      <c r="G3765" s="10"/>
      <c r="H3765" s="14"/>
      <c r="I3765" s="14"/>
      <c r="J3765" s="14"/>
      <c r="K3765" s="14"/>
      <c r="L3765" s="14"/>
      <c r="M3765" s="15"/>
      <c r="N3765" s="10"/>
      <c r="O3765" s="14"/>
      <c r="P3765" s="14"/>
      <c r="Q3765" s="14"/>
      <c r="R3765" s="14"/>
      <c r="S3765" s="14"/>
      <c r="T3765" s="14"/>
      <c r="U3765" s="14"/>
      <c r="V3765" s="14"/>
      <c r="W3765" s="14"/>
      <c r="X3765" s="14"/>
      <c r="Y3765" s="14"/>
      <c r="Z3765" s="14"/>
      <c r="AA3765" s="16"/>
      <c r="AB3765" s="10"/>
      <c r="AC3765" s="10"/>
      <c r="AD3765" s="10"/>
      <c r="AE3765" s="10"/>
      <c r="AF3765" s="10"/>
      <c r="AG3765" s="10"/>
      <c r="AH3765" s="10"/>
      <c r="AI3765" s="10"/>
      <c r="AJ3765" s="10"/>
      <c r="AK3765" s="10"/>
      <c r="AL3765" s="10"/>
      <c r="AM3765" s="10"/>
      <c r="AN3765" s="10"/>
      <c r="AO3765" s="10"/>
      <c r="AP3765" s="10"/>
      <c r="AQ3765" s="10"/>
      <c r="AR3765" s="10"/>
      <c r="AS3765" s="10"/>
      <c r="AT3765" s="10"/>
      <c r="AU3765" s="10"/>
      <c r="AV3765" s="10"/>
      <c r="AW3765" s="10"/>
      <c r="AX3765" s="10"/>
      <c r="AY3765" s="10"/>
      <c r="AZ3765" s="10"/>
      <c r="BA3765" s="10"/>
      <c r="BB3765" s="10"/>
      <c r="BC3765" s="10"/>
      <c r="BD3765" s="10"/>
      <c r="BE3765" s="10"/>
      <c r="BF3765" s="10"/>
      <c r="BG3765" s="10"/>
      <c r="BH3765" s="10"/>
      <c r="BI3765" s="10"/>
      <c r="BJ3765" s="10"/>
      <c r="BK3765" s="10"/>
      <c r="BM3765" s="10"/>
    </row>
    <row r="3766" spans="1:65" ht="12.75">
      <c r="A3766" s="9"/>
      <c r="B3766" s="10"/>
      <c r="C3766" s="11"/>
      <c r="D3766" s="12"/>
      <c r="E3766" s="10"/>
      <c r="F3766" s="10"/>
      <c r="G3766" s="10"/>
      <c r="H3766" s="14"/>
      <c r="I3766" s="14"/>
      <c r="J3766" s="14"/>
      <c r="K3766" s="14"/>
      <c r="L3766" s="14"/>
      <c r="M3766" s="15"/>
      <c r="N3766" s="10"/>
      <c r="O3766" s="14"/>
      <c r="P3766" s="14"/>
      <c r="Q3766" s="14"/>
      <c r="R3766" s="14"/>
      <c r="S3766" s="14"/>
      <c r="T3766" s="14"/>
      <c r="U3766" s="14"/>
      <c r="V3766" s="14"/>
      <c r="W3766" s="14"/>
      <c r="X3766" s="14"/>
      <c r="Y3766" s="14"/>
      <c r="Z3766" s="14"/>
      <c r="AA3766" s="16"/>
      <c r="AB3766" s="10"/>
      <c r="AC3766" s="10"/>
      <c r="AD3766" s="10"/>
      <c r="AE3766" s="10"/>
      <c r="AF3766" s="10"/>
      <c r="AG3766" s="10"/>
      <c r="AH3766" s="10"/>
      <c r="AI3766" s="10"/>
      <c r="AJ3766" s="10"/>
      <c r="AK3766" s="10"/>
      <c r="AL3766" s="10"/>
      <c r="AM3766" s="10"/>
      <c r="AN3766" s="10"/>
      <c r="AO3766" s="10"/>
      <c r="AP3766" s="10"/>
      <c r="AQ3766" s="10"/>
      <c r="AR3766" s="10"/>
      <c r="AS3766" s="10"/>
      <c r="AT3766" s="10"/>
      <c r="AU3766" s="10"/>
      <c r="AV3766" s="10"/>
      <c r="AW3766" s="10"/>
      <c r="AX3766" s="10"/>
      <c r="AY3766" s="10"/>
      <c r="AZ3766" s="10"/>
      <c r="BA3766" s="10"/>
      <c r="BB3766" s="10"/>
      <c r="BC3766" s="10"/>
      <c r="BD3766" s="10"/>
      <c r="BE3766" s="10"/>
      <c r="BF3766" s="10"/>
      <c r="BG3766" s="10"/>
      <c r="BH3766" s="10"/>
      <c r="BI3766" s="10"/>
      <c r="BJ3766" s="10"/>
      <c r="BK3766" s="10"/>
      <c r="BM3766" s="10"/>
    </row>
    <row r="3767" spans="1:65" ht="12.75">
      <c r="A3767" s="9"/>
      <c r="B3767" s="10"/>
      <c r="C3767" s="11"/>
      <c r="D3767" s="12"/>
      <c r="E3767" s="10"/>
      <c r="F3767" s="10"/>
      <c r="G3767" s="10"/>
      <c r="H3767" s="14"/>
      <c r="I3767" s="14"/>
      <c r="J3767" s="14"/>
      <c r="K3767" s="14"/>
      <c r="L3767" s="14"/>
      <c r="M3767" s="15"/>
      <c r="N3767" s="10"/>
      <c r="O3767" s="14"/>
      <c r="P3767" s="14"/>
      <c r="Q3767" s="14"/>
      <c r="R3767" s="14"/>
      <c r="S3767" s="14"/>
      <c r="T3767" s="14"/>
      <c r="U3767" s="14"/>
      <c r="V3767" s="14"/>
      <c r="W3767" s="14"/>
      <c r="X3767" s="14"/>
      <c r="Y3767" s="14"/>
      <c r="Z3767" s="14"/>
      <c r="AA3767" s="16"/>
      <c r="AB3767" s="10"/>
      <c r="AC3767" s="10"/>
      <c r="AD3767" s="10"/>
      <c r="AE3767" s="10"/>
      <c r="AF3767" s="10"/>
      <c r="AG3767" s="10"/>
      <c r="AH3767" s="10"/>
      <c r="AI3767" s="10"/>
      <c r="AJ3767" s="10"/>
      <c r="AK3767" s="10"/>
      <c r="AL3767" s="10"/>
      <c r="AM3767" s="10"/>
      <c r="AN3767" s="10"/>
      <c r="AO3767" s="10"/>
      <c r="AP3767" s="10"/>
      <c r="AQ3767" s="10"/>
      <c r="AR3767" s="10"/>
      <c r="AS3767" s="10"/>
      <c r="AT3767" s="10"/>
      <c r="AU3767" s="10"/>
      <c r="AV3767" s="10"/>
      <c r="AW3767" s="10"/>
      <c r="AX3767" s="10"/>
      <c r="AY3767" s="10"/>
      <c r="AZ3767" s="10"/>
      <c r="BA3767" s="10"/>
      <c r="BB3767" s="10"/>
      <c r="BC3767" s="10"/>
      <c r="BD3767" s="10"/>
      <c r="BE3767" s="10"/>
      <c r="BF3767" s="10"/>
      <c r="BG3767" s="10"/>
      <c r="BH3767" s="10"/>
      <c r="BI3767" s="10"/>
      <c r="BJ3767" s="10"/>
      <c r="BK3767" s="10"/>
      <c r="BM3767" s="10"/>
    </row>
    <row r="3768" spans="1:65" ht="12.75">
      <c r="A3768" s="9"/>
      <c r="B3768" s="10"/>
      <c r="C3768" s="11"/>
      <c r="D3768" s="12"/>
      <c r="E3768" s="10"/>
      <c r="F3768" s="10"/>
      <c r="G3768" s="10"/>
      <c r="H3768" s="14"/>
      <c r="I3768" s="14"/>
      <c r="J3768" s="14"/>
      <c r="K3768" s="14"/>
      <c r="L3768" s="14"/>
      <c r="M3768" s="15"/>
      <c r="N3768" s="10"/>
      <c r="O3768" s="14"/>
      <c r="P3768" s="14"/>
      <c r="Q3768" s="14"/>
      <c r="R3768" s="14"/>
      <c r="S3768" s="14"/>
      <c r="T3768" s="14"/>
      <c r="U3768" s="14"/>
      <c r="V3768" s="14"/>
      <c r="W3768" s="14"/>
      <c r="X3768" s="14"/>
      <c r="Y3768" s="14"/>
      <c r="Z3768" s="14"/>
      <c r="AA3768" s="16"/>
      <c r="AB3768" s="10"/>
      <c r="AC3768" s="10"/>
      <c r="AD3768" s="10"/>
      <c r="AE3768" s="10"/>
      <c r="AF3768" s="10"/>
      <c r="AG3768" s="10"/>
      <c r="AH3768" s="10"/>
      <c r="AI3768" s="10"/>
      <c r="AJ3768" s="10"/>
      <c r="AK3768" s="10"/>
      <c r="AL3768" s="10"/>
      <c r="AM3768" s="10"/>
      <c r="AN3768" s="10"/>
      <c r="AO3768" s="10"/>
      <c r="AP3768" s="10"/>
      <c r="AQ3768" s="10"/>
      <c r="AR3768" s="10"/>
      <c r="AS3768" s="10"/>
      <c r="AT3768" s="10"/>
      <c r="AU3768" s="10"/>
      <c r="AV3768" s="10"/>
      <c r="AW3768" s="10"/>
      <c r="AX3768" s="10"/>
      <c r="AY3768" s="10"/>
      <c r="AZ3768" s="10"/>
      <c r="BA3768" s="10"/>
      <c r="BB3768" s="10"/>
      <c r="BC3768" s="10"/>
      <c r="BD3768" s="10"/>
      <c r="BE3768" s="10"/>
      <c r="BF3768" s="10"/>
      <c r="BG3768" s="10"/>
      <c r="BH3768" s="10"/>
      <c r="BI3768" s="10"/>
      <c r="BJ3768" s="10"/>
      <c r="BK3768" s="10"/>
      <c r="BM3768" s="10"/>
    </row>
    <row r="3769" spans="1:65" ht="12.75">
      <c r="A3769" s="9"/>
      <c r="B3769" s="10"/>
      <c r="C3769" s="11"/>
      <c r="D3769" s="12"/>
      <c r="E3769" s="10"/>
      <c r="F3769" s="10"/>
      <c r="G3769" s="10"/>
      <c r="H3769" s="14"/>
      <c r="I3769" s="14"/>
      <c r="J3769" s="14"/>
      <c r="K3769" s="14"/>
      <c r="L3769" s="14"/>
      <c r="M3769" s="15"/>
      <c r="N3769" s="10"/>
      <c r="O3769" s="14"/>
      <c r="P3769" s="14"/>
      <c r="Q3769" s="14"/>
      <c r="R3769" s="14"/>
      <c r="S3769" s="14"/>
      <c r="T3769" s="14"/>
      <c r="U3769" s="14"/>
      <c r="V3769" s="14"/>
      <c r="W3769" s="14"/>
      <c r="X3769" s="14"/>
      <c r="Y3769" s="14"/>
      <c r="Z3769" s="14"/>
      <c r="AA3769" s="16"/>
      <c r="AB3769" s="10"/>
      <c r="AC3769" s="10"/>
      <c r="AD3769" s="10"/>
      <c r="AE3769" s="10"/>
      <c r="AF3769" s="10"/>
      <c r="AG3769" s="10"/>
      <c r="AH3769" s="10"/>
      <c r="AI3769" s="10"/>
      <c r="AJ3769" s="10"/>
      <c r="AK3769" s="10"/>
      <c r="AL3769" s="10"/>
      <c r="AM3769" s="10"/>
      <c r="AN3769" s="10"/>
      <c r="AO3769" s="10"/>
      <c r="AP3769" s="10"/>
      <c r="AQ3769" s="10"/>
      <c r="AR3769" s="10"/>
      <c r="AS3769" s="10"/>
      <c r="AT3769" s="10"/>
      <c r="AU3769" s="10"/>
      <c r="AV3769" s="10"/>
      <c r="AW3769" s="10"/>
      <c r="AX3769" s="10"/>
      <c r="AY3769" s="10"/>
      <c r="AZ3769" s="10"/>
      <c r="BA3769" s="10"/>
      <c r="BB3769" s="10"/>
      <c r="BC3769" s="10"/>
      <c r="BD3769" s="10"/>
      <c r="BE3769" s="10"/>
      <c r="BF3769" s="10"/>
      <c r="BG3769" s="10"/>
      <c r="BH3769" s="10"/>
      <c r="BI3769" s="10"/>
      <c r="BJ3769" s="10"/>
      <c r="BK3769" s="10"/>
      <c r="BM3769" s="10"/>
    </row>
    <row r="3770" spans="1:65" ht="12.75">
      <c r="A3770" s="9"/>
      <c r="B3770" s="10"/>
      <c r="C3770" s="11"/>
      <c r="D3770" s="12"/>
      <c r="E3770" s="10"/>
      <c r="F3770" s="10"/>
      <c r="G3770" s="10"/>
      <c r="H3770" s="14"/>
      <c r="I3770" s="14"/>
      <c r="J3770" s="14"/>
      <c r="K3770" s="14"/>
      <c r="L3770" s="14"/>
      <c r="M3770" s="15"/>
      <c r="N3770" s="10"/>
      <c r="O3770" s="14"/>
      <c r="P3770" s="14"/>
      <c r="Q3770" s="14"/>
      <c r="R3770" s="14"/>
      <c r="S3770" s="14"/>
      <c r="T3770" s="14"/>
      <c r="U3770" s="14"/>
      <c r="V3770" s="14"/>
      <c r="W3770" s="14"/>
      <c r="X3770" s="14"/>
      <c r="Y3770" s="14"/>
      <c r="Z3770" s="14"/>
      <c r="AA3770" s="16"/>
      <c r="AB3770" s="10"/>
      <c r="AC3770" s="10"/>
      <c r="AD3770" s="10"/>
      <c r="AE3770" s="10"/>
      <c r="AF3770" s="10"/>
      <c r="AG3770" s="10"/>
      <c r="AH3770" s="10"/>
      <c r="AI3770" s="10"/>
      <c r="AJ3770" s="10"/>
      <c r="AK3770" s="10"/>
      <c r="AL3770" s="10"/>
      <c r="AM3770" s="10"/>
      <c r="AN3770" s="10"/>
      <c r="AO3770" s="10"/>
      <c r="AP3770" s="10"/>
      <c r="AQ3770" s="10"/>
      <c r="AR3770" s="10"/>
      <c r="AS3770" s="10"/>
      <c r="AT3770" s="10"/>
      <c r="AU3770" s="10"/>
      <c r="AV3770" s="10"/>
      <c r="AW3770" s="10"/>
      <c r="AX3770" s="10"/>
      <c r="AY3770" s="10"/>
      <c r="AZ3770" s="10"/>
      <c r="BA3770" s="10"/>
      <c r="BB3770" s="10"/>
      <c r="BC3770" s="10"/>
      <c r="BD3770" s="10"/>
      <c r="BE3770" s="10"/>
      <c r="BF3770" s="10"/>
      <c r="BG3770" s="10"/>
      <c r="BH3770" s="10"/>
      <c r="BI3770" s="10"/>
      <c r="BJ3770" s="10"/>
      <c r="BK3770" s="10"/>
      <c r="BM3770" s="10"/>
    </row>
    <row r="3771" spans="1:65" ht="12.75">
      <c r="A3771" s="9"/>
      <c r="B3771" s="10"/>
      <c r="C3771" s="11"/>
      <c r="D3771" s="12"/>
      <c r="E3771" s="10"/>
      <c r="F3771" s="10"/>
      <c r="G3771" s="10"/>
      <c r="H3771" s="14"/>
      <c r="I3771" s="14"/>
      <c r="J3771" s="14"/>
      <c r="K3771" s="14"/>
      <c r="L3771" s="14"/>
      <c r="M3771" s="15"/>
      <c r="N3771" s="10"/>
      <c r="O3771" s="14"/>
      <c r="P3771" s="14"/>
      <c r="Q3771" s="14"/>
      <c r="R3771" s="14"/>
      <c r="S3771" s="14"/>
      <c r="T3771" s="14"/>
      <c r="U3771" s="14"/>
      <c r="V3771" s="14"/>
      <c r="W3771" s="14"/>
      <c r="X3771" s="14"/>
      <c r="Y3771" s="14"/>
      <c r="Z3771" s="14"/>
      <c r="AA3771" s="16"/>
      <c r="AB3771" s="10"/>
      <c r="AC3771" s="10"/>
      <c r="AD3771" s="10"/>
      <c r="AE3771" s="10"/>
      <c r="AF3771" s="10"/>
      <c r="AG3771" s="10"/>
      <c r="AH3771" s="10"/>
      <c r="AI3771" s="10"/>
      <c r="AJ3771" s="10"/>
      <c r="AK3771" s="10"/>
      <c r="AL3771" s="10"/>
      <c r="AM3771" s="10"/>
      <c r="AN3771" s="10"/>
      <c r="AO3771" s="10"/>
      <c r="AP3771" s="10"/>
      <c r="AQ3771" s="10"/>
      <c r="AR3771" s="10"/>
      <c r="AS3771" s="10"/>
      <c r="AT3771" s="10"/>
      <c r="AU3771" s="10"/>
      <c r="AV3771" s="10"/>
      <c r="AW3771" s="10"/>
      <c r="AX3771" s="10"/>
      <c r="AY3771" s="10"/>
      <c r="AZ3771" s="10"/>
      <c r="BA3771" s="10"/>
      <c r="BB3771" s="10"/>
      <c r="BC3771" s="10"/>
      <c r="BD3771" s="10"/>
      <c r="BE3771" s="10"/>
      <c r="BF3771" s="10"/>
      <c r="BG3771" s="10"/>
      <c r="BH3771" s="10"/>
      <c r="BI3771" s="10"/>
      <c r="BJ3771" s="10"/>
      <c r="BK3771" s="10"/>
      <c r="BM3771" s="10"/>
    </row>
    <row r="3772" spans="1:65" ht="12.75">
      <c r="A3772" s="9"/>
      <c r="B3772" s="10"/>
      <c r="C3772" s="11"/>
      <c r="D3772" s="12"/>
      <c r="E3772" s="10"/>
      <c r="F3772" s="10"/>
      <c r="G3772" s="10"/>
      <c r="H3772" s="14"/>
      <c r="I3772" s="14"/>
      <c r="J3772" s="14"/>
      <c r="K3772" s="14"/>
      <c r="L3772" s="14"/>
      <c r="M3772" s="15"/>
      <c r="N3772" s="10"/>
      <c r="O3772" s="14"/>
      <c r="P3772" s="14"/>
      <c r="Q3772" s="14"/>
      <c r="R3772" s="14"/>
      <c r="S3772" s="14"/>
      <c r="T3772" s="14"/>
      <c r="U3772" s="14"/>
      <c r="V3772" s="14"/>
      <c r="W3772" s="14"/>
      <c r="X3772" s="14"/>
      <c r="Y3772" s="14"/>
      <c r="Z3772" s="14"/>
      <c r="AA3772" s="16"/>
      <c r="AB3772" s="10"/>
      <c r="AC3772" s="10"/>
      <c r="AD3772" s="10"/>
      <c r="AE3772" s="10"/>
      <c r="AF3772" s="10"/>
      <c r="AG3772" s="10"/>
      <c r="AH3772" s="10"/>
      <c r="AI3772" s="10"/>
      <c r="AJ3772" s="10"/>
      <c r="AK3772" s="10"/>
      <c r="AL3772" s="10"/>
      <c r="AM3772" s="10"/>
      <c r="AN3772" s="10"/>
      <c r="AO3772" s="10"/>
      <c r="AP3772" s="10"/>
      <c r="AQ3772" s="10"/>
      <c r="AR3772" s="10"/>
      <c r="AS3772" s="10"/>
      <c r="AT3772" s="10"/>
      <c r="AU3772" s="10"/>
      <c r="AV3772" s="10"/>
      <c r="AW3772" s="10"/>
      <c r="AX3772" s="10"/>
      <c r="AY3772" s="10"/>
      <c r="AZ3772" s="10"/>
      <c r="BA3772" s="10"/>
      <c r="BB3772" s="10"/>
      <c r="BC3772" s="10"/>
      <c r="BD3772" s="10"/>
      <c r="BE3772" s="10"/>
      <c r="BF3772" s="10"/>
      <c r="BG3772" s="10"/>
      <c r="BH3772" s="10"/>
      <c r="BI3772" s="10"/>
      <c r="BJ3772" s="10"/>
      <c r="BK3772" s="10"/>
      <c r="BM3772" s="10"/>
    </row>
    <row r="3773" spans="1:65" ht="12.75">
      <c r="A3773" s="9"/>
      <c r="B3773" s="10"/>
      <c r="C3773" s="11"/>
      <c r="D3773" s="12"/>
      <c r="E3773" s="10"/>
      <c r="F3773" s="10"/>
      <c r="G3773" s="10"/>
      <c r="H3773" s="14"/>
      <c r="I3773" s="14"/>
      <c r="J3773" s="14"/>
      <c r="K3773" s="14"/>
      <c r="L3773" s="14"/>
      <c r="M3773" s="15"/>
      <c r="N3773" s="10"/>
      <c r="O3773" s="14"/>
      <c r="P3773" s="14"/>
      <c r="Q3773" s="14"/>
      <c r="R3773" s="14"/>
      <c r="S3773" s="14"/>
      <c r="T3773" s="14"/>
      <c r="U3773" s="14"/>
      <c r="V3773" s="14"/>
      <c r="W3773" s="14"/>
      <c r="X3773" s="14"/>
      <c r="Y3773" s="14"/>
      <c r="Z3773" s="14"/>
      <c r="AA3773" s="16"/>
      <c r="AB3773" s="10"/>
      <c r="AC3773" s="10"/>
      <c r="AD3773" s="10"/>
      <c r="AE3773" s="10"/>
      <c r="AF3773" s="10"/>
      <c r="AG3773" s="10"/>
      <c r="AH3773" s="10"/>
      <c r="AI3773" s="10"/>
      <c r="AJ3773" s="10"/>
      <c r="AK3773" s="10"/>
      <c r="AL3773" s="10"/>
      <c r="AM3773" s="10"/>
      <c r="AN3773" s="10"/>
      <c r="AO3773" s="10"/>
      <c r="AP3773" s="10"/>
      <c r="AQ3773" s="10"/>
      <c r="AR3773" s="10"/>
      <c r="AS3773" s="10"/>
      <c r="AT3773" s="10"/>
      <c r="AU3773" s="10"/>
      <c r="AV3773" s="10"/>
      <c r="AW3773" s="10"/>
      <c r="AX3773" s="10"/>
      <c r="AY3773" s="10"/>
      <c r="AZ3773" s="10"/>
      <c r="BA3773" s="10"/>
      <c r="BB3773" s="10"/>
      <c r="BC3773" s="10"/>
      <c r="BD3773" s="10"/>
      <c r="BE3773" s="10"/>
      <c r="BF3773" s="10"/>
      <c r="BG3773" s="10"/>
      <c r="BH3773" s="10"/>
      <c r="BI3773" s="10"/>
      <c r="BJ3773" s="10"/>
      <c r="BK3773" s="10"/>
      <c r="BM3773" s="10"/>
    </row>
    <row r="3774" spans="1:65" ht="12.75">
      <c r="A3774" s="9"/>
      <c r="B3774" s="10"/>
      <c r="C3774" s="11"/>
      <c r="D3774" s="12"/>
      <c r="E3774" s="10"/>
      <c r="F3774" s="10"/>
      <c r="G3774" s="10"/>
      <c r="H3774" s="14"/>
      <c r="I3774" s="14"/>
      <c r="J3774" s="14"/>
      <c r="K3774" s="14"/>
      <c r="L3774" s="14"/>
      <c r="M3774" s="15"/>
      <c r="N3774" s="10"/>
      <c r="O3774" s="14"/>
      <c r="P3774" s="14"/>
      <c r="Q3774" s="14"/>
      <c r="R3774" s="14"/>
      <c r="S3774" s="14"/>
      <c r="T3774" s="14"/>
      <c r="U3774" s="14"/>
      <c r="V3774" s="14"/>
      <c r="W3774" s="14"/>
      <c r="X3774" s="14"/>
      <c r="Y3774" s="14"/>
      <c r="Z3774" s="14"/>
      <c r="AA3774" s="16"/>
      <c r="AB3774" s="10"/>
      <c r="AC3774" s="10"/>
      <c r="AD3774" s="10"/>
      <c r="AE3774" s="10"/>
      <c r="AF3774" s="10"/>
      <c r="AG3774" s="10"/>
      <c r="AH3774" s="10"/>
      <c r="AI3774" s="10"/>
      <c r="AJ3774" s="10"/>
      <c r="AK3774" s="10"/>
      <c r="AL3774" s="10"/>
      <c r="AM3774" s="10"/>
      <c r="AN3774" s="10"/>
      <c r="AO3774" s="10"/>
      <c r="AP3774" s="10"/>
      <c r="AQ3774" s="10"/>
      <c r="AR3774" s="10"/>
      <c r="AS3774" s="10"/>
      <c r="AT3774" s="10"/>
      <c r="AU3774" s="10"/>
      <c r="AV3774" s="10"/>
      <c r="AW3774" s="10"/>
      <c r="AX3774" s="10"/>
      <c r="AY3774" s="10"/>
      <c r="AZ3774" s="10"/>
      <c r="BA3774" s="10"/>
      <c r="BB3774" s="10"/>
      <c r="BC3774" s="10"/>
      <c r="BD3774" s="10"/>
      <c r="BE3774" s="10"/>
      <c r="BF3774" s="10"/>
      <c r="BG3774" s="10"/>
      <c r="BH3774" s="10"/>
      <c r="BI3774" s="10"/>
      <c r="BJ3774" s="10"/>
      <c r="BK3774" s="10"/>
      <c r="BM3774" s="10"/>
    </row>
    <row r="3775" spans="1:65" ht="12.75">
      <c r="A3775" s="9"/>
      <c r="B3775" s="10"/>
      <c r="C3775" s="11"/>
      <c r="D3775" s="12"/>
      <c r="E3775" s="10"/>
      <c r="F3775" s="10"/>
      <c r="G3775" s="10"/>
      <c r="H3775" s="14"/>
      <c r="I3775" s="14"/>
      <c r="J3775" s="14"/>
      <c r="K3775" s="14"/>
      <c r="L3775" s="14"/>
      <c r="M3775" s="15"/>
      <c r="N3775" s="10"/>
      <c r="O3775" s="14"/>
      <c r="P3775" s="14"/>
      <c r="Q3775" s="14"/>
      <c r="R3775" s="14"/>
      <c r="S3775" s="14"/>
      <c r="T3775" s="14"/>
      <c r="U3775" s="14"/>
      <c r="V3775" s="14"/>
      <c r="W3775" s="14"/>
      <c r="X3775" s="14"/>
      <c r="Y3775" s="14"/>
      <c r="Z3775" s="14"/>
      <c r="AA3775" s="16"/>
      <c r="AB3775" s="10"/>
      <c r="AC3775" s="10"/>
      <c r="AD3775" s="10"/>
      <c r="AE3775" s="10"/>
      <c r="AF3775" s="10"/>
      <c r="AG3775" s="10"/>
      <c r="AH3775" s="10"/>
      <c r="AI3775" s="10"/>
      <c r="AJ3775" s="10"/>
      <c r="AK3775" s="10"/>
      <c r="AL3775" s="10"/>
      <c r="AM3775" s="10"/>
      <c r="AN3775" s="10"/>
      <c r="AO3775" s="10"/>
      <c r="AP3775" s="10"/>
      <c r="AQ3775" s="10"/>
      <c r="AR3775" s="10"/>
      <c r="AS3775" s="10"/>
      <c r="AT3775" s="10"/>
      <c r="AU3775" s="10"/>
      <c r="AV3775" s="10"/>
      <c r="AW3775" s="10"/>
      <c r="AX3775" s="10"/>
      <c r="AY3775" s="10"/>
      <c r="AZ3775" s="10"/>
      <c r="BA3775" s="10"/>
      <c r="BB3775" s="10"/>
      <c r="BC3775" s="10"/>
      <c r="BD3775" s="10"/>
      <c r="BE3775" s="10"/>
      <c r="BF3775" s="10"/>
      <c r="BG3775" s="10"/>
      <c r="BH3775" s="10"/>
      <c r="BI3775" s="10"/>
      <c r="BJ3775" s="10"/>
      <c r="BK3775" s="10"/>
      <c r="BM3775" s="10"/>
    </row>
    <row r="3776" spans="1:65" ht="12.75">
      <c r="A3776" s="9"/>
      <c r="B3776" s="10"/>
      <c r="C3776" s="11"/>
      <c r="D3776" s="12"/>
      <c r="E3776" s="10"/>
      <c r="F3776" s="10"/>
      <c r="G3776" s="10"/>
      <c r="H3776" s="14"/>
      <c r="I3776" s="14"/>
      <c r="J3776" s="14"/>
      <c r="K3776" s="14"/>
      <c r="L3776" s="14"/>
      <c r="M3776" s="15"/>
      <c r="N3776" s="10"/>
      <c r="O3776" s="14"/>
      <c r="P3776" s="14"/>
      <c r="Q3776" s="14"/>
      <c r="R3776" s="14"/>
      <c r="S3776" s="14"/>
      <c r="T3776" s="14"/>
      <c r="U3776" s="14"/>
      <c r="V3776" s="14"/>
      <c r="W3776" s="14"/>
      <c r="X3776" s="14"/>
      <c r="Y3776" s="14"/>
      <c r="Z3776" s="14"/>
      <c r="AA3776" s="16"/>
      <c r="AB3776" s="10"/>
      <c r="AC3776" s="10"/>
      <c r="AD3776" s="10"/>
      <c r="AE3776" s="10"/>
      <c r="AF3776" s="10"/>
      <c r="AG3776" s="10"/>
      <c r="AH3776" s="10"/>
      <c r="AI3776" s="10"/>
      <c r="AJ3776" s="10"/>
      <c r="AK3776" s="10"/>
      <c r="AL3776" s="10"/>
      <c r="AM3776" s="10"/>
      <c r="AN3776" s="10"/>
      <c r="AO3776" s="10"/>
      <c r="AP3776" s="10"/>
      <c r="AQ3776" s="10"/>
      <c r="AR3776" s="10"/>
      <c r="AS3776" s="10"/>
      <c r="AT3776" s="10"/>
      <c r="AU3776" s="10"/>
      <c r="AV3776" s="10"/>
      <c r="AW3776" s="10"/>
      <c r="AX3776" s="10"/>
      <c r="AY3776" s="10"/>
      <c r="AZ3776" s="10"/>
      <c r="BA3776" s="10"/>
      <c r="BB3776" s="10"/>
      <c r="BC3776" s="10"/>
      <c r="BD3776" s="10"/>
      <c r="BE3776" s="10"/>
      <c r="BF3776" s="10"/>
      <c r="BG3776" s="10"/>
      <c r="BH3776" s="10"/>
      <c r="BI3776" s="10"/>
      <c r="BJ3776" s="10"/>
      <c r="BK3776" s="10"/>
      <c r="BM3776" s="10"/>
    </row>
    <row r="3777" spans="1:65" ht="12.75">
      <c r="A3777" s="9"/>
      <c r="B3777" s="10"/>
      <c r="C3777" s="11"/>
      <c r="D3777" s="12"/>
      <c r="E3777" s="10"/>
      <c r="F3777" s="10"/>
      <c r="G3777" s="10"/>
      <c r="H3777" s="14"/>
      <c r="I3777" s="14"/>
      <c r="J3777" s="14"/>
      <c r="K3777" s="14"/>
      <c r="L3777" s="14"/>
      <c r="M3777" s="15"/>
      <c r="N3777" s="10"/>
      <c r="O3777" s="14"/>
      <c r="P3777" s="14"/>
      <c r="Q3777" s="14"/>
      <c r="R3777" s="14"/>
      <c r="S3777" s="14"/>
      <c r="T3777" s="14"/>
      <c r="U3777" s="14"/>
      <c r="V3777" s="14"/>
      <c r="W3777" s="14"/>
      <c r="X3777" s="14"/>
      <c r="Y3777" s="14"/>
      <c r="Z3777" s="14"/>
      <c r="AA3777" s="16"/>
      <c r="AB3777" s="10"/>
      <c r="AC3777" s="10"/>
      <c r="AD3777" s="10"/>
      <c r="AE3777" s="10"/>
      <c r="AF3777" s="10"/>
      <c r="AG3777" s="10"/>
      <c r="AH3777" s="10"/>
      <c r="AI3777" s="10"/>
      <c r="AJ3777" s="10"/>
      <c r="AK3777" s="10"/>
      <c r="AL3777" s="10"/>
      <c r="AM3777" s="10"/>
      <c r="AN3777" s="10"/>
      <c r="AO3777" s="10"/>
      <c r="AP3777" s="10"/>
      <c r="AQ3777" s="10"/>
      <c r="AR3777" s="10"/>
      <c r="AS3777" s="10"/>
      <c r="AT3777" s="10"/>
      <c r="AU3777" s="10"/>
      <c r="AV3777" s="10"/>
      <c r="AW3777" s="10"/>
      <c r="AX3777" s="10"/>
      <c r="AY3777" s="10"/>
      <c r="AZ3777" s="10"/>
      <c r="BA3777" s="10"/>
      <c r="BB3777" s="10"/>
      <c r="BC3777" s="10"/>
      <c r="BD3777" s="10"/>
      <c r="BE3777" s="10"/>
      <c r="BF3777" s="10"/>
      <c r="BG3777" s="10"/>
      <c r="BH3777" s="10"/>
      <c r="BI3777" s="10"/>
      <c r="BJ3777" s="10"/>
      <c r="BK3777" s="10"/>
      <c r="BM3777" s="10"/>
    </row>
    <row r="3778" spans="1:65" ht="12.75">
      <c r="A3778" s="9"/>
      <c r="B3778" s="10"/>
      <c r="C3778" s="11"/>
      <c r="D3778" s="12"/>
      <c r="E3778" s="10"/>
      <c r="F3778" s="10"/>
      <c r="G3778" s="10"/>
      <c r="H3778" s="14"/>
      <c r="I3778" s="14"/>
      <c r="J3778" s="14"/>
      <c r="K3778" s="14"/>
      <c r="L3778" s="14"/>
      <c r="M3778" s="15"/>
      <c r="N3778" s="10"/>
      <c r="O3778" s="14"/>
      <c r="P3778" s="14"/>
      <c r="Q3778" s="14"/>
      <c r="R3778" s="14"/>
      <c r="S3778" s="14"/>
      <c r="T3778" s="14"/>
      <c r="U3778" s="14"/>
      <c r="V3778" s="14"/>
      <c r="W3778" s="14"/>
      <c r="X3778" s="14"/>
      <c r="Y3778" s="14"/>
      <c r="Z3778" s="14"/>
      <c r="AA3778" s="16"/>
      <c r="AB3778" s="10"/>
      <c r="AC3778" s="10"/>
      <c r="AD3778" s="10"/>
      <c r="AE3778" s="10"/>
      <c r="AF3778" s="10"/>
      <c r="AG3778" s="10"/>
      <c r="AH3778" s="10"/>
      <c r="AI3778" s="10"/>
      <c r="AJ3778" s="10"/>
      <c r="AK3778" s="10"/>
      <c r="AL3778" s="10"/>
      <c r="AM3778" s="10"/>
      <c r="AN3778" s="10"/>
      <c r="AO3778" s="10"/>
      <c r="AP3778" s="10"/>
      <c r="AQ3778" s="10"/>
      <c r="AR3778" s="10"/>
      <c r="AS3778" s="10"/>
      <c r="AT3778" s="10"/>
      <c r="AU3778" s="10"/>
      <c r="AV3778" s="10"/>
      <c r="AW3778" s="10"/>
      <c r="AX3778" s="10"/>
      <c r="AY3778" s="10"/>
      <c r="AZ3778" s="10"/>
      <c r="BA3778" s="10"/>
      <c r="BB3778" s="10"/>
      <c r="BC3778" s="10"/>
      <c r="BD3778" s="10"/>
      <c r="BE3778" s="10"/>
      <c r="BF3778" s="10"/>
      <c r="BG3778" s="10"/>
      <c r="BH3778" s="10"/>
      <c r="BI3778" s="10"/>
      <c r="BJ3778" s="10"/>
      <c r="BK3778" s="10"/>
      <c r="BM3778" s="10"/>
    </row>
    <row r="3779" spans="1:65" ht="12.75">
      <c r="A3779" s="9"/>
      <c r="B3779" s="10"/>
      <c r="C3779" s="11"/>
      <c r="D3779" s="12"/>
      <c r="E3779" s="10"/>
      <c r="F3779" s="10"/>
      <c r="G3779" s="10"/>
      <c r="H3779" s="14"/>
      <c r="I3779" s="14"/>
      <c r="J3779" s="14"/>
      <c r="K3779" s="14"/>
      <c r="L3779" s="14"/>
      <c r="M3779" s="15"/>
      <c r="N3779" s="10"/>
      <c r="O3779" s="14"/>
      <c r="P3779" s="14"/>
      <c r="Q3779" s="14"/>
      <c r="R3779" s="14"/>
      <c r="S3779" s="14"/>
      <c r="T3779" s="14"/>
      <c r="U3779" s="14"/>
      <c r="V3779" s="14"/>
      <c r="W3779" s="14"/>
      <c r="X3779" s="14"/>
      <c r="Y3779" s="14"/>
      <c r="Z3779" s="14"/>
      <c r="AA3779" s="16"/>
      <c r="AB3779" s="10"/>
      <c r="AC3779" s="10"/>
      <c r="AD3779" s="10"/>
      <c r="AE3779" s="10"/>
      <c r="AF3779" s="10"/>
      <c r="AG3779" s="10"/>
      <c r="AH3779" s="10"/>
      <c r="AI3779" s="10"/>
      <c r="AJ3779" s="10"/>
      <c r="AK3779" s="10"/>
      <c r="AL3779" s="10"/>
      <c r="AM3779" s="10"/>
      <c r="AN3779" s="10"/>
      <c r="AO3779" s="10"/>
      <c r="AP3779" s="10"/>
      <c r="AQ3779" s="10"/>
      <c r="AR3779" s="10"/>
      <c r="AS3779" s="10"/>
      <c r="AT3779" s="10"/>
      <c r="AU3779" s="10"/>
      <c r="AV3779" s="10"/>
      <c r="AW3779" s="10"/>
      <c r="AX3779" s="10"/>
      <c r="AY3779" s="10"/>
      <c r="AZ3779" s="10"/>
      <c r="BA3779" s="10"/>
      <c r="BB3779" s="10"/>
      <c r="BC3779" s="10"/>
      <c r="BD3779" s="10"/>
      <c r="BE3779" s="10"/>
      <c r="BF3779" s="10"/>
      <c r="BG3779" s="10"/>
      <c r="BH3779" s="10"/>
      <c r="BI3779" s="10"/>
      <c r="BJ3779" s="10"/>
      <c r="BK3779" s="10"/>
      <c r="BM3779" s="10"/>
    </row>
    <row r="3780" spans="1:65" ht="12.75">
      <c r="A3780" s="9"/>
      <c r="B3780" s="10"/>
      <c r="C3780" s="11"/>
      <c r="D3780" s="12"/>
      <c r="E3780" s="10"/>
      <c r="F3780" s="10"/>
      <c r="G3780" s="10"/>
      <c r="H3780" s="14"/>
      <c r="I3780" s="14"/>
      <c r="J3780" s="14"/>
      <c r="K3780" s="14"/>
      <c r="L3780" s="14"/>
      <c r="M3780" s="15"/>
      <c r="N3780" s="10"/>
      <c r="O3780" s="14"/>
      <c r="P3780" s="14"/>
      <c r="Q3780" s="14"/>
      <c r="R3780" s="14"/>
      <c r="S3780" s="14"/>
      <c r="T3780" s="14"/>
      <c r="U3780" s="14"/>
      <c r="V3780" s="14"/>
      <c r="W3780" s="14"/>
      <c r="X3780" s="14"/>
      <c r="Y3780" s="14"/>
      <c r="Z3780" s="14"/>
      <c r="AA3780" s="16"/>
      <c r="AB3780" s="10"/>
      <c r="AC3780" s="10"/>
      <c r="AD3780" s="10"/>
      <c r="AE3780" s="10"/>
      <c r="AF3780" s="10"/>
      <c r="AG3780" s="10"/>
      <c r="AH3780" s="10"/>
      <c r="AI3780" s="10"/>
      <c r="AJ3780" s="10"/>
      <c r="AK3780" s="10"/>
      <c r="AL3780" s="10"/>
      <c r="AM3780" s="10"/>
      <c r="AN3780" s="10"/>
      <c r="AO3780" s="10"/>
      <c r="AP3780" s="10"/>
      <c r="AQ3780" s="10"/>
      <c r="AR3780" s="10"/>
      <c r="AS3780" s="10"/>
      <c r="AT3780" s="10"/>
      <c r="AU3780" s="10"/>
      <c r="AV3780" s="10"/>
      <c r="AW3780" s="10"/>
      <c r="AX3780" s="10"/>
      <c r="AY3780" s="10"/>
      <c r="AZ3780" s="10"/>
      <c r="BA3780" s="10"/>
      <c r="BB3780" s="10"/>
      <c r="BC3780" s="10"/>
      <c r="BD3780" s="10"/>
      <c r="BE3780" s="10"/>
      <c r="BF3780" s="10"/>
      <c r="BG3780" s="10"/>
      <c r="BH3780" s="10"/>
      <c r="BI3780" s="10"/>
      <c r="BJ3780" s="10"/>
      <c r="BK3780" s="10"/>
      <c r="BM3780" s="10"/>
    </row>
    <row r="3781" spans="1:65" ht="12.75">
      <c r="A3781" s="9"/>
      <c r="B3781" s="10"/>
      <c r="C3781" s="11"/>
      <c r="D3781" s="12"/>
      <c r="E3781" s="10"/>
      <c r="F3781" s="10"/>
      <c r="G3781" s="10"/>
      <c r="H3781" s="14"/>
      <c r="I3781" s="14"/>
      <c r="J3781" s="14"/>
      <c r="K3781" s="14"/>
      <c r="L3781" s="14"/>
      <c r="M3781" s="15"/>
      <c r="N3781" s="10"/>
      <c r="O3781" s="14"/>
      <c r="P3781" s="14"/>
      <c r="Q3781" s="14"/>
      <c r="R3781" s="14"/>
      <c r="S3781" s="14"/>
      <c r="T3781" s="14"/>
      <c r="U3781" s="14"/>
      <c r="V3781" s="14"/>
      <c r="W3781" s="14"/>
      <c r="X3781" s="14"/>
      <c r="Y3781" s="14"/>
      <c r="Z3781" s="14"/>
      <c r="AA3781" s="16"/>
      <c r="AB3781" s="10"/>
      <c r="AC3781" s="10"/>
      <c r="AD3781" s="10"/>
      <c r="AE3781" s="10"/>
      <c r="AF3781" s="10"/>
      <c r="AG3781" s="10"/>
      <c r="AH3781" s="10"/>
      <c r="AI3781" s="10"/>
      <c r="AJ3781" s="10"/>
      <c r="AK3781" s="10"/>
      <c r="AL3781" s="10"/>
      <c r="AM3781" s="10"/>
      <c r="AN3781" s="10"/>
      <c r="AO3781" s="10"/>
      <c r="AP3781" s="10"/>
      <c r="AQ3781" s="10"/>
      <c r="AR3781" s="10"/>
      <c r="AS3781" s="10"/>
      <c r="AT3781" s="10"/>
      <c r="AU3781" s="10"/>
      <c r="AV3781" s="10"/>
      <c r="AW3781" s="10"/>
      <c r="AX3781" s="10"/>
      <c r="AY3781" s="10"/>
      <c r="AZ3781" s="10"/>
      <c r="BA3781" s="10"/>
      <c r="BB3781" s="10"/>
      <c r="BC3781" s="10"/>
      <c r="BD3781" s="10"/>
      <c r="BE3781" s="10"/>
      <c r="BF3781" s="10"/>
      <c r="BG3781" s="10"/>
      <c r="BH3781" s="10"/>
      <c r="BI3781" s="10"/>
      <c r="BJ3781" s="10"/>
      <c r="BK3781" s="10"/>
      <c r="BM3781" s="10"/>
    </row>
    <row r="3782" spans="1:65" ht="12.75">
      <c r="A3782" s="9"/>
      <c r="B3782" s="10"/>
      <c r="C3782" s="11"/>
      <c r="D3782" s="12"/>
      <c r="E3782" s="10"/>
      <c r="F3782" s="10"/>
      <c r="G3782" s="10"/>
      <c r="H3782" s="14"/>
      <c r="I3782" s="14"/>
      <c r="J3782" s="14"/>
      <c r="K3782" s="14"/>
      <c r="L3782" s="14"/>
      <c r="M3782" s="15"/>
      <c r="N3782" s="10"/>
      <c r="O3782" s="14"/>
      <c r="P3782" s="14"/>
      <c r="Q3782" s="14"/>
      <c r="R3782" s="14"/>
      <c r="S3782" s="14"/>
      <c r="T3782" s="14"/>
      <c r="U3782" s="14"/>
      <c r="V3782" s="14"/>
      <c r="W3782" s="14"/>
      <c r="X3782" s="14"/>
      <c r="Y3782" s="14"/>
      <c r="Z3782" s="14"/>
      <c r="AA3782" s="16"/>
      <c r="AB3782" s="10"/>
      <c r="AC3782" s="10"/>
      <c r="AD3782" s="10"/>
      <c r="AE3782" s="10"/>
      <c r="AF3782" s="10"/>
      <c r="AG3782" s="10"/>
      <c r="AH3782" s="10"/>
      <c r="AI3782" s="10"/>
      <c r="AJ3782" s="10"/>
      <c r="AK3782" s="10"/>
      <c r="AL3782" s="10"/>
      <c r="AM3782" s="10"/>
      <c r="AN3782" s="10"/>
      <c r="AO3782" s="10"/>
      <c r="AP3782" s="10"/>
      <c r="AQ3782" s="10"/>
      <c r="AR3782" s="10"/>
      <c r="AS3782" s="10"/>
      <c r="AT3782" s="10"/>
      <c r="AU3782" s="10"/>
      <c r="AV3782" s="10"/>
      <c r="AW3782" s="10"/>
      <c r="AX3782" s="10"/>
      <c r="AY3782" s="10"/>
      <c r="AZ3782" s="10"/>
      <c r="BA3782" s="10"/>
      <c r="BB3782" s="10"/>
      <c r="BC3782" s="10"/>
      <c r="BD3782" s="10"/>
      <c r="BE3782" s="10"/>
      <c r="BF3782" s="10"/>
      <c r="BG3782" s="10"/>
      <c r="BH3782" s="10"/>
      <c r="BI3782" s="10"/>
      <c r="BJ3782" s="10"/>
      <c r="BK3782" s="10"/>
      <c r="BM3782" s="10"/>
    </row>
    <row r="3783" spans="1:65" ht="12.75">
      <c r="A3783" s="9"/>
      <c r="B3783" s="10"/>
      <c r="C3783" s="11"/>
      <c r="D3783" s="12"/>
      <c r="E3783" s="10"/>
      <c r="F3783" s="10"/>
      <c r="G3783" s="10"/>
      <c r="H3783" s="14"/>
      <c r="I3783" s="14"/>
      <c r="J3783" s="14"/>
      <c r="K3783" s="14"/>
      <c r="L3783" s="14"/>
      <c r="M3783" s="15"/>
      <c r="N3783" s="10"/>
      <c r="O3783" s="14"/>
      <c r="P3783" s="14"/>
      <c r="Q3783" s="14"/>
      <c r="R3783" s="14"/>
      <c r="S3783" s="14"/>
      <c r="T3783" s="14"/>
      <c r="U3783" s="14"/>
      <c r="V3783" s="14"/>
      <c r="W3783" s="14"/>
      <c r="X3783" s="14"/>
      <c r="Y3783" s="14"/>
      <c r="Z3783" s="14"/>
      <c r="AA3783" s="16"/>
      <c r="AB3783" s="10"/>
      <c r="AC3783" s="10"/>
      <c r="AD3783" s="10"/>
      <c r="AE3783" s="10"/>
      <c r="AF3783" s="10"/>
      <c r="AG3783" s="10"/>
      <c r="AH3783" s="10"/>
      <c r="AI3783" s="10"/>
      <c r="AJ3783" s="10"/>
      <c r="AK3783" s="10"/>
      <c r="AL3783" s="10"/>
      <c r="AM3783" s="10"/>
      <c r="AN3783" s="10"/>
      <c r="AO3783" s="10"/>
      <c r="AP3783" s="10"/>
      <c r="AQ3783" s="10"/>
      <c r="AR3783" s="10"/>
      <c r="AS3783" s="10"/>
      <c r="AT3783" s="10"/>
      <c r="AU3783" s="10"/>
      <c r="AV3783" s="10"/>
      <c r="AW3783" s="10"/>
      <c r="AX3783" s="10"/>
      <c r="AY3783" s="10"/>
      <c r="AZ3783" s="10"/>
      <c r="BA3783" s="10"/>
      <c r="BB3783" s="10"/>
      <c r="BC3783" s="10"/>
      <c r="BD3783" s="10"/>
      <c r="BE3783" s="10"/>
      <c r="BF3783" s="10"/>
      <c r="BG3783" s="10"/>
      <c r="BH3783" s="10"/>
      <c r="BI3783" s="10"/>
      <c r="BJ3783" s="10"/>
      <c r="BK3783" s="10"/>
      <c r="BM3783" s="10"/>
    </row>
    <row r="3784" spans="1:65" ht="12.75">
      <c r="A3784" s="9"/>
      <c r="B3784" s="10"/>
      <c r="C3784" s="11"/>
      <c r="D3784" s="12"/>
      <c r="E3784" s="10"/>
      <c r="F3784" s="10"/>
      <c r="G3784" s="10"/>
      <c r="H3784" s="14"/>
      <c r="I3784" s="14"/>
      <c r="J3784" s="14"/>
      <c r="K3784" s="14"/>
      <c r="L3784" s="14"/>
      <c r="M3784" s="15"/>
      <c r="N3784" s="10"/>
      <c r="O3784" s="14"/>
      <c r="P3784" s="14"/>
      <c r="Q3784" s="14"/>
      <c r="R3784" s="14"/>
      <c r="S3784" s="14"/>
      <c r="T3784" s="14"/>
      <c r="U3784" s="14"/>
      <c r="V3784" s="14"/>
      <c r="W3784" s="14"/>
      <c r="X3784" s="14"/>
      <c r="Y3784" s="14"/>
      <c r="Z3784" s="14"/>
      <c r="AA3784" s="16"/>
      <c r="AB3784" s="10"/>
      <c r="AC3784" s="10"/>
      <c r="AD3784" s="10"/>
      <c r="AE3784" s="10"/>
      <c r="AF3784" s="10"/>
      <c r="AG3784" s="10"/>
      <c r="AH3784" s="10"/>
      <c r="AI3784" s="10"/>
      <c r="AJ3784" s="10"/>
      <c r="AK3784" s="10"/>
      <c r="AL3784" s="10"/>
      <c r="AM3784" s="10"/>
      <c r="AN3784" s="10"/>
      <c r="AO3784" s="10"/>
      <c r="AP3784" s="10"/>
      <c r="AQ3784" s="10"/>
      <c r="AR3784" s="10"/>
      <c r="AS3784" s="10"/>
      <c r="AT3784" s="10"/>
      <c r="AU3784" s="10"/>
      <c r="AV3784" s="10"/>
      <c r="AW3784" s="10"/>
      <c r="AX3784" s="10"/>
      <c r="AY3784" s="10"/>
      <c r="AZ3784" s="10"/>
      <c r="BA3784" s="10"/>
      <c r="BB3784" s="10"/>
      <c r="BC3784" s="10"/>
      <c r="BD3784" s="10"/>
      <c r="BE3784" s="10"/>
      <c r="BF3784" s="10"/>
      <c r="BG3784" s="10"/>
      <c r="BH3784" s="10"/>
      <c r="BI3784" s="10"/>
      <c r="BJ3784" s="10"/>
      <c r="BK3784" s="10"/>
      <c r="BM3784" s="10"/>
    </row>
    <row r="3785" spans="1:65" ht="12.75">
      <c r="A3785" s="9"/>
      <c r="B3785" s="10"/>
      <c r="C3785" s="11"/>
      <c r="D3785" s="12"/>
      <c r="E3785" s="10"/>
      <c r="F3785" s="10"/>
      <c r="G3785" s="10"/>
      <c r="H3785" s="14"/>
      <c r="I3785" s="14"/>
      <c r="J3785" s="14"/>
      <c r="K3785" s="14"/>
      <c r="L3785" s="14"/>
      <c r="M3785" s="15"/>
      <c r="N3785" s="10"/>
      <c r="O3785" s="14"/>
      <c r="P3785" s="14"/>
      <c r="Q3785" s="14"/>
      <c r="R3785" s="14"/>
      <c r="S3785" s="14"/>
      <c r="T3785" s="14"/>
      <c r="U3785" s="14"/>
      <c r="V3785" s="14"/>
      <c r="W3785" s="14"/>
      <c r="X3785" s="14"/>
      <c r="Y3785" s="14"/>
      <c r="Z3785" s="14"/>
      <c r="AA3785" s="16"/>
      <c r="AB3785" s="10"/>
      <c r="AC3785" s="10"/>
      <c r="AD3785" s="10"/>
      <c r="AE3785" s="10"/>
      <c r="AF3785" s="10"/>
      <c r="AG3785" s="10"/>
      <c r="AH3785" s="10"/>
      <c r="AI3785" s="10"/>
      <c r="AJ3785" s="10"/>
      <c r="AK3785" s="10"/>
      <c r="AL3785" s="10"/>
      <c r="AM3785" s="10"/>
      <c r="AN3785" s="10"/>
      <c r="AO3785" s="10"/>
      <c r="AP3785" s="10"/>
      <c r="AQ3785" s="10"/>
      <c r="AR3785" s="10"/>
      <c r="AS3785" s="10"/>
      <c r="AT3785" s="10"/>
      <c r="AU3785" s="10"/>
      <c r="AV3785" s="10"/>
      <c r="AW3785" s="10"/>
      <c r="AX3785" s="10"/>
      <c r="AY3785" s="10"/>
      <c r="AZ3785" s="10"/>
      <c r="BA3785" s="10"/>
      <c r="BB3785" s="10"/>
      <c r="BC3785" s="10"/>
      <c r="BD3785" s="10"/>
      <c r="BE3785" s="10"/>
      <c r="BF3785" s="10"/>
      <c r="BG3785" s="10"/>
      <c r="BH3785" s="10"/>
      <c r="BI3785" s="10"/>
      <c r="BJ3785" s="10"/>
      <c r="BK3785" s="10"/>
      <c r="BM3785" s="10"/>
    </row>
    <row r="3786" spans="1:65" ht="12.75">
      <c r="A3786" s="9"/>
      <c r="B3786" s="10"/>
      <c r="C3786" s="11"/>
      <c r="D3786" s="12"/>
      <c r="E3786" s="10"/>
      <c r="F3786" s="10"/>
      <c r="G3786" s="10"/>
      <c r="H3786" s="14"/>
      <c r="I3786" s="14"/>
      <c r="J3786" s="14"/>
      <c r="K3786" s="14"/>
      <c r="L3786" s="14"/>
      <c r="M3786" s="15"/>
      <c r="N3786" s="10"/>
      <c r="O3786" s="14"/>
      <c r="P3786" s="14"/>
      <c r="Q3786" s="14"/>
      <c r="R3786" s="14"/>
      <c r="S3786" s="14"/>
      <c r="T3786" s="14"/>
      <c r="U3786" s="14"/>
      <c r="V3786" s="14"/>
      <c r="W3786" s="14"/>
      <c r="X3786" s="14"/>
      <c r="Y3786" s="14"/>
      <c r="Z3786" s="14"/>
      <c r="AA3786" s="16"/>
      <c r="AB3786" s="10"/>
      <c r="AC3786" s="10"/>
      <c r="AD3786" s="10"/>
      <c r="AE3786" s="10"/>
      <c r="AF3786" s="10"/>
      <c r="AG3786" s="10"/>
      <c r="AH3786" s="10"/>
      <c r="AI3786" s="10"/>
      <c r="AJ3786" s="10"/>
      <c r="AK3786" s="10"/>
      <c r="AL3786" s="10"/>
      <c r="AM3786" s="10"/>
      <c r="AN3786" s="10"/>
      <c r="AO3786" s="10"/>
      <c r="AP3786" s="10"/>
      <c r="AQ3786" s="10"/>
      <c r="AR3786" s="10"/>
      <c r="AS3786" s="10"/>
      <c r="AT3786" s="10"/>
      <c r="AU3786" s="10"/>
      <c r="AV3786" s="10"/>
      <c r="AW3786" s="10"/>
      <c r="AX3786" s="10"/>
      <c r="AY3786" s="10"/>
      <c r="AZ3786" s="10"/>
      <c r="BA3786" s="10"/>
      <c r="BB3786" s="10"/>
      <c r="BC3786" s="10"/>
      <c r="BD3786" s="10"/>
      <c r="BE3786" s="10"/>
      <c r="BF3786" s="10"/>
      <c r="BG3786" s="10"/>
      <c r="BH3786" s="10"/>
      <c r="BI3786" s="10"/>
      <c r="BJ3786" s="10"/>
      <c r="BK3786" s="10"/>
      <c r="BM3786" s="10"/>
    </row>
    <row r="3787" spans="1:65" ht="12.75">
      <c r="A3787" s="9"/>
      <c r="B3787" s="10"/>
      <c r="C3787" s="11"/>
      <c r="D3787" s="12"/>
      <c r="E3787" s="10"/>
      <c r="F3787" s="10"/>
      <c r="G3787" s="10"/>
      <c r="H3787" s="14"/>
      <c r="I3787" s="14"/>
      <c r="J3787" s="14"/>
      <c r="K3787" s="14"/>
      <c r="L3787" s="14"/>
      <c r="M3787" s="15"/>
      <c r="N3787" s="10"/>
      <c r="O3787" s="14"/>
      <c r="P3787" s="14"/>
      <c r="Q3787" s="14"/>
      <c r="R3787" s="14"/>
      <c r="S3787" s="14"/>
      <c r="T3787" s="14"/>
      <c r="U3787" s="14"/>
      <c r="V3787" s="14"/>
      <c r="W3787" s="14"/>
      <c r="X3787" s="14"/>
      <c r="Y3787" s="14"/>
      <c r="Z3787" s="14"/>
      <c r="AA3787" s="16"/>
      <c r="AB3787" s="10"/>
      <c r="AC3787" s="10"/>
      <c r="AD3787" s="10"/>
      <c r="AE3787" s="10"/>
      <c r="AF3787" s="10"/>
      <c r="AG3787" s="10"/>
      <c r="AH3787" s="10"/>
      <c r="AI3787" s="10"/>
      <c r="AJ3787" s="10"/>
      <c r="AK3787" s="10"/>
      <c r="AL3787" s="10"/>
      <c r="AM3787" s="10"/>
      <c r="AN3787" s="10"/>
      <c r="AO3787" s="10"/>
      <c r="AP3787" s="10"/>
      <c r="AQ3787" s="10"/>
      <c r="AR3787" s="10"/>
      <c r="AS3787" s="10"/>
      <c r="AT3787" s="10"/>
      <c r="AU3787" s="10"/>
      <c r="AV3787" s="10"/>
      <c r="AW3787" s="10"/>
      <c r="AX3787" s="10"/>
      <c r="AY3787" s="10"/>
      <c r="AZ3787" s="10"/>
      <c r="BA3787" s="10"/>
      <c r="BB3787" s="10"/>
      <c r="BC3787" s="10"/>
      <c r="BD3787" s="10"/>
      <c r="BE3787" s="10"/>
      <c r="BF3787" s="10"/>
      <c r="BG3787" s="10"/>
      <c r="BH3787" s="10"/>
      <c r="BI3787" s="10"/>
      <c r="BJ3787" s="10"/>
      <c r="BK3787" s="10"/>
      <c r="BM3787" s="10"/>
    </row>
    <row r="3788" spans="1:65" ht="12.75">
      <c r="A3788" s="9"/>
      <c r="B3788" s="10"/>
      <c r="C3788" s="11"/>
      <c r="D3788" s="12"/>
      <c r="E3788" s="10"/>
      <c r="F3788" s="10"/>
      <c r="G3788" s="10"/>
      <c r="H3788" s="14"/>
      <c r="I3788" s="14"/>
      <c r="J3788" s="14"/>
      <c r="K3788" s="14"/>
      <c r="L3788" s="14"/>
      <c r="M3788" s="15"/>
      <c r="N3788" s="10"/>
      <c r="O3788" s="14"/>
      <c r="P3788" s="14"/>
      <c r="Q3788" s="14"/>
      <c r="R3788" s="14"/>
      <c r="S3788" s="14"/>
      <c r="T3788" s="14"/>
      <c r="U3788" s="14"/>
      <c r="V3788" s="14"/>
      <c r="W3788" s="14"/>
      <c r="X3788" s="14"/>
      <c r="Y3788" s="14"/>
      <c r="Z3788" s="14"/>
      <c r="AA3788" s="16"/>
      <c r="AB3788" s="10"/>
      <c r="AC3788" s="10"/>
      <c r="AD3788" s="10"/>
      <c r="AE3788" s="10"/>
      <c r="AF3788" s="10"/>
      <c r="AG3788" s="10"/>
      <c r="AH3788" s="10"/>
      <c r="AI3788" s="10"/>
      <c r="AJ3788" s="10"/>
      <c r="AK3788" s="10"/>
      <c r="AL3788" s="10"/>
      <c r="AM3788" s="10"/>
      <c r="AN3788" s="10"/>
      <c r="AO3788" s="10"/>
      <c r="AP3788" s="10"/>
      <c r="AQ3788" s="10"/>
      <c r="AR3788" s="10"/>
      <c r="AS3788" s="10"/>
      <c r="AT3788" s="10"/>
      <c r="AU3788" s="10"/>
      <c r="AV3788" s="10"/>
      <c r="AW3788" s="10"/>
      <c r="AX3788" s="10"/>
      <c r="AY3788" s="10"/>
      <c r="AZ3788" s="10"/>
      <c r="BA3788" s="10"/>
      <c r="BB3788" s="10"/>
      <c r="BC3788" s="10"/>
      <c r="BD3788" s="10"/>
      <c r="BE3788" s="10"/>
      <c r="BF3788" s="10"/>
      <c r="BG3788" s="10"/>
      <c r="BH3788" s="10"/>
      <c r="BI3788" s="10"/>
      <c r="BJ3788" s="10"/>
      <c r="BK3788" s="10"/>
      <c r="BM3788" s="10"/>
    </row>
    <row r="3789" spans="1:65" ht="12.75">
      <c r="A3789" s="9"/>
      <c r="B3789" s="10"/>
      <c r="C3789" s="11"/>
      <c r="D3789" s="12"/>
      <c r="E3789" s="10"/>
      <c r="F3789" s="10"/>
      <c r="G3789" s="10"/>
      <c r="H3789" s="14"/>
      <c r="I3789" s="14"/>
      <c r="J3789" s="14"/>
      <c r="K3789" s="14"/>
      <c r="L3789" s="14"/>
      <c r="M3789" s="15"/>
      <c r="N3789" s="10"/>
      <c r="O3789" s="14"/>
      <c r="P3789" s="14"/>
      <c r="Q3789" s="14"/>
      <c r="R3789" s="14"/>
      <c r="S3789" s="14"/>
      <c r="T3789" s="14"/>
      <c r="U3789" s="14"/>
      <c r="V3789" s="14"/>
      <c r="W3789" s="14"/>
      <c r="X3789" s="14"/>
      <c r="Y3789" s="14"/>
      <c r="Z3789" s="14"/>
      <c r="AA3789" s="16"/>
      <c r="AB3789" s="10"/>
      <c r="AC3789" s="10"/>
      <c r="AD3789" s="10"/>
      <c r="AE3789" s="10"/>
      <c r="AF3789" s="10"/>
      <c r="AG3789" s="10"/>
      <c r="AH3789" s="10"/>
      <c r="AI3789" s="10"/>
      <c r="AJ3789" s="10"/>
      <c r="AK3789" s="10"/>
      <c r="AL3789" s="10"/>
      <c r="AM3789" s="10"/>
      <c r="AN3789" s="10"/>
      <c r="AO3789" s="10"/>
      <c r="AP3789" s="10"/>
      <c r="AQ3789" s="10"/>
      <c r="AR3789" s="10"/>
      <c r="AS3789" s="10"/>
      <c r="AT3789" s="10"/>
      <c r="AU3789" s="10"/>
      <c r="AV3789" s="10"/>
      <c r="AW3789" s="10"/>
      <c r="AX3789" s="10"/>
      <c r="AY3789" s="10"/>
      <c r="AZ3789" s="10"/>
      <c r="BA3789" s="10"/>
      <c r="BB3789" s="10"/>
      <c r="BC3789" s="10"/>
      <c r="BD3789" s="10"/>
      <c r="BE3789" s="10"/>
      <c r="BF3789" s="10"/>
      <c r="BG3789" s="10"/>
      <c r="BH3789" s="10"/>
      <c r="BI3789" s="10"/>
      <c r="BJ3789" s="10"/>
      <c r="BK3789" s="10"/>
      <c r="BM3789" s="10"/>
    </row>
    <row r="3790" spans="1:65" ht="12.75">
      <c r="A3790" s="9"/>
      <c r="B3790" s="10"/>
      <c r="C3790" s="11"/>
      <c r="D3790" s="12"/>
      <c r="E3790" s="10"/>
      <c r="F3790" s="10"/>
      <c r="G3790" s="10"/>
      <c r="H3790" s="14"/>
      <c r="I3790" s="14"/>
      <c r="J3790" s="14"/>
      <c r="K3790" s="14"/>
      <c r="L3790" s="14"/>
      <c r="M3790" s="15"/>
      <c r="N3790" s="10"/>
      <c r="O3790" s="14"/>
      <c r="P3790" s="14"/>
      <c r="Q3790" s="14"/>
      <c r="R3790" s="14"/>
      <c r="S3790" s="14"/>
      <c r="T3790" s="14"/>
      <c r="U3790" s="14"/>
      <c r="V3790" s="14"/>
      <c r="W3790" s="14"/>
      <c r="X3790" s="14"/>
      <c r="Y3790" s="14"/>
      <c r="Z3790" s="14"/>
      <c r="AA3790" s="16"/>
      <c r="AB3790" s="10"/>
      <c r="AC3790" s="10"/>
      <c r="AD3790" s="10"/>
      <c r="AE3790" s="10"/>
      <c r="AF3790" s="10"/>
      <c r="AG3790" s="10"/>
      <c r="AH3790" s="10"/>
      <c r="AI3790" s="10"/>
      <c r="AJ3790" s="10"/>
      <c r="AK3790" s="10"/>
      <c r="AL3790" s="10"/>
      <c r="AM3790" s="10"/>
      <c r="AN3790" s="10"/>
      <c r="AO3790" s="10"/>
      <c r="AP3790" s="10"/>
      <c r="AQ3790" s="10"/>
      <c r="AR3790" s="10"/>
      <c r="AS3790" s="10"/>
      <c r="AT3790" s="10"/>
      <c r="AU3790" s="10"/>
      <c r="AV3790" s="10"/>
      <c r="AW3790" s="10"/>
      <c r="AX3790" s="10"/>
      <c r="AY3790" s="10"/>
      <c r="AZ3790" s="10"/>
      <c r="BA3790" s="10"/>
      <c r="BB3790" s="10"/>
      <c r="BC3790" s="10"/>
      <c r="BD3790" s="10"/>
      <c r="BE3790" s="10"/>
      <c r="BF3790" s="10"/>
      <c r="BG3790" s="10"/>
      <c r="BH3790" s="10"/>
      <c r="BI3790" s="10"/>
      <c r="BJ3790" s="10"/>
      <c r="BK3790" s="10"/>
      <c r="BM3790" s="10"/>
    </row>
    <row r="3791" spans="1:65" ht="12.75">
      <c r="A3791" s="9"/>
      <c r="B3791" s="10"/>
      <c r="C3791" s="11"/>
      <c r="D3791" s="12"/>
      <c r="E3791" s="10"/>
      <c r="F3791" s="10"/>
      <c r="G3791" s="10"/>
      <c r="H3791" s="14"/>
      <c r="I3791" s="14"/>
      <c r="J3791" s="14"/>
      <c r="K3791" s="14"/>
      <c r="L3791" s="14"/>
      <c r="M3791" s="15"/>
      <c r="N3791" s="10"/>
      <c r="O3791" s="14"/>
      <c r="P3791" s="14"/>
      <c r="Q3791" s="14"/>
      <c r="R3791" s="14"/>
      <c r="S3791" s="14"/>
      <c r="T3791" s="14"/>
      <c r="U3791" s="14"/>
      <c r="V3791" s="14"/>
      <c r="W3791" s="14"/>
      <c r="X3791" s="14"/>
      <c r="Y3791" s="14"/>
      <c r="Z3791" s="14"/>
      <c r="AA3791" s="16"/>
      <c r="AB3791" s="10"/>
      <c r="AC3791" s="10"/>
      <c r="AD3791" s="10"/>
      <c r="AE3791" s="10"/>
      <c r="AF3791" s="10"/>
      <c r="AG3791" s="10"/>
      <c r="AH3791" s="10"/>
      <c r="AI3791" s="10"/>
      <c r="AJ3791" s="10"/>
      <c r="AK3791" s="10"/>
      <c r="AL3791" s="10"/>
      <c r="AM3791" s="10"/>
      <c r="AN3791" s="10"/>
      <c r="AO3791" s="10"/>
      <c r="AP3791" s="10"/>
      <c r="AQ3791" s="10"/>
      <c r="AR3791" s="10"/>
      <c r="AS3791" s="10"/>
      <c r="AT3791" s="10"/>
      <c r="AU3791" s="10"/>
      <c r="AV3791" s="10"/>
      <c r="AW3791" s="10"/>
      <c r="AX3791" s="10"/>
      <c r="AY3791" s="10"/>
      <c r="AZ3791" s="10"/>
      <c r="BA3791" s="10"/>
      <c r="BB3791" s="10"/>
      <c r="BC3791" s="10"/>
      <c r="BD3791" s="10"/>
      <c r="BE3791" s="10"/>
      <c r="BF3791" s="10"/>
      <c r="BG3791" s="10"/>
      <c r="BH3791" s="10"/>
      <c r="BI3791" s="10"/>
      <c r="BJ3791" s="10"/>
      <c r="BK3791" s="10"/>
      <c r="BM3791" s="10"/>
    </row>
    <row r="3792" spans="1:65" ht="12.75">
      <c r="A3792" s="9"/>
      <c r="B3792" s="10"/>
      <c r="C3792" s="11"/>
      <c r="D3792" s="12"/>
      <c r="E3792" s="10"/>
      <c r="F3792" s="10"/>
      <c r="G3792" s="10"/>
      <c r="H3792" s="14"/>
      <c r="I3792" s="14"/>
      <c r="J3792" s="14"/>
      <c r="K3792" s="14"/>
      <c r="L3792" s="14"/>
      <c r="M3792" s="15"/>
      <c r="N3792" s="10"/>
      <c r="O3792" s="14"/>
      <c r="P3792" s="14"/>
      <c r="Q3792" s="14"/>
      <c r="R3792" s="14"/>
      <c r="S3792" s="14"/>
      <c r="T3792" s="14"/>
      <c r="U3792" s="14"/>
      <c r="V3792" s="14"/>
      <c r="W3792" s="14"/>
      <c r="X3792" s="14"/>
      <c r="Y3792" s="14"/>
      <c r="Z3792" s="14"/>
      <c r="AA3792" s="16"/>
      <c r="AB3792" s="10"/>
      <c r="AC3792" s="10"/>
      <c r="AD3792" s="10"/>
      <c r="AE3792" s="10"/>
      <c r="AF3792" s="10"/>
      <c r="AG3792" s="10"/>
      <c r="AH3792" s="10"/>
      <c r="AI3792" s="10"/>
      <c r="AJ3792" s="10"/>
      <c r="AK3792" s="10"/>
      <c r="AL3792" s="10"/>
      <c r="AM3792" s="10"/>
      <c r="AN3792" s="10"/>
      <c r="AO3792" s="10"/>
      <c r="AP3792" s="10"/>
      <c r="AQ3792" s="10"/>
      <c r="AR3792" s="10"/>
      <c r="AS3792" s="10"/>
      <c r="AT3792" s="10"/>
      <c r="AU3792" s="10"/>
      <c r="AV3792" s="10"/>
      <c r="AW3792" s="10"/>
      <c r="AX3792" s="10"/>
      <c r="AY3792" s="10"/>
      <c r="AZ3792" s="10"/>
      <c r="BA3792" s="10"/>
      <c r="BB3792" s="10"/>
      <c r="BC3792" s="10"/>
      <c r="BD3792" s="10"/>
      <c r="BE3792" s="10"/>
      <c r="BF3792" s="10"/>
      <c r="BG3792" s="10"/>
      <c r="BH3792" s="10"/>
      <c r="BI3792" s="10"/>
      <c r="BJ3792" s="10"/>
      <c r="BK3792" s="10"/>
      <c r="BM3792" s="10"/>
    </row>
    <row r="3793" spans="1:65" ht="12.75">
      <c r="A3793" s="9"/>
      <c r="B3793" s="10"/>
      <c r="C3793" s="11"/>
      <c r="D3793" s="12"/>
      <c r="E3793" s="10"/>
      <c r="F3793" s="10"/>
      <c r="G3793" s="10"/>
      <c r="H3793" s="14"/>
      <c r="I3793" s="14"/>
      <c r="J3793" s="14"/>
      <c r="K3793" s="14"/>
      <c r="L3793" s="14"/>
      <c r="M3793" s="15"/>
      <c r="N3793" s="10"/>
      <c r="O3793" s="14"/>
      <c r="P3793" s="14"/>
      <c r="Q3793" s="14"/>
      <c r="R3793" s="14"/>
      <c r="S3793" s="14"/>
      <c r="T3793" s="14"/>
      <c r="U3793" s="14"/>
      <c r="V3793" s="14"/>
      <c r="W3793" s="14"/>
      <c r="X3793" s="14"/>
      <c r="Y3793" s="14"/>
      <c r="Z3793" s="14"/>
      <c r="AA3793" s="16"/>
      <c r="AB3793" s="10"/>
      <c r="AC3793" s="10"/>
      <c r="AD3793" s="10"/>
      <c r="AE3793" s="10"/>
      <c r="AF3793" s="10"/>
      <c r="AG3793" s="10"/>
      <c r="AH3793" s="10"/>
      <c r="AI3793" s="10"/>
      <c r="AJ3793" s="10"/>
      <c r="AK3793" s="10"/>
      <c r="AL3793" s="10"/>
      <c r="AM3793" s="10"/>
      <c r="AN3793" s="10"/>
      <c r="AO3793" s="10"/>
      <c r="AP3793" s="10"/>
      <c r="AQ3793" s="10"/>
      <c r="AR3793" s="10"/>
      <c r="AS3793" s="10"/>
      <c r="AT3793" s="10"/>
      <c r="AU3793" s="10"/>
      <c r="AV3793" s="10"/>
      <c r="AW3793" s="10"/>
      <c r="AX3793" s="10"/>
      <c r="AY3793" s="10"/>
      <c r="AZ3793" s="10"/>
      <c r="BA3793" s="10"/>
      <c r="BB3793" s="10"/>
      <c r="BC3793" s="10"/>
      <c r="BD3793" s="10"/>
      <c r="BE3793" s="10"/>
      <c r="BF3793" s="10"/>
      <c r="BG3793" s="10"/>
      <c r="BH3793" s="10"/>
      <c r="BI3793" s="10"/>
      <c r="BJ3793" s="10"/>
      <c r="BK3793" s="10"/>
      <c r="BM3793" s="10"/>
    </row>
    <row r="3794" spans="1:65" ht="12.75">
      <c r="A3794" s="9"/>
      <c r="B3794" s="10"/>
      <c r="C3794" s="11"/>
      <c r="D3794" s="12"/>
      <c r="E3794" s="10"/>
      <c r="F3794" s="10"/>
      <c r="G3794" s="10"/>
      <c r="H3794" s="14"/>
      <c r="I3794" s="14"/>
      <c r="J3794" s="14"/>
      <c r="K3794" s="14"/>
      <c r="L3794" s="14"/>
      <c r="M3794" s="15"/>
      <c r="N3794" s="10"/>
      <c r="O3794" s="14"/>
      <c r="P3794" s="14"/>
      <c r="Q3794" s="14"/>
      <c r="R3794" s="14"/>
      <c r="S3794" s="14"/>
      <c r="T3794" s="14"/>
      <c r="U3794" s="14"/>
      <c r="V3794" s="14"/>
      <c r="W3794" s="14"/>
      <c r="X3794" s="14"/>
      <c r="Y3794" s="14"/>
      <c r="Z3794" s="14"/>
      <c r="AA3794" s="16"/>
      <c r="AB3794" s="10"/>
      <c r="AC3794" s="10"/>
      <c r="AD3794" s="10"/>
      <c r="AE3794" s="10"/>
      <c r="AF3794" s="10"/>
      <c r="AG3794" s="10"/>
      <c r="AH3794" s="10"/>
      <c r="AI3794" s="10"/>
      <c r="AJ3794" s="10"/>
      <c r="AK3794" s="10"/>
      <c r="AL3794" s="10"/>
      <c r="AM3794" s="10"/>
      <c r="AN3794" s="10"/>
      <c r="AO3794" s="10"/>
      <c r="AP3794" s="10"/>
      <c r="AQ3794" s="10"/>
      <c r="AR3794" s="10"/>
      <c r="AS3794" s="10"/>
      <c r="AT3794" s="10"/>
      <c r="AU3794" s="10"/>
      <c r="AV3794" s="10"/>
      <c r="AW3794" s="10"/>
      <c r="AX3794" s="10"/>
      <c r="AY3794" s="10"/>
      <c r="AZ3794" s="10"/>
      <c r="BA3794" s="10"/>
      <c r="BB3794" s="10"/>
      <c r="BC3794" s="10"/>
      <c r="BD3794" s="10"/>
      <c r="BE3794" s="10"/>
      <c r="BF3794" s="10"/>
      <c r="BG3794" s="10"/>
      <c r="BH3794" s="10"/>
      <c r="BI3794" s="10"/>
      <c r="BJ3794" s="10"/>
      <c r="BK3794" s="10"/>
      <c r="BM3794" s="10"/>
    </row>
    <row r="3795" spans="1:65" ht="12.75">
      <c r="A3795" s="9"/>
      <c r="B3795" s="10"/>
      <c r="C3795" s="11"/>
      <c r="D3795" s="12"/>
      <c r="E3795" s="10"/>
      <c r="F3795" s="10"/>
      <c r="G3795" s="10"/>
      <c r="H3795" s="14"/>
      <c r="I3795" s="14"/>
      <c r="J3795" s="14"/>
      <c r="K3795" s="14"/>
      <c r="L3795" s="14"/>
      <c r="M3795" s="15"/>
      <c r="N3795" s="10"/>
      <c r="O3795" s="14"/>
      <c r="P3795" s="14"/>
      <c r="Q3795" s="14"/>
      <c r="R3795" s="14"/>
      <c r="S3795" s="14"/>
      <c r="T3795" s="14"/>
      <c r="U3795" s="14"/>
      <c r="V3795" s="14"/>
      <c r="W3795" s="14"/>
      <c r="X3795" s="14"/>
      <c r="Y3795" s="14"/>
      <c r="Z3795" s="14"/>
      <c r="AA3795" s="16"/>
      <c r="AB3795" s="10"/>
      <c r="AC3795" s="10"/>
      <c r="AD3795" s="10"/>
      <c r="AE3795" s="10"/>
      <c r="AF3795" s="10"/>
      <c r="AG3795" s="10"/>
      <c r="AH3795" s="10"/>
      <c r="AI3795" s="10"/>
      <c r="AJ3795" s="10"/>
      <c r="AK3795" s="10"/>
      <c r="AL3795" s="10"/>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10"/>
      <c r="BJ3795" s="10"/>
      <c r="BK3795" s="10"/>
      <c r="BM3795" s="10"/>
    </row>
    <row r="3796" spans="1:65" ht="12.75">
      <c r="A3796" s="9"/>
      <c r="B3796" s="10"/>
      <c r="C3796" s="11"/>
      <c r="D3796" s="12"/>
      <c r="E3796" s="10"/>
      <c r="F3796" s="10"/>
      <c r="G3796" s="10"/>
      <c r="H3796" s="14"/>
      <c r="I3796" s="14"/>
      <c r="J3796" s="14"/>
      <c r="K3796" s="14"/>
      <c r="L3796" s="14"/>
      <c r="M3796" s="15"/>
      <c r="N3796" s="10"/>
      <c r="O3796" s="14"/>
      <c r="P3796" s="14"/>
      <c r="Q3796" s="14"/>
      <c r="R3796" s="14"/>
      <c r="S3796" s="14"/>
      <c r="T3796" s="14"/>
      <c r="U3796" s="14"/>
      <c r="V3796" s="14"/>
      <c r="W3796" s="14"/>
      <c r="X3796" s="14"/>
      <c r="Y3796" s="14"/>
      <c r="Z3796" s="14"/>
      <c r="AA3796" s="16"/>
      <c r="AB3796" s="10"/>
      <c r="AC3796" s="10"/>
      <c r="AD3796" s="10"/>
      <c r="AE3796" s="10"/>
      <c r="AF3796" s="10"/>
      <c r="AG3796" s="10"/>
      <c r="AH3796" s="10"/>
      <c r="AI3796" s="10"/>
      <c r="AJ3796" s="10"/>
      <c r="AK3796" s="10"/>
      <c r="AL3796" s="10"/>
      <c r="AM3796" s="10"/>
      <c r="AN3796" s="10"/>
      <c r="AO3796" s="10"/>
      <c r="AP3796" s="10"/>
      <c r="AQ3796" s="10"/>
      <c r="AR3796" s="10"/>
      <c r="AS3796" s="10"/>
      <c r="AT3796" s="10"/>
      <c r="AU3796" s="10"/>
      <c r="AV3796" s="10"/>
      <c r="AW3796" s="10"/>
      <c r="AX3796" s="10"/>
      <c r="AY3796" s="10"/>
      <c r="AZ3796" s="10"/>
      <c r="BA3796" s="10"/>
      <c r="BB3796" s="10"/>
      <c r="BC3796" s="10"/>
      <c r="BD3796" s="10"/>
      <c r="BE3796" s="10"/>
      <c r="BF3796" s="10"/>
      <c r="BG3796" s="10"/>
      <c r="BH3796" s="10"/>
      <c r="BI3796" s="10"/>
      <c r="BJ3796" s="10"/>
      <c r="BK3796" s="10"/>
      <c r="BM3796" s="10"/>
    </row>
    <row r="3797" spans="1:65" ht="12.75">
      <c r="A3797" s="9"/>
      <c r="B3797" s="10"/>
      <c r="C3797" s="11"/>
      <c r="D3797" s="12"/>
      <c r="E3797" s="10"/>
      <c r="F3797" s="10"/>
      <c r="G3797" s="10"/>
      <c r="H3797" s="14"/>
      <c r="I3797" s="14"/>
      <c r="J3797" s="14"/>
      <c r="K3797" s="14"/>
      <c r="L3797" s="14"/>
      <c r="M3797" s="15"/>
      <c r="N3797" s="10"/>
      <c r="O3797" s="14"/>
      <c r="P3797" s="14"/>
      <c r="Q3797" s="14"/>
      <c r="R3797" s="14"/>
      <c r="S3797" s="14"/>
      <c r="T3797" s="14"/>
      <c r="U3797" s="14"/>
      <c r="V3797" s="14"/>
      <c r="W3797" s="14"/>
      <c r="X3797" s="14"/>
      <c r="Y3797" s="14"/>
      <c r="Z3797" s="14"/>
      <c r="AA3797" s="16"/>
      <c r="AB3797" s="10"/>
      <c r="AC3797" s="10"/>
      <c r="AD3797" s="10"/>
      <c r="AE3797" s="10"/>
      <c r="AF3797" s="10"/>
      <c r="AG3797" s="10"/>
      <c r="AH3797" s="10"/>
      <c r="AI3797" s="10"/>
      <c r="AJ3797" s="10"/>
      <c r="AK3797" s="10"/>
      <c r="AL3797" s="10"/>
      <c r="AM3797" s="10"/>
      <c r="AN3797" s="10"/>
      <c r="AO3797" s="10"/>
      <c r="AP3797" s="10"/>
      <c r="AQ3797" s="10"/>
      <c r="AR3797" s="10"/>
      <c r="AS3797" s="10"/>
      <c r="AT3797" s="10"/>
      <c r="AU3797" s="10"/>
      <c r="AV3797" s="10"/>
      <c r="AW3797" s="10"/>
      <c r="AX3797" s="10"/>
      <c r="AY3797" s="10"/>
      <c r="AZ3797" s="10"/>
      <c r="BA3797" s="10"/>
      <c r="BB3797" s="10"/>
      <c r="BC3797" s="10"/>
      <c r="BD3797" s="10"/>
      <c r="BE3797" s="10"/>
      <c r="BF3797" s="10"/>
      <c r="BG3797" s="10"/>
      <c r="BH3797" s="10"/>
      <c r="BI3797" s="10"/>
      <c r="BJ3797" s="10"/>
      <c r="BK3797" s="10"/>
      <c r="BM3797" s="10"/>
    </row>
    <row r="3798" spans="1:65" ht="12.75">
      <c r="A3798" s="9"/>
      <c r="B3798" s="10"/>
      <c r="C3798" s="11"/>
      <c r="D3798" s="12"/>
      <c r="E3798" s="10"/>
      <c r="F3798" s="10"/>
      <c r="G3798" s="10"/>
      <c r="H3798" s="14"/>
      <c r="I3798" s="14"/>
      <c r="J3798" s="14"/>
      <c r="K3798" s="14"/>
      <c r="L3798" s="14"/>
      <c r="M3798" s="15"/>
      <c r="N3798" s="10"/>
      <c r="O3798" s="14"/>
      <c r="P3798" s="14"/>
      <c r="Q3798" s="14"/>
      <c r="R3798" s="14"/>
      <c r="S3798" s="14"/>
      <c r="T3798" s="14"/>
      <c r="U3798" s="14"/>
      <c r="V3798" s="14"/>
      <c r="W3798" s="14"/>
      <c r="X3798" s="14"/>
      <c r="Y3798" s="14"/>
      <c r="Z3798" s="14"/>
      <c r="AA3798" s="16"/>
      <c r="AB3798" s="10"/>
      <c r="AC3798" s="10"/>
      <c r="AD3798" s="10"/>
      <c r="AE3798" s="10"/>
      <c r="AF3798" s="10"/>
      <c r="AG3798" s="10"/>
      <c r="AH3798" s="10"/>
      <c r="AI3798" s="10"/>
      <c r="AJ3798" s="10"/>
      <c r="AK3798" s="10"/>
      <c r="AL3798" s="10"/>
      <c r="AM3798" s="10"/>
      <c r="AN3798" s="10"/>
      <c r="AO3798" s="10"/>
      <c r="AP3798" s="10"/>
      <c r="AQ3798" s="10"/>
      <c r="AR3798" s="10"/>
      <c r="AS3798" s="10"/>
      <c r="AT3798" s="10"/>
      <c r="AU3798" s="10"/>
      <c r="AV3798" s="10"/>
      <c r="AW3798" s="10"/>
      <c r="AX3798" s="10"/>
      <c r="AY3798" s="10"/>
      <c r="AZ3798" s="10"/>
      <c r="BA3798" s="10"/>
      <c r="BB3798" s="10"/>
      <c r="BC3798" s="10"/>
      <c r="BD3798" s="10"/>
      <c r="BE3798" s="10"/>
      <c r="BF3798" s="10"/>
      <c r="BG3798" s="10"/>
      <c r="BH3798" s="10"/>
      <c r="BI3798" s="10"/>
      <c r="BJ3798" s="10"/>
      <c r="BK3798" s="10"/>
      <c r="BM3798" s="10"/>
    </row>
    <row r="3799" spans="1:65" ht="12.75">
      <c r="A3799" s="9"/>
      <c r="B3799" s="10"/>
      <c r="C3799" s="11"/>
      <c r="D3799" s="12"/>
      <c r="E3799" s="10"/>
      <c r="F3799" s="10"/>
      <c r="G3799" s="10"/>
      <c r="H3799" s="14"/>
      <c r="I3799" s="14"/>
      <c r="J3799" s="14"/>
      <c r="K3799" s="14"/>
      <c r="L3799" s="14"/>
      <c r="M3799" s="15"/>
      <c r="N3799" s="10"/>
      <c r="O3799" s="14"/>
      <c r="P3799" s="14"/>
      <c r="Q3799" s="14"/>
      <c r="R3799" s="14"/>
      <c r="S3799" s="14"/>
      <c r="T3799" s="14"/>
      <c r="U3799" s="14"/>
      <c r="V3799" s="14"/>
      <c r="W3799" s="14"/>
      <c r="X3799" s="14"/>
      <c r="Y3799" s="14"/>
      <c r="Z3799" s="14"/>
      <c r="AA3799" s="16"/>
      <c r="AB3799" s="10"/>
      <c r="AC3799" s="10"/>
      <c r="AD3799" s="10"/>
      <c r="AE3799" s="10"/>
      <c r="AF3799" s="10"/>
      <c r="AG3799" s="10"/>
      <c r="AH3799" s="10"/>
      <c r="AI3799" s="10"/>
      <c r="AJ3799" s="10"/>
      <c r="AK3799" s="10"/>
      <c r="AL3799" s="10"/>
      <c r="AM3799" s="10"/>
      <c r="AN3799" s="10"/>
      <c r="AO3799" s="10"/>
      <c r="AP3799" s="10"/>
      <c r="AQ3799" s="10"/>
      <c r="AR3799" s="10"/>
      <c r="AS3799" s="10"/>
      <c r="AT3799" s="10"/>
      <c r="AU3799" s="10"/>
      <c r="AV3799" s="10"/>
      <c r="AW3799" s="10"/>
      <c r="AX3799" s="10"/>
      <c r="AY3799" s="10"/>
      <c r="AZ3799" s="10"/>
      <c r="BA3799" s="10"/>
      <c r="BB3799" s="10"/>
      <c r="BC3799" s="10"/>
      <c r="BD3799" s="10"/>
      <c r="BE3799" s="10"/>
      <c r="BF3799" s="10"/>
      <c r="BG3799" s="10"/>
      <c r="BH3799" s="10"/>
      <c r="BI3799" s="10"/>
      <c r="BJ3799" s="10"/>
      <c r="BK3799" s="10"/>
      <c r="BM3799" s="10"/>
    </row>
    <row r="3800" spans="1:65" ht="12.75">
      <c r="A3800" s="9"/>
      <c r="B3800" s="10"/>
      <c r="C3800" s="11"/>
      <c r="D3800" s="12"/>
      <c r="E3800" s="10"/>
      <c r="F3800" s="10"/>
      <c r="G3800" s="10"/>
      <c r="H3800" s="14"/>
      <c r="I3800" s="14"/>
      <c r="J3800" s="14"/>
      <c r="K3800" s="14"/>
      <c r="L3800" s="14"/>
      <c r="M3800" s="15"/>
      <c r="N3800" s="10"/>
      <c r="O3800" s="14"/>
      <c r="P3800" s="14"/>
      <c r="Q3800" s="14"/>
      <c r="R3800" s="14"/>
      <c r="S3800" s="14"/>
      <c r="T3800" s="14"/>
      <c r="U3800" s="14"/>
      <c r="V3800" s="14"/>
      <c r="W3800" s="14"/>
      <c r="X3800" s="14"/>
      <c r="Y3800" s="14"/>
      <c r="Z3800" s="14"/>
      <c r="AA3800" s="16"/>
      <c r="AB3800" s="10"/>
      <c r="AC3800" s="10"/>
      <c r="AD3800" s="10"/>
      <c r="AE3800" s="10"/>
      <c r="AF3800" s="10"/>
      <c r="AG3800" s="10"/>
      <c r="AH3800" s="10"/>
      <c r="AI3800" s="10"/>
      <c r="AJ3800" s="10"/>
      <c r="AK3800" s="10"/>
      <c r="AL3800" s="10"/>
      <c r="AM3800" s="10"/>
      <c r="AN3800" s="10"/>
      <c r="AO3800" s="10"/>
      <c r="AP3800" s="10"/>
      <c r="AQ3800" s="10"/>
      <c r="AR3800" s="10"/>
      <c r="AS3800" s="10"/>
      <c r="AT3800" s="10"/>
      <c r="AU3800" s="10"/>
      <c r="AV3800" s="10"/>
      <c r="AW3800" s="10"/>
      <c r="AX3800" s="10"/>
      <c r="AY3800" s="10"/>
      <c r="AZ3800" s="10"/>
      <c r="BA3800" s="10"/>
      <c r="BB3800" s="10"/>
      <c r="BC3800" s="10"/>
      <c r="BD3800" s="10"/>
      <c r="BE3800" s="10"/>
      <c r="BF3800" s="10"/>
      <c r="BG3800" s="10"/>
      <c r="BH3800" s="10"/>
      <c r="BI3800" s="10"/>
      <c r="BJ3800" s="10"/>
      <c r="BK3800" s="10"/>
      <c r="BM3800" s="10"/>
    </row>
    <row r="3801" spans="1:65" ht="12.75">
      <c r="A3801" s="9"/>
      <c r="B3801" s="10"/>
      <c r="C3801" s="11"/>
      <c r="D3801" s="12"/>
      <c r="E3801" s="10"/>
      <c r="F3801" s="10"/>
      <c r="G3801" s="10"/>
      <c r="H3801" s="14"/>
      <c r="I3801" s="14"/>
      <c r="J3801" s="14"/>
      <c r="K3801" s="14"/>
      <c r="L3801" s="14"/>
      <c r="M3801" s="15"/>
      <c r="N3801" s="10"/>
      <c r="O3801" s="14"/>
      <c r="P3801" s="14"/>
      <c r="Q3801" s="14"/>
      <c r="R3801" s="14"/>
      <c r="S3801" s="14"/>
      <c r="T3801" s="14"/>
      <c r="U3801" s="14"/>
      <c r="V3801" s="14"/>
      <c r="W3801" s="14"/>
      <c r="X3801" s="14"/>
      <c r="Y3801" s="14"/>
      <c r="Z3801" s="14"/>
      <c r="AA3801" s="16"/>
      <c r="AB3801" s="10"/>
      <c r="AC3801" s="10"/>
      <c r="AD3801" s="10"/>
      <c r="AE3801" s="10"/>
      <c r="AF3801" s="10"/>
      <c r="AG3801" s="10"/>
      <c r="AH3801" s="10"/>
      <c r="AI3801" s="10"/>
      <c r="AJ3801" s="10"/>
      <c r="AK3801" s="10"/>
      <c r="AL3801" s="10"/>
      <c r="AM3801" s="10"/>
      <c r="AN3801" s="10"/>
      <c r="AO3801" s="10"/>
      <c r="AP3801" s="10"/>
      <c r="AQ3801" s="10"/>
      <c r="AR3801" s="10"/>
      <c r="AS3801" s="10"/>
      <c r="AT3801" s="10"/>
      <c r="AU3801" s="10"/>
      <c r="AV3801" s="10"/>
      <c r="AW3801" s="10"/>
      <c r="AX3801" s="10"/>
      <c r="AY3801" s="10"/>
      <c r="AZ3801" s="10"/>
      <c r="BA3801" s="10"/>
      <c r="BB3801" s="10"/>
      <c r="BC3801" s="10"/>
      <c r="BD3801" s="10"/>
      <c r="BE3801" s="10"/>
      <c r="BF3801" s="10"/>
      <c r="BG3801" s="10"/>
      <c r="BH3801" s="10"/>
      <c r="BI3801" s="10"/>
      <c r="BJ3801" s="10"/>
      <c r="BK3801" s="10"/>
      <c r="BM3801" s="10"/>
    </row>
    <row r="3802" spans="1:65" ht="12.75">
      <c r="A3802" s="9"/>
      <c r="B3802" s="10"/>
      <c r="C3802" s="11"/>
      <c r="D3802" s="12"/>
      <c r="E3802" s="10"/>
      <c r="F3802" s="10"/>
      <c r="G3802" s="10"/>
      <c r="H3802" s="14"/>
      <c r="I3802" s="14"/>
      <c r="J3802" s="14"/>
      <c r="K3802" s="14"/>
      <c r="L3802" s="14"/>
      <c r="M3802" s="15"/>
      <c r="N3802" s="10"/>
      <c r="O3802" s="14"/>
      <c r="P3802" s="14"/>
      <c r="Q3802" s="14"/>
      <c r="R3802" s="14"/>
      <c r="S3802" s="14"/>
      <c r="T3802" s="14"/>
      <c r="U3802" s="14"/>
      <c r="V3802" s="14"/>
      <c r="W3802" s="14"/>
      <c r="X3802" s="14"/>
      <c r="Y3802" s="14"/>
      <c r="Z3802" s="14"/>
      <c r="AA3802" s="16"/>
      <c r="AB3802" s="10"/>
      <c r="AC3802" s="10"/>
      <c r="AD3802" s="10"/>
      <c r="AE3802" s="10"/>
      <c r="AF3802" s="10"/>
      <c r="AG3802" s="10"/>
      <c r="AH3802" s="10"/>
      <c r="AI3802" s="10"/>
      <c r="AJ3802" s="10"/>
      <c r="AK3802" s="10"/>
      <c r="AL3802" s="10"/>
      <c r="AM3802" s="10"/>
      <c r="AN3802" s="10"/>
      <c r="AO3802" s="10"/>
      <c r="AP3802" s="10"/>
      <c r="AQ3802" s="10"/>
      <c r="AR3802" s="10"/>
      <c r="AS3802" s="10"/>
      <c r="AT3802" s="10"/>
      <c r="AU3802" s="10"/>
      <c r="AV3802" s="10"/>
      <c r="AW3802" s="10"/>
      <c r="AX3802" s="10"/>
      <c r="AY3802" s="10"/>
      <c r="AZ3802" s="10"/>
      <c r="BA3802" s="10"/>
      <c r="BB3802" s="10"/>
      <c r="BC3802" s="10"/>
      <c r="BD3802" s="10"/>
      <c r="BE3802" s="10"/>
      <c r="BF3802" s="10"/>
      <c r="BG3802" s="10"/>
      <c r="BH3802" s="10"/>
      <c r="BI3802" s="10"/>
      <c r="BJ3802" s="10"/>
      <c r="BK3802" s="10"/>
      <c r="BM3802" s="10"/>
    </row>
    <row r="3803" spans="1:65" ht="12.75">
      <c r="A3803" s="9"/>
      <c r="B3803" s="10"/>
      <c r="C3803" s="11"/>
      <c r="D3803" s="12"/>
      <c r="E3803" s="10"/>
      <c r="F3803" s="10"/>
      <c r="G3803" s="10"/>
      <c r="H3803" s="14"/>
      <c r="I3803" s="14"/>
      <c r="J3803" s="14"/>
      <c r="K3803" s="14"/>
      <c r="L3803" s="14"/>
      <c r="M3803" s="15"/>
      <c r="N3803" s="10"/>
      <c r="O3803" s="14"/>
      <c r="P3803" s="14"/>
      <c r="Q3803" s="14"/>
      <c r="R3803" s="14"/>
      <c r="S3803" s="14"/>
      <c r="T3803" s="14"/>
      <c r="U3803" s="14"/>
      <c r="V3803" s="14"/>
      <c r="W3803" s="14"/>
      <c r="X3803" s="14"/>
      <c r="Y3803" s="14"/>
      <c r="Z3803" s="14"/>
      <c r="AA3803" s="16"/>
      <c r="AB3803" s="10"/>
      <c r="AC3803" s="10"/>
      <c r="AD3803" s="10"/>
      <c r="AE3803" s="10"/>
      <c r="AF3803" s="10"/>
      <c r="AG3803" s="10"/>
      <c r="AH3803" s="10"/>
      <c r="AI3803" s="10"/>
      <c r="AJ3803" s="10"/>
      <c r="AK3803" s="10"/>
      <c r="AL3803" s="10"/>
      <c r="AM3803" s="10"/>
      <c r="AN3803" s="10"/>
      <c r="AO3803" s="10"/>
      <c r="AP3803" s="10"/>
      <c r="AQ3803" s="10"/>
      <c r="AR3803" s="10"/>
      <c r="AS3803" s="10"/>
      <c r="AT3803" s="10"/>
      <c r="AU3803" s="10"/>
      <c r="AV3803" s="10"/>
      <c r="AW3803" s="10"/>
      <c r="AX3803" s="10"/>
      <c r="AY3803" s="10"/>
      <c r="AZ3803" s="10"/>
      <c r="BA3803" s="10"/>
      <c r="BB3803" s="10"/>
      <c r="BC3803" s="10"/>
      <c r="BD3803" s="10"/>
      <c r="BE3803" s="10"/>
      <c r="BF3803" s="10"/>
      <c r="BG3803" s="10"/>
      <c r="BH3803" s="10"/>
      <c r="BI3803" s="10"/>
      <c r="BJ3803" s="10"/>
      <c r="BK3803" s="10"/>
      <c r="BM3803" s="10"/>
    </row>
    <row r="3804" spans="1:65" ht="12.75">
      <c r="A3804" s="9"/>
      <c r="B3804" s="10"/>
      <c r="C3804" s="11"/>
      <c r="D3804" s="12"/>
      <c r="E3804" s="10"/>
      <c r="F3804" s="10"/>
      <c r="G3804" s="10"/>
      <c r="H3804" s="14"/>
      <c r="I3804" s="14"/>
      <c r="J3804" s="14"/>
      <c r="K3804" s="14"/>
      <c r="L3804" s="14"/>
      <c r="M3804" s="15"/>
      <c r="N3804" s="10"/>
      <c r="O3804" s="14"/>
      <c r="P3804" s="14"/>
      <c r="Q3804" s="14"/>
      <c r="R3804" s="14"/>
      <c r="S3804" s="14"/>
      <c r="T3804" s="14"/>
      <c r="U3804" s="14"/>
      <c r="V3804" s="14"/>
      <c r="W3804" s="14"/>
      <c r="X3804" s="14"/>
      <c r="Y3804" s="14"/>
      <c r="Z3804" s="14"/>
      <c r="AA3804" s="16"/>
      <c r="AB3804" s="10"/>
      <c r="AC3804" s="10"/>
      <c r="AD3804" s="10"/>
      <c r="AE3804" s="10"/>
      <c r="AF3804" s="10"/>
      <c r="AG3804" s="10"/>
      <c r="AH3804" s="10"/>
      <c r="AI3804" s="10"/>
      <c r="AJ3804" s="10"/>
      <c r="AK3804" s="10"/>
      <c r="AL3804" s="10"/>
      <c r="AM3804" s="10"/>
      <c r="AN3804" s="10"/>
      <c r="AO3804" s="10"/>
      <c r="AP3804" s="10"/>
      <c r="AQ3804" s="10"/>
      <c r="AR3804" s="10"/>
      <c r="AS3804" s="10"/>
      <c r="AT3804" s="10"/>
      <c r="AU3804" s="10"/>
      <c r="AV3804" s="10"/>
      <c r="AW3804" s="10"/>
      <c r="AX3804" s="10"/>
      <c r="AY3804" s="10"/>
      <c r="AZ3804" s="10"/>
      <c r="BA3804" s="10"/>
      <c r="BB3804" s="10"/>
      <c r="BC3804" s="10"/>
      <c r="BD3804" s="10"/>
      <c r="BE3804" s="10"/>
      <c r="BF3804" s="10"/>
      <c r="BG3804" s="10"/>
      <c r="BH3804" s="10"/>
      <c r="BI3804" s="10"/>
      <c r="BJ3804" s="10"/>
      <c r="BK3804" s="10"/>
      <c r="BM3804" s="10"/>
    </row>
    <row r="3805" spans="1:65" ht="12.75">
      <c r="A3805" s="9"/>
      <c r="B3805" s="10"/>
      <c r="C3805" s="11"/>
      <c r="D3805" s="12"/>
      <c r="E3805" s="10"/>
      <c r="F3805" s="10"/>
      <c r="G3805" s="10"/>
      <c r="H3805" s="14"/>
      <c r="I3805" s="14"/>
      <c r="J3805" s="14"/>
      <c r="K3805" s="14"/>
      <c r="L3805" s="14"/>
      <c r="M3805" s="15"/>
      <c r="N3805" s="10"/>
      <c r="O3805" s="14"/>
      <c r="P3805" s="14"/>
      <c r="Q3805" s="14"/>
      <c r="R3805" s="14"/>
      <c r="S3805" s="14"/>
      <c r="T3805" s="14"/>
      <c r="U3805" s="14"/>
      <c r="V3805" s="14"/>
      <c r="W3805" s="14"/>
      <c r="X3805" s="14"/>
      <c r="Y3805" s="14"/>
      <c r="Z3805" s="14"/>
      <c r="AA3805" s="16"/>
      <c r="AB3805" s="10"/>
      <c r="AC3805" s="10"/>
      <c r="AD3805" s="10"/>
      <c r="AE3805" s="10"/>
      <c r="AF3805" s="10"/>
      <c r="AG3805" s="10"/>
      <c r="AH3805" s="10"/>
      <c r="AI3805" s="10"/>
      <c r="AJ3805" s="10"/>
      <c r="AK3805" s="10"/>
      <c r="AL3805" s="10"/>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c r="BI3805" s="10"/>
      <c r="BJ3805" s="10"/>
      <c r="BK3805" s="10"/>
      <c r="BM3805" s="10"/>
    </row>
    <row r="3806" spans="1:65" ht="12.75">
      <c r="A3806" s="9"/>
      <c r="B3806" s="10"/>
      <c r="C3806" s="11"/>
      <c r="D3806" s="12"/>
      <c r="E3806" s="10"/>
      <c r="F3806" s="10"/>
      <c r="G3806" s="10"/>
      <c r="H3806" s="14"/>
      <c r="I3806" s="14"/>
      <c r="J3806" s="14"/>
      <c r="K3806" s="14"/>
      <c r="L3806" s="14"/>
      <c r="M3806" s="15"/>
      <c r="N3806" s="10"/>
      <c r="O3806" s="14"/>
      <c r="P3806" s="14"/>
      <c r="Q3806" s="14"/>
      <c r="R3806" s="14"/>
      <c r="S3806" s="14"/>
      <c r="T3806" s="14"/>
      <c r="U3806" s="14"/>
      <c r="V3806" s="14"/>
      <c r="W3806" s="14"/>
      <c r="X3806" s="14"/>
      <c r="Y3806" s="14"/>
      <c r="Z3806" s="14"/>
      <c r="AA3806" s="16"/>
      <c r="AB3806" s="10"/>
      <c r="AC3806" s="10"/>
      <c r="AD3806" s="10"/>
      <c r="AE3806" s="10"/>
      <c r="AF3806" s="10"/>
      <c r="AG3806" s="10"/>
      <c r="AH3806" s="10"/>
      <c r="AI3806" s="10"/>
      <c r="AJ3806" s="10"/>
      <c r="AK3806" s="10"/>
      <c r="AL3806" s="10"/>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10"/>
      <c r="BJ3806" s="10"/>
      <c r="BK3806" s="10"/>
      <c r="BM3806" s="10"/>
    </row>
    <row r="3807" spans="1:65" ht="12.75">
      <c r="A3807" s="9"/>
      <c r="B3807" s="10"/>
      <c r="C3807" s="11"/>
      <c r="D3807" s="12"/>
      <c r="E3807" s="10"/>
      <c r="F3807" s="10"/>
      <c r="G3807" s="10"/>
      <c r="H3807" s="14"/>
      <c r="I3807" s="14"/>
      <c r="J3807" s="14"/>
      <c r="K3807" s="14"/>
      <c r="L3807" s="14"/>
      <c r="M3807" s="15"/>
      <c r="N3807" s="10"/>
      <c r="O3807" s="14"/>
      <c r="P3807" s="14"/>
      <c r="Q3807" s="14"/>
      <c r="R3807" s="14"/>
      <c r="S3807" s="14"/>
      <c r="T3807" s="14"/>
      <c r="U3807" s="14"/>
      <c r="V3807" s="14"/>
      <c r="W3807" s="14"/>
      <c r="X3807" s="14"/>
      <c r="Y3807" s="14"/>
      <c r="Z3807" s="14"/>
      <c r="AA3807" s="16"/>
      <c r="AB3807" s="10"/>
      <c r="AC3807" s="10"/>
      <c r="AD3807" s="10"/>
      <c r="AE3807" s="10"/>
      <c r="AF3807" s="10"/>
      <c r="AG3807" s="10"/>
      <c r="AH3807" s="10"/>
      <c r="AI3807" s="10"/>
      <c r="AJ3807" s="10"/>
      <c r="AK3807" s="10"/>
      <c r="AL3807" s="10"/>
      <c r="AM3807" s="10"/>
      <c r="AN3807" s="10"/>
      <c r="AO3807" s="10"/>
      <c r="AP3807" s="10"/>
      <c r="AQ3807" s="10"/>
      <c r="AR3807" s="10"/>
      <c r="AS3807" s="10"/>
      <c r="AT3807" s="10"/>
      <c r="AU3807" s="10"/>
      <c r="AV3807" s="10"/>
      <c r="AW3807" s="10"/>
      <c r="AX3807" s="10"/>
      <c r="AY3807" s="10"/>
      <c r="AZ3807" s="10"/>
      <c r="BA3807" s="10"/>
      <c r="BB3807" s="10"/>
      <c r="BC3807" s="10"/>
      <c r="BD3807" s="10"/>
      <c r="BE3807" s="10"/>
      <c r="BF3807" s="10"/>
      <c r="BG3807" s="10"/>
      <c r="BH3807" s="10"/>
      <c r="BI3807" s="10"/>
      <c r="BJ3807" s="10"/>
      <c r="BK3807" s="10"/>
      <c r="BM3807" s="10"/>
    </row>
    <row r="3808" spans="1:65" ht="12.75">
      <c r="A3808" s="9"/>
      <c r="B3808" s="10"/>
      <c r="C3808" s="11"/>
      <c r="D3808" s="12"/>
      <c r="E3808" s="10"/>
      <c r="F3808" s="10"/>
      <c r="G3808" s="10"/>
      <c r="H3808" s="14"/>
      <c r="I3808" s="14"/>
      <c r="J3808" s="14"/>
      <c r="K3808" s="14"/>
      <c r="L3808" s="14"/>
      <c r="M3808" s="15"/>
      <c r="N3808" s="10"/>
      <c r="O3808" s="14"/>
      <c r="P3808" s="14"/>
      <c r="Q3808" s="14"/>
      <c r="R3808" s="14"/>
      <c r="S3808" s="14"/>
      <c r="T3808" s="14"/>
      <c r="U3808" s="14"/>
      <c r="V3808" s="14"/>
      <c r="W3808" s="14"/>
      <c r="X3808" s="14"/>
      <c r="Y3808" s="14"/>
      <c r="Z3808" s="14"/>
      <c r="AA3808" s="16"/>
      <c r="AB3808" s="10"/>
      <c r="AC3808" s="10"/>
      <c r="AD3808" s="10"/>
      <c r="AE3808" s="10"/>
      <c r="AF3808" s="10"/>
      <c r="AG3808" s="10"/>
      <c r="AH3808" s="10"/>
      <c r="AI3808" s="10"/>
      <c r="AJ3808" s="10"/>
      <c r="AK3808" s="10"/>
      <c r="AL3808" s="10"/>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10"/>
      <c r="BJ3808" s="10"/>
      <c r="BK3808" s="10"/>
      <c r="BM3808" s="10"/>
    </row>
    <row r="3809" spans="1:65" ht="12.75">
      <c r="A3809" s="9"/>
      <c r="B3809" s="10"/>
      <c r="C3809" s="11"/>
      <c r="D3809" s="12"/>
      <c r="E3809" s="10"/>
      <c r="F3809" s="10"/>
      <c r="G3809" s="10"/>
      <c r="H3809" s="14"/>
      <c r="I3809" s="14"/>
      <c r="J3809" s="14"/>
      <c r="K3809" s="14"/>
      <c r="L3809" s="14"/>
      <c r="M3809" s="15"/>
      <c r="N3809" s="10"/>
      <c r="O3809" s="14"/>
      <c r="P3809" s="14"/>
      <c r="Q3809" s="14"/>
      <c r="R3809" s="14"/>
      <c r="S3809" s="14"/>
      <c r="T3809" s="14"/>
      <c r="U3809" s="14"/>
      <c r="V3809" s="14"/>
      <c r="W3809" s="14"/>
      <c r="X3809" s="14"/>
      <c r="Y3809" s="14"/>
      <c r="Z3809" s="14"/>
      <c r="AA3809" s="16"/>
      <c r="AB3809" s="10"/>
      <c r="AC3809" s="10"/>
      <c r="AD3809" s="10"/>
      <c r="AE3809" s="10"/>
      <c r="AF3809" s="10"/>
      <c r="AG3809" s="10"/>
      <c r="AH3809" s="10"/>
      <c r="AI3809" s="10"/>
      <c r="AJ3809" s="10"/>
      <c r="AK3809" s="10"/>
      <c r="AL3809" s="10"/>
      <c r="AM3809" s="10"/>
      <c r="AN3809" s="10"/>
      <c r="AO3809" s="10"/>
      <c r="AP3809" s="10"/>
      <c r="AQ3809" s="10"/>
      <c r="AR3809" s="10"/>
      <c r="AS3809" s="10"/>
      <c r="AT3809" s="10"/>
      <c r="AU3809" s="10"/>
      <c r="AV3809" s="10"/>
      <c r="AW3809" s="10"/>
      <c r="AX3809" s="10"/>
      <c r="AY3809" s="10"/>
      <c r="AZ3809" s="10"/>
      <c r="BA3809" s="10"/>
      <c r="BB3809" s="10"/>
      <c r="BC3809" s="10"/>
      <c r="BD3809" s="10"/>
      <c r="BE3809" s="10"/>
      <c r="BF3809" s="10"/>
      <c r="BG3809" s="10"/>
      <c r="BH3809" s="10"/>
      <c r="BI3809" s="10"/>
      <c r="BJ3809" s="10"/>
      <c r="BK3809" s="10"/>
      <c r="BM3809" s="10"/>
    </row>
    <row r="3810" spans="1:65" ht="12.75">
      <c r="A3810" s="9"/>
      <c r="B3810" s="10"/>
      <c r="C3810" s="11"/>
      <c r="D3810" s="12"/>
      <c r="E3810" s="10"/>
      <c r="F3810" s="10"/>
      <c r="G3810" s="10"/>
      <c r="H3810" s="14"/>
      <c r="I3810" s="14"/>
      <c r="J3810" s="14"/>
      <c r="K3810" s="14"/>
      <c r="L3810" s="14"/>
      <c r="M3810" s="15"/>
      <c r="N3810" s="10"/>
      <c r="O3810" s="14"/>
      <c r="P3810" s="14"/>
      <c r="Q3810" s="14"/>
      <c r="R3810" s="14"/>
      <c r="S3810" s="14"/>
      <c r="T3810" s="14"/>
      <c r="U3810" s="14"/>
      <c r="V3810" s="14"/>
      <c r="W3810" s="14"/>
      <c r="X3810" s="14"/>
      <c r="Y3810" s="14"/>
      <c r="Z3810" s="14"/>
      <c r="AA3810" s="16"/>
      <c r="AB3810" s="10"/>
      <c r="AC3810" s="10"/>
      <c r="AD3810" s="10"/>
      <c r="AE3810" s="10"/>
      <c r="AF3810" s="10"/>
      <c r="AG3810" s="10"/>
      <c r="AH3810" s="10"/>
      <c r="AI3810" s="10"/>
      <c r="AJ3810" s="10"/>
      <c r="AK3810" s="10"/>
      <c r="AL3810" s="10"/>
      <c r="AM3810" s="10"/>
      <c r="AN3810" s="10"/>
      <c r="AO3810" s="10"/>
      <c r="AP3810" s="10"/>
      <c r="AQ3810" s="10"/>
      <c r="AR3810" s="10"/>
      <c r="AS3810" s="10"/>
      <c r="AT3810" s="10"/>
      <c r="AU3810" s="10"/>
      <c r="AV3810" s="10"/>
      <c r="AW3810" s="10"/>
      <c r="AX3810" s="10"/>
      <c r="AY3810" s="10"/>
      <c r="AZ3810" s="10"/>
      <c r="BA3810" s="10"/>
      <c r="BB3810" s="10"/>
      <c r="BC3810" s="10"/>
      <c r="BD3810" s="10"/>
      <c r="BE3810" s="10"/>
      <c r="BF3810" s="10"/>
      <c r="BG3810" s="10"/>
      <c r="BH3810" s="10"/>
      <c r="BI3810" s="10"/>
      <c r="BJ3810" s="10"/>
      <c r="BK3810" s="10"/>
      <c r="BM3810" s="10"/>
    </row>
    <row r="3811" spans="1:65" ht="12.75">
      <c r="A3811" s="9"/>
      <c r="B3811" s="10"/>
      <c r="C3811" s="11"/>
      <c r="D3811" s="12"/>
      <c r="E3811" s="10"/>
      <c r="F3811" s="10"/>
      <c r="G3811" s="10"/>
      <c r="H3811" s="14"/>
      <c r="I3811" s="14"/>
      <c r="J3811" s="14"/>
      <c r="K3811" s="14"/>
      <c r="L3811" s="14"/>
      <c r="M3811" s="15"/>
      <c r="N3811" s="10"/>
      <c r="O3811" s="14"/>
      <c r="P3811" s="14"/>
      <c r="Q3811" s="14"/>
      <c r="R3811" s="14"/>
      <c r="S3811" s="14"/>
      <c r="T3811" s="14"/>
      <c r="U3811" s="14"/>
      <c r="V3811" s="14"/>
      <c r="W3811" s="14"/>
      <c r="X3811" s="14"/>
      <c r="Y3811" s="14"/>
      <c r="Z3811" s="14"/>
      <c r="AA3811" s="16"/>
      <c r="AB3811" s="10"/>
      <c r="AC3811" s="10"/>
      <c r="AD3811" s="10"/>
      <c r="AE3811" s="10"/>
      <c r="AF3811" s="10"/>
      <c r="AG3811" s="10"/>
      <c r="AH3811" s="10"/>
      <c r="AI3811" s="10"/>
      <c r="AJ3811" s="10"/>
      <c r="AK3811" s="10"/>
      <c r="AL3811" s="10"/>
      <c r="AM3811" s="10"/>
      <c r="AN3811" s="10"/>
      <c r="AO3811" s="10"/>
      <c r="AP3811" s="10"/>
      <c r="AQ3811" s="10"/>
      <c r="AR3811" s="10"/>
      <c r="AS3811" s="10"/>
      <c r="AT3811" s="10"/>
      <c r="AU3811" s="10"/>
      <c r="AV3811" s="10"/>
      <c r="AW3811" s="10"/>
      <c r="AX3811" s="10"/>
      <c r="AY3811" s="10"/>
      <c r="AZ3811" s="10"/>
      <c r="BA3811" s="10"/>
      <c r="BB3811" s="10"/>
      <c r="BC3811" s="10"/>
      <c r="BD3811" s="10"/>
      <c r="BE3811" s="10"/>
      <c r="BF3811" s="10"/>
      <c r="BG3811" s="10"/>
      <c r="BH3811" s="10"/>
      <c r="BI3811" s="10"/>
      <c r="BJ3811" s="10"/>
      <c r="BK3811" s="10"/>
      <c r="BM3811" s="10"/>
    </row>
    <row r="3812" spans="1:65" ht="12.75">
      <c r="A3812" s="9"/>
      <c r="B3812" s="10"/>
      <c r="C3812" s="11"/>
      <c r="D3812" s="12"/>
      <c r="E3812" s="10"/>
      <c r="F3812" s="10"/>
      <c r="G3812" s="10"/>
      <c r="H3812" s="14"/>
      <c r="I3812" s="14"/>
      <c r="J3812" s="14"/>
      <c r="K3812" s="14"/>
      <c r="L3812" s="14"/>
      <c r="M3812" s="15"/>
      <c r="N3812" s="10"/>
      <c r="O3812" s="14"/>
      <c r="P3812" s="14"/>
      <c r="Q3812" s="14"/>
      <c r="R3812" s="14"/>
      <c r="S3812" s="14"/>
      <c r="T3812" s="14"/>
      <c r="U3812" s="14"/>
      <c r="V3812" s="14"/>
      <c r="W3812" s="14"/>
      <c r="X3812" s="14"/>
      <c r="Y3812" s="14"/>
      <c r="Z3812" s="14"/>
      <c r="AA3812" s="16"/>
      <c r="AB3812" s="10"/>
      <c r="AC3812" s="10"/>
      <c r="AD3812" s="10"/>
      <c r="AE3812" s="10"/>
      <c r="AF3812" s="10"/>
      <c r="AG3812" s="10"/>
      <c r="AH3812" s="10"/>
      <c r="AI3812" s="10"/>
      <c r="AJ3812" s="10"/>
      <c r="AK3812" s="10"/>
      <c r="AL3812" s="10"/>
      <c r="AM3812" s="10"/>
      <c r="AN3812" s="10"/>
      <c r="AO3812" s="10"/>
      <c r="AP3812" s="10"/>
      <c r="AQ3812" s="10"/>
      <c r="AR3812" s="10"/>
      <c r="AS3812" s="10"/>
      <c r="AT3812" s="10"/>
      <c r="AU3812" s="10"/>
      <c r="AV3812" s="10"/>
      <c r="AW3812" s="10"/>
      <c r="AX3812" s="10"/>
      <c r="AY3812" s="10"/>
      <c r="AZ3812" s="10"/>
      <c r="BA3812" s="10"/>
      <c r="BB3812" s="10"/>
      <c r="BC3812" s="10"/>
      <c r="BD3812" s="10"/>
      <c r="BE3812" s="10"/>
      <c r="BF3812" s="10"/>
      <c r="BG3812" s="10"/>
      <c r="BH3812" s="10"/>
      <c r="BI3812" s="10"/>
      <c r="BJ3812" s="10"/>
      <c r="BK3812" s="10"/>
      <c r="BM3812" s="10"/>
    </row>
    <row r="3813" spans="1:65" ht="12.75">
      <c r="A3813" s="9"/>
      <c r="B3813" s="10"/>
      <c r="C3813" s="11"/>
      <c r="D3813" s="12"/>
      <c r="E3813" s="10"/>
      <c r="F3813" s="10"/>
      <c r="G3813" s="10"/>
      <c r="H3813" s="14"/>
      <c r="I3813" s="14"/>
      <c r="J3813" s="14"/>
      <c r="K3813" s="14"/>
      <c r="L3813" s="14"/>
      <c r="M3813" s="15"/>
      <c r="N3813" s="10"/>
      <c r="O3813" s="14"/>
      <c r="P3813" s="14"/>
      <c r="Q3813" s="14"/>
      <c r="R3813" s="14"/>
      <c r="S3813" s="14"/>
      <c r="T3813" s="14"/>
      <c r="U3813" s="14"/>
      <c r="V3813" s="14"/>
      <c r="W3813" s="14"/>
      <c r="X3813" s="14"/>
      <c r="Y3813" s="14"/>
      <c r="Z3813" s="14"/>
      <c r="AA3813" s="16"/>
      <c r="AB3813" s="10"/>
      <c r="AC3813" s="10"/>
      <c r="AD3813" s="10"/>
      <c r="AE3813" s="10"/>
      <c r="AF3813" s="10"/>
      <c r="AG3813" s="10"/>
      <c r="AH3813" s="10"/>
      <c r="AI3813" s="10"/>
      <c r="AJ3813" s="10"/>
      <c r="AK3813" s="10"/>
      <c r="AL3813" s="10"/>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10"/>
      <c r="BJ3813" s="10"/>
      <c r="BK3813" s="10"/>
      <c r="BM3813" s="10"/>
    </row>
    <row r="3814" spans="1:65" ht="12.75">
      <c r="A3814" s="9"/>
      <c r="B3814" s="10"/>
      <c r="C3814" s="11"/>
      <c r="D3814" s="12"/>
      <c r="E3814" s="10"/>
      <c r="F3814" s="10"/>
      <c r="G3814" s="10"/>
      <c r="H3814" s="14"/>
      <c r="I3814" s="14"/>
      <c r="J3814" s="14"/>
      <c r="K3814" s="14"/>
      <c r="L3814" s="14"/>
      <c r="M3814" s="15"/>
      <c r="N3814" s="10"/>
      <c r="O3814" s="14"/>
      <c r="P3814" s="14"/>
      <c r="Q3814" s="14"/>
      <c r="R3814" s="14"/>
      <c r="S3814" s="14"/>
      <c r="T3814" s="14"/>
      <c r="U3814" s="14"/>
      <c r="V3814" s="14"/>
      <c r="W3814" s="14"/>
      <c r="X3814" s="14"/>
      <c r="Y3814" s="14"/>
      <c r="Z3814" s="14"/>
      <c r="AA3814" s="16"/>
      <c r="AB3814" s="10"/>
      <c r="AC3814" s="10"/>
      <c r="AD3814" s="10"/>
      <c r="AE3814" s="10"/>
      <c r="AF3814" s="10"/>
      <c r="AG3814" s="10"/>
      <c r="AH3814" s="10"/>
      <c r="AI3814" s="10"/>
      <c r="AJ3814" s="10"/>
      <c r="AK3814" s="10"/>
      <c r="AL3814" s="10"/>
      <c r="AM3814" s="10"/>
      <c r="AN3814" s="10"/>
      <c r="AO3814" s="10"/>
      <c r="AP3814" s="10"/>
      <c r="AQ3814" s="10"/>
      <c r="AR3814" s="10"/>
      <c r="AS3814" s="10"/>
      <c r="AT3814" s="10"/>
      <c r="AU3814" s="10"/>
      <c r="AV3814" s="10"/>
      <c r="AW3814" s="10"/>
      <c r="AX3814" s="10"/>
      <c r="AY3814" s="10"/>
      <c r="AZ3814" s="10"/>
      <c r="BA3814" s="10"/>
      <c r="BB3814" s="10"/>
      <c r="BC3814" s="10"/>
      <c r="BD3814" s="10"/>
      <c r="BE3814" s="10"/>
      <c r="BF3814" s="10"/>
      <c r="BG3814" s="10"/>
      <c r="BH3814" s="10"/>
      <c r="BI3814" s="10"/>
      <c r="BJ3814" s="10"/>
      <c r="BK3814" s="10"/>
      <c r="BM3814" s="10"/>
    </row>
    <row r="3815" spans="1:65" ht="12.75">
      <c r="A3815" s="9"/>
      <c r="B3815" s="10"/>
      <c r="C3815" s="11"/>
      <c r="D3815" s="12"/>
      <c r="E3815" s="10"/>
      <c r="F3815" s="10"/>
      <c r="G3815" s="10"/>
      <c r="H3815" s="14"/>
      <c r="I3815" s="14"/>
      <c r="J3815" s="14"/>
      <c r="K3815" s="14"/>
      <c r="L3815" s="14"/>
      <c r="M3815" s="15"/>
      <c r="N3815" s="10"/>
      <c r="O3815" s="14"/>
      <c r="P3815" s="14"/>
      <c r="Q3815" s="14"/>
      <c r="R3815" s="14"/>
      <c r="S3815" s="14"/>
      <c r="T3815" s="14"/>
      <c r="U3815" s="14"/>
      <c r="V3815" s="14"/>
      <c r="W3815" s="14"/>
      <c r="X3815" s="14"/>
      <c r="Y3815" s="14"/>
      <c r="Z3815" s="14"/>
      <c r="AA3815" s="16"/>
      <c r="AB3815" s="10"/>
      <c r="AC3815" s="10"/>
      <c r="AD3815" s="10"/>
      <c r="AE3815" s="10"/>
      <c r="AF3815" s="10"/>
      <c r="AG3815" s="10"/>
      <c r="AH3815" s="10"/>
      <c r="AI3815" s="10"/>
      <c r="AJ3815" s="10"/>
      <c r="AK3815" s="10"/>
      <c r="AL3815" s="10"/>
      <c r="AM3815" s="10"/>
      <c r="AN3815" s="10"/>
      <c r="AO3815" s="10"/>
      <c r="AP3815" s="10"/>
      <c r="AQ3815" s="10"/>
      <c r="AR3815" s="10"/>
      <c r="AS3815" s="10"/>
      <c r="AT3815" s="10"/>
      <c r="AU3815" s="10"/>
      <c r="AV3815" s="10"/>
      <c r="AW3815" s="10"/>
      <c r="AX3815" s="10"/>
      <c r="AY3815" s="10"/>
      <c r="AZ3815" s="10"/>
      <c r="BA3815" s="10"/>
      <c r="BB3815" s="10"/>
      <c r="BC3815" s="10"/>
      <c r="BD3815" s="10"/>
      <c r="BE3815" s="10"/>
      <c r="BF3815" s="10"/>
      <c r="BG3815" s="10"/>
      <c r="BH3815" s="10"/>
      <c r="BI3815" s="10"/>
      <c r="BJ3815" s="10"/>
      <c r="BK3815" s="10"/>
      <c r="BM3815" s="10"/>
    </row>
    <row r="3816" spans="1:65" ht="12.75">
      <c r="A3816" s="9"/>
      <c r="B3816" s="10"/>
      <c r="C3816" s="11"/>
      <c r="D3816" s="12"/>
      <c r="E3816" s="10"/>
      <c r="F3816" s="10"/>
      <c r="G3816" s="10"/>
      <c r="H3816" s="14"/>
      <c r="I3816" s="14"/>
      <c r="J3816" s="14"/>
      <c r="K3816" s="14"/>
      <c r="L3816" s="14"/>
      <c r="M3816" s="15"/>
      <c r="N3816" s="10"/>
      <c r="O3816" s="14"/>
      <c r="P3816" s="14"/>
      <c r="Q3816" s="14"/>
      <c r="R3816" s="14"/>
      <c r="S3816" s="14"/>
      <c r="T3816" s="14"/>
      <c r="U3816" s="14"/>
      <c r="V3816" s="14"/>
      <c r="W3816" s="14"/>
      <c r="X3816" s="14"/>
      <c r="Y3816" s="14"/>
      <c r="Z3816" s="14"/>
      <c r="AA3816" s="16"/>
      <c r="AB3816" s="10"/>
      <c r="AC3816" s="10"/>
      <c r="AD3816" s="10"/>
      <c r="AE3816" s="10"/>
      <c r="AF3816" s="10"/>
      <c r="AG3816" s="10"/>
      <c r="AH3816" s="10"/>
      <c r="AI3816" s="10"/>
      <c r="AJ3816" s="10"/>
      <c r="AK3816" s="10"/>
      <c r="AL3816" s="10"/>
      <c r="AM3816" s="10"/>
      <c r="AN3816" s="10"/>
      <c r="AO3816" s="10"/>
      <c r="AP3816" s="10"/>
      <c r="AQ3816" s="10"/>
      <c r="AR3816" s="10"/>
      <c r="AS3816" s="10"/>
      <c r="AT3816" s="10"/>
      <c r="AU3816" s="10"/>
      <c r="AV3816" s="10"/>
      <c r="AW3816" s="10"/>
      <c r="AX3816" s="10"/>
      <c r="AY3816" s="10"/>
      <c r="AZ3816" s="10"/>
      <c r="BA3816" s="10"/>
      <c r="BB3816" s="10"/>
      <c r="BC3816" s="10"/>
      <c r="BD3816" s="10"/>
      <c r="BE3816" s="10"/>
      <c r="BF3816" s="10"/>
      <c r="BG3816" s="10"/>
      <c r="BH3816" s="10"/>
      <c r="BI3816" s="10"/>
      <c r="BJ3816" s="10"/>
      <c r="BK3816" s="10"/>
      <c r="BM3816" s="10"/>
    </row>
    <row r="3817" spans="1:65" ht="12.75">
      <c r="A3817" s="9"/>
      <c r="B3817" s="10"/>
      <c r="C3817" s="11"/>
      <c r="D3817" s="12"/>
      <c r="E3817" s="10"/>
      <c r="F3817" s="10"/>
      <c r="G3817" s="10"/>
      <c r="H3817" s="14"/>
      <c r="I3817" s="14"/>
      <c r="J3817" s="14"/>
      <c r="K3817" s="14"/>
      <c r="L3817" s="14"/>
      <c r="M3817" s="15"/>
      <c r="N3817" s="10"/>
      <c r="O3817" s="14"/>
      <c r="P3817" s="14"/>
      <c r="Q3817" s="14"/>
      <c r="R3817" s="14"/>
      <c r="S3817" s="14"/>
      <c r="T3817" s="14"/>
      <c r="U3817" s="14"/>
      <c r="V3817" s="14"/>
      <c r="W3817" s="14"/>
      <c r="X3817" s="14"/>
      <c r="Y3817" s="14"/>
      <c r="Z3817" s="14"/>
      <c r="AA3817" s="16"/>
      <c r="AB3817" s="10"/>
      <c r="AC3817" s="10"/>
      <c r="AD3817" s="10"/>
      <c r="AE3817" s="10"/>
      <c r="AF3817" s="10"/>
      <c r="AG3817" s="10"/>
      <c r="AH3817" s="10"/>
      <c r="AI3817" s="10"/>
      <c r="AJ3817" s="10"/>
      <c r="AK3817" s="10"/>
      <c r="AL3817" s="10"/>
      <c r="AM3817" s="10"/>
      <c r="AN3817" s="10"/>
      <c r="AO3817" s="10"/>
      <c r="AP3817" s="10"/>
      <c r="AQ3817" s="10"/>
      <c r="AR3817" s="10"/>
      <c r="AS3817" s="10"/>
      <c r="AT3817" s="10"/>
      <c r="AU3817" s="10"/>
      <c r="AV3817" s="10"/>
      <c r="AW3817" s="10"/>
      <c r="AX3817" s="10"/>
      <c r="AY3817" s="10"/>
      <c r="AZ3817" s="10"/>
      <c r="BA3817" s="10"/>
      <c r="BB3817" s="10"/>
      <c r="BC3817" s="10"/>
      <c r="BD3817" s="10"/>
      <c r="BE3817" s="10"/>
      <c r="BF3817" s="10"/>
      <c r="BG3817" s="10"/>
      <c r="BH3817" s="10"/>
      <c r="BI3817" s="10"/>
      <c r="BJ3817" s="10"/>
      <c r="BK3817" s="10"/>
      <c r="BM3817" s="10"/>
    </row>
    <row r="3818" spans="1:65" ht="12.75">
      <c r="A3818" s="9"/>
      <c r="B3818" s="10"/>
      <c r="C3818" s="11"/>
      <c r="D3818" s="12"/>
      <c r="E3818" s="10"/>
      <c r="F3818" s="10"/>
      <c r="G3818" s="10"/>
      <c r="H3818" s="14"/>
      <c r="I3818" s="14"/>
      <c r="J3818" s="14"/>
      <c r="K3818" s="14"/>
      <c r="L3818" s="14"/>
      <c r="M3818" s="15"/>
      <c r="N3818" s="10"/>
      <c r="O3818" s="14"/>
      <c r="P3818" s="14"/>
      <c r="Q3818" s="14"/>
      <c r="R3818" s="14"/>
      <c r="S3818" s="14"/>
      <c r="T3818" s="14"/>
      <c r="U3818" s="14"/>
      <c r="V3818" s="14"/>
      <c r="W3818" s="14"/>
      <c r="X3818" s="14"/>
      <c r="Y3818" s="14"/>
      <c r="Z3818" s="14"/>
      <c r="AA3818" s="16"/>
      <c r="AB3818" s="10"/>
      <c r="AC3818" s="10"/>
      <c r="AD3818" s="10"/>
      <c r="AE3818" s="10"/>
      <c r="AF3818" s="10"/>
      <c r="AG3818" s="10"/>
      <c r="AH3818" s="10"/>
      <c r="AI3818" s="10"/>
      <c r="AJ3818" s="10"/>
      <c r="AK3818" s="10"/>
      <c r="AL3818" s="10"/>
      <c r="AM3818" s="10"/>
      <c r="AN3818" s="10"/>
      <c r="AO3818" s="10"/>
      <c r="AP3818" s="10"/>
      <c r="AQ3818" s="10"/>
      <c r="AR3818" s="10"/>
      <c r="AS3818" s="10"/>
      <c r="AT3818" s="10"/>
      <c r="AU3818" s="10"/>
      <c r="AV3818" s="10"/>
      <c r="AW3818" s="10"/>
      <c r="AX3818" s="10"/>
      <c r="AY3818" s="10"/>
      <c r="AZ3818" s="10"/>
      <c r="BA3818" s="10"/>
      <c r="BB3818" s="10"/>
      <c r="BC3818" s="10"/>
      <c r="BD3818" s="10"/>
      <c r="BE3818" s="10"/>
      <c r="BF3818" s="10"/>
      <c r="BG3818" s="10"/>
      <c r="BH3818" s="10"/>
      <c r="BI3818" s="10"/>
      <c r="BJ3818" s="10"/>
      <c r="BK3818" s="10"/>
      <c r="BM3818" s="10"/>
    </row>
    <row r="3819" spans="1:65" ht="12.75">
      <c r="A3819" s="9"/>
      <c r="B3819" s="10"/>
      <c r="C3819" s="11"/>
      <c r="D3819" s="12"/>
      <c r="E3819" s="10"/>
      <c r="F3819" s="10"/>
      <c r="G3819" s="10"/>
      <c r="H3819" s="14"/>
      <c r="I3819" s="14"/>
      <c r="J3819" s="14"/>
      <c r="K3819" s="14"/>
      <c r="L3819" s="14"/>
      <c r="M3819" s="15"/>
      <c r="N3819" s="10"/>
      <c r="O3819" s="14"/>
      <c r="P3819" s="14"/>
      <c r="Q3819" s="14"/>
      <c r="R3819" s="14"/>
      <c r="S3819" s="14"/>
      <c r="T3819" s="14"/>
      <c r="U3819" s="14"/>
      <c r="V3819" s="14"/>
      <c r="W3819" s="14"/>
      <c r="X3819" s="14"/>
      <c r="Y3819" s="14"/>
      <c r="Z3819" s="14"/>
      <c r="AA3819" s="16"/>
      <c r="AB3819" s="10"/>
      <c r="AC3819" s="10"/>
      <c r="AD3819" s="10"/>
      <c r="AE3819" s="10"/>
      <c r="AF3819" s="10"/>
      <c r="AG3819" s="10"/>
      <c r="AH3819" s="10"/>
      <c r="AI3819" s="10"/>
      <c r="AJ3819" s="10"/>
      <c r="AK3819" s="10"/>
      <c r="AL3819" s="10"/>
      <c r="AM3819" s="10"/>
      <c r="AN3819" s="10"/>
      <c r="AO3819" s="10"/>
      <c r="AP3819" s="10"/>
      <c r="AQ3819" s="10"/>
      <c r="AR3819" s="10"/>
      <c r="AS3819" s="10"/>
      <c r="AT3819" s="10"/>
      <c r="AU3819" s="10"/>
      <c r="AV3819" s="10"/>
      <c r="AW3819" s="10"/>
      <c r="AX3819" s="10"/>
      <c r="AY3819" s="10"/>
      <c r="AZ3819" s="10"/>
      <c r="BA3819" s="10"/>
      <c r="BB3819" s="10"/>
      <c r="BC3819" s="10"/>
      <c r="BD3819" s="10"/>
      <c r="BE3819" s="10"/>
      <c r="BF3819" s="10"/>
      <c r="BG3819" s="10"/>
      <c r="BH3819" s="10"/>
      <c r="BI3819" s="10"/>
      <c r="BJ3819" s="10"/>
      <c r="BK3819" s="10"/>
      <c r="BM3819" s="10"/>
    </row>
    <row r="3820" spans="1:65" ht="12.75">
      <c r="A3820" s="9"/>
      <c r="B3820" s="10"/>
      <c r="C3820" s="11"/>
      <c r="D3820" s="12"/>
      <c r="E3820" s="10"/>
      <c r="F3820" s="10"/>
      <c r="G3820" s="10"/>
      <c r="H3820" s="14"/>
      <c r="I3820" s="14"/>
      <c r="J3820" s="14"/>
      <c r="K3820" s="14"/>
      <c r="L3820" s="14"/>
      <c r="M3820" s="15"/>
      <c r="N3820" s="10"/>
      <c r="O3820" s="14"/>
      <c r="P3820" s="14"/>
      <c r="Q3820" s="14"/>
      <c r="R3820" s="14"/>
      <c r="S3820" s="14"/>
      <c r="T3820" s="14"/>
      <c r="U3820" s="14"/>
      <c r="V3820" s="14"/>
      <c r="W3820" s="14"/>
      <c r="X3820" s="14"/>
      <c r="Y3820" s="14"/>
      <c r="Z3820" s="14"/>
      <c r="AA3820" s="16"/>
      <c r="AB3820" s="10"/>
      <c r="AC3820" s="10"/>
      <c r="AD3820" s="10"/>
      <c r="AE3820" s="10"/>
      <c r="AF3820" s="10"/>
      <c r="AG3820" s="10"/>
      <c r="AH3820" s="10"/>
      <c r="AI3820" s="10"/>
      <c r="AJ3820" s="10"/>
      <c r="AK3820" s="10"/>
      <c r="AL3820" s="10"/>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c r="BG3820" s="10"/>
      <c r="BH3820" s="10"/>
      <c r="BI3820" s="10"/>
      <c r="BJ3820" s="10"/>
      <c r="BK3820" s="10"/>
      <c r="BM3820" s="10"/>
    </row>
    <row r="3821" spans="1:65" ht="12.75">
      <c r="A3821" s="9"/>
      <c r="B3821" s="10"/>
      <c r="C3821" s="11"/>
      <c r="D3821" s="12"/>
      <c r="E3821" s="10"/>
      <c r="F3821" s="10"/>
      <c r="G3821" s="10"/>
      <c r="H3821" s="14"/>
      <c r="I3821" s="14"/>
      <c r="J3821" s="14"/>
      <c r="K3821" s="14"/>
      <c r="L3821" s="14"/>
      <c r="M3821" s="15"/>
      <c r="N3821" s="10"/>
      <c r="O3821" s="14"/>
      <c r="P3821" s="14"/>
      <c r="Q3821" s="14"/>
      <c r="R3821" s="14"/>
      <c r="S3821" s="14"/>
      <c r="T3821" s="14"/>
      <c r="U3821" s="14"/>
      <c r="V3821" s="14"/>
      <c r="W3821" s="14"/>
      <c r="X3821" s="14"/>
      <c r="Y3821" s="14"/>
      <c r="Z3821" s="14"/>
      <c r="AA3821" s="16"/>
      <c r="AB3821" s="10"/>
      <c r="AC3821" s="10"/>
      <c r="AD3821" s="10"/>
      <c r="AE3821" s="10"/>
      <c r="AF3821" s="10"/>
      <c r="AG3821" s="10"/>
      <c r="AH3821" s="10"/>
      <c r="AI3821" s="10"/>
      <c r="AJ3821" s="10"/>
      <c r="AK3821" s="10"/>
      <c r="AL3821" s="10"/>
      <c r="AM3821" s="10"/>
      <c r="AN3821" s="10"/>
      <c r="AO3821" s="10"/>
      <c r="AP3821" s="10"/>
      <c r="AQ3821" s="10"/>
      <c r="AR3821" s="10"/>
      <c r="AS3821" s="10"/>
      <c r="AT3821" s="10"/>
      <c r="AU3821" s="10"/>
      <c r="AV3821" s="10"/>
      <c r="AW3821" s="10"/>
      <c r="AX3821" s="10"/>
      <c r="AY3821" s="10"/>
      <c r="AZ3821" s="10"/>
      <c r="BA3821" s="10"/>
      <c r="BB3821" s="10"/>
      <c r="BC3821" s="10"/>
      <c r="BD3821" s="10"/>
      <c r="BE3821" s="10"/>
      <c r="BF3821" s="10"/>
      <c r="BG3821" s="10"/>
      <c r="BH3821" s="10"/>
      <c r="BI3821" s="10"/>
      <c r="BJ3821" s="10"/>
      <c r="BK3821" s="10"/>
      <c r="BM3821" s="10"/>
    </row>
    <row r="3822" spans="1:65" ht="12.75">
      <c r="A3822" s="9"/>
      <c r="B3822" s="10"/>
      <c r="C3822" s="11"/>
      <c r="D3822" s="12"/>
      <c r="E3822" s="10"/>
      <c r="F3822" s="10"/>
      <c r="G3822" s="10"/>
      <c r="H3822" s="14"/>
      <c r="I3822" s="14"/>
      <c r="J3822" s="14"/>
      <c r="K3822" s="14"/>
      <c r="L3822" s="14"/>
      <c r="M3822" s="15"/>
      <c r="N3822" s="10"/>
      <c r="O3822" s="14"/>
      <c r="P3822" s="14"/>
      <c r="Q3822" s="14"/>
      <c r="R3822" s="14"/>
      <c r="S3822" s="14"/>
      <c r="T3822" s="14"/>
      <c r="U3822" s="14"/>
      <c r="V3822" s="14"/>
      <c r="W3822" s="14"/>
      <c r="X3822" s="14"/>
      <c r="Y3822" s="14"/>
      <c r="Z3822" s="14"/>
      <c r="AA3822" s="16"/>
      <c r="AB3822" s="10"/>
      <c r="AC3822" s="10"/>
      <c r="AD3822" s="10"/>
      <c r="AE3822" s="10"/>
      <c r="AF3822" s="10"/>
      <c r="AG3822" s="10"/>
      <c r="AH3822" s="10"/>
      <c r="AI3822" s="10"/>
      <c r="AJ3822" s="10"/>
      <c r="AK3822" s="10"/>
      <c r="AL3822" s="10"/>
      <c r="AM3822" s="10"/>
      <c r="AN3822" s="10"/>
      <c r="AO3822" s="10"/>
      <c r="AP3822" s="10"/>
      <c r="AQ3822" s="10"/>
      <c r="AR3822" s="10"/>
      <c r="AS3822" s="10"/>
      <c r="AT3822" s="10"/>
      <c r="AU3822" s="10"/>
      <c r="AV3822" s="10"/>
      <c r="AW3822" s="10"/>
      <c r="AX3822" s="10"/>
      <c r="AY3822" s="10"/>
      <c r="AZ3822" s="10"/>
      <c r="BA3822" s="10"/>
      <c r="BB3822" s="10"/>
      <c r="BC3822" s="10"/>
      <c r="BD3822" s="10"/>
      <c r="BE3822" s="10"/>
      <c r="BF3822" s="10"/>
      <c r="BG3822" s="10"/>
      <c r="BH3822" s="10"/>
      <c r="BI3822" s="10"/>
      <c r="BJ3822" s="10"/>
      <c r="BK3822" s="10"/>
      <c r="BM3822" s="10"/>
    </row>
    <row r="3823" spans="1:65" ht="12.75">
      <c r="A3823" s="9"/>
      <c r="B3823" s="10"/>
      <c r="C3823" s="11"/>
      <c r="D3823" s="12"/>
      <c r="E3823" s="10"/>
      <c r="F3823" s="10"/>
      <c r="G3823" s="10"/>
      <c r="H3823" s="14"/>
      <c r="I3823" s="14"/>
      <c r="J3823" s="14"/>
      <c r="K3823" s="14"/>
      <c r="L3823" s="14"/>
      <c r="M3823" s="15"/>
      <c r="N3823" s="10"/>
      <c r="O3823" s="14"/>
      <c r="P3823" s="14"/>
      <c r="Q3823" s="14"/>
      <c r="R3823" s="14"/>
      <c r="S3823" s="14"/>
      <c r="T3823" s="14"/>
      <c r="U3823" s="14"/>
      <c r="V3823" s="14"/>
      <c r="W3823" s="14"/>
      <c r="X3823" s="14"/>
      <c r="Y3823" s="14"/>
      <c r="Z3823" s="14"/>
      <c r="AA3823" s="16"/>
      <c r="AB3823" s="10"/>
      <c r="AC3823" s="10"/>
      <c r="AD3823" s="10"/>
      <c r="AE3823" s="10"/>
      <c r="AF3823" s="10"/>
      <c r="AG3823" s="10"/>
      <c r="AH3823" s="10"/>
      <c r="AI3823" s="10"/>
      <c r="AJ3823" s="10"/>
      <c r="AK3823" s="10"/>
      <c r="AL3823" s="10"/>
      <c r="AM3823" s="10"/>
      <c r="AN3823" s="10"/>
      <c r="AO3823" s="10"/>
      <c r="AP3823" s="10"/>
      <c r="AQ3823" s="10"/>
      <c r="AR3823" s="10"/>
      <c r="AS3823" s="10"/>
      <c r="AT3823" s="10"/>
      <c r="AU3823" s="10"/>
      <c r="AV3823" s="10"/>
      <c r="AW3823" s="10"/>
      <c r="AX3823" s="10"/>
      <c r="AY3823" s="10"/>
      <c r="AZ3823" s="10"/>
      <c r="BA3823" s="10"/>
      <c r="BB3823" s="10"/>
      <c r="BC3823" s="10"/>
      <c r="BD3823" s="10"/>
      <c r="BE3823" s="10"/>
      <c r="BF3823" s="10"/>
      <c r="BG3823" s="10"/>
      <c r="BH3823" s="10"/>
      <c r="BI3823" s="10"/>
      <c r="BJ3823" s="10"/>
      <c r="BK3823" s="10"/>
      <c r="BM3823" s="10"/>
    </row>
    <row r="3824" spans="1:65" ht="12.75">
      <c r="A3824" s="9"/>
      <c r="B3824" s="10"/>
      <c r="C3824" s="11"/>
      <c r="D3824" s="12"/>
      <c r="E3824" s="10"/>
      <c r="F3824" s="10"/>
      <c r="G3824" s="10"/>
      <c r="H3824" s="14"/>
      <c r="I3824" s="14"/>
      <c r="J3824" s="14"/>
      <c r="K3824" s="14"/>
      <c r="L3824" s="14"/>
      <c r="M3824" s="15"/>
      <c r="N3824" s="10"/>
      <c r="O3824" s="14"/>
      <c r="P3824" s="14"/>
      <c r="Q3824" s="14"/>
      <c r="R3824" s="14"/>
      <c r="S3824" s="14"/>
      <c r="T3824" s="14"/>
      <c r="U3824" s="14"/>
      <c r="V3824" s="14"/>
      <c r="W3824" s="14"/>
      <c r="X3824" s="14"/>
      <c r="Y3824" s="14"/>
      <c r="Z3824" s="14"/>
      <c r="AA3824" s="16"/>
      <c r="AB3824" s="10"/>
      <c r="AC3824" s="10"/>
      <c r="AD3824" s="10"/>
      <c r="AE3824" s="10"/>
      <c r="AF3824" s="10"/>
      <c r="AG3824" s="10"/>
      <c r="AH3824" s="10"/>
      <c r="AI3824" s="10"/>
      <c r="AJ3824" s="10"/>
      <c r="AK3824" s="10"/>
      <c r="AL3824" s="10"/>
      <c r="AM3824" s="10"/>
      <c r="AN3824" s="10"/>
      <c r="AO3824" s="10"/>
      <c r="AP3824" s="10"/>
      <c r="AQ3824" s="10"/>
      <c r="AR3824" s="10"/>
      <c r="AS3824" s="10"/>
      <c r="AT3824" s="10"/>
      <c r="AU3824" s="10"/>
      <c r="AV3824" s="10"/>
      <c r="AW3824" s="10"/>
      <c r="AX3824" s="10"/>
      <c r="AY3824" s="10"/>
      <c r="AZ3824" s="10"/>
      <c r="BA3824" s="10"/>
      <c r="BB3824" s="10"/>
      <c r="BC3824" s="10"/>
      <c r="BD3824" s="10"/>
      <c r="BE3824" s="10"/>
      <c r="BF3824" s="10"/>
      <c r="BG3824" s="10"/>
      <c r="BH3824" s="10"/>
      <c r="BI3824" s="10"/>
      <c r="BJ3824" s="10"/>
      <c r="BK3824" s="10"/>
      <c r="BM3824" s="10"/>
    </row>
    <row r="3825" spans="1:65" ht="12.75">
      <c r="A3825" s="9"/>
      <c r="B3825" s="10"/>
      <c r="C3825" s="11"/>
      <c r="D3825" s="12"/>
      <c r="E3825" s="10"/>
      <c r="F3825" s="10"/>
      <c r="G3825" s="10"/>
      <c r="H3825" s="14"/>
      <c r="I3825" s="14"/>
      <c r="J3825" s="14"/>
      <c r="K3825" s="14"/>
      <c r="L3825" s="14"/>
      <c r="M3825" s="15"/>
      <c r="N3825" s="10"/>
      <c r="O3825" s="14"/>
      <c r="P3825" s="14"/>
      <c r="Q3825" s="14"/>
      <c r="R3825" s="14"/>
      <c r="S3825" s="14"/>
      <c r="T3825" s="14"/>
      <c r="U3825" s="14"/>
      <c r="V3825" s="14"/>
      <c r="W3825" s="14"/>
      <c r="X3825" s="14"/>
      <c r="Y3825" s="14"/>
      <c r="Z3825" s="14"/>
      <c r="AA3825" s="16"/>
      <c r="AB3825" s="10"/>
      <c r="AC3825" s="10"/>
      <c r="AD3825" s="10"/>
      <c r="AE3825" s="10"/>
      <c r="AF3825" s="10"/>
      <c r="AG3825" s="10"/>
      <c r="AH3825" s="10"/>
      <c r="AI3825" s="10"/>
      <c r="AJ3825" s="10"/>
      <c r="AK3825" s="10"/>
      <c r="AL3825" s="10"/>
      <c r="AM3825" s="10"/>
      <c r="AN3825" s="10"/>
      <c r="AO3825" s="10"/>
      <c r="AP3825" s="10"/>
      <c r="AQ3825" s="10"/>
      <c r="AR3825" s="10"/>
      <c r="AS3825" s="10"/>
      <c r="AT3825" s="10"/>
      <c r="AU3825" s="10"/>
      <c r="AV3825" s="10"/>
      <c r="AW3825" s="10"/>
      <c r="AX3825" s="10"/>
      <c r="AY3825" s="10"/>
      <c r="AZ3825" s="10"/>
      <c r="BA3825" s="10"/>
      <c r="BB3825" s="10"/>
      <c r="BC3825" s="10"/>
      <c r="BD3825" s="10"/>
      <c r="BE3825" s="10"/>
      <c r="BF3825" s="10"/>
      <c r="BG3825" s="10"/>
      <c r="BH3825" s="10"/>
      <c r="BI3825" s="10"/>
      <c r="BJ3825" s="10"/>
      <c r="BK3825" s="10"/>
      <c r="BM3825" s="10"/>
    </row>
    <row r="3826" spans="1:65" ht="12.75">
      <c r="A3826" s="9"/>
      <c r="B3826" s="10"/>
      <c r="C3826" s="11"/>
      <c r="D3826" s="12"/>
      <c r="E3826" s="10"/>
      <c r="F3826" s="10"/>
      <c r="G3826" s="10"/>
      <c r="H3826" s="14"/>
      <c r="I3826" s="14"/>
      <c r="J3826" s="14"/>
      <c r="K3826" s="14"/>
      <c r="L3826" s="14"/>
      <c r="M3826" s="15"/>
      <c r="N3826" s="10"/>
      <c r="O3826" s="14"/>
      <c r="P3826" s="14"/>
      <c r="Q3826" s="14"/>
      <c r="R3826" s="14"/>
      <c r="S3826" s="14"/>
      <c r="T3826" s="14"/>
      <c r="U3826" s="14"/>
      <c r="V3826" s="14"/>
      <c r="W3826" s="14"/>
      <c r="X3826" s="14"/>
      <c r="Y3826" s="14"/>
      <c r="Z3826" s="14"/>
      <c r="AA3826" s="16"/>
      <c r="AB3826" s="10"/>
      <c r="AC3826" s="10"/>
      <c r="AD3826" s="10"/>
      <c r="AE3826" s="10"/>
      <c r="AF3826" s="10"/>
      <c r="AG3826" s="10"/>
      <c r="AH3826" s="10"/>
      <c r="AI3826" s="10"/>
      <c r="AJ3826" s="10"/>
      <c r="AK3826" s="10"/>
      <c r="AL3826" s="10"/>
      <c r="AM3826" s="10"/>
      <c r="AN3826" s="10"/>
      <c r="AO3826" s="10"/>
      <c r="AP3826" s="10"/>
      <c r="AQ3826" s="10"/>
      <c r="AR3826" s="10"/>
      <c r="AS3826" s="10"/>
      <c r="AT3826" s="10"/>
      <c r="AU3826" s="10"/>
      <c r="AV3826" s="10"/>
      <c r="AW3826" s="10"/>
      <c r="AX3826" s="10"/>
      <c r="AY3826" s="10"/>
      <c r="AZ3826" s="10"/>
      <c r="BA3826" s="10"/>
      <c r="BB3826" s="10"/>
      <c r="BC3826" s="10"/>
      <c r="BD3826" s="10"/>
      <c r="BE3826" s="10"/>
      <c r="BF3826" s="10"/>
      <c r="BG3826" s="10"/>
      <c r="BH3826" s="10"/>
      <c r="BI3826" s="10"/>
      <c r="BJ3826" s="10"/>
      <c r="BK3826" s="10"/>
      <c r="BM3826" s="10"/>
    </row>
    <row r="3827" spans="1:65" ht="12.75">
      <c r="A3827" s="9"/>
      <c r="B3827" s="10"/>
      <c r="C3827" s="11"/>
      <c r="D3827" s="12"/>
      <c r="E3827" s="10"/>
      <c r="F3827" s="10"/>
      <c r="G3827" s="10"/>
      <c r="H3827" s="14"/>
      <c r="I3827" s="14"/>
      <c r="J3827" s="14"/>
      <c r="K3827" s="14"/>
      <c r="L3827" s="14"/>
      <c r="M3827" s="15"/>
      <c r="N3827" s="10"/>
      <c r="O3827" s="14"/>
      <c r="P3827" s="14"/>
      <c r="Q3827" s="14"/>
      <c r="R3827" s="14"/>
      <c r="S3827" s="14"/>
      <c r="T3827" s="14"/>
      <c r="U3827" s="14"/>
      <c r="V3827" s="14"/>
      <c r="W3827" s="14"/>
      <c r="X3827" s="14"/>
      <c r="Y3827" s="14"/>
      <c r="Z3827" s="14"/>
      <c r="AA3827" s="16"/>
      <c r="AB3827" s="10"/>
      <c r="AC3827" s="10"/>
      <c r="AD3827" s="10"/>
      <c r="AE3827" s="10"/>
      <c r="AF3827" s="10"/>
      <c r="AG3827" s="10"/>
      <c r="AH3827" s="10"/>
      <c r="AI3827" s="10"/>
      <c r="AJ3827" s="10"/>
      <c r="AK3827" s="10"/>
      <c r="AL3827" s="10"/>
      <c r="AM3827" s="10"/>
      <c r="AN3827" s="10"/>
      <c r="AO3827" s="10"/>
      <c r="AP3827" s="10"/>
      <c r="AQ3827" s="10"/>
      <c r="AR3827" s="10"/>
      <c r="AS3827" s="10"/>
      <c r="AT3827" s="10"/>
      <c r="AU3827" s="10"/>
      <c r="AV3827" s="10"/>
      <c r="AW3827" s="10"/>
      <c r="AX3827" s="10"/>
      <c r="AY3827" s="10"/>
      <c r="AZ3827" s="10"/>
      <c r="BA3827" s="10"/>
      <c r="BB3827" s="10"/>
      <c r="BC3827" s="10"/>
      <c r="BD3827" s="10"/>
      <c r="BE3827" s="10"/>
      <c r="BF3827" s="10"/>
      <c r="BG3827" s="10"/>
      <c r="BH3827" s="10"/>
      <c r="BI3827" s="10"/>
      <c r="BJ3827" s="10"/>
      <c r="BK3827" s="10"/>
      <c r="BM3827" s="10"/>
    </row>
    <row r="3828" spans="1:65" ht="12.75">
      <c r="A3828" s="9"/>
      <c r="B3828" s="10"/>
      <c r="C3828" s="11"/>
      <c r="D3828" s="12"/>
      <c r="E3828" s="10"/>
      <c r="F3828" s="10"/>
      <c r="G3828" s="10"/>
      <c r="H3828" s="14"/>
      <c r="I3828" s="14"/>
      <c r="J3828" s="14"/>
      <c r="K3828" s="14"/>
      <c r="L3828" s="14"/>
      <c r="M3828" s="15"/>
      <c r="N3828" s="10"/>
      <c r="O3828" s="14"/>
      <c r="P3828" s="14"/>
      <c r="Q3828" s="14"/>
      <c r="R3828" s="14"/>
      <c r="S3828" s="14"/>
      <c r="T3828" s="14"/>
      <c r="U3828" s="14"/>
      <c r="V3828" s="14"/>
      <c r="W3828" s="14"/>
      <c r="X3828" s="14"/>
      <c r="Y3828" s="14"/>
      <c r="Z3828" s="14"/>
      <c r="AA3828" s="16"/>
      <c r="AB3828" s="10"/>
      <c r="AC3828" s="10"/>
      <c r="AD3828" s="10"/>
      <c r="AE3828" s="10"/>
      <c r="AF3828" s="10"/>
      <c r="AG3828" s="10"/>
      <c r="AH3828" s="10"/>
      <c r="AI3828" s="10"/>
      <c r="AJ3828" s="10"/>
      <c r="AK3828" s="10"/>
      <c r="AL3828" s="10"/>
      <c r="AM3828" s="10"/>
      <c r="AN3828" s="10"/>
      <c r="AO3828" s="10"/>
      <c r="AP3828" s="10"/>
      <c r="AQ3828" s="10"/>
      <c r="AR3828" s="10"/>
      <c r="AS3828" s="10"/>
      <c r="AT3828" s="10"/>
      <c r="AU3828" s="10"/>
      <c r="AV3828" s="10"/>
      <c r="AW3828" s="10"/>
      <c r="AX3828" s="10"/>
      <c r="AY3828" s="10"/>
      <c r="AZ3828" s="10"/>
      <c r="BA3828" s="10"/>
      <c r="BB3828" s="10"/>
      <c r="BC3828" s="10"/>
      <c r="BD3828" s="10"/>
      <c r="BE3828" s="10"/>
      <c r="BF3828" s="10"/>
      <c r="BG3828" s="10"/>
      <c r="BH3828" s="10"/>
      <c r="BI3828" s="10"/>
      <c r="BJ3828" s="10"/>
      <c r="BK3828" s="10"/>
      <c r="BM3828" s="10"/>
    </row>
    <row r="3829" spans="1:65" ht="12.75">
      <c r="A3829" s="9"/>
      <c r="B3829" s="10"/>
      <c r="C3829" s="11"/>
      <c r="D3829" s="12"/>
      <c r="E3829" s="10"/>
      <c r="F3829" s="10"/>
      <c r="G3829" s="10"/>
      <c r="H3829" s="14"/>
      <c r="I3829" s="14"/>
      <c r="J3829" s="14"/>
      <c r="K3829" s="14"/>
      <c r="L3829" s="14"/>
      <c r="M3829" s="15"/>
      <c r="N3829" s="10"/>
      <c r="O3829" s="14"/>
      <c r="P3829" s="14"/>
      <c r="Q3829" s="14"/>
      <c r="R3829" s="14"/>
      <c r="S3829" s="14"/>
      <c r="T3829" s="14"/>
      <c r="U3829" s="14"/>
      <c r="V3829" s="14"/>
      <c r="W3829" s="14"/>
      <c r="X3829" s="14"/>
      <c r="Y3829" s="14"/>
      <c r="Z3829" s="14"/>
      <c r="AA3829" s="16"/>
      <c r="AB3829" s="10"/>
      <c r="AC3829" s="10"/>
      <c r="AD3829" s="10"/>
      <c r="AE3829" s="10"/>
      <c r="AF3829" s="10"/>
      <c r="AG3829" s="10"/>
      <c r="AH3829" s="10"/>
      <c r="AI3829" s="10"/>
      <c r="AJ3829" s="10"/>
      <c r="AK3829" s="10"/>
      <c r="AL3829" s="10"/>
      <c r="AM3829" s="10"/>
      <c r="AN3829" s="10"/>
      <c r="AO3829" s="10"/>
      <c r="AP3829" s="10"/>
      <c r="AQ3829" s="10"/>
      <c r="AR3829" s="10"/>
      <c r="AS3829" s="10"/>
      <c r="AT3829" s="10"/>
      <c r="AU3829" s="10"/>
      <c r="AV3829" s="10"/>
      <c r="AW3829" s="10"/>
      <c r="AX3829" s="10"/>
      <c r="AY3829" s="10"/>
      <c r="AZ3829" s="10"/>
      <c r="BA3829" s="10"/>
      <c r="BB3829" s="10"/>
      <c r="BC3829" s="10"/>
      <c r="BD3829" s="10"/>
      <c r="BE3829" s="10"/>
      <c r="BF3829" s="10"/>
      <c r="BG3829" s="10"/>
      <c r="BH3829" s="10"/>
      <c r="BI3829" s="10"/>
      <c r="BJ3829" s="10"/>
      <c r="BK3829" s="10"/>
      <c r="BM3829" s="10"/>
    </row>
    <row r="3830" spans="1:65" ht="12.75">
      <c r="A3830" s="9"/>
      <c r="B3830" s="10"/>
      <c r="C3830" s="11"/>
      <c r="D3830" s="12"/>
      <c r="E3830" s="10"/>
      <c r="F3830" s="10"/>
      <c r="G3830" s="10"/>
      <c r="H3830" s="14"/>
      <c r="I3830" s="14"/>
      <c r="J3830" s="14"/>
      <c r="K3830" s="14"/>
      <c r="L3830" s="14"/>
      <c r="M3830" s="15"/>
      <c r="N3830" s="10"/>
      <c r="O3830" s="14"/>
      <c r="P3830" s="14"/>
      <c r="Q3830" s="14"/>
      <c r="R3830" s="14"/>
      <c r="S3830" s="14"/>
      <c r="T3830" s="14"/>
      <c r="U3830" s="14"/>
      <c r="V3830" s="14"/>
      <c r="W3830" s="14"/>
      <c r="X3830" s="14"/>
      <c r="Y3830" s="14"/>
      <c r="Z3830" s="14"/>
      <c r="AA3830" s="16"/>
      <c r="AB3830" s="10"/>
      <c r="AC3830" s="10"/>
      <c r="AD3830" s="10"/>
      <c r="AE3830" s="10"/>
      <c r="AF3830" s="10"/>
      <c r="AG3830" s="10"/>
      <c r="AH3830" s="10"/>
      <c r="AI3830" s="10"/>
      <c r="AJ3830" s="10"/>
      <c r="AK3830" s="10"/>
      <c r="AL3830" s="10"/>
      <c r="AM3830" s="10"/>
      <c r="AN3830" s="10"/>
      <c r="AO3830" s="10"/>
      <c r="AP3830" s="10"/>
      <c r="AQ3830" s="10"/>
      <c r="AR3830" s="10"/>
      <c r="AS3830" s="10"/>
      <c r="AT3830" s="10"/>
      <c r="AU3830" s="10"/>
      <c r="AV3830" s="10"/>
      <c r="AW3830" s="10"/>
      <c r="AX3830" s="10"/>
      <c r="AY3830" s="10"/>
      <c r="AZ3830" s="10"/>
      <c r="BA3830" s="10"/>
      <c r="BB3830" s="10"/>
      <c r="BC3830" s="10"/>
      <c r="BD3830" s="10"/>
      <c r="BE3830" s="10"/>
      <c r="BF3830" s="10"/>
      <c r="BG3830" s="10"/>
      <c r="BH3830" s="10"/>
      <c r="BI3830" s="10"/>
      <c r="BJ3830" s="10"/>
      <c r="BK3830" s="10"/>
      <c r="BM3830" s="10"/>
    </row>
    <row r="3831" spans="1:65" ht="12.75">
      <c r="A3831" s="9"/>
      <c r="B3831" s="10"/>
      <c r="C3831" s="11"/>
      <c r="D3831" s="12"/>
      <c r="E3831" s="10"/>
      <c r="F3831" s="10"/>
      <c r="G3831" s="10"/>
      <c r="H3831" s="14"/>
      <c r="I3831" s="14"/>
      <c r="J3831" s="14"/>
      <c r="K3831" s="14"/>
      <c r="L3831" s="14"/>
      <c r="M3831" s="15"/>
      <c r="N3831" s="10"/>
      <c r="O3831" s="14"/>
      <c r="P3831" s="14"/>
      <c r="Q3831" s="14"/>
      <c r="R3831" s="14"/>
      <c r="S3831" s="14"/>
      <c r="T3831" s="14"/>
      <c r="U3831" s="14"/>
      <c r="V3831" s="14"/>
      <c r="W3831" s="14"/>
      <c r="X3831" s="14"/>
      <c r="Y3831" s="14"/>
      <c r="Z3831" s="14"/>
      <c r="AA3831" s="16"/>
      <c r="AB3831" s="10"/>
      <c r="AC3831" s="10"/>
      <c r="AD3831" s="10"/>
      <c r="AE3831" s="10"/>
      <c r="AF3831" s="10"/>
      <c r="AG3831" s="10"/>
      <c r="AH3831" s="10"/>
      <c r="AI3831" s="10"/>
      <c r="AJ3831" s="10"/>
      <c r="AK3831" s="10"/>
      <c r="AL3831" s="10"/>
      <c r="AM3831" s="10"/>
      <c r="AN3831" s="10"/>
      <c r="AO3831" s="10"/>
      <c r="AP3831" s="10"/>
      <c r="AQ3831" s="10"/>
      <c r="AR3831" s="10"/>
      <c r="AS3831" s="10"/>
      <c r="AT3831" s="10"/>
      <c r="AU3831" s="10"/>
      <c r="AV3831" s="10"/>
      <c r="AW3831" s="10"/>
      <c r="AX3831" s="10"/>
      <c r="AY3831" s="10"/>
      <c r="AZ3831" s="10"/>
      <c r="BA3831" s="10"/>
      <c r="BB3831" s="10"/>
      <c r="BC3831" s="10"/>
      <c r="BD3831" s="10"/>
      <c r="BE3831" s="10"/>
      <c r="BF3831" s="10"/>
      <c r="BG3831" s="10"/>
      <c r="BH3831" s="10"/>
      <c r="BI3831" s="10"/>
      <c r="BJ3831" s="10"/>
      <c r="BK3831" s="10"/>
      <c r="BM3831" s="10"/>
    </row>
    <row r="3832" spans="1:65" ht="12.75">
      <c r="A3832" s="9"/>
      <c r="B3832" s="10"/>
      <c r="C3832" s="11"/>
      <c r="D3832" s="12"/>
      <c r="E3832" s="10"/>
      <c r="F3832" s="10"/>
      <c r="G3832" s="10"/>
      <c r="H3832" s="14"/>
      <c r="I3832" s="14"/>
      <c r="J3832" s="14"/>
      <c r="K3832" s="14"/>
      <c r="L3832" s="14"/>
      <c r="M3832" s="15"/>
      <c r="N3832" s="10"/>
      <c r="O3832" s="14"/>
      <c r="P3832" s="14"/>
      <c r="Q3832" s="14"/>
      <c r="R3832" s="14"/>
      <c r="S3832" s="14"/>
      <c r="T3832" s="14"/>
      <c r="U3832" s="14"/>
      <c r="V3832" s="14"/>
      <c r="W3832" s="14"/>
      <c r="X3832" s="14"/>
      <c r="Y3832" s="14"/>
      <c r="Z3832" s="14"/>
      <c r="AA3832" s="16"/>
      <c r="AB3832" s="10"/>
      <c r="AC3832" s="10"/>
      <c r="AD3832" s="10"/>
      <c r="AE3832" s="10"/>
      <c r="AF3832" s="10"/>
      <c r="AG3832" s="10"/>
      <c r="AH3832" s="10"/>
      <c r="AI3832" s="10"/>
      <c r="AJ3832" s="10"/>
      <c r="AK3832" s="10"/>
      <c r="AL3832" s="10"/>
      <c r="AM3832" s="10"/>
      <c r="AN3832" s="10"/>
      <c r="AO3832" s="10"/>
      <c r="AP3832" s="10"/>
      <c r="AQ3832" s="10"/>
      <c r="AR3832" s="10"/>
      <c r="AS3832" s="10"/>
      <c r="AT3832" s="10"/>
      <c r="AU3832" s="10"/>
      <c r="AV3832" s="10"/>
      <c r="AW3832" s="10"/>
      <c r="AX3832" s="10"/>
      <c r="AY3832" s="10"/>
      <c r="AZ3832" s="10"/>
      <c r="BA3832" s="10"/>
      <c r="BB3832" s="10"/>
      <c r="BC3832" s="10"/>
      <c r="BD3832" s="10"/>
      <c r="BE3832" s="10"/>
      <c r="BF3832" s="10"/>
      <c r="BG3832" s="10"/>
      <c r="BH3832" s="10"/>
      <c r="BI3832" s="10"/>
      <c r="BJ3832" s="10"/>
      <c r="BK3832" s="10"/>
      <c r="BM3832" s="10"/>
    </row>
    <row r="3833" spans="1:65" ht="12.75">
      <c r="A3833" s="9"/>
      <c r="B3833" s="10"/>
      <c r="C3833" s="11"/>
      <c r="D3833" s="12"/>
      <c r="E3833" s="10"/>
      <c r="F3833" s="10"/>
      <c r="G3833" s="10"/>
      <c r="H3833" s="14"/>
      <c r="I3833" s="14"/>
      <c r="J3833" s="14"/>
      <c r="K3833" s="14"/>
      <c r="L3833" s="14"/>
      <c r="M3833" s="15"/>
      <c r="N3833" s="10"/>
      <c r="O3833" s="14"/>
      <c r="P3833" s="14"/>
      <c r="Q3833" s="14"/>
      <c r="R3833" s="14"/>
      <c r="S3833" s="14"/>
      <c r="T3833" s="14"/>
      <c r="U3833" s="14"/>
      <c r="V3833" s="14"/>
      <c r="W3833" s="14"/>
      <c r="X3833" s="14"/>
      <c r="Y3833" s="14"/>
      <c r="Z3833" s="14"/>
      <c r="AA3833" s="16"/>
      <c r="AB3833" s="10"/>
      <c r="AC3833" s="10"/>
      <c r="AD3833" s="10"/>
      <c r="AE3833" s="10"/>
      <c r="AF3833" s="10"/>
      <c r="AG3833" s="10"/>
      <c r="AH3833" s="10"/>
      <c r="AI3833" s="10"/>
      <c r="AJ3833" s="10"/>
      <c r="AK3833" s="10"/>
      <c r="AL3833" s="10"/>
      <c r="AM3833" s="10"/>
      <c r="AN3833" s="10"/>
      <c r="AO3833" s="10"/>
      <c r="AP3833" s="10"/>
      <c r="AQ3833" s="10"/>
      <c r="AR3833" s="10"/>
      <c r="AS3833" s="10"/>
      <c r="AT3833" s="10"/>
      <c r="AU3833" s="10"/>
      <c r="AV3833" s="10"/>
      <c r="AW3833" s="10"/>
      <c r="AX3833" s="10"/>
      <c r="AY3833" s="10"/>
      <c r="AZ3833" s="10"/>
      <c r="BA3833" s="10"/>
      <c r="BB3833" s="10"/>
      <c r="BC3833" s="10"/>
      <c r="BD3833" s="10"/>
      <c r="BE3833" s="10"/>
      <c r="BF3833" s="10"/>
      <c r="BG3833" s="10"/>
      <c r="BH3833" s="10"/>
      <c r="BI3833" s="10"/>
      <c r="BJ3833" s="10"/>
      <c r="BK3833" s="10"/>
      <c r="BM3833" s="10"/>
    </row>
    <row r="3834" spans="1:65" ht="12.75">
      <c r="A3834" s="9"/>
      <c r="B3834" s="10"/>
      <c r="C3834" s="11"/>
      <c r="D3834" s="12"/>
      <c r="E3834" s="10"/>
      <c r="F3834" s="10"/>
      <c r="G3834" s="10"/>
      <c r="H3834" s="14"/>
      <c r="I3834" s="14"/>
      <c r="J3834" s="14"/>
      <c r="K3834" s="14"/>
      <c r="L3834" s="14"/>
      <c r="M3834" s="15"/>
      <c r="N3834" s="10"/>
      <c r="O3834" s="14"/>
      <c r="P3834" s="14"/>
      <c r="Q3834" s="14"/>
      <c r="R3834" s="14"/>
      <c r="S3834" s="14"/>
      <c r="T3834" s="14"/>
      <c r="U3834" s="14"/>
      <c r="V3834" s="14"/>
      <c r="W3834" s="14"/>
      <c r="X3834" s="14"/>
      <c r="Y3834" s="14"/>
      <c r="Z3834" s="14"/>
      <c r="AA3834" s="16"/>
      <c r="AB3834" s="10"/>
      <c r="AC3834" s="10"/>
      <c r="AD3834" s="10"/>
      <c r="AE3834" s="10"/>
      <c r="AF3834" s="10"/>
      <c r="AG3834" s="10"/>
      <c r="AH3834" s="10"/>
      <c r="AI3834" s="10"/>
      <c r="AJ3834" s="10"/>
      <c r="AK3834" s="10"/>
      <c r="AL3834" s="10"/>
      <c r="AM3834" s="10"/>
      <c r="AN3834" s="10"/>
      <c r="AO3834" s="10"/>
      <c r="AP3834" s="10"/>
      <c r="AQ3834" s="10"/>
      <c r="AR3834" s="10"/>
      <c r="AS3834" s="10"/>
      <c r="AT3834" s="10"/>
      <c r="AU3834" s="10"/>
      <c r="AV3834" s="10"/>
      <c r="AW3834" s="10"/>
      <c r="AX3834" s="10"/>
      <c r="AY3834" s="10"/>
      <c r="AZ3834" s="10"/>
      <c r="BA3834" s="10"/>
      <c r="BB3834" s="10"/>
      <c r="BC3834" s="10"/>
      <c r="BD3834" s="10"/>
      <c r="BE3834" s="10"/>
      <c r="BF3834" s="10"/>
      <c r="BG3834" s="10"/>
      <c r="BH3834" s="10"/>
      <c r="BI3834" s="10"/>
      <c r="BJ3834" s="10"/>
      <c r="BK3834" s="10"/>
      <c r="BM3834" s="10"/>
    </row>
    <row r="3835" spans="1:65" ht="12.75">
      <c r="A3835" s="9"/>
      <c r="B3835" s="10"/>
      <c r="C3835" s="11"/>
      <c r="D3835" s="12"/>
      <c r="E3835" s="10"/>
      <c r="F3835" s="10"/>
      <c r="G3835" s="10"/>
      <c r="H3835" s="14"/>
      <c r="I3835" s="14"/>
      <c r="J3835" s="14"/>
      <c r="K3835" s="14"/>
      <c r="L3835" s="14"/>
      <c r="M3835" s="15"/>
      <c r="N3835" s="10"/>
      <c r="O3835" s="14"/>
      <c r="P3835" s="14"/>
      <c r="Q3835" s="14"/>
      <c r="R3835" s="14"/>
      <c r="S3835" s="14"/>
      <c r="T3835" s="14"/>
      <c r="U3835" s="14"/>
      <c r="V3835" s="14"/>
      <c r="W3835" s="14"/>
      <c r="X3835" s="14"/>
      <c r="Y3835" s="14"/>
      <c r="Z3835" s="14"/>
      <c r="AA3835" s="16"/>
      <c r="AB3835" s="10"/>
      <c r="AC3835" s="10"/>
      <c r="AD3835" s="10"/>
      <c r="AE3835" s="10"/>
      <c r="AF3835" s="10"/>
      <c r="AG3835" s="10"/>
      <c r="AH3835" s="10"/>
      <c r="AI3835" s="10"/>
      <c r="AJ3835" s="10"/>
      <c r="AK3835" s="10"/>
      <c r="AL3835" s="10"/>
      <c r="AM3835" s="10"/>
      <c r="AN3835" s="10"/>
      <c r="AO3835" s="10"/>
      <c r="AP3835" s="10"/>
      <c r="AQ3835" s="10"/>
      <c r="AR3835" s="10"/>
      <c r="AS3835" s="10"/>
      <c r="AT3835" s="10"/>
      <c r="AU3835" s="10"/>
      <c r="AV3835" s="10"/>
      <c r="AW3835" s="10"/>
      <c r="AX3835" s="10"/>
      <c r="AY3835" s="10"/>
      <c r="AZ3835" s="10"/>
      <c r="BA3835" s="10"/>
      <c r="BB3835" s="10"/>
      <c r="BC3835" s="10"/>
      <c r="BD3835" s="10"/>
      <c r="BE3835" s="10"/>
      <c r="BF3835" s="10"/>
      <c r="BG3835" s="10"/>
      <c r="BH3835" s="10"/>
      <c r="BI3835" s="10"/>
      <c r="BJ3835" s="10"/>
      <c r="BK3835" s="10"/>
      <c r="BM3835" s="10"/>
    </row>
    <row r="3836" spans="1:65" ht="12.75">
      <c r="A3836" s="9"/>
      <c r="B3836" s="10"/>
      <c r="C3836" s="11"/>
      <c r="D3836" s="12"/>
      <c r="E3836" s="10"/>
      <c r="F3836" s="10"/>
      <c r="G3836" s="10"/>
      <c r="H3836" s="14"/>
      <c r="I3836" s="14"/>
      <c r="J3836" s="14"/>
      <c r="K3836" s="14"/>
      <c r="L3836" s="14"/>
      <c r="M3836" s="15"/>
      <c r="N3836" s="10"/>
      <c r="O3836" s="14"/>
      <c r="P3836" s="14"/>
      <c r="Q3836" s="14"/>
      <c r="R3836" s="14"/>
      <c r="S3836" s="14"/>
      <c r="T3836" s="14"/>
      <c r="U3836" s="14"/>
      <c r="V3836" s="14"/>
      <c r="W3836" s="14"/>
      <c r="X3836" s="14"/>
      <c r="Y3836" s="14"/>
      <c r="Z3836" s="14"/>
      <c r="AA3836" s="16"/>
      <c r="AB3836" s="10"/>
      <c r="AC3836" s="10"/>
      <c r="AD3836" s="10"/>
      <c r="AE3836" s="10"/>
      <c r="AF3836" s="10"/>
      <c r="AG3836" s="10"/>
      <c r="AH3836" s="10"/>
      <c r="AI3836" s="10"/>
      <c r="AJ3836" s="10"/>
      <c r="AK3836" s="10"/>
      <c r="AL3836" s="10"/>
      <c r="AM3836" s="10"/>
      <c r="AN3836" s="10"/>
      <c r="AO3836" s="10"/>
      <c r="AP3836" s="10"/>
      <c r="AQ3836" s="10"/>
      <c r="AR3836" s="10"/>
      <c r="AS3836" s="10"/>
      <c r="AT3836" s="10"/>
      <c r="AU3836" s="10"/>
      <c r="AV3836" s="10"/>
      <c r="AW3836" s="10"/>
      <c r="AX3836" s="10"/>
      <c r="AY3836" s="10"/>
      <c r="AZ3836" s="10"/>
      <c r="BA3836" s="10"/>
      <c r="BB3836" s="10"/>
      <c r="BC3836" s="10"/>
      <c r="BD3836" s="10"/>
      <c r="BE3836" s="10"/>
      <c r="BF3836" s="10"/>
      <c r="BG3836" s="10"/>
      <c r="BH3836" s="10"/>
      <c r="BI3836" s="10"/>
      <c r="BJ3836" s="10"/>
      <c r="BK3836" s="10"/>
      <c r="BM3836" s="10"/>
    </row>
    <row r="3837" spans="1:65" ht="12.75">
      <c r="A3837" s="9"/>
      <c r="B3837" s="10"/>
      <c r="C3837" s="11"/>
      <c r="D3837" s="12"/>
      <c r="E3837" s="10"/>
      <c r="F3837" s="10"/>
      <c r="G3837" s="10"/>
      <c r="H3837" s="14"/>
      <c r="I3837" s="14"/>
      <c r="J3837" s="14"/>
      <c r="K3837" s="14"/>
      <c r="L3837" s="14"/>
      <c r="M3837" s="15"/>
      <c r="N3837" s="10"/>
      <c r="O3837" s="14"/>
      <c r="P3837" s="14"/>
      <c r="Q3837" s="14"/>
      <c r="R3837" s="14"/>
      <c r="S3837" s="14"/>
      <c r="T3837" s="14"/>
      <c r="U3837" s="14"/>
      <c r="V3837" s="14"/>
      <c r="W3837" s="14"/>
      <c r="X3837" s="14"/>
      <c r="Y3837" s="14"/>
      <c r="Z3837" s="14"/>
      <c r="AA3837" s="16"/>
      <c r="AB3837" s="10"/>
      <c r="AC3837" s="10"/>
      <c r="AD3837" s="10"/>
      <c r="AE3837" s="10"/>
      <c r="AF3837" s="10"/>
      <c r="AG3837" s="10"/>
      <c r="AH3837" s="10"/>
      <c r="AI3837" s="10"/>
      <c r="AJ3837" s="10"/>
      <c r="AK3837" s="10"/>
      <c r="AL3837" s="10"/>
      <c r="AM3837" s="10"/>
      <c r="AN3837" s="10"/>
      <c r="AO3837" s="10"/>
      <c r="AP3837" s="10"/>
      <c r="AQ3837" s="10"/>
      <c r="AR3837" s="10"/>
      <c r="AS3837" s="10"/>
      <c r="AT3837" s="10"/>
      <c r="AU3837" s="10"/>
      <c r="AV3837" s="10"/>
      <c r="AW3837" s="10"/>
      <c r="AX3837" s="10"/>
      <c r="AY3837" s="10"/>
      <c r="AZ3837" s="10"/>
      <c r="BA3837" s="10"/>
      <c r="BB3837" s="10"/>
      <c r="BC3837" s="10"/>
      <c r="BD3837" s="10"/>
      <c r="BE3837" s="10"/>
      <c r="BF3837" s="10"/>
      <c r="BG3837" s="10"/>
      <c r="BH3837" s="10"/>
      <c r="BI3837" s="10"/>
      <c r="BJ3837" s="10"/>
      <c r="BK3837" s="10"/>
      <c r="BM3837" s="10"/>
    </row>
    <row r="3838" spans="1:65" ht="12.75">
      <c r="A3838" s="9"/>
      <c r="B3838" s="10"/>
      <c r="C3838" s="11"/>
      <c r="D3838" s="12"/>
      <c r="E3838" s="10"/>
      <c r="F3838" s="10"/>
      <c r="G3838" s="10"/>
      <c r="H3838" s="14"/>
      <c r="I3838" s="14"/>
      <c r="J3838" s="14"/>
      <c r="K3838" s="14"/>
      <c r="L3838" s="14"/>
      <c r="M3838" s="15"/>
      <c r="N3838" s="10"/>
      <c r="O3838" s="14"/>
      <c r="P3838" s="14"/>
      <c r="Q3838" s="14"/>
      <c r="R3838" s="14"/>
      <c r="S3838" s="14"/>
      <c r="T3838" s="14"/>
      <c r="U3838" s="14"/>
      <c r="V3838" s="14"/>
      <c r="W3838" s="14"/>
      <c r="X3838" s="14"/>
      <c r="Y3838" s="14"/>
      <c r="Z3838" s="14"/>
      <c r="AA3838" s="16"/>
      <c r="AB3838" s="10"/>
      <c r="AC3838" s="10"/>
      <c r="AD3838" s="10"/>
      <c r="AE3838" s="10"/>
      <c r="AF3838" s="10"/>
      <c r="AG3838" s="10"/>
      <c r="AH3838" s="10"/>
      <c r="AI3838" s="10"/>
      <c r="AJ3838" s="10"/>
      <c r="AK3838" s="10"/>
      <c r="AL3838" s="10"/>
      <c r="AM3838" s="10"/>
      <c r="AN3838" s="10"/>
      <c r="AO3838" s="10"/>
      <c r="AP3838" s="10"/>
      <c r="AQ3838" s="10"/>
      <c r="AR3838" s="10"/>
      <c r="AS3838" s="10"/>
      <c r="AT3838" s="10"/>
      <c r="AU3838" s="10"/>
      <c r="AV3838" s="10"/>
      <c r="AW3838" s="10"/>
      <c r="AX3838" s="10"/>
      <c r="AY3838" s="10"/>
      <c r="AZ3838" s="10"/>
      <c r="BA3838" s="10"/>
      <c r="BB3838" s="10"/>
      <c r="BC3838" s="10"/>
      <c r="BD3838" s="10"/>
      <c r="BE3838" s="10"/>
      <c r="BF3838" s="10"/>
      <c r="BG3838" s="10"/>
      <c r="BH3838" s="10"/>
      <c r="BI3838" s="10"/>
      <c r="BJ3838" s="10"/>
      <c r="BK3838" s="10"/>
      <c r="BM3838" s="10"/>
    </row>
    <row r="3839" spans="1:65" ht="12.75">
      <c r="A3839" s="9"/>
      <c r="B3839" s="10"/>
      <c r="C3839" s="11"/>
      <c r="D3839" s="12"/>
      <c r="E3839" s="10"/>
      <c r="F3839" s="10"/>
      <c r="G3839" s="10"/>
      <c r="H3839" s="14"/>
      <c r="I3839" s="14"/>
      <c r="J3839" s="14"/>
      <c r="K3839" s="14"/>
      <c r="L3839" s="14"/>
      <c r="M3839" s="15"/>
      <c r="N3839" s="10"/>
      <c r="O3839" s="14"/>
      <c r="P3839" s="14"/>
      <c r="Q3839" s="14"/>
      <c r="R3839" s="14"/>
      <c r="S3839" s="14"/>
      <c r="T3839" s="14"/>
      <c r="U3839" s="14"/>
      <c r="V3839" s="14"/>
      <c r="W3839" s="14"/>
      <c r="X3839" s="14"/>
      <c r="Y3839" s="14"/>
      <c r="Z3839" s="14"/>
      <c r="AA3839" s="16"/>
      <c r="AB3839" s="10"/>
      <c r="AC3839" s="10"/>
      <c r="AD3839" s="10"/>
      <c r="AE3839" s="10"/>
      <c r="AF3839" s="10"/>
      <c r="AG3839" s="10"/>
      <c r="AH3839" s="10"/>
      <c r="AI3839" s="10"/>
      <c r="AJ3839" s="10"/>
      <c r="AK3839" s="10"/>
      <c r="AL3839" s="10"/>
      <c r="AM3839" s="10"/>
      <c r="AN3839" s="10"/>
      <c r="AO3839" s="10"/>
      <c r="AP3839" s="10"/>
      <c r="AQ3839" s="10"/>
      <c r="AR3839" s="10"/>
      <c r="AS3839" s="10"/>
      <c r="AT3839" s="10"/>
      <c r="AU3839" s="10"/>
      <c r="AV3839" s="10"/>
      <c r="AW3839" s="10"/>
      <c r="AX3839" s="10"/>
      <c r="AY3839" s="10"/>
      <c r="AZ3839" s="10"/>
      <c r="BA3839" s="10"/>
      <c r="BB3839" s="10"/>
      <c r="BC3839" s="10"/>
      <c r="BD3839" s="10"/>
      <c r="BE3839" s="10"/>
      <c r="BF3839" s="10"/>
      <c r="BG3839" s="10"/>
      <c r="BH3839" s="10"/>
      <c r="BI3839" s="10"/>
      <c r="BJ3839" s="10"/>
      <c r="BK3839" s="10"/>
      <c r="BM3839" s="10"/>
    </row>
    <row r="3840" spans="1:65" ht="12.75">
      <c r="A3840" s="9"/>
      <c r="B3840" s="10"/>
      <c r="C3840" s="11"/>
      <c r="D3840" s="12"/>
      <c r="E3840" s="10"/>
      <c r="F3840" s="10"/>
      <c r="G3840" s="10"/>
      <c r="H3840" s="14"/>
      <c r="I3840" s="14"/>
      <c r="J3840" s="14"/>
      <c r="K3840" s="14"/>
      <c r="L3840" s="14"/>
      <c r="M3840" s="15"/>
      <c r="N3840" s="10"/>
      <c r="O3840" s="14"/>
      <c r="P3840" s="14"/>
      <c r="Q3840" s="14"/>
      <c r="R3840" s="14"/>
      <c r="S3840" s="14"/>
      <c r="T3840" s="14"/>
      <c r="U3840" s="14"/>
      <c r="V3840" s="14"/>
      <c r="W3840" s="14"/>
      <c r="X3840" s="14"/>
      <c r="Y3840" s="14"/>
      <c r="Z3840" s="14"/>
      <c r="AA3840" s="16"/>
      <c r="AB3840" s="10"/>
      <c r="AC3840" s="10"/>
      <c r="AD3840" s="10"/>
      <c r="AE3840" s="10"/>
      <c r="AF3840" s="10"/>
      <c r="AG3840" s="10"/>
      <c r="AH3840" s="10"/>
      <c r="AI3840" s="10"/>
      <c r="AJ3840" s="10"/>
      <c r="AK3840" s="10"/>
      <c r="AL3840" s="10"/>
      <c r="AM3840" s="10"/>
      <c r="AN3840" s="10"/>
      <c r="AO3840" s="10"/>
      <c r="AP3840" s="10"/>
      <c r="AQ3840" s="10"/>
      <c r="AR3840" s="10"/>
      <c r="AS3840" s="10"/>
      <c r="AT3840" s="10"/>
      <c r="AU3840" s="10"/>
      <c r="AV3840" s="10"/>
      <c r="AW3840" s="10"/>
      <c r="AX3840" s="10"/>
      <c r="AY3840" s="10"/>
      <c r="AZ3840" s="10"/>
      <c r="BA3840" s="10"/>
      <c r="BB3840" s="10"/>
      <c r="BC3840" s="10"/>
      <c r="BD3840" s="10"/>
      <c r="BE3840" s="10"/>
      <c r="BF3840" s="10"/>
      <c r="BG3840" s="10"/>
      <c r="BH3840" s="10"/>
      <c r="BI3840" s="10"/>
      <c r="BJ3840" s="10"/>
      <c r="BK3840" s="10"/>
      <c r="BM3840" s="10"/>
    </row>
    <row r="3841" spans="1:65" ht="12.75">
      <c r="A3841" s="9"/>
      <c r="B3841" s="10"/>
      <c r="C3841" s="11"/>
      <c r="D3841" s="12"/>
      <c r="E3841" s="10"/>
      <c r="F3841" s="10"/>
      <c r="G3841" s="10"/>
      <c r="H3841" s="14"/>
      <c r="I3841" s="14"/>
      <c r="J3841" s="14"/>
      <c r="K3841" s="14"/>
      <c r="L3841" s="14"/>
      <c r="M3841" s="15"/>
      <c r="N3841" s="10"/>
      <c r="O3841" s="14"/>
      <c r="P3841" s="14"/>
      <c r="Q3841" s="14"/>
      <c r="R3841" s="14"/>
      <c r="S3841" s="14"/>
      <c r="T3841" s="14"/>
      <c r="U3841" s="14"/>
      <c r="V3841" s="14"/>
      <c r="W3841" s="14"/>
      <c r="X3841" s="14"/>
      <c r="Y3841" s="14"/>
      <c r="Z3841" s="14"/>
      <c r="AA3841" s="16"/>
      <c r="AB3841" s="10"/>
      <c r="AC3841" s="10"/>
      <c r="AD3841" s="10"/>
      <c r="AE3841" s="10"/>
      <c r="AF3841" s="10"/>
      <c r="AG3841" s="10"/>
      <c r="AH3841" s="10"/>
      <c r="AI3841" s="10"/>
      <c r="AJ3841" s="10"/>
      <c r="AK3841" s="10"/>
      <c r="AL3841" s="10"/>
      <c r="AM3841" s="10"/>
      <c r="AN3841" s="10"/>
      <c r="AO3841" s="10"/>
      <c r="AP3841" s="10"/>
      <c r="AQ3841" s="10"/>
      <c r="AR3841" s="10"/>
      <c r="AS3841" s="10"/>
      <c r="AT3841" s="10"/>
      <c r="AU3841" s="10"/>
      <c r="AV3841" s="10"/>
      <c r="AW3841" s="10"/>
      <c r="AX3841" s="10"/>
      <c r="AY3841" s="10"/>
      <c r="AZ3841" s="10"/>
      <c r="BA3841" s="10"/>
      <c r="BB3841" s="10"/>
      <c r="BC3841" s="10"/>
      <c r="BD3841" s="10"/>
      <c r="BE3841" s="10"/>
      <c r="BF3841" s="10"/>
      <c r="BG3841" s="10"/>
      <c r="BH3841" s="10"/>
      <c r="BI3841" s="10"/>
      <c r="BJ3841" s="10"/>
      <c r="BK3841" s="10"/>
      <c r="BM3841" s="10"/>
    </row>
    <row r="3842" spans="1:65" ht="12.75">
      <c r="A3842" s="9"/>
      <c r="B3842" s="10"/>
      <c r="C3842" s="11"/>
      <c r="D3842" s="12"/>
      <c r="E3842" s="10"/>
      <c r="F3842" s="10"/>
      <c r="G3842" s="10"/>
      <c r="H3842" s="14"/>
      <c r="I3842" s="14"/>
      <c r="J3842" s="14"/>
      <c r="K3842" s="14"/>
      <c r="L3842" s="14"/>
      <c r="M3842" s="15"/>
      <c r="N3842" s="10"/>
      <c r="O3842" s="14"/>
      <c r="P3842" s="14"/>
      <c r="Q3842" s="14"/>
      <c r="R3842" s="14"/>
      <c r="S3842" s="14"/>
      <c r="T3842" s="14"/>
      <c r="U3842" s="14"/>
      <c r="V3842" s="14"/>
      <c r="W3842" s="14"/>
      <c r="X3842" s="14"/>
      <c r="Y3842" s="14"/>
      <c r="Z3842" s="14"/>
      <c r="AA3842" s="16"/>
      <c r="AB3842" s="10"/>
      <c r="AC3842" s="10"/>
      <c r="AD3842" s="10"/>
      <c r="AE3842" s="10"/>
      <c r="AF3842" s="10"/>
      <c r="AG3842" s="10"/>
      <c r="AH3842" s="10"/>
      <c r="AI3842" s="10"/>
      <c r="AJ3842" s="10"/>
      <c r="AK3842" s="10"/>
      <c r="AL3842" s="10"/>
      <c r="AM3842" s="10"/>
      <c r="AN3842" s="10"/>
      <c r="AO3842" s="10"/>
      <c r="AP3842" s="10"/>
      <c r="AQ3842" s="10"/>
      <c r="AR3842" s="10"/>
      <c r="AS3842" s="10"/>
      <c r="AT3842" s="10"/>
      <c r="AU3842" s="10"/>
      <c r="AV3842" s="10"/>
      <c r="AW3842" s="10"/>
      <c r="AX3842" s="10"/>
      <c r="AY3842" s="10"/>
      <c r="AZ3842" s="10"/>
      <c r="BA3842" s="10"/>
      <c r="BB3842" s="10"/>
      <c r="BC3842" s="10"/>
      <c r="BD3842" s="10"/>
      <c r="BE3842" s="10"/>
      <c r="BF3842" s="10"/>
      <c r="BG3842" s="10"/>
      <c r="BH3842" s="10"/>
      <c r="BI3842" s="10"/>
      <c r="BJ3842" s="10"/>
      <c r="BK3842" s="10"/>
      <c r="BM3842" s="10"/>
    </row>
    <row r="3843" spans="1:65" ht="12.75">
      <c r="A3843" s="9"/>
      <c r="B3843" s="10"/>
      <c r="C3843" s="11"/>
      <c r="D3843" s="12"/>
      <c r="E3843" s="10"/>
      <c r="F3843" s="10"/>
      <c r="G3843" s="10"/>
      <c r="H3843" s="14"/>
      <c r="I3843" s="14"/>
      <c r="J3843" s="14"/>
      <c r="K3843" s="14"/>
      <c r="L3843" s="14"/>
      <c r="M3843" s="15"/>
      <c r="N3843" s="10"/>
      <c r="O3843" s="14"/>
      <c r="P3843" s="14"/>
      <c r="Q3843" s="14"/>
      <c r="R3843" s="14"/>
      <c r="S3843" s="14"/>
      <c r="T3843" s="14"/>
      <c r="U3843" s="14"/>
      <c r="V3843" s="14"/>
      <c r="W3843" s="14"/>
      <c r="X3843" s="14"/>
      <c r="Y3843" s="14"/>
      <c r="Z3843" s="14"/>
      <c r="AA3843" s="16"/>
      <c r="AB3843" s="10"/>
      <c r="AC3843" s="10"/>
      <c r="AD3843" s="10"/>
      <c r="AE3843" s="10"/>
      <c r="AF3843" s="10"/>
      <c r="AG3843" s="10"/>
      <c r="AH3843" s="10"/>
      <c r="AI3843" s="10"/>
      <c r="AJ3843" s="10"/>
      <c r="AK3843" s="10"/>
      <c r="AL3843" s="10"/>
      <c r="AM3843" s="10"/>
      <c r="AN3843" s="10"/>
      <c r="AO3843" s="10"/>
      <c r="AP3843" s="10"/>
      <c r="AQ3843" s="10"/>
      <c r="AR3843" s="10"/>
      <c r="AS3843" s="10"/>
      <c r="AT3843" s="10"/>
      <c r="AU3843" s="10"/>
      <c r="AV3843" s="10"/>
      <c r="AW3843" s="10"/>
      <c r="AX3843" s="10"/>
      <c r="AY3843" s="10"/>
      <c r="AZ3843" s="10"/>
      <c r="BA3843" s="10"/>
      <c r="BB3843" s="10"/>
      <c r="BC3843" s="10"/>
      <c r="BD3843" s="10"/>
      <c r="BE3843" s="10"/>
      <c r="BF3843" s="10"/>
      <c r="BG3843" s="10"/>
      <c r="BH3843" s="10"/>
      <c r="BI3843" s="10"/>
      <c r="BJ3843" s="10"/>
      <c r="BK3843" s="10"/>
      <c r="BM3843" s="10"/>
    </row>
    <row r="3844" spans="1:65" ht="12.75">
      <c r="A3844" s="9"/>
      <c r="B3844" s="10"/>
      <c r="C3844" s="11"/>
      <c r="D3844" s="12"/>
      <c r="E3844" s="10"/>
      <c r="F3844" s="10"/>
      <c r="G3844" s="10"/>
      <c r="H3844" s="14"/>
      <c r="I3844" s="14"/>
      <c r="J3844" s="14"/>
      <c r="K3844" s="14"/>
      <c r="L3844" s="14"/>
      <c r="M3844" s="15"/>
      <c r="N3844" s="10"/>
      <c r="O3844" s="14"/>
      <c r="P3844" s="14"/>
      <c r="Q3844" s="14"/>
      <c r="R3844" s="14"/>
      <c r="S3844" s="14"/>
      <c r="T3844" s="14"/>
      <c r="U3844" s="14"/>
      <c r="V3844" s="14"/>
      <c r="W3844" s="14"/>
      <c r="X3844" s="14"/>
      <c r="Y3844" s="14"/>
      <c r="Z3844" s="14"/>
      <c r="AA3844" s="16"/>
      <c r="AB3844" s="10"/>
      <c r="AC3844" s="10"/>
      <c r="AD3844" s="10"/>
      <c r="AE3844" s="10"/>
      <c r="AF3844" s="10"/>
      <c r="AG3844" s="10"/>
      <c r="AH3844" s="10"/>
      <c r="AI3844" s="10"/>
      <c r="AJ3844" s="10"/>
      <c r="AK3844" s="10"/>
      <c r="AL3844" s="10"/>
      <c r="AM3844" s="10"/>
      <c r="AN3844" s="10"/>
      <c r="AO3844" s="10"/>
      <c r="AP3844" s="10"/>
      <c r="AQ3844" s="10"/>
      <c r="AR3844" s="10"/>
      <c r="AS3844" s="10"/>
      <c r="AT3844" s="10"/>
      <c r="AU3844" s="10"/>
      <c r="AV3844" s="10"/>
      <c r="AW3844" s="10"/>
      <c r="AX3844" s="10"/>
      <c r="AY3844" s="10"/>
      <c r="AZ3844" s="10"/>
      <c r="BA3844" s="10"/>
      <c r="BB3844" s="10"/>
      <c r="BC3844" s="10"/>
      <c r="BD3844" s="10"/>
      <c r="BE3844" s="10"/>
      <c r="BF3844" s="10"/>
      <c r="BG3844" s="10"/>
      <c r="BH3844" s="10"/>
      <c r="BI3844" s="10"/>
      <c r="BJ3844" s="10"/>
      <c r="BK3844" s="10"/>
      <c r="BM3844" s="10"/>
    </row>
    <row r="3845" spans="1:65" ht="12.75">
      <c r="A3845" s="9"/>
      <c r="B3845" s="10"/>
      <c r="C3845" s="11"/>
      <c r="D3845" s="12"/>
      <c r="E3845" s="10"/>
      <c r="F3845" s="10"/>
      <c r="G3845" s="10"/>
      <c r="H3845" s="14"/>
      <c r="I3845" s="14"/>
      <c r="J3845" s="14"/>
      <c r="K3845" s="14"/>
      <c r="L3845" s="14"/>
      <c r="M3845" s="15"/>
      <c r="N3845" s="10"/>
      <c r="O3845" s="14"/>
      <c r="P3845" s="14"/>
      <c r="Q3845" s="14"/>
      <c r="R3845" s="14"/>
      <c r="S3845" s="14"/>
      <c r="T3845" s="14"/>
      <c r="U3845" s="14"/>
      <c r="V3845" s="14"/>
      <c r="W3845" s="14"/>
      <c r="X3845" s="14"/>
      <c r="Y3845" s="14"/>
      <c r="Z3845" s="14"/>
      <c r="AA3845" s="16"/>
      <c r="AB3845" s="10"/>
      <c r="AC3845" s="10"/>
      <c r="AD3845" s="10"/>
      <c r="AE3845" s="10"/>
      <c r="AF3845" s="10"/>
      <c r="AG3845" s="10"/>
      <c r="AH3845" s="10"/>
      <c r="AI3845" s="10"/>
      <c r="AJ3845" s="10"/>
      <c r="AK3845" s="10"/>
      <c r="AL3845" s="10"/>
      <c r="AM3845" s="10"/>
      <c r="AN3845" s="10"/>
      <c r="AO3845" s="10"/>
      <c r="AP3845" s="10"/>
      <c r="AQ3845" s="10"/>
      <c r="AR3845" s="10"/>
      <c r="AS3845" s="10"/>
      <c r="AT3845" s="10"/>
      <c r="AU3845" s="10"/>
      <c r="AV3845" s="10"/>
      <c r="AW3845" s="10"/>
      <c r="AX3845" s="10"/>
      <c r="AY3845" s="10"/>
      <c r="AZ3845" s="10"/>
      <c r="BA3845" s="10"/>
      <c r="BB3845" s="10"/>
      <c r="BC3845" s="10"/>
      <c r="BD3845" s="10"/>
      <c r="BE3845" s="10"/>
      <c r="BF3845" s="10"/>
      <c r="BG3845" s="10"/>
      <c r="BH3845" s="10"/>
      <c r="BI3845" s="10"/>
      <c r="BJ3845" s="10"/>
      <c r="BK3845" s="10"/>
      <c r="BM3845" s="10"/>
    </row>
    <row r="3846" spans="1:65" ht="12.75">
      <c r="A3846" s="9"/>
      <c r="B3846" s="10"/>
      <c r="C3846" s="11"/>
      <c r="D3846" s="12"/>
      <c r="E3846" s="10"/>
      <c r="F3846" s="10"/>
      <c r="G3846" s="10"/>
      <c r="H3846" s="14"/>
      <c r="I3846" s="14"/>
      <c r="J3846" s="14"/>
      <c r="K3846" s="14"/>
      <c r="L3846" s="14"/>
      <c r="M3846" s="15"/>
      <c r="N3846" s="10"/>
      <c r="O3846" s="14"/>
      <c r="P3846" s="14"/>
      <c r="Q3846" s="14"/>
      <c r="R3846" s="14"/>
      <c r="S3846" s="14"/>
      <c r="T3846" s="14"/>
      <c r="U3846" s="14"/>
      <c r="V3846" s="14"/>
      <c r="W3846" s="14"/>
      <c r="X3846" s="14"/>
      <c r="Y3846" s="14"/>
      <c r="Z3846" s="14"/>
      <c r="AA3846" s="16"/>
      <c r="AB3846" s="10"/>
      <c r="AC3846" s="10"/>
      <c r="AD3846" s="10"/>
      <c r="AE3846" s="10"/>
      <c r="AF3846" s="10"/>
      <c r="AG3846" s="10"/>
      <c r="AH3846" s="10"/>
      <c r="AI3846" s="10"/>
      <c r="AJ3846" s="10"/>
      <c r="AK3846" s="10"/>
      <c r="AL3846" s="10"/>
      <c r="AM3846" s="10"/>
      <c r="AN3846" s="10"/>
      <c r="AO3846" s="10"/>
      <c r="AP3846" s="10"/>
      <c r="AQ3846" s="10"/>
      <c r="AR3846" s="10"/>
      <c r="AS3846" s="10"/>
      <c r="AT3846" s="10"/>
      <c r="AU3846" s="10"/>
      <c r="AV3846" s="10"/>
      <c r="AW3846" s="10"/>
      <c r="AX3846" s="10"/>
      <c r="AY3846" s="10"/>
      <c r="AZ3846" s="10"/>
      <c r="BA3846" s="10"/>
      <c r="BB3846" s="10"/>
      <c r="BC3846" s="10"/>
      <c r="BD3846" s="10"/>
      <c r="BE3846" s="10"/>
      <c r="BF3846" s="10"/>
      <c r="BG3846" s="10"/>
      <c r="BH3846" s="10"/>
      <c r="BI3846" s="10"/>
      <c r="BJ3846" s="10"/>
      <c r="BK3846" s="10"/>
      <c r="BM3846" s="10"/>
    </row>
    <row r="3847" spans="1:65" ht="12.75">
      <c r="A3847" s="9"/>
      <c r="B3847" s="10"/>
      <c r="C3847" s="11"/>
      <c r="D3847" s="12"/>
      <c r="E3847" s="10"/>
      <c r="F3847" s="10"/>
      <c r="G3847" s="10"/>
      <c r="H3847" s="14"/>
      <c r="I3847" s="14"/>
      <c r="J3847" s="14"/>
      <c r="K3847" s="14"/>
      <c r="L3847" s="14"/>
      <c r="M3847" s="15"/>
      <c r="N3847" s="10"/>
      <c r="O3847" s="14"/>
      <c r="P3847" s="14"/>
      <c r="Q3847" s="14"/>
      <c r="R3847" s="14"/>
      <c r="S3847" s="14"/>
      <c r="T3847" s="14"/>
      <c r="U3847" s="14"/>
      <c r="V3847" s="14"/>
      <c r="W3847" s="14"/>
      <c r="X3847" s="14"/>
      <c r="Y3847" s="14"/>
      <c r="Z3847" s="14"/>
      <c r="AA3847" s="16"/>
      <c r="AB3847" s="10"/>
      <c r="AC3847" s="10"/>
      <c r="AD3847" s="10"/>
      <c r="AE3847" s="10"/>
      <c r="AF3847" s="10"/>
      <c r="AG3847" s="10"/>
      <c r="AH3847" s="10"/>
      <c r="AI3847" s="10"/>
      <c r="AJ3847" s="10"/>
      <c r="AK3847" s="10"/>
      <c r="AL3847" s="10"/>
      <c r="AM3847" s="10"/>
      <c r="AN3847" s="10"/>
      <c r="AO3847" s="10"/>
      <c r="AP3847" s="10"/>
      <c r="AQ3847" s="10"/>
      <c r="AR3847" s="10"/>
      <c r="AS3847" s="10"/>
      <c r="AT3847" s="10"/>
      <c r="AU3847" s="10"/>
      <c r="AV3847" s="10"/>
      <c r="AW3847" s="10"/>
      <c r="AX3847" s="10"/>
      <c r="AY3847" s="10"/>
      <c r="AZ3847" s="10"/>
      <c r="BA3847" s="10"/>
      <c r="BB3847" s="10"/>
      <c r="BC3847" s="10"/>
      <c r="BD3847" s="10"/>
      <c r="BE3847" s="10"/>
      <c r="BF3847" s="10"/>
      <c r="BG3847" s="10"/>
      <c r="BH3847" s="10"/>
      <c r="BI3847" s="10"/>
      <c r="BJ3847" s="10"/>
      <c r="BK3847" s="10"/>
      <c r="BM3847" s="10"/>
    </row>
    <row r="3848" spans="1:65" ht="12.75">
      <c r="A3848" s="9"/>
      <c r="B3848" s="10"/>
      <c r="C3848" s="11"/>
      <c r="D3848" s="12"/>
      <c r="E3848" s="10"/>
      <c r="F3848" s="10"/>
      <c r="G3848" s="10"/>
      <c r="H3848" s="14"/>
      <c r="I3848" s="14"/>
      <c r="J3848" s="14"/>
      <c r="K3848" s="14"/>
      <c r="L3848" s="14"/>
      <c r="M3848" s="15"/>
      <c r="N3848" s="10"/>
      <c r="O3848" s="14"/>
      <c r="P3848" s="14"/>
      <c r="Q3848" s="14"/>
      <c r="R3848" s="14"/>
      <c r="S3848" s="14"/>
      <c r="T3848" s="14"/>
      <c r="U3848" s="14"/>
      <c r="V3848" s="14"/>
      <c r="W3848" s="14"/>
      <c r="X3848" s="14"/>
      <c r="Y3848" s="14"/>
      <c r="Z3848" s="14"/>
      <c r="AA3848" s="16"/>
      <c r="AB3848" s="10"/>
      <c r="AC3848" s="10"/>
      <c r="AD3848" s="10"/>
      <c r="AE3848" s="10"/>
      <c r="AF3848" s="10"/>
      <c r="AG3848" s="10"/>
      <c r="AH3848" s="10"/>
      <c r="AI3848" s="10"/>
      <c r="AJ3848" s="10"/>
      <c r="AK3848" s="10"/>
      <c r="AL3848" s="10"/>
      <c r="AM3848" s="10"/>
      <c r="AN3848" s="10"/>
      <c r="AO3848" s="10"/>
      <c r="AP3848" s="10"/>
      <c r="AQ3848" s="10"/>
      <c r="AR3848" s="10"/>
      <c r="AS3848" s="10"/>
      <c r="AT3848" s="10"/>
      <c r="AU3848" s="10"/>
      <c r="AV3848" s="10"/>
      <c r="AW3848" s="10"/>
      <c r="AX3848" s="10"/>
      <c r="AY3848" s="10"/>
      <c r="AZ3848" s="10"/>
      <c r="BA3848" s="10"/>
      <c r="BB3848" s="10"/>
      <c r="BC3848" s="10"/>
      <c r="BD3848" s="10"/>
      <c r="BE3848" s="10"/>
      <c r="BF3848" s="10"/>
      <c r="BG3848" s="10"/>
      <c r="BH3848" s="10"/>
      <c r="BI3848" s="10"/>
      <c r="BJ3848" s="10"/>
      <c r="BK3848" s="10"/>
      <c r="BM3848" s="10"/>
    </row>
    <row r="3849" spans="1:65" ht="12.75">
      <c r="A3849" s="9"/>
      <c r="B3849" s="10"/>
      <c r="C3849" s="11"/>
      <c r="D3849" s="12"/>
      <c r="E3849" s="10"/>
      <c r="F3849" s="10"/>
      <c r="G3849" s="10"/>
      <c r="H3849" s="14"/>
      <c r="I3849" s="14"/>
      <c r="J3849" s="14"/>
      <c r="K3849" s="14"/>
      <c r="L3849" s="14"/>
      <c r="M3849" s="15"/>
      <c r="N3849" s="10"/>
      <c r="O3849" s="14"/>
      <c r="P3849" s="14"/>
      <c r="Q3849" s="14"/>
      <c r="R3849" s="14"/>
      <c r="S3849" s="14"/>
      <c r="T3849" s="14"/>
      <c r="U3849" s="14"/>
      <c r="V3849" s="14"/>
      <c r="W3849" s="14"/>
      <c r="X3849" s="14"/>
      <c r="Y3849" s="14"/>
      <c r="Z3849" s="14"/>
      <c r="AA3849" s="16"/>
      <c r="AB3849" s="10"/>
      <c r="AC3849" s="10"/>
      <c r="AD3849" s="10"/>
      <c r="AE3849" s="10"/>
      <c r="AF3849" s="10"/>
      <c r="AG3849" s="10"/>
      <c r="AH3849" s="10"/>
      <c r="AI3849" s="10"/>
      <c r="AJ3849" s="10"/>
      <c r="AK3849" s="10"/>
      <c r="AL3849" s="10"/>
      <c r="AM3849" s="10"/>
      <c r="AN3849" s="10"/>
      <c r="AO3849" s="10"/>
      <c r="AP3849" s="10"/>
      <c r="AQ3849" s="10"/>
      <c r="AR3849" s="10"/>
      <c r="AS3849" s="10"/>
      <c r="AT3849" s="10"/>
      <c r="AU3849" s="10"/>
      <c r="AV3849" s="10"/>
      <c r="AW3849" s="10"/>
      <c r="AX3849" s="10"/>
      <c r="AY3849" s="10"/>
      <c r="AZ3849" s="10"/>
      <c r="BA3849" s="10"/>
      <c r="BB3849" s="10"/>
      <c r="BC3849" s="10"/>
      <c r="BD3849" s="10"/>
      <c r="BE3849" s="10"/>
      <c r="BF3849" s="10"/>
      <c r="BG3849" s="10"/>
      <c r="BH3849" s="10"/>
      <c r="BI3849" s="10"/>
      <c r="BJ3849" s="10"/>
      <c r="BK3849" s="10"/>
      <c r="BM3849" s="10"/>
    </row>
    <row r="3850" spans="1:65" ht="12.75">
      <c r="A3850" s="9"/>
      <c r="B3850" s="10"/>
      <c r="C3850" s="11"/>
      <c r="D3850" s="12"/>
      <c r="E3850" s="10"/>
      <c r="F3850" s="10"/>
      <c r="G3850" s="10"/>
      <c r="H3850" s="14"/>
      <c r="I3850" s="14"/>
      <c r="J3850" s="14"/>
      <c r="K3850" s="14"/>
      <c r="L3850" s="14"/>
      <c r="M3850" s="15"/>
      <c r="N3850" s="10"/>
      <c r="O3850" s="14"/>
      <c r="P3850" s="14"/>
      <c r="Q3850" s="14"/>
      <c r="R3850" s="14"/>
      <c r="S3850" s="14"/>
      <c r="T3850" s="14"/>
      <c r="U3850" s="14"/>
      <c r="V3850" s="14"/>
      <c r="W3850" s="14"/>
      <c r="X3850" s="14"/>
      <c r="Y3850" s="14"/>
      <c r="Z3850" s="14"/>
      <c r="AA3850" s="16"/>
      <c r="AB3850" s="10"/>
      <c r="AC3850" s="10"/>
      <c r="AD3850" s="10"/>
      <c r="AE3850" s="10"/>
      <c r="AF3850" s="10"/>
      <c r="AG3850" s="10"/>
      <c r="AH3850" s="10"/>
      <c r="AI3850" s="10"/>
      <c r="AJ3850" s="10"/>
      <c r="AK3850" s="10"/>
      <c r="AL3850" s="10"/>
      <c r="AM3850" s="10"/>
      <c r="AN3850" s="10"/>
      <c r="AO3850" s="10"/>
      <c r="AP3850" s="10"/>
      <c r="AQ3850" s="10"/>
      <c r="AR3850" s="10"/>
      <c r="AS3850" s="10"/>
      <c r="AT3850" s="10"/>
      <c r="AU3850" s="10"/>
      <c r="AV3850" s="10"/>
      <c r="AW3850" s="10"/>
      <c r="AX3850" s="10"/>
      <c r="AY3850" s="10"/>
      <c r="AZ3850" s="10"/>
      <c r="BA3850" s="10"/>
      <c r="BB3850" s="10"/>
      <c r="BC3850" s="10"/>
      <c r="BD3850" s="10"/>
      <c r="BE3850" s="10"/>
      <c r="BF3850" s="10"/>
      <c r="BG3850" s="10"/>
      <c r="BH3850" s="10"/>
      <c r="BI3850" s="10"/>
      <c r="BJ3850" s="10"/>
      <c r="BK3850" s="10"/>
      <c r="BM3850" s="10"/>
    </row>
    <row r="3851" spans="1:65" ht="12.75">
      <c r="A3851" s="9"/>
      <c r="B3851" s="10"/>
      <c r="C3851" s="11"/>
      <c r="D3851" s="12"/>
      <c r="E3851" s="10"/>
      <c r="F3851" s="10"/>
      <c r="G3851" s="10"/>
      <c r="H3851" s="14"/>
      <c r="I3851" s="14"/>
      <c r="J3851" s="14"/>
      <c r="K3851" s="14"/>
      <c r="L3851" s="14"/>
      <c r="M3851" s="15"/>
      <c r="N3851" s="10"/>
      <c r="O3851" s="14"/>
      <c r="P3851" s="14"/>
      <c r="Q3851" s="14"/>
      <c r="R3851" s="14"/>
      <c r="S3851" s="14"/>
      <c r="T3851" s="14"/>
      <c r="U3851" s="14"/>
      <c r="V3851" s="14"/>
      <c r="W3851" s="14"/>
      <c r="X3851" s="14"/>
      <c r="Y3851" s="14"/>
      <c r="Z3851" s="14"/>
      <c r="AA3851" s="16"/>
      <c r="AB3851" s="10"/>
      <c r="AC3851" s="10"/>
      <c r="AD3851" s="10"/>
      <c r="AE3851" s="10"/>
      <c r="AF3851" s="10"/>
      <c r="AG3851" s="10"/>
      <c r="AH3851" s="10"/>
      <c r="AI3851" s="10"/>
      <c r="AJ3851" s="10"/>
      <c r="AK3851" s="10"/>
      <c r="AL3851" s="10"/>
      <c r="AM3851" s="10"/>
      <c r="AN3851" s="10"/>
      <c r="AO3851" s="10"/>
      <c r="AP3851" s="10"/>
      <c r="AQ3851" s="10"/>
      <c r="AR3851" s="10"/>
      <c r="AS3851" s="10"/>
      <c r="AT3851" s="10"/>
      <c r="AU3851" s="10"/>
      <c r="AV3851" s="10"/>
      <c r="AW3851" s="10"/>
      <c r="AX3851" s="10"/>
      <c r="AY3851" s="10"/>
      <c r="AZ3851" s="10"/>
      <c r="BA3851" s="10"/>
      <c r="BB3851" s="10"/>
      <c r="BC3851" s="10"/>
      <c r="BD3851" s="10"/>
      <c r="BE3851" s="10"/>
      <c r="BF3851" s="10"/>
      <c r="BG3851" s="10"/>
      <c r="BH3851" s="10"/>
      <c r="BI3851" s="10"/>
      <c r="BJ3851" s="10"/>
      <c r="BK3851" s="10"/>
      <c r="BM3851" s="10"/>
    </row>
    <row r="3852" spans="1:65" ht="12.75">
      <c r="A3852" s="9"/>
      <c r="B3852" s="10"/>
      <c r="C3852" s="11"/>
      <c r="D3852" s="12"/>
      <c r="E3852" s="10"/>
      <c r="F3852" s="10"/>
      <c r="G3852" s="10"/>
      <c r="H3852" s="14"/>
      <c r="I3852" s="14"/>
      <c r="J3852" s="14"/>
      <c r="K3852" s="14"/>
      <c r="L3852" s="14"/>
      <c r="M3852" s="15"/>
      <c r="N3852" s="10"/>
      <c r="O3852" s="14"/>
      <c r="P3852" s="14"/>
      <c r="Q3852" s="14"/>
      <c r="R3852" s="14"/>
      <c r="S3852" s="14"/>
      <c r="T3852" s="14"/>
      <c r="U3852" s="14"/>
      <c r="V3852" s="14"/>
      <c r="W3852" s="14"/>
      <c r="X3852" s="14"/>
      <c r="Y3852" s="14"/>
      <c r="Z3852" s="14"/>
      <c r="AA3852" s="16"/>
      <c r="AB3852" s="10"/>
      <c r="AC3852" s="10"/>
      <c r="AD3852" s="10"/>
      <c r="AE3852" s="10"/>
      <c r="AF3852" s="10"/>
      <c r="AG3852" s="10"/>
      <c r="AH3852" s="10"/>
      <c r="AI3852" s="10"/>
      <c r="AJ3852" s="10"/>
      <c r="AK3852" s="10"/>
      <c r="AL3852" s="10"/>
      <c r="AM3852" s="10"/>
      <c r="AN3852" s="10"/>
      <c r="AO3852" s="10"/>
      <c r="AP3852" s="10"/>
      <c r="AQ3852" s="10"/>
      <c r="AR3852" s="10"/>
      <c r="AS3852" s="10"/>
      <c r="AT3852" s="10"/>
      <c r="AU3852" s="10"/>
      <c r="AV3852" s="10"/>
      <c r="AW3852" s="10"/>
      <c r="AX3852" s="10"/>
      <c r="AY3852" s="10"/>
      <c r="AZ3852" s="10"/>
      <c r="BA3852" s="10"/>
      <c r="BB3852" s="10"/>
      <c r="BC3852" s="10"/>
      <c r="BD3852" s="10"/>
      <c r="BE3852" s="10"/>
      <c r="BF3852" s="10"/>
      <c r="BG3852" s="10"/>
      <c r="BH3852" s="10"/>
      <c r="BI3852" s="10"/>
      <c r="BJ3852" s="10"/>
      <c r="BK3852" s="10"/>
      <c r="BM3852" s="10"/>
    </row>
    <row r="3853" spans="1:65" ht="12.75">
      <c r="A3853" s="9"/>
      <c r="B3853" s="10"/>
      <c r="C3853" s="11"/>
      <c r="D3853" s="12"/>
      <c r="E3853" s="10"/>
      <c r="F3853" s="10"/>
      <c r="G3853" s="10"/>
      <c r="H3853" s="14"/>
      <c r="I3853" s="14"/>
      <c r="J3853" s="14"/>
      <c r="K3853" s="14"/>
      <c r="L3853" s="14"/>
      <c r="M3853" s="15"/>
      <c r="N3853" s="10"/>
      <c r="O3853" s="14"/>
      <c r="P3853" s="14"/>
      <c r="Q3853" s="14"/>
      <c r="R3853" s="14"/>
      <c r="S3853" s="14"/>
      <c r="T3853" s="14"/>
      <c r="U3853" s="14"/>
      <c r="V3853" s="14"/>
      <c r="W3853" s="14"/>
      <c r="X3853" s="14"/>
      <c r="Y3853" s="14"/>
      <c r="Z3853" s="14"/>
      <c r="AA3853" s="16"/>
      <c r="AB3853" s="10"/>
      <c r="AC3853" s="10"/>
      <c r="AD3853" s="10"/>
      <c r="AE3853" s="10"/>
      <c r="AF3853" s="10"/>
      <c r="AG3853" s="10"/>
      <c r="AH3853" s="10"/>
      <c r="AI3853" s="10"/>
      <c r="AJ3853" s="10"/>
      <c r="AK3853" s="10"/>
      <c r="AL3853" s="10"/>
      <c r="AM3853" s="10"/>
      <c r="AN3853" s="10"/>
      <c r="AO3853" s="10"/>
      <c r="AP3853" s="10"/>
      <c r="AQ3853" s="10"/>
      <c r="AR3853" s="10"/>
      <c r="AS3853" s="10"/>
      <c r="AT3853" s="10"/>
      <c r="AU3853" s="10"/>
      <c r="AV3853" s="10"/>
      <c r="AW3853" s="10"/>
      <c r="AX3853" s="10"/>
      <c r="AY3853" s="10"/>
      <c r="AZ3853" s="10"/>
      <c r="BA3853" s="10"/>
      <c r="BB3853" s="10"/>
      <c r="BC3853" s="10"/>
      <c r="BD3853" s="10"/>
      <c r="BE3853" s="10"/>
      <c r="BF3853" s="10"/>
      <c r="BG3853" s="10"/>
      <c r="BH3853" s="10"/>
      <c r="BI3853" s="10"/>
      <c r="BJ3853" s="10"/>
      <c r="BK3853" s="10"/>
      <c r="BM3853" s="10"/>
    </row>
    <row r="3854" spans="1:65" ht="12.75">
      <c r="A3854" s="9"/>
      <c r="B3854" s="10"/>
      <c r="C3854" s="11"/>
      <c r="D3854" s="12"/>
      <c r="E3854" s="10"/>
      <c r="F3854" s="10"/>
      <c r="G3854" s="10"/>
      <c r="H3854" s="14"/>
      <c r="I3854" s="14"/>
      <c r="J3854" s="14"/>
      <c r="K3854" s="14"/>
      <c r="L3854" s="14"/>
      <c r="M3854" s="15"/>
      <c r="N3854" s="10"/>
      <c r="O3854" s="14"/>
      <c r="P3854" s="14"/>
      <c r="Q3854" s="14"/>
      <c r="R3854" s="14"/>
      <c r="S3854" s="14"/>
      <c r="T3854" s="14"/>
      <c r="U3854" s="14"/>
      <c r="V3854" s="14"/>
      <c r="W3854" s="14"/>
      <c r="X3854" s="14"/>
      <c r="Y3854" s="14"/>
      <c r="Z3854" s="14"/>
      <c r="AA3854" s="16"/>
      <c r="AB3854" s="10"/>
      <c r="AC3854" s="10"/>
      <c r="AD3854" s="10"/>
      <c r="AE3854" s="10"/>
      <c r="AF3854" s="10"/>
      <c r="AG3854" s="10"/>
      <c r="AH3854" s="10"/>
      <c r="AI3854" s="10"/>
      <c r="AJ3854" s="10"/>
      <c r="AK3854" s="10"/>
      <c r="AL3854" s="10"/>
      <c r="AM3854" s="10"/>
      <c r="AN3854" s="10"/>
      <c r="AO3854" s="10"/>
      <c r="AP3854" s="10"/>
      <c r="AQ3854" s="10"/>
      <c r="AR3854" s="10"/>
      <c r="AS3854" s="10"/>
      <c r="AT3854" s="10"/>
      <c r="AU3854" s="10"/>
      <c r="AV3854" s="10"/>
      <c r="AW3854" s="10"/>
      <c r="AX3854" s="10"/>
      <c r="AY3854" s="10"/>
      <c r="AZ3854" s="10"/>
      <c r="BA3854" s="10"/>
      <c r="BB3854" s="10"/>
      <c r="BC3854" s="10"/>
      <c r="BD3854" s="10"/>
      <c r="BE3854" s="10"/>
      <c r="BF3854" s="10"/>
      <c r="BG3854" s="10"/>
      <c r="BH3854" s="10"/>
      <c r="BI3854" s="10"/>
      <c r="BJ3854" s="10"/>
      <c r="BK3854" s="10"/>
      <c r="BM3854" s="10"/>
    </row>
    <row r="3855" spans="1:65" ht="12.75">
      <c r="A3855" s="9"/>
      <c r="B3855" s="10"/>
      <c r="C3855" s="11"/>
      <c r="D3855" s="12"/>
      <c r="E3855" s="10"/>
      <c r="F3855" s="10"/>
      <c r="G3855" s="10"/>
      <c r="H3855" s="14"/>
      <c r="I3855" s="14"/>
      <c r="J3855" s="14"/>
      <c r="K3855" s="14"/>
      <c r="L3855" s="14"/>
      <c r="M3855" s="15"/>
      <c r="N3855" s="10"/>
      <c r="O3855" s="14"/>
      <c r="P3855" s="14"/>
      <c r="Q3855" s="14"/>
      <c r="R3855" s="14"/>
      <c r="S3855" s="14"/>
      <c r="T3855" s="14"/>
      <c r="U3855" s="14"/>
      <c r="V3855" s="14"/>
      <c r="W3855" s="14"/>
      <c r="X3855" s="14"/>
      <c r="Y3855" s="14"/>
      <c r="Z3855" s="14"/>
      <c r="AA3855" s="16"/>
      <c r="AB3855" s="10"/>
      <c r="AC3855" s="10"/>
      <c r="AD3855" s="10"/>
      <c r="AE3855" s="10"/>
      <c r="AF3855" s="10"/>
      <c r="AG3855" s="10"/>
      <c r="AH3855" s="10"/>
      <c r="AI3855" s="10"/>
      <c r="AJ3855" s="10"/>
      <c r="AK3855" s="10"/>
      <c r="AL3855" s="10"/>
      <c r="AM3855" s="10"/>
      <c r="AN3855" s="10"/>
      <c r="AO3855" s="10"/>
      <c r="AP3855" s="10"/>
      <c r="AQ3855" s="10"/>
      <c r="AR3855" s="10"/>
      <c r="AS3855" s="10"/>
      <c r="AT3855" s="10"/>
      <c r="AU3855" s="10"/>
      <c r="AV3855" s="10"/>
      <c r="AW3855" s="10"/>
      <c r="AX3855" s="10"/>
      <c r="AY3855" s="10"/>
      <c r="AZ3855" s="10"/>
      <c r="BA3855" s="10"/>
      <c r="BB3855" s="10"/>
      <c r="BC3855" s="10"/>
      <c r="BD3855" s="10"/>
      <c r="BE3855" s="10"/>
      <c r="BF3855" s="10"/>
      <c r="BG3855" s="10"/>
      <c r="BH3855" s="10"/>
      <c r="BI3855" s="10"/>
      <c r="BJ3855" s="10"/>
      <c r="BK3855" s="10"/>
      <c r="BM3855" s="10"/>
    </row>
    <row r="3856" spans="1:65" ht="12.75">
      <c r="A3856" s="9"/>
      <c r="B3856" s="10"/>
      <c r="C3856" s="11"/>
      <c r="D3856" s="12"/>
      <c r="E3856" s="10"/>
      <c r="F3856" s="10"/>
      <c r="G3856" s="10"/>
      <c r="H3856" s="14"/>
      <c r="I3856" s="14"/>
      <c r="J3856" s="14"/>
      <c r="K3856" s="14"/>
      <c r="L3856" s="14"/>
      <c r="M3856" s="15"/>
      <c r="N3856" s="10"/>
      <c r="O3856" s="14"/>
      <c r="P3856" s="14"/>
      <c r="Q3856" s="14"/>
      <c r="R3856" s="14"/>
      <c r="S3856" s="14"/>
      <c r="T3856" s="14"/>
      <c r="U3856" s="14"/>
      <c r="V3856" s="14"/>
      <c r="W3856" s="14"/>
      <c r="X3856" s="14"/>
      <c r="Y3856" s="14"/>
      <c r="Z3856" s="14"/>
      <c r="AA3856" s="16"/>
      <c r="AB3856" s="10"/>
      <c r="AC3856" s="10"/>
      <c r="AD3856" s="10"/>
      <c r="AE3856" s="10"/>
      <c r="AF3856" s="10"/>
      <c r="AG3856" s="10"/>
      <c r="AH3856" s="10"/>
      <c r="AI3856" s="10"/>
      <c r="AJ3856" s="10"/>
      <c r="AK3856" s="10"/>
      <c r="AL3856" s="10"/>
      <c r="AM3856" s="10"/>
      <c r="AN3856" s="10"/>
      <c r="AO3856" s="10"/>
      <c r="AP3856" s="10"/>
      <c r="AQ3856" s="10"/>
      <c r="AR3856" s="10"/>
      <c r="AS3856" s="10"/>
      <c r="AT3856" s="10"/>
      <c r="AU3856" s="10"/>
      <c r="AV3856" s="10"/>
      <c r="AW3856" s="10"/>
      <c r="AX3856" s="10"/>
      <c r="AY3856" s="10"/>
      <c r="AZ3856" s="10"/>
      <c r="BA3856" s="10"/>
      <c r="BB3856" s="10"/>
      <c r="BC3856" s="10"/>
      <c r="BD3856" s="10"/>
      <c r="BE3856" s="10"/>
      <c r="BF3856" s="10"/>
      <c r="BG3856" s="10"/>
      <c r="BH3856" s="10"/>
      <c r="BI3856" s="10"/>
      <c r="BJ3856" s="10"/>
      <c r="BK3856" s="10"/>
      <c r="BM3856" s="10"/>
    </row>
    <row r="3857" spans="1:65" ht="12.75">
      <c r="A3857" s="9"/>
      <c r="B3857" s="10"/>
      <c r="C3857" s="11"/>
      <c r="D3857" s="12"/>
      <c r="E3857" s="10"/>
      <c r="F3857" s="10"/>
      <c r="G3857" s="10"/>
      <c r="H3857" s="14"/>
      <c r="I3857" s="14"/>
      <c r="J3857" s="14"/>
      <c r="K3857" s="14"/>
      <c r="L3857" s="14"/>
      <c r="M3857" s="15"/>
      <c r="N3857" s="10"/>
      <c r="O3857" s="14"/>
      <c r="P3857" s="14"/>
      <c r="Q3857" s="14"/>
      <c r="R3857" s="14"/>
      <c r="S3857" s="14"/>
      <c r="T3857" s="14"/>
      <c r="U3857" s="14"/>
      <c r="V3857" s="14"/>
      <c r="W3857" s="14"/>
      <c r="X3857" s="14"/>
      <c r="Y3857" s="14"/>
      <c r="Z3857" s="14"/>
      <c r="AA3857" s="16"/>
      <c r="AB3857" s="10"/>
      <c r="AC3857" s="10"/>
      <c r="AD3857" s="10"/>
      <c r="AE3857" s="10"/>
      <c r="AF3857" s="10"/>
      <c r="AG3857" s="10"/>
      <c r="AH3857" s="10"/>
      <c r="AI3857" s="10"/>
      <c r="AJ3857" s="10"/>
      <c r="AK3857" s="10"/>
      <c r="AL3857" s="10"/>
      <c r="AM3857" s="10"/>
      <c r="AN3857" s="10"/>
      <c r="AO3857" s="10"/>
      <c r="AP3857" s="10"/>
      <c r="AQ3857" s="10"/>
      <c r="AR3857" s="10"/>
      <c r="AS3857" s="10"/>
      <c r="AT3857" s="10"/>
      <c r="AU3857" s="10"/>
      <c r="AV3857" s="10"/>
      <c r="AW3857" s="10"/>
      <c r="AX3857" s="10"/>
      <c r="AY3857" s="10"/>
      <c r="AZ3857" s="10"/>
      <c r="BA3857" s="10"/>
      <c r="BB3857" s="10"/>
      <c r="BC3857" s="10"/>
      <c r="BD3857" s="10"/>
      <c r="BE3857" s="10"/>
      <c r="BF3857" s="10"/>
      <c r="BG3857" s="10"/>
      <c r="BH3857" s="10"/>
      <c r="BI3857" s="10"/>
      <c r="BJ3857" s="10"/>
      <c r="BK3857" s="10"/>
      <c r="BM3857" s="10"/>
    </row>
    <row r="3858" spans="1:65" ht="12.75">
      <c r="A3858" s="9"/>
      <c r="B3858" s="10"/>
      <c r="C3858" s="11"/>
      <c r="D3858" s="12"/>
      <c r="E3858" s="10"/>
      <c r="F3858" s="10"/>
      <c r="G3858" s="10"/>
      <c r="H3858" s="14"/>
      <c r="I3858" s="14"/>
      <c r="J3858" s="14"/>
      <c r="K3858" s="14"/>
      <c r="L3858" s="14"/>
      <c r="M3858" s="15"/>
      <c r="N3858" s="10"/>
      <c r="O3858" s="14"/>
      <c r="P3858" s="14"/>
      <c r="Q3858" s="14"/>
      <c r="R3858" s="14"/>
      <c r="S3858" s="14"/>
      <c r="T3858" s="14"/>
      <c r="U3858" s="14"/>
      <c r="V3858" s="14"/>
      <c r="W3858" s="14"/>
      <c r="X3858" s="14"/>
      <c r="Y3858" s="14"/>
      <c r="Z3858" s="14"/>
      <c r="AA3858" s="16"/>
      <c r="AB3858" s="10"/>
      <c r="AC3858" s="10"/>
      <c r="AD3858" s="10"/>
      <c r="AE3858" s="10"/>
      <c r="AF3858" s="10"/>
      <c r="AG3858" s="10"/>
      <c r="AH3858" s="10"/>
      <c r="AI3858" s="10"/>
      <c r="AJ3858" s="10"/>
      <c r="AK3858" s="10"/>
      <c r="AL3858" s="10"/>
      <c r="AM3858" s="10"/>
      <c r="AN3858" s="10"/>
      <c r="AO3858" s="10"/>
      <c r="AP3858" s="10"/>
      <c r="AQ3858" s="10"/>
      <c r="AR3858" s="10"/>
      <c r="AS3858" s="10"/>
      <c r="AT3858" s="10"/>
      <c r="AU3858" s="10"/>
      <c r="AV3858" s="10"/>
      <c r="AW3858" s="10"/>
      <c r="AX3858" s="10"/>
      <c r="AY3858" s="10"/>
      <c r="AZ3858" s="10"/>
      <c r="BA3858" s="10"/>
      <c r="BB3858" s="10"/>
      <c r="BC3858" s="10"/>
      <c r="BD3858" s="10"/>
      <c r="BE3858" s="10"/>
      <c r="BF3858" s="10"/>
      <c r="BG3858" s="10"/>
      <c r="BH3858" s="10"/>
      <c r="BI3858" s="10"/>
      <c r="BJ3858" s="10"/>
      <c r="BK3858" s="10"/>
      <c r="BM3858" s="10"/>
    </row>
    <row r="3859" spans="1:65" ht="12.75">
      <c r="A3859" s="9"/>
      <c r="B3859" s="10"/>
      <c r="C3859" s="11"/>
      <c r="D3859" s="12"/>
      <c r="E3859" s="10"/>
      <c r="F3859" s="10"/>
      <c r="G3859" s="10"/>
      <c r="H3859" s="14"/>
      <c r="I3859" s="14"/>
      <c r="J3859" s="14"/>
      <c r="K3859" s="14"/>
      <c r="L3859" s="14"/>
      <c r="M3859" s="15"/>
      <c r="N3859" s="10"/>
      <c r="O3859" s="14"/>
      <c r="P3859" s="14"/>
      <c r="Q3859" s="14"/>
      <c r="R3859" s="14"/>
      <c r="S3859" s="14"/>
      <c r="T3859" s="14"/>
      <c r="U3859" s="14"/>
      <c r="V3859" s="14"/>
      <c r="W3859" s="14"/>
      <c r="X3859" s="14"/>
      <c r="Y3859" s="14"/>
      <c r="Z3859" s="14"/>
      <c r="AA3859" s="16"/>
      <c r="AB3859" s="10"/>
      <c r="AC3859" s="10"/>
      <c r="AD3859" s="10"/>
      <c r="AE3859" s="10"/>
      <c r="AF3859" s="10"/>
      <c r="AG3859" s="10"/>
      <c r="AH3859" s="10"/>
      <c r="AI3859" s="10"/>
      <c r="AJ3859" s="10"/>
      <c r="AK3859" s="10"/>
      <c r="AL3859" s="10"/>
      <c r="AM3859" s="10"/>
      <c r="AN3859" s="10"/>
      <c r="AO3859" s="10"/>
      <c r="AP3859" s="10"/>
      <c r="AQ3859" s="10"/>
      <c r="AR3859" s="10"/>
      <c r="AS3859" s="10"/>
      <c r="AT3859" s="10"/>
      <c r="AU3859" s="10"/>
      <c r="AV3859" s="10"/>
      <c r="AW3859" s="10"/>
      <c r="AX3859" s="10"/>
      <c r="AY3859" s="10"/>
      <c r="AZ3859" s="10"/>
      <c r="BA3859" s="10"/>
      <c r="BB3859" s="10"/>
      <c r="BC3859" s="10"/>
      <c r="BD3859" s="10"/>
      <c r="BE3859" s="10"/>
      <c r="BF3859" s="10"/>
      <c r="BG3859" s="10"/>
      <c r="BH3859" s="10"/>
      <c r="BI3859" s="10"/>
      <c r="BJ3859" s="10"/>
      <c r="BK3859" s="10"/>
      <c r="BM3859" s="10"/>
    </row>
    <row r="3860" spans="1:65" ht="12.75">
      <c r="A3860" s="9"/>
      <c r="B3860" s="10"/>
      <c r="C3860" s="11"/>
      <c r="D3860" s="12"/>
      <c r="E3860" s="10"/>
      <c r="F3860" s="10"/>
      <c r="G3860" s="10"/>
      <c r="H3860" s="14"/>
      <c r="I3860" s="14"/>
      <c r="J3860" s="14"/>
      <c r="K3860" s="14"/>
      <c r="L3860" s="14"/>
      <c r="M3860" s="15"/>
      <c r="N3860" s="10"/>
      <c r="O3860" s="14"/>
      <c r="P3860" s="14"/>
      <c r="Q3860" s="14"/>
      <c r="R3860" s="14"/>
      <c r="S3860" s="14"/>
      <c r="T3860" s="14"/>
      <c r="U3860" s="14"/>
      <c r="V3860" s="14"/>
      <c r="W3860" s="14"/>
      <c r="X3860" s="14"/>
      <c r="Y3860" s="14"/>
      <c r="Z3860" s="14"/>
      <c r="AA3860" s="16"/>
      <c r="AB3860" s="10"/>
      <c r="AC3860" s="10"/>
      <c r="AD3860" s="10"/>
      <c r="AE3860" s="10"/>
      <c r="AF3860" s="10"/>
      <c r="AG3860" s="10"/>
      <c r="AH3860" s="10"/>
      <c r="AI3860" s="10"/>
      <c r="AJ3860" s="10"/>
      <c r="AK3860" s="10"/>
      <c r="AL3860" s="10"/>
      <c r="AM3860" s="10"/>
      <c r="AN3860" s="10"/>
      <c r="AO3860" s="10"/>
      <c r="AP3860" s="10"/>
      <c r="AQ3860" s="10"/>
      <c r="AR3860" s="10"/>
      <c r="AS3860" s="10"/>
      <c r="AT3860" s="10"/>
      <c r="AU3860" s="10"/>
      <c r="AV3860" s="10"/>
      <c r="AW3860" s="10"/>
      <c r="AX3860" s="10"/>
      <c r="AY3860" s="10"/>
      <c r="AZ3860" s="10"/>
      <c r="BA3860" s="10"/>
      <c r="BB3860" s="10"/>
      <c r="BC3860" s="10"/>
      <c r="BD3860" s="10"/>
      <c r="BE3860" s="10"/>
      <c r="BF3860" s="10"/>
      <c r="BG3860" s="10"/>
      <c r="BH3860" s="10"/>
      <c r="BI3860" s="10"/>
      <c r="BJ3860" s="10"/>
      <c r="BK3860" s="10"/>
      <c r="BM3860" s="10"/>
    </row>
    <row r="3861" spans="1:65" ht="12.75">
      <c r="A3861" s="9"/>
      <c r="B3861" s="10"/>
      <c r="C3861" s="11"/>
      <c r="D3861" s="12"/>
      <c r="E3861" s="10"/>
      <c r="F3861" s="10"/>
      <c r="G3861" s="10"/>
      <c r="H3861" s="14"/>
      <c r="I3861" s="14"/>
      <c r="J3861" s="14"/>
      <c r="K3861" s="14"/>
      <c r="L3861" s="14"/>
      <c r="M3861" s="15"/>
      <c r="N3861" s="10"/>
      <c r="O3861" s="14"/>
      <c r="P3861" s="14"/>
      <c r="Q3861" s="14"/>
      <c r="R3861" s="14"/>
      <c r="S3861" s="14"/>
      <c r="T3861" s="14"/>
      <c r="U3861" s="14"/>
      <c r="V3861" s="14"/>
      <c r="W3861" s="14"/>
      <c r="X3861" s="14"/>
      <c r="Y3861" s="14"/>
      <c r="Z3861" s="14"/>
      <c r="AA3861" s="16"/>
      <c r="AB3861" s="10"/>
      <c r="AC3861" s="10"/>
      <c r="AD3861" s="10"/>
      <c r="AE3861" s="10"/>
      <c r="AF3861" s="10"/>
      <c r="AG3861" s="10"/>
      <c r="AH3861" s="10"/>
      <c r="AI3861" s="10"/>
      <c r="AJ3861" s="10"/>
      <c r="AK3861" s="10"/>
      <c r="AL3861" s="10"/>
      <c r="AM3861" s="10"/>
      <c r="AN3861" s="10"/>
      <c r="AO3861" s="10"/>
      <c r="AP3861" s="10"/>
      <c r="AQ3861" s="10"/>
      <c r="AR3861" s="10"/>
      <c r="AS3861" s="10"/>
      <c r="AT3861" s="10"/>
      <c r="AU3861" s="10"/>
      <c r="AV3861" s="10"/>
      <c r="AW3861" s="10"/>
      <c r="AX3861" s="10"/>
      <c r="AY3861" s="10"/>
      <c r="AZ3861" s="10"/>
      <c r="BA3861" s="10"/>
      <c r="BB3861" s="10"/>
      <c r="BC3861" s="10"/>
      <c r="BD3861" s="10"/>
      <c r="BE3861" s="10"/>
      <c r="BF3861" s="10"/>
      <c r="BG3861" s="10"/>
      <c r="BH3861" s="10"/>
      <c r="BI3861" s="10"/>
      <c r="BJ3861" s="10"/>
      <c r="BK3861" s="10"/>
      <c r="BM3861" s="10"/>
    </row>
    <row r="3862" spans="1:65" ht="12.75">
      <c r="A3862" s="9"/>
      <c r="B3862" s="10"/>
      <c r="C3862" s="11"/>
      <c r="D3862" s="12"/>
      <c r="E3862" s="10"/>
      <c r="F3862" s="10"/>
      <c r="G3862" s="10"/>
      <c r="H3862" s="14"/>
      <c r="I3862" s="14"/>
      <c r="J3862" s="14"/>
      <c r="K3862" s="14"/>
      <c r="L3862" s="14"/>
      <c r="M3862" s="15"/>
      <c r="N3862" s="10"/>
      <c r="O3862" s="14"/>
      <c r="P3862" s="14"/>
      <c r="Q3862" s="14"/>
      <c r="R3862" s="14"/>
      <c r="S3862" s="14"/>
      <c r="T3862" s="14"/>
      <c r="U3862" s="14"/>
      <c r="V3862" s="14"/>
      <c r="W3862" s="14"/>
      <c r="X3862" s="14"/>
      <c r="Y3862" s="14"/>
      <c r="Z3862" s="14"/>
      <c r="AA3862" s="16"/>
      <c r="AB3862" s="10"/>
      <c r="AC3862" s="10"/>
      <c r="AD3862" s="10"/>
      <c r="AE3862" s="10"/>
      <c r="AF3862" s="10"/>
      <c r="AG3862" s="10"/>
      <c r="AH3862" s="10"/>
      <c r="AI3862" s="10"/>
      <c r="AJ3862" s="10"/>
      <c r="AK3862" s="10"/>
      <c r="AL3862" s="10"/>
      <c r="AM3862" s="10"/>
      <c r="AN3862" s="10"/>
      <c r="AO3862" s="10"/>
      <c r="AP3862" s="10"/>
      <c r="AQ3862" s="10"/>
      <c r="AR3862" s="10"/>
      <c r="AS3862" s="10"/>
      <c r="AT3862" s="10"/>
      <c r="AU3862" s="10"/>
      <c r="AV3862" s="10"/>
      <c r="AW3862" s="10"/>
      <c r="AX3862" s="10"/>
      <c r="AY3862" s="10"/>
      <c r="AZ3862" s="10"/>
      <c r="BA3862" s="10"/>
      <c r="BB3862" s="10"/>
      <c r="BC3862" s="10"/>
      <c r="BD3862" s="10"/>
      <c r="BE3862" s="10"/>
      <c r="BF3862" s="10"/>
      <c r="BG3862" s="10"/>
      <c r="BH3862" s="10"/>
      <c r="BI3862" s="10"/>
      <c r="BJ3862" s="10"/>
      <c r="BK3862" s="10"/>
      <c r="BM3862" s="10"/>
    </row>
    <row r="3863" spans="1:65" ht="12.75">
      <c r="A3863" s="9"/>
      <c r="B3863" s="10"/>
      <c r="C3863" s="11"/>
      <c r="D3863" s="12"/>
      <c r="E3863" s="10"/>
      <c r="F3863" s="10"/>
      <c r="G3863" s="10"/>
      <c r="H3863" s="14"/>
      <c r="I3863" s="14"/>
      <c r="J3863" s="14"/>
      <c r="K3863" s="14"/>
      <c r="L3863" s="14"/>
      <c r="M3863" s="15"/>
      <c r="N3863" s="10"/>
      <c r="O3863" s="14"/>
      <c r="P3863" s="14"/>
      <c r="Q3863" s="14"/>
      <c r="R3863" s="14"/>
      <c r="S3863" s="14"/>
      <c r="T3863" s="14"/>
      <c r="U3863" s="14"/>
      <c r="V3863" s="14"/>
      <c r="W3863" s="14"/>
      <c r="X3863" s="14"/>
      <c r="Y3863" s="14"/>
      <c r="Z3863" s="14"/>
      <c r="AA3863" s="16"/>
      <c r="AB3863" s="10"/>
      <c r="AC3863" s="10"/>
      <c r="AD3863" s="10"/>
      <c r="AE3863" s="10"/>
      <c r="AF3863" s="10"/>
      <c r="AG3863" s="10"/>
      <c r="AH3863" s="10"/>
      <c r="AI3863" s="10"/>
      <c r="AJ3863" s="10"/>
      <c r="AK3863" s="10"/>
      <c r="AL3863" s="10"/>
      <c r="AM3863" s="10"/>
      <c r="AN3863" s="10"/>
      <c r="AO3863" s="10"/>
      <c r="AP3863" s="10"/>
      <c r="AQ3863" s="10"/>
      <c r="AR3863" s="10"/>
      <c r="AS3863" s="10"/>
      <c r="AT3863" s="10"/>
      <c r="AU3863" s="10"/>
      <c r="AV3863" s="10"/>
      <c r="AW3863" s="10"/>
      <c r="AX3863" s="10"/>
      <c r="AY3863" s="10"/>
      <c r="AZ3863" s="10"/>
      <c r="BA3863" s="10"/>
      <c r="BB3863" s="10"/>
      <c r="BC3863" s="10"/>
      <c r="BD3863" s="10"/>
      <c r="BE3863" s="10"/>
      <c r="BF3863" s="10"/>
      <c r="BG3863" s="10"/>
      <c r="BH3863" s="10"/>
      <c r="BI3863" s="10"/>
      <c r="BJ3863" s="10"/>
      <c r="BK3863" s="10"/>
      <c r="BM3863" s="10"/>
    </row>
    <row r="3864" spans="1:65" ht="12.75">
      <c r="A3864" s="9"/>
      <c r="B3864" s="10"/>
      <c r="C3864" s="11"/>
      <c r="D3864" s="12"/>
      <c r="E3864" s="10"/>
      <c r="F3864" s="10"/>
      <c r="G3864" s="10"/>
      <c r="H3864" s="14"/>
      <c r="I3864" s="14"/>
      <c r="J3864" s="14"/>
      <c r="K3864" s="14"/>
      <c r="L3864" s="14"/>
      <c r="M3864" s="15"/>
      <c r="N3864" s="10"/>
      <c r="O3864" s="14"/>
      <c r="P3864" s="14"/>
      <c r="Q3864" s="14"/>
      <c r="R3864" s="14"/>
      <c r="S3864" s="14"/>
      <c r="T3864" s="14"/>
      <c r="U3864" s="14"/>
      <c r="V3864" s="14"/>
      <c r="W3864" s="14"/>
      <c r="X3864" s="14"/>
      <c r="Y3864" s="14"/>
      <c r="Z3864" s="14"/>
      <c r="AA3864" s="16"/>
      <c r="AB3864" s="10"/>
      <c r="AC3864" s="10"/>
      <c r="AD3864" s="10"/>
      <c r="AE3864" s="10"/>
      <c r="AF3864" s="10"/>
      <c r="AG3864" s="10"/>
      <c r="AH3864" s="10"/>
      <c r="AI3864" s="10"/>
      <c r="AJ3864" s="10"/>
      <c r="AK3864" s="10"/>
      <c r="AL3864" s="10"/>
      <c r="AM3864" s="10"/>
      <c r="AN3864" s="10"/>
      <c r="AO3864" s="10"/>
      <c r="AP3864" s="10"/>
      <c r="AQ3864" s="10"/>
      <c r="AR3864" s="10"/>
      <c r="AS3864" s="10"/>
      <c r="AT3864" s="10"/>
      <c r="AU3864" s="10"/>
      <c r="AV3864" s="10"/>
      <c r="AW3864" s="10"/>
      <c r="AX3864" s="10"/>
      <c r="AY3864" s="10"/>
      <c r="AZ3864" s="10"/>
      <c r="BA3864" s="10"/>
      <c r="BB3864" s="10"/>
      <c r="BC3864" s="10"/>
      <c r="BD3864" s="10"/>
      <c r="BE3864" s="10"/>
      <c r="BF3864" s="10"/>
      <c r="BG3864" s="10"/>
      <c r="BH3864" s="10"/>
      <c r="BI3864" s="10"/>
      <c r="BJ3864" s="10"/>
      <c r="BK3864" s="10"/>
      <c r="BM3864" s="10"/>
    </row>
    <row r="3865" spans="1:65" ht="12.75">
      <c r="A3865" s="9"/>
      <c r="B3865" s="10"/>
      <c r="C3865" s="11"/>
      <c r="D3865" s="12"/>
      <c r="E3865" s="10"/>
      <c r="F3865" s="10"/>
      <c r="G3865" s="10"/>
      <c r="H3865" s="14"/>
      <c r="I3865" s="14"/>
      <c r="J3865" s="14"/>
      <c r="K3865" s="14"/>
      <c r="L3865" s="14"/>
      <c r="M3865" s="15"/>
      <c r="N3865" s="10"/>
      <c r="O3865" s="14"/>
      <c r="P3865" s="14"/>
      <c r="Q3865" s="14"/>
      <c r="R3865" s="14"/>
      <c r="S3865" s="14"/>
      <c r="T3865" s="14"/>
      <c r="U3865" s="14"/>
      <c r="V3865" s="14"/>
      <c r="W3865" s="14"/>
      <c r="X3865" s="14"/>
      <c r="Y3865" s="14"/>
      <c r="Z3865" s="14"/>
      <c r="AA3865" s="16"/>
      <c r="AB3865" s="10"/>
      <c r="AC3865" s="10"/>
      <c r="AD3865" s="10"/>
      <c r="AE3865" s="10"/>
      <c r="AF3865" s="10"/>
      <c r="AG3865" s="10"/>
      <c r="AH3865" s="10"/>
      <c r="AI3865" s="10"/>
      <c r="AJ3865" s="10"/>
      <c r="AK3865" s="10"/>
      <c r="AL3865" s="10"/>
      <c r="AM3865" s="10"/>
      <c r="AN3865" s="10"/>
      <c r="AO3865" s="10"/>
      <c r="AP3865" s="10"/>
      <c r="AQ3865" s="10"/>
      <c r="AR3865" s="10"/>
      <c r="AS3865" s="10"/>
      <c r="AT3865" s="10"/>
      <c r="AU3865" s="10"/>
      <c r="AV3865" s="10"/>
      <c r="AW3865" s="10"/>
      <c r="AX3865" s="10"/>
      <c r="AY3865" s="10"/>
      <c r="AZ3865" s="10"/>
      <c r="BA3865" s="10"/>
      <c r="BB3865" s="10"/>
      <c r="BC3865" s="10"/>
      <c r="BD3865" s="10"/>
      <c r="BE3865" s="10"/>
      <c r="BF3865" s="10"/>
      <c r="BG3865" s="10"/>
      <c r="BH3865" s="10"/>
      <c r="BI3865" s="10"/>
      <c r="BJ3865" s="10"/>
      <c r="BK3865" s="10"/>
      <c r="BM3865" s="10"/>
    </row>
    <row r="3866" spans="1:65" ht="12.75">
      <c r="A3866" s="9"/>
      <c r="B3866" s="10"/>
      <c r="C3866" s="11"/>
      <c r="D3866" s="12"/>
      <c r="E3866" s="10"/>
      <c r="F3866" s="10"/>
      <c r="G3866" s="10"/>
      <c r="H3866" s="14"/>
      <c r="I3866" s="14"/>
      <c r="J3866" s="14"/>
      <c r="K3866" s="14"/>
      <c r="L3866" s="14"/>
      <c r="M3866" s="15"/>
      <c r="N3866" s="10"/>
      <c r="O3866" s="14"/>
      <c r="P3866" s="14"/>
      <c r="Q3866" s="14"/>
      <c r="R3866" s="14"/>
      <c r="S3866" s="14"/>
      <c r="T3866" s="14"/>
      <c r="U3866" s="14"/>
      <c r="V3866" s="14"/>
      <c r="W3866" s="14"/>
      <c r="X3866" s="14"/>
      <c r="Y3866" s="14"/>
      <c r="Z3866" s="14"/>
      <c r="AA3866" s="16"/>
      <c r="AB3866" s="10"/>
      <c r="AC3866" s="10"/>
      <c r="AD3866" s="10"/>
      <c r="AE3866" s="10"/>
      <c r="AF3866" s="10"/>
      <c r="AG3866" s="10"/>
      <c r="AH3866" s="10"/>
      <c r="AI3866" s="10"/>
      <c r="AJ3866" s="10"/>
      <c r="AK3866" s="10"/>
      <c r="AL3866" s="10"/>
      <c r="AM3866" s="10"/>
      <c r="AN3866" s="10"/>
      <c r="AO3866" s="10"/>
      <c r="AP3866" s="10"/>
      <c r="AQ3866" s="10"/>
      <c r="AR3866" s="10"/>
      <c r="AS3866" s="10"/>
      <c r="AT3866" s="10"/>
      <c r="AU3866" s="10"/>
      <c r="AV3866" s="10"/>
      <c r="AW3866" s="10"/>
      <c r="AX3866" s="10"/>
      <c r="AY3866" s="10"/>
      <c r="AZ3866" s="10"/>
      <c r="BA3866" s="10"/>
      <c r="BB3866" s="10"/>
      <c r="BC3866" s="10"/>
      <c r="BD3866" s="10"/>
      <c r="BE3866" s="10"/>
      <c r="BF3866" s="10"/>
      <c r="BG3866" s="10"/>
      <c r="BH3866" s="10"/>
      <c r="BI3866" s="10"/>
      <c r="BJ3866" s="10"/>
      <c r="BK3866" s="10"/>
      <c r="BM3866" s="10"/>
    </row>
    <row r="3867" spans="1:65" ht="12.75">
      <c r="A3867" s="9"/>
      <c r="B3867" s="10"/>
      <c r="C3867" s="11"/>
      <c r="D3867" s="12"/>
      <c r="E3867" s="10"/>
      <c r="F3867" s="10"/>
      <c r="G3867" s="10"/>
      <c r="H3867" s="14"/>
      <c r="I3867" s="14"/>
      <c r="J3867" s="14"/>
      <c r="K3867" s="14"/>
      <c r="L3867" s="14"/>
      <c r="M3867" s="15"/>
      <c r="N3867" s="10"/>
      <c r="O3867" s="14"/>
      <c r="P3867" s="14"/>
      <c r="Q3867" s="14"/>
      <c r="R3867" s="14"/>
      <c r="S3867" s="14"/>
      <c r="T3867" s="14"/>
      <c r="U3867" s="14"/>
      <c r="V3867" s="14"/>
      <c r="W3867" s="14"/>
      <c r="X3867" s="14"/>
      <c r="Y3867" s="14"/>
      <c r="Z3867" s="14"/>
      <c r="AA3867" s="16"/>
      <c r="AB3867" s="10"/>
      <c r="AC3867" s="10"/>
      <c r="AD3867" s="10"/>
      <c r="AE3867" s="10"/>
      <c r="AF3867" s="10"/>
      <c r="AG3867" s="10"/>
      <c r="AH3867" s="10"/>
      <c r="AI3867" s="10"/>
      <c r="AJ3867" s="10"/>
      <c r="AK3867" s="10"/>
      <c r="AL3867" s="10"/>
      <c r="AM3867" s="10"/>
      <c r="AN3867" s="10"/>
      <c r="AO3867" s="10"/>
      <c r="AP3867" s="10"/>
      <c r="AQ3867" s="10"/>
      <c r="AR3867" s="10"/>
      <c r="AS3867" s="10"/>
      <c r="AT3867" s="10"/>
      <c r="AU3867" s="10"/>
      <c r="AV3867" s="10"/>
      <c r="AW3867" s="10"/>
      <c r="AX3867" s="10"/>
      <c r="AY3867" s="10"/>
      <c r="AZ3867" s="10"/>
      <c r="BA3867" s="10"/>
      <c r="BB3867" s="10"/>
      <c r="BC3867" s="10"/>
      <c r="BD3867" s="10"/>
      <c r="BE3867" s="10"/>
      <c r="BF3867" s="10"/>
      <c r="BG3867" s="10"/>
      <c r="BH3867" s="10"/>
      <c r="BI3867" s="10"/>
      <c r="BJ3867" s="10"/>
      <c r="BK3867" s="10"/>
      <c r="BM3867" s="10"/>
    </row>
    <row r="3868" spans="1:65" ht="12.75">
      <c r="A3868" s="9"/>
      <c r="B3868" s="10"/>
      <c r="C3868" s="11"/>
      <c r="D3868" s="12"/>
      <c r="E3868" s="10"/>
      <c r="F3868" s="10"/>
      <c r="G3868" s="10"/>
      <c r="H3868" s="14"/>
      <c r="I3868" s="14"/>
      <c r="J3868" s="14"/>
      <c r="K3868" s="14"/>
      <c r="L3868" s="14"/>
      <c r="M3868" s="15"/>
      <c r="N3868" s="10"/>
      <c r="O3868" s="14"/>
      <c r="P3868" s="14"/>
      <c r="Q3868" s="14"/>
      <c r="R3868" s="14"/>
      <c r="S3868" s="14"/>
      <c r="T3868" s="14"/>
      <c r="U3868" s="14"/>
      <c r="V3868" s="14"/>
      <c r="W3868" s="14"/>
      <c r="X3868" s="14"/>
      <c r="Y3868" s="14"/>
      <c r="Z3868" s="14"/>
      <c r="AA3868" s="16"/>
      <c r="AB3868" s="10"/>
      <c r="AC3868" s="10"/>
      <c r="AD3868" s="10"/>
      <c r="AE3868" s="10"/>
      <c r="AF3868" s="10"/>
      <c r="AG3868" s="10"/>
      <c r="AH3868" s="10"/>
      <c r="AI3868" s="10"/>
      <c r="AJ3868" s="10"/>
      <c r="AK3868" s="10"/>
      <c r="AL3868" s="10"/>
      <c r="AM3868" s="10"/>
      <c r="AN3868" s="10"/>
      <c r="AO3868" s="10"/>
      <c r="AP3868" s="10"/>
      <c r="AQ3868" s="10"/>
      <c r="AR3868" s="10"/>
      <c r="AS3868" s="10"/>
      <c r="AT3868" s="10"/>
      <c r="AU3868" s="10"/>
      <c r="AV3868" s="10"/>
      <c r="AW3868" s="10"/>
      <c r="AX3868" s="10"/>
      <c r="AY3868" s="10"/>
      <c r="AZ3868" s="10"/>
      <c r="BA3868" s="10"/>
      <c r="BB3868" s="10"/>
      <c r="BC3868" s="10"/>
      <c r="BD3868" s="10"/>
      <c r="BE3868" s="10"/>
      <c r="BF3868" s="10"/>
      <c r="BG3868" s="10"/>
      <c r="BH3868" s="10"/>
      <c r="BI3868" s="10"/>
      <c r="BJ3868" s="10"/>
      <c r="BK3868" s="10"/>
      <c r="BM3868" s="10"/>
    </row>
    <row r="3869" spans="1:65" ht="12.75">
      <c r="A3869" s="9"/>
      <c r="B3869" s="10"/>
      <c r="C3869" s="11"/>
      <c r="D3869" s="12"/>
      <c r="E3869" s="10"/>
      <c r="F3869" s="10"/>
      <c r="G3869" s="10"/>
      <c r="H3869" s="14"/>
      <c r="I3869" s="14"/>
      <c r="J3869" s="14"/>
      <c r="K3869" s="14"/>
      <c r="L3869" s="14"/>
      <c r="M3869" s="15"/>
      <c r="N3869" s="10"/>
      <c r="O3869" s="14"/>
      <c r="P3869" s="14"/>
      <c r="Q3869" s="14"/>
      <c r="R3869" s="14"/>
      <c r="S3869" s="14"/>
      <c r="T3869" s="14"/>
      <c r="U3869" s="14"/>
      <c r="V3869" s="14"/>
      <c r="W3869" s="14"/>
      <c r="X3869" s="14"/>
      <c r="Y3869" s="14"/>
      <c r="Z3869" s="14"/>
      <c r="AA3869" s="16"/>
      <c r="AB3869" s="10"/>
      <c r="AC3869" s="10"/>
      <c r="AD3869" s="10"/>
      <c r="AE3869" s="10"/>
      <c r="AF3869" s="10"/>
      <c r="AG3869" s="10"/>
      <c r="AH3869" s="10"/>
      <c r="AI3869" s="10"/>
      <c r="AJ3869" s="10"/>
      <c r="AK3869" s="10"/>
      <c r="AL3869" s="10"/>
      <c r="AM3869" s="10"/>
      <c r="AN3869" s="10"/>
      <c r="AO3869" s="10"/>
      <c r="AP3869" s="10"/>
      <c r="AQ3869" s="10"/>
      <c r="AR3869" s="10"/>
      <c r="AS3869" s="10"/>
      <c r="AT3869" s="10"/>
      <c r="AU3869" s="10"/>
      <c r="AV3869" s="10"/>
      <c r="AW3869" s="10"/>
      <c r="AX3869" s="10"/>
      <c r="AY3869" s="10"/>
      <c r="AZ3869" s="10"/>
      <c r="BA3869" s="10"/>
      <c r="BB3869" s="10"/>
      <c r="BC3869" s="10"/>
      <c r="BD3869" s="10"/>
      <c r="BE3869" s="10"/>
      <c r="BF3869" s="10"/>
      <c r="BG3869" s="10"/>
      <c r="BH3869" s="10"/>
      <c r="BI3869" s="10"/>
      <c r="BJ3869" s="10"/>
      <c r="BK3869" s="10"/>
      <c r="BM3869" s="10"/>
    </row>
    <row r="3870" spans="1:65" ht="12.75">
      <c r="A3870" s="9"/>
      <c r="B3870" s="10"/>
      <c r="C3870" s="11"/>
      <c r="D3870" s="12"/>
      <c r="E3870" s="10"/>
      <c r="F3870" s="10"/>
      <c r="G3870" s="10"/>
      <c r="H3870" s="14"/>
      <c r="I3870" s="14"/>
      <c r="J3870" s="14"/>
      <c r="K3870" s="14"/>
      <c r="L3870" s="14"/>
      <c r="M3870" s="15"/>
      <c r="N3870" s="10"/>
      <c r="O3870" s="14"/>
      <c r="P3870" s="14"/>
      <c r="Q3870" s="14"/>
      <c r="R3870" s="14"/>
      <c r="S3870" s="14"/>
      <c r="T3870" s="14"/>
      <c r="U3870" s="14"/>
      <c r="V3870" s="14"/>
      <c r="W3870" s="14"/>
      <c r="X3870" s="14"/>
      <c r="Y3870" s="14"/>
      <c r="Z3870" s="14"/>
      <c r="AA3870" s="16"/>
      <c r="AB3870" s="10"/>
      <c r="AC3870" s="10"/>
      <c r="AD3870" s="10"/>
      <c r="AE3870" s="10"/>
      <c r="AF3870" s="10"/>
      <c r="AG3870" s="10"/>
      <c r="AH3870" s="10"/>
      <c r="AI3870" s="10"/>
      <c r="AJ3870" s="10"/>
      <c r="AK3870" s="10"/>
      <c r="AL3870" s="10"/>
      <c r="AM3870" s="10"/>
      <c r="AN3870" s="10"/>
      <c r="AO3870" s="10"/>
      <c r="AP3870" s="10"/>
      <c r="AQ3870" s="10"/>
      <c r="AR3870" s="10"/>
      <c r="AS3870" s="10"/>
      <c r="AT3870" s="10"/>
      <c r="AU3870" s="10"/>
      <c r="AV3870" s="10"/>
      <c r="AW3870" s="10"/>
      <c r="AX3870" s="10"/>
      <c r="AY3870" s="10"/>
      <c r="AZ3870" s="10"/>
      <c r="BA3870" s="10"/>
      <c r="BB3870" s="10"/>
      <c r="BC3870" s="10"/>
      <c r="BD3870" s="10"/>
      <c r="BE3870" s="10"/>
      <c r="BF3870" s="10"/>
      <c r="BG3870" s="10"/>
      <c r="BH3870" s="10"/>
      <c r="BI3870" s="10"/>
      <c r="BJ3870" s="10"/>
      <c r="BK3870" s="10"/>
      <c r="BM3870" s="10"/>
    </row>
    <row r="3871" spans="1:65" ht="12.75">
      <c r="A3871" s="9"/>
      <c r="B3871" s="10"/>
      <c r="C3871" s="11"/>
      <c r="D3871" s="12"/>
      <c r="E3871" s="10"/>
      <c r="F3871" s="10"/>
      <c r="G3871" s="10"/>
      <c r="H3871" s="14"/>
      <c r="I3871" s="14"/>
      <c r="J3871" s="14"/>
      <c r="K3871" s="14"/>
      <c r="L3871" s="14"/>
      <c r="M3871" s="15"/>
      <c r="N3871" s="10"/>
      <c r="O3871" s="14"/>
      <c r="P3871" s="14"/>
      <c r="Q3871" s="14"/>
      <c r="R3871" s="14"/>
      <c r="S3871" s="14"/>
      <c r="T3871" s="14"/>
      <c r="U3871" s="14"/>
      <c r="V3871" s="14"/>
      <c r="W3871" s="14"/>
      <c r="X3871" s="14"/>
      <c r="Y3871" s="14"/>
      <c r="Z3871" s="14"/>
      <c r="AA3871" s="16"/>
      <c r="AB3871" s="10"/>
      <c r="AC3871" s="10"/>
      <c r="AD3871" s="10"/>
      <c r="AE3871" s="10"/>
      <c r="AF3871" s="10"/>
      <c r="AG3871" s="10"/>
      <c r="AH3871" s="10"/>
      <c r="AI3871" s="10"/>
      <c r="AJ3871" s="10"/>
      <c r="AK3871" s="10"/>
      <c r="AL3871" s="10"/>
      <c r="AM3871" s="10"/>
      <c r="AN3871" s="10"/>
      <c r="AO3871" s="10"/>
      <c r="AP3871" s="10"/>
      <c r="AQ3871" s="10"/>
      <c r="AR3871" s="10"/>
      <c r="AS3871" s="10"/>
      <c r="AT3871" s="10"/>
      <c r="AU3871" s="10"/>
      <c r="AV3871" s="10"/>
      <c r="AW3871" s="10"/>
      <c r="AX3871" s="10"/>
      <c r="AY3871" s="10"/>
      <c r="AZ3871" s="10"/>
      <c r="BA3871" s="10"/>
      <c r="BB3871" s="10"/>
      <c r="BC3871" s="10"/>
      <c r="BD3871" s="10"/>
      <c r="BE3871" s="10"/>
      <c r="BF3871" s="10"/>
      <c r="BG3871" s="10"/>
      <c r="BH3871" s="10"/>
      <c r="BI3871" s="10"/>
      <c r="BJ3871" s="10"/>
      <c r="BK3871" s="10"/>
      <c r="BM3871" s="10"/>
    </row>
    <row r="3872" spans="1:65" ht="12.75">
      <c r="A3872" s="9"/>
      <c r="B3872" s="10"/>
      <c r="C3872" s="11"/>
      <c r="D3872" s="12"/>
      <c r="E3872" s="10"/>
      <c r="F3872" s="10"/>
      <c r="G3872" s="10"/>
      <c r="H3872" s="14"/>
      <c r="I3872" s="14"/>
      <c r="J3872" s="14"/>
      <c r="K3872" s="14"/>
      <c r="L3872" s="14"/>
      <c r="M3872" s="15"/>
      <c r="N3872" s="10"/>
      <c r="O3872" s="14"/>
      <c r="P3872" s="14"/>
      <c r="Q3872" s="14"/>
      <c r="R3872" s="14"/>
      <c r="S3872" s="14"/>
      <c r="T3872" s="14"/>
      <c r="U3872" s="14"/>
      <c r="V3872" s="14"/>
      <c r="W3872" s="14"/>
      <c r="X3872" s="14"/>
      <c r="Y3872" s="14"/>
      <c r="Z3872" s="14"/>
      <c r="AA3872" s="16"/>
      <c r="AB3872" s="10"/>
      <c r="AC3872" s="10"/>
      <c r="AD3872" s="10"/>
      <c r="AE3872" s="10"/>
      <c r="AF3872" s="10"/>
      <c r="AG3872" s="10"/>
      <c r="AH3872" s="10"/>
      <c r="AI3872" s="10"/>
      <c r="AJ3872" s="10"/>
      <c r="AK3872" s="10"/>
      <c r="AL3872" s="10"/>
      <c r="AM3872" s="10"/>
      <c r="AN3872" s="10"/>
      <c r="AO3872" s="10"/>
      <c r="AP3872" s="10"/>
      <c r="AQ3872" s="10"/>
      <c r="AR3872" s="10"/>
      <c r="AS3872" s="10"/>
      <c r="AT3872" s="10"/>
      <c r="AU3872" s="10"/>
      <c r="AV3872" s="10"/>
      <c r="AW3872" s="10"/>
      <c r="AX3872" s="10"/>
      <c r="AY3872" s="10"/>
      <c r="AZ3872" s="10"/>
      <c r="BA3872" s="10"/>
      <c r="BB3872" s="10"/>
      <c r="BC3872" s="10"/>
      <c r="BD3872" s="10"/>
      <c r="BE3872" s="10"/>
      <c r="BF3872" s="10"/>
      <c r="BG3872" s="10"/>
      <c r="BH3872" s="10"/>
      <c r="BI3872" s="10"/>
      <c r="BJ3872" s="10"/>
      <c r="BK3872" s="10"/>
      <c r="BM3872" s="10"/>
    </row>
    <row r="3873" spans="1:65" ht="12.75">
      <c r="A3873" s="9"/>
      <c r="B3873" s="10"/>
      <c r="C3873" s="11"/>
      <c r="D3873" s="12"/>
      <c r="E3873" s="10"/>
      <c r="F3873" s="10"/>
      <c r="G3873" s="10"/>
      <c r="H3873" s="14"/>
      <c r="I3873" s="14"/>
      <c r="J3873" s="14"/>
      <c r="K3873" s="14"/>
      <c r="L3873" s="14"/>
      <c r="M3873" s="15"/>
      <c r="N3873" s="10"/>
      <c r="O3873" s="14"/>
      <c r="P3873" s="14"/>
      <c r="Q3873" s="14"/>
      <c r="R3873" s="14"/>
      <c r="S3873" s="14"/>
      <c r="T3873" s="14"/>
      <c r="U3873" s="14"/>
      <c r="V3873" s="14"/>
      <c r="W3873" s="14"/>
      <c r="X3873" s="14"/>
      <c r="Y3873" s="14"/>
      <c r="Z3873" s="14"/>
      <c r="AA3873" s="16"/>
      <c r="AB3873" s="10"/>
      <c r="AC3873" s="10"/>
      <c r="AD3873" s="10"/>
      <c r="AE3873" s="10"/>
      <c r="AF3873" s="10"/>
      <c r="AG3873" s="10"/>
      <c r="AH3873" s="10"/>
      <c r="AI3873" s="10"/>
      <c r="AJ3873" s="10"/>
      <c r="AK3873" s="10"/>
      <c r="AL3873" s="10"/>
      <c r="AM3873" s="10"/>
      <c r="AN3873" s="10"/>
      <c r="AO3873" s="10"/>
      <c r="AP3873" s="10"/>
      <c r="AQ3873" s="10"/>
      <c r="AR3873" s="10"/>
      <c r="AS3873" s="10"/>
      <c r="AT3873" s="10"/>
      <c r="AU3873" s="10"/>
      <c r="AV3873" s="10"/>
      <c r="AW3873" s="10"/>
      <c r="AX3873" s="10"/>
      <c r="AY3873" s="10"/>
      <c r="AZ3873" s="10"/>
      <c r="BA3873" s="10"/>
      <c r="BB3873" s="10"/>
      <c r="BC3873" s="10"/>
      <c r="BD3873" s="10"/>
      <c r="BE3873" s="10"/>
      <c r="BF3873" s="10"/>
      <c r="BG3873" s="10"/>
      <c r="BH3873" s="10"/>
      <c r="BI3873" s="10"/>
      <c r="BJ3873" s="10"/>
      <c r="BK3873" s="10"/>
      <c r="BM3873" s="10"/>
    </row>
    <row r="3874" spans="1:65" ht="12.75">
      <c r="A3874" s="9"/>
      <c r="B3874" s="10"/>
      <c r="C3874" s="11"/>
      <c r="D3874" s="12"/>
      <c r="E3874" s="10"/>
      <c r="F3874" s="10"/>
      <c r="G3874" s="10"/>
      <c r="H3874" s="14"/>
      <c r="I3874" s="14"/>
      <c r="J3874" s="14"/>
      <c r="K3874" s="14"/>
      <c r="L3874" s="14"/>
      <c r="M3874" s="15"/>
      <c r="N3874" s="10"/>
      <c r="O3874" s="14"/>
      <c r="P3874" s="14"/>
      <c r="Q3874" s="14"/>
      <c r="R3874" s="14"/>
      <c r="S3874" s="14"/>
      <c r="T3874" s="14"/>
      <c r="U3874" s="14"/>
      <c r="V3874" s="14"/>
      <c r="W3874" s="14"/>
      <c r="X3874" s="14"/>
      <c r="Y3874" s="14"/>
      <c r="Z3874" s="14"/>
      <c r="AA3874" s="16"/>
      <c r="AB3874" s="10"/>
      <c r="AC3874" s="10"/>
      <c r="AD3874" s="10"/>
      <c r="AE3874" s="10"/>
      <c r="AF3874" s="10"/>
      <c r="AG3874" s="10"/>
      <c r="AH3874" s="10"/>
      <c r="AI3874" s="10"/>
      <c r="AJ3874" s="10"/>
      <c r="AK3874" s="10"/>
      <c r="AL3874" s="10"/>
      <c r="AM3874" s="10"/>
      <c r="AN3874" s="10"/>
      <c r="AO3874" s="10"/>
      <c r="AP3874" s="10"/>
      <c r="AQ3874" s="10"/>
      <c r="AR3874" s="10"/>
      <c r="AS3874" s="10"/>
      <c r="AT3874" s="10"/>
      <c r="AU3874" s="10"/>
      <c r="AV3874" s="10"/>
      <c r="AW3874" s="10"/>
      <c r="AX3874" s="10"/>
      <c r="AY3874" s="10"/>
      <c r="AZ3874" s="10"/>
      <c r="BA3874" s="10"/>
      <c r="BB3874" s="10"/>
      <c r="BC3874" s="10"/>
      <c r="BD3874" s="10"/>
      <c r="BE3874" s="10"/>
      <c r="BF3874" s="10"/>
      <c r="BG3874" s="10"/>
      <c r="BH3874" s="10"/>
      <c r="BI3874" s="10"/>
      <c r="BJ3874" s="10"/>
      <c r="BK3874" s="10"/>
      <c r="BM3874" s="10"/>
    </row>
    <row r="3875" spans="1:65" ht="12.75">
      <c r="A3875" s="9"/>
      <c r="B3875" s="10"/>
      <c r="C3875" s="11"/>
      <c r="D3875" s="12"/>
      <c r="E3875" s="10"/>
      <c r="F3875" s="10"/>
      <c r="G3875" s="10"/>
      <c r="H3875" s="14"/>
      <c r="I3875" s="14"/>
      <c r="J3875" s="14"/>
      <c r="K3875" s="14"/>
      <c r="L3875" s="14"/>
      <c r="M3875" s="15"/>
      <c r="N3875" s="10"/>
      <c r="O3875" s="14"/>
      <c r="P3875" s="14"/>
      <c r="Q3875" s="14"/>
      <c r="R3875" s="14"/>
      <c r="S3875" s="14"/>
      <c r="T3875" s="14"/>
      <c r="U3875" s="14"/>
      <c r="V3875" s="14"/>
      <c r="W3875" s="14"/>
      <c r="X3875" s="14"/>
      <c r="Y3875" s="14"/>
      <c r="Z3875" s="14"/>
      <c r="AA3875" s="16"/>
      <c r="AB3875" s="10"/>
      <c r="AC3875" s="10"/>
      <c r="AD3875" s="10"/>
      <c r="AE3875" s="10"/>
      <c r="AF3875" s="10"/>
      <c r="AG3875" s="10"/>
      <c r="AH3875" s="10"/>
      <c r="AI3875" s="10"/>
      <c r="AJ3875" s="10"/>
      <c r="AK3875" s="10"/>
      <c r="AL3875" s="10"/>
      <c r="AM3875" s="10"/>
      <c r="AN3875" s="10"/>
      <c r="AO3875" s="10"/>
      <c r="AP3875" s="10"/>
      <c r="AQ3875" s="10"/>
      <c r="AR3875" s="10"/>
      <c r="AS3875" s="10"/>
      <c r="AT3875" s="10"/>
      <c r="AU3875" s="10"/>
      <c r="AV3875" s="10"/>
      <c r="AW3875" s="10"/>
      <c r="AX3875" s="10"/>
      <c r="AY3875" s="10"/>
      <c r="AZ3875" s="10"/>
      <c r="BA3875" s="10"/>
      <c r="BB3875" s="10"/>
      <c r="BC3875" s="10"/>
      <c r="BD3875" s="10"/>
      <c r="BE3875" s="10"/>
      <c r="BF3875" s="10"/>
      <c r="BG3875" s="10"/>
      <c r="BH3875" s="10"/>
      <c r="BI3875" s="10"/>
      <c r="BJ3875" s="10"/>
      <c r="BK3875" s="10"/>
      <c r="BM3875" s="10"/>
    </row>
    <row r="3876" spans="1:65" ht="12.75">
      <c r="A3876" s="9"/>
      <c r="B3876" s="10"/>
      <c r="C3876" s="11"/>
      <c r="D3876" s="12"/>
      <c r="E3876" s="10"/>
      <c r="F3876" s="10"/>
      <c r="G3876" s="10"/>
      <c r="H3876" s="14"/>
      <c r="I3876" s="14"/>
      <c r="J3876" s="14"/>
      <c r="K3876" s="14"/>
      <c r="L3876" s="14"/>
      <c r="M3876" s="15"/>
      <c r="N3876" s="10"/>
      <c r="O3876" s="14"/>
      <c r="P3876" s="14"/>
      <c r="Q3876" s="14"/>
      <c r="R3876" s="14"/>
      <c r="S3876" s="14"/>
      <c r="T3876" s="14"/>
      <c r="U3876" s="14"/>
      <c r="V3876" s="14"/>
      <c r="W3876" s="14"/>
      <c r="X3876" s="14"/>
      <c r="Y3876" s="14"/>
      <c r="Z3876" s="14"/>
      <c r="AA3876" s="16"/>
      <c r="AB3876" s="10"/>
      <c r="AC3876" s="10"/>
      <c r="AD3876" s="10"/>
      <c r="AE3876" s="10"/>
      <c r="AF3876" s="10"/>
      <c r="AG3876" s="10"/>
      <c r="AH3876" s="10"/>
      <c r="AI3876" s="10"/>
      <c r="AJ3876" s="10"/>
      <c r="AK3876" s="10"/>
      <c r="AL3876" s="10"/>
      <c r="AM3876" s="10"/>
      <c r="AN3876" s="10"/>
      <c r="AO3876" s="10"/>
      <c r="AP3876" s="10"/>
      <c r="AQ3876" s="10"/>
      <c r="AR3876" s="10"/>
      <c r="AS3876" s="10"/>
      <c r="AT3876" s="10"/>
      <c r="AU3876" s="10"/>
      <c r="AV3876" s="10"/>
      <c r="AW3876" s="10"/>
      <c r="AX3876" s="10"/>
      <c r="AY3876" s="10"/>
      <c r="AZ3876" s="10"/>
      <c r="BA3876" s="10"/>
      <c r="BB3876" s="10"/>
      <c r="BC3876" s="10"/>
      <c r="BD3876" s="10"/>
      <c r="BE3876" s="10"/>
      <c r="BF3876" s="10"/>
      <c r="BG3876" s="10"/>
      <c r="BH3876" s="10"/>
      <c r="BI3876" s="10"/>
      <c r="BJ3876" s="10"/>
      <c r="BK3876" s="10"/>
      <c r="BM3876" s="10"/>
    </row>
    <row r="3877" spans="1:65" ht="12.75">
      <c r="A3877" s="9"/>
      <c r="B3877" s="10"/>
      <c r="C3877" s="11"/>
      <c r="D3877" s="12"/>
      <c r="E3877" s="10"/>
      <c r="F3877" s="10"/>
      <c r="G3877" s="10"/>
      <c r="H3877" s="14"/>
      <c r="I3877" s="14"/>
      <c r="J3877" s="14"/>
      <c r="K3877" s="14"/>
      <c r="L3877" s="14"/>
      <c r="M3877" s="15"/>
      <c r="N3877" s="10"/>
      <c r="O3877" s="14"/>
      <c r="P3877" s="14"/>
      <c r="Q3877" s="14"/>
      <c r="R3877" s="14"/>
      <c r="S3877" s="14"/>
      <c r="T3877" s="14"/>
      <c r="U3877" s="14"/>
      <c r="V3877" s="14"/>
      <c r="W3877" s="14"/>
      <c r="X3877" s="14"/>
      <c r="Y3877" s="14"/>
      <c r="Z3877" s="14"/>
      <c r="AA3877" s="16"/>
      <c r="AB3877" s="10"/>
      <c r="AC3877" s="10"/>
      <c r="AD3877" s="10"/>
      <c r="AE3877" s="10"/>
      <c r="AF3877" s="10"/>
      <c r="AG3877" s="10"/>
      <c r="AH3877" s="10"/>
      <c r="AI3877" s="10"/>
      <c r="AJ3877" s="10"/>
      <c r="AK3877" s="10"/>
      <c r="AL3877" s="10"/>
      <c r="AM3877" s="10"/>
      <c r="AN3877" s="10"/>
      <c r="AO3877" s="10"/>
      <c r="AP3877" s="10"/>
      <c r="AQ3877" s="10"/>
      <c r="AR3877" s="10"/>
      <c r="AS3877" s="10"/>
      <c r="AT3877" s="10"/>
      <c r="AU3877" s="10"/>
      <c r="AV3877" s="10"/>
      <c r="AW3877" s="10"/>
      <c r="AX3877" s="10"/>
      <c r="AY3877" s="10"/>
      <c r="AZ3877" s="10"/>
      <c r="BA3877" s="10"/>
      <c r="BB3877" s="10"/>
      <c r="BC3877" s="10"/>
      <c r="BD3877" s="10"/>
      <c r="BE3877" s="10"/>
      <c r="BF3877" s="10"/>
      <c r="BG3877" s="10"/>
      <c r="BH3877" s="10"/>
      <c r="BI3877" s="10"/>
      <c r="BJ3877" s="10"/>
      <c r="BK3877" s="10"/>
      <c r="BM3877" s="10"/>
    </row>
    <row r="3878" spans="1:65" ht="12.75">
      <c r="A3878" s="9"/>
      <c r="B3878" s="10"/>
      <c r="C3878" s="11"/>
      <c r="D3878" s="12"/>
      <c r="E3878" s="10"/>
      <c r="F3878" s="10"/>
      <c r="G3878" s="10"/>
      <c r="H3878" s="14"/>
      <c r="I3878" s="14"/>
      <c r="J3878" s="14"/>
      <c r="K3878" s="14"/>
      <c r="L3878" s="14"/>
      <c r="M3878" s="15"/>
      <c r="N3878" s="10"/>
      <c r="O3878" s="14"/>
      <c r="P3878" s="14"/>
      <c r="Q3878" s="14"/>
      <c r="R3878" s="14"/>
      <c r="S3878" s="14"/>
      <c r="T3878" s="14"/>
      <c r="U3878" s="14"/>
      <c r="V3878" s="14"/>
      <c r="W3878" s="14"/>
      <c r="X3878" s="14"/>
      <c r="Y3878" s="14"/>
      <c r="Z3878" s="14"/>
      <c r="AA3878" s="16"/>
      <c r="AB3878" s="10"/>
      <c r="AC3878" s="10"/>
      <c r="AD3878" s="10"/>
      <c r="AE3878" s="10"/>
      <c r="AF3878" s="10"/>
      <c r="AG3878" s="10"/>
      <c r="AH3878" s="10"/>
      <c r="AI3878" s="10"/>
      <c r="AJ3878" s="10"/>
      <c r="AK3878" s="10"/>
      <c r="AL3878" s="10"/>
      <c r="AM3878" s="10"/>
      <c r="AN3878" s="10"/>
      <c r="AO3878" s="10"/>
      <c r="AP3878" s="10"/>
      <c r="AQ3878" s="10"/>
      <c r="AR3878" s="10"/>
      <c r="AS3878" s="10"/>
      <c r="AT3878" s="10"/>
      <c r="AU3878" s="10"/>
      <c r="AV3878" s="10"/>
      <c r="AW3878" s="10"/>
      <c r="AX3878" s="10"/>
      <c r="AY3878" s="10"/>
      <c r="AZ3878" s="10"/>
      <c r="BA3878" s="10"/>
      <c r="BB3878" s="10"/>
      <c r="BC3878" s="10"/>
      <c r="BD3878" s="10"/>
      <c r="BE3878" s="10"/>
      <c r="BF3878" s="10"/>
      <c r="BG3878" s="10"/>
      <c r="BH3878" s="10"/>
      <c r="BI3878" s="10"/>
      <c r="BJ3878" s="10"/>
      <c r="BK3878" s="10"/>
      <c r="BM3878" s="10"/>
    </row>
    <row r="3879" spans="1:65" ht="12.75">
      <c r="A3879" s="9"/>
      <c r="B3879" s="10"/>
      <c r="C3879" s="11"/>
      <c r="D3879" s="12"/>
      <c r="E3879" s="10"/>
      <c r="F3879" s="10"/>
      <c r="G3879" s="10"/>
      <c r="H3879" s="14"/>
      <c r="I3879" s="14"/>
      <c r="J3879" s="14"/>
      <c r="K3879" s="14"/>
      <c r="L3879" s="14"/>
      <c r="M3879" s="15"/>
      <c r="N3879" s="10"/>
      <c r="O3879" s="14"/>
      <c r="P3879" s="14"/>
      <c r="Q3879" s="14"/>
      <c r="R3879" s="14"/>
      <c r="S3879" s="14"/>
      <c r="T3879" s="14"/>
      <c r="U3879" s="14"/>
      <c r="V3879" s="14"/>
      <c r="W3879" s="14"/>
      <c r="X3879" s="14"/>
      <c r="Y3879" s="14"/>
      <c r="Z3879" s="14"/>
      <c r="AA3879" s="16"/>
      <c r="AB3879" s="10"/>
      <c r="AC3879" s="10"/>
      <c r="AD3879" s="10"/>
      <c r="AE3879" s="10"/>
      <c r="AF3879" s="10"/>
      <c r="AG3879" s="10"/>
      <c r="AH3879" s="10"/>
      <c r="AI3879" s="10"/>
      <c r="AJ3879" s="10"/>
      <c r="AK3879" s="10"/>
      <c r="AL3879" s="10"/>
      <c r="AM3879" s="10"/>
      <c r="AN3879" s="10"/>
      <c r="AO3879" s="10"/>
      <c r="AP3879" s="10"/>
      <c r="AQ3879" s="10"/>
      <c r="AR3879" s="10"/>
      <c r="AS3879" s="10"/>
      <c r="AT3879" s="10"/>
      <c r="AU3879" s="10"/>
      <c r="AV3879" s="10"/>
      <c r="AW3879" s="10"/>
      <c r="AX3879" s="10"/>
      <c r="AY3879" s="10"/>
      <c r="AZ3879" s="10"/>
      <c r="BA3879" s="10"/>
      <c r="BB3879" s="10"/>
      <c r="BC3879" s="10"/>
      <c r="BD3879" s="10"/>
      <c r="BE3879" s="10"/>
      <c r="BF3879" s="10"/>
      <c r="BG3879" s="10"/>
      <c r="BH3879" s="10"/>
      <c r="BI3879" s="10"/>
      <c r="BJ3879" s="10"/>
      <c r="BK3879" s="10"/>
      <c r="BM3879" s="10"/>
    </row>
    <row r="3880" spans="1:65" ht="12.75">
      <c r="A3880" s="9"/>
      <c r="B3880" s="10"/>
      <c r="C3880" s="11"/>
      <c r="D3880" s="12"/>
      <c r="E3880" s="10"/>
      <c r="F3880" s="10"/>
      <c r="G3880" s="10"/>
      <c r="H3880" s="14"/>
      <c r="I3880" s="14"/>
      <c r="J3880" s="14"/>
      <c r="K3880" s="14"/>
      <c r="L3880" s="14"/>
      <c r="M3880" s="15"/>
      <c r="N3880" s="10"/>
      <c r="O3880" s="14"/>
      <c r="P3880" s="14"/>
      <c r="Q3880" s="14"/>
      <c r="R3880" s="14"/>
      <c r="S3880" s="14"/>
      <c r="T3880" s="14"/>
      <c r="U3880" s="14"/>
      <c r="V3880" s="14"/>
      <c r="W3880" s="14"/>
      <c r="X3880" s="14"/>
      <c r="Y3880" s="14"/>
      <c r="Z3880" s="14"/>
      <c r="AA3880" s="16"/>
      <c r="AB3880" s="10"/>
      <c r="AC3880" s="10"/>
      <c r="AD3880" s="10"/>
      <c r="AE3880" s="10"/>
      <c r="AF3880" s="10"/>
      <c r="AG3880" s="10"/>
      <c r="AH3880" s="10"/>
      <c r="AI3880" s="10"/>
      <c r="AJ3880" s="10"/>
      <c r="AK3880" s="10"/>
      <c r="AL3880" s="10"/>
      <c r="AM3880" s="10"/>
      <c r="AN3880" s="10"/>
      <c r="AO3880" s="10"/>
      <c r="AP3880" s="10"/>
      <c r="AQ3880" s="10"/>
      <c r="AR3880" s="10"/>
      <c r="AS3880" s="10"/>
      <c r="AT3880" s="10"/>
      <c r="AU3880" s="10"/>
      <c r="AV3880" s="10"/>
      <c r="AW3880" s="10"/>
      <c r="AX3880" s="10"/>
      <c r="AY3880" s="10"/>
      <c r="AZ3880" s="10"/>
      <c r="BA3880" s="10"/>
      <c r="BB3880" s="10"/>
      <c r="BC3880" s="10"/>
      <c r="BD3880" s="10"/>
      <c r="BE3880" s="10"/>
      <c r="BF3880" s="10"/>
      <c r="BG3880" s="10"/>
      <c r="BH3880" s="10"/>
      <c r="BI3880" s="10"/>
      <c r="BJ3880" s="10"/>
      <c r="BK3880" s="10"/>
      <c r="BM3880" s="10"/>
    </row>
    <row r="3881" spans="1:65" ht="12.75">
      <c r="A3881" s="9"/>
      <c r="B3881" s="10"/>
      <c r="C3881" s="11"/>
      <c r="D3881" s="12"/>
      <c r="E3881" s="10"/>
      <c r="F3881" s="10"/>
      <c r="G3881" s="10"/>
      <c r="H3881" s="14"/>
      <c r="I3881" s="14"/>
      <c r="J3881" s="14"/>
      <c r="K3881" s="14"/>
      <c r="L3881" s="14"/>
      <c r="M3881" s="15"/>
      <c r="N3881" s="10"/>
      <c r="O3881" s="14"/>
      <c r="P3881" s="14"/>
      <c r="Q3881" s="14"/>
      <c r="R3881" s="14"/>
      <c r="S3881" s="14"/>
      <c r="T3881" s="14"/>
      <c r="U3881" s="14"/>
      <c r="V3881" s="14"/>
      <c r="W3881" s="14"/>
      <c r="X3881" s="14"/>
      <c r="Y3881" s="14"/>
      <c r="Z3881" s="14"/>
      <c r="AA3881" s="16"/>
      <c r="AB3881" s="10"/>
      <c r="AC3881" s="10"/>
      <c r="AD3881" s="10"/>
      <c r="AE3881" s="10"/>
      <c r="AF3881" s="10"/>
      <c r="AG3881" s="10"/>
      <c r="AH3881" s="10"/>
      <c r="AI3881" s="10"/>
      <c r="AJ3881" s="10"/>
      <c r="AK3881" s="10"/>
      <c r="AL3881" s="10"/>
      <c r="AM3881" s="10"/>
      <c r="AN3881" s="10"/>
      <c r="AO3881" s="10"/>
      <c r="AP3881" s="10"/>
      <c r="AQ3881" s="10"/>
      <c r="AR3881" s="10"/>
      <c r="AS3881" s="10"/>
      <c r="AT3881" s="10"/>
      <c r="AU3881" s="10"/>
      <c r="AV3881" s="10"/>
      <c r="AW3881" s="10"/>
      <c r="AX3881" s="10"/>
      <c r="AY3881" s="10"/>
      <c r="AZ3881" s="10"/>
      <c r="BA3881" s="10"/>
      <c r="BB3881" s="10"/>
      <c r="BC3881" s="10"/>
      <c r="BD3881" s="10"/>
      <c r="BE3881" s="10"/>
      <c r="BF3881" s="10"/>
      <c r="BG3881" s="10"/>
      <c r="BH3881" s="10"/>
      <c r="BI3881" s="10"/>
      <c r="BJ3881" s="10"/>
      <c r="BK3881" s="10"/>
      <c r="BM3881" s="10"/>
    </row>
    <row r="3882" spans="1:65" ht="12.75">
      <c r="A3882" s="9"/>
      <c r="B3882" s="10"/>
      <c r="C3882" s="11"/>
      <c r="D3882" s="12"/>
      <c r="E3882" s="10"/>
      <c r="F3882" s="10"/>
      <c r="G3882" s="10"/>
      <c r="H3882" s="14"/>
      <c r="I3882" s="14"/>
      <c r="J3882" s="14"/>
      <c r="K3882" s="14"/>
      <c r="L3882" s="14"/>
      <c r="M3882" s="15"/>
      <c r="N3882" s="10"/>
      <c r="O3882" s="14"/>
      <c r="P3882" s="14"/>
      <c r="Q3882" s="14"/>
      <c r="R3882" s="14"/>
      <c r="S3882" s="14"/>
      <c r="T3882" s="14"/>
      <c r="U3882" s="14"/>
      <c r="V3882" s="14"/>
      <c r="W3882" s="14"/>
      <c r="X3882" s="14"/>
      <c r="Y3882" s="14"/>
      <c r="Z3882" s="14"/>
      <c r="AA3882" s="16"/>
      <c r="AB3882" s="10"/>
      <c r="AC3882" s="10"/>
      <c r="AD3882" s="10"/>
      <c r="AE3882" s="10"/>
      <c r="AF3882" s="10"/>
      <c r="AG3882" s="10"/>
      <c r="AH3882" s="10"/>
      <c r="AI3882" s="10"/>
      <c r="AJ3882" s="10"/>
      <c r="AK3882" s="10"/>
      <c r="AL3882" s="10"/>
      <c r="AM3882" s="10"/>
      <c r="AN3882" s="10"/>
      <c r="AO3882" s="10"/>
      <c r="AP3882" s="10"/>
      <c r="AQ3882" s="10"/>
      <c r="AR3882" s="10"/>
      <c r="AS3882" s="10"/>
      <c r="AT3882" s="10"/>
      <c r="AU3882" s="10"/>
      <c r="AV3882" s="10"/>
      <c r="AW3882" s="10"/>
      <c r="AX3882" s="10"/>
      <c r="AY3882" s="10"/>
      <c r="AZ3882" s="10"/>
      <c r="BA3882" s="10"/>
      <c r="BB3882" s="10"/>
      <c r="BC3882" s="10"/>
      <c r="BD3882" s="10"/>
      <c r="BE3882" s="10"/>
      <c r="BF3882" s="10"/>
      <c r="BG3882" s="10"/>
      <c r="BH3882" s="10"/>
      <c r="BI3882" s="10"/>
      <c r="BJ3882" s="10"/>
      <c r="BK3882" s="10"/>
      <c r="BM3882" s="10"/>
    </row>
    <row r="3883" spans="1:65" ht="12.75">
      <c r="A3883" s="9"/>
      <c r="B3883" s="10"/>
      <c r="C3883" s="11"/>
      <c r="D3883" s="12"/>
      <c r="E3883" s="10"/>
      <c r="F3883" s="10"/>
      <c r="G3883" s="10"/>
      <c r="H3883" s="14"/>
      <c r="I3883" s="14"/>
      <c r="J3883" s="14"/>
      <c r="K3883" s="14"/>
      <c r="L3883" s="14"/>
      <c r="M3883" s="15"/>
      <c r="N3883" s="10"/>
      <c r="O3883" s="14"/>
      <c r="P3883" s="14"/>
      <c r="Q3883" s="14"/>
      <c r="R3883" s="14"/>
      <c r="S3883" s="14"/>
      <c r="T3883" s="14"/>
      <c r="U3883" s="14"/>
      <c r="V3883" s="14"/>
      <c r="W3883" s="14"/>
      <c r="X3883" s="14"/>
      <c r="Y3883" s="14"/>
      <c r="Z3883" s="14"/>
      <c r="AA3883" s="16"/>
      <c r="AB3883" s="10"/>
      <c r="AC3883" s="10"/>
      <c r="AD3883" s="10"/>
      <c r="AE3883" s="10"/>
      <c r="AF3883" s="10"/>
      <c r="AG3883" s="10"/>
      <c r="AH3883" s="10"/>
      <c r="AI3883" s="10"/>
      <c r="AJ3883" s="10"/>
      <c r="AK3883" s="10"/>
      <c r="AL3883" s="10"/>
      <c r="AM3883" s="10"/>
      <c r="AN3883" s="10"/>
      <c r="AO3883" s="10"/>
      <c r="AP3883" s="10"/>
      <c r="AQ3883" s="10"/>
      <c r="AR3883" s="10"/>
      <c r="AS3883" s="10"/>
      <c r="AT3883" s="10"/>
      <c r="AU3883" s="10"/>
      <c r="AV3883" s="10"/>
      <c r="AW3883" s="10"/>
      <c r="AX3883" s="10"/>
      <c r="AY3883" s="10"/>
      <c r="AZ3883" s="10"/>
      <c r="BA3883" s="10"/>
      <c r="BB3883" s="10"/>
      <c r="BC3883" s="10"/>
      <c r="BD3883" s="10"/>
      <c r="BE3883" s="10"/>
      <c r="BF3883" s="10"/>
      <c r="BG3883" s="10"/>
      <c r="BH3883" s="10"/>
      <c r="BI3883" s="10"/>
      <c r="BJ3883" s="10"/>
      <c r="BK3883" s="10"/>
      <c r="BM3883" s="10"/>
    </row>
    <row r="3884" spans="1:65" ht="12.75">
      <c r="A3884" s="9"/>
      <c r="B3884" s="10"/>
      <c r="C3884" s="11"/>
      <c r="D3884" s="12"/>
      <c r="E3884" s="10"/>
      <c r="F3884" s="10"/>
      <c r="G3884" s="10"/>
      <c r="H3884" s="14"/>
      <c r="I3884" s="14"/>
      <c r="J3884" s="14"/>
      <c r="K3884" s="14"/>
      <c r="L3884" s="14"/>
      <c r="M3884" s="15"/>
      <c r="N3884" s="10"/>
      <c r="O3884" s="14"/>
      <c r="P3884" s="14"/>
      <c r="Q3884" s="14"/>
      <c r="R3884" s="14"/>
      <c r="S3884" s="14"/>
      <c r="T3884" s="14"/>
      <c r="U3884" s="14"/>
      <c r="V3884" s="14"/>
      <c r="W3884" s="14"/>
      <c r="X3884" s="14"/>
      <c r="Y3884" s="14"/>
      <c r="Z3884" s="14"/>
      <c r="AA3884" s="16"/>
      <c r="AB3884" s="10"/>
      <c r="AC3884" s="10"/>
      <c r="AD3884" s="10"/>
      <c r="AE3884" s="10"/>
      <c r="AF3884" s="10"/>
      <c r="AG3884" s="10"/>
      <c r="AH3884" s="10"/>
      <c r="AI3884" s="10"/>
      <c r="AJ3884" s="10"/>
      <c r="AK3884" s="10"/>
      <c r="AL3884" s="10"/>
      <c r="AM3884" s="10"/>
      <c r="AN3884" s="10"/>
      <c r="AO3884" s="10"/>
      <c r="AP3884" s="10"/>
      <c r="AQ3884" s="10"/>
      <c r="AR3884" s="10"/>
      <c r="AS3884" s="10"/>
      <c r="AT3884" s="10"/>
      <c r="AU3884" s="10"/>
      <c r="AV3884" s="10"/>
      <c r="AW3884" s="10"/>
      <c r="AX3884" s="10"/>
      <c r="AY3884" s="10"/>
      <c r="AZ3884" s="10"/>
      <c r="BA3884" s="10"/>
      <c r="BB3884" s="10"/>
      <c r="BC3884" s="10"/>
      <c r="BD3884" s="10"/>
      <c r="BE3884" s="10"/>
      <c r="BF3884" s="10"/>
      <c r="BG3884" s="10"/>
      <c r="BH3884" s="10"/>
      <c r="BI3884" s="10"/>
      <c r="BJ3884" s="10"/>
      <c r="BK3884" s="10"/>
      <c r="BM3884" s="10"/>
    </row>
    <row r="3885" spans="1:65" ht="12.75">
      <c r="A3885" s="9"/>
      <c r="B3885" s="10"/>
      <c r="C3885" s="11"/>
      <c r="D3885" s="12"/>
      <c r="E3885" s="10"/>
      <c r="F3885" s="10"/>
      <c r="G3885" s="10"/>
      <c r="H3885" s="14"/>
      <c r="I3885" s="14"/>
      <c r="J3885" s="14"/>
      <c r="K3885" s="14"/>
      <c r="L3885" s="14"/>
      <c r="M3885" s="15"/>
      <c r="N3885" s="10"/>
      <c r="O3885" s="14"/>
      <c r="P3885" s="14"/>
      <c r="Q3885" s="14"/>
      <c r="R3885" s="14"/>
      <c r="S3885" s="14"/>
      <c r="T3885" s="14"/>
      <c r="U3885" s="14"/>
      <c r="V3885" s="14"/>
      <c r="W3885" s="14"/>
      <c r="X3885" s="14"/>
      <c r="Y3885" s="14"/>
      <c r="Z3885" s="14"/>
      <c r="AA3885" s="16"/>
      <c r="AB3885" s="10"/>
      <c r="AC3885" s="10"/>
      <c r="AD3885" s="10"/>
      <c r="AE3885" s="10"/>
      <c r="AF3885" s="10"/>
      <c r="AG3885" s="10"/>
      <c r="AH3885" s="10"/>
      <c r="AI3885" s="10"/>
      <c r="AJ3885" s="10"/>
      <c r="AK3885" s="10"/>
      <c r="AL3885" s="10"/>
      <c r="AM3885" s="10"/>
      <c r="AN3885" s="10"/>
      <c r="AO3885" s="10"/>
      <c r="AP3885" s="10"/>
      <c r="AQ3885" s="10"/>
      <c r="AR3885" s="10"/>
      <c r="AS3885" s="10"/>
      <c r="AT3885" s="10"/>
      <c r="AU3885" s="10"/>
      <c r="AV3885" s="10"/>
      <c r="AW3885" s="10"/>
      <c r="AX3885" s="10"/>
      <c r="AY3885" s="10"/>
      <c r="AZ3885" s="10"/>
      <c r="BA3885" s="10"/>
      <c r="BB3885" s="10"/>
      <c r="BC3885" s="10"/>
      <c r="BD3885" s="10"/>
      <c r="BE3885" s="10"/>
      <c r="BF3885" s="10"/>
      <c r="BG3885" s="10"/>
      <c r="BH3885" s="10"/>
      <c r="BI3885" s="10"/>
      <c r="BJ3885" s="10"/>
      <c r="BK3885" s="10"/>
      <c r="BM3885" s="10"/>
    </row>
    <row r="3886" spans="1:65" ht="12.75">
      <c r="A3886" s="9"/>
      <c r="B3886" s="10"/>
      <c r="C3886" s="11"/>
      <c r="D3886" s="12"/>
      <c r="E3886" s="10"/>
      <c r="F3886" s="10"/>
      <c r="G3886" s="10"/>
      <c r="H3886" s="14"/>
      <c r="I3886" s="14"/>
      <c r="J3886" s="14"/>
      <c r="K3886" s="14"/>
      <c r="L3886" s="14"/>
      <c r="M3886" s="15"/>
      <c r="N3886" s="10"/>
      <c r="O3886" s="14"/>
      <c r="P3886" s="14"/>
      <c r="Q3886" s="14"/>
      <c r="R3886" s="14"/>
      <c r="S3886" s="14"/>
      <c r="T3886" s="14"/>
      <c r="U3886" s="14"/>
      <c r="V3886" s="14"/>
      <c r="W3886" s="14"/>
      <c r="X3886" s="14"/>
      <c r="Y3886" s="14"/>
      <c r="Z3886" s="14"/>
      <c r="AA3886" s="16"/>
      <c r="AB3886" s="10"/>
      <c r="AC3886" s="10"/>
      <c r="AD3886" s="10"/>
      <c r="AE3886" s="10"/>
      <c r="AF3886" s="10"/>
      <c r="AG3886" s="10"/>
      <c r="AH3886" s="10"/>
      <c r="AI3886" s="10"/>
      <c r="AJ3886" s="10"/>
      <c r="AK3886" s="10"/>
      <c r="AL3886" s="10"/>
      <c r="AM3886" s="10"/>
      <c r="AN3886" s="10"/>
      <c r="AO3886" s="10"/>
      <c r="AP3886" s="10"/>
      <c r="AQ3886" s="10"/>
      <c r="AR3886" s="10"/>
      <c r="AS3886" s="10"/>
      <c r="AT3886" s="10"/>
      <c r="AU3886" s="10"/>
      <c r="AV3886" s="10"/>
      <c r="AW3886" s="10"/>
      <c r="AX3886" s="10"/>
      <c r="AY3886" s="10"/>
      <c r="AZ3886" s="10"/>
      <c r="BA3886" s="10"/>
      <c r="BB3886" s="10"/>
      <c r="BC3886" s="10"/>
      <c r="BD3886" s="10"/>
      <c r="BE3886" s="10"/>
      <c r="BF3886" s="10"/>
      <c r="BG3886" s="10"/>
      <c r="BH3886" s="10"/>
      <c r="BI3886" s="10"/>
      <c r="BJ3886" s="10"/>
      <c r="BK3886" s="10"/>
      <c r="BM3886" s="10"/>
    </row>
    <row r="3887" spans="1:65" ht="12.75">
      <c r="A3887" s="9"/>
      <c r="B3887" s="10"/>
      <c r="C3887" s="11"/>
      <c r="D3887" s="12"/>
      <c r="E3887" s="10"/>
      <c r="F3887" s="10"/>
      <c r="G3887" s="10"/>
      <c r="H3887" s="14"/>
      <c r="I3887" s="14"/>
      <c r="J3887" s="14"/>
      <c r="K3887" s="14"/>
      <c r="L3887" s="14"/>
      <c r="M3887" s="15"/>
      <c r="N3887" s="10"/>
      <c r="O3887" s="14"/>
      <c r="P3887" s="14"/>
      <c r="Q3887" s="14"/>
      <c r="R3887" s="14"/>
      <c r="S3887" s="14"/>
      <c r="T3887" s="14"/>
      <c r="U3887" s="14"/>
      <c r="V3887" s="14"/>
      <c r="W3887" s="14"/>
      <c r="X3887" s="14"/>
      <c r="Y3887" s="14"/>
      <c r="Z3887" s="14"/>
      <c r="AA3887" s="16"/>
      <c r="AB3887" s="10"/>
      <c r="AC3887" s="10"/>
      <c r="AD3887" s="10"/>
      <c r="AE3887" s="10"/>
      <c r="AF3887" s="10"/>
      <c r="AG3887" s="10"/>
      <c r="AH3887" s="10"/>
      <c r="AI3887" s="10"/>
      <c r="AJ3887" s="10"/>
      <c r="AK3887" s="10"/>
      <c r="AL3887" s="10"/>
      <c r="AM3887" s="10"/>
      <c r="AN3887" s="10"/>
      <c r="AO3887" s="10"/>
      <c r="AP3887" s="10"/>
      <c r="AQ3887" s="10"/>
      <c r="AR3887" s="10"/>
      <c r="AS3887" s="10"/>
      <c r="AT3887" s="10"/>
      <c r="AU3887" s="10"/>
      <c r="AV3887" s="10"/>
      <c r="AW3887" s="10"/>
      <c r="AX3887" s="10"/>
      <c r="AY3887" s="10"/>
      <c r="AZ3887" s="10"/>
      <c r="BA3887" s="10"/>
      <c r="BB3887" s="10"/>
      <c r="BC3887" s="10"/>
      <c r="BD3887" s="10"/>
      <c r="BE3887" s="10"/>
      <c r="BF3887" s="10"/>
      <c r="BG3887" s="10"/>
      <c r="BH3887" s="10"/>
      <c r="BI3887" s="10"/>
      <c r="BJ3887" s="10"/>
      <c r="BK3887" s="10"/>
      <c r="BM3887" s="10"/>
    </row>
    <row r="3888" spans="1:65" ht="12.75">
      <c r="A3888" s="9"/>
      <c r="B3888" s="10"/>
      <c r="C3888" s="11"/>
      <c r="D3888" s="12"/>
      <c r="E3888" s="10"/>
      <c r="F3888" s="10"/>
      <c r="G3888" s="10"/>
      <c r="H3888" s="14"/>
      <c r="I3888" s="14"/>
      <c r="J3888" s="14"/>
      <c r="K3888" s="14"/>
      <c r="L3888" s="14"/>
      <c r="M3888" s="15"/>
      <c r="N3888" s="10"/>
      <c r="O3888" s="14"/>
      <c r="P3888" s="14"/>
      <c r="Q3888" s="14"/>
      <c r="R3888" s="14"/>
      <c r="S3888" s="14"/>
      <c r="T3888" s="14"/>
      <c r="U3888" s="14"/>
      <c r="V3888" s="14"/>
      <c r="W3888" s="14"/>
      <c r="X3888" s="14"/>
      <c r="Y3888" s="14"/>
      <c r="Z3888" s="14"/>
      <c r="AA3888" s="16"/>
      <c r="AB3888" s="10"/>
      <c r="AC3888" s="10"/>
      <c r="AD3888" s="10"/>
      <c r="AE3888" s="10"/>
      <c r="AF3888" s="10"/>
      <c r="AG3888" s="10"/>
      <c r="AH3888" s="10"/>
      <c r="AI3888" s="10"/>
      <c r="AJ3888" s="10"/>
      <c r="AK3888" s="10"/>
      <c r="AL3888" s="10"/>
      <c r="AM3888" s="10"/>
      <c r="AN3888" s="10"/>
      <c r="AO3888" s="10"/>
      <c r="AP3888" s="10"/>
      <c r="AQ3888" s="10"/>
      <c r="AR3888" s="10"/>
      <c r="AS3888" s="10"/>
      <c r="AT3888" s="10"/>
      <c r="AU3888" s="10"/>
      <c r="AV3888" s="10"/>
      <c r="AW3888" s="10"/>
      <c r="AX3888" s="10"/>
      <c r="AY3888" s="10"/>
      <c r="AZ3888" s="10"/>
      <c r="BA3888" s="10"/>
      <c r="BB3888" s="10"/>
      <c r="BC3888" s="10"/>
      <c r="BD3888" s="10"/>
      <c r="BE3888" s="10"/>
      <c r="BF3888" s="10"/>
      <c r="BG3888" s="10"/>
      <c r="BH3888" s="10"/>
      <c r="BI3888" s="10"/>
      <c r="BJ3888" s="10"/>
      <c r="BK3888" s="10"/>
      <c r="BM3888" s="10"/>
    </row>
    <row r="3889" spans="1:65" ht="12.75">
      <c r="A3889" s="9"/>
      <c r="B3889" s="10"/>
      <c r="C3889" s="11"/>
      <c r="D3889" s="12"/>
      <c r="E3889" s="10"/>
      <c r="F3889" s="10"/>
      <c r="G3889" s="10"/>
      <c r="H3889" s="14"/>
      <c r="I3889" s="14"/>
      <c r="J3889" s="14"/>
      <c r="K3889" s="14"/>
      <c r="L3889" s="14"/>
      <c r="M3889" s="15"/>
      <c r="N3889" s="10"/>
      <c r="O3889" s="14"/>
      <c r="P3889" s="14"/>
      <c r="Q3889" s="14"/>
      <c r="R3889" s="14"/>
      <c r="S3889" s="14"/>
      <c r="T3889" s="14"/>
      <c r="U3889" s="14"/>
      <c r="V3889" s="14"/>
      <c r="W3889" s="14"/>
      <c r="X3889" s="14"/>
      <c r="Y3889" s="14"/>
      <c r="Z3889" s="14"/>
      <c r="AA3889" s="16"/>
      <c r="AB3889" s="10"/>
      <c r="AC3889" s="10"/>
      <c r="AD3889" s="10"/>
      <c r="AE3889" s="10"/>
      <c r="AF3889" s="10"/>
      <c r="AG3889" s="10"/>
      <c r="AH3889" s="10"/>
      <c r="AI3889" s="10"/>
      <c r="AJ3889" s="10"/>
      <c r="AK3889" s="10"/>
      <c r="AL3889" s="10"/>
      <c r="AM3889" s="10"/>
      <c r="AN3889" s="10"/>
      <c r="AO3889" s="10"/>
      <c r="AP3889" s="10"/>
      <c r="AQ3889" s="10"/>
      <c r="AR3889" s="10"/>
      <c r="AS3889" s="10"/>
      <c r="AT3889" s="10"/>
      <c r="AU3889" s="10"/>
      <c r="AV3889" s="10"/>
      <c r="AW3889" s="10"/>
      <c r="AX3889" s="10"/>
      <c r="AY3889" s="10"/>
      <c r="AZ3889" s="10"/>
      <c r="BA3889" s="10"/>
      <c r="BB3889" s="10"/>
      <c r="BC3889" s="10"/>
      <c r="BD3889" s="10"/>
      <c r="BE3889" s="10"/>
      <c r="BF3889" s="10"/>
      <c r="BG3889" s="10"/>
      <c r="BH3889" s="10"/>
      <c r="BI3889" s="10"/>
      <c r="BJ3889" s="10"/>
      <c r="BK3889" s="10"/>
      <c r="BM3889" s="10"/>
    </row>
    <row r="3890" spans="1:65" ht="12.75">
      <c r="A3890" s="9"/>
      <c r="B3890" s="10"/>
      <c r="C3890" s="11"/>
      <c r="D3890" s="12"/>
      <c r="E3890" s="10"/>
      <c r="F3890" s="10"/>
      <c r="G3890" s="10"/>
      <c r="H3890" s="14"/>
      <c r="I3890" s="14"/>
      <c r="J3890" s="14"/>
      <c r="K3890" s="14"/>
      <c r="L3890" s="14"/>
      <c r="M3890" s="15"/>
      <c r="N3890" s="10"/>
      <c r="O3890" s="14"/>
      <c r="P3890" s="14"/>
      <c r="Q3890" s="14"/>
      <c r="R3890" s="14"/>
      <c r="S3890" s="14"/>
      <c r="T3890" s="14"/>
      <c r="U3890" s="14"/>
      <c r="V3890" s="14"/>
      <c r="W3890" s="14"/>
      <c r="X3890" s="14"/>
      <c r="Y3890" s="14"/>
      <c r="Z3890" s="14"/>
      <c r="AA3890" s="16"/>
      <c r="AB3890" s="10"/>
      <c r="AC3890" s="10"/>
      <c r="AD3890" s="10"/>
      <c r="AE3890" s="10"/>
      <c r="AF3890" s="10"/>
      <c r="AG3890" s="10"/>
      <c r="AH3890" s="10"/>
      <c r="AI3890" s="10"/>
      <c r="AJ3890" s="10"/>
      <c r="AK3890" s="10"/>
      <c r="AL3890" s="10"/>
      <c r="AM3890" s="10"/>
      <c r="AN3890" s="10"/>
      <c r="AO3890" s="10"/>
      <c r="AP3890" s="10"/>
      <c r="AQ3890" s="10"/>
      <c r="AR3890" s="10"/>
      <c r="AS3890" s="10"/>
      <c r="AT3890" s="10"/>
      <c r="AU3890" s="10"/>
      <c r="AV3890" s="10"/>
      <c r="AW3890" s="10"/>
      <c r="AX3890" s="10"/>
      <c r="AY3890" s="10"/>
      <c r="AZ3890" s="10"/>
      <c r="BA3890" s="10"/>
      <c r="BB3890" s="10"/>
      <c r="BC3890" s="10"/>
      <c r="BD3890" s="10"/>
      <c r="BE3890" s="10"/>
      <c r="BF3890" s="10"/>
      <c r="BG3890" s="10"/>
      <c r="BH3890" s="10"/>
      <c r="BI3890" s="10"/>
      <c r="BJ3890" s="10"/>
      <c r="BK3890" s="10"/>
      <c r="BM3890" s="10"/>
    </row>
    <row r="3891" spans="1:65" ht="12.75">
      <c r="A3891" s="9"/>
      <c r="B3891" s="10"/>
      <c r="C3891" s="11"/>
      <c r="D3891" s="12"/>
      <c r="E3891" s="10"/>
      <c r="F3891" s="10"/>
      <c r="G3891" s="10"/>
      <c r="H3891" s="14"/>
      <c r="I3891" s="14"/>
      <c r="J3891" s="14"/>
      <c r="K3891" s="14"/>
      <c r="L3891" s="14"/>
      <c r="M3891" s="15"/>
      <c r="N3891" s="10"/>
      <c r="O3891" s="14"/>
      <c r="P3891" s="14"/>
      <c r="Q3891" s="14"/>
      <c r="R3891" s="14"/>
      <c r="S3891" s="14"/>
      <c r="T3891" s="14"/>
      <c r="U3891" s="14"/>
      <c r="V3891" s="14"/>
      <c r="W3891" s="14"/>
      <c r="X3891" s="14"/>
      <c r="Y3891" s="14"/>
      <c r="Z3891" s="14"/>
      <c r="AA3891" s="16"/>
      <c r="AB3891" s="10"/>
      <c r="AC3891" s="10"/>
      <c r="AD3891" s="10"/>
      <c r="AE3891" s="10"/>
      <c r="AF3891" s="10"/>
      <c r="AG3891" s="10"/>
      <c r="AH3891" s="10"/>
      <c r="AI3891" s="10"/>
      <c r="AJ3891" s="10"/>
      <c r="AK3891" s="10"/>
      <c r="AL3891" s="10"/>
      <c r="AM3891" s="10"/>
      <c r="AN3891" s="10"/>
      <c r="AO3891" s="10"/>
      <c r="AP3891" s="10"/>
      <c r="AQ3891" s="10"/>
      <c r="AR3891" s="10"/>
      <c r="AS3891" s="10"/>
      <c r="AT3891" s="10"/>
      <c r="AU3891" s="10"/>
      <c r="AV3891" s="10"/>
      <c r="AW3891" s="10"/>
      <c r="AX3891" s="10"/>
      <c r="AY3891" s="10"/>
      <c r="AZ3891" s="10"/>
      <c r="BA3891" s="10"/>
      <c r="BB3891" s="10"/>
      <c r="BC3891" s="10"/>
      <c r="BD3891" s="10"/>
      <c r="BE3891" s="10"/>
      <c r="BF3891" s="10"/>
      <c r="BG3891" s="10"/>
      <c r="BH3891" s="10"/>
      <c r="BI3891" s="10"/>
      <c r="BJ3891" s="10"/>
      <c r="BK3891" s="10"/>
      <c r="BM3891" s="10"/>
    </row>
    <row r="3892" spans="1:65" ht="12.75">
      <c r="A3892" s="9"/>
      <c r="B3892" s="10"/>
      <c r="C3892" s="11"/>
      <c r="D3892" s="12"/>
      <c r="E3892" s="10"/>
      <c r="F3892" s="10"/>
      <c r="G3892" s="10"/>
      <c r="H3892" s="14"/>
      <c r="I3892" s="14"/>
      <c r="J3892" s="14"/>
      <c r="K3892" s="14"/>
      <c r="L3892" s="14"/>
      <c r="M3892" s="15"/>
      <c r="N3892" s="10"/>
      <c r="O3892" s="14"/>
      <c r="P3892" s="14"/>
      <c r="Q3892" s="14"/>
      <c r="R3892" s="14"/>
      <c r="S3892" s="14"/>
      <c r="T3892" s="14"/>
      <c r="U3892" s="14"/>
      <c r="V3892" s="14"/>
      <c r="W3892" s="14"/>
      <c r="X3892" s="14"/>
      <c r="Y3892" s="14"/>
      <c r="Z3892" s="14"/>
      <c r="AA3892" s="16"/>
      <c r="AB3892" s="10"/>
      <c r="AC3892" s="10"/>
      <c r="AD3892" s="10"/>
      <c r="AE3892" s="10"/>
      <c r="AF3892" s="10"/>
      <c r="AG3892" s="10"/>
      <c r="AH3892" s="10"/>
      <c r="AI3892" s="10"/>
      <c r="AJ3892" s="10"/>
      <c r="AK3892" s="10"/>
      <c r="AL3892" s="10"/>
      <c r="AM3892" s="10"/>
      <c r="AN3892" s="10"/>
      <c r="AO3892" s="10"/>
      <c r="AP3892" s="10"/>
      <c r="AQ3892" s="10"/>
      <c r="AR3892" s="10"/>
      <c r="AS3892" s="10"/>
      <c r="AT3892" s="10"/>
      <c r="AU3892" s="10"/>
      <c r="AV3892" s="10"/>
      <c r="AW3892" s="10"/>
      <c r="AX3892" s="10"/>
      <c r="AY3892" s="10"/>
      <c r="AZ3892" s="10"/>
      <c r="BA3892" s="10"/>
      <c r="BB3892" s="10"/>
      <c r="BC3892" s="10"/>
      <c r="BD3892" s="10"/>
      <c r="BE3892" s="10"/>
      <c r="BF3892" s="10"/>
      <c r="BG3892" s="10"/>
      <c r="BH3892" s="10"/>
      <c r="BI3892" s="10"/>
      <c r="BJ3892" s="10"/>
      <c r="BK3892" s="10"/>
      <c r="BM3892" s="10"/>
    </row>
    <row r="3893" spans="1:65" ht="12.75">
      <c r="A3893" s="9"/>
      <c r="B3893" s="10"/>
      <c r="C3893" s="11"/>
      <c r="D3893" s="12"/>
      <c r="E3893" s="10"/>
      <c r="F3893" s="10"/>
      <c r="G3893" s="10"/>
      <c r="H3893" s="14"/>
      <c r="I3893" s="14"/>
      <c r="J3893" s="14"/>
      <c r="K3893" s="14"/>
      <c r="L3893" s="14"/>
      <c r="M3893" s="15"/>
      <c r="N3893" s="10"/>
      <c r="O3893" s="14"/>
      <c r="P3893" s="14"/>
      <c r="Q3893" s="14"/>
      <c r="R3893" s="14"/>
      <c r="S3893" s="14"/>
      <c r="T3893" s="14"/>
      <c r="U3893" s="14"/>
      <c r="V3893" s="14"/>
      <c r="W3893" s="14"/>
      <c r="X3893" s="14"/>
      <c r="Y3893" s="14"/>
      <c r="Z3893" s="14"/>
      <c r="AA3893" s="16"/>
      <c r="AB3893" s="10"/>
      <c r="AC3893" s="10"/>
      <c r="AD3893" s="10"/>
      <c r="AE3893" s="10"/>
      <c r="AF3893" s="10"/>
      <c r="AG3893" s="10"/>
      <c r="AH3893" s="10"/>
      <c r="AI3893" s="10"/>
      <c r="AJ3893" s="10"/>
      <c r="AK3893" s="10"/>
      <c r="AL3893" s="10"/>
      <c r="AM3893" s="10"/>
      <c r="AN3893" s="10"/>
      <c r="AO3893" s="10"/>
      <c r="AP3893" s="10"/>
      <c r="AQ3893" s="10"/>
      <c r="AR3893" s="10"/>
      <c r="AS3893" s="10"/>
      <c r="AT3893" s="10"/>
      <c r="AU3893" s="10"/>
      <c r="AV3893" s="10"/>
      <c r="AW3893" s="10"/>
      <c r="AX3893" s="10"/>
      <c r="AY3893" s="10"/>
      <c r="AZ3893" s="10"/>
      <c r="BA3893" s="10"/>
      <c r="BB3893" s="10"/>
      <c r="BC3893" s="10"/>
      <c r="BD3893" s="10"/>
      <c r="BE3893" s="10"/>
      <c r="BF3893" s="10"/>
      <c r="BG3893" s="10"/>
      <c r="BH3893" s="10"/>
      <c r="BI3893" s="10"/>
      <c r="BJ3893" s="10"/>
      <c r="BK3893" s="10"/>
      <c r="BM3893" s="10"/>
    </row>
    <row r="3894" spans="1:65" ht="12.75">
      <c r="A3894" s="9"/>
      <c r="B3894" s="10"/>
      <c r="C3894" s="11"/>
      <c r="D3894" s="12"/>
      <c r="E3894" s="10"/>
      <c r="F3894" s="10"/>
      <c r="G3894" s="10"/>
      <c r="H3894" s="14"/>
      <c r="I3894" s="14"/>
      <c r="J3894" s="14"/>
      <c r="K3894" s="14"/>
      <c r="L3894" s="14"/>
      <c r="M3894" s="15"/>
      <c r="N3894" s="10"/>
      <c r="O3894" s="14"/>
      <c r="P3894" s="14"/>
      <c r="Q3894" s="14"/>
      <c r="R3894" s="14"/>
      <c r="S3894" s="14"/>
      <c r="T3894" s="14"/>
      <c r="U3894" s="14"/>
      <c r="V3894" s="14"/>
      <c r="W3894" s="14"/>
      <c r="X3894" s="14"/>
      <c r="Y3894" s="14"/>
      <c r="Z3894" s="14"/>
      <c r="AA3894" s="16"/>
      <c r="AB3894" s="10"/>
      <c r="AC3894" s="10"/>
      <c r="AD3894" s="10"/>
      <c r="AE3894" s="10"/>
      <c r="AF3894" s="10"/>
      <c r="AG3894" s="10"/>
      <c r="AH3894" s="10"/>
      <c r="AI3894" s="10"/>
      <c r="AJ3894" s="10"/>
      <c r="AK3894" s="10"/>
      <c r="AL3894" s="10"/>
      <c r="AM3894" s="10"/>
      <c r="AN3894" s="10"/>
      <c r="AO3894" s="10"/>
      <c r="AP3894" s="10"/>
      <c r="AQ3894" s="10"/>
      <c r="AR3894" s="10"/>
      <c r="AS3894" s="10"/>
      <c r="AT3894" s="10"/>
      <c r="AU3894" s="10"/>
      <c r="AV3894" s="10"/>
      <c r="AW3894" s="10"/>
      <c r="AX3894" s="10"/>
      <c r="AY3894" s="10"/>
      <c r="AZ3894" s="10"/>
      <c r="BA3894" s="10"/>
      <c r="BB3894" s="10"/>
      <c r="BC3894" s="10"/>
      <c r="BD3894" s="10"/>
      <c r="BE3894" s="10"/>
      <c r="BF3894" s="10"/>
      <c r="BG3894" s="10"/>
      <c r="BH3894" s="10"/>
      <c r="BI3894" s="10"/>
      <c r="BJ3894" s="10"/>
      <c r="BK3894" s="10"/>
      <c r="BM3894" s="10"/>
    </row>
    <row r="3895" spans="1:65" ht="12.75">
      <c r="A3895" s="9"/>
      <c r="B3895" s="10"/>
      <c r="C3895" s="11"/>
      <c r="D3895" s="12"/>
      <c r="E3895" s="10"/>
      <c r="F3895" s="10"/>
      <c r="G3895" s="10"/>
      <c r="H3895" s="14"/>
      <c r="I3895" s="14"/>
      <c r="J3895" s="14"/>
      <c r="K3895" s="14"/>
      <c r="L3895" s="14"/>
      <c r="M3895" s="15"/>
      <c r="N3895" s="10"/>
      <c r="O3895" s="14"/>
      <c r="P3895" s="14"/>
      <c r="Q3895" s="14"/>
      <c r="R3895" s="14"/>
      <c r="S3895" s="14"/>
      <c r="T3895" s="14"/>
      <c r="U3895" s="14"/>
      <c r="V3895" s="14"/>
      <c r="W3895" s="14"/>
      <c r="X3895" s="14"/>
      <c r="Y3895" s="14"/>
      <c r="Z3895" s="14"/>
      <c r="AA3895" s="16"/>
      <c r="AB3895" s="10"/>
      <c r="AC3895" s="10"/>
      <c r="AD3895" s="10"/>
      <c r="AE3895" s="10"/>
      <c r="AF3895" s="10"/>
      <c r="AG3895" s="10"/>
      <c r="AH3895" s="10"/>
      <c r="AI3895" s="10"/>
      <c r="AJ3895" s="10"/>
      <c r="AK3895" s="10"/>
      <c r="AL3895" s="10"/>
      <c r="AM3895" s="10"/>
      <c r="AN3895" s="10"/>
      <c r="AO3895" s="10"/>
      <c r="AP3895" s="10"/>
      <c r="AQ3895" s="10"/>
      <c r="AR3895" s="10"/>
      <c r="AS3895" s="10"/>
      <c r="AT3895" s="10"/>
      <c r="AU3895" s="10"/>
      <c r="AV3895" s="10"/>
      <c r="AW3895" s="10"/>
      <c r="AX3895" s="10"/>
      <c r="AY3895" s="10"/>
      <c r="AZ3895" s="10"/>
      <c r="BA3895" s="10"/>
      <c r="BB3895" s="10"/>
      <c r="BC3895" s="10"/>
      <c r="BD3895" s="10"/>
      <c r="BE3895" s="10"/>
      <c r="BF3895" s="10"/>
      <c r="BG3895" s="10"/>
      <c r="BH3895" s="10"/>
      <c r="BI3895" s="10"/>
      <c r="BJ3895" s="10"/>
      <c r="BK3895" s="10"/>
      <c r="BM3895" s="10"/>
    </row>
    <row r="3896" spans="1:65" ht="12.75">
      <c r="A3896" s="9"/>
      <c r="B3896" s="10"/>
      <c r="C3896" s="11"/>
      <c r="D3896" s="12"/>
      <c r="E3896" s="10"/>
      <c r="F3896" s="10"/>
      <c r="G3896" s="10"/>
      <c r="H3896" s="14"/>
      <c r="I3896" s="14"/>
      <c r="J3896" s="14"/>
      <c r="K3896" s="14"/>
      <c r="L3896" s="14"/>
      <c r="M3896" s="15"/>
      <c r="N3896" s="10"/>
      <c r="O3896" s="14"/>
      <c r="P3896" s="14"/>
      <c r="Q3896" s="14"/>
      <c r="R3896" s="14"/>
      <c r="S3896" s="14"/>
      <c r="T3896" s="14"/>
      <c r="U3896" s="14"/>
      <c r="V3896" s="14"/>
      <c r="W3896" s="14"/>
      <c r="X3896" s="14"/>
      <c r="Y3896" s="14"/>
      <c r="Z3896" s="14"/>
      <c r="AA3896" s="16"/>
      <c r="AB3896" s="10"/>
      <c r="AC3896" s="10"/>
      <c r="AD3896" s="10"/>
      <c r="AE3896" s="10"/>
      <c r="AF3896" s="10"/>
      <c r="AG3896" s="10"/>
      <c r="AH3896" s="10"/>
      <c r="AI3896" s="10"/>
      <c r="AJ3896" s="10"/>
      <c r="AK3896" s="10"/>
      <c r="AL3896" s="10"/>
      <c r="AM3896" s="10"/>
      <c r="AN3896" s="10"/>
      <c r="AO3896" s="10"/>
      <c r="AP3896" s="10"/>
      <c r="AQ3896" s="10"/>
      <c r="AR3896" s="10"/>
      <c r="AS3896" s="10"/>
      <c r="AT3896" s="10"/>
      <c r="AU3896" s="10"/>
      <c r="AV3896" s="10"/>
      <c r="AW3896" s="10"/>
      <c r="AX3896" s="10"/>
      <c r="AY3896" s="10"/>
      <c r="AZ3896" s="10"/>
      <c r="BA3896" s="10"/>
      <c r="BB3896" s="10"/>
      <c r="BC3896" s="10"/>
      <c r="BD3896" s="10"/>
      <c r="BE3896" s="10"/>
      <c r="BF3896" s="10"/>
      <c r="BG3896" s="10"/>
      <c r="BH3896" s="10"/>
      <c r="BI3896" s="10"/>
      <c r="BJ3896" s="10"/>
      <c r="BK3896" s="10"/>
      <c r="BM3896" s="10"/>
    </row>
    <row r="3897" spans="1:65" ht="12.75">
      <c r="A3897" s="9"/>
      <c r="B3897" s="10"/>
      <c r="C3897" s="11"/>
      <c r="D3897" s="12"/>
      <c r="E3897" s="10"/>
      <c r="F3897" s="10"/>
      <c r="G3897" s="10"/>
      <c r="H3897" s="14"/>
      <c r="I3897" s="14"/>
      <c r="J3897" s="14"/>
      <c r="K3897" s="14"/>
      <c r="L3897" s="14"/>
      <c r="M3897" s="15"/>
      <c r="N3897" s="10"/>
      <c r="O3897" s="14"/>
      <c r="P3897" s="14"/>
      <c r="Q3897" s="14"/>
      <c r="R3897" s="14"/>
      <c r="S3897" s="14"/>
      <c r="T3897" s="14"/>
      <c r="U3897" s="14"/>
      <c r="V3897" s="14"/>
      <c r="W3897" s="14"/>
      <c r="X3897" s="14"/>
      <c r="Y3897" s="14"/>
      <c r="Z3897" s="14"/>
      <c r="AA3897" s="16"/>
      <c r="AB3897" s="10"/>
      <c r="AC3897" s="10"/>
      <c r="AD3897" s="10"/>
      <c r="AE3897" s="10"/>
      <c r="AF3897" s="10"/>
      <c r="AG3897" s="10"/>
      <c r="AH3897" s="10"/>
      <c r="AI3897" s="10"/>
      <c r="AJ3897" s="10"/>
      <c r="AK3897" s="10"/>
      <c r="AL3897" s="10"/>
      <c r="AM3897" s="10"/>
      <c r="AN3897" s="10"/>
      <c r="AO3897" s="10"/>
      <c r="AP3897" s="10"/>
      <c r="AQ3897" s="10"/>
      <c r="AR3897" s="10"/>
      <c r="AS3897" s="10"/>
      <c r="AT3897" s="10"/>
      <c r="AU3897" s="10"/>
      <c r="AV3897" s="10"/>
      <c r="AW3897" s="10"/>
      <c r="AX3897" s="10"/>
      <c r="AY3897" s="10"/>
      <c r="AZ3897" s="10"/>
      <c r="BA3897" s="10"/>
      <c r="BB3897" s="10"/>
      <c r="BC3897" s="10"/>
      <c r="BD3897" s="10"/>
      <c r="BE3897" s="10"/>
      <c r="BF3897" s="10"/>
      <c r="BG3897" s="10"/>
      <c r="BH3897" s="10"/>
      <c r="BI3897" s="10"/>
      <c r="BJ3897" s="10"/>
      <c r="BK3897" s="10"/>
      <c r="BM3897" s="10"/>
    </row>
    <row r="3898" spans="1:65" ht="12.75">
      <c r="A3898" s="9"/>
      <c r="B3898" s="10"/>
      <c r="C3898" s="11"/>
      <c r="D3898" s="12"/>
      <c r="E3898" s="10"/>
      <c r="F3898" s="10"/>
      <c r="G3898" s="10"/>
      <c r="H3898" s="14"/>
      <c r="I3898" s="14"/>
      <c r="J3898" s="14"/>
      <c r="K3898" s="14"/>
      <c r="L3898" s="14"/>
      <c r="M3898" s="15"/>
      <c r="N3898" s="10"/>
      <c r="O3898" s="14"/>
      <c r="P3898" s="14"/>
      <c r="Q3898" s="14"/>
      <c r="R3898" s="14"/>
      <c r="S3898" s="14"/>
      <c r="T3898" s="14"/>
      <c r="U3898" s="14"/>
      <c r="V3898" s="14"/>
      <c r="W3898" s="14"/>
      <c r="X3898" s="14"/>
      <c r="Y3898" s="14"/>
      <c r="Z3898" s="14"/>
      <c r="AA3898" s="16"/>
      <c r="AB3898" s="10"/>
      <c r="AC3898" s="10"/>
      <c r="AD3898" s="10"/>
      <c r="AE3898" s="10"/>
      <c r="AF3898" s="10"/>
      <c r="AG3898" s="10"/>
      <c r="AH3898" s="10"/>
      <c r="AI3898" s="10"/>
      <c r="AJ3898" s="10"/>
      <c r="AK3898" s="10"/>
      <c r="AL3898" s="10"/>
      <c r="AM3898" s="10"/>
      <c r="AN3898" s="10"/>
      <c r="AO3898" s="10"/>
      <c r="AP3898" s="10"/>
      <c r="AQ3898" s="10"/>
      <c r="AR3898" s="10"/>
      <c r="AS3898" s="10"/>
      <c r="AT3898" s="10"/>
      <c r="AU3898" s="10"/>
      <c r="AV3898" s="10"/>
      <c r="AW3898" s="10"/>
      <c r="AX3898" s="10"/>
      <c r="AY3898" s="10"/>
      <c r="AZ3898" s="10"/>
      <c r="BA3898" s="10"/>
      <c r="BB3898" s="10"/>
      <c r="BC3898" s="10"/>
      <c r="BD3898" s="10"/>
      <c r="BE3898" s="10"/>
      <c r="BF3898" s="10"/>
      <c r="BG3898" s="10"/>
      <c r="BH3898" s="10"/>
      <c r="BI3898" s="10"/>
      <c r="BJ3898" s="10"/>
      <c r="BK3898" s="10"/>
      <c r="BM3898" s="10"/>
    </row>
    <row r="3899" spans="1:65" ht="12.75">
      <c r="A3899" s="9"/>
      <c r="B3899" s="10"/>
      <c r="C3899" s="11"/>
      <c r="D3899" s="12"/>
      <c r="E3899" s="10"/>
      <c r="F3899" s="10"/>
      <c r="G3899" s="10"/>
      <c r="H3899" s="14"/>
      <c r="I3899" s="14"/>
      <c r="J3899" s="14"/>
      <c r="K3899" s="14"/>
      <c r="L3899" s="14"/>
      <c r="M3899" s="15"/>
      <c r="N3899" s="10"/>
      <c r="O3899" s="14"/>
      <c r="P3899" s="14"/>
      <c r="Q3899" s="14"/>
      <c r="R3899" s="14"/>
      <c r="S3899" s="14"/>
      <c r="T3899" s="14"/>
      <c r="U3899" s="14"/>
      <c r="V3899" s="14"/>
      <c r="W3899" s="14"/>
      <c r="X3899" s="14"/>
      <c r="Y3899" s="14"/>
      <c r="Z3899" s="14"/>
      <c r="AA3899" s="16"/>
      <c r="AB3899" s="10"/>
      <c r="AC3899" s="10"/>
      <c r="AD3899" s="10"/>
      <c r="AE3899" s="10"/>
      <c r="AF3899" s="10"/>
      <c r="AG3899" s="10"/>
      <c r="AH3899" s="10"/>
      <c r="AI3899" s="10"/>
      <c r="AJ3899" s="10"/>
      <c r="AK3899" s="10"/>
      <c r="AL3899" s="10"/>
      <c r="AM3899" s="10"/>
      <c r="AN3899" s="10"/>
      <c r="AO3899" s="10"/>
      <c r="AP3899" s="10"/>
      <c r="AQ3899" s="10"/>
      <c r="AR3899" s="10"/>
      <c r="AS3899" s="10"/>
      <c r="AT3899" s="10"/>
      <c r="AU3899" s="10"/>
      <c r="AV3899" s="10"/>
      <c r="AW3899" s="10"/>
      <c r="AX3899" s="10"/>
      <c r="AY3899" s="10"/>
      <c r="AZ3899" s="10"/>
      <c r="BA3899" s="10"/>
      <c r="BB3899" s="10"/>
      <c r="BC3899" s="10"/>
      <c r="BD3899" s="10"/>
      <c r="BE3899" s="10"/>
      <c r="BF3899" s="10"/>
      <c r="BG3899" s="10"/>
      <c r="BH3899" s="10"/>
      <c r="BI3899" s="10"/>
      <c r="BJ3899" s="10"/>
      <c r="BK3899" s="10"/>
      <c r="BM3899" s="10"/>
    </row>
    <row r="3900" spans="1:65" ht="12.75">
      <c r="A3900" s="9"/>
      <c r="B3900" s="10"/>
      <c r="C3900" s="11"/>
      <c r="D3900" s="12"/>
      <c r="E3900" s="10"/>
      <c r="F3900" s="10"/>
      <c r="G3900" s="10"/>
      <c r="H3900" s="14"/>
      <c r="I3900" s="14"/>
      <c r="J3900" s="14"/>
      <c r="K3900" s="14"/>
      <c r="L3900" s="14"/>
      <c r="M3900" s="15"/>
      <c r="N3900" s="10"/>
      <c r="O3900" s="14"/>
      <c r="P3900" s="14"/>
      <c r="Q3900" s="14"/>
      <c r="R3900" s="14"/>
      <c r="S3900" s="14"/>
      <c r="T3900" s="14"/>
      <c r="U3900" s="14"/>
      <c r="V3900" s="14"/>
      <c r="W3900" s="14"/>
      <c r="X3900" s="14"/>
      <c r="Y3900" s="14"/>
      <c r="Z3900" s="14"/>
      <c r="AA3900" s="16"/>
      <c r="AB3900" s="10"/>
      <c r="AC3900" s="10"/>
      <c r="AD3900" s="10"/>
      <c r="AE3900" s="10"/>
      <c r="AF3900" s="10"/>
      <c r="AG3900" s="10"/>
      <c r="AH3900" s="10"/>
      <c r="AI3900" s="10"/>
      <c r="AJ3900" s="10"/>
      <c r="AK3900" s="10"/>
      <c r="AL3900" s="10"/>
      <c r="AM3900" s="10"/>
      <c r="AN3900" s="10"/>
      <c r="AO3900" s="10"/>
      <c r="AP3900" s="10"/>
      <c r="AQ3900" s="10"/>
      <c r="AR3900" s="10"/>
      <c r="AS3900" s="10"/>
      <c r="AT3900" s="10"/>
      <c r="AU3900" s="10"/>
      <c r="AV3900" s="10"/>
      <c r="AW3900" s="10"/>
      <c r="AX3900" s="10"/>
      <c r="AY3900" s="10"/>
      <c r="AZ3900" s="10"/>
      <c r="BA3900" s="10"/>
      <c r="BB3900" s="10"/>
      <c r="BC3900" s="10"/>
      <c r="BD3900" s="10"/>
      <c r="BE3900" s="10"/>
      <c r="BF3900" s="10"/>
      <c r="BG3900" s="10"/>
      <c r="BH3900" s="10"/>
      <c r="BI3900" s="10"/>
      <c r="BJ3900" s="10"/>
      <c r="BK3900" s="10"/>
      <c r="BM3900" s="10"/>
    </row>
    <row r="3901" spans="1:65" ht="12.75">
      <c r="A3901" s="9"/>
      <c r="B3901" s="10"/>
      <c r="C3901" s="11"/>
      <c r="D3901" s="12"/>
      <c r="E3901" s="10"/>
      <c r="F3901" s="10"/>
      <c r="G3901" s="10"/>
      <c r="H3901" s="14"/>
      <c r="I3901" s="14"/>
      <c r="J3901" s="14"/>
      <c r="K3901" s="14"/>
      <c r="L3901" s="14"/>
      <c r="M3901" s="15"/>
      <c r="N3901" s="10"/>
      <c r="O3901" s="14"/>
      <c r="P3901" s="14"/>
      <c r="Q3901" s="14"/>
      <c r="R3901" s="14"/>
      <c r="S3901" s="14"/>
      <c r="T3901" s="14"/>
      <c r="U3901" s="14"/>
      <c r="V3901" s="14"/>
      <c r="W3901" s="14"/>
      <c r="X3901" s="14"/>
      <c r="Y3901" s="14"/>
      <c r="Z3901" s="14"/>
      <c r="AA3901" s="16"/>
      <c r="AB3901" s="10"/>
      <c r="AC3901" s="10"/>
      <c r="AD3901" s="10"/>
      <c r="AE3901" s="10"/>
      <c r="AF3901" s="10"/>
      <c r="AG3901" s="10"/>
      <c r="AH3901" s="10"/>
      <c r="AI3901" s="10"/>
      <c r="AJ3901" s="10"/>
      <c r="AK3901" s="10"/>
      <c r="AL3901" s="10"/>
      <c r="AM3901" s="10"/>
      <c r="AN3901" s="10"/>
      <c r="AO3901" s="10"/>
      <c r="AP3901" s="10"/>
      <c r="AQ3901" s="10"/>
      <c r="AR3901" s="10"/>
      <c r="AS3901" s="10"/>
      <c r="AT3901" s="10"/>
      <c r="AU3901" s="10"/>
      <c r="AV3901" s="10"/>
      <c r="AW3901" s="10"/>
      <c r="AX3901" s="10"/>
      <c r="AY3901" s="10"/>
      <c r="AZ3901" s="10"/>
      <c r="BA3901" s="10"/>
      <c r="BB3901" s="10"/>
      <c r="BC3901" s="10"/>
      <c r="BD3901" s="10"/>
      <c r="BE3901" s="10"/>
      <c r="BF3901" s="10"/>
      <c r="BG3901" s="10"/>
      <c r="BH3901" s="10"/>
      <c r="BI3901" s="10"/>
      <c r="BJ3901" s="10"/>
      <c r="BK3901" s="10"/>
      <c r="BM3901" s="10"/>
    </row>
    <row r="3902" spans="1:65" ht="12.75">
      <c r="A3902" s="9"/>
      <c r="B3902" s="10"/>
      <c r="C3902" s="11"/>
      <c r="D3902" s="12"/>
      <c r="E3902" s="10"/>
      <c r="F3902" s="10"/>
      <c r="G3902" s="10"/>
      <c r="H3902" s="14"/>
      <c r="I3902" s="14"/>
      <c r="J3902" s="14"/>
      <c r="K3902" s="14"/>
      <c r="L3902" s="14"/>
      <c r="M3902" s="15"/>
      <c r="N3902" s="10"/>
      <c r="O3902" s="14"/>
      <c r="P3902" s="14"/>
      <c r="Q3902" s="14"/>
      <c r="R3902" s="14"/>
      <c r="S3902" s="14"/>
      <c r="T3902" s="14"/>
      <c r="U3902" s="14"/>
      <c r="V3902" s="14"/>
      <c r="W3902" s="14"/>
      <c r="X3902" s="14"/>
      <c r="Y3902" s="14"/>
      <c r="Z3902" s="14"/>
      <c r="AA3902" s="16"/>
      <c r="AB3902" s="10"/>
      <c r="AC3902" s="10"/>
      <c r="AD3902" s="10"/>
      <c r="AE3902" s="10"/>
      <c r="AF3902" s="10"/>
      <c r="AG3902" s="10"/>
      <c r="AH3902" s="10"/>
      <c r="AI3902" s="10"/>
      <c r="AJ3902" s="10"/>
      <c r="AK3902" s="10"/>
      <c r="AL3902" s="10"/>
      <c r="AM3902" s="10"/>
      <c r="AN3902" s="10"/>
      <c r="AO3902" s="10"/>
      <c r="AP3902" s="10"/>
      <c r="AQ3902" s="10"/>
      <c r="AR3902" s="10"/>
      <c r="AS3902" s="10"/>
      <c r="AT3902" s="10"/>
      <c r="AU3902" s="10"/>
      <c r="AV3902" s="10"/>
      <c r="AW3902" s="10"/>
      <c r="AX3902" s="10"/>
      <c r="AY3902" s="10"/>
      <c r="AZ3902" s="10"/>
      <c r="BA3902" s="10"/>
      <c r="BB3902" s="10"/>
      <c r="BC3902" s="10"/>
      <c r="BD3902" s="10"/>
      <c r="BE3902" s="10"/>
      <c r="BF3902" s="10"/>
      <c r="BG3902" s="10"/>
      <c r="BH3902" s="10"/>
      <c r="BI3902" s="10"/>
      <c r="BJ3902" s="10"/>
      <c r="BK3902" s="10"/>
      <c r="BM3902" s="10"/>
    </row>
    <row r="3903" spans="1:65" ht="12.75">
      <c r="A3903" s="9"/>
      <c r="B3903" s="10"/>
      <c r="C3903" s="11"/>
      <c r="D3903" s="12"/>
      <c r="E3903" s="10"/>
      <c r="F3903" s="10"/>
      <c r="G3903" s="10"/>
      <c r="H3903" s="14"/>
      <c r="I3903" s="14"/>
      <c r="J3903" s="14"/>
      <c r="K3903" s="14"/>
      <c r="L3903" s="14"/>
      <c r="M3903" s="15"/>
      <c r="N3903" s="10"/>
      <c r="O3903" s="14"/>
      <c r="P3903" s="14"/>
      <c r="Q3903" s="14"/>
      <c r="R3903" s="14"/>
      <c r="S3903" s="14"/>
      <c r="T3903" s="14"/>
      <c r="U3903" s="14"/>
      <c r="V3903" s="14"/>
      <c r="W3903" s="14"/>
      <c r="X3903" s="14"/>
      <c r="Y3903" s="14"/>
      <c r="Z3903" s="14"/>
      <c r="AA3903" s="16"/>
      <c r="AB3903" s="10"/>
      <c r="AC3903" s="10"/>
      <c r="AD3903" s="10"/>
      <c r="AE3903" s="10"/>
      <c r="AF3903" s="10"/>
      <c r="AG3903" s="10"/>
      <c r="AH3903" s="10"/>
      <c r="AI3903" s="10"/>
      <c r="AJ3903" s="10"/>
      <c r="AK3903" s="10"/>
      <c r="AL3903" s="10"/>
      <c r="AM3903" s="10"/>
      <c r="AN3903" s="10"/>
      <c r="AO3903" s="10"/>
      <c r="AP3903" s="10"/>
      <c r="AQ3903" s="10"/>
      <c r="AR3903" s="10"/>
      <c r="AS3903" s="10"/>
      <c r="AT3903" s="10"/>
      <c r="AU3903" s="10"/>
      <c r="AV3903" s="10"/>
      <c r="AW3903" s="10"/>
      <c r="AX3903" s="10"/>
      <c r="AY3903" s="10"/>
      <c r="AZ3903" s="10"/>
      <c r="BA3903" s="10"/>
      <c r="BB3903" s="10"/>
      <c r="BC3903" s="10"/>
      <c r="BD3903" s="10"/>
      <c r="BE3903" s="10"/>
      <c r="BF3903" s="10"/>
      <c r="BG3903" s="10"/>
      <c r="BH3903" s="10"/>
      <c r="BI3903" s="10"/>
      <c r="BJ3903" s="10"/>
      <c r="BK3903" s="10"/>
      <c r="BM3903" s="10"/>
    </row>
    <row r="3904" spans="1:65" ht="12.75">
      <c r="A3904" s="9"/>
      <c r="B3904" s="10"/>
      <c r="C3904" s="11"/>
      <c r="D3904" s="12"/>
      <c r="E3904" s="10"/>
      <c r="F3904" s="10"/>
      <c r="G3904" s="10"/>
      <c r="H3904" s="14"/>
      <c r="I3904" s="14"/>
      <c r="J3904" s="14"/>
      <c r="K3904" s="14"/>
      <c r="L3904" s="14"/>
      <c r="M3904" s="15"/>
      <c r="N3904" s="10"/>
      <c r="O3904" s="14"/>
      <c r="P3904" s="14"/>
      <c r="Q3904" s="14"/>
      <c r="R3904" s="14"/>
      <c r="S3904" s="14"/>
      <c r="T3904" s="14"/>
      <c r="U3904" s="14"/>
      <c r="V3904" s="14"/>
      <c r="W3904" s="14"/>
      <c r="X3904" s="14"/>
      <c r="Y3904" s="14"/>
      <c r="Z3904" s="14"/>
      <c r="AA3904" s="16"/>
      <c r="AB3904" s="10"/>
      <c r="AC3904" s="10"/>
      <c r="AD3904" s="10"/>
      <c r="AE3904" s="10"/>
      <c r="AF3904" s="10"/>
      <c r="AG3904" s="10"/>
      <c r="AH3904" s="10"/>
      <c r="AI3904" s="10"/>
      <c r="AJ3904" s="10"/>
      <c r="AK3904" s="10"/>
      <c r="AL3904" s="10"/>
      <c r="AM3904" s="10"/>
      <c r="AN3904" s="10"/>
      <c r="AO3904" s="10"/>
      <c r="AP3904" s="10"/>
      <c r="AQ3904" s="10"/>
      <c r="AR3904" s="10"/>
      <c r="AS3904" s="10"/>
      <c r="AT3904" s="10"/>
      <c r="AU3904" s="10"/>
      <c r="AV3904" s="10"/>
      <c r="AW3904" s="10"/>
      <c r="AX3904" s="10"/>
      <c r="AY3904" s="10"/>
      <c r="AZ3904" s="10"/>
      <c r="BA3904" s="10"/>
      <c r="BB3904" s="10"/>
      <c r="BC3904" s="10"/>
      <c r="BD3904" s="10"/>
      <c r="BE3904" s="10"/>
      <c r="BF3904" s="10"/>
      <c r="BG3904" s="10"/>
      <c r="BH3904" s="10"/>
      <c r="BI3904" s="10"/>
      <c r="BJ3904" s="10"/>
      <c r="BK3904" s="10"/>
      <c r="BM3904" s="10"/>
    </row>
    <row r="3905" spans="1:65" ht="12.75">
      <c r="A3905" s="9"/>
      <c r="B3905" s="10"/>
      <c r="C3905" s="11"/>
      <c r="D3905" s="12"/>
      <c r="E3905" s="10"/>
      <c r="F3905" s="10"/>
      <c r="G3905" s="10"/>
      <c r="H3905" s="14"/>
      <c r="I3905" s="14"/>
      <c r="J3905" s="14"/>
      <c r="K3905" s="14"/>
      <c r="L3905" s="14"/>
      <c r="M3905" s="15"/>
      <c r="N3905" s="10"/>
      <c r="O3905" s="14"/>
      <c r="P3905" s="14"/>
      <c r="Q3905" s="14"/>
      <c r="R3905" s="14"/>
      <c r="S3905" s="14"/>
      <c r="T3905" s="14"/>
      <c r="U3905" s="14"/>
      <c r="V3905" s="14"/>
      <c r="W3905" s="14"/>
      <c r="X3905" s="14"/>
      <c r="Y3905" s="14"/>
      <c r="Z3905" s="14"/>
      <c r="AA3905" s="16"/>
      <c r="AB3905" s="10"/>
      <c r="AC3905" s="10"/>
      <c r="AD3905" s="10"/>
      <c r="AE3905" s="10"/>
      <c r="AF3905" s="10"/>
      <c r="AG3905" s="10"/>
      <c r="AH3905" s="10"/>
      <c r="AI3905" s="10"/>
      <c r="AJ3905" s="10"/>
      <c r="AK3905" s="10"/>
      <c r="AL3905" s="10"/>
      <c r="AM3905" s="10"/>
      <c r="AN3905" s="10"/>
      <c r="AO3905" s="10"/>
      <c r="AP3905" s="10"/>
      <c r="AQ3905" s="10"/>
      <c r="AR3905" s="10"/>
      <c r="AS3905" s="10"/>
      <c r="AT3905" s="10"/>
      <c r="AU3905" s="10"/>
      <c r="AV3905" s="10"/>
      <c r="AW3905" s="10"/>
      <c r="AX3905" s="10"/>
      <c r="AY3905" s="10"/>
      <c r="AZ3905" s="10"/>
      <c r="BA3905" s="10"/>
      <c r="BB3905" s="10"/>
      <c r="BC3905" s="10"/>
      <c r="BD3905" s="10"/>
      <c r="BE3905" s="10"/>
      <c r="BF3905" s="10"/>
      <c r="BG3905" s="10"/>
      <c r="BH3905" s="10"/>
      <c r="BI3905" s="10"/>
      <c r="BJ3905" s="10"/>
      <c r="BK3905" s="10"/>
      <c r="BM3905" s="10"/>
    </row>
    <row r="3906" spans="1:65" ht="12.75">
      <c r="A3906" s="9"/>
      <c r="B3906" s="10"/>
      <c r="C3906" s="11"/>
      <c r="D3906" s="12"/>
      <c r="E3906" s="10"/>
      <c r="F3906" s="10"/>
      <c r="G3906" s="10"/>
      <c r="H3906" s="14"/>
      <c r="I3906" s="14"/>
      <c r="J3906" s="14"/>
      <c r="K3906" s="14"/>
      <c r="L3906" s="14"/>
      <c r="M3906" s="15"/>
      <c r="N3906" s="10"/>
      <c r="O3906" s="14"/>
      <c r="P3906" s="14"/>
      <c r="Q3906" s="14"/>
      <c r="R3906" s="14"/>
      <c r="S3906" s="14"/>
      <c r="T3906" s="14"/>
      <c r="U3906" s="14"/>
      <c r="V3906" s="14"/>
      <c r="W3906" s="14"/>
      <c r="X3906" s="14"/>
      <c r="Y3906" s="14"/>
      <c r="Z3906" s="14"/>
      <c r="AA3906" s="16"/>
      <c r="AB3906" s="10"/>
      <c r="AC3906" s="10"/>
      <c r="AD3906" s="10"/>
      <c r="AE3906" s="10"/>
      <c r="AF3906" s="10"/>
      <c r="AG3906" s="10"/>
      <c r="AH3906" s="10"/>
      <c r="AI3906" s="10"/>
      <c r="AJ3906" s="10"/>
      <c r="AK3906" s="10"/>
      <c r="AL3906" s="10"/>
      <c r="AM3906" s="10"/>
      <c r="AN3906" s="10"/>
      <c r="AO3906" s="10"/>
      <c r="AP3906" s="10"/>
      <c r="AQ3906" s="10"/>
      <c r="AR3906" s="10"/>
      <c r="AS3906" s="10"/>
      <c r="AT3906" s="10"/>
      <c r="AU3906" s="10"/>
      <c r="AV3906" s="10"/>
      <c r="AW3906" s="10"/>
      <c r="AX3906" s="10"/>
      <c r="AY3906" s="10"/>
      <c r="AZ3906" s="10"/>
      <c r="BA3906" s="10"/>
      <c r="BB3906" s="10"/>
      <c r="BC3906" s="10"/>
      <c r="BD3906" s="10"/>
      <c r="BE3906" s="10"/>
      <c r="BF3906" s="10"/>
      <c r="BG3906" s="10"/>
      <c r="BH3906" s="10"/>
      <c r="BI3906" s="10"/>
      <c r="BJ3906" s="10"/>
      <c r="BK3906" s="10"/>
      <c r="BM3906" s="10"/>
    </row>
    <row r="3907" spans="1:65" ht="12.75">
      <c r="A3907" s="9"/>
      <c r="B3907" s="10"/>
      <c r="C3907" s="11"/>
      <c r="D3907" s="12"/>
      <c r="E3907" s="10"/>
      <c r="F3907" s="10"/>
      <c r="G3907" s="10"/>
      <c r="H3907" s="14"/>
      <c r="I3907" s="14"/>
      <c r="J3907" s="14"/>
      <c r="K3907" s="14"/>
      <c r="L3907" s="14"/>
      <c r="M3907" s="15"/>
      <c r="N3907" s="10"/>
      <c r="O3907" s="14"/>
      <c r="P3907" s="14"/>
      <c r="Q3907" s="14"/>
      <c r="R3907" s="14"/>
      <c r="S3907" s="14"/>
      <c r="T3907" s="14"/>
      <c r="U3907" s="14"/>
      <c r="V3907" s="14"/>
      <c r="W3907" s="14"/>
      <c r="X3907" s="14"/>
      <c r="Y3907" s="14"/>
      <c r="Z3907" s="14"/>
      <c r="AA3907" s="16"/>
      <c r="AB3907" s="10"/>
      <c r="AC3907" s="10"/>
      <c r="AD3907" s="10"/>
      <c r="AE3907" s="10"/>
      <c r="AF3907" s="10"/>
      <c r="AG3907" s="10"/>
      <c r="AH3907" s="10"/>
      <c r="AI3907" s="10"/>
      <c r="AJ3907" s="10"/>
      <c r="AK3907" s="10"/>
      <c r="AL3907" s="10"/>
      <c r="AM3907" s="10"/>
      <c r="AN3907" s="10"/>
      <c r="AO3907" s="10"/>
      <c r="AP3907" s="10"/>
      <c r="AQ3907" s="10"/>
      <c r="AR3907" s="10"/>
      <c r="AS3907" s="10"/>
      <c r="AT3907" s="10"/>
      <c r="AU3907" s="10"/>
      <c r="AV3907" s="10"/>
      <c r="AW3907" s="10"/>
      <c r="AX3907" s="10"/>
      <c r="AY3907" s="10"/>
      <c r="AZ3907" s="10"/>
      <c r="BA3907" s="10"/>
      <c r="BB3907" s="10"/>
      <c r="BC3907" s="10"/>
      <c r="BD3907" s="10"/>
      <c r="BE3907" s="10"/>
      <c r="BF3907" s="10"/>
      <c r="BG3907" s="10"/>
      <c r="BH3907" s="10"/>
      <c r="BI3907" s="10"/>
      <c r="BJ3907" s="10"/>
      <c r="BK3907" s="10"/>
      <c r="BM3907" s="10"/>
    </row>
    <row r="3908" spans="1:65" ht="12.75">
      <c r="A3908" s="9"/>
      <c r="B3908" s="10"/>
      <c r="C3908" s="11"/>
      <c r="D3908" s="12"/>
      <c r="E3908" s="10"/>
      <c r="F3908" s="10"/>
      <c r="G3908" s="10"/>
      <c r="H3908" s="14"/>
      <c r="I3908" s="14"/>
      <c r="J3908" s="14"/>
      <c r="K3908" s="14"/>
      <c r="L3908" s="14"/>
      <c r="M3908" s="15"/>
      <c r="N3908" s="10"/>
      <c r="O3908" s="14"/>
      <c r="P3908" s="14"/>
      <c r="Q3908" s="14"/>
      <c r="R3908" s="14"/>
      <c r="S3908" s="14"/>
      <c r="T3908" s="14"/>
      <c r="U3908" s="14"/>
      <c r="V3908" s="14"/>
      <c r="W3908" s="14"/>
      <c r="X3908" s="14"/>
      <c r="Y3908" s="14"/>
      <c r="Z3908" s="14"/>
      <c r="AA3908" s="16"/>
      <c r="AB3908" s="10"/>
      <c r="AC3908" s="10"/>
      <c r="AD3908" s="10"/>
      <c r="AE3908" s="10"/>
      <c r="AF3908" s="10"/>
      <c r="AG3908" s="10"/>
      <c r="AH3908" s="10"/>
      <c r="AI3908" s="10"/>
      <c r="AJ3908" s="10"/>
      <c r="AK3908" s="10"/>
      <c r="AL3908" s="10"/>
      <c r="AM3908" s="10"/>
      <c r="AN3908" s="10"/>
      <c r="AO3908" s="10"/>
      <c r="AP3908" s="10"/>
      <c r="AQ3908" s="10"/>
      <c r="AR3908" s="10"/>
      <c r="AS3908" s="10"/>
      <c r="AT3908" s="10"/>
      <c r="AU3908" s="10"/>
      <c r="AV3908" s="10"/>
      <c r="AW3908" s="10"/>
      <c r="AX3908" s="10"/>
      <c r="AY3908" s="10"/>
      <c r="AZ3908" s="10"/>
      <c r="BA3908" s="10"/>
      <c r="BB3908" s="10"/>
      <c r="BC3908" s="10"/>
      <c r="BD3908" s="10"/>
      <c r="BE3908" s="10"/>
      <c r="BF3908" s="10"/>
      <c r="BG3908" s="10"/>
      <c r="BH3908" s="10"/>
      <c r="BI3908" s="10"/>
      <c r="BJ3908" s="10"/>
      <c r="BK3908" s="10"/>
      <c r="BM3908" s="10"/>
    </row>
    <row r="3909" spans="1:65" ht="12.75">
      <c r="A3909" s="9"/>
      <c r="B3909" s="10"/>
      <c r="C3909" s="11"/>
      <c r="D3909" s="12"/>
      <c r="E3909" s="10"/>
      <c r="F3909" s="10"/>
      <c r="G3909" s="10"/>
      <c r="H3909" s="14"/>
      <c r="I3909" s="14"/>
      <c r="J3909" s="14"/>
      <c r="K3909" s="14"/>
      <c r="L3909" s="14"/>
      <c r="M3909" s="15"/>
      <c r="N3909" s="10"/>
      <c r="O3909" s="14"/>
      <c r="P3909" s="14"/>
      <c r="Q3909" s="14"/>
      <c r="R3909" s="14"/>
      <c r="S3909" s="14"/>
      <c r="T3909" s="14"/>
      <c r="U3909" s="14"/>
      <c r="V3909" s="14"/>
      <c r="W3909" s="14"/>
      <c r="X3909" s="14"/>
      <c r="Y3909" s="14"/>
      <c r="Z3909" s="14"/>
      <c r="AA3909" s="16"/>
      <c r="AB3909" s="10"/>
      <c r="AC3909" s="10"/>
      <c r="AD3909" s="10"/>
      <c r="AE3909" s="10"/>
      <c r="AF3909" s="10"/>
      <c r="AG3909" s="10"/>
      <c r="AH3909" s="10"/>
      <c r="AI3909" s="10"/>
      <c r="AJ3909" s="10"/>
      <c r="AK3909" s="10"/>
      <c r="AL3909" s="10"/>
      <c r="AM3909" s="10"/>
      <c r="AN3909" s="10"/>
      <c r="AO3909" s="10"/>
      <c r="AP3909" s="10"/>
      <c r="AQ3909" s="10"/>
      <c r="AR3909" s="10"/>
      <c r="AS3909" s="10"/>
      <c r="AT3909" s="10"/>
      <c r="AU3909" s="10"/>
      <c r="AV3909" s="10"/>
      <c r="AW3909" s="10"/>
      <c r="AX3909" s="10"/>
      <c r="AY3909" s="10"/>
      <c r="AZ3909" s="10"/>
      <c r="BA3909" s="10"/>
      <c r="BB3909" s="10"/>
      <c r="BC3909" s="10"/>
      <c r="BD3909" s="10"/>
      <c r="BE3909" s="10"/>
      <c r="BF3909" s="10"/>
      <c r="BG3909" s="10"/>
      <c r="BH3909" s="10"/>
      <c r="BI3909" s="10"/>
      <c r="BJ3909" s="10"/>
      <c r="BK3909" s="10"/>
      <c r="BM3909" s="10"/>
    </row>
    <row r="3910" spans="1:65" ht="12.75">
      <c r="A3910" s="9"/>
      <c r="B3910" s="10"/>
      <c r="C3910" s="11"/>
      <c r="D3910" s="12"/>
      <c r="E3910" s="10"/>
      <c r="F3910" s="10"/>
      <c r="G3910" s="10"/>
      <c r="H3910" s="14"/>
      <c r="I3910" s="14"/>
      <c r="J3910" s="14"/>
      <c r="K3910" s="14"/>
      <c r="L3910" s="14"/>
      <c r="M3910" s="15"/>
      <c r="N3910" s="10"/>
      <c r="O3910" s="14"/>
      <c r="P3910" s="14"/>
      <c r="Q3910" s="14"/>
      <c r="R3910" s="14"/>
      <c r="S3910" s="14"/>
      <c r="T3910" s="14"/>
      <c r="U3910" s="14"/>
      <c r="V3910" s="14"/>
      <c r="W3910" s="14"/>
      <c r="X3910" s="14"/>
      <c r="Y3910" s="14"/>
      <c r="Z3910" s="14"/>
      <c r="AA3910" s="16"/>
      <c r="AB3910" s="10"/>
      <c r="AC3910" s="10"/>
      <c r="AD3910" s="10"/>
      <c r="AE3910" s="10"/>
      <c r="AF3910" s="10"/>
      <c r="AG3910" s="10"/>
      <c r="AH3910" s="10"/>
      <c r="AI3910" s="10"/>
      <c r="AJ3910" s="10"/>
      <c r="AK3910" s="10"/>
      <c r="AL3910" s="10"/>
      <c r="AM3910" s="10"/>
      <c r="AN3910" s="10"/>
      <c r="AO3910" s="10"/>
      <c r="AP3910" s="10"/>
      <c r="AQ3910" s="10"/>
      <c r="AR3910" s="10"/>
      <c r="AS3910" s="10"/>
      <c r="AT3910" s="10"/>
      <c r="AU3910" s="10"/>
      <c r="AV3910" s="10"/>
      <c r="AW3910" s="10"/>
      <c r="AX3910" s="10"/>
      <c r="AY3910" s="10"/>
      <c r="AZ3910" s="10"/>
      <c r="BA3910" s="10"/>
      <c r="BB3910" s="10"/>
      <c r="BC3910" s="10"/>
      <c r="BD3910" s="10"/>
      <c r="BE3910" s="10"/>
      <c r="BF3910" s="10"/>
      <c r="BG3910" s="10"/>
      <c r="BH3910" s="10"/>
      <c r="BI3910" s="10"/>
      <c r="BJ3910" s="10"/>
      <c r="BK3910" s="10"/>
      <c r="BM3910" s="10"/>
    </row>
    <row r="3911" spans="1:65" ht="12.75">
      <c r="A3911" s="9"/>
      <c r="B3911" s="10"/>
      <c r="C3911" s="11"/>
      <c r="D3911" s="12"/>
      <c r="E3911" s="10"/>
      <c r="F3911" s="10"/>
      <c r="G3911" s="10"/>
      <c r="H3911" s="14"/>
      <c r="I3911" s="14"/>
      <c r="J3911" s="14"/>
      <c r="K3911" s="14"/>
      <c r="L3911" s="14"/>
      <c r="M3911" s="15"/>
      <c r="N3911" s="10"/>
      <c r="O3911" s="14"/>
      <c r="P3911" s="14"/>
      <c r="Q3911" s="14"/>
      <c r="R3911" s="14"/>
      <c r="S3911" s="14"/>
      <c r="T3911" s="14"/>
      <c r="U3911" s="14"/>
      <c r="V3911" s="14"/>
      <c r="W3911" s="14"/>
      <c r="X3911" s="14"/>
      <c r="Y3911" s="14"/>
      <c r="Z3911" s="14"/>
      <c r="AA3911" s="16"/>
      <c r="AB3911" s="10"/>
      <c r="AC3911" s="10"/>
      <c r="AD3911" s="10"/>
      <c r="AE3911" s="10"/>
      <c r="AF3911" s="10"/>
      <c r="AG3911" s="10"/>
      <c r="AH3911" s="10"/>
      <c r="AI3911" s="10"/>
      <c r="AJ3911" s="10"/>
      <c r="AK3911" s="10"/>
      <c r="AL3911" s="10"/>
      <c r="AM3911" s="10"/>
      <c r="AN3911" s="10"/>
      <c r="AO3911" s="10"/>
      <c r="AP3911" s="10"/>
      <c r="AQ3911" s="10"/>
      <c r="AR3911" s="10"/>
      <c r="AS3911" s="10"/>
      <c r="AT3911" s="10"/>
      <c r="AU3911" s="10"/>
      <c r="AV3911" s="10"/>
      <c r="AW3911" s="10"/>
      <c r="AX3911" s="10"/>
      <c r="AY3911" s="10"/>
      <c r="AZ3911" s="10"/>
      <c r="BA3911" s="10"/>
      <c r="BB3911" s="10"/>
      <c r="BC3911" s="10"/>
      <c r="BD3911" s="10"/>
      <c r="BE3911" s="10"/>
      <c r="BF3911" s="10"/>
      <c r="BG3911" s="10"/>
      <c r="BH3911" s="10"/>
      <c r="BI3911" s="10"/>
      <c r="BJ3911" s="10"/>
      <c r="BK3911" s="10"/>
      <c r="BM3911" s="10"/>
    </row>
    <row r="3912" spans="1:65" ht="12.75">
      <c r="A3912" s="9"/>
      <c r="B3912" s="10"/>
      <c r="C3912" s="11"/>
      <c r="D3912" s="12"/>
      <c r="E3912" s="10"/>
      <c r="F3912" s="10"/>
      <c r="G3912" s="10"/>
      <c r="H3912" s="14"/>
      <c r="I3912" s="14"/>
      <c r="J3912" s="14"/>
      <c r="K3912" s="14"/>
      <c r="L3912" s="14"/>
      <c r="M3912" s="15"/>
      <c r="N3912" s="10"/>
      <c r="O3912" s="14"/>
      <c r="P3912" s="14"/>
      <c r="Q3912" s="14"/>
      <c r="R3912" s="14"/>
      <c r="S3912" s="14"/>
      <c r="T3912" s="14"/>
      <c r="U3912" s="14"/>
      <c r="V3912" s="14"/>
      <c r="W3912" s="14"/>
      <c r="X3912" s="14"/>
      <c r="Y3912" s="14"/>
      <c r="Z3912" s="14"/>
      <c r="AA3912" s="16"/>
      <c r="AB3912" s="10"/>
      <c r="AC3912" s="10"/>
      <c r="AD3912" s="10"/>
      <c r="AE3912" s="10"/>
      <c r="AF3912" s="10"/>
      <c r="AG3912" s="10"/>
      <c r="AH3912" s="10"/>
      <c r="AI3912" s="10"/>
      <c r="AJ3912" s="10"/>
      <c r="AK3912" s="10"/>
      <c r="AL3912" s="10"/>
      <c r="AM3912" s="10"/>
      <c r="AN3912" s="10"/>
      <c r="AO3912" s="10"/>
      <c r="AP3912" s="10"/>
      <c r="AQ3912" s="10"/>
      <c r="AR3912" s="10"/>
      <c r="AS3912" s="10"/>
      <c r="AT3912" s="10"/>
      <c r="AU3912" s="10"/>
      <c r="AV3912" s="10"/>
      <c r="AW3912" s="10"/>
      <c r="AX3912" s="10"/>
      <c r="AY3912" s="10"/>
      <c r="AZ3912" s="10"/>
      <c r="BA3912" s="10"/>
      <c r="BB3912" s="10"/>
      <c r="BC3912" s="10"/>
      <c r="BD3912" s="10"/>
      <c r="BE3912" s="10"/>
      <c r="BF3912" s="10"/>
      <c r="BG3912" s="10"/>
      <c r="BH3912" s="10"/>
      <c r="BI3912" s="10"/>
      <c r="BJ3912" s="10"/>
      <c r="BK3912" s="10"/>
      <c r="BM3912" s="10"/>
    </row>
    <row r="3913" spans="1:65" ht="12.75">
      <c r="A3913" s="9"/>
      <c r="B3913" s="10"/>
      <c r="C3913" s="11"/>
      <c r="D3913" s="12"/>
      <c r="E3913" s="10"/>
      <c r="F3913" s="10"/>
      <c r="G3913" s="10"/>
      <c r="H3913" s="14"/>
      <c r="I3913" s="14"/>
      <c r="J3913" s="14"/>
      <c r="K3913" s="14"/>
      <c r="L3913" s="14"/>
      <c r="M3913" s="15"/>
      <c r="N3913" s="10"/>
      <c r="O3913" s="14"/>
      <c r="P3913" s="14"/>
      <c r="Q3913" s="14"/>
      <c r="R3913" s="14"/>
      <c r="S3913" s="14"/>
      <c r="T3913" s="14"/>
      <c r="U3913" s="14"/>
      <c r="V3913" s="14"/>
      <c r="W3913" s="14"/>
      <c r="X3913" s="14"/>
      <c r="Y3913" s="14"/>
      <c r="Z3913" s="14"/>
      <c r="AA3913" s="16"/>
      <c r="AB3913" s="10"/>
      <c r="AC3913" s="10"/>
      <c r="AD3913" s="10"/>
      <c r="AE3913" s="10"/>
      <c r="AF3913" s="10"/>
      <c r="AG3913" s="10"/>
      <c r="AH3913" s="10"/>
      <c r="AI3913" s="10"/>
      <c r="AJ3913" s="10"/>
      <c r="AK3913" s="10"/>
      <c r="AL3913" s="10"/>
      <c r="AM3913" s="10"/>
      <c r="AN3913" s="10"/>
      <c r="AO3913" s="10"/>
      <c r="AP3913" s="10"/>
      <c r="AQ3913" s="10"/>
      <c r="AR3913" s="10"/>
      <c r="AS3913" s="10"/>
      <c r="AT3913" s="10"/>
      <c r="AU3913" s="10"/>
      <c r="AV3913" s="10"/>
      <c r="AW3913" s="10"/>
      <c r="AX3913" s="10"/>
      <c r="AY3913" s="10"/>
      <c r="AZ3913" s="10"/>
      <c r="BA3913" s="10"/>
      <c r="BB3913" s="10"/>
      <c r="BC3913" s="10"/>
      <c r="BD3913" s="10"/>
      <c r="BE3913" s="10"/>
      <c r="BF3913" s="10"/>
      <c r="BG3913" s="10"/>
      <c r="BH3913" s="10"/>
      <c r="BI3913" s="10"/>
      <c r="BJ3913" s="10"/>
      <c r="BK3913" s="10"/>
      <c r="BM3913" s="10"/>
    </row>
    <row r="3914" spans="1:65" ht="12.75">
      <c r="A3914" s="9"/>
      <c r="B3914" s="10"/>
      <c r="C3914" s="11"/>
      <c r="D3914" s="12"/>
      <c r="E3914" s="10"/>
      <c r="F3914" s="10"/>
      <c r="G3914" s="10"/>
      <c r="H3914" s="14"/>
      <c r="I3914" s="14"/>
      <c r="J3914" s="14"/>
      <c r="K3914" s="14"/>
      <c r="L3914" s="14"/>
      <c r="M3914" s="15"/>
      <c r="N3914" s="10"/>
      <c r="O3914" s="14"/>
      <c r="P3914" s="14"/>
      <c r="Q3914" s="14"/>
      <c r="R3914" s="14"/>
      <c r="S3914" s="14"/>
      <c r="T3914" s="14"/>
      <c r="U3914" s="14"/>
      <c r="V3914" s="14"/>
      <c r="W3914" s="14"/>
      <c r="X3914" s="14"/>
      <c r="Y3914" s="14"/>
      <c r="Z3914" s="14"/>
      <c r="AA3914" s="16"/>
      <c r="AB3914" s="10"/>
      <c r="AC3914" s="10"/>
      <c r="AD3914" s="10"/>
      <c r="AE3914" s="10"/>
      <c r="AF3914" s="10"/>
      <c r="AG3914" s="10"/>
      <c r="AH3914" s="10"/>
      <c r="AI3914" s="10"/>
      <c r="AJ3914" s="10"/>
      <c r="AK3914" s="10"/>
      <c r="AL3914" s="10"/>
      <c r="AM3914" s="10"/>
      <c r="AN3914" s="10"/>
      <c r="AO3914" s="10"/>
      <c r="AP3914" s="10"/>
      <c r="AQ3914" s="10"/>
      <c r="AR3914" s="10"/>
      <c r="AS3914" s="10"/>
      <c r="AT3914" s="10"/>
      <c r="AU3914" s="10"/>
      <c r="AV3914" s="10"/>
      <c r="AW3914" s="10"/>
      <c r="AX3914" s="10"/>
      <c r="AY3914" s="10"/>
      <c r="AZ3914" s="10"/>
      <c r="BA3914" s="10"/>
      <c r="BB3914" s="10"/>
      <c r="BC3914" s="10"/>
      <c r="BD3914" s="10"/>
      <c r="BE3914" s="10"/>
      <c r="BF3914" s="10"/>
      <c r="BG3914" s="10"/>
      <c r="BH3914" s="10"/>
      <c r="BI3914" s="10"/>
      <c r="BJ3914" s="10"/>
      <c r="BK3914" s="10"/>
      <c r="BM3914" s="10"/>
    </row>
    <row r="3915" spans="1:65" ht="12.75">
      <c r="A3915" s="9"/>
      <c r="B3915" s="10"/>
      <c r="C3915" s="11"/>
      <c r="D3915" s="12"/>
      <c r="E3915" s="10"/>
      <c r="F3915" s="10"/>
      <c r="G3915" s="10"/>
      <c r="H3915" s="14"/>
      <c r="I3915" s="14"/>
      <c r="J3915" s="14"/>
      <c r="K3915" s="14"/>
      <c r="L3915" s="14"/>
      <c r="M3915" s="15"/>
      <c r="N3915" s="10"/>
      <c r="O3915" s="14"/>
      <c r="P3915" s="14"/>
      <c r="Q3915" s="14"/>
      <c r="R3915" s="14"/>
      <c r="S3915" s="14"/>
      <c r="T3915" s="14"/>
      <c r="U3915" s="14"/>
      <c r="V3915" s="14"/>
      <c r="W3915" s="14"/>
      <c r="X3915" s="14"/>
      <c r="Y3915" s="14"/>
      <c r="Z3915" s="14"/>
      <c r="AA3915" s="16"/>
      <c r="AB3915" s="10"/>
      <c r="AC3915" s="10"/>
      <c r="AD3915" s="10"/>
      <c r="AE3915" s="10"/>
      <c r="AF3915" s="10"/>
      <c r="AG3915" s="10"/>
      <c r="AH3915" s="10"/>
      <c r="AI3915" s="10"/>
      <c r="AJ3915" s="10"/>
      <c r="AK3915" s="10"/>
      <c r="AL3915" s="10"/>
      <c r="AM3915" s="10"/>
      <c r="AN3915" s="10"/>
      <c r="AO3915" s="10"/>
      <c r="AP3915" s="10"/>
      <c r="AQ3915" s="10"/>
      <c r="AR3915" s="10"/>
      <c r="AS3915" s="10"/>
      <c r="AT3915" s="10"/>
      <c r="AU3915" s="10"/>
      <c r="AV3915" s="10"/>
      <c r="AW3915" s="10"/>
      <c r="AX3915" s="10"/>
      <c r="AY3915" s="10"/>
      <c r="AZ3915" s="10"/>
      <c r="BA3915" s="10"/>
      <c r="BB3915" s="10"/>
      <c r="BC3915" s="10"/>
      <c r="BD3915" s="10"/>
      <c r="BE3915" s="10"/>
      <c r="BF3915" s="10"/>
      <c r="BG3915" s="10"/>
      <c r="BH3915" s="10"/>
      <c r="BI3915" s="10"/>
      <c r="BJ3915" s="10"/>
      <c r="BK3915" s="10"/>
      <c r="BM3915" s="10"/>
    </row>
    <row r="3916" spans="1:65" ht="12.75">
      <c r="A3916" s="9"/>
      <c r="B3916" s="10"/>
      <c r="C3916" s="11"/>
      <c r="D3916" s="12"/>
      <c r="E3916" s="10"/>
      <c r="F3916" s="10"/>
      <c r="G3916" s="10"/>
      <c r="H3916" s="14"/>
      <c r="I3916" s="14"/>
      <c r="J3916" s="14"/>
      <c r="K3916" s="14"/>
      <c r="L3916" s="14"/>
      <c r="M3916" s="15"/>
      <c r="N3916" s="10"/>
      <c r="O3916" s="14"/>
      <c r="P3916" s="14"/>
      <c r="Q3916" s="14"/>
      <c r="R3916" s="14"/>
      <c r="S3916" s="14"/>
      <c r="T3916" s="14"/>
      <c r="U3916" s="14"/>
      <c r="V3916" s="14"/>
      <c r="W3916" s="14"/>
      <c r="X3916" s="14"/>
      <c r="Y3916" s="14"/>
      <c r="Z3916" s="14"/>
      <c r="AA3916" s="16"/>
      <c r="AB3916" s="10"/>
      <c r="AC3916" s="10"/>
      <c r="AD3916" s="10"/>
      <c r="AE3916" s="10"/>
      <c r="AF3916" s="10"/>
      <c r="AG3916" s="10"/>
      <c r="AH3916" s="10"/>
      <c r="AI3916" s="10"/>
      <c r="AJ3916" s="10"/>
      <c r="AK3916" s="10"/>
      <c r="AL3916" s="10"/>
      <c r="AM3916" s="10"/>
      <c r="AN3916" s="10"/>
      <c r="AO3916" s="10"/>
      <c r="AP3916" s="10"/>
      <c r="AQ3916" s="10"/>
      <c r="AR3916" s="10"/>
      <c r="AS3916" s="10"/>
      <c r="AT3916" s="10"/>
      <c r="AU3916" s="10"/>
      <c r="AV3916" s="10"/>
      <c r="AW3916" s="10"/>
      <c r="AX3916" s="10"/>
      <c r="AY3916" s="10"/>
      <c r="AZ3916" s="10"/>
      <c r="BA3916" s="10"/>
      <c r="BB3916" s="10"/>
      <c r="BC3916" s="10"/>
      <c r="BD3916" s="10"/>
      <c r="BE3916" s="10"/>
      <c r="BF3916" s="10"/>
      <c r="BG3916" s="10"/>
      <c r="BH3916" s="10"/>
      <c r="BI3916" s="10"/>
      <c r="BJ3916" s="10"/>
      <c r="BK3916" s="10"/>
      <c r="BM3916" s="10"/>
    </row>
    <row r="3917" spans="1:65" ht="12.75">
      <c r="A3917" s="9"/>
      <c r="B3917" s="10"/>
      <c r="C3917" s="11"/>
      <c r="D3917" s="12"/>
      <c r="E3917" s="10"/>
      <c r="F3917" s="10"/>
      <c r="G3917" s="10"/>
      <c r="H3917" s="14"/>
      <c r="I3917" s="14"/>
      <c r="J3917" s="14"/>
      <c r="K3917" s="14"/>
      <c r="L3917" s="14"/>
      <c r="M3917" s="15"/>
      <c r="N3917" s="10"/>
      <c r="O3917" s="14"/>
      <c r="P3917" s="14"/>
      <c r="Q3917" s="14"/>
      <c r="R3917" s="14"/>
      <c r="S3917" s="14"/>
      <c r="T3917" s="14"/>
      <c r="U3917" s="14"/>
      <c r="V3917" s="14"/>
      <c r="W3917" s="14"/>
      <c r="X3917" s="14"/>
      <c r="Y3917" s="14"/>
      <c r="Z3917" s="14"/>
      <c r="AA3917" s="16"/>
      <c r="AB3917" s="10"/>
      <c r="AC3917" s="10"/>
      <c r="AD3917" s="10"/>
      <c r="AE3917" s="10"/>
      <c r="AF3917" s="10"/>
      <c r="AG3917" s="10"/>
      <c r="AH3917" s="10"/>
      <c r="AI3917" s="10"/>
      <c r="AJ3917" s="10"/>
      <c r="AK3917" s="10"/>
      <c r="AL3917" s="10"/>
      <c r="AM3917" s="10"/>
      <c r="AN3917" s="10"/>
      <c r="AO3917" s="10"/>
      <c r="AP3917" s="10"/>
      <c r="AQ3917" s="10"/>
      <c r="AR3917" s="10"/>
      <c r="AS3917" s="10"/>
      <c r="AT3917" s="10"/>
      <c r="AU3917" s="10"/>
      <c r="AV3917" s="10"/>
      <c r="AW3917" s="10"/>
      <c r="AX3917" s="10"/>
      <c r="AY3917" s="10"/>
      <c r="AZ3917" s="10"/>
      <c r="BA3917" s="10"/>
      <c r="BB3917" s="10"/>
      <c r="BC3917" s="10"/>
      <c r="BD3917" s="10"/>
      <c r="BE3917" s="10"/>
      <c r="BF3917" s="10"/>
      <c r="BG3917" s="10"/>
      <c r="BH3917" s="10"/>
      <c r="BI3917" s="10"/>
      <c r="BJ3917" s="10"/>
      <c r="BK3917" s="10"/>
      <c r="BM3917" s="10"/>
    </row>
    <row r="3918" spans="1:65" ht="12.75">
      <c r="A3918" s="9"/>
      <c r="B3918" s="10"/>
      <c r="C3918" s="11"/>
      <c r="D3918" s="12"/>
      <c r="E3918" s="10"/>
      <c r="F3918" s="10"/>
      <c r="G3918" s="10"/>
      <c r="H3918" s="14"/>
      <c r="I3918" s="14"/>
      <c r="J3918" s="14"/>
      <c r="K3918" s="14"/>
      <c r="L3918" s="14"/>
      <c r="M3918" s="15"/>
      <c r="N3918" s="10"/>
      <c r="O3918" s="14"/>
      <c r="P3918" s="14"/>
      <c r="Q3918" s="14"/>
      <c r="R3918" s="14"/>
      <c r="S3918" s="14"/>
      <c r="T3918" s="14"/>
      <c r="U3918" s="14"/>
      <c r="V3918" s="14"/>
      <c r="W3918" s="14"/>
      <c r="X3918" s="14"/>
      <c r="Y3918" s="14"/>
      <c r="Z3918" s="14"/>
      <c r="AA3918" s="16"/>
      <c r="AB3918" s="10"/>
      <c r="AC3918" s="10"/>
      <c r="AD3918" s="10"/>
      <c r="AE3918" s="10"/>
      <c r="AF3918" s="10"/>
      <c r="AG3918" s="10"/>
      <c r="AH3918" s="10"/>
      <c r="AI3918" s="10"/>
      <c r="AJ3918" s="10"/>
      <c r="AK3918" s="10"/>
      <c r="AL3918" s="10"/>
      <c r="AM3918" s="10"/>
      <c r="AN3918" s="10"/>
      <c r="AO3918" s="10"/>
      <c r="AP3918" s="10"/>
      <c r="AQ3918" s="10"/>
      <c r="AR3918" s="10"/>
      <c r="AS3918" s="10"/>
      <c r="AT3918" s="10"/>
      <c r="AU3918" s="10"/>
      <c r="AV3918" s="10"/>
      <c r="AW3918" s="10"/>
      <c r="AX3918" s="10"/>
      <c r="AY3918" s="10"/>
      <c r="AZ3918" s="10"/>
      <c r="BA3918" s="10"/>
      <c r="BB3918" s="10"/>
      <c r="BC3918" s="10"/>
      <c r="BD3918" s="10"/>
      <c r="BE3918" s="10"/>
      <c r="BF3918" s="10"/>
      <c r="BG3918" s="10"/>
      <c r="BH3918" s="10"/>
      <c r="BI3918" s="10"/>
      <c r="BJ3918" s="10"/>
      <c r="BK3918" s="10"/>
      <c r="BM3918" s="10"/>
    </row>
    <row r="3919" spans="1:65" ht="12.75">
      <c r="A3919" s="9"/>
      <c r="B3919" s="10"/>
      <c r="C3919" s="11"/>
      <c r="D3919" s="12"/>
      <c r="E3919" s="10"/>
      <c r="F3919" s="10"/>
      <c r="G3919" s="10"/>
      <c r="H3919" s="14"/>
      <c r="I3919" s="14"/>
      <c r="J3919" s="14"/>
      <c r="K3919" s="14"/>
      <c r="L3919" s="14"/>
      <c r="M3919" s="15"/>
      <c r="N3919" s="10"/>
      <c r="O3919" s="14"/>
      <c r="P3919" s="14"/>
      <c r="Q3919" s="14"/>
      <c r="R3919" s="14"/>
      <c r="S3919" s="14"/>
      <c r="T3919" s="14"/>
      <c r="U3919" s="14"/>
      <c r="V3919" s="14"/>
      <c r="W3919" s="14"/>
      <c r="X3919" s="14"/>
      <c r="Y3919" s="14"/>
      <c r="Z3919" s="14"/>
      <c r="AA3919" s="16"/>
      <c r="AB3919" s="10"/>
      <c r="AC3919" s="10"/>
      <c r="AD3919" s="10"/>
      <c r="AE3919" s="10"/>
      <c r="AF3919" s="10"/>
      <c r="AG3919" s="10"/>
      <c r="AH3919" s="10"/>
      <c r="AI3919" s="10"/>
      <c r="AJ3919" s="10"/>
      <c r="AK3919" s="10"/>
      <c r="AL3919" s="10"/>
      <c r="AM3919" s="10"/>
      <c r="AN3919" s="10"/>
      <c r="AO3919" s="10"/>
      <c r="AP3919" s="10"/>
      <c r="AQ3919" s="10"/>
      <c r="AR3919" s="10"/>
      <c r="AS3919" s="10"/>
      <c r="AT3919" s="10"/>
      <c r="AU3919" s="10"/>
      <c r="AV3919" s="10"/>
      <c r="AW3919" s="10"/>
      <c r="AX3919" s="10"/>
      <c r="AY3919" s="10"/>
      <c r="AZ3919" s="10"/>
      <c r="BA3919" s="10"/>
      <c r="BB3919" s="10"/>
      <c r="BC3919" s="10"/>
      <c r="BD3919" s="10"/>
      <c r="BE3919" s="10"/>
      <c r="BF3919" s="10"/>
      <c r="BG3919" s="10"/>
      <c r="BH3919" s="10"/>
      <c r="BI3919" s="10"/>
      <c r="BJ3919" s="10"/>
      <c r="BK3919" s="10"/>
      <c r="BM3919" s="10"/>
    </row>
    <row r="3920" spans="1:65" ht="12.75">
      <c r="A3920" s="9"/>
      <c r="B3920" s="10"/>
      <c r="C3920" s="11"/>
      <c r="D3920" s="12"/>
      <c r="E3920" s="10"/>
      <c r="F3920" s="10"/>
      <c r="G3920" s="10"/>
      <c r="H3920" s="14"/>
      <c r="I3920" s="14"/>
      <c r="J3920" s="14"/>
      <c r="K3920" s="14"/>
      <c r="L3920" s="14"/>
      <c r="M3920" s="15"/>
      <c r="N3920" s="10"/>
      <c r="O3920" s="14"/>
      <c r="P3920" s="14"/>
      <c r="Q3920" s="14"/>
      <c r="R3920" s="14"/>
      <c r="S3920" s="14"/>
      <c r="T3920" s="14"/>
      <c r="U3920" s="14"/>
      <c r="V3920" s="14"/>
      <c r="W3920" s="14"/>
      <c r="X3920" s="14"/>
      <c r="Y3920" s="14"/>
      <c r="Z3920" s="14"/>
      <c r="AA3920" s="16"/>
      <c r="AB3920" s="10"/>
      <c r="AC3920" s="10"/>
      <c r="AD3920" s="10"/>
      <c r="AE3920" s="10"/>
      <c r="AF3920" s="10"/>
      <c r="AG3920" s="10"/>
      <c r="AH3920" s="10"/>
      <c r="AI3920" s="10"/>
      <c r="AJ3920" s="10"/>
      <c r="AK3920" s="10"/>
      <c r="AL3920" s="10"/>
      <c r="AM3920" s="10"/>
      <c r="AN3920" s="10"/>
      <c r="AO3920" s="10"/>
      <c r="AP3920" s="10"/>
      <c r="AQ3920" s="10"/>
      <c r="AR3920" s="10"/>
      <c r="AS3920" s="10"/>
      <c r="AT3920" s="10"/>
      <c r="AU3920" s="10"/>
      <c r="AV3920" s="10"/>
      <c r="AW3920" s="10"/>
      <c r="AX3920" s="10"/>
      <c r="AY3920" s="10"/>
      <c r="AZ3920" s="10"/>
      <c r="BA3920" s="10"/>
      <c r="BB3920" s="10"/>
      <c r="BC3920" s="10"/>
      <c r="BD3920" s="10"/>
      <c r="BE3920" s="10"/>
      <c r="BF3920" s="10"/>
      <c r="BG3920" s="10"/>
      <c r="BH3920" s="10"/>
      <c r="BI3920" s="10"/>
      <c r="BJ3920" s="10"/>
      <c r="BK3920" s="10"/>
      <c r="BM3920" s="10"/>
    </row>
    <row r="3921" spans="1:65" ht="12.75">
      <c r="A3921" s="9"/>
      <c r="B3921" s="10"/>
      <c r="C3921" s="11"/>
      <c r="D3921" s="12"/>
      <c r="E3921" s="10"/>
      <c r="F3921" s="10"/>
      <c r="G3921" s="10"/>
      <c r="H3921" s="14"/>
      <c r="I3921" s="14"/>
      <c r="J3921" s="14"/>
      <c r="K3921" s="14"/>
      <c r="L3921" s="14"/>
      <c r="M3921" s="15"/>
      <c r="N3921" s="10"/>
      <c r="O3921" s="14"/>
      <c r="P3921" s="14"/>
      <c r="Q3921" s="14"/>
      <c r="R3921" s="14"/>
      <c r="S3921" s="14"/>
      <c r="T3921" s="14"/>
      <c r="U3921" s="14"/>
      <c r="V3921" s="14"/>
      <c r="W3921" s="14"/>
      <c r="X3921" s="14"/>
      <c r="Y3921" s="14"/>
      <c r="Z3921" s="14"/>
      <c r="AA3921" s="16"/>
      <c r="AB3921" s="10"/>
      <c r="AC3921" s="10"/>
      <c r="AD3921" s="10"/>
      <c r="AE3921" s="10"/>
      <c r="AF3921" s="10"/>
      <c r="AG3921" s="10"/>
      <c r="AH3921" s="10"/>
      <c r="AI3921" s="10"/>
      <c r="AJ3921" s="10"/>
      <c r="AK3921" s="10"/>
      <c r="AL3921" s="10"/>
      <c r="AM3921" s="10"/>
      <c r="AN3921" s="10"/>
      <c r="AO3921" s="10"/>
      <c r="AP3921" s="10"/>
      <c r="AQ3921" s="10"/>
      <c r="AR3921" s="10"/>
      <c r="AS3921" s="10"/>
      <c r="AT3921" s="10"/>
      <c r="AU3921" s="10"/>
      <c r="AV3921" s="10"/>
      <c r="AW3921" s="10"/>
      <c r="AX3921" s="10"/>
      <c r="AY3921" s="10"/>
      <c r="AZ3921" s="10"/>
      <c r="BA3921" s="10"/>
      <c r="BB3921" s="10"/>
      <c r="BC3921" s="10"/>
      <c r="BD3921" s="10"/>
      <c r="BE3921" s="10"/>
      <c r="BF3921" s="10"/>
      <c r="BG3921" s="10"/>
      <c r="BH3921" s="10"/>
      <c r="BI3921" s="10"/>
      <c r="BJ3921" s="10"/>
      <c r="BK3921" s="10"/>
      <c r="BM3921" s="10"/>
    </row>
    <row r="3922" spans="1:65" ht="12.75">
      <c r="A3922" s="9"/>
      <c r="B3922" s="10"/>
      <c r="C3922" s="11"/>
      <c r="D3922" s="12"/>
      <c r="E3922" s="10"/>
      <c r="F3922" s="10"/>
      <c r="G3922" s="10"/>
      <c r="H3922" s="14"/>
      <c r="I3922" s="14"/>
      <c r="J3922" s="14"/>
      <c r="K3922" s="14"/>
      <c r="L3922" s="14"/>
      <c r="M3922" s="15"/>
      <c r="N3922" s="10"/>
      <c r="O3922" s="14"/>
      <c r="P3922" s="14"/>
      <c r="Q3922" s="14"/>
      <c r="R3922" s="14"/>
      <c r="S3922" s="14"/>
      <c r="T3922" s="14"/>
      <c r="U3922" s="14"/>
      <c r="V3922" s="14"/>
      <c r="W3922" s="14"/>
      <c r="X3922" s="14"/>
      <c r="Y3922" s="14"/>
      <c r="Z3922" s="14"/>
      <c r="AA3922" s="16"/>
      <c r="AB3922" s="10"/>
      <c r="AC3922" s="10"/>
      <c r="AD3922" s="10"/>
      <c r="AE3922" s="10"/>
      <c r="AF3922" s="10"/>
      <c r="AG3922" s="10"/>
      <c r="AH3922" s="10"/>
      <c r="AI3922" s="10"/>
      <c r="AJ3922" s="10"/>
      <c r="AK3922" s="10"/>
      <c r="AL3922" s="10"/>
      <c r="AM3922" s="10"/>
      <c r="AN3922" s="10"/>
      <c r="AO3922" s="10"/>
      <c r="AP3922" s="10"/>
      <c r="AQ3922" s="10"/>
      <c r="AR3922" s="10"/>
      <c r="AS3922" s="10"/>
      <c r="AT3922" s="10"/>
      <c r="AU3922" s="10"/>
      <c r="AV3922" s="10"/>
      <c r="AW3922" s="10"/>
      <c r="AX3922" s="10"/>
      <c r="AY3922" s="10"/>
      <c r="AZ3922" s="10"/>
      <c r="BA3922" s="10"/>
      <c r="BB3922" s="10"/>
      <c r="BC3922" s="10"/>
      <c r="BD3922" s="10"/>
      <c r="BE3922" s="10"/>
      <c r="BF3922" s="10"/>
      <c r="BG3922" s="10"/>
      <c r="BH3922" s="10"/>
      <c r="BI3922" s="10"/>
      <c r="BJ3922" s="10"/>
      <c r="BK3922" s="10"/>
      <c r="BM3922" s="10"/>
    </row>
    <row r="3923" spans="1:65" ht="12.75">
      <c r="A3923" s="9"/>
      <c r="B3923" s="10"/>
      <c r="C3923" s="11"/>
      <c r="D3923" s="12"/>
      <c r="E3923" s="10"/>
      <c r="F3923" s="10"/>
      <c r="G3923" s="10"/>
      <c r="H3923" s="14"/>
      <c r="I3923" s="14"/>
      <c r="J3923" s="14"/>
      <c r="K3923" s="14"/>
      <c r="L3923" s="14"/>
      <c r="M3923" s="15"/>
      <c r="N3923" s="10"/>
      <c r="O3923" s="14"/>
      <c r="P3923" s="14"/>
      <c r="Q3923" s="14"/>
      <c r="R3923" s="14"/>
      <c r="S3923" s="14"/>
      <c r="T3923" s="14"/>
      <c r="U3923" s="14"/>
      <c r="V3923" s="14"/>
      <c r="W3923" s="14"/>
      <c r="X3923" s="14"/>
      <c r="Y3923" s="14"/>
      <c r="Z3923" s="14"/>
      <c r="AA3923" s="16"/>
      <c r="AB3923" s="10"/>
      <c r="AC3923" s="10"/>
      <c r="AD3923" s="10"/>
      <c r="AE3923" s="10"/>
      <c r="AF3923" s="10"/>
      <c r="AG3923" s="10"/>
      <c r="AH3923" s="10"/>
      <c r="AI3923" s="10"/>
      <c r="AJ3923" s="10"/>
      <c r="AK3923" s="10"/>
      <c r="AL3923" s="10"/>
      <c r="AM3923" s="10"/>
      <c r="AN3923" s="10"/>
      <c r="AO3923" s="10"/>
      <c r="AP3923" s="10"/>
      <c r="AQ3923" s="10"/>
      <c r="AR3923" s="10"/>
      <c r="AS3923" s="10"/>
      <c r="AT3923" s="10"/>
      <c r="AU3923" s="10"/>
      <c r="AV3923" s="10"/>
      <c r="AW3923" s="10"/>
      <c r="AX3923" s="10"/>
      <c r="AY3923" s="10"/>
      <c r="AZ3923" s="10"/>
      <c r="BA3923" s="10"/>
      <c r="BB3923" s="10"/>
      <c r="BC3923" s="10"/>
      <c r="BD3923" s="10"/>
      <c r="BE3923" s="10"/>
      <c r="BF3923" s="10"/>
      <c r="BG3923" s="10"/>
      <c r="BH3923" s="10"/>
      <c r="BI3923" s="10"/>
      <c r="BJ3923" s="10"/>
      <c r="BK3923" s="10"/>
      <c r="BM3923" s="10"/>
    </row>
    <row r="3924" spans="1:65" ht="12.75">
      <c r="A3924" s="9"/>
      <c r="B3924" s="10"/>
      <c r="C3924" s="11"/>
      <c r="D3924" s="12"/>
      <c r="E3924" s="10"/>
      <c r="F3924" s="10"/>
      <c r="G3924" s="10"/>
      <c r="H3924" s="14"/>
      <c r="I3924" s="14"/>
      <c r="J3924" s="14"/>
      <c r="K3924" s="14"/>
      <c r="L3924" s="14"/>
      <c r="M3924" s="15"/>
      <c r="N3924" s="10"/>
      <c r="O3924" s="14"/>
      <c r="P3924" s="14"/>
      <c r="Q3924" s="14"/>
      <c r="R3924" s="14"/>
      <c r="S3924" s="14"/>
      <c r="T3924" s="14"/>
      <c r="U3924" s="14"/>
      <c r="V3924" s="14"/>
      <c r="W3924" s="14"/>
      <c r="X3924" s="14"/>
      <c r="Y3924" s="14"/>
      <c r="Z3924" s="14"/>
      <c r="AA3924" s="16"/>
      <c r="AB3924" s="10"/>
      <c r="AC3924" s="10"/>
      <c r="AD3924" s="10"/>
      <c r="AE3924" s="10"/>
      <c r="AF3924" s="10"/>
      <c r="AG3924" s="10"/>
      <c r="AH3924" s="10"/>
      <c r="AI3924" s="10"/>
      <c r="AJ3924" s="10"/>
      <c r="AK3924" s="10"/>
      <c r="AL3924" s="10"/>
      <c r="AM3924" s="10"/>
      <c r="AN3924" s="10"/>
      <c r="AO3924" s="10"/>
      <c r="AP3924" s="10"/>
      <c r="AQ3924" s="10"/>
      <c r="AR3924" s="10"/>
      <c r="AS3924" s="10"/>
      <c r="AT3924" s="10"/>
      <c r="AU3924" s="10"/>
      <c r="AV3924" s="10"/>
      <c r="AW3924" s="10"/>
      <c r="AX3924" s="10"/>
      <c r="AY3924" s="10"/>
      <c r="AZ3924" s="10"/>
      <c r="BA3924" s="10"/>
      <c r="BB3924" s="10"/>
      <c r="BC3924" s="10"/>
      <c r="BD3924" s="10"/>
      <c r="BE3924" s="10"/>
      <c r="BF3924" s="10"/>
      <c r="BG3924" s="10"/>
      <c r="BH3924" s="10"/>
      <c r="BI3924" s="10"/>
      <c r="BJ3924" s="10"/>
      <c r="BK3924" s="10"/>
      <c r="BM3924" s="10"/>
    </row>
    <row r="3925" spans="1:65" ht="12.75">
      <c r="A3925" s="9"/>
      <c r="B3925" s="10"/>
      <c r="C3925" s="11"/>
      <c r="D3925" s="12"/>
      <c r="E3925" s="10"/>
      <c r="F3925" s="10"/>
      <c r="G3925" s="10"/>
      <c r="H3925" s="14"/>
      <c r="I3925" s="14"/>
      <c r="J3925" s="14"/>
      <c r="K3925" s="14"/>
      <c r="L3925" s="14"/>
      <c r="M3925" s="15"/>
      <c r="N3925" s="10"/>
      <c r="O3925" s="14"/>
      <c r="P3925" s="14"/>
      <c r="Q3925" s="14"/>
      <c r="R3925" s="14"/>
      <c r="S3925" s="14"/>
      <c r="T3925" s="14"/>
      <c r="U3925" s="14"/>
      <c r="V3925" s="14"/>
      <c r="W3925" s="14"/>
      <c r="X3925" s="14"/>
      <c r="Y3925" s="14"/>
      <c r="Z3925" s="14"/>
      <c r="AA3925" s="16"/>
      <c r="AB3925" s="10"/>
      <c r="AC3925" s="10"/>
      <c r="AD3925" s="10"/>
      <c r="AE3925" s="10"/>
      <c r="AF3925" s="10"/>
      <c r="AG3925" s="10"/>
      <c r="AH3925" s="10"/>
      <c r="AI3925" s="10"/>
      <c r="AJ3925" s="10"/>
      <c r="AK3925" s="10"/>
      <c r="AL3925" s="10"/>
      <c r="AM3925" s="10"/>
      <c r="AN3925" s="10"/>
      <c r="AO3925" s="10"/>
      <c r="AP3925" s="10"/>
      <c r="AQ3925" s="10"/>
      <c r="AR3925" s="10"/>
      <c r="AS3925" s="10"/>
      <c r="AT3925" s="10"/>
      <c r="AU3925" s="10"/>
      <c r="AV3925" s="10"/>
      <c r="AW3925" s="10"/>
      <c r="AX3925" s="10"/>
      <c r="AY3925" s="10"/>
      <c r="AZ3925" s="10"/>
      <c r="BA3925" s="10"/>
      <c r="BB3925" s="10"/>
      <c r="BC3925" s="10"/>
      <c r="BD3925" s="10"/>
      <c r="BE3925" s="10"/>
      <c r="BF3925" s="10"/>
      <c r="BG3925" s="10"/>
      <c r="BH3925" s="10"/>
      <c r="BI3925" s="10"/>
      <c r="BJ3925" s="10"/>
      <c r="BK3925" s="10"/>
      <c r="BM3925" s="10"/>
    </row>
    <row r="3926" spans="1:65" ht="12.75">
      <c r="A3926" s="9"/>
      <c r="B3926" s="10"/>
      <c r="C3926" s="11"/>
      <c r="D3926" s="12"/>
      <c r="E3926" s="10"/>
      <c r="F3926" s="10"/>
      <c r="G3926" s="10"/>
      <c r="H3926" s="14"/>
      <c r="I3926" s="14"/>
      <c r="J3926" s="14"/>
      <c r="K3926" s="14"/>
      <c r="L3926" s="14"/>
      <c r="M3926" s="15"/>
      <c r="N3926" s="10"/>
      <c r="O3926" s="14"/>
      <c r="P3926" s="14"/>
      <c r="Q3926" s="14"/>
      <c r="R3926" s="14"/>
      <c r="S3926" s="14"/>
      <c r="T3926" s="14"/>
      <c r="U3926" s="14"/>
      <c r="V3926" s="14"/>
      <c r="W3926" s="14"/>
      <c r="X3926" s="14"/>
      <c r="Y3926" s="14"/>
      <c r="Z3926" s="14"/>
      <c r="AA3926" s="16"/>
      <c r="AB3926" s="10"/>
      <c r="AC3926" s="10"/>
      <c r="AD3926" s="10"/>
      <c r="AE3926" s="10"/>
      <c r="AF3926" s="10"/>
      <c r="AG3926" s="10"/>
      <c r="AH3926" s="10"/>
      <c r="AI3926" s="10"/>
      <c r="AJ3926" s="10"/>
      <c r="AK3926" s="10"/>
      <c r="AL3926" s="10"/>
      <c r="AM3926" s="10"/>
      <c r="AN3926" s="10"/>
      <c r="AO3926" s="10"/>
      <c r="AP3926" s="10"/>
      <c r="AQ3926" s="10"/>
      <c r="AR3926" s="10"/>
      <c r="AS3926" s="10"/>
      <c r="AT3926" s="10"/>
      <c r="AU3926" s="10"/>
      <c r="AV3926" s="10"/>
      <c r="AW3926" s="10"/>
      <c r="AX3926" s="10"/>
      <c r="AY3926" s="10"/>
      <c r="AZ3926" s="10"/>
      <c r="BA3926" s="10"/>
      <c r="BB3926" s="10"/>
      <c r="BC3926" s="10"/>
      <c r="BD3926" s="10"/>
      <c r="BE3926" s="10"/>
      <c r="BF3926" s="10"/>
      <c r="BG3926" s="10"/>
      <c r="BH3926" s="10"/>
      <c r="BI3926" s="10"/>
      <c r="BJ3926" s="10"/>
      <c r="BK3926" s="10"/>
      <c r="BM3926" s="10"/>
    </row>
    <row r="3927" spans="1:65" ht="12.75">
      <c r="A3927" s="9"/>
      <c r="B3927" s="10"/>
      <c r="C3927" s="11"/>
      <c r="D3927" s="12"/>
      <c r="E3927" s="10"/>
      <c r="F3927" s="10"/>
      <c r="G3927" s="10"/>
      <c r="H3927" s="14"/>
      <c r="I3927" s="14"/>
      <c r="J3927" s="14"/>
      <c r="K3927" s="14"/>
      <c r="L3927" s="14"/>
      <c r="M3927" s="15"/>
      <c r="N3927" s="10"/>
      <c r="O3927" s="14"/>
      <c r="P3927" s="14"/>
      <c r="Q3927" s="14"/>
      <c r="R3927" s="14"/>
      <c r="S3927" s="14"/>
      <c r="T3927" s="14"/>
      <c r="U3927" s="14"/>
      <c r="V3927" s="14"/>
      <c r="W3927" s="14"/>
      <c r="X3927" s="14"/>
      <c r="Y3927" s="14"/>
      <c r="Z3927" s="14"/>
      <c r="AA3927" s="16"/>
      <c r="AB3927" s="10"/>
      <c r="AC3927" s="10"/>
      <c r="AD3927" s="10"/>
      <c r="AE3927" s="10"/>
      <c r="AF3927" s="10"/>
      <c r="AG3927" s="10"/>
      <c r="AH3927" s="10"/>
      <c r="AI3927" s="10"/>
      <c r="AJ3927" s="10"/>
      <c r="AK3927" s="10"/>
      <c r="AL3927" s="10"/>
      <c r="AM3927" s="10"/>
      <c r="AN3927" s="10"/>
      <c r="AO3927" s="10"/>
      <c r="AP3927" s="10"/>
      <c r="AQ3927" s="10"/>
      <c r="AR3927" s="10"/>
      <c r="AS3927" s="10"/>
      <c r="AT3927" s="10"/>
      <c r="AU3927" s="10"/>
      <c r="AV3927" s="10"/>
      <c r="AW3927" s="10"/>
      <c r="AX3927" s="10"/>
      <c r="AY3927" s="10"/>
      <c r="AZ3927" s="10"/>
      <c r="BA3927" s="10"/>
      <c r="BB3927" s="10"/>
      <c r="BC3927" s="10"/>
      <c r="BD3927" s="10"/>
      <c r="BE3927" s="10"/>
      <c r="BF3927" s="10"/>
      <c r="BG3927" s="10"/>
      <c r="BH3927" s="10"/>
      <c r="BI3927" s="10"/>
      <c r="BJ3927" s="10"/>
      <c r="BK3927" s="10"/>
      <c r="BM3927" s="10"/>
    </row>
    <row r="3928" spans="1:65" ht="12.75">
      <c r="A3928" s="9"/>
      <c r="B3928" s="10"/>
      <c r="C3928" s="11"/>
      <c r="D3928" s="12"/>
      <c r="E3928" s="10"/>
      <c r="F3928" s="10"/>
      <c r="G3928" s="10"/>
      <c r="H3928" s="14"/>
      <c r="I3928" s="14"/>
      <c r="J3928" s="14"/>
      <c r="K3928" s="14"/>
      <c r="L3928" s="14"/>
      <c r="M3928" s="15"/>
      <c r="N3928" s="10"/>
      <c r="O3928" s="14"/>
      <c r="P3928" s="14"/>
      <c r="Q3928" s="14"/>
      <c r="R3928" s="14"/>
      <c r="S3928" s="14"/>
      <c r="T3928" s="14"/>
      <c r="U3928" s="14"/>
      <c r="V3928" s="14"/>
      <c r="W3928" s="14"/>
      <c r="X3928" s="14"/>
      <c r="Y3928" s="14"/>
      <c r="Z3928" s="14"/>
      <c r="AA3928" s="16"/>
      <c r="AB3928" s="10"/>
      <c r="AC3928" s="10"/>
      <c r="AD3928" s="10"/>
      <c r="AE3928" s="10"/>
      <c r="AF3928" s="10"/>
      <c r="AG3928" s="10"/>
      <c r="AH3928" s="10"/>
      <c r="AI3928" s="10"/>
      <c r="AJ3928" s="10"/>
      <c r="AK3928" s="10"/>
      <c r="AL3928" s="10"/>
      <c r="AM3928" s="10"/>
      <c r="AN3928" s="10"/>
      <c r="AO3928" s="10"/>
      <c r="AP3928" s="10"/>
      <c r="AQ3928" s="10"/>
      <c r="AR3928" s="10"/>
      <c r="AS3928" s="10"/>
      <c r="AT3928" s="10"/>
      <c r="AU3928" s="10"/>
      <c r="AV3928" s="10"/>
      <c r="AW3928" s="10"/>
      <c r="AX3928" s="10"/>
      <c r="AY3928" s="10"/>
      <c r="AZ3928" s="10"/>
      <c r="BA3928" s="10"/>
      <c r="BB3928" s="10"/>
      <c r="BC3928" s="10"/>
      <c r="BD3928" s="10"/>
      <c r="BE3928" s="10"/>
      <c r="BF3928" s="10"/>
      <c r="BG3928" s="10"/>
      <c r="BH3928" s="10"/>
      <c r="BI3928" s="10"/>
      <c r="BJ3928" s="10"/>
      <c r="BK3928" s="10"/>
      <c r="BM3928" s="10"/>
    </row>
    <row r="3929" spans="1:65" ht="12.75">
      <c r="A3929" s="9"/>
      <c r="B3929" s="10"/>
      <c r="C3929" s="11"/>
      <c r="D3929" s="12"/>
      <c r="E3929" s="10"/>
      <c r="F3929" s="10"/>
      <c r="G3929" s="10"/>
      <c r="H3929" s="14"/>
      <c r="I3929" s="14"/>
      <c r="J3929" s="14"/>
      <c r="K3929" s="14"/>
      <c r="L3929" s="14"/>
      <c r="M3929" s="15"/>
      <c r="N3929" s="10"/>
      <c r="O3929" s="14"/>
      <c r="P3929" s="14"/>
      <c r="Q3929" s="14"/>
      <c r="R3929" s="14"/>
      <c r="S3929" s="14"/>
      <c r="T3929" s="14"/>
      <c r="U3929" s="14"/>
      <c r="V3929" s="14"/>
      <c r="W3929" s="14"/>
      <c r="X3929" s="14"/>
      <c r="Y3929" s="14"/>
      <c r="Z3929" s="14"/>
      <c r="AA3929" s="16"/>
      <c r="AB3929" s="10"/>
      <c r="AC3929" s="10"/>
      <c r="AD3929" s="10"/>
      <c r="AE3929" s="10"/>
      <c r="AF3929" s="10"/>
      <c r="AG3929" s="10"/>
      <c r="AH3929" s="10"/>
      <c r="AI3929" s="10"/>
      <c r="AJ3929" s="10"/>
      <c r="AK3929" s="10"/>
      <c r="AL3929" s="10"/>
      <c r="AM3929" s="10"/>
      <c r="AN3929" s="10"/>
      <c r="AO3929" s="10"/>
      <c r="AP3929" s="10"/>
      <c r="AQ3929" s="10"/>
      <c r="AR3929" s="10"/>
      <c r="AS3929" s="10"/>
      <c r="AT3929" s="10"/>
      <c r="AU3929" s="10"/>
      <c r="AV3929" s="10"/>
      <c r="AW3929" s="10"/>
      <c r="AX3929" s="10"/>
      <c r="AY3929" s="10"/>
      <c r="AZ3929" s="10"/>
      <c r="BA3929" s="10"/>
      <c r="BB3929" s="10"/>
      <c r="BC3929" s="10"/>
      <c r="BD3929" s="10"/>
      <c r="BE3929" s="10"/>
      <c r="BF3929" s="10"/>
      <c r="BG3929" s="10"/>
      <c r="BH3929" s="10"/>
      <c r="BI3929" s="10"/>
      <c r="BJ3929" s="10"/>
      <c r="BK3929" s="10"/>
      <c r="BM3929" s="10"/>
    </row>
    <row r="3930" spans="1:65" ht="12.75">
      <c r="A3930" s="9"/>
      <c r="B3930" s="10"/>
      <c r="C3930" s="11"/>
      <c r="D3930" s="12"/>
      <c r="E3930" s="10"/>
      <c r="F3930" s="10"/>
      <c r="G3930" s="10"/>
      <c r="H3930" s="14"/>
      <c r="I3930" s="14"/>
      <c r="J3930" s="14"/>
      <c r="K3930" s="14"/>
      <c r="L3930" s="14"/>
      <c r="M3930" s="15"/>
      <c r="N3930" s="10"/>
      <c r="O3930" s="14"/>
      <c r="P3930" s="14"/>
      <c r="Q3930" s="14"/>
      <c r="R3930" s="14"/>
      <c r="S3930" s="14"/>
      <c r="T3930" s="14"/>
      <c r="U3930" s="14"/>
      <c r="V3930" s="14"/>
      <c r="W3930" s="14"/>
      <c r="X3930" s="14"/>
      <c r="Y3930" s="14"/>
      <c r="Z3930" s="14"/>
      <c r="AA3930" s="16"/>
      <c r="AB3930" s="10"/>
      <c r="AC3930" s="10"/>
      <c r="AD3930" s="10"/>
      <c r="AE3930" s="10"/>
      <c r="AF3930" s="10"/>
      <c r="AG3930" s="10"/>
      <c r="AH3930" s="10"/>
      <c r="AI3930" s="10"/>
      <c r="AJ3930" s="10"/>
      <c r="AK3930" s="10"/>
      <c r="AL3930" s="10"/>
      <c r="AM3930" s="10"/>
      <c r="AN3930" s="10"/>
      <c r="AO3930" s="10"/>
      <c r="AP3930" s="10"/>
      <c r="AQ3930" s="10"/>
      <c r="AR3930" s="10"/>
      <c r="AS3930" s="10"/>
      <c r="AT3930" s="10"/>
      <c r="AU3930" s="10"/>
      <c r="AV3930" s="10"/>
      <c r="AW3930" s="10"/>
      <c r="AX3930" s="10"/>
      <c r="AY3930" s="10"/>
      <c r="AZ3930" s="10"/>
      <c r="BA3930" s="10"/>
      <c r="BB3930" s="10"/>
      <c r="BC3930" s="10"/>
      <c r="BD3930" s="10"/>
      <c r="BE3930" s="10"/>
      <c r="BF3930" s="10"/>
      <c r="BG3930" s="10"/>
      <c r="BH3930" s="10"/>
      <c r="BI3930" s="10"/>
      <c r="BJ3930" s="10"/>
      <c r="BK3930" s="10"/>
      <c r="BM3930" s="10"/>
    </row>
    <row r="3931" spans="1:65" ht="12.75">
      <c r="A3931" s="9"/>
      <c r="B3931" s="10"/>
      <c r="C3931" s="11"/>
      <c r="D3931" s="12"/>
      <c r="E3931" s="10"/>
      <c r="F3931" s="10"/>
      <c r="G3931" s="10"/>
      <c r="H3931" s="14"/>
      <c r="I3931" s="14"/>
      <c r="J3931" s="14"/>
      <c r="K3931" s="14"/>
      <c r="L3931" s="14"/>
      <c r="M3931" s="15"/>
      <c r="N3931" s="10"/>
      <c r="O3931" s="14"/>
      <c r="P3931" s="14"/>
      <c r="Q3931" s="14"/>
      <c r="R3931" s="14"/>
      <c r="S3931" s="14"/>
      <c r="T3931" s="14"/>
      <c r="U3931" s="14"/>
      <c r="V3931" s="14"/>
      <c r="W3931" s="14"/>
      <c r="X3931" s="14"/>
      <c r="Y3931" s="14"/>
      <c r="Z3931" s="14"/>
      <c r="AA3931" s="16"/>
      <c r="AB3931" s="10"/>
      <c r="AC3931" s="10"/>
      <c r="AD3931" s="10"/>
      <c r="AE3931" s="10"/>
      <c r="AF3931" s="10"/>
      <c r="AG3931" s="10"/>
      <c r="AH3931" s="10"/>
      <c r="AI3931" s="10"/>
      <c r="AJ3931" s="10"/>
      <c r="AK3931" s="10"/>
      <c r="AL3931" s="10"/>
      <c r="AM3931" s="10"/>
      <c r="AN3931" s="10"/>
      <c r="AO3931" s="10"/>
      <c r="AP3931" s="10"/>
      <c r="AQ3931" s="10"/>
      <c r="AR3931" s="10"/>
      <c r="AS3931" s="10"/>
      <c r="AT3931" s="10"/>
      <c r="AU3931" s="10"/>
      <c r="AV3931" s="10"/>
      <c r="AW3931" s="10"/>
      <c r="AX3931" s="10"/>
      <c r="AY3931" s="10"/>
      <c r="AZ3931" s="10"/>
      <c r="BA3931" s="10"/>
      <c r="BB3931" s="10"/>
      <c r="BC3931" s="10"/>
      <c r="BD3931" s="10"/>
      <c r="BE3931" s="10"/>
      <c r="BF3931" s="10"/>
      <c r="BG3931" s="10"/>
      <c r="BH3931" s="10"/>
      <c r="BI3931" s="10"/>
      <c r="BJ3931" s="10"/>
      <c r="BK3931" s="10"/>
      <c r="BM3931" s="10"/>
    </row>
    <row r="3932" spans="1:65" ht="12.75">
      <c r="A3932" s="9"/>
      <c r="B3932" s="10"/>
      <c r="C3932" s="11"/>
      <c r="D3932" s="12"/>
      <c r="E3932" s="10"/>
      <c r="F3932" s="10"/>
      <c r="G3932" s="10"/>
      <c r="H3932" s="14"/>
      <c r="I3932" s="14"/>
      <c r="J3932" s="14"/>
      <c r="K3932" s="14"/>
      <c r="L3932" s="14"/>
      <c r="M3932" s="15"/>
      <c r="N3932" s="10"/>
      <c r="O3932" s="14"/>
      <c r="P3932" s="14"/>
      <c r="Q3932" s="14"/>
      <c r="R3932" s="14"/>
      <c r="S3932" s="14"/>
      <c r="T3932" s="14"/>
      <c r="U3932" s="14"/>
      <c r="V3932" s="14"/>
      <c r="W3932" s="14"/>
      <c r="X3932" s="14"/>
      <c r="Y3932" s="14"/>
      <c r="Z3932" s="14"/>
      <c r="AA3932" s="16"/>
      <c r="AB3932" s="10"/>
      <c r="AC3932" s="10"/>
      <c r="AD3932" s="10"/>
      <c r="AE3932" s="10"/>
      <c r="AF3932" s="10"/>
      <c r="AG3932" s="10"/>
      <c r="AH3932" s="10"/>
      <c r="AI3932" s="10"/>
      <c r="AJ3932" s="10"/>
      <c r="AK3932" s="10"/>
      <c r="AL3932" s="10"/>
      <c r="AM3932" s="10"/>
      <c r="AN3932" s="10"/>
      <c r="AO3932" s="10"/>
      <c r="AP3932" s="10"/>
      <c r="AQ3932" s="10"/>
      <c r="AR3932" s="10"/>
      <c r="AS3932" s="10"/>
      <c r="AT3932" s="10"/>
      <c r="AU3932" s="10"/>
      <c r="AV3932" s="10"/>
      <c r="AW3932" s="10"/>
      <c r="AX3932" s="10"/>
      <c r="AY3932" s="10"/>
      <c r="AZ3932" s="10"/>
      <c r="BA3932" s="10"/>
      <c r="BB3932" s="10"/>
      <c r="BC3932" s="10"/>
      <c r="BD3932" s="10"/>
      <c r="BE3932" s="10"/>
      <c r="BF3932" s="10"/>
      <c r="BG3932" s="10"/>
      <c r="BH3932" s="10"/>
      <c r="BI3932" s="10"/>
      <c r="BJ3932" s="10"/>
      <c r="BK3932" s="10"/>
      <c r="BM3932" s="10"/>
    </row>
    <row r="3933" spans="1:65" ht="12.75">
      <c r="A3933" s="9"/>
      <c r="B3933" s="10"/>
      <c r="C3933" s="11"/>
      <c r="D3933" s="12"/>
      <c r="E3933" s="10"/>
      <c r="F3933" s="10"/>
      <c r="G3933" s="10"/>
      <c r="H3933" s="14"/>
      <c r="I3933" s="14"/>
      <c r="J3933" s="14"/>
      <c r="K3933" s="14"/>
      <c r="L3933" s="14"/>
      <c r="M3933" s="15"/>
      <c r="N3933" s="10"/>
      <c r="O3933" s="14"/>
      <c r="P3933" s="14"/>
      <c r="Q3933" s="14"/>
      <c r="R3933" s="14"/>
      <c r="S3933" s="14"/>
      <c r="T3933" s="14"/>
      <c r="U3933" s="14"/>
      <c r="V3933" s="14"/>
      <c r="W3933" s="14"/>
      <c r="X3933" s="14"/>
      <c r="Y3933" s="14"/>
      <c r="Z3933" s="14"/>
      <c r="AA3933" s="16"/>
      <c r="AB3933" s="10"/>
      <c r="AC3933" s="10"/>
      <c r="AD3933" s="10"/>
      <c r="AE3933" s="10"/>
      <c r="AF3933" s="10"/>
      <c r="AG3933" s="10"/>
      <c r="AH3933" s="10"/>
      <c r="AI3933" s="10"/>
      <c r="AJ3933" s="10"/>
      <c r="AK3933" s="10"/>
      <c r="AL3933" s="10"/>
      <c r="AM3933" s="10"/>
      <c r="AN3933" s="10"/>
      <c r="AO3933" s="10"/>
      <c r="AP3933" s="10"/>
      <c r="AQ3933" s="10"/>
      <c r="AR3933" s="10"/>
      <c r="AS3933" s="10"/>
      <c r="AT3933" s="10"/>
      <c r="AU3933" s="10"/>
      <c r="AV3933" s="10"/>
      <c r="AW3933" s="10"/>
      <c r="AX3933" s="10"/>
      <c r="AY3933" s="10"/>
      <c r="AZ3933" s="10"/>
      <c r="BA3933" s="10"/>
      <c r="BB3933" s="10"/>
      <c r="BC3933" s="10"/>
      <c r="BD3933" s="10"/>
      <c r="BE3933" s="10"/>
      <c r="BF3933" s="10"/>
      <c r="BG3933" s="10"/>
      <c r="BH3933" s="10"/>
      <c r="BI3933" s="10"/>
      <c r="BJ3933" s="10"/>
      <c r="BK3933" s="10"/>
      <c r="BM3933" s="10"/>
    </row>
    <row r="3934" spans="1:65" ht="12.75">
      <c r="A3934" s="9"/>
      <c r="B3934" s="10"/>
      <c r="C3934" s="11"/>
      <c r="D3934" s="12"/>
      <c r="E3934" s="10"/>
      <c r="F3934" s="10"/>
      <c r="G3934" s="10"/>
      <c r="H3934" s="14"/>
      <c r="I3934" s="14"/>
      <c r="J3934" s="14"/>
      <c r="K3934" s="14"/>
      <c r="L3934" s="14"/>
      <c r="M3934" s="15"/>
      <c r="N3934" s="10"/>
      <c r="O3934" s="14"/>
      <c r="P3934" s="14"/>
      <c r="Q3934" s="14"/>
      <c r="R3934" s="14"/>
      <c r="S3934" s="14"/>
      <c r="T3934" s="14"/>
      <c r="U3934" s="14"/>
      <c r="V3934" s="14"/>
      <c r="W3934" s="14"/>
      <c r="X3934" s="14"/>
      <c r="Y3934" s="14"/>
      <c r="Z3934" s="14"/>
      <c r="AA3934" s="16"/>
      <c r="AB3934" s="10"/>
      <c r="AC3934" s="10"/>
      <c r="AD3934" s="10"/>
      <c r="AE3934" s="10"/>
      <c r="AF3934" s="10"/>
      <c r="AG3934" s="10"/>
      <c r="AH3934" s="10"/>
      <c r="AI3934" s="10"/>
      <c r="AJ3934" s="10"/>
      <c r="AK3934" s="10"/>
      <c r="AL3934" s="10"/>
      <c r="AM3934" s="10"/>
      <c r="AN3934" s="10"/>
      <c r="AO3934" s="10"/>
      <c r="AP3934" s="10"/>
      <c r="AQ3934" s="10"/>
      <c r="AR3934" s="10"/>
      <c r="AS3934" s="10"/>
      <c r="AT3934" s="10"/>
      <c r="AU3934" s="10"/>
      <c r="AV3934" s="10"/>
      <c r="AW3934" s="10"/>
      <c r="AX3934" s="10"/>
      <c r="AY3934" s="10"/>
      <c r="AZ3934" s="10"/>
      <c r="BA3934" s="10"/>
      <c r="BB3934" s="10"/>
      <c r="BC3934" s="10"/>
      <c r="BD3934" s="10"/>
      <c r="BE3934" s="10"/>
      <c r="BF3934" s="10"/>
      <c r="BG3934" s="10"/>
      <c r="BH3934" s="10"/>
      <c r="BI3934" s="10"/>
      <c r="BJ3934" s="10"/>
      <c r="BK3934" s="10"/>
      <c r="BM3934" s="10"/>
    </row>
    <row r="3935" spans="1:65" ht="12.75">
      <c r="A3935" s="9"/>
      <c r="B3935" s="10"/>
      <c r="C3935" s="11"/>
      <c r="D3935" s="12"/>
      <c r="E3935" s="10"/>
      <c r="F3935" s="10"/>
      <c r="G3935" s="10"/>
      <c r="H3935" s="14"/>
      <c r="I3935" s="14"/>
      <c r="J3935" s="14"/>
      <c r="K3935" s="14"/>
      <c r="L3935" s="14"/>
      <c r="M3935" s="15"/>
      <c r="N3935" s="10"/>
      <c r="O3935" s="14"/>
      <c r="P3935" s="14"/>
      <c r="Q3935" s="14"/>
      <c r="R3935" s="14"/>
      <c r="S3935" s="14"/>
      <c r="T3935" s="14"/>
      <c r="U3935" s="14"/>
      <c r="V3935" s="14"/>
      <c r="W3935" s="14"/>
      <c r="X3935" s="14"/>
      <c r="Y3935" s="14"/>
      <c r="Z3935" s="14"/>
      <c r="AA3935" s="16"/>
      <c r="AB3935" s="10"/>
      <c r="AC3935" s="10"/>
      <c r="AD3935" s="10"/>
      <c r="AE3935" s="10"/>
      <c r="AF3935" s="10"/>
      <c r="AG3935" s="10"/>
      <c r="AH3935" s="10"/>
      <c r="AI3935" s="10"/>
      <c r="AJ3935" s="10"/>
      <c r="AK3935" s="10"/>
      <c r="AL3935" s="10"/>
      <c r="AM3935" s="10"/>
      <c r="AN3935" s="10"/>
      <c r="AO3935" s="10"/>
      <c r="AP3935" s="10"/>
      <c r="AQ3935" s="10"/>
      <c r="AR3935" s="10"/>
      <c r="AS3935" s="10"/>
      <c r="AT3935" s="10"/>
      <c r="AU3935" s="10"/>
      <c r="AV3935" s="10"/>
      <c r="AW3935" s="10"/>
      <c r="AX3935" s="10"/>
      <c r="AY3935" s="10"/>
      <c r="AZ3935" s="10"/>
      <c r="BA3935" s="10"/>
      <c r="BB3935" s="10"/>
      <c r="BC3935" s="10"/>
      <c r="BD3935" s="10"/>
      <c r="BE3935" s="10"/>
      <c r="BF3935" s="10"/>
      <c r="BG3935" s="10"/>
      <c r="BH3935" s="10"/>
      <c r="BI3935" s="10"/>
      <c r="BJ3935" s="10"/>
      <c r="BK3935" s="10"/>
      <c r="BM3935" s="10"/>
    </row>
    <row r="3936" spans="1:65" ht="12.75">
      <c r="A3936" s="9"/>
      <c r="B3936" s="10"/>
      <c r="C3936" s="11"/>
      <c r="D3936" s="12"/>
      <c r="E3936" s="10"/>
      <c r="F3936" s="10"/>
      <c r="G3936" s="10"/>
      <c r="H3936" s="14"/>
      <c r="I3936" s="14"/>
      <c r="J3936" s="14"/>
      <c r="K3936" s="14"/>
      <c r="L3936" s="14"/>
      <c r="M3936" s="15"/>
      <c r="N3936" s="10"/>
      <c r="O3936" s="14"/>
      <c r="P3936" s="14"/>
      <c r="Q3936" s="14"/>
      <c r="R3936" s="14"/>
      <c r="S3936" s="14"/>
      <c r="T3936" s="14"/>
      <c r="U3936" s="14"/>
      <c r="V3936" s="14"/>
      <c r="W3936" s="14"/>
      <c r="X3936" s="14"/>
      <c r="Y3936" s="14"/>
      <c r="Z3936" s="14"/>
      <c r="AA3936" s="16"/>
      <c r="AB3936" s="10"/>
      <c r="AC3936" s="10"/>
      <c r="AD3936" s="10"/>
      <c r="AE3936" s="10"/>
      <c r="AF3936" s="10"/>
      <c r="AG3936" s="10"/>
      <c r="AH3936" s="10"/>
      <c r="AI3936" s="10"/>
      <c r="AJ3936" s="10"/>
      <c r="AK3936" s="10"/>
      <c r="AL3936" s="10"/>
      <c r="AM3936" s="10"/>
      <c r="AN3936" s="10"/>
      <c r="AO3936" s="10"/>
      <c r="AP3936" s="10"/>
      <c r="AQ3936" s="10"/>
      <c r="AR3936" s="10"/>
      <c r="AS3936" s="10"/>
      <c r="AT3936" s="10"/>
      <c r="AU3936" s="10"/>
      <c r="AV3936" s="10"/>
      <c r="AW3936" s="10"/>
      <c r="AX3936" s="10"/>
      <c r="AY3936" s="10"/>
      <c r="AZ3936" s="10"/>
      <c r="BA3936" s="10"/>
      <c r="BB3936" s="10"/>
      <c r="BC3936" s="10"/>
      <c r="BD3936" s="10"/>
      <c r="BE3936" s="10"/>
      <c r="BF3936" s="10"/>
      <c r="BG3936" s="10"/>
      <c r="BH3936" s="10"/>
      <c r="BI3936" s="10"/>
      <c r="BJ3936" s="10"/>
      <c r="BK3936" s="10"/>
      <c r="BM3936" s="10"/>
    </row>
    <row r="3937" spans="1:65" ht="12.75">
      <c r="A3937" s="9"/>
      <c r="B3937" s="10"/>
      <c r="C3937" s="11"/>
      <c r="D3937" s="12"/>
      <c r="E3937" s="10"/>
      <c r="F3937" s="10"/>
      <c r="G3937" s="10"/>
      <c r="H3937" s="14"/>
      <c r="I3937" s="14"/>
      <c r="J3937" s="14"/>
      <c r="K3937" s="14"/>
      <c r="L3937" s="14"/>
      <c r="M3937" s="15"/>
      <c r="N3937" s="10"/>
      <c r="O3937" s="14"/>
      <c r="P3937" s="14"/>
      <c r="Q3937" s="14"/>
      <c r="R3937" s="14"/>
      <c r="S3937" s="14"/>
      <c r="T3937" s="14"/>
      <c r="U3937" s="14"/>
      <c r="V3937" s="14"/>
      <c r="W3937" s="14"/>
      <c r="X3937" s="14"/>
      <c r="Y3937" s="14"/>
      <c r="Z3937" s="14"/>
      <c r="AA3937" s="16"/>
      <c r="AB3937" s="10"/>
      <c r="AC3937" s="10"/>
      <c r="AD3937" s="10"/>
      <c r="AE3937" s="10"/>
      <c r="AF3937" s="10"/>
      <c r="AG3937" s="10"/>
      <c r="AH3937" s="10"/>
      <c r="AI3937" s="10"/>
      <c r="AJ3937" s="10"/>
      <c r="AK3937" s="10"/>
      <c r="AL3937" s="10"/>
      <c r="AM3937" s="10"/>
      <c r="AN3937" s="10"/>
      <c r="AO3937" s="10"/>
      <c r="AP3937" s="10"/>
      <c r="AQ3937" s="10"/>
      <c r="AR3937" s="10"/>
      <c r="AS3937" s="10"/>
      <c r="AT3937" s="10"/>
      <c r="AU3937" s="10"/>
      <c r="AV3937" s="10"/>
      <c r="AW3937" s="10"/>
      <c r="AX3937" s="10"/>
      <c r="AY3937" s="10"/>
      <c r="AZ3937" s="10"/>
      <c r="BA3937" s="10"/>
      <c r="BB3937" s="10"/>
      <c r="BC3937" s="10"/>
      <c r="BD3937" s="10"/>
      <c r="BE3937" s="10"/>
      <c r="BF3937" s="10"/>
      <c r="BG3937" s="10"/>
      <c r="BH3937" s="10"/>
      <c r="BI3937" s="10"/>
      <c r="BJ3937" s="10"/>
      <c r="BK3937" s="10"/>
      <c r="BM3937" s="10"/>
    </row>
    <row r="3938" spans="1:65" ht="12.75">
      <c r="A3938" s="9"/>
      <c r="B3938" s="10"/>
      <c r="C3938" s="11"/>
      <c r="D3938" s="12"/>
      <c r="E3938" s="10"/>
      <c r="F3938" s="10"/>
      <c r="G3938" s="10"/>
      <c r="H3938" s="14"/>
      <c r="I3938" s="14"/>
      <c r="J3938" s="14"/>
      <c r="K3938" s="14"/>
      <c r="L3938" s="14"/>
      <c r="M3938" s="15"/>
      <c r="N3938" s="10"/>
      <c r="O3938" s="14"/>
      <c r="P3938" s="14"/>
      <c r="Q3938" s="14"/>
      <c r="R3938" s="14"/>
      <c r="S3938" s="14"/>
      <c r="T3938" s="14"/>
      <c r="U3938" s="14"/>
      <c r="V3938" s="14"/>
      <c r="W3938" s="14"/>
      <c r="X3938" s="14"/>
      <c r="Y3938" s="14"/>
      <c r="Z3938" s="14"/>
      <c r="AA3938" s="16"/>
      <c r="AB3938" s="10"/>
      <c r="AC3938" s="10"/>
      <c r="AD3938" s="10"/>
      <c r="AE3938" s="10"/>
      <c r="AF3938" s="10"/>
      <c r="AG3938" s="10"/>
      <c r="AH3938" s="10"/>
      <c r="AI3938" s="10"/>
      <c r="AJ3938" s="10"/>
      <c r="AK3938" s="10"/>
      <c r="AL3938" s="10"/>
      <c r="AM3938" s="10"/>
      <c r="AN3938" s="10"/>
      <c r="AO3938" s="10"/>
      <c r="AP3938" s="10"/>
      <c r="AQ3938" s="10"/>
      <c r="AR3938" s="10"/>
      <c r="AS3938" s="10"/>
      <c r="AT3938" s="10"/>
      <c r="AU3938" s="10"/>
      <c r="AV3938" s="10"/>
      <c r="AW3938" s="10"/>
      <c r="AX3938" s="10"/>
      <c r="AY3938" s="10"/>
      <c r="AZ3938" s="10"/>
      <c r="BA3938" s="10"/>
      <c r="BB3938" s="10"/>
      <c r="BC3938" s="10"/>
      <c r="BD3938" s="10"/>
      <c r="BE3938" s="10"/>
      <c r="BF3938" s="10"/>
      <c r="BG3938" s="10"/>
      <c r="BH3938" s="10"/>
      <c r="BI3938" s="10"/>
      <c r="BJ3938" s="10"/>
      <c r="BK3938" s="10"/>
      <c r="BM3938" s="10"/>
    </row>
    <row r="3939" spans="1:65" ht="12.75">
      <c r="A3939" s="9"/>
      <c r="B3939" s="10"/>
      <c r="C3939" s="11"/>
      <c r="D3939" s="12"/>
      <c r="E3939" s="10"/>
      <c r="F3939" s="10"/>
      <c r="G3939" s="10"/>
      <c r="H3939" s="14"/>
      <c r="I3939" s="14"/>
      <c r="J3939" s="14"/>
      <c r="K3939" s="14"/>
      <c r="L3939" s="14"/>
      <c r="M3939" s="15"/>
      <c r="N3939" s="10"/>
      <c r="O3939" s="14"/>
      <c r="P3939" s="14"/>
      <c r="Q3939" s="14"/>
      <c r="R3939" s="14"/>
      <c r="S3939" s="14"/>
      <c r="T3939" s="14"/>
      <c r="U3939" s="14"/>
      <c r="V3939" s="14"/>
      <c r="W3939" s="14"/>
      <c r="X3939" s="14"/>
      <c r="Y3939" s="14"/>
      <c r="Z3939" s="14"/>
      <c r="AA3939" s="16"/>
      <c r="AB3939" s="10"/>
      <c r="AC3939" s="10"/>
      <c r="AD3939" s="10"/>
      <c r="AE3939" s="10"/>
      <c r="AF3939" s="10"/>
      <c r="AG3939" s="10"/>
      <c r="AH3939" s="10"/>
      <c r="AI3939" s="10"/>
      <c r="AJ3939" s="10"/>
      <c r="AK3939" s="10"/>
      <c r="AL3939" s="10"/>
      <c r="AM3939" s="10"/>
      <c r="AN3939" s="10"/>
      <c r="AO3939" s="10"/>
      <c r="AP3939" s="10"/>
      <c r="AQ3939" s="10"/>
      <c r="AR3939" s="10"/>
      <c r="AS3939" s="10"/>
      <c r="AT3939" s="10"/>
      <c r="AU3939" s="10"/>
      <c r="AV3939" s="10"/>
      <c r="AW3939" s="10"/>
      <c r="AX3939" s="10"/>
      <c r="AY3939" s="10"/>
      <c r="AZ3939" s="10"/>
      <c r="BA3939" s="10"/>
      <c r="BB3939" s="10"/>
      <c r="BC3939" s="10"/>
      <c r="BD3939" s="10"/>
      <c r="BE3939" s="10"/>
      <c r="BF3939" s="10"/>
      <c r="BG3939" s="10"/>
      <c r="BH3939" s="10"/>
      <c r="BI3939" s="10"/>
      <c r="BJ3939" s="10"/>
      <c r="BK3939" s="10"/>
      <c r="BM3939" s="10"/>
    </row>
    <row r="3940" spans="1:65" ht="12.75">
      <c r="A3940" s="9"/>
      <c r="B3940" s="10"/>
      <c r="C3940" s="11"/>
      <c r="D3940" s="12"/>
      <c r="E3940" s="10"/>
      <c r="F3940" s="10"/>
      <c r="G3940" s="10"/>
      <c r="H3940" s="14"/>
      <c r="I3940" s="14"/>
      <c r="J3940" s="14"/>
      <c r="K3940" s="14"/>
      <c r="L3940" s="14"/>
      <c r="M3940" s="15"/>
      <c r="N3940" s="10"/>
      <c r="O3940" s="14"/>
      <c r="P3940" s="14"/>
      <c r="Q3940" s="14"/>
      <c r="R3940" s="14"/>
      <c r="S3940" s="14"/>
      <c r="T3940" s="14"/>
      <c r="U3940" s="14"/>
      <c r="V3940" s="14"/>
      <c r="W3940" s="14"/>
      <c r="X3940" s="14"/>
      <c r="Y3940" s="14"/>
      <c r="Z3940" s="14"/>
      <c r="AA3940" s="16"/>
      <c r="AB3940" s="10"/>
      <c r="AC3940" s="10"/>
      <c r="AD3940" s="10"/>
      <c r="AE3940" s="10"/>
      <c r="AF3940" s="10"/>
      <c r="AG3940" s="10"/>
      <c r="AH3940" s="10"/>
      <c r="AI3940" s="10"/>
      <c r="AJ3940" s="10"/>
      <c r="AK3940" s="10"/>
      <c r="AL3940" s="10"/>
      <c r="AM3940" s="10"/>
      <c r="AN3940" s="10"/>
      <c r="AO3940" s="10"/>
      <c r="AP3940" s="10"/>
      <c r="AQ3940" s="10"/>
      <c r="AR3940" s="10"/>
      <c r="AS3940" s="10"/>
      <c r="AT3940" s="10"/>
      <c r="AU3940" s="10"/>
      <c r="AV3940" s="10"/>
      <c r="AW3940" s="10"/>
      <c r="AX3940" s="10"/>
      <c r="AY3940" s="10"/>
      <c r="AZ3940" s="10"/>
      <c r="BA3940" s="10"/>
      <c r="BB3940" s="10"/>
      <c r="BC3940" s="10"/>
      <c r="BD3940" s="10"/>
      <c r="BE3940" s="10"/>
      <c r="BF3940" s="10"/>
      <c r="BG3940" s="10"/>
      <c r="BH3940" s="10"/>
      <c r="BI3940" s="10"/>
      <c r="BJ3940" s="10"/>
      <c r="BK3940" s="10"/>
      <c r="BM3940" s="10"/>
    </row>
    <row r="3941" spans="1:65" ht="12.75">
      <c r="A3941" s="9"/>
      <c r="B3941" s="10"/>
      <c r="C3941" s="11"/>
      <c r="D3941" s="12"/>
      <c r="E3941" s="10"/>
      <c r="F3941" s="10"/>
      <c r="G3941" s="10"/>
      <c r="H3941" s="14"/>
      <c r="I3941" s="14"/>
      <c r="J3941" s="14"/>
      <c r="K3941" s="14"/>
      <c r="L3941" s="14"/>
      <c r="M3941" s="15"/>
      <c r="N3941" s="10"/>
      <c r="O3941" s="14"/>
      <c r="P3941" s="14"/>
      <c r="Q3941" s="14"/>
      <c r="R3941" s="14"/>
      <c r="S3941" s="14"/>
      <c r="T3941" s="14"/>
      <c r="U3941" s="14"/>
      <c r="V3941" s="14"/>
      <c r="W3941" s="14"/>
      <c r="X3941" s="14"/>
      <c r="Y3941" s="14"/>
      <c r="Z3941" s="14"/>
      <c r="AA3941" s="16"/>
      <c r="AB3941" s="10"/>
      <c r="AC3941" s="10"/>
      <c r="AD3941" s="10"/>
      <c r="AE3941" s="10"/>
      <c r="AF3941" s="10"/>
      <c r="AG3941" s="10"/>
      <c r="AH3941" s="10"/>
      <c r="AI3941" s="10"/>
      <c r="AJ3941" s="10"/>
      <c r="AK3941" s="10"/>
      <c r="AL3941" s="10"/>
      <c r="AM3941" s="10"/>
      <c r="AN3941" s="10"/>
      <c r="AO3941" s="10"/>
      <c r="AP3941" s="10"/>
      <c r="AQ3941" s="10"/>
      <c r="AR3941" s="10"/>
      <c r="AS3941" s="10"/>
      <c r="AT3941" s="10"/>
      <c r="AU3941" s="10"/>
      <c r="AV3941" s="10"/>
      <c r="AW3941" s="10"/>
      <c r="AX3941" s="10"/>
      <c r="AY3941" s="10"/>
      <c r="AZ3941" s="10"/>
      <c r="BA3941" s="10"/>
      <c r="BB3941" s="10"/>
      <c r="BC3941" s="10"/>
      <c r="BD3941" s="10"/>
      <c r="BE3941" s="10"/>
      <c r="BF3941" s="10"/>
      <c r="BG3941" s="10"/>
      <c r="BH3941" s="10"/>
      <c r="BI3941" s="10"/>
      <c r="BJ3941" s="10"/>
      <c r="BK3941" s="10"/>
      <c r="BM3941" s="10"/>
    </row>
    <row r="3942" spans="1:65" ht="12.75">
      <c r="A3942" s="9"/>
      <c r="B3942" s="10"/>
      <c r="C3942" s="11"/>
      <c r="D3942" s="12"/>
      <c r="E3942" s="10"/>
      <c r="F3942" s="10"/>
      <c r="G3942" s="10"/>
      <c r="H3942" s="14"/>
      <c r="I3942" s="14"/>
      <c r="J3942" s="14"/>
      <c r="K3942" s="14"/>
      <c r="L3942" s="14"/>
      <c r="M3942" s="15"/>
      <c r="N3942" s="10"/>
      <c r="O3942" s="14"/>
      <c r="P3942" s="14"/>
      <c r="Q3942" s="14"/>
      <c r="R3942" s="14"/>
      <c r="S3942" s="14"/>
      <c r="T3942" s="14"/>
      <c r="U3942" s="14"/>
      <c r="V3942" s="14"/>
      <c r="W3942" s="14"/>
      <c r="X3942" s="14"/>
      <c r="Y3942" s="14"/>
      <c r="Z3942" s="14"/>
      <c r="AA3942" s="16"/>
      <c r="AB3942" s="10"/>
      <c r="AC3942" s="10"/>
      <c r="AD3942" s="10"/>
      <c r="AE3942" s="10"/>
      <c r="AF3942" s="10"/>
      <c r="AG3942" s="10"/>
      <c r="AH3942" s="10"/>
      <c r="AI3942" s="10"/>
      <c r="AJ3942" s="10"/>
      <c r="AK3942" s="10"/>
      <c r="AL3942" s="10"/>
      <c r="AM3942" s="10"/>
      <c r="AN3942" s="10"/>
      <c r="AO3942" s="10"/>
      <c r="AP3942" s="10"/>
      <c r="AQ3942" s="10"/>
      <c r="AR3942" s="10"/>
      <c r="AS3942" s="10"/>
      <c r="AT3942" s="10"/>
      <c r="AU3942" s="10"/>
      <c r="AV3942" s="10"/>
      <c r="AW3942" s="10"/>
      <c r="AX3942" s="10"/>
      <c r="AY3942" s="10"/>
      <c r="AZ3942" s="10"/>
      <c r="BA3942" s="10"/>
      <c r="BB3942" s="10"/>
      <c r="BC3942" s="10"/>
      <c r="BD3942" s="10"/>
      <c r="BE3942" s="10"/>
      <c r="BF3942" s="10"/>
      <c r="BG3942" s="10"/>
      <c r="BH3942" s="10"/>
      <c r="BI3942" s="10"/>
      <c r="BJ3942" s="10"/>
      <c r="BK3942" s="10"/>
      <c r="BM3942" s="10"/>
    </row>
    <row r="3943" spans="1:65" ht="12.75">
      <c r="A3943" s="9"/>
      <c r="B3943" s="10"/>
      <c r="C3943" s="11"/>
      <c r="D3943" s="12"/>
      <c r="E3943" s="10"/>
      <c r="F3943" s="10"/>
      <c r="G3943" s="10"/>
      <c r="H3943" s="14"/>
      <c r="I3943" s="14"/>
      <c r="J3943" s="14"/>
      <c r="K3943" s="14"/>
      <c r="L3943" s="14"/>
      <c r="M3943" s="15"/>
      <c r="N3943" s="10"/>
      <c r="O3943" s="14"/>
      <c r="P3943" s="14"/>
      <c r="Q3943" s="14"/>
      <c r="R3943" s="14"/>
      <c r="S3943" s="14"/>
      <c r="T3943" s="14"/>
      <c r="U3943" s="14"/>
      <c r="V3943" s="14"/>
      <c r="W3943" s="14"/>
      <c r="X3943" s="14"/>
      <c r="Y3943" s="14"/>
      <c r="Z3943" s="14"/>
      <c r="AA3943" s="16"/>
      <c r="AB3943" s="10"/>
      <c r="AC3943" s="10"/>
      <c r="AD3943" s="10"/>
      <c r="AE3943" s="10"/>
      <c r="AF3943" s="10"/>
      <c r="AG3943" s="10"/>
      <c r="AH3943" s="10"/>
      <c r="AI3943" s="10"/>
      <c r="AJ3943" s="10"/>
      <c r="AK3943" s="10"/>
      <c r="AL3943" s="10"/>
      <c r="AM3943" s="10"/>
      <c r="AN3943" s="10"/>
      <c r="AO3943" s="10"/>
      <c r="AP3943" s="10"/>
      <c r="AQ3943" s="10"/>
      <c r="AR3943" s="10"/>
      <c r="AS3943" s="10"/>
      <c r="AT3943" s="10"/>
      <c r="AU3943" s="10"/>
      <c r="AV3943" s="10"/>
      <c r="AW3943" s="10"/>
      <c r="AX3943" s="10"/>
      <c r="AY3943" s="10"/>
      <c r="AZ3943" s="10"/>
      <c r="BA3943" s="10"/>
      <c r="BB3943" s="10"/>
      <c r="BC3943" s="10"/>
      <c r="BD3943" s="10"/>
      <c r="BE3943" s="10"/>
      <c r="BF3943" s="10"/>
      <c r="BG3943" s="10"/>
      <c r="BH3943" s="10"/>
      <c r="BI3943" s="10"/>
      <c r="BJ3943" s="10"/>
      <c r="BK3943" s="10"/>
      <c r="BM3943" s="10"/>
    </row>
    <row r="3944" spans="1:65" ht="12.75">
      <c r="A3944" s="9"/>
      <c r="B3944" s="10"/>
      <c r="C3944" s="11"/>
      <c r="D3944" s="12"/>
      <c r="E3944" s="10"/>
      <c r="F3944" s="10"/>
      <c r="G3944" s="10"/>
      <c r="H3944" s="14"/>
      <c r="I3944" s="14"/>
      <c r="J3944" s="14"/>
      <c r="K3944" s="14"/>
      <c r="L3944" s="14"/>
      <c r="M3944" s="15"/>
      <c r="N3944" s="10"/>
      <c r="O3944" s="14"/>
      <c r="P3944" s="14"/>
      <c r="Q3944" s="14"/>
      <c r="R3944" s="14"/>
      <c r="S3944" s="14"/>
      <c r="T3944" s="14"/>
      <c r="U3944" s="14"/>
      <c r="V3944" s="14"/>
      <c r="W3944" s="14"/>
      <c r="X3944" s="14"/>
      <c r="Y3944" s="14"/>
      <c r="Z3944" s="14"/>
      <c r="AA3944" s="16"/>
      <c r="AB3944" s="10"/>
      <c r="AC3944" s="10"/>
      <c r="AD3944" s="10"/>
      <c r="AE3944" s="10"/>
      <c r="AF3944" s="10"/>
      <c r="AG3944" s="10"/>
      <c r="AH3944" s="10"/>
      <c r="AI3944" s="10"/>
      <c r="AJ3944" s="10"/>
      <c r="AK3944" s="10"/>
      <c r="AL3944" s="10"/>
      <c r="AM3944" s="10"/>
      <c r="AN3944" s="10"/>
      <c r="AO3944" s="10"/>
      <c r="AP3944" s="10"/>
      <c r="AQ3944" s="10"/>
      <c r="AR3944" s="10"/>
      <c r="AS3944" s="10"/>
      <c r="AT3944" s="10"/>
      <c r="AU3944" s="10"/>
      <c r="AV3944" s="10"/>
      <c r="AW3944" s="10"/>
      <c r="AX3944" s="10"/>
      <c r="AY3944" s="10"/>
      <c r="AZ3944" s="10"/>
      <c r="BA3944" s="10"/>
      <c r="BB3944" s="10"/>
      <c r="BC3944" s="10"/>
      <c r="BD3944" s="10"/>
      <c r="BE3944" s="10"/>
      <c r="BF3944" s="10"/>
      <c r="BG3944" s="10"/>
      <c r="BH3944" s="10"/>
      <c r="BI3944" s="10"/>
      <c r="BJ3944" s="10"/>
      <c r="BK3944" s="10"/>
      <c r="BM3944" s="10"/>
    </row>
    <row r="3945" spans="1:65" ht="12.75">
      <c r="A3945" s="9"/>
      <c r="B3945" s="10"/>
      <c r="C3945" s="11"/>
      <c r="D3945" s="12"/>
      <c r="E3945" s="10"/>
      <c r="F3945" s="10"/>
      <c r="G3945" s="10"/>
      <c r="H3945" s="14"/>
      <c r="I3945" s="14"/>
      <c r="J3945" s="14"/>
      <c r="K3945" s="14"/>
      <c r="L3945" s="14"/>
      <c r="M3945" s="15"/>
      <c r="N3945" s="10"/>
      <c r="O3945" s="14"/>
      <c r="P3945" s="14"/>
      <c r="Q3945" s="14"/>
      <c r="R3945" s="14"/>
      <c r="S3945" s="14"/>
      <c r="T3945" s="14"/>
      <c r="U3945" s="14"/>
      <c r="V3945" s="14"/>
      <c r="W3945" s="14"/>
      <c r="X3945" s="14"/>
      <c r="Y3945" s="14"/>
      <c r="Z3945" s="14"/>
      <c r="AA3945" s="16"/>
      <c r="AB3945" s="10"/>
      <c r="AC3945" s="10"/>
      <c r="AD3945" s="10"/>
      <c r="AE3945" s="10"/>
      <c r="AF3945" s="10"/>
      <c r="AG3945" s="10"/>
      <c r="AH3945" s="10"/>
      <c r="AI3945" s="10"/>
      <c r="AJ3945" s="10"/>
      <c r="AK3945" s="10"/>
      <c r="AL3945" s="10"/>
      <c r="AM3945" s="10"/>
      <c r="AN3945" s="10"/>
      <c r="AO3945" s="10"/>
      <c r="AP3945" s="10"/>
      <c r="AQ3945" s="10"/>
      <c r="AR3945" s="10"/>
      <c r="AS3945" s="10"/>
      <c r="AT3945" s="10"/>
      <c r="AU3945" s="10"/>
      <c r="AV3945" s="10"/>
      <c r="AW3945" s="10"/>
      <c r="AX3945" s="10"/>
      <c r="AY3945" s="10"/>
      <c r="AZ3945" s="10"/>
      <c r="BA3945" s="10"/>
      <c r="BB3945" s="10"/>
      <c r="BC3945" s="10"/>
      <c r="BD3945" s="10"/>
      <c r="BE3945" s="10"/>
      <c r="BF3945" s="10"/>
      <c r="BG3945" s="10"/>
      <c r="BH3945" s="10"/>
      <c r="BI3945" s="10"/>
      <c r="BJ3945" s="10"/>
      <c r="BK3945" s="10"/>
      <c r="BM3945" s="10"/>
    </row>
    <row r="3946" spans="1:65" ht="12.75">
      <c r="A3946" s="9"/>
      <c r="B3946" s="10"/>
      <c r="C3946" s="11"/>
      <c r="D3946" s="12"/>
      <c r="E3946" s="10"/>
      <c r="F3946" s="10"/>
      <c r="G3946" s="10"/>
      <c r="H3946" s="14"/>
      <c r="I3946" s="14"/>
      <c r="J3946" s="14"/>
      <c r="K3946" s="14"/>
      <c r="L3946" s="14"/>
      <c r="M3946" s="15"/>
      <c r="N3946" s="10"/>
      <c r="O3946" s="14"/>
      <c r="P3946" s="14"/>
      <c r="Q3946" s="14"/>
      <c r="R3946" s="14"/>
      <c r="S3946" s="14"/>
      <c r="T3946" s="14"/>
      <c r="U3946" s="14"/>
      <c r="V3946" s="14"/>
      <c r="W3946" s="14"/>
      <c r="X3946" s="14"/>
      <c r="Y3946" s="14"/>
      <c r="Z3946" s="14"/>
      <c r="AA3946" s="16"/>
      <c r="AB3946" s="10"/>
      <c r="AC3946" s="10"/>
      <c r="AD3946" s="10"/>
      <c r="AE3946" s="10"/>
      <c r="AF3946" s="10"/>
      <c r="AG3946" s="10"/>
      <c r="AH3946" s="10"/>
      <c r="AI3946" s="10"/>
      <c r="AJ3946" s="10"/>
      <c r="AK3946" s="10"/>
      <c r="AL3946" s="10"/>
      <c r="AM3946" s="10"/>
      <c r="AN3946" s="10"/>
      <c r="AO3946" s="10"/>
      <c r="AP3946" s="10"/>
      <c r="AQ3946" s="10"/>
      <c r="AR3946" s="10"/>
      <c r="AS3946" s="10"/>
      <c r="AT3946" s="10"/>
      <c r="AU3946" s="10"/>
      <c r="AV3946" s="10"/>
      <c r="AW3946" s="10"/>
      <c r="AX3946" s="10"/>
      <c r="AY3946" s="10"/>
      <c r="AZ3946" s="10"/>
      <c r="BA3946" s="10"/>
      <c r="BB3946" s="10"/>
      <c r="BC3946" s="10"/>
      <c r="BD3946" s="10"/>
      <c r="BE3946" s="10"/>
      <c r="BF3946" s="10"/>
      <c r="BG3946" s="10"/>
      <c r="BH3946" s="10"/>
      <c r="BI3946" s="10"/>
      <c r="BJ3946" s="10"/>
      <c r="BK3946" s="10"/>
      <c r="BM3946" s="10"/>
    </row>
    <row r="3947" spans="1:65" ht="12.75">
      <c r="A3947" s="9"/>
      <c r="B3947" s="10"/>
      <c r="C3947" s="11"/>
      <c r="D3947" s="12"/>
      <c r="E3947" s="10"/>
      <c r="F3947" s="10"/>
      <c r="G3947" s="10"/>
      <c r="H3947" s="14"/>
      <c r="I3947" s="14"/>
      <c r="J3947" s="14"/>
      <c r="K3947" s="14"/>
      <c r="L3947" s="14"/>
      <c r="M3947" s="15"/>
      <c r="N3947" s="10"/>
      <c r="O3947" s="14"/>
      <c r="P3947" s="14"/>
      <c r="Q3947" s="14"/>
      <c r="R3947" s="14"/>
      <c r="S3947" s="14"/>
      <c r="T3947" s="14"/>
      <c r="U3947" s="14"/>
      <c r="V3947" s="14"/>
      <c r="W3947" s="14"/>
      <c r="X3947" s="14"/>
      <c r="Y3947" s="14"/>
      <c r="Z3947" s="14"/>
      <c r="AA3947" s="16"/>
      <c r="AB3947" s="10"/>
      <c r="AC3947" s="10"/>
      <c r="AD3947" s="10"/>
      <c r="AE3947" s="10"/>
      <c r="AF3947" s="10"/>
      <c r="AG3947" s="10"/>
      <c r="AH3947" s="10"/>
      <c r="AI3947" s="10"/>
      <c r="AJ3947" s="10"/>
      <c r="AK3947" s="10"/>
      <c r="AL3947" s="10"/>
      <c r="AM3947" s="10"/>
      <c r="AN3947" s="10"/>
      <c r="AO3947" s="10"/>
      <c r="AP3947" s="10"/>
      <c r="AQ3947" s="10"/>
      <c r="AR3947" s="10"/>
      <c r="AS3947" s="10"/>
      <c r="AT3947" s="10"/>
      <c r="AU3947" s="10"/>
      <c r="AV3947" s="10"/>
      <c r="AW3947" s="10"/>
      <c r="AX3947" s="10"/>
      <c r="AY3947" s="10"/>
      <c r="AZ3947" s="10"/>
      <c r="BA3947" s="10"/>
      <c r="BB3947" s="10"/>
      <c r="BC3947" s="10"/>
      <c r="BD3947" s="10"/>
      <c r="BE3947" s="10"/>
      <c r="BF3947" s="10"/>
      <c r="BG3947" s="10"/>
      <c r="BH3947" s="10"/>
      <c r="BI3947" s="10"/>
      <c r="BJ3947" s="10"/>
      <c r="BK3947" s="10"/>
      <c r="BM3947" s="10"/>
    </row>
    <row r="3948" spans="1:65" ht="12.75">
      <c r="A3948" s="9"/>
      <c r="B3948" s="10"/>
      <c r="C3948" s="11"/>
      <c r="D3948" s="12"/>
      <c r="E3948" s="10"/>
      <c r="F3948" s="10"/>
      <c r="G3948" s="10"/>
      <c r="H3948" s="14"/>
      <c r="I3948" s="14"/>
      <c r="J3948" s="14"/>
      <c r="K3948" s="14"/>
      <c r="L3948" s="14"/>
      <c r="M3948" s="15"/>
      <c r="N3948" s="10"/>
      <c r="O3948" s="14"/>
      <c r="P3948" s="14"/>
      <c r="Q3948" s="14"/>
      <c r="R3948" s="14"/>
      <c r="S3948" s="14"/>
      <c r="T3948" s="14"/>
      <c r="U3948" s="14"/>
      <c r="V3948" s="14"/>
      <c r="W3948" s="14"/>
      <c r="X3948" s="14"/>
      <c r="Y3948" s="14"/>
      <c r="Z3948" s="14"/>
      <c r="AA3948" s="16"/>
      <c r="AB3948" s="10"/>
      <c r="AC3948" s="10"/>
      <c r="AD3948" s="10"/>
      <c r="AE3948" s="10"/>
      <c r="AF3948" s="10"/>
      <c r="AG3948" s="10"/>
      <c r="AH3948" s="10"/>
      <c r="AI3948" s="10"/>
      <c r="AJ3948" s="10"/>
      <c r="AK3948" s="10"/>
      <c r="AL3948" s="10"/>
      <c r="AM3948" s="10"/>
      <c r="AN3948" s="10"/>
      <c r="AO3948" s="10"/>
      <c r="AP3948" s="10"/>
      <c r="AQ3948" s="10"/>
      <c r="AR3948" s="10"/>
      <c r="AS3948" s="10"/>
      <c r="AT3948" s="10"/>
      <c r="AU3948" s="10"/>
      <c r="AV3948" s="10"/>
      <c r="AW3948" s="10"/>
      <c r="AX3948" s="10"/>
      <c r="AY3948" s="10"/>
      <c r="AZ3948" s="10"/>
      <c r="BA3948" s="10"/>
      <c r="BB3948" s="10"/>
      <c r="BC3948" s="10"/>
      <c r="BD3948" s="10"/>
      <c r="BE3948" s="10"/>
      <c r="BF3948" s="10"/>
      <c r="BG3948" s="10"/>
      <c r="BH3948" s="10"/>
      <c r="BI3948" s="10"/>
      <c r="BJ3948" s="10"/>
      <c r="BK3948" s="10"/>
      <c r="BM3948" s="10"/>
    </row>
    <row r="3949" spans="1:65" ht="12.75">
      <c r="A3949" s="9"/>
      <c r="B3949" s="10"/>
      <c r="C3949" s="11"/>
      <c r="D3949" s="12"/>
      <c r="E3949" s="10"/>
      <c r="F3949" s="10"/>
      <c r="G3949" s="10"/>
      <c r="H3949" s="14"/>
      <c r="I3949" s="14"/>
      <c r="J3949" s="14"/>
      <c r="K3949" s="14"/>
      <c r="L3949" s="14"/>
      <c r="M3949" s="15"/>
      <c r="N3949" s="10"/>
      <c r="O3949" s="14"/>
      <c r="P3949" s="14"/>
      <c r="Q3949" s="14"/>
      <c r="R3949" s="14"/>
      <c r="S3949" s="14"/>
      <c r="T3949" s="14"/>
      <c r="U3949" s="14"/>
      <c r="V3949" s="14"/>
      <c r="W3949" s="14"/>
      <c r="X3949" s="14"/>
      <c r="Y3949" s="14"/>
      <c r="Z3949" s="14"/>
      <c r="AA3949" s="16"/>
      <c r="AB3949" s="10"/>
      <c r="AC3949" s="10"/>
      <c r="AD3949" s="10"/>
      <c r="AE3949" s="10"/>
      <c r="AF3949" s="10"/>
      <c r="AG3949" s="10"/>
      <c r="AH3949" s="10"/>
      <c r="AI3949" s="10"/>
      <c r="AJ3949" s="10"/>
      <c r="AK3949" s="10"/>
      <c r="AL3949" s="10"/>
      <c r="AM3949" s="10"/>
      <c r="AN3949" s="10"/>
      <c r="AO3949" s="10"/>
      <c r="AP3949" s="10"/>
      <c r="AQ3949" s="10"/>
      <c r="AR3949" s="10"/>
      <c r="AS3949" s="10"/>
      <c r="AT3949" s="10"/>
      <c r="AU3949" s="10"/>
      <c r="AV3949" s="10"/>
      <c r="AW3949" s="10"/>
      <c r="AX3949" s="10"/>
      <c r="AY3949" s="10"/>
      <c r="AZ3949" s="10"/>
      <c r="BA3949" s="10"/>
      <c r="BB3949" s="10"/>
      <c r="BC3949" s="10"/>
      <c r="BD3949" s="10"/>
      <c r="BE3949" s="10"/>
      <c r="BF3949" s="10"/>
      <c r="BG3949" s="10"/>
      <c r="BH3949" s="10"/>
      <c r="BI3949" s="10"/>
      <c r="BJ3949" s="10"/>
      <c r="BK3949" s="10"/>
      <c r="BM3949" s="10"/>
    </row>
    <row r="3950" spans="1:65" ht="12.75">
      <c r="A3950" s="9"/>
      <c r="B3950" s="10"/>
      <c r="C3950" s="11"/>
      <c r="D3950" s="12"/>
      <c r="E3950" s="10"/>
      <c r="F3950" s="10"/>
      <c r="G3950" s="10"/>
      <c r="H3950" s="14"/>
      <c r="I3950" s="14"/>
      <c r="J3950" s="14"/>
      <c r="K3950" s="14"/>
      <c r="L3950" s="14"/>
      <c r="M3950" s="15"/>
      <c r="N3950" s="10"/>
      <c r="O3950" s="14"/>
      <c r="P3950" s="14"/>
      <c r="Q3950" s="14"/>
      <c r="R3950" s="14"/>
      <c r="S3950" s="14"/>
      <c r="T3950" s="14"/>
      <c r="U3950" s="14"/>
      <c r="V3950" s="14"/>
      <c r="W3950" s="14"/>
      <c r="X3950" s="14"/>
      <c r="Y3950" s="14"/>
      <c r="Z3950" s="14"/>
      <c r="AA3950" s="16"/>
      <c r="AB3950" s="10"/>
      <c r="AC3950" s="10"/>
      <c r="AD3950" s="10"/>
      <c r="AE3950" s="10"/>
      <c r="AF3950" s="10"/>
      <c r="AG3950" s="10"/>
      <c r="AH3950" s="10"/>
      <c r="AI3950" s="10"/>
      <c r="AJ3950" s="10"/>
      <c r="AK3950" s="10"/>
      <c r="AL3950" s="10"/>
      <c r="AM3950" s="10"/>
      <c r="AN3950" s="10"/>
      <c r="AO3950" s="10"/>
      <c r="AP3950" s="10"/>
      <c r="AQ3950" s="10"/>
      <c r="AR3950" s="10"/>
      <c r="AS3950" s="10"/>
      <c r="AT3950" s="10"/>
      <c r="AU3950" s="10"/>
      <c r="AV3950" s="10"/>
      <c r="AW3950" s="10"/>
      <c r="AX3950" s="10"/>
      <c r="AY3950" s="10"/>
      <c r="AZ3950" s="10"/>
      <c r="BA3950" s="10"/>
      <c r="BB3950" s="10"/>
      <c r="BC3950" s="10"/>
      <c r="BD3950" s="10"/>
      <c r="BE3950" s="10"/>
      <c r="BF3950" s="10"/>
      <c r="BG3950" s="10"/>
      <c r="BH3950" s="10"/>
      <c r="BI3950" s="10"/>
      <c r="BJ3950" s="10"/>
      <c r="BK3950" s="10"/>
      <c r="BM3950" s="10"/>
    </row>
    <row r="3951" spans="1:65" ht="12.75">
      <c r="A3951" s="9"/>
      <c r="B3951" s="10"/>
      <c r="C3951" s="11"/>
      <c r="D3951" s="12"/>
      <c r="E3951" s="10"/>
      <c r="F3951" s="10"/>
      <c r="G3951" s="10"/>
      <c r="H3951" s="14"/>
      <c r="I3951" s="14"/>
      <c r="J3951" s="14"/>
      <c r="K3951" s="14"/>
      <c r="L3951" s="14"/>
      <c r="M3951" s="15"/>
      <c r="N3951" s="10"/>
      <c r="O3951" s="14"/>
      <c r="P3951" s="14"/>
      <c r="Q3951" s="14"/>
      <c r="R3951" s="14"/>
      <c r="S3951" s="14"/>
      <c r="T3951" s="14"/>
      <c r="U3951" s="14"/>
      <c r="V3951" s="14"/>
      <c r="W3951" s="14"/>
      <c r="X3951" s="14"/>
      <c r="Y3951" s="14"/>
      <c r="Z3951" s="14"/>
      <c r="AA3951" s="16"/>
      <c r="AB3951" s="10"/>
      <c r="AC3951" s="10"/>
      <c r="AD3951" s="10"/>
      <c r="AE3951" s="10"/>
      <c r="AF3951" s="10"/>
      <c r="AG3951" s="10"/>
      <c r="AH3951" s="10"/>
      <c r="AI3951" s="10"/>
      <c r="AJ3951" s="10"/>
      <c r="AK3951" s="10"/>
      <c r="AL3951" s="10"/>
      <c r="AM3951" s="10"/>
      <c r="AN3951" s="10"/>
      <c r="AO3951" s="10"/>
      <c r="AP3951" s="10"/>
      <c r="AQ3951" s="10"/>
      <c r="AR3951" s="10"/>
      <c r="AS3951" s="10"/>
      <c r="AT3951" s="10"/>
      <c r="AU3951" s="10"/>
      <c r="AV3951" s="10"/>
      <c r="AW3951" s="10"/>
      <c r="AX3951" s="10"/>
      <c r="AY3951" s="10"/>
      <c r="AZ3951" s="10"/>
      <c r="BA3951" s="10"/>
      <c r="BB3951" s="10"/>
      <c r="BC3951" s="10"/>
      <c r="BD3951" s="10"/>
      <c r="BE3951" s="10"/>
      <c r="BF3951" s="10"/>
      <c r="BG3951" s="10"/>
      <c r="BH3951" s="10"/>
      <c r="BI3951" s="10"/>
      <c r="BJ3951" s="10"/>
      <c r="BK3951" s="10"/>
      <c r="BM3951" s="10"/>
    </row>
    <row r="3952" spans="1:65" ht="12.75">
      <c r="A3952" s="9"/>
      <c r="B3952" s="10"/>
      <c r="C3952" s="11"/>
      <c r="D3952" s="12"/>
      <c r="E3952" s="10"/>
      <c r="F3952" s="10"/>
      <c r="G3952" s="10"/>
      <c r="H3952" s="14"/>
      <c r="I3952" s="14"/>
      <c r="J3952" s="14"/>
      <c r="K3952" s="14"/>
      <c r="L3952" s="14"/>
      <c r="M3952" s="15"/>
      <c r="N3952" s="10"/>
      <c r="O3952" s="14"/>
      <c r="P3952" s="14"/>
      <c r="Q3952" s="14"/>
      <c r="R3952" s="14"/>
      <c r="S3952" s="14"/>
      <c r="T3952" s="14"/>
      <c r="U3952" s="14"/>
      <c r="V3952" s="14"/>
      <c r="W3952" s="14"/>
      <c r="X3952" s="14"/>
      <c r="Y3952" s="14"/>
      <c r="Z3952" s="14"/>
      <c r="AA3952" s="16"/>
      <c r="AB3952" s="10"/>
      <c r="AC3952" s="10"/>
      <c r="AD3952" s="10"/>
      <c r="AE3952" s="10"/>
      <c r="AF3952" s="10"/>
      <c r="AG3952" s="10"/>
      <c r="AH3952" s="10"/>
      <c r="AI3952" s="10"/>
      <c r="AJ3952" s="10"/>
      <c r="AK3952" s="10"/>
      <c r="AL3952" s="10"/>
      <c r="AM3952" s="10"/>
      <c r="AN3952" s="10"/>
      <c r="AO3952" s="10"/>
      <c r="AP3952" s="10"/>
      <c r="AQ3952" s="10"/>
      <c r="AR3952" s="10"/>
      <c r="AS3952" s="10"/>
      <c r="AT3952" s="10"/>
      <c r="AU3952" s="10"/>
      <c r="AV3952" s="10"/>
      <c r="AW3952" s="10"/>
      <c r="AX3952" s="10"/>
      <c r="AY3952" s="10"/>
      <c r="AZ3952" s="10"/>
      <c r="BA3952" s="10"/>
      <c r="BB3952" s="10"/>
      <c r="BC3952" s="10"/>
      <c r="BD3952" s="10"/>
      <c r="BE3952" s="10"/>
      <c r="BF3952" s="10"/>
      <c r="BG3952" s="10"/>
      <c r="BH3952" s="10"/>
      <c r="BI3952" s="10"/>
      <c r="BJ3952" s="10"/>
      <c r="BK3952" s="10"/>
      <c r="BM3952" s="10"/>
    </row>
    <row r="3953" spans="1:65" ht="12.75">
      <c r="A3953" s="9"/>
      <c r="B3953" s="10"/>
      <c r="C3953" s="11"/>
      <c r="D3953" s="12"/>
      <c r="E3953" s="10"/>
      <c r="F3953" s="10"/>
      <c r="G3953" s="10"/>
      <c r="H3953" s="14"/>
      <c r="I3953" s="14"/>
      <c r="J3953" s="14"/>
      <c r="K3953" s="14"/>
      <c r="L3953" s="14"/>
      <c r="M3953" s="15"/>
      <c r="N3953" s="10"/>
      <c r="O3953" s="14"/>
      <c r="P3953" s="14"/>
      <c r="Q3953" s="14"/>
      <c r="R3953" s="14"/>
      <c r="S3953" s="14"/>
      <c r="T3953" s="14"/>
      <c r="U3953" s="14"/>
      <c r="V3953" s="14"/>
      <c r="W3953" s="14"/>
      <c r="X3953" s="14"/>
      <c r="Y3953" s="14"/>
      <c r="Z3953" s="14"/>
      <c r="AA3953" s="16"/>
      <c r="AB3953" s="10"/>
      <c r="AC3953" s="10"/>
      <c r="AD3953" s="10"/>
      <c r="AE3953" s="10"/>
      <c r="AF3953" s="10"/>
      <c r="AG3953" s="10"/>
      <c r="AH3953" s="10"/>
      <c r="AI3953" s="10"/>
      <c r="AJ3953" s="10"/>
      <c r="AK3953" s="10"/>
      <c r="AL3953" s="10"/>
      <c r="AM3953" s="10"/>
      <c r="AN3953" s="10"/>
      <c r="AO3953" s="10"/>
      <c r="AP3953" s="10"/>
      <c r="AQ3953" s="10"/>
      <c r="AR3953" s="10"/>
      <c r="AS3953" s="10"/>
      <c r="AT3953" s="10"/>
      <c r="AU3953" s="10"/>
      <c r="AV3953" s="10"/>
      <c r="AW3953" s="10"/>
      <c r="AX3953" s="10"/>
      <c r="AY3953" s="10"/>
      <c r="AZ3953" s="10"/>
      <c r="BA3953" s="10"/>
      <c r="BB3953" s="10"/>
      <c r="BC3953" s="10"/>
      <c r="BD3953" s="10"/>
      <c r="BE3953" s="10"/>
      <c r="BF3953" s="10"/>
      <c r="BG3953" s="10"/>
      <c r="BH3953" s="10"/>
      <c r="BI3953" s="10"/>
      <c r="BJ3953" s="10"/>
      <c r="BK3953" s="10"/>
      <c r="BM3953" s="10"/>
    </row>
  </sheetData>
  <autoFilter ref="A1:BM2060" xr:uid="{00000000-0009-0000-0000-00000C000000}"/>
  <conditionalFormatting sqref="M2:M1127 M1129:M2953 M2959:M3953">
    <cfRule type="cellIs" dxfId="5" priority="1" operator="greaterThan">
      <formula>"85%"</formula>
    </cfRule>
  </conditionalFormatting>
  <conditionalFormatting sqref="M2:M1127 M1129:M2953 M2959:M3953">
    <cfRule type="cellIs" dxfId="4" priority="2" operator="between">
      <formula>"85%"</formula>
      <formula>"65%"</formula>
    </cfRule>
  </conditionalFormatting>
  <conditionalFormatting sqref="M2:M1127 M1129:M2953 M2959:M3953">
    <cfRule type="cellIs" dxfId="3" priority="3" operator="lessThan">
      <formula>"65%"</formula>
    </cfRule>
  </conditionalFormatting>
  <conditionalFormatting sqref="B58 B22 B101 B125 B150 B1161 G1161 B1172 B1181 B1189:B1191 B1278:B1279">
    <cfRule type="colorScale" priority="4">
      <colorScale>
        <cfvo type="min"/>
        <cfvo type="max"/>
        <color rgb="FFFFFF00"/>
        <color rgb="FFFFFFFF"/>
      </colorScale>
    </cfRule>
  </conditionalFormatting>
  <conditionalFormatting sqref="B22 B58 B101 B125 B150 B1161 G1161 B1172 B1181 B1189:B1191 B1278:B1279">
    <cfRule type="expression" dxfId="2" priority="5">
      <formula>COUNTIF(B:B,B22)&gt;1</formula>
    </cfRule>
  </conditionalFormatting>
  <conditionalFormatting sqref="B22 B58 B101 B125 B150">
    <cfRule type="expression" dxfId="1" priority="6">
      <formula>COUNTIF(B:B,B21)&gt;1</formula>
    </cfRule>
  </conditionalFormatting>
  <conditionalFormatting sqref="L1">
    <cfRule type="notContainsBlanks" dxfId="0" priority="7">
      <formula>LEN(TRIM(L1))&gt;0</formula>
    </cfRule>
  </conditionalFormatting>
  <hyperlinks>
    <hyperlink ref="G2" r:id="rId1" xr:uid="{10E05F3F-0317-4679-ABEA-64C093D00E83}"/>
    <hyperlink ref="G3" r:id="rId2" xr:uid="{D61C6C7E-9F51-4306-B601-15524302DC44}"/>
    <hyperlink ref="G4" r:id="rId3" xr:uid="{D4C010EC-CA35-45B8-9073-38D7B8A49C17}"/>
    <hyperlink ref="G5" r:id="rId4" xr:uid="{A81ABC0D-758B-4609-AC14-9D6F61509B55}"/>
    <hyperlink ref="G6" r:id="rId5" xr:uid="{0F0CBAE7-03CC-410F-97DF-618A0AAE3130}"/>
    <hyperlink ref="G7" r:id="rId6" location="section-funding-rounds" xr:uid="{DDBA7F5C-3D38-4639-8531-7CFE103BC289}"/>
    <hyperlink ref="G8" r:id="rId7" location="section-investors" xr:uid="{A1F31228-C8D4-4899-92CD-FB0DFF68BE75}"/>
    <hyperlink ref="G9" r:id="rId8" location="section-overview" xr:uid="{EF7CE8AB-53D1-4EC6-A871-BD75E6AE7DF2}"/>
    <hyperlink ref="G10" r:id="rId9" location="section-lead-investors" xr:uid="{C95D2591-0A6D-4BD2-800C-19318C9BB52B}"/>
    <hyperlink ref="G11" r:id="rId10" xr:uid="{6B169DD6-0ADE-4457-B099-5379B2E5A699}"/>
    <hyperlink ref="G12" r:id="rId11" xr:uid="{02C0CCC9-84D5-4CCC-9042-BBC1F3C75B46}"/>
    <hyperlink ref="G13" r:id="rId12" xr:uid="{35BA1062-4914-46D8-B5BB-FF5A5BDBEF15}"/>
    <hyperlink ref="G14" r:id="rId13" location="section-funding-rounds" xr:uid="{9133481C-6E25-42DD-B2DC-C67F5AA781CA}"/>
    <hyperlink ref="G15" r:id="rId14" xr:uid="{3B2BC74D-57D8-4CD9-A8A3-5F5452456F2F}"/>
    <hyperlink ref="G16" r:id="rId15" location="section-investors" xr:uid="{4771A51E-FC33-4D30-8BBA-21C4842BCDD7}"/>
    <hyperlink ref="G17" r:id="rId16" location="section-funding-rounds" xr:uid="{69AF2BD8-7514-4323-9253-3F7CCB46D0DB}"/>
    <hyperlink ref="G19" r:id="rId17" location="section-overview" xr:uid="{D09816BA-F2A0-47EC-A11F-6E8715C7E967}"/>
    <hyperlink ref="G20" r:id="rId18" xr:uid="{4F4FDFD3-FFC1-4747-A3DF-B109E52DC363}"/>
    <hyperlink ref="G21" r:id="rId19" xr:uid="{AAE24772-2598-4FFC-BC2F-23A684748276}"/>
    <hyperlink ref="G22" r:id="rId20" location="section-overview" xr:uid="{489B94F5-6C55-4AB9-A650-520D1238A6DB}"/>
    <hyperlink ref="G23" r:id="rId21" location="section-investors" xr:uid="{48663913-FA29-416D-9C90-A98B438484AE}"/>
    <hyperlink ref="G24" r:id="rId22" xr:uid="{7EBC9CEF-4476-4607-9C12-79661E953AE6}"/>
    <hyperlink ref="G25" r:id="rId23" xr:uid="{3FFE900A-C45E-4057-9D8B-33708DA8EE09}"/>
    <hyperlink ref="G26" r:id="rId24" location="section-overview" xr:uid="{07B81D29-BD6A-40E5-842C-9533FE4C1011}"/>
    <hyperlink ref="G27" r:id="rId25" location="section-funding-rounds" xr:uid="{A6A83567-520A-4EA5-B96E-7F024087BA1C}"/>
    <hyperlink ref="G28" r:id="rId26" xr:uid="{988216CB-79E7-4B49-883C-92286DA2289A}"/>
    <hyperlink ref="G29" r:id="rId27" xr:uid="{5457392C-1D38-4A43-B960-0C6EA55A6EE2}"/>
    <hyperlink ref="G30" r:id="rId28" xr:uid="{3A6ACCA7-33D4-422F-8D06-C504D59E78EF}"/>
    <hyperlink ref="G31" r:id="rId29" xr:uid="{85BDD513-727F-4DE1-9083-9F3548C5DEEA}"/>
    <hyperlink ref="G32" r:id="rId30" location="section-investors" xr:uid="{07F97366-EAA8-4E67-8F6E-B27924B8C093}"/>
    <hyperlink ref="G33" r:id="rId31" location="section-overview" xr:uid="{FE65D0C2-8A6D-47D0-B7CC-A739D5E62876}"/>
    <hyperlink ref="G34" r:id="rId32" location="section-investors" xr:uid="{2067AEB4-B9B9-4B17-9435-5BB1B5C9BC34}"/>
    <hyperlink ref="G35" r:id="rId33" location="section-funding-rounds" xr:uid="{81DD4CB1-64E3-4014-97E6-6C0ED1E0338A}"/>
    <hyperlink ref="G36" r:id="rId34" xr:uid="{DA0FEE27-E28C-4AD2-8B9F-C46CFCE281E2}"/>
    <hyperlink ref="G37" r:id="rId35" xr:uid="{221A50DF-A805-485C-B52E-FF93E1B1816D}"/>
    <hyperlink ref="G38" r:id="rId36" location="section-recent-news" xr:uid="{9F39A8F8-6598-48D6-A940-FF44F798DE65}"/>
    <hyperlink ref="F39" r:id="rId37" xr:uid="{713BB697-7208-4F0D-A736-68D4377BD927}"/>
    <hyperlink ref="G41" r:id="rId38" xr:uid="{DAD7F604-071D-4C9E-BDB3-AE82DC097646}"/>
    <hyperlink ref="G42" r:id="rId39" xr:uid="{E87E300E-D88C-4816-9083-259B14925037}"/>
    <hyperlink ref="G43" r:id="rId40" xr:uid="{AB8DE183-62BB-4410-B465-1EDDDA157708}"/>
    <hyperlink ref="G44" r:id="rId41" xr:uid="{A58A026D-3063-4FA8-BE41-7CAA9C76E7EC}"/>
    <hyperlink ref="G45" r:id="rId42" location="section-investors" xr:uid="{FED4C48B-AEFB-4FE9-81F4-11F4F7E8BC8C}"/>
    <hyperlink ref="G46" r:id="rId43" xr:uid="{A684073F-BF24-4F88-AE0C-73AFB1F8E5BB}"/>
    <hyperlink ref="G47" r:id="rId44" xr:uid="{0D63B502-78EB-43E8-9075-18BBF96460D0}"/>
    <hyperlink ref="G48" r:id="rId45" xr:uid="{CD1E84EC-4AB8-44D7-A9C5-09B98515D418}"/>
    <hyperlink ref="G49" r:id="rId46" xr:uid="{5F721136-8BE9-48A9-9F23-A03449FE130A}"/>
    <hyperlink ref="G50" r:id="rId47" xr:uid="{C178451B-AFFA-4D04-8F0D-EE25FF833693}"/>
    <hyperlink ref="G51" r:id="rId48" location="section-funding-rounds" xr:uid="{4338E3BD-CE11-49B7-BC8A-ABCA4A771991}"/>
    <hyperlink ref="G52" r:id="rId49" xr:uid="{57919B11-21A1-4574-A03B-19E6F13E0661}"/>
    <hyperlink ref="G53" r:id="rId50" location="section-investors" xr:uid="{C3141A24-5313-4FDE-8A35-A68A36A962E7}"/>
    <hyperlink ref="G54" r:id="rId51" xr:uid="{4C048DB4-4D4F-44B9-9EC6-B85024CBA5BB}"/>
    <hyperlink ref="G55" r:id="rId52" xr:uid="{7937A4EA-C8CD-4270-AD0E-6ECF9F95EB29}"/>
    <hyperlink ref="G56" r:id="rId53" xr:uid="{11CCB1AC-32CC-4AA6-BCE4-51BA79082AB8}"/>
    <hyperlink ref="G57" r:id="rId54" xr:uid="{2D15C20A-2883-4A92-8829-C66328E1FB4C}"/>
    <hyperlink ref="G58" r:id="rId55" xr:uid="{06C01912-7D13-4AC9-869D-46DBB9E536B6}"/>
    <hyperlink ref="G59" r:id="rId56" location="section-investors" xr:uid="{A5E7AF98-8AE1-4B8C-905C-5B1486950537}"/>
    <hyperlink ref="G60" r:id="rId57" xr:uid="{26885AF5-B030-4D87-9C00-6690452C3292}"/>
    <hyperlink ref="G61" r:id="rId58" location="section-investors" xr:uid="{F0380584-9698-47EE-9B7B-577B0BBB4CD5}"/>
    <hyperlink ref="G62" r:id="rId59" location="section-overview" xr:uid="{AD23E4C6-4E47-4B35-8D0A-6555789B281A}"/>
    <hyperlink ref="G63" r:id="rId60" xr:uid="{C58EADA7-428C-4F82-9B6A-D94E3665DB8B}"/>
    <hyperlink ref="G64" r:id="rId61" location="section-lead-investors" xr:uid="{2572AF9F-6BBC-4BD0-BE47-826AE164EB88}"/>
    <hyperlink ref="G65" r:id="rId62" xr:uid="{5260BF11-A7F7-49BB-9683-1BE6939E7CDF}"/>
    <hyperlink ref="G66" r:id="rId63" xr:uid="{14A69AAE-F798-4CF4-B78A-C8786A14AA01}"/>
    <hyperlink ref="G67" r:id="rId64" xr:uid="{F10855DF-ECC6-4CB2-8217-3D007FE690CB}"/>
    <hyperlink ref="G68" r:id="rId65" location="section-investors" xr:uid="{9D748FF0-653B-4030-BC84-7FA8123CBB3E}"/>
    <hyperlink ref="G69" r:id="rId66" xr:uid="{7138430D-5534-4F97-82BE-B210F1D864A7}"/>
    <hyperlink ref="G70" r:id="rId67" xr:uid="{5ABFC61D-0D75-4E5B-9461-72236A2337E7}"/>
    <hyperlink ref="G71" r:id="rId68" location="section-overview" xr:uid="{3B9B62A6-3C7C-4A94-B279-4D8D3D623BD0}"/>
    <hyperlink ref="G72" r:id="rId69" location="section-overview" xr:uid="{BD539636-B780-4861-BE2C-13A550B58C58}"/>
    <hyperlink ref="G73" r:id="rId70" location="section-funding-rounds" xr:uid="{9E6B28A4-5A52-4D83-A258-5683D7B380A4}"/>
    <hyperlink ref="G74" r:id="rId71" location="section-investors" xr:uid="{41DA8DFE-1239-4AE0-BB88-C1BF87876A7F}"/>
    <hyperlink ref="F76" r:id="rId72" xr:uid="{D23593ED-311E-49B2-9813-51576BA82D5F}"/>
    <hyperlink ref="G77" r:id="rId73" xr:uid="{054E6C2C-B9C1-44E4-B926-02B650619D72}"/>
    <hyperlink ref="G78" r:id="rId74" xr:uid="{CEE91FBA-C008-44A5-911D-8E457732273B}"/>
    <hyperlink ref="G79" r:id="rId75" xr:uid="{BDDF58AB-48CB-4C8D-8CFF-1C225B137031}"/>
    <hyperlink ref="G80" r:id="rId76" xr:uid="{590D977B-5ACE-43DF-96CB-8FDD34AD8E00}"/>
    <hyperlink ref="G81" r:id="rId77" xr:uid="{8F5182E9-FA65-478D-BCC5-5BD91858232E}"/>
    <hyperlink ref="G82" r:id="rId78" xr:uid="{2D414949-EFD1-4027-9CD6-F9305A1B86E5}"/>
    <hyperlink ref="G83" r:id="rId79" xr:uid="{DD18C799-2C3B-4490-BF3D-A65773875CF2}"/>
    <hyperlink ref="G84" r:id="rId80" location="section-investors" xr:uid="{07CFF4DF-307C-4DF6-853C-2935110BD131}"/>
    <hyperlink ref="G85" r:id="rId81" xr:uid="{4FAE40A7-BC06-431F-A552-FAA102D77463}"/>
    <hyperlink ref="G86" r:id="rId82" xr:uid="{6B3293FA-8E2C-425F-8D3F-E751BF7722BC}"/>
    <hyperlink ref="G87" r:id="rId83" location="section-overview" xr:uid="{D9C69D1B-A3FB-454A-9EB9-8A3D0F4E7923}"/>
    <hyperlink ref="G88" r:id="rId84" xr:uid="{AADAFBED-73AA-443C-AA95-54BD2678004B}"/>
    <hyperlink ref="G89" r:id="rId85" xr:uid="{AC918D4D-BFE7-424D-97ED-578FFABF30A6}"/>
    <hyperlink ref="G90" r:id="rId86" xr:uid="{5C133916-F78C-43B7-9338-65A9B60B975A}"/>
    <hyperlink ref="G91" r:id="rId87" xr:uid="{A90457F4-D75D-4254-8F0B-3F4F3FF54E84}"/>
    <hyperlink ref="G92" r:id="rId88" location="section-investors" xr:uid="{D52AA261-3A12-49AA-8807-F82982560413}"/>
    <hyperlink ref="G93" r:id="rId89" xr:uid="{32E49DFA-7709-478C-9270-844ABCE97979}"/>
    <hyperlink ref="G94" r:id="rId90" xr:uid="{0205F0DD-F640-4067-B44F-9761E8C79404}"/>
    <hyperlink ref="G95" r:id="rId91" location="section-overview" xr:uid="{F281246D-9567-40CE-9AAD-8A54B75B4200}"/>
    <hyperlink ref="G96" r:id="rId92" location="section-investors" xr:uid="{058657BC-91F5-4135-A2FA-B925398BA322}"/>
    <hyperlink ref="G97" r:id="rId93" xr:uid="{6B18C24A-73DF-45BA-9966-36EEC5BFA5D2}"/>
    <hyperlink ref="G98" r:id="rId94" location="section-funding-rounds" xr:uid="{40E2A305-9D60-4664-A83A-6DEA224EBB7D}"/>
    <hyperlink ref="G99" r:id="rId95" xr:uid="{B3FEA5E9-A9B4-4CF5-B36B-89E78516B57D}"/>
    <hyperlink ref="G100" r:id="rId96" xr:uid="{4DCD5456-FC0C-4279-9ACC-9082E13EE86B}"/>
    <hyperlink ref="G101" r:id="rId97" xr:uid="{850F4DC4-DCBD-4369-B79E-BA9AC3798BDB}"/>
    <hyperlink ref="G102" r:id="rId98" xr:uid="{8F1AD352-886E-4724-8BAA-4FBB3364F7D1}"/>
    <hyperlink ref="G103" r:id="rId99" xr:uid="{EEBCF9E0-D4E8-44CD-A0F9-6F9ADDBD98B1}"/>
    <hyperlink ref="G104" r:id="rId100" location="section-funding-rounds" xr:uid="{A1C72F69-BECC-4156-A79E-46039A353FDF}"/>
    <hyperlink ref="G105" r:id="rId101" xr:uid="{D9626CCE-7ACE-4806-A0F1-0E69C129862F}"/>
    <hyperlink ref="G106" r:id="rId102" location="section-investors" xr:uid="{49A3E33C-004A-4570-A40E-E2D9D0BE7E5F}"/>
    <hyperlink ref="G107" r:id="rId103" location="section-overview" xr:uid="{C14CF3F6-2258-4EA8-81F5-6D8FD59B2DE0}"/>
    <hyperlink ref="G109" r:id="rId104" xr:uid="{054DE9EE-4459-49B7-8B4E-7FE6B7BC97D6}"/>
    <hyperlink ref="G110" r:id="rId105" xr:uid="{EE8097C1-93ED-4CCA-9970-17CCB8939375}"/>
    <hyperlink ref="G111" r:id="rId106" xr:uid="{7DDAD717-5D63-4645-A0E4-D097377EE175}"/>
    <hyperlink ref="F112" r:id="rId107" xr:uid="{6B38A83B-9568-40DE-9C9F-3F76AEB55180}"/>
    <hyperlink ref="G113" r:id="rId108" xr:uid="{60889380-0AB2-4059-84BA-C6D7C5CB5164}"/>
    <hyperlink ref="G114" r:id="rId109" xr:uid="{51F1661C-FD3D-4DB3-9119-5F215D457AC5}"/>
    <hyperlink ref="G115" r:id="rId110" xr:uid="{F42CA7A9-6E28-4A11-8A29-782DDBF3EA5C}"/>
    <hyperlink ref="G116" r:id="rId111" location="section-overview" xr:uid="{CE55C4D1-44E7-4749-9CEC-DCA166523E72}"/>
    <hyperlink ref="G117" r:id="rId112" xr:uid="{5E441C4D-E3A7-426E-ADC6-CBFB994039E2}"/>
    <hyperlink ref="G118" r:id="rId113" xr:uid="{C4C64B0E-F3CE-4BB0-B271-76C79CFBD23F}"/>
    <hyperlink ref="G119" r:id="rId114" location="section-investors" xr:uid="{AEB1B5AB-F1B6-4643-92CD-5F319F3748DD}"/>
    <hyperlink ref="G120" r:id="rId115" location="section-investors" xr:uid="{E97E74A6-AAD7-42BC-AC9E-34F5E52CAB6F}"/>
    <hyperlink ref="G121" r:id="rId116" xr:uid="{8EADC861-B867-4626-9552-482C046EB222}"/>
    <hyperlink ref="G122" r:id="rId117" xr:uid="{826B64EC-7FD5-4912-A57B-F1CE08F3F330}"/>
    <hyperlink ref="G123" r:id="rId118" xr:uid="{6B6AAEF4-6E1C-4B05-8B0E-9B1B9FDE3CCB}"/>
    <hyperlink ref="G124" r:id="rId119" location="section-funding-rounds" xr:uid="{ADD08BC5-8540-4F84-A5BA-264ADCFE9B4B}"/>
    <hyperlink ref="G125" r:id="rId120" location="section-funding-rounds" xr:uid="{F459F26C-8AA5-4D52-A4B9-BF745A40C8FC}"/>
    <hyperlink ref="G126" r:id="rId121" xr:uid="{7CC866A0-A419-4BCD-ADCE-30DBA7223BD5}"/>
    <hyperlink ref="G127" r:id="rId122" location="section-funding-rounds" xr:uid="{644CCACC-3463-4AB0-8C3C-62F0F434130F}"/>
    <hyperlink ref="G128" r:id="rId123" xr:uid="{4912CAC4-F497-434E-9997-3B7C908AB3CE}"/>
    <hyperlink ref="G130" r:id="rId124" location="section-investors" xr:uid="{3D1B9628-1E11-4598-94EC-4FD028FC6E2D}"/>
    <hyperlink ref="G131" r:id="rId125" xr:uid="{8C737AC3-DEDC-4124-B490-F16241E2AA00}"/>
    <hyperlink ref="G132" r:id="rId126" xr:uid="{343DFBA8-047D-4152-8CE7-CC901A419C9E}"/>
    <hyperlink ref="G133" r:id="rId127" location="section-investors" xr:uid="{C7BDA154-624F-4601-AF68-CCE835F5858B}"/>
    <hyperlink ref="G134" r:id="rId128" xr:uid="{A2B1D414-F6C0-4711-AF75-C799A2AB3E0A}"/>
    <hyperlink ref="G135" r:id="rId129" location="section-lead-investors" xr:uid="{A59EFFBF-530D-4DF1-BA67-51E10A56757B}"/>
    <hyperlink ref="G136" r:id="rId130" xr:uid="{1FABAAB7-5539-42C8-8649-3C1B30EA6106}"/>
    <hyperlink ref="G137" r:id="rId131" xr:uid="{46CF4643-87D2-4CB4-81EE-FDE83BF580FC}"/>
    <hyperlink ref="G138" r:id="rId132" xr:uid="{AAE72C75-B32A-4FF7-ABE7-4FECFD4CC85D}"/>
    <hyperlink ref="G139" r:id="rId133" xr:uid="{EC4D288A-7C82-42D1-9012-8B650553CC32}"/>
    <hyperlink ref="G140" r:id="rId134" xr:uid="{AA0E7003-D0B0-48F0-B2DB-C077C957E489}"/>
    <hyperlink ref="G141" r:id="rId135" xr:uid="{71FA8D9F-0775-4DF2-92CD-FD13E4019E5E}"/>
    <hyperlink ref="G142" r:id="rId136" xr:uid="{1C4DDF80-9947-4ECC-B2FF-95EE2BAB1F24}"/>
    <hyperlink ref="G143" r:id="rId137" location="section-overview" xr:uid="{FBA99F32-74E9-43F1-AE5C-57A67B5EDE7C}"/>
    <hyperlink ref="G144" r:id="rId138" location="section-overview" xr:uid="{C84D1CA2-44B4-4535-9664-A414A299C5FE}"/>
    <hyperlink ref="G145" r:id="rId139" xr:uid="{0411B174-37F2-4A01-9E1F-F71445BDDD01}"/>
    <hyperlink ref="G146" r:id="rId140" xr:uid="{7154823F-CF21-47E1-BBA8-597992954E70}"/>
    <hyperlink ref="G147" r:id="rId141" xr:uid="{2F5E2D27-FF35-4CB6-87EA-5A41899405E9}"/>
    <hyperlink ref="G148" r:id="rId142" xr:uid="{235B9F9F-CEB2-4C31-9505-B31E7F2D3971}"/>
    <hyperlink ref="G149" r:id="rId143" xr:uid="{6C376AC0-6659-4689-8744-59151AAF28BC}"/>
    <hyperlink ref="G150" r:id="rId144" xr:uid="{1961A1C4-8702-42E8-A3CB-39FBA3204466}"/>
    <hyperlink ref="G151" r:id="rId145" xr:uid="{473697BA-DB06-46F6-9EBB-F788D78B3A72}"/>
    <hyperlink ref="G152" r:id="rId146" xr:uid="{81115957-2330-415F-8113-53F4F747EEF9}"/>
    <hyperlink ref="G153" r:id="rId147" location="section-investors" xr:uid="{7E7E0881-A567-407B-A01D-C7701DB32684}"/>
    <hyperlink ref="G154" r:id="rId148" location="section-lead-investors" xr:uid="{BEAF2871-FA5A-4FB0-A957-74400DE3D47B}"/>
    <hyperlink ref="G155" r:id="rId149" xr:uid="{2F4664FE-12C9-4F50-8AD3-D2D6766626A3}"/>
    <hyperlink ref="G156" r:id="rId150" xr:uid="{588ECA9B-4EDA-40E5-B29E-0DDBAB6AF00C}"/>
    <hyperlink ref="G157" r:id="rId151" xr:uid="{17C80904-0471-48F4-B4B3-FD50B09805BC}"/>
    <hyperlink ref="G158" r:id="rId152" xr:uid="{EFB18150-4BE6-414D-9566-FFA30F20F04B}"/>
    <hyperlink ref="G159" r:id="rId153" xr:uid="{4995FF0D-A0AF-4C91-9756-0C21B796E97A}"/>
    <hyperlink ref="G160" r:id="rId154" xr:uid="{13AF5DD4-B0F0-4725-BF91-02726FF28802}"/>
    <hyperlink ref="G161" r:id="rId155" xr:uid="{E4430754-3219-445D-9E3A-96561558F435}"/>
    <hyperlink ref="G162" r:id="rId156" xr:uid="{13EFFD0B-6466-4B22-B8B0-0A62024B266C}"/>
    <hyperlink ref="G163" r:id="rId157" xr:uid="{FD93A70E-85C7-462C-9985-3B5560EBD4DE}"/>
    <hyperlink ref="G164" r:id="rId158" xr:uid="{EA27849D-8D49-4D7C-B8CA-3F5C9D9B4A53}"/>
    <hyperlink ref="G165" r:id="rId159" xr:uid="{BA24DC19-7505-4CDB-82FE-27307FA14E41}"/>
    <hyperlink ref="G166" r:id="rId160" xr:uid="{9D45BB38-CC35-4271-8C67-BFDC70798164}"/>
    <hyperlink ref="G167" r:id="rId161" xr:uid="{337F2750-B5B8-4AB5-AE5D-15FE7763E18C}"/>
    <hyperlink ref="G168" r:id="rId162" location="section-overview" xr:uid="{34161788-EC2E-49D0-A65F-62BD31B64D22}"/>
    <hyperlink ref="G169" r:id="rId163" xr:uid="{C04683C8-F9FC-4411-A55B-BEA3DFECF6B9}"/>
    <hyperlink ref="G170" r:id="rId164" location="section-lead-investors" xr:uid="{60634CA2-7CA4-407E-B7FB-3DDD8C207ECB}"/>
    <hyperlink ref="G171" r:id="rId165" xr:uid="{25D1C246-28AA-419F-B31D-E0ACA4722C63}"/>
    <hyperlink ref="G172" r:id="rId166" xr:uid="{7805A8C0-259B-478C-982B-8671C7D640D9}"/>
    <hyperlink ref="G173" r:id="rId167" xr:uid="{ADACCF8A-ADBD-49B3-9E28-AE1F3BAC82A8}"/>
    <hyperlink ref="B174" r:id="rId168" xr:uid="{12B51FE5-69F0-491B-941A-2BDF50A34DAD}"/>
    <hyperlink ref="G174" r:id="rId169" xr:uid="{8D9A7A8A-F9F7-48B9-8B0B-A003B4750A0D}"/>
    <hyperlink ref="G175" r:id="rId170" location="section-overview" xr:uid="{B62B94A2-1022-4FD7-9C06-1EA5CA89B215}"/>
    <hyperlink ref="G176" r:id="rId171" xr:uid="{7B3EB6DD-CE34-4915-801E-1E3EFAD71BAA}"/>
    <hyperlink ref="G177" r:id="rId172" xr:uid="{65B8FAC6-4712-48F7-A777-F040C02E8BD8}"/>
    <hyperlink ref="G178" r:id="rId173" xr:uid="{A57FF423-6B4A-4BA9-9680-3ACF7454B299}"/>
    <hyperlink ref="G179" r:id="rId174" location="section-investors" xr:uid="{CD4F4D52-7BA1-4736-AC30-BAE436BAB7E3}"/>
    <hyperlink ref="G180" r:id="rId175" xr:uid="{9EA1E7C2-F2FF-45C5-9BD6-E7966EB7A0CA}"/>
    <hyperlink ref="G181" r:id="rId176" location="section-overview" xr:uid="{E567CC58-2F37-4E55-A42D-C335787FCB56}"/>
    <hyperlink ref="G182" r:id="rId177" xr:uid="{2A8E6237-7EE2-4B23-B783-96B9D9B14D8D}"/>
    <hyperlink ref="G183" r:id="rId178" xr:uid="{90E15BCB-2497-4FA1-BE30-3B8542FC83A2}"/>
    <hyperlink ref="G184" r:id="rId179" xr:uid="{F2111043-C6F5-4341-BEFE-063EE5568841}"/>
    <hyperlink ref="G185" r:id="rId180" xr:uid="{3B9F85C2-5815-4B1E-8942-FD409BDFE3FA}"/>
    <hyperlink ref="G186" r:id="rId181" location="section-overview" xr:uid="{D96243EE-42CE-45B0-8B4D-EB974A403386}"/>
    <hyperlink ref="G187" r:id="rId182" xr:uid="{5B83194B-A345-4760-BDA5-F20A3F59358E}"/>
    <hyperlink ref="G188" r:id="rId183" xr:uid="{16F261B7-E83F-42E3-806A-2678C34A9C0A}"/>
    <hyperlink ref="G189" r:id="rId184" xr:uid="{69CE5819-08D6-4831-A070-C320C79F90F0}"/>
    <hyperlink ref="G190" r:id="rId185" xr:uid="{578CBB49-8851-4F39-9D09-A78E6415AF6D}"/>
    <hyperlink ref="G191" r:id="rId186" location="section-overview" xr:uid="{E1C8760C-85EB-44C5-8089-A19AD17D17DC}"/>
    <hyperlink ref="G192" r:id="rId187" xr:uid="{D5FD783E-FB40-43D3-8679-2076B391DEDA}"/>
    <hyperlink ref="G193" r:id="rId188" xr:uid="{98BECE00-9B7F-4605-B26F-654D785FE69A}"/>
    <hyperlink ref="G194" r:id="rId189" xr:uid="{C2EA9B23-0B59-4254-9B43-E9D4B338BE83}"/>
    <hyperlink ref="G195" r:id="rId190" xr:uid="{A2849BEF-4B1E-4134-8A53-063652661D14}"/>
    <hyperlink ref="G196" r:id="rId191" location="section-investors" xr:uid="{61353BCF-7A7F-4AE1-AC2A-837DEE9328D8}"/>
    <hyperlink ref="G197" r:id="rId192" xr:uid="{3CD467B1-6EB0-49D8-BDC7-18A0F674C26B}"/>
    <hyperlink ref="G198" r:id="rId193" xr:uid="{90E5E671-F1BD-4BAF-95C1-96D7FDE26BD5}"/>
    <hyperlink ref="AT198" r:id="rId194" display="http://hotels.ng/" xr:uid="{D71ECF3F-AAC0-4C7A-A8B6-D3A3C5A8DC86}"/>
    <hyperlink ref="G199" r:id="rId195" location="section-overview" xr:uid="{A5967A22-F472-43E5-BF70-1A0299E2700C}"/>
    <hyperlink ref="G200" r:id="rId196" location="section-investors" xr:uid="{03711F11-4F56-4210-89B2-76492CBF12B0}"/>
    <hyperlink ref="G201" r:id="rId197" xr:uid="{CE4F2069-47C2-44A7-9819-07D778971492}"/>
    <hyperlink ref="G202" r:id="rId198" xr:uid="{BF7CB9C9-45DD-4934-BAEF-9BB559B0FDA9}"/>
    <hyperlink ref="G203" r:id="rId199" xr:uid="{4FCE8181-E1BE-48F5-AEE3-68CAAFB7BD77}"/>
    <hyperlink ref="G204" r:id="rId200" xr:uid="{BC1B8596-691A-4C7D-B563-EFE7843A3303}"/>
    <hyperlink ref="G205" r:id="rId201" xr:uid="{6C9581F0-20D3-4EE4-AEE1-78BD618E7A59}"/>
    <hyperlink ref="G206" r:id="rId202" location="section-funding-rounds" xr:uid="{41EBFF28-317D-4549-8941-1B8673617B8D}"/>
    <hyperlink ref="G207" r:id="rId203" xr:uid="{0E219856-6885-4D68-B761-ABA8AE4A7110}"/>
    <hyperlink ref="G208" r:id="rId204" location="section-overview" xr:uid="{CA986AF8-62A0-4D9C-9074-47150775FA83}"/>
    <hyperlink ref="B209" r:id="rId205" xr:uid="{F7AA470D-1DB2-4933-B46D-3907531A155F}"/>
    <hyperlink ref="G209" r:id="rId206" location="section-overview" xr:uid="{97E3E3D7-4C20-43A9-BF32-F6ABEC5A29FE}"/>
    <hyperlink ref="G210" r:id="rId207" xr:uid="{6125F055-5601-41BC-A3F3-6A87161D04A8}"/>
    <hyperlink ref="G211" r:id="rId208" xr:uid="{47C11E55-616F-417A-90E5-AD3009F838E7}"/>
    <hyperlink ref="G212" r:id="rId209" xr:uid="{EB378737-61CD-4B2E-8DA8-FC587F305048}"/>
    <hyperlink ref="G213" r:id="rId210" xr:uid="{35826D55-CBC2-40B4-992A-F5E7ABF06289}"/>
    <hyperlink ref="G214" r:id="rId211" xr:uid="{E81F7248-93EF-4D6A-8A30-A8BF35C2345C}"/>
    <hyperlink ref="G215" r:id="rId212" xr:uid="{AF6B7B52-99FF-4718-9BCB-2F26553ED945}"/>
    <hyperlink ref="G216" r:id="rId213" xr:uid="{ECFB605C-D0C8-4845-96E7-B30D3DB3F3D2}"/>
    <hyperlink ref="G217" r:id="rId214" location="section-investors" xr:uid="{5D572D5D-EB4C-432A-8C12-AB01E01B2A8A}"/>
    <hyperlink ref="G218" r:id="rId215" xr:uid="{96D824DC-F126-4B2D-9436-1A8C878EE004}"/>
    <hyperlink ref="G219" r:id="rId216" xr:uid="{A1A9F7ED-596E-4900-96EB-972A7937F870}"/>
    <hyperlink ref="G220" r:id="rId217" xr:uid="{9549EED3-5135-43C0-ADC0-C6F0576BBECD}"/>
    <hyperlink ref="G221" r:id="rId218" xr:uid="{7A743779-2C28-4305-A222-90FDE58EEF72}"/>
    <hyperlink ref="G222" r:id="rId219" location="section-lead-investors" xr:uid="{6C4B8824-22AE-4695-A3E0-54D6B18541F3}"/>
    <hyperlink ref="G223" r:id="rId220" xr:uid="{D1E00712-C644-490A-ACAA-202DC8F99F7A}"/>
    <hyperlink ref="G224" r:id="rId221" xr:uid="{78E32D53-F245-45D7-BF45-A3C0EB1EBC3B}"/>
    <hyperlink ref="G225" r:id="rId222" xr:uid="{C478D1E1-9637-4710-A61C-A9A06A46E7D2}"/>
    <hyperlink ref="G226" r:id="rId223" xr:uid="{F4D58084-623E-433D-8952-99597C4293C1}"/>
    <hyperlink ref="G227" r:id="rId224" xr:uid="{1D718373-822F-4A06-A528-7019C8289CE4}"/>
    <hyperlink ref="G228" r:id="rId225" xr:uid="{02F9F64B-51CE-45FB-8F3F-3127FC5A2029}"/>
    <hyperlink ref="G229" r:id="rId226" location="section-funding-rounds" xr:uid="{A655B1D5-E99E-4394-B2A0-9FBFE6CF642D}"/>
    <hyperlink ref="G230" r:id="rId227" xr:uid="{2D340BE9-A123-4DD2-AD3C-CCC159EE896D}"/>
    <hyperlink ref="G231" r:id="rId228" xr:uid="{80994FD5-AE81-49B4-9593-1B4952AD909F}"/>
    <hyperlink ref="B232" r:id="rId229" xr:uid="{B6F4834F-1A2F-4D50-A5EC-3C2397BA9381}"/>
    <hyperlink ref="G232" r:id="rId230" xr:uid="{55610C5E-12C3-45B0-9B73-1FDB84386962}"/>
    <hyperlink ref="G233" r:id="rId231" xr:uid="{95163485-4297-4D57-9AC6-689C59D96C83}"/>
    <hyperlink ref="G234" r:id="rId232" xr:uid="{C70C83A6-D2AE-4505-85FF-04C6CDB69328}"/>
    <hyperlink ref="B235" r:id="rId233" xr:uid="{5D51C40E-3B68-47EA-B966-E68608BE6201}"/>
    <hyperlink ref="G235" r:id="rId234" xr:uid="{E8B95EC1-89A6-45D1-83C6-9E80EC6F87B4}"/>
    <hyperlink ref="G236" r:id="rId235" xr:uid="{E40709E0-4D3A-4E11-B480-4201C986EE06}"/>
    <hyperlink ref="G237" r:id="rId236" xr:uid="{C20A603B-1FC4-4105-B468-A90A65EBD385}"/>
    <hyperlink ref="G238" r:id="rId237" xr:uid="{CF52524D-4B6F-475C-81F6-4CDEFC8CB8A1}"/>
    <hyperlink ref="G239" r:id="rId238" xr:uid="{967C3F3E-1DAE-4DAB-BF9E-2554470D7D9E}"/>
    <hyperlink ref="G240" r:id="rId239" xr:uid="{20A44A5D-9DBE-4BE8-8955-F9639E2CD5AC}"/>
    <hyperlink ref="G241" r:id="rId240" xr:uid="{BBF614EF-DFA4-49F8-B723-E1458D6D3E14}"/>
    <hyperlink ref="F242" r:id="rId241" xr:uid="{F2C84F5E-775D-430D-B36F-FF85E271DB26}"/>
    <hyperlink ref="G244" r:id="rId242" xr:uid="{08B72B3B-0FEC-4CF5-B604-D3BEBDD2252C}"/>
    <hyperlink ref="G245" r:id="rId243" xr:uid="{0996D6A5-1EDA-46C9-83B5-4820C4033641}"/>
    <hyperlink ref="G246" r:id="rId244" xr:uid="{C74836D5-524C-45FC-AABD-C0D2DEBC213E}"/>
    <hyperlink ref="G247" r:id="rId245" xr:uid="{28B12634-048A-4BE2-91BB-1AAA3D52116E}"/>
    <hyperlink ref="G248" r:id="rId246" location="section-investors" xr:uid="{BCEE8B60-CAA4-4648-ACF4-6ED935217F29}"/>
    <hyperlink ref="G249" r:id="rId247" xr:uid="{127832A2-B975-40B9-A4DF-76D1B30F4AF7}"/>
    <hyperlink ref="G250" r:id="rId248" xr:uid="{D1B6F57F-6819-4752-88D4-7FD4347CB344}"/>
    <hyperlink ref="G251" r:id="rId249" xr:uid="{2349E0BE-CD51-41F8-A629-8A1DDA18EF9E}"/>
    <hyperlink ref="B252" r:id="rId250" xr:uid="{0E29AD47-DE27-43EA-8A00-1709BB86CB72}"/>
    <hyperlink ref="G252" r:id="rId251" xr:uid="{62886893-7E21-42F4-9988-B8B42F9813CE}"/>
    <hyperlink ref="G254" r:id="rId252" xr:uid="{915FEFEE-279F-4DD9-B58A-0A11495D2161}"/>
    <hyperlink ref="G255" r:id="rId253" xr:uid="{8FC8E8E3-3D0D-4A86-85AE-F6F8AB2295FA}"/>
    <hyperlink ref="G256" r:id="rId254" xr:uid="{30EC06F9-374C-48D7-9C3E-5FE6E874AD16}"/>
    <hyperlink ref="G257" r:id="rId255" xr:uid="{C630E332-9411-4433-ABFA-7D3F9941DD6C}"/>
    <hyperlink ref="G258" r:id="rId256" xr:uid="{430ADFC1-695B-4F30-B995-9422CA00F1A6}"/>
    <hyperlink ref="G259" r:id="rId257" location="section-investors" xr:uid="{1438378B-2BE8-4B56-A55F-ADCAA7F76902}"/>
    <hyperlink ref="G260" r:id="rId258" xr:uid="{3E98DACF-CC31-4798-B782-842A8F05C43A}"/>
    <hyperlink ref="G261" r:id="rId259" location="section-overview" xr:uid="{A9659D5E-E8CB-4EDA-AF32-2DFB4EBEE36E}"/>
    <hyperlink ref="G262" r:id="rId260" xr:uid="{464EE781-F60E-4513-8A8F-1E9134A4436C}"/>
    <hyperlink ref="G263" r:id="rId261" xr:uid="{75ED01D8-1EA4-44C8-B2A6-9FEEBB813EFE}"/>
    <hyperlink ref="G264" r:id="rId262" xr:uid="{C7807E86-F95A-49E2-90A2-AC2A5C97B5EB}"/>
    <hyperlink ref="G265" r:id="rId263" location="section-lead-investors" xr:uid="{2CCB8DFA-A975-4CC2-AEA6-61F70748A9C8}"/>
    <hyperlink ref="G266" r:id="rId264" xr:uid="{6CDA17A2-696C-435F-9701-C78F6C2B764A}"/>
    <hyperlink ref="G267" r:id="rId265" xr:uid="{73FC06D8-3868-4433-B0BC-F8B879819E7F}"/>
    <hyperlink ref="G268" r:id="rId266" location="section-overview" xr:uid="{A9D90F4D-69E7-4D8C-9C50-02C64480E1A5}"/>
    <hyperlink ref="G269" r:id="rId267" xr:uid="{FA3FCAF2-B709-4C39-98A3-1B388FBD275A}"/>
    <hyperlink ref="G270" r:id="rId268" xr:uid="{85B0F3AE-C181-415E-9299-F014C072B874}"/>
    <hyperlink ref="G271" r:id="rId269" location="section-overview" xr:uid="{3CE34EBB-3C42-4593-ADD4-B8B2D480BB53}"/>
    <hyperlink ref="G272" r:id="rId270" xr:uid="{5D7F83F9-DED6-4B49-AF18-F2D41FD16E29}"/>
    <hyperlink ref="G273" r:id="rId271" location="section-investors" xr:uid="{B2FCF65C-75CB-4A60-8A19-B4593B801D9C}"/>
    <hyperlink ref="G274" r:id="rId272" location="section-investors" xr:uid="{0C31F20D-FB33-4141-8B15-A5DF230B1C85}"/>
    <hyperlink ref="G275" r:id="rId273" xr:uid="{E0316F4E-B891-43F0-BB2F-C7B97E511361}"/>
    <hyperlink ref="G276" r:id="rId274" xr:uid="{83E9C064-5A7C-4085-84FC-99F060CF7F29}"/>
    <hyperlink ref="G277" r:id="rId275" xr:uid="{D2AC76D1-7586-4C5A-B8A4-30D2DCAEDD3A}"/>
    <hyperlink ref="G278" r:id="rId276" location="section-funding-rounds" xr:uid="{4956CDF8-1F71-43B0-BFD0-6467FD461CBF}"/>
    <hyperlink ref="G279" r:id="rId277" xr:uid="{945F6D69-105D-410E-9E3F-6151584BFF62}"/>
    <hyperlink ref="G280" r:id="rId278" xr:uid="{24EA82A8-D916-450E-B5B3-96FF9DF7C743}"/>
    <hyperlink ref="G281" r:id="rId279" xr:uid="{6C276248-A950-4372-8620-D6157A53E4D1}"/>
    <hyperlink ref="G282" r:id="rId280" xr:uid="{00AC1650-5031-4C40-8C21-F643C9FC7240}"/>
    <hyperlink ref="B283" r:id="rId281" xr:uid="{F458662F-1197-4BDE-91CC-5DF884436DFA}"/>
    <hyperlink ref="G283" r:id="rId282" location="section-overview" xr:uid="{E2135530-B2F3-4D68-A0EB-BE0B8ABD2E1B}"/>
    <hyperlink ref="G284" r:id="rId283" xr:uid="{7133A211-2803-45C1-B94D-BD1448300D65}"/>
    <hyperlink ref="G285" r:id="rId284" xr:uid="{9CDC5A7A-094E-4AED-9360-E05477FA4A97}"/>
    <hyperlink ref="G286" r:id="rId285" xr:uid="{6510795D-CD14-4FEB-A9F6-25BF45421A4D}"/>
    <hyperlink ref="G287" r:id="rId286" location="section-overview" xr:uid="{FD8077A0-E255-4B5C-B36D-CADF8C1BC89B}"/>
    <hyperlink ref="G288" r:id="rId287" location="section-overview" xr:uid="{91826509-27D7-4550-8717-3EAD8D1A0014}"/>
    <hyperlink ref="G289" r:id="rId288" location="section-lead-investors" xr:uid="{2AF1D230-EE97-437F-BCA9-C105A2D48569}"/>
    <hyperlink ref="G290" r:id="rId289" xr:uid="{F0594F81-704E-404B-ADAF-8E9707E30864}"/>
    <hyperlink ref="G291" r:id="rId290" location="section-funding-rounds" xr:uid="{83716637-0111-499C-B213-62F3F74C3B84}"/>
    <hyperlink ref="G292" r:id="rId291" xr:uid="{1D3E8292-9542-4A00-9C1D-09467BDD4F1B}"/>
    <hyperlink ref="G293" r:id="rId292" location="section-overview" xr:uid="{D867BCBC-9E02-4340-AFA1-BBF5A415A3F7}"/>
    <hyperlink ref="G294" r:id="rId293" location="section-funding-rounds" xr:uid="{EDAFFF5B-CCFC-463E-9D33-DEEA4179C673}"/>
    <hyperlink ref="G295" r:id="rId294" xr:uid="{0FC8BAE8-B06D-44B6-B18A-354777976093}"/>
    <hyperlink ref="G296" r:id="rId295" location="section-investors" xr:uid="{4F357E97-BE62-4D42-B5C3-972085798D60}"/>
    <hyperlink ref="G297" r:id="rId296" xr:uid="{E0F6FDC3-D290-4F9C-8355-71128399F4D3}"/>
    <hyperlink ref="G298" r:id="rId297" location="section-investors" xr:uid="{9B5FC057-789E-4642-93A0-95A56EE1F4D1}"/>
    <hyperlink ref="G299" r:id="rId298" location="section-overview" xr:uid="{BDCC5E07-02C6-4F9C-BBCF-A7557DF56C40}"/>
    <hyperlink ref="G300" r:id="rId299" xr:uid="{2E7A1EB4-0ED4-4BF2-A323-F9FBE653B73C}"/>
    <hyperlink ref="G301" r:id="rId300" xr:uid="{954AC310-D366-42E9-B7C3-EDDBD6A5F873}"/>
    <hyperlink ref="G302" r:id="rId301" xr:uid="{AB9DD5FB-2120-47E5-9BEF-A939790EFD94}"/>
    <hyperlink ref="G303" r:id="rId302" xr:uid="{1A70CEF8-F518-47B8-A8FF-F2E08F0BCDF4}"/>
    <hyperlink ref="G304" r:id="rId303" xr:uid="{A9F7FF4C-7797-4E9E-B478-C251B111EED0}"/>
    <hyperlink ref="G305" r:id="rId304" xr:uid="{D5D912E7-E9CE-4BC8-B528-099E88F3CC53}"/>
    <hyperlink ref="G306" r:id="rId305" xr:uid="{8151AE9D-1F15-4AC4-8F28-8A0243A6700A}"/>
    <hyperlink ref="G307" r:id="rId306" location="section-investors" xr:uid="{A6747899-9896-4A1B-AAA1-CB247EC6E47F}"/>
    <hyperlink ref="G308" r:id="rId307" xr:uid="{DF525863-B47E-4323-A3BC-FAFB4E9A89AF}"/>
    <hyperlink ref="G309" r:id="rId308" xr:uid="{DC905180-B235-4B0A-B79A-4CAAE7BAE795}"/>
    <hyperlink ref="G310" r:id="rId309" xr:uid="{841C6C36-3553-40BD-B75E-4214BDD4C01C}"/>
    <hyperlink ref="G311" r:id="rId310" xr:uid="{3D1E4ECC-8FD6-4388-B94B-C29430B68AAA}"/>
    <hyperlink ref="G312" r:id="rId311" xr:uid="{95C65E03-C996-483A-B937-00880B9E0DBD}"/>
    <hyperlink ref="G313" r:id="rId312" location="section-overview" xr:uid="{39B39752-FCE2-472F-AB66-A87301317378}"/>
    <hyperlink ref="G314" r:id="rId313" xr:uid="{01882A9E-5175-4D67-86A3-4D901BB2F0E1}"/>
    <hyperlink ref="G315" r:id="rId314" xr:uid="{F13A8AF9-E69B-44AA-90F5-BB70C74C1E72}"/>
    <hyperlink ref="G316" r:id="rId315" xr:uid="{1F3B6253-A0AD-459F-9342-CFD7EE7886AC}"/>
    <hyperlink ref="G317" r:id="rId316" xr:uid="{DE1806B9-4430-4929-95D9-9258ABB548F6}"/>
    <hyperlink ref="G318" r:id="rId317" xr:uid="{73A2A7DD-42E4-48EC-94F9-1572F4A40E42}"/>
    <hyperlink ref="G319" r:id="rId318" xr:uid="{A259DA0F-FC29-4A2D-BF23-0D7301927D6D}"/>
    <hyperlink ref="G320" r:id="rId319" xr:uid="{E9D59CA2-CCCD-4708-95C5-16F66ABF29CA}"/>
    <hyperlink ref="G321" r:id="rId320" xr:uid="{51965D9C-FA4B-4FAD-B9AB-E575DF40F7D5}"/>
    <hyperlink ref="G322" r:id="rId321" xr:uid="{45C93FD2-5D33-4225-A9BA-CA2B194A20E3}"/>
    <hyperlink ref="G323" r:id="rId322" xr:uid="{C6687FA1-05E8-4718-9E72-843C0A4E1CD8}"/>
    <hyperlink ref="G324" r:id="rId323" xr:uid="{37736E5E-01B9-4DD8-A3FD-AFF42B782261}"/>
    <hyperlink ref="G325" r:id="rId324" xr:uid="{FEF0DFF7-0136-48C4-83D4-F083FEF202E3}"/>
    <hyperlink ref="G326" r:id="rId325" xr:uid="{CDB9ED10-F0E6-49D9-9991-DAF3521D93BA}"/>
    <hyperlink ref="G327" r:id="rId326" location="section-overview" xr:uid="{DA1BEF7E-F778-45AA-BAC9-64B84EB8FD45}"/>
    <hyperlink ref="G328" r:id="rId327" xr:uid="{C30A81F7-15DC-4B3A-98E4-DBD103F212A5}"/>
    <hyperlink ref="G329" r:id="rId328" xr:uid="{62956708-75FD-405D-AF94-C36EBBDCDF8E}"/>
    <hyperlink ref="G330" r:id="rId329" xr:uid="{02A3A409-C7E3-4096-8F08-281B2EE77F1F}"/>
    <hyperlink ref="G331" r:id="rId330" xr:uid="{601874CC-CCBB-488A-B395-0602EDFF84B3}"/>
    <hyperlink ref="G332" r:id="rId331" xr:uid="{5ECC5A41-7AB3-49F7-BBC3-3784687ED553}"/>
    <hyperlink ref="G333" r:id="rId332" xr:uid="{8DB58DFD-4506-4CB7-AACB-62FFEFF10537}"/>
    <hyperlink ref="G334" r:id="rId333" xr:uid="{7FBC5EFE-CFFA-4539-AC23-78DA11591C95}"/>
    <hyperlink ref="G335" r:id="rId334" location="section-investors" xr:uid="{075B6FF0-3C22-4747-A2DE-56988F3C9362}"/>
    <hyperlink ref="G336" r:id="rId335" location="section-funding-rounds" xr:uid="{7A37170C-8D91-48E8-95A7-749F3B8011F5}"/>
    <hyperlink ref="G337" r:id="rId336" xr:uid="{D4AA8401-2CB2-4DAF-A058-AA346D28B5F9}"/>
    <hyperlink ref="G338" r:id="rId337" xr:uid="{9FACBE9E-5876-428F-9201-010B85AD9151}"/>
    <hyperlink ref="G339" r:id="rId338" xr:uid="{5B32B68D-EBA6-4148-92FF-0A3788573C03}"/>
    <hyperlink ref="G340" r:id="rId339" xr:uid="{0DAD13EF-960D-47B6-881C-F326A7D66F18}"/>
    <hyperlink ref="G341" r:id="rId340" xr:uid="{059775E1-0606-4ADF-AF52-7CB1DD79C648}"/>
    <hyperlink ref="G342" r:id="rId341" location="section-investors" xr:uid="{BBB0865B-E370-4316-A8CD-F08E6C638115}"/>
    <hyperlink ref="G343" r:id="rId342" xr:uid="{500CF6DD-AC6F-47E2-8ACD-8362573458EB}"/>
    <hyperlink ref="G344" r:id="rId343" xr:uid="{301CBE71-8838-4BC5-A466-D4A381F725E8}"/>
    <hyperlink ref="G345" r:id="rId344" location="section-overview" xr:uid="{6D1304EE-D0E1-4B21-87A3-0912F3AA9434}"/>
    <hyperlink ref="G346" r:id="rId345" xr:uid="{D0866AB3-2F24-4A96-8979-57FE03E9C6A1}"/>
    <hyperlink ref="G347" r:id="rId346" xr:uid="{CC5517F7-7902-4AFB-97BA-4D400758F8A7}"/>
    <hyperlink ref="G348" r:id="rId347" xr:uid="{96E57B45-76FA-4C06-A44B-2AD39B249FE2}"/>
    <hyperlink ref="G349" r:id="rId348" xr:uid="{82AE4757-777E-4D4C-9891-83186CCB3AF1}"/>
    <hyperlink ref="G350" r:id="rId349" xr:uid="{48C935B9-A64D-40F7-8D98-F3E95FA9DB3C}"/>
    <hyperlink ref="G351" r:id="rId350" xr:uid="{688D817F-BAC6-4F41-80D5-B0BFAFBC6EB2}"/>
    <hyperlink ref="G352" r:id="rId351" xr:uid="{C1F7A8B8-0B59-438D-A92E-3F281E8E715F}"/>
    <hyperlink ref="G353" r:id="rId352" xr:uid="{A1A503A2-7E21-4363-AB09-682E2C5145C8}"/>
    <hyperlink ref="G354" r:id="rId353" xr:uid="{76872138-D038-4A3F-870F-327284F7E2D0}"/>
    <hyperlink ref="G355" r:id="rId354" location=".XE8Kv1wzbb0" xr:uid="{32E4151F-9D01-4E32-8E9F-17A3E756FEAB}"/>
    <hyperlink ref="G356" r:id="rId355" xr:uid="{4E25B851-28AF-4AE9-B3C7-1CC087F4D95D}"/>
    <hyperlink ref="G357" r:id="rId356" xr:uid="{B5D2C863-0E6E-4455-A31F-592B741E2682}"/>
    <hyperlink ref="G358" r:id="rId357" xr:uid="{67B65742-A0CD-40B2-8EA9-8A3B2F43D60D}"/>
    <hyperlink ref="G359" r:id="rId358" xr:uid="{2C84C7D9-7960-45A5-80C2-E515018AA3C3}"/>
    <hyperlink ref="G360" r:id="rId359" xr:uid="{65F1EAAD-39A3-4231-B19C-814DD93F72B0}"/>
    <hyperlink ref="G361" r:id="rId360" xr:uid="{98D56651-354F-4A3B-B3CA-02494AC4B2AD}"/>
    <hyperlink ref="G362" r:id="rId361" location="section-lead-investors" xr:uid="{3B27F045-699B-4DD0-B0CB-254A5429B5CF}"/>
    <hyperlink ref="G363" r:id="rId362" location="section-lead-investors" xr:uid="{8DBD691A-9713-4F59-90AD-2D12EE1B3B34}"/>
    <hyperlink ref="G364" r:id="rId363" xr:uid="{DDA516C2-FCA5-400D-8455-869BFEFA5A1F}"/>
    <hyperlink ref="G365" r:id="rId364" xr:uid="{7408F4FF-F41D-4836-9DAA-D8561DB4762D}"/>
    <hyperlink ref="G366" r:id="rId365" xr:uid="{C3E2B479-C1CB-4F2E-A48F-5760547B3D04}"/>
    <hyperlink ref="G367" r:id="rId366" location="section-lead-investors" xr:uid="{54738A38-BF8A-4A52-B77E-FE2340A9641A}"/>
    <hyperlink ref="G368" r:id="rId367" location="section-overview" xr:uid="{2815627E-DB6F-46A7-8AD1-FBFB919E8DFA}"/>
    <hyperlink ref="G369" r:id="rId368" location="section-overview" xr:uid="{04CF4E94-F69E-45D2-A392-F24B593EA7E7}"/>
    <hyperlink ref="G370" r:id="rId369" location="section-overview" xr:uid="{9733B63C-2341-4D72-A87E-13C9D15E7DD0}"/>
    <hyperlink ref="G371" r:id="rId370" xr:uid="{C58E11F3-6169-4FF9-9364-1811C27C4D99}"/>
    <hyperlink ref="G372" r:id="rId371" xr:uid="{928787FB-F327-40D0-9F7C-33814CF5A406}"/>
    <hyperlink ref="G373" r:id="rId372" xr:uid="{612BB9D0-2A39-4EEF-8042-40AF87096221}"/>
    <hyperlink ref="G374" r:id="rId373" xr:uid="{E274EF58-B6D7-4D36-B0A2-3C8388C6C64E}"/>
    <hyperlink ref="G375" r:id="rId374" xr:uid="{1470898D-8A92-415F-970E-C567562D6118}"/>
    <hyperlink ref="G376" r:id="rId375" xr:uid="{E26C635A-7D83-4C20-9D9F-3EF5E772CD15}"/>
    <hyperlink ref="G377" r:id="rId376" xr:uid="{E5E1F0E4-3969-4D19-A511-6D315349A8FB}"/>
    <hyperlink ref="G378" r:id="rId377" xr:uid="{80A5C380-CA22-4ADA-B171-93110A3A83DA}"/>
    <hyperlink ref="G379" r:id="rId378" xr:uid="{D6FEF1F2-DEE5-451B-B66C-14F19F5ABC21}"/>
    <hyperlink ref="G380" r:id="rId379" xr:uid="{AB38FEC9-580C-44F1-AA04-CAFD29B725B9}"/>
    <hyperlink ref="G381" r:id="rId380" xr:uid="{D44BB7BF-1475-4134-BF21-307A27A53CE6}"/>
    <hyperlink ref="G382" r:id="rId381" xr:uid="{AF28098D-D509-4D1A-B319-8BA25F3BC7FE}"/>
    <hyperlink ref="G383" r:id="rId382" xr:uid="{E5B18C87-5484-45C1-B5C7-0686FB1030E2}"/>
    <hyperlink ref="G384" r:id="rId383" location="section-overview" xr:uid="{31A8993C-394F-460E-81BA-A466E9164E88}"/>
    <hyperlink ref="G385" r:id="rId384" xr:uid="{1B4C41BD-DF6B-4060-9A14-74C9FADE3103}"/>
    <hyperlink ref="G386" r:id="rId385" xr:uid="{F297D561-BE22-47C8-844F-617BD374190B}"/>
    <hyperlink ref="G387" r:id="rId386" xr:uid="{08B1908C-4929-4872-8CC2-D9009DCBF979}"/>
    <hyperlink ref="G388" r:id="rId387" location="section-lead-investors" xr:uid="{7D4B4AE0-9BA6-40B2-8FAA-6F355477B00E}"/>
    <hyperlink ref="G389" r:id="rId388" xr:uid="{35E09E59-9FE2-4ED8-BBBF-42AB634F0413}"/>
    <hyperlink ref="G390" r:id="rId389" xr:uid="{90E5A433-FA1A-416F-B424-AD5836C708E4}"/>
    <hyperlink ref="G391" r:id="rId390" xr:uid="{9A511EC7-8B20-4463-8DC4-E78B62CB36C2}"/>
    <hyperlink ref="G392" r:id="rId391" xr:uid="{3F9A19C8-B0CD-47D9-A407-EDD8B3C868D6}"/>
    <hyperlink ref="G394" r:id="rId392" xr:uid="{CB11F7D3-00C0-4BC6-B4A1-02291E8E1ECC}"/>
    <hyperlink ref="G395" r:id="rId393" xr:uid="{404FC997-7AD5-4F45-9827-34AF5D944FE9}"/>
    <hyperlink ref="G396" r:id="rId394" xr:uid="{44F0CC8C-60E5-40F9-808A-490EDED7F610}"/>
    <hyperlink ref="G397" r:id="rId395" xr:uid="{08AB96A5-DDB2-4C05-97C3-431D4878B5B5}"/>
    <hyperlink ref="G398" r:id="rId396" xr:uid="{1B1E99F5-020E-4643-A8C3-D7BF60042271}"/>
    <hyperlink ref="G399" r:id="rId397" location="section-overview" xr:uid="{F7C5AB99-D19A-4290-ADB5-3D28F7926674}"/>
    <hyperlink ref="G400" r:id="rId398" location="section-overview" xr:uid="{8F35FC33-A990-4E42-B17B-C10F4379DBF1}"/>
    <hyperlink ref="G401" r:id="rId399" xr:uid="{290592C3-9773-4F58-8611-454FDA9BAC6B}"/>
    <hyperlink ref="G402" r:id="rId400" xr:uid="{EAEECD8B-17AD-415B-81FD-7D1EB6DEF31B}"/>
    <hyperlink ref="G404" r:id="rId401" location=".XAttSnQzbb0" xr:uid="{4574D354-BBEC-4BC2-85E3-A9636660FC9A}"/>
    <hyperlink ref="G405" r:id="rId402" xr:uid="{FE35F4E9-75B5-4C2D-AD0F-143EFE615C84}"/>
    <hyperlink ref="G406" r:id="rId403" xr:uid="{F74A385A-888A-4E6C-9B77-F9A3A92862CC}"/>
    <hyperlink ref="G407" r:id="rId404" location="section-overview" xr:uid="{F0927808-784F-4FB3-99DF-8230ADA9D978}"/>
    <hyperlink ref="G408" r:id="rId405" location=".XBN6kVwzbb0" xr:uid="{B0744FC3-9227-4B5B-8EF1-138B9BC83673}"/>
    <hyperlink ref="G409" r:id="rId406" xr:uid="{A9707A94-5954-4A26-8AC3-B0A152BD15AA}"/>
    <hyperlink ref="G410" r:id="rId407" xr:uid="{CB06346D-3DD6-4D04-B2D6-9875F9B3149C}"/>
    <hyperlink ref="G412" r:id="rId408" xr:uid="{F8FA0864-7B0D-4CF1-A718-279D0FDFBEFC}"/>
    <hyperlink ref="G413" r:id="rId409" xr:uid="{CA6D9DF7-7096-467B-B526-DBE37401816B}"/>
    <hyperlink ref="G414" r:id="rId410" xr:uid="{1FCB8FE2-F5E9-45F9-8573-C07CFCC4C5F8}"/>
    <hyperlink ref="G415" r:id="rId411" xr:uid="{A8438CE7-A66D-4665-859C-F4799C762870}"/>
    <hyperlink ref="G416" r:id="rId412" xr:uid="{75C0DE83-B28D-435F-99A5-6923108B4426}"/>
    <hyperlink ref="G417" r:id="rId413" xr:uid="{96E39BA1-3B5E-4260-8D6B-9206FAC9B294}"/>
    <hyperlink ref="G418" r:id="rId414" xr:uid="{C5A2A125-CB74-4129-8949-12CE97600601}"/>
    <hyperlink ref="G419" r:id="rId415" location="section-recent-news" xr:uid="{A889680D-30ED-4242-9016-3650B3D9D1D4}"/>
    <hyperlink ref="G420" r:id="rId416" xr:uid="{4463C2CE-5962-4528-8DB2-0D1524232154}"/>
    <hyperlink ref="G421" r:id="rId417" xr:uid="{CF0FBD3E-7453-49BC-ACFA-BD1C1076B223}"/>
    <hyperlink ref="G422" r:id="rId418" xr:uid="{4B3A685F-3565-4469-BF51-318BA4BB1D92}"/>
    <hyperlink ref="G423" r:id="rId419" xr:uid="{C2E3C218-33C1-4B4B-9FE8-0DB00DFA32EE}"/>
    <hyperlink ref="G424" r:id="rId420" xr:uid="{004A6EF4-2AE0-4E29-8B49-975E03DCD641}"/>
    <hyperlink ref="G425" r:id="rId421" xr:uid="{BC3227B1-7D94-48CD-8A36-D8919AA7ACDC}"/>
    <hyperlink ref="G426" r:id="rId422" xr:uid="{EFC9F5E6-B30B-4638-9223-8003BE93293C}"/>
    <hyperlink ref="G427" r:id="rId423" xr:uid="{8FA3F2F3-F39F-4DD8-92D9-6835C3084CAE}"/>
    <hyperlink ref="F428" r:id="rId424" xr:uid="{F76CA62F-9FA4-43CC-8D90-F8C73169BFD3}"/>
    <hyperlink ref="G428" r:id="rId425" location="section-investors" xr:uid="{03127B0A-43CF-48CB-B17D-973FE302B115}"/>
    <hyperlink ref="G429" r:id="rId426" location="section-overview" xr:uid="{D7FC284E-4D1C-480D-916A-89710771953D}"/>
    <hyperlink ref="B430" r:id="rId427" xr:uid="{66C3D69E-1CFF-4DEC-96D4-7E010F5FEA58}"/>
    <hyperlink ref="G430" r:id="rId428" location="section-recent-news" xr:uid="{6BB556F6-7BEE-496C-87A9-A75A3B5846D8}"/>
    <hyperlink ref="G431" r:id="rId429" location=".XBjZGVwzbb0" xr:uid="{8AF70288-2A3C-4024-AC1C-90C38D0B2B13}"/>
    <hyperlink ref="G432" r:id="rId430" xr:uid="{92443C00-CB07-47A0-B0A4-103352251234}"/>
    <hyperlink ref="G433" r:id="rId431" location="section-overview" xr:uid="{519EB2B6-6107-4766-BA10-6B740FEE3515}"/>
    <hyperlink ref="G435" r:id="rId432" xr:uid="{6D4053E9-1132-41AD-8865-ADB77D066F20}"/>
    <hyperlink ref="G436" r:id="rId433" xr:uid="{4588B05E-5414-4675-A60E-0169EA189249}"/>
    <hyperlink ref="G438" r:id="rId434" xr:uid="{F98503ED-80F8-4AD6-B74D-129DA352ED08}"/>
    <hyperlink ref="G439" r:id="rId435" xr:uid="{8663BFDD-2670-4BD6-B1C5-D85459160432}"/>
    <hyperlink ref="G440" r:id="rId436" xr:uid="{51042B09-DE97-4FDA-BAF6-E88AF32DF141}"/>
    <hyperlink ref="G441" r:id="rId437" location="section-overview" xr:uid="{D01B65BD-0329-43B3-9BEF-4A7EBA7ECE5E}"/>
    <hyperlink ref="G442" r:id="rId438" xr:uid="{8B557620-BDD3-4C4E-9F38-3BA0FBE6F2F6}"/>
    <hyperlink ref="G443" r:id="rId439" xr:uid="{597BBE63-D24E-4501-8E0D-BF8F0ACEB415}"/>
    <hyperlink ref="G444" r:id="rId440" location="section-recent-news" xr:uid="{75A89E6B-AA5B-4A3D-9F37-4456D9A13CCA}"/>
    <hyperlink ref="G445" r:id="rId441" location="section-locked-charts" xr:uid="{E0D9AC30-76BE-45FD-B9F8-E7C1CC5B7838}"/>
    <hyperlink ref="G446" r:id="rId442" xr:uid="{28DE8DE6-F5A8-433F-AD15-2D6FC3988E0C}"/>
    <hyperlink ref="G447" r:id="rId443" xr:uid="{59C439C3-BEB1-4F22-9E79-E8C85963499F}"/>
    <hyperlink ref="G448" r:id="rId444" xr:uid="{A064C8CD-A8B6-44BD-9B65-9C0482F87568}"/>
    <hyperlink ref="G450" r:id="rId445" xr:uid="{1B39C800-B656-4AE8-947A-D0CC9D136C55}"/>
    <hyperlink ref="G451" r:id="rId446" location="section-overview" xr:uid="{92614063-A13F-4212-AECC-B77B5B97EF46}"/>
    <hyperlink ref="G452" r:id="rId447" xr:uid="{DF209821-B374-4519-9039-9BF9C3745481}"/>
    <hyperlink ref="G453" r:id="rId448" xr:uid="{544BC574-50E8-4699-A411-A10E3CE46435}"/>
    <hyperlink ref="G454" r:id="rId449" xr:uid="{36D0370B-1872-4203-9234-62B08BB770A8}"/>
    <hyperlink ref="G455" r:id="rId450" xr:uid="{1628051E-B0BD-4F27-A411-417343121EA1}"/>
    <hyperlink ref="G456" r:id="rId451" xr:uid="{783D259A-AD88-4A2B-BDE8-390C406945AE}"/>
    <hyperlink ref="G457" r:id="rId452" xr:uid="{B23E0271-CE60-4AD0-8D04-141F969A1B78}"/>
    <hyperlink ref="G458" r:id="rId453" xr:uid="{5659EE17-1B8F-4B8F-9B0A-11D70D8C5F06}"/>
    <hyperlink ref="G459" r:id="rId454" xr:uid="{10362B6D-2CDE-4A79-99A0-F699955EB407}"/>
    <hyperlink ref="G460" r:id="rId455" xr:uid="{BEFE3EDA-0D53-4D68-90D1-E6DBC1075A67}"/>
    <hyperlink ref="G461" r:id="rId456" xr:uid="{57DDBD01-E65A-4263-87D1-FA381889F98F}"/>
    <hyperlink ref="G462" r:id="rId457" xr:uid="{FE52A371-114D-4AAF-AADA-708E72909866}"/>
    <hyperlink ref="G463" r:id="rId458" xr:uid="{B52105B3-2273-40B6-AA43-045EC24392A2}"/>
    <hyperlink ref="G464" r:id="rId459" location="section-lead-investors" xr:uid="{05795080-7ECA-427E-9FCE-F27AEFEE116E}"/>
    <hyperlink ref="G465" r:id="rId460" xr:uid="{D8FF743E-D42E-424C-913A-44D9F439D7F2}"/>
    <hyperlink ref="G466" r:id="rId461" xr:uid="{2B9C38B3-C46D-40C3-8433-55C41685B00B}"/>
    <hyperlink ref="G467" r:id="rId462" xr:uid="{63706790-DDAD-4B4A-8590-B864B66CEA3C}"/>
    <hyperlink ref="G468" r:id="rId463" xr:uid="{B36D9AA4-FEDC-4388-98C5-569AFF8D7F4A}"/>
    <hyperlink ref="G469" r:id="rId464" xr:uid="{1A928EAB-3833-4C4E-BF79-EEAFFA0A7E43}"/>
    <hyperlink ref="G470" r:id="rId465" xr:uid="{C2260FE2-5CF0-4768-85DC-27C8E18A7CF0}"/>
    <hyperlink ref="G471" r:id="rId466" location="section-lead-investors" xr:uid="{28056293-DB47-48D6-814F-ED8DB4DAB043}"/>
    <hyperlink ref="G472" r:id="rId467" xr:uid="{5C7EE144-1633-40AD-B35A-139D745CCB25}"/>
    <hyperlink ref="G473" r:id="rId468" xr:uid="{0D66A52C-1EBF-41EC-A2FE-E328B7EFCAB8}"/>
    <hyperlink ref="G474" r:id="rId469" xr:uid="{5797065C-BB80-48A8-84F2-130F15BF1551}"/>
    <hyperlink ref="G475" r:id="rId470" xr:uid="{7F1C83E6-7578-4175-B2E5-041E20CDFCD1}"/>
    <hyperlink ref="G477" r:id="rId471" xr:uid="{7CAF205C-1B3C-4EC3-A16A-CBB4762D9510}"/>
    <hyperlink ref="G478" r:id="rId472" xr:uid="{72B605A0-AE08-4164-B172-757602FADD8A}"/>
    <hyperlink ref="G479" r:id="rId473" xr:uid="{3AE6DF55-9190-44F3-B80D-8A42CB81AD3D}"/>
    <hyperlink ref="G480" r:id="rId474" xr:uid="{01765EFF-DF5B-4012-9D6F-097C2A2842B5}"/>
    <hyperlink ref="G481" r:id="rId475" xr:uid="{2F58023C-8E3F-4878-A96C-DC912C0FB457}"/>
    <hyperlink ref="G482" r:id="rId476" xr:uid="{046B8DAB-5639-4B12-A430-B583A9DF4251}"/>
    <hyperlink ref="G483" r:id="rId477" xr:uid="{8DF702FA-126C-41AE-B6F9-5FD6C6456B74}"/>
    <hyperlink ref="G484" r:id="rId478" location="section-investors" xr:uid="{800983FE-5FA2-426C-BF49-1ECCDE18A388}"/>
    <hyperlink ref="G485" r:id="rId479" xr:uid="{144FBD14-9CA3-4B23-A164-B0C3BD3E76B7}"/>
    <hyperlink ref="G486" r:id="rId480" xr:uid="{49AD1133-0CCC-4968-927C-0BFD088FE639}"/>
    <hyperlink ref="G487" r:id="rId481" xr:uid="{183D703D-031C-47F0-AC2E-287FC6E80AEF}"/>
    <hyperlink ref="G488" r:id="rId482" xr:uid="{802D647A-EE63-4ED0-B49B-A1C2F3E83AC2}"/>
    <hyperlink ref="G489" r:id="rId483" xr:uid="{480BAD73-640E-426D-9824-4ADC3B2F5FF9}"/>
    <hyperlink ref="G490" r:id="rId484" xr:uid="{68E3D58F-2190-4F8E-8E2F-1AF56E5922CC}"/>
    <hyperlink ref="G491" r:id="rId485" xr:uid="{672D25C8-34A4-485E-B7C4-30C35BC4AA0A}"/>
    <hyperlink ref="B492" r:id="rId486" xr:uid="{5C92F0A7-63BB-4D3C-AB27-92E19FD32633}"/>
    <hyperlink ref="G492" r:id="rId487" xr:uid="{0B9A4D53-6C83-4F88-AC11-107F0B947C50}"/>
    <hyperlink ref="G493" r:id="rId488" xr:uid="{692317DA-E520-4004-9D19-79C3A4A89530}"/>
    <hyperlink ref="G494" r:id="rId489" xr:uid="{A7D57B0A-F831-40C8-93F1-B15D5E6AB749}"/>
    <hyperlink ref="G495" r:id="rId490" xr:uid="{05766134-DCB8-43CD-847A-5063EF3DC938}"/>
    <hyperlink ref="G496" r:id="rId491" xr:uid="{A4B4930F-3EB0-4D70-A0ED-3726D6FF8E09}"/>
    <hyperlink ref="G497" r:id="rId492" xr:uid="{5B03F53E-918E-4B0E-A213-E48B5FF5AD4E}"/>
    <hyperlink ref="G498" r:id="rId493" xr:uid="{8E497695-081E-4E2F-BAA5-9F586B6B93C4}"/>
    <hyperlink ref="G499" r:id="rId494" xr:uid="{E3AB8987-F6DC-4E4A-B7A6-29C1402BA46A}"/>
    <hyperlink ref="G501" r:id="rId495" xr:uid="{5896BF74-3F8C-4808-85E6-020B23C5FEF8}"/>
    <hyperlink ref="G502" r:id="rId496" xr:uid="{68369097-E30E-4489-B79A-A506D3CCAA10}"/>
    <hyperlink ref="G503" r:id="rId497" xr:uid="{D55B4D3C-E597-4C90-A552-204B60178B3D}"/>
    <hyperlink ref="G504" r:id="rId498" location="section-investors" xr:uid="{617B3161-13B2-4CA5-A5EB-31EF16106B3D}"/>
    <hyperlink ref="G505" r:id="rId499" xr:uid="{685F104E-96D4-4F71-A8A3-35FAE75529FF}"/>
    <hyperlink ref="G506" r:id="rId500" xr:uid="{F2E614B0-75F2-404D-8259-51F4F57CCD65}"/>
    <hyperlink ref="G507" r:id="rId501" location="section-overview" xr:uid="{0B3E14A8-945A-451B-9F1F-ADAEA699F3F0}"/>
    <hyperlink ref="G508" r:id="rId502" location="section-locked-marketplace" xr:uid="{11A9660C-10A9-43D7-9391-FF745C107284}"/>
    <hyperlink ref="G509" r:id="rId503" xr:uid="{037024EC-1264-43CE-8B2D-371427BF79D3}"/>
    <hyperlink ref="G510" r:id="rId504" xr:uid="{BF24D764-3FDE-43FC-8969-C41245C43818}"/>
    <hyperlink ref="G511" r:id="rId505" location="section-investors" xr:uid="{6A6AD2A9-2BFA-46F8-86EB-14488EC71120}"/>
    <hyperlink ref="G512" r:id="rId506" xr:uid="{BFF23E5A-29E7-4013-A4FD-0F8AF15FF6BD}"/>
    <hyperlink ref="G513" r:id="rId507" xr:uid="{5FEA6DDC-54BB-4437-B393-56EB01476574}"/>
    <hyperlink ref="G514" r:id="rId508" xr:uid="{769EF52A-862A-4BB8-B241-92FD90839A93}"/>
    <hyperlink ref="G515" r:id="rId509" xr:uid="{FC1421FB-0112-413D-9437-CBB0C36608C1}"/>
    <hyperlink ref="G516" r:id="rId510" xr:uid="{DD0101C7-E2F0-4F45-83F0-4CA2640D3E98}"/>
    <hyperlink ref="G517" r:id="rId511" xr:uid="{9B692489-C273-4F3F-B0C8-0EDC51121CB0}"/>
    <hyperlink ref="G518" r:id="rId512" location="section-locked-marketplace" xr:uid="{A29031BB-9EB9-4A93-889B-27E4656817AF}"/>
    <hyperlink ref="G519" r:id="rId513" xr:uid="{98DA9658-AD36-4229-829C-3AB09E3026CB}"/>
    <hyperlink ref="G520" r:id="rId514" xr:uid="{90706EA8-0428-4A91-9844-591909BD3EBA}"/>
    <hyperlink ref="G521" r:id="rId515" xr:uid="{351EE291-5051-459F-A4ED-3DB7A8681C22}"/>
    <hyperlink ref="G522" r:id="rId516" xr:uid="{7B841B34-E0DF-49D9-B4CF-3980D51D755C}"/>
    <hyperlink ref="G523" r:id="rId517" location="section-lead-investors" xr:uid="{992B5782-A574-44DB-98D3-24A795BD0F49}"/>
    <hyperlink ref="G524" r:id="rId518" xr:uid="{7012BCDF-3F7C-4DC7-90E1-A6030F30A467}"/>
    <hyperlink ref="G525" r:id="rId519" xr:uid="{C4559387-5692-41E9-A137-EF9F8F816EB7}"/>
    <hyperlink ref="G526" r:id="rId520" xr:uid="{CFEB8375-D372-4DBB-8BA7-EB64AA6CF9AC}"/>
    <hyperlink ref="G527" r:id="rId521" xr:uid="{377EF037-D264-42E5-AEBD-3F884203B6AC}"/>
    <hyperlink ref="G528" r:id="rId522" xr:uid="{71025713-3229-4575-BC16-2D3CE18D085A}"/>
    <hyperlink ref="G529" r:id="rId523" xr:uid="{2DBFBE9B-DAE4-46F2-8CB6-F50873FB841C}"/>
    <hyperlink ref="G530" r:id="rId524" xr:uid="{EF3FDEA7-0CE4-4C37-B1FA-504157B83B6D}"/>
    <hyperlink ref="G531" r:id="rId525" xr:uid="{8640589F-E3EF-4A39-A19B-7EE6E668924F}"/>
    <hyperlink ref="G532" r:id="rId526" xr:uid="{14BAA4D2-7895-4B8C-98B6-34EDA89F385C}"/>
    <hyperlink ref="G533" r:id="rId527" xr:uid="{55B711ED-8EC9-469B-B500-4483CEF0686A}"/>
    <hyperlink ref="G534" r:id="rId528" xr:uid="{1F18AEB0-1045-4D94-9A9C-8C19158271BC}"/>
    <hyperlink ref="G535" r:id="rId529" xr:uid="{C83177FC-0A39-4035-BE6E-61321116CC4E}"/>
    <hyperlink ref="G536" r:id="rId530" xr:uid="{2E09857A-AC21-48CE-815D-A26A583AA783}"/>
    <hyperlink ref="G537" r:id="rId531" xr:uid="{320E8131-E973-401C-8B36-56731D402AF7}"/>
    <hyperlink ref="G538" r:id="rId532" xr:uid="{41235F65-6BFB-439D-9FCD-6C61563E1E8F}"/>
    <hyperlink ref="G539" r:id="rId533" xr:uid="{2FB2FFBD-5407-47EE-8B01-1321E2810367}"/>
    <hyperlink ref="G540" r:id="rId534" location=".XAuM03Qzbb0" xr:uid="{B530BA0D-105F-4524-A442-DAF6937B9AB8}"/>
    <hyperlink ref="G541" r:id="rId535" xr:uid="{C7BFB3C9-7994-4131-98CE-63A928FAD9CB}"/>
    <hyperlink ref="B542" r:id="rId536" xr:uid="{C40706DC-D197-4DA2-A616-4CE5BDA0DB20}"/>
    <hyperlink ref="G542" r:id="rId537" xr:uid="{BF124775-6914-4A73-8868-8F00CFDB0AEF}"/>
    <hyperlink ref="G543" r:id="rId538" xr:uid="{223096EC-76A5-4A0A-A445-75D6329EF4B0}"/>
    <hyperlink ref="G544" r:id="rId539" xr:uid="{7BF505F5-788F-458C-9C0F-CA5CC13F0E4C}"/>
    <hyperlink ref="G545" r:id="rId540" xr:uid="{F4F4117B-EF51-48BB-A32A-F60A47E08A57}"/>
    <hyperlink ref="G546" r:id="rId541" xr:uid="{0C0F84FC-9143-49B7-B362-0071CABD86D2}"/>
    <hyperlink ref="G547" r:id="rId542" xr:uid="{55B83DE0-5B50-4011-897E-702A3983109D}"/>
    <hyperlink ref="G548" r:id="rId543" xr:uid="{68E64253-5D87-4A75-BEAD-D8ED731BBCA2}"/>
    <hyperlink ref="G549" r:id="rId544" xr:uid="{C77AEBA2-2BED-4391-9A85-DD34F4470730}"/>
    <hyperlink ref="G550" r:id="rId545" xr:uid="{23CDD5A5-8B49-46E3-946C-D056EBF74E4A}"/>
    <hyperlink ref="G551" r:id="rId546" xr:uid="{8DB4FD59-2E0A-43BA-AF0B-2766F4170255}"/>
    <hyperlink ref="G552" r:id="rId547" xr:uid="{8F3D1E61-9FBA-4EEF-8AE5-DF32947B0BF4}"/>
    <hyperlink ref="G553" r:id="rId548" location="section-overview" xr:uid="{2F5846A2-D9A3-4594-9817-57E56E5510C8}"/>
    <hyperlink ref="G554" r:id="rId549" xr:uid="{0E992855-7AA8-402E-8DA8-AA746743D9DD}"/>
    <hyperlink ref="G555" r:id="rId550" xr:uid="{11E1E7AB-869E-4B87-B75A-EED818DF2E84}"/>
    <hyperlink ref="G556" r:id="rId551" xr:uid="{1528BB65-1AC9-481C-805E-8A25654E5B23}"/>
    <hyperlink ref="G557" r:id="rId552" location=".XA5uYnQzbb1" xr:uid="{A16A6F3D-C945-4EDB-87CC-BFF9296EFBCE}"/>
    <hyperlink ref="G558" r:id="rId553" xr:uid="{637D0F5A-CBC9-4B23-AD79-2127EED53418}"/>
    <hyperlink ref="G559" r:id="rId554" xr:uid="{965D9418-B4D0-4C04-A207-7F716708DEB4}"/>
    <hyperlink ref="G560" r:id="rId555" xr:uid="{B85561AF-4A26-436D-8E47-8897398B0D79}"/>
    <hyperlink ref="G561" r:id="rId556" xr:uid="{AD62F317-B600-4EEE-9ABA-140528CDA486}"/>
    <hyperlink ref="G562" r:id="rId557" xr:uid="{08A4BA2E-C108-4217-9F84-71258991F6B3}"/>
    <hyperlink ref="G563" r:id="rId558" xr:uid="{C8C9DF38-C84E-4B1C-85CA-D846ED09C97B}"/>
    <hyperlink ref="G564" r:id="rId559" location="section-investors" xr:uid="{9039F56A-B1A0-4C1D-B640-83DB3930E3D7}"/>
    <hyperlink ref="G565" r:id="rId560" xr:uid="{EADA911B-67C9-4B0A-8BC7-108807D37734}"/>
    <hyperlink ref="G566" r:id="rId561" xr:uid="{0F51E9D3-6CA7-42B6-9BB0-D1461C0328AF}"/>
    <hyperlink ref="G567" r:id="rId562" xr:uid="{5ABD0ED2-41A3-4F1F-82B1-7E3034C3F2A8}"/>
    <hyperlink ref="G568" r:id="rId563" xr:uid="{6E1920C9-AD47-4B17-85BC-CF369A30E1C8}"/>
    <hyperlink ref="G569" r:id="rId564" xr:uid="{351F50B3-E234-4D09-8C07-D405389FAA59}"/>
    <hyperlink ref="G570" r:id="rId565" xr:uid="{830B549B-A277-4D63-8CEF-D752BD6D9D05}"/>
    <hyperlink ref="G571" r:id="rId566" xr:uid="{5EE6EC80-06D9-4B54-A85D-2B00DB7EA4A2}"/>
    <hyperlink ref="G572" r:id="rId567" xr:uid="{2669EF53-4CAF-44F5-9E61-FE7BBCBF984B}"/>
    <hyperlink ref="G573" r:id="rId568" xr:uid="{ACF622DA-722C-4751-85C8-D33D22358DB4}"/>
    <hyperlink ref="G574" r:id="rId569" xr:uid="{C66C2EF6-E671-4A41-8314-6ECBA0B076BB}"/>
    <hyperlink ref="G575" r:id="rId570" xr:uid="{B08351FD-6494-467F-AA59-9B3D20273E25}"/>
    <hyperlink ref="G576" r:id="rId571" xr:uid="{2ED68EFD-00AF-4BB5-A7DD-F411B46455D4}"/>
    <hyperlink ref="G577" r:id="rId572" xr:uid="{CF1088DE-145E-4E29-9943-8943957408CB}"/>
    <hyperlink ref="G578" r:id="rId573" xr:uid="{3880E600-F927-49BC-A12E-B1C4E23B71F6}"/>
    <hyperlink ref="G579" r:id="rId574" location=".XAeef2gzbb0" xr:uid="{AF0B343C-BB8D-451B-971C-9F57036391F5}"/>
    <hyperlink ref="G580" r:id="rId575" xr:uid="{9D2DB6DF-E3A8-41C5-9099-940A4DF5B0B3}"/>
    <hyperlink ref="G581" r:id="rId576" xr:uid="{4B77D86A-0DE2-45F2-B217-1608FAF6F7D9}"/>
    <hyperlink ref="G582" r:id="rId577" xr:uid="{D427B8E1-0D1B-4663-98EA-9DA5BF4DB963}"/>
    <hyperlink ref="G583" r:id="rId578" location="section-lead-investors" xr:uid="{2C18DE10-B1EB-45AD-83AA-9B7366074315}"/>
    <hyperlink ref="G584" r:id="rId579" location="section-overview" xr:uid="{29EE7173-1959-4BAF-BA87-036B0DC14A9C}"/>
    <hyperlink ref="G585" r:id="rId580" xr:uid="{5377B09E-5215-432B-B820-1EE25E01A9FA}"/>
    <hyperlink ref="G586" r:id="rId581" location="section-lead-investors" xr:uid="{A101A3D4-AC36-4BD6-8C78-9ADD0C0F1C30}"/>
    <hyperlink ref="G587" r:id="rId582" xr:uid="{E5FA26F5-2CE8-4EA8-A05E-1A47A66B31EF}"/>
    <hyperlink ref="G588" r:id="rId583" location=".XD4V4lwzbb1" xr:uid="{6C648638-4DDA-4082-803A-933BA3C83060}"/>
    <hyperlink ref="G589" r:id="rId584" location="section-overview" xr:uid="{4F1275A2-256B-424A-9902-2AEF15E1F59B}"/>
    <hyperlink ref="G590" r:id="rId585" xr:uid="{F191D4F8-0708-453C-8EDD-B1F4D5CC2FE0}"/>
    <hyperlink ref="G591" r:id="rId586" xr:uid="{9C3E6E73-20F3-4C68-90B3-D0AE99C92CA2}"/>
    <hyperlink ref="G592" r:id="rId587" xr:uid="{24C866D2-33F1-40A7-8567-A5325D620A3A}"/>
    <hyperlink ref="G593" r:id="rId588" xr:uid="{53A47CC3-0818-4683-8529-986C55D17892}"/>
    <hyperlink ref="G594" r:id="rId589" xr:uid="{7C4FB105-5BA9-462C-BCDF-1B81C0D7DB29}"/>
    <hyperlink ref="G595" r:id="rId590" xr:uid="{D09C8FFA-156E-44A6-9AA5-0CAFEF5E9D46}"/>
    <hyperlink ref="G596" r:id="rId591" xr:uid="{7E303FB2-5C2F-4CCC-B92F-3B778ACEB7FD}"/>
    <hyperlink ref="G597" r:id="rId592" xr:uid="{E98A44F4-2887-49E2-86F2-90E1A831ECED}"/>
    <hyperlink ref="G598" r:id="rId593" xr:uid="{9620306A-0FCD-4733-8D40-9FCE120E4FAA}"/>
    <hyperlink ref="G599" r:id="rId594" xr:uid="{9978BF31-3CDF-4A6D-B4BC-D0E4C05F5C32}"/>
    <hyperlink ref="G600" r:id="rId595" xr:uid="{A0D59CAE-30EE-4B52-AFFA-B3CBDD554A57}"/>
    <hyperlink ref="G601" r:id="rId596" location=".XAk6PGgzbb0" xr:uid="{BEA3DED2-7A8B-43C2-9B70-190AF6B35EFD}"/>
    <hyperlink ref="G602" r:id="rId597" xr:uid="{48C94E8B-69E2-4789-8E56-1B1BA69CF86E}"/>
    <hyperlink ref="G603" r:id="rId598" xr:uid="{22CE2555-56CF-4E97-AC0A-EFFE8CBCD647}"/>
    <hyperlink ref="G604" r:id="rId599" xr:uid="{14A8D0B8-66E1-427C-B4E6-B1A44D45EA97}"/>
    <hyperlink ref="G605" r:id="rId600" xr:uid="{ED510E22-5F49-4A39-8342-25969FE64D13}"/>
    <hyperlink ref="G606" r:id="rId601" xr:uid="{0DBD42AA-04A9-42D2-AC90-CCCB8CCEAEB5}"/>
    <hyperlink ref="G607" r:id="rId602" xr:uid="{110EFA2D-EE59-4D05-AC49-3F610CBB6DD6}"/>
    <hyperlink ref="G608" r:id="rId603" xr:uid="{8C4BBCC4-1CE9-48C2-87B5-229A70E5CC08}"/>
    <hyperlink ref="G609" r:id="rId604" xr:uid="{7CFB2125-488D-4809-AA17-C6BC986504DF}"/>
    <hyperlink ref="G610" r:id="rId605" xr:uid="{672B67E1-3135-42D4-BB7C-F6D4A77B465C}"/>
    <hyperlink ref="G611" r:id="rId606" xr:uid="{AFA05BBE-920A-4EDE-88AA-2DF0C80871D6}"/>
    <hyperlink ref="G612" r:id="rId607" xr:uid="{1C41127A-D4E4-4122-9D24-417D5AA82349}"/>
    <hyperlink ref="G613" r:id="rId608" location="section-overview" xr:uid="{97AEC902-075E-4872-82E7-61EE01B4DA57}"/>
    <hyperlink ref="G614" r:id="rId609" location="section-investors" xr:uid="{467FC874-B63A-4512-9A14-8077F4C14024}"/>
    <hyperlink ref="G615" r:id="rId610" xr:uid="{0D4A2DC5-5EA3-4B78-909A-7AB98E1C73AA}"/>
    <hyperlink ref="G616" r:id="rId611" xr:uid="{230165BC-AFBB-4821-9D92-A6DC90F449FF}"/>
    <hyperlink ref="G617" r:id="rId612" xr:uid="{B3E97465-CEA1-4804-82A1-9593ED15DA97}"/>
    <hyperlink ref="G618" r:id="rId613" xr:uid="{47DAFCC9-55FC-4C1B-A6D1-DB781F03B4C8}"/>
    <hyperlink ref="G619" r:id="rId614" location="section-investors" xr:uid="{15A34534-B65E-4401-9E1F-A443A5BEE447}"/>
    <hyperlink ref="G620" r:id="rId615" xr:uid="{8B5BC443-0BED-4694-A958-D450AD88780B}"/>
    <hyperlink ref="G621" r:id="rId616" xr:uid="{E71FCCE6-BA25-4BBD-AB0C-B41F8F7A1231}"/>
    <hyperlink ref="G622" r:id="rId617" xr:uid="{E3E38827-B8B4-4095-8EB0-537C8CAD827B}"/>
    <hyperlink ref="G623" r:id="rId618" xr:uid="{114B094D-4F57-4064-9854-24F982CC802B}"/>
    <hyperlink ref="G624" r:id="rId619" xr:uid="{859492B4-3D17-4032-BB3E-692611B32524}"/>
    <hyperlink ref="G625" r:id="rId620" xr:uid="{EBAE66CA-50DA-43E2-9050-455D3D3D1FCF}"/>
    <hyperlink ref="G626" r:id="rId621" xr:uid="{147B4C6B-C498-460B-83C5-3A0A2F92AAED}"/>
    <hyperlink ref="G627" r:id="rId622" xr:uid="{DD63D00D-8A25-4E55-8A14-8A082705F11D}"/>
    <hyperlink ref="G628" r:id="rId623" location=".XAuqvnQzbb0" xr:uid="{79ED0DE6-CC2A-4188-9C31-A0DE0D9AE74E}"/>
    <hyperlink ref="G629" r:id="rId624" xr:uid="{5FCA9555-CA75-49D6-B9DE-58F8838680DD}"/>
    <hyperlink ref="G630" r:id="rId625" xr:uid="{6EA61FC5-177A-48C3-A1A2-5B67077BB64D}"/>
    <hyperlink ref="G631" r:id="rId626" xr:uid="{8F2E4388-3834-4A25-AFF3-6B78246A98D6}"/>
    <hyperlink ref="G632" r:id="rId627" xr:uid="{FC87EE80-F518-46EC-9529-480EA7C90EA8}"/>
    <hyperlink ref="G633" r:id="rId628" xr:uid="{4576AD5E-D8B3-4088-A4C9-5FD961208DDC}"/>
    <hyperlink ref="G634" r:id="rId629" xr:uid="{C6E5C757-BA53-46D8-96DD-186A321A1407}"/>
    <hyperlink ref="G635" r:id="rId630" xr:uid="{1061216E-86DF-4E06-A908-98E6E5C99D66}"/>
    <hyperlink ref="G636" r:id="rId631" xr:uid="{28EB8D56-8D50-4BA3-B708-85D6FA90DD1D}"/>
    <hyperlink ref="G637" r:id="rId632" xr:uid="{226E3143-304F-4E1A-9715-4D7904D21BC9}"/>
    <hyperlink ref="G638" r:id="rId633" location="section-overview" xr:uid="{38CFF26B-659C-4CE4-8A16-CF55B338A812}"/>
    <hyperlink ref="G639" r:id="rId634" xr:uid="{A1B1052C-780B-402B-BE86-C1B7D8535F7D}"/>
    <hyperlink ref="G640" r:id="rId635" xr:uid="{7B2BE595-E71F-448C-B652-6CD724DB66CA}"/>
    <hyperlink ref="B641" r:id="rId636" xr:uid="{309D8ED2-325D-4177-AAA8-C12E0C50AFA1}"/>
    <hyperlink ref="G641" r:id="rId637" xr:uid="{EC19B135-AB4F-4D9D-BF86-FD4FC69A0179}"/>
    <hyperlink ref="G642" r:id="rId638" location="section-funding-rounds" xr:uid="{F9EC8426-8AAE-41BC-8D0B-B16BC12495A3}"/>
    <hyperlink ref="G643" r:id="rId639" xr:uid="{0D6A806E-CA3E-4430-83C9-BA365F5E541E}"/>
    <hyperlink ref="G644" r:id="rId640" xr:uid="{B419DC8E-B503-400A-BDE3-77F98CB809A0}"/>
    <hyperlink ref="G645" r:id="rId641" xr:uid="{43DCE66E-B779-4C2B-BC91-CB380177F37B}"/>
    <hyperlink ref="B646" r:id="rId642" xr:uid="{DAF9BE7D-F004-4A80-A061-C493BBB76953}"/>
    <hyperlink ref="G646" r:id="rId643" location="section-overview" xr:uid="{C7BA4CF8-BA39-4D32-B6E7-93B739D9AA03}"/>
    <hyperlink ref="G647" r:id="rId644" xr:uid="{C27FBEA2-E1CC-4DA7-A94D-6736EAD7430D}"/>
    <hyperlink ref="G648" r:id="rId645" xr:uid="{C5FD22AF-3070-4E37-B5C7-7FBED22C185F}"/>
    <hyperlink ref="G649" r:id="rId646" xr:uid="{448C0259-B44D-4038-9563-D45F1A1F42F5}"/>
    <hyperlink ref="G650" r:id="rId647" xr:uid="{4A6865A0-1A62-4EF6-B95A-0ACF3C279C4B}"/>
    <hyperlink ref="G651" r:id="rId648" xr:uid="{EB404B2C-F1ED-4D12-94D9-4559C6C3A2C6}"/>
    <hyperlink ref="G652" r:id="rId649" location=".XAuXbHQzbb0" xr:uid="{AB7BC68D-7283-4C45-9EEE-6652AA16589E}"/>
    <hyperlink ref="G653" r:id="rId650" xr:uid="{0596903E-7C8F-4AC9-BF45-8E024E92E297}"/>
    <hyperlink ref="G654" r:id="rId651" xr:uid="{C708CC93-2E39-4E08-AE39-BCBD43CC55C9}"/>
    <hyperlink ref="G655" r:id="rId652" xr:uid="{68801319-36B9-48E2-B2A0-6093B6D70E0D}"/>
    <hyperlink ref="G656" r:id="rId653" xr:uid="{19AAB3FB-DCD4-4D53-8560-42A02705589A}"/>
    <hyperlink ref="G657" r:id="rId654" xr:uid="{209D4444-17C5-4483-B131-256A05FE5214}"/>
    <hyperlink ref="G658" r:id="rId655" xr:uid="{7C273CB3-C016-4818-ADFF-D0A48138417C}"/>
    <hyperlink ref="G659" r:id="rId656" xr:uid="{09FF0C7F-3977-4AC7-994D-51A008D58CA7}"/>
    <hyperlink ref="G660" r:id="rId657" xr:uid="{C19EE679-88AD-4A87-8000-6491D6C60A46}"/>
    <hyperlink ref="G661" r:id="rId658" xr:uid="{82FA401C-3B59-4BED-8987-45CD2E64904A}"/>
    <hyperlink ref="G662" r:id="rId659" location="section-lead-investors" xr:uid="{EBC08B31-45AC-4EAE-8E40-4C1255418F9F}"/>
    <hyperlink ref="G663" r:id="rId660" xr:uid="{ED8D3F57-E333-41D1-837F-E9F26AEE218E}"/>
    <hyperlink ref="G665" r:id="rId661" xr:uid="{9623DC15-785F-4C89-B7FF-ACA8B181B109}"/>
    <hyperlink ref="G666" r:id="rId662" xr:uid="{2DD8B99A-0D7A-4AA1-9E98-FB284FD27867}"/>
    <hyperlink ref="G667" r:id="rId663" xr:uid="{313EDCEB-6BFF-4FA6-AA01-53430984C5AC}"/>
    <hyperlink ref="G668" r:id="rId664" xr:uid="{A203330F-70E6-4643-9FCA-D62C6029B0D0}"/>
    <hyperlink ref="G669" r:id="rId665" xr:uid="{1870F5B0-6300-43E6-A594-1F3BAB8066B1}"/>
    <hyperlink ref="G670" r:id="rId666" location="section-investors" xr:uid="{A6B58501-9A7C-4D61-B192-BDA4FBF98C35}"/>
    <hyperlink ref="G671" r:id="rId667" xr:uid="{EA210673-898F-4531-A8AE-276E7617225A}"/>
    <hyperlink ref="G672" r:id="rId668" xr:uid="{F6609632-CBB5-4574-93F7-9E2D2E9FDED4}"/>
    <hyperlink ref="G673" r:id="rId669" location="section-recent-news" xr:uid="{D4E20FF1-909B-4D5A-96EE-F253F427854B}"/>
    <hyperlink ref="G674" r:id="rId670" xr:uid="{6E9F9AB7-6FFA-4CC0-A7A8-6C368034F64F}"/>
    <hyperlink ref="G675" r:id="rId671" xr:uid="{39DFC8D8-8E80-4771-9EC4-E44FF5AA2D35}"/>
    <hyperlink ref="G676" r:id="rId672" location="section-overview" xr:uid="{93EE780C-40E4-4EA4-B657-2AE307D60209}"/>
    <hyperlink ref="G677" r:id="rId673" xr:uid="{A23AEFEE-B68E-4F0A-8985-FAB742F0BD4B}"/>
    <hyperlink ref="G678" r:id="rId674" xr:uid="{24D2D1A4-96FE-4156-BCB9-8A348477BCFF}"/>
    <hyperlink ref="G679" r:id="rId675" xr:uid="{F0A5EAD2-4978-4770-B00D-BB6B34EC0979}"/>
    <hyperlink ref="G680" r:id="rId676" location="section-investors" xr:uid="{9CB02539-9084-40C6-B86D-901FB73A1B59}"/>
    <hyperlink ref="G681" r:id="rId677" xr:uid="{FEC06BA5-A1FE-4937-BCB4-556FE8B8B906}"/>
    <hyperlink ref="G682" r:id="rId678" xr:uid="{ED59C03B-592E-4B67-B7D3-6BA66B7C54E8}"/>
    <hyperlink ref="G683" r:id="rId679" xr:uid="{B6F1DC91-14DF-47E1-995F-14793287CB7E}"/>
    <hyperlink ref="G684" r:id="rId680" xr:uid="{88C596B3-E287-4AD6-AC4F-89B82709730B}"/>
    <hyperlink ref="G685" r:id="rId681" xr:uid="{1C8C5CD2-DB48-4A4B-82F7-1678A3C753A3}"/>
    <hyperlink ref="G687" r:id="rId682" location=".XAvrdXQzbb1" xr:uid="{7540D524-6416-48AA-8A09-C34F8303F737}"/>
    <hyperlink ref="G688" r:id="rId683" xr:uid="{5588C0AA-A49B-4CD0-B2CF-5C40878CAFED}"/>
    <hyperlink ref="G689" r:id="rId684" location=".XAuFg3Qzbb1" xr:uid="{925948A4-360A-4F41-A109-4025D9D84CBB}"/>
    <hyperlink ref="G690" r:id="rId685" xr:uid="{3E8E4F72-C09B-440A-9F84-5256FC7FF4BD}"/>
    <hyperlink ref="G691" r:id="rId686" xr:uid="{2D0C703A-924E-4C4C-BBDD-DE16030B78A4}"/>
    <hyperlink ref="G692" r:id="rId687" xr:uid="{3B0E2189-E386-49A9-B57D-AFFE4D7DC902}"/>
    <hyperlink ref="G693" r:id="rId688" location=".XAquI2gzbb0" xr:uid="{56F83F13-610C-4570-96D9-BF3C6B5141A5}"/>
    <hyperlink ref="G694" r:id="rId689" xr:uid="{1954CE3E-64F3-4560-A7F2-1A97028DBFEC}"/>
    <hyperlink ref="G695" r:id="rId690" xr:uid="{ABE683B2-EEDD-4F16-86BC-1C8A76CBB2BB}"/>
    <hyperlink ref="G696" r:id="rId691" xr:uid="{4A290211-D4FC-4FDF-8CF6-A18F341EF795}"/>
    <hyperlink ref="G697" r:id="rId692" xr:uid="{2F6DA2F6-2288-4C5B-BB65-4870FE8767E3}"/>
    <hyperlink ref="G698" r:id="rId693" location="section-overview" xr:uid="{E41E5672-B2FB-4B3A-8B5D-3B20014CE33D}"/>
    <hyperlink ref="G699" r:id="rId694" xr:uid="{FDDA55C6-922E-4E86-A36D-4BE648A800F1}"/>
    <hyperlink ref="G700" r:id="rId695" xr:uid="{981E184B-B319-4F5E-927E-DD36C69FD40C}"/>
    <hyperlink ref="G701" r:id="rId696" xr:uid="{9E372D77-1B37-4458-A644-9CD5A151D12E}"/>
    <hyperlink ref="G702" r:id="rId697" xr:uid="{A7A70940-1F44-4526-AA14-F515D1CA4D8B}"/>
    <hyperlink ref="G703" r:id="rId698" xr:uid="{C43A9074-90B8-45E3-BA85-011BA6A87346}"/>
    <hyperlink ref="G704" r:id="rId699" xr:uid="{46978774-53A2-4D19-9F84-57E3FCC48232}"/>
    <hyperlink ref="G705" r:id="rId700" location=".XAqkTWgzbb1" xr:uid="{CE760A89-6F22-460E-AA51-8D476129A434}"/>
    <hyperlink ref="G706" r:id="rId701" xr:uid="{B0864785-B702-4588-A0B7-FFF602EB5093}"/>
    <hyperlink ref="G707" r:id="rId702" xr:uid="{94A99C6A-E054-4207-BB35-3680B593DF2F}"/>
    <hyperlink ref="G708" r:id="rId703" xr:uid="{EF84D3B8-B7CD-4415-9CEF-95389B2D1F57}"/>
    <hyperlink ref="G709" r:id="rId704" xr:uid="{340DB6E5-5B91-4773-B465-8DB9DB1CB9DA}"/>
    <hyperlink ref="G710" r:id="rId705" xr:uid="{47E5F7D4-21E4-4E3C-90EC-FDC1001AC935}"/>
    <hyperlink ref="G711" r:id="rId706" xr:uid="{D34154F2-614E-4CA2-B8F4-76041E38B89E}"/>
    <hyperlink ref="G712" r:id="rId707" xr:uid="{3E3BA747-F774-4C44-B51A-BA7F48DAA0B2}"/>
    <hyperlink ref="G713" r:id="rId708" xr:uid="{2843D970-9856-4B76-AE03-639BC03C06B4}"/>
    <hyperlink ref="G714" r:id="rId709" location=".W5Z6rxRRXeQ" xr:uid="{DFBA7E05-DFF9-4DF8-9B63-0C2489306759}"/>
    <hyperlink ref="G715" r:id="rId710" location="section-investors" xr:uid="{E42BF73A-6645-400B-85D9-8B8E02303954}"/>
    <hyperlink ref="G716" r:id="rId711" location="section-overview" xr:uid="{F4B57A2D-CE00-41C2-AA28-4F56C4F9FE13}"/>
    <hyperlink ref="G717" r:id="rId712" xr:uid="{EE129024-4B83-47CF-A402-0F4468DFEDAF}"/>
    <hyperlink ref="G718" r:id="rId713" xr:uid="{60975EAF-03A1-430C-82B8-732D14287062}"/>
    <hyperlink ref="B719" r:id="rId714" xr:uid="{B7670A9F-C429-4A13-A8A5-E2A7E0432F51}"/>
    <hyperlink ref="G719" r:id="rId715" xr:uid="{674A5318-1384-4511-9B3D-BA3658E47779}"/>
    <hyperlink ref="G720" r:id="rId716" xr:uid="{4AABFDC5-A4AA-4AC1-9767-9206CAA60C30}"/>
    <hyperlink ref="G721" r:id="rId717" xr:uid="{2773E076-96CA-4459-91E5-086BDD1657AE}"/>
    <hyperlink ref="G722" r:id="rId718" xr:uid="{A27C9767-611D-40D4-BF8B-8910CED774B6}"/>
    <hyperlink ref="G723" r:id="rId719" xr:uid="{35C84DBC-9A1F-442C-9708-EF3F0005768B}"/>
    <hyperlink ref="G724" r:id="rId720" location=".XBIMUnQzbb2" xr:uid="{5F536140-CE15-4DBF-8F31-D0300C9ABDA8}"/>
    <hyperlink ref="G725" r:id="rId721" location=".XBIMUnQzbb2" xr:uid="{F76539BE-AD85-43B9-AE8C-09BDC4E5C78B}"/>
    <hyperlink ref="G726" r:id="rId722" location=".XBIMUnQzbb2" xr:uid="{8D765EBB-6156-4F2E-B5E2-AD0DC0D98CCD}"/>
    <hyperlink ref="G727" r:id="rId723" location=".XBIMUnQzbb2" xr:uid="{6215FD93-F0DB-4F67-AFE1-9A08DA2E6552}"/>
    <hyperlink ref="G728" r:id="rId724" location=".XBILFnQzbb0" xr:uid="{19AB474B-E1F2-4B18-A873-4BAD2FDD89A4}"/>
    <hyperlink ref="G729" r:id="rId725" location=".XBIL-HQzbb1" xr:uid="{0C94E7E4-3B17-492C-8178-93FE4A03CEC3}"/>
    <hyperlink ref="G730" r:id="rId726" xr:uid="{546D8604-0F99-4A8A-BF71-DCB91DBF94D3}"/>
    <hyperlink ref="G731" r:id="rId727" xr:uid="{20E08772-BBF9-4F88-98FA-839C93881537}"/>
    <hyperlink ref="B732" r:id="rId728" xr:uid="{97F64DD2-0798-41D6-B229-7A1837C18BAA}"/>
    <hyperlink ref="G732" r:id="rId729" xr:uid="{10D7A799-830A-4CF0-8F60-B9C6D5416B3C}"/>
    <hyperlink ref="G733" r:id="rId730" xr:uid="{090A0D9E-7248-4606-8A81-FC876A88A3AE}"/>
    <hyperlink ref="G734" r:id="rId731" xr:uid="{715E1235-C814-4816-8A6D-6B5036186B15}"/>
    <hyperlink ref="G736" r:id="rId732" xr:uid="{3EA671C2-C687-4702-90B4-DC90C65ECD4B}"/>
    <hyperlink ref="G737" r:id="rId733" location=".W6D_DRRRXeR" xr:uid="{E35DBDB5-6984-472A-A2FB-A8AFE8338533}"/>
    <hyperlink ref="G738" r:id="rId734" xr:uid="{3D3961F0-5FE1-4136-BEB8-E319B4E7A97A}"/>
    <hyperlink ref="G739" r:id="rId735" xr:uid="{17A1A1C8-A9A7-4CF1-8D06-71BAD64C910D}"/>
    <hyperlink ref="G740" r:id="rId736" xr:uid="{6FAAD8CE-E138-4AA2-BE4D-0862443DEC19}"/>
    <hyperlink ref="G741" r:id="rId737" xr:uid="{B4822816-5C22-46F4-82C9-6E0EEB6344D9}"/>
    <hyperlink ref="G742" r:id="rId738" xr:uid="{AFF5CEA2-E82E-4040-B77F-3E08644EF598}"/>
    <hyperlink ref="G743" r:id="rId739" xr:uid="{FF5A42D4-A5E9-4768-A3D4-662B93CA5420}"/>
    <hyperlink ref="G745" r:id="rId740" xr:uid="{CF405D75-DFCB-4EAF-AB38-25E401925E47}"/>
    <hyperlink ref="G746" r:id="rId741" xr:uid="{03DA97F1-EB07-442B-9FBC-119FE230D9C6}"/>
    <hyperlink ref="G748" r:id="rId742" xr:uid="{194DFB41-D395-4CD3-978A-F98CDCF7FFEE}"/>
    <hyperlink ref="G749" r:id="rId743" xr:uid="{E14E8D15-FAC7-44E7-BD42-DFFC68680067}"/>
    <hyperlink ref="G750" r:id="rId744" xr:uid="{8BA5064E-AB22-429F-B87D-617533ECFB3A}"/>
    <hyperlink ref="G751" r:id="rId745" location=".XBJL1nQzbb0" xr:uid="{AFEE6F1C-8942-4AF2-8115-94D982137982}"/>
    <hyperlink ref="G752" r:id="rId746" xr:uid="{0F5CB34C-9E6C-4471-8E71-4627A5B14C16}"/>
    <hyperlink ref="G753" r:id="rId747" location=".XAwUp3Qzbb0" xr:uid="{F1BDAC10-2774-4340-B7A7-CE9705B66174}"/>
    <hyperlink ref="G754" r:id="rId748" location="section-investors" xr:uid="{BCFE65D2-532A-4356-AE48-8115148F4DE1}"/>
    <hyperlink ref="G756" r:id="rId749" xr:uid="{828B3A31-73FC-40B6-AB16-ADB4E77DBE2A}"/>
    <hyperlink ref="G757" r:id="rId750" location="section-overview" xr:uid="{E5302005-84CB-4BA3-B130-669A32341ECB}"/>
    <hyperlink ref="G758" r:id="rId751" xr:uid="{ED1CBFFF-8A20-46F4-AEE1-ABEC8A4D3D84}"/>
    <hyperlink ref="G759" r:id="rId752" xr:uid="{74B7CE39-3ADB-4B14-BAC2-4C7683740E88}"/>
    <hyperlink ref="G760" r:id="rId753" xr:uid="{052A940A-2569-4B2A-93AE-148E24B10E20}"/>
    <hyperlink ref="G761" r:id="rId754" location=".XBjZGVwzbb0" xr:uid="{955F5216-26B8-4602-9679-752B684B67D7}"/>
    <hyperlink ref="G762" r:id="rId755" xr:uid="{85B9FC02-4068-49C5-97CA-57026FD0393C}"/>
    <hyperlink ref="G763" r:id="rId756" xr:uid="{277C66B3-1377-4300-88F7-71FAEB87E1B5}"/>
    <hyperlink ref="G764" r:id="rId757" xr:uid="{900F92F1-1751-450F-BB67-240D5E732CA0}"/>
    <hyperlink ref="G765" r:id="rId758" xr:uid="{546CDE85-717F-4836-9F38-8ABD433132B5}"/>
    <hyperlink ref="G766" r:id="rId759" xr:uid="{8F2E2125-4CA5-4910-A58D-DCA8FFB56B45}"/>
    <hyperlink ref="G767" r:id="rId760" xr:uid="{6155C9BC-24E4-4CB1-8ED8-88B041A7ACEF}"/>
    <hyperlink ref="G768" r:id="rId761" xr:uid="{F8F14434-1B3E-4998-8C6E-1883605696E6}"/>
    <hyperlink ref="G769" r:id="rId762" xr:uid="{E929C402-BEA8-4BF8-A5B2-967A7F67D8AD}"/>
    <hyperlink ref="G770" r:id="rId763" xr:uid="{9E428D23-6C81-443F-8F94-065A09F5E39F}"/>
    <hyperlink ref="G771" r:id="rId764" location=".XA5Pk3Qzbb0" xr:uid="{057D3499-1AD9-4B35-BBBD-D980F27082A9}"/>
    <hyperlink ref="G772" r:id="rId765" xr:uid="{6B072438-F676-4F00-87BA-5816655A0E63}"/>
    <hyperlink ref="G773" r:id="rId766" xr:uid="{E52A9615-51E9-4596-AC02-992AD39367A1}"/>
    <hyperlink ref="G774" r:id="rId767" xr:uid="{C76FA091-98E7-4E4B-886A-433002BB7343}"/>
    <hyperlink ref="G775" r:id="rId768" xr:uid="{FCD35B3E-2899-405A-8B22-E0745D0C2AD5}"/>
    <hyperlink ref="G776" r:id="rId769" xr:uid="{7E5E2428-4C53-45DA-B93B-F731C1B414CB}"/>
    <hyperlink ref="G777" r:id="rId770" xr:uid="{D71CF641-57B9-4855-9D67-D67924C27820}"/>
    <hyperlink ref="G778" r:id="rId771" xr:uid="{1BD6939D-324C-46EA-A103-07D5121EBDBE}"/>
    <hyperlink ref="G779" r:id="rId772" xr:uid="{4EE3BD24-75FB-4AF6-B116-88B5843E00BF}"/>
    <hyperlink ref="G780" r:id="rId773" xr:uid="{3DFAC3B8-9987-4906-86B9-E41BE7153270}"/>
    <hyperlink ref="G781" r:id="rId774" xr:uid="{E69E2761-4309-4E79-91AA-EF55278ED612}"/>
    <hyperlink ref="G782" r:id="rId775" xr:uid="{2F1E74B2-14C3-4FB7-9831-00A0C63F3299}"/>
    <hyperlink ref="G783" r:id="rId776" xr:uid="{96820178-B58F-4C3D-B147-753D8077C3A6}"/>
    <hyperlink ref="G784" r:id="rId777" xr:uid="{ABFBE776-EA4C-4AE3-A806-F1A03E9919B6}"/>
    <hyperlink ref="G785" r:id="rId778" xr:uid="{1E56FDDC-416D-48E4-A0AF-DE1ED69660FF}"/>
    <hyperlink ref="G786" r:id="rId779" xr:uid="{A6F5C4DA-4686-4834-9A8F-DD6E6E59474B}"/>
    <hyperlink ref="G787" r:id="rId780" xr:uid="{2BD057DB-3960-4F75-B5FB-667316FB1869}"/>
    <hyperlink ref="G788" r:id="rId781" location="section-overview" xr:uid="{6F4D756B-F1F0-4EEC-8C6D-55DA0B37DC6A}"/>
    <hyperlink ref="G789" r:id="rId782" xr:uid="{033514CA-07E5-415F-B239-0915E50E7C88}"/>
    <hyperlink ref="G790" r:id="rId783" location="section-funding-rounds" xr:uid="{940F651A-E521-4B42-A3B5-11F9F85D4D48}"/>
    <hyperlink ref="G791" r:id="rId784" xr:uid="{A8B029CD-7FCC-4394-AA58-0919094C14F9}"/>
    <hyperlink ref="G792" r:id="rId785" location="section-overview" xr:uid="{3036CFE0-A428-47EF-966B-CE05C79D9484}"/>
    <hyperlink ref="G793" r:id="rId786" location="section-funding-rounds" xr:uid="{1C096A60-AA96-45F3-BB67-C8C2BD7111AE}"/>
    <hyperlink ref="G794" r:id="rId787" xr:uid="{37A7CBDF-68C3-4E69-BC3A-0115F2E160EF}"/>
    <hyperlink ref="G795" r:id="rId788" xr:uid="{AD9BF946-D08C-4FD3-9ABD-D11EE182BB23}"/>
    <hyperlink ref="G796" r:id="rId789" xr:uid="{EA03D294-A54E-4505-89F9-4B5FC70C35E5}"/>
    <hyperlink ref="G797" r:id="rId790" xr:uid="{B5871B2C-1A06-4686-BB97-F698414C553B}"/>
    <hyperlink ref="G798" r:id="rId791" xr:uid="{D67DD4C7-A81D-4A4C-893B-B67AA33A5CFF}"/>
    <hyperlink ref="G799" r:id="rId792" xr:uid="{5E788098-94CE-4230-BDBC-30E94BFD0254}"/>
    <hyperlink ref="G800" r:id="rId793" xr:uid="{4311AD75-1D6A-4B83-9D69-8194C1BC0CD6}"/>
    <hyperlink ref="G801" r:id="rId794" xr:uid="{24BBC135-7CC5-4B5A-B1C3-37689C6F28A8}"/>
    <hyperlink ref="G802" r:id="rId795" location=".XAo6nWgzbb1" xr:uid="{E1AF170C-BF7E-4BCA-B730-543B5934164C}"/>
    <hyperlink ref="G803" r:id="rId796" xr:uid="{B33EA441-7B9A-4F57-B00A-78B9033EDAB1}"/>
    <hyperlink ref="G804" r:id="rId797" xr:uid="{3E487B00-FBB6-45F1-962D-3A25670CC5BD}"/>
    <hyperlink ref="G805" r:id="rId798" xr:uid="{3E580634-98FF-42ED-8124-E838BF0010EA}"/>
    <hyperlink ref="G806" r:id="rId799" xr:uid="{EE1851C0-477E-450D-A767-410C8A578F34}"/>
    <hyperlink ref="G807" r:id="rId800" xr:uid="{43A4789F-F4BA-43DA-AE63-7EF83BEAB734}"/>
    <hyperlink ref="G808" r:id="rId801" xr:uid="{9282D04E-C49C-49EB-A79D-7094317A2C70}"/>
    <hyperlink ref="G809" r:id="rId802" xr:uid="{E12021C8-222B-45B1-95CF-A6ED36DC655E}"/>
    <hyperlink ref="G810" r:id="rId803" xr:uid="{D845A40B-1999-4F37-A244-C41E4A093F4F}"/>
    <hyperlink ref="G811" r:id="rId804" xr:uid="{88CACCE1-5955-4B72-BF5F-7526759DD9C8}"/>
    <hyperlink ref="G812" r:id="rId805" xr:uid="{64EC9109-D378-4AE6-89B0-BB6A9740ECEB}"/>
    <hyperlink ref="G813" r:id="rId806" xr:uid="{C1CEC180-1B59-43A3-87D6-0C11C310A477}"/>
    <hyperlink ref="G814" r:id="rId807" xr:uid="{26795DEC-F5A7-4700-8AB4-83F07EE74AA5}"/>
    <hyperlink ref="G815" r:id="rId808" xr:uid="{00F69B23-4F62-44FB-9AA6-F66041FC9963}"/>
    <hyperlink ref="G816" r:id="rId809" xr:uid="{EFB257DC-8B6A-4E93-9AF6-8A75E6249E3F}"/>
    <hyperlink ref="G817" r:id="rId810" location="section-lead-investors" xr:uid="{3846187B-F40D-42EE-86A0-0FD8809EBFF9}"/>
    <hyperlink ref="G818" r:id="rId811" xr:uid="{07BB887F-136F-430C-A411-667EC3BE3FC4}"/>
    <hyperlink ref="G819" r:id="rId812" xr:uid="{6B7B1292-BC5B-441C-A1D7-4A15F2C97426}"/>
    <hyperlink ref="G820" r:id="rId813" xr:uid="{A84F169E-7EB6-4793-874A-A13A656350D5}"/>
    <hyperlink ref="G821" r:id="rId814" location=".XAo7FWgzbb2" xr:uid="{B5F4FA11-61A5-4837-9344-F9F22467274E}"/>
    <hyperlink ref="G822" r:id="rId815" xr:uid="{B452B4CD-D3A7-4376-9A13-95A28502985D}"/>
    <hyperlink ref="G823" r:id="rId816" xr:uid="{E6CC2F06-427C-44DD-AB7E-91D079E2FB32}"/>
    <hyperlink ref="G824" r:id="rId817" xr:uid="{27B221F0-9A92-4C80-B012-9F5E94F8F765}"/>
    <hyperlink ref="G825" r:id="rId818" xr:uid="{B9B4DAA4-C9C5-47CF-A09B-709DB0C25DC1}"/>
    <hyperlink ref="G826" r:id="rId819" xr:uid="{3C963F57-7D7C-4262-B2F1-CC6E7DBBC550}"/>
    <hyperlink ref="G827" r:id="rId820" xr:uid="{CD082839-0416-4BC0-A8FC-0618C088FE43}"/>
    <hyperlink ref="G828" r:id="rId821" xr:uid="{1E81D492-8A7B-4755-9AF1-326E491A9415}"/>
    <hyperlink ref="G829" r:id="rId822" xr:uid="{E46FE655-8C89-4149-9786-40D55B954FD1}"/>
    <hyperlink ref="G830" r:id="rId823" xr:uid="{CF40441D-B872-48C8-9974-F16547FED928}"/>
    <hyperlink ref="G831" r:id="rId824" xr:uid="{185782BB-7BB2-4862-BB00-B2271AA6F82F}"/>
    <hyperlink ref="G832" r:id="rId825" xr:uid="{C2FC3F19-9BE5-421E-B030-CE46A48D87C5}"/>
    <hyperlink ref="G833" r:id="rId826" xr:uid="{53301B0C-30EF-4192-A2D6-38EA993E0D89}"/>
    <hyperlink ref="G834" r:id="rId827" xr:uid="{A77D5535-5E55-491F-BEBC-56624FE6F2EB}"/>
    <hyperlink ref="G835" r:id="rId828" xr:uid="{6B30EF05-C245-439C-B21C-672D4E74F906}"/>
    <hyperlink ref="G836" r:id="rId829" xr:uid="{029D93C7-DBC9-43A7-9B85-0DD42573D1D3}"/>
    <hyperlink ref="G837" r:id="rId830" xr:uid="{E7DD110C-6E4E-4497-AC10-9C097695A777}"/>
    <hyperlink ref="G838" r:id="rId831" xr:uid="{BC915C79-144B-4D2A-B1E3-CD3DF90EB83D}"/>
    <hyperlink ref="G839" r:id="rId832" xr:uid="{7C86881D-8DBA-4A64-8E3E-5C2D06CEEBD7}"/>
    <hyperlink ref="G840" r:id="rId833" xr:uid="{D2492DF1-0C93-4AAE-A33A-779B02A357A2}"/>
    <hyperlink ref="G841" r:id="rId834" xr:uid="{0D2D5E26-F4A2-4BD8-B91F-82A4DA61A2FB}"/>
    <hyperlink ref="G842" r:id="rId835" xr:uid="{74874A94-A7A1-4039-8563-45B2D92B1814}"/>
    <hyperlink ref="G843" r:id="rId836" location="section-overview" xr:uid="{551509B5-5674-4705-A1AB-2C2E5E281039}"/>
    <hyperlink ref="G844" r:id="rId837" location="section-funding-rounds" xr:uid="{96BEFD0F-C210-4A7D-8303-EA8E74FB4C12}"/>
    <hyperlink ref="G845" r:id="rId838" location="section-overview" xr:uid="{17BBF83F-91B3-4EF6-B891-34D9985D440C}"/>
    <hyperlink ref="G846" r:id="rId839" location=".XBN6-1wzbb0" xr:uid="{F8EFD59F-C8D5-459E-97BE-1462DFAA328F}"/>
    <hyperlink ref="G847" r:id="rId840" location=".XAqrWWgzbb0" xr:uid="{9BE530E1-14F6-43C8-95FC-D4659FA35D43}"/>
    <hyperlink ref="G848" r:id="rId841" xr:uid="{AA14B16D-BE76-4DC9-8F4B-4B47A0FDD951}"/>
    <hyperlink ref="G849" r:id="rId842" xr:uid="{63160154-553C-4FFA-9A52-2A66EFDB2293}"/>
    <hyperlink ref="G850" r:id="rId843" xr:uid="{C6C946B5-992F-4A54-8CCE-BE4877EAAE85}"/>
    <hyperlink ref="G851" r:id="rId844" xr:uid="{D8002DC6-427D-4867-AB24-B263DC69CC2F}"/>
    <hyperlink ref="G852" r:id="rId845" xr:uid="{F67BBFB8-CED2-49B9-9F9C-1986B940AED6}"/>
    <hyperlink ref="G853" r:id="rId846" xr:uid="{0C005558-D890-4A7C-8392-FAE02CA769BF}"/>
    <hyperlink ref="G854" r:id="rId847" xr:uid="{DD3E9BE6-AD2B-4435-9547-09F7EFAD94E1}"/>
    <hyperlink ref="G855" r:id="rId848" xr:uid="{0F8FED92-A7DF-4F33-85C8-A7D056B8D0ED}"/>
    <hyperlink ref="G856" r:id="rId849" xr:uid="{64D61B44-389C-4A3E-ACFA-7B35C4BBFD5F}"/>
    <hyperlink ref="G857" r:id="rId850" xr:uid="{92A3723D-4F13-4220-8A60-EBB3BB5DFC24}"/>
    <hyperlink ref="G858" r:id="rId851" xr:uid="{D0666E6B-6588-4907-B97B-772CF2F7147D}"/>
    <hyperlink ref="G859" r:id="rId852" xr:uid="{534E3B6A-9956-495E-AB86-38DACC767848}"/>
    <hyperlink ref="G860" r:id="rId853" location=".XBN9Vlwzbb0" xr:uid="{4B74DD92-CE4C-47DF-9347-D6F9A8A25D62}"/>
    <hyperlink ref="G862" r:id="rId854" location=".XBJ1AXQzbb0" xr:uid="{04893145-186F-4F0A-972C-FB31B0105DED}"/>
    <hyperlink ref="G863" r:id="rId855" xr:uid="{B42FFB21-A649-41E7-9F09-BFDCE6F2E1A3}"/>
    <hyperlink ref="G864" r:id="rId856" xr:uid="{0A9EC67E-FB89-4BB5-8C0C-FE24781B1542}"/>
    <hyperlink ref="G865" r:id="rId857" xr:uid="{B9DBF1EB-06D9-49D8-9767-A03D08FA8816}"/>
    <hyperlink ref="G866" r:id="rId858" xr:uid="{5DCD72D4-FAF6-47BB-9873-4848B5763339}"/>
    <hyperlink ref="G867" r:id="rId859" location=".XBEA3HQzbb0" xr:uid="{9202CDF6-6138-4EBA-8B3A-73D716BEE29E}"/>
    <hyperlink ref="G868" r:id="rId860" xr:uid="{44FDBE03-A256-4403-A9B4-E6354446B776}"/>
    <hyperlink ref="G869" r:id="rId861" xr:uid="{04E10ABF-CC9A-48A8-B855-D656D7DA0C0C}"/>
    <hyperlink ref="G870" r:id="rId862" xr:uid="{E8960BC2-60C2-4AB0-8565-F3DB02D79E49}"/>
    <hyperlink ref="G871" r:id="rId863" xr:uid="{6B6EA0D0-7A67-4E9B-BAE5-2A7BBFB7F156}"/>
    <hyperlink ref="G872" r:id="rId864" location="section-overview" xr:uid="{66C81E35-A31B-421A-B365-5DB91957B8DB}"/>
    <hyperlink ref="G873" r:id="rId865" xr:uid="{15E86EE5-6851-4E38-97E2-830B96FB246F}"/>
    <hyperlink ref="G874" r:id="rId866" xr:uid="{9374399E-E59F-41C0-B70D-EE167F62B041}"/>
    <hyperlink ref="G875" r:id="rId867" xr:uid="{F530C79A-0CF0-4B90-9C19-BC2E55E25364}"/>
    <hyperlink ref="G876" r:id="rId868" xr:uid="{A1E03E0D-06CF-427F-B743-B8B3814C420F}"/>
    <hyperlink ref="G877" r:id="rId869" xr:uid="{6E686CDF-B83F-4B1F-B883-E843E25398DA}"/>
    <hyperlink ref="G878" r:id="rId870" xr:uid="{6674CEC2-34A7-4738-92E1-638EB2AAE9A1}"/>
    <hyperlink ref="G879" r:id="rId871" location=".XBN8zlwzbb0" xr:uid="{4CA45E4F-AA36-4128-B742-1AE384E59C63}"/>
    <hyperlink ref="G880" r:id="rId872" xr:uid="{51F6C129-0F14-42AE-9C8B-04BA625F462F}"/>
    <hyperlink ref="G881" r:id="rId873" xr:uid="{DC29ECD1-2E6F-4149-B8D8-67973C611D0B}"/>
    <hyperlink ref="G882" r:id="rId874" xr:uid="{76D4B637-93CC-4F42-86F5-08D4E24C863C}"/>
    <hyperlink ref="G883" r:id="rId875" location="section-investors" xr:uid="{B049A181-E0FA-41F4-94FF-C0535FA01B7F}"/>
    <hyperlink ref="G884" r:id="rId876" xr:uid="{393AAC04-286A-4AEE-A8EE-4A664291C3BD}"/>
    <hyperlink ref="G886" r:id="rId877" xr:uid="{0DB0D9F1-1FBD-4137-A65E-86F1D6D2B143}"/>
    <hyperlink ref="G887" r:id="rId878" location=".XDXCjFwzbb0" xr:uid="{B2105810-7B65-42E3-97D8-D2E94EDEF43E}"/>
    <hyperlink ref="G888" r:id="rId879" location="section-overview" xr:uid="{50C85A13-9A02-44D7-A899-7B76FFF0E8F3}"/>
    <hyperlink ref="G889" r:id="rId880" location=".XDLwsFwzbb0" xr:uid="{B285BDFA-85F2-4C50-8EB9-952721D9FF3C}"/>
    <hyperlink ref="G890" r:id="rId881" location=".XBp6xlwzbb0" xr:uid="{1306DD2F-42BF-45A5-8346-B4A8EE1E499C}"/>
    <hyperlink ref="G891" r:id="rId882" xr:uid="{104D34B7-B105-45B4-8155-09A8F5F3F810}"/>
    <hyperlink ref="G892" r:id="rId883" xr:uid="{5B7E53EF-8056-4466-A1C0-3F6476B8BF45}"/>
    <hyperlink ref="G893" r:id="rId884" location=".XCr2B1wzbb0" xr:uid="{88AEF49B-43DB-401D-A677-DF7C02A4559B}"/>
    <hyperlink ref="G894" r:id="rId885" location=".XCr2B1wzbb0" xr:uid="{83484CC6-A0B5-4800-AD89-8337A7B9ADDF}"/>
    <hyperlink ref="G895" r:id="rId886" location=".XCr2B1wzbb0" xr:uid="{DA9F7F67-60A1-449A-8A45-802282DECFE4}"/>
    <hyperlink ref="G896" r:id="rId887" xr:uid="{804B0EB9-34C0-4313-9239-E3648212BEE6}"/>
    <hyperlink ref="G897" r:id="rId888" location=".XBujflwzbb0" xr:uid="{EC9D6703-9095-4A4F-BAF5-E8BF454186B0}"/>
    <hyperlink ref="G898" r:id="rId889" xr:uid="{5E2D6749-B3B6-4E81-BEC0-13AAF9DB2D57}"/>
    <hyperlink ref="G899" r:id="rId890" xr:uid="{C3501C34-3D5E-4A5D-ADB2-4FB735523B49}"/>
    <hyperlink ref="G900" r:id="rId891" xr:uid="{8637F39E-6051-47DC-8044-AB468A1FAF34}"/>
    <hyperlink ref="G901" r:id="rId892" xr:uid="{A4FE52A6-4559-4E4C-9B50-C07A8CBF9B40}"/>
    <hyperlink ref="G902" r:id="rId893" location=".XDXCjFwzbb0" xr:uid="{922F0474-E1CA-4D8C-AFC1-B84FF3482271}"/>
    <hyperlink ref="G903" r:id="rId894" xr:uid="{E80CB7FE-038B-41C9-864B-A64938A017E2}"/>
    <hyperlink ref="G904" r:id="rId895" location=".XEBZtlwzbb0" xr:uid="{EEB39AAF-C7A4-4AF3-ABE1-500B9551875F}"/>
    <hyperlink ref="G905" r:id="rId896" location="section-overview" xr:uid="{A6976CC0-437A-4765-929A-DF9F4A4A3E55}"/>
    <hyperlink ref="G906" r:id="rId897" xr:uid="{0DFE79A4-7A32-48A4-98F2-AB8F84A271C4}"/>
    <hyperlink ref="G907" r:id="rId898" xr:uid="{883EADDB-5770-4898-974A-76B9D0B8D353}"/>
    <hyperlink ref="G908" r:id="rId899" location="section-overview" xr:uid="{8BBDC69D-56A7-4D95-9AEB-28A3FEA95064}"/>
    <hyperlink ref="G909" r:id="rId900" xr:uid="{7941AB07-D79D-4B99-A48C-722C71214614}"/>
    <hyperlink ref="G910" r:id="rId901" location=".XDTQRFwzbb3" xr:uid="{F4A4EFBC-A022-4316-B42D-86CE9E9B9AD6}"/>
    <hyperlink ref="G911" r:id="rId902" location="section-funding-rounds" xr:uid="{55AA9275-6D1C-4D50-996D-CAB6F55F8E2A}"/>
    <hyperlink ref="G912" r:id="rId903" xr:uid="{5B0C3193-E337-4B76-9534-1B0F5EBE7065}"/>
    <hyperlink ref="G913" r:id="rId904" xr:uid="{BF07E639-5C5D-47DC-B741-E92085B31305}"/>
    <hyperlink ref="G914" r:id="rId905" location=".XDzeRVwzbb0" xr:uid="{1D6BBFB9-7AAD-45CB-8EB6-E09FEA0E3963}"/>
    <hyperlink ref="G915" r:id="rId906" xr:uid="{F3F5B437-BD01-45CB-AE4A-BE929E20F68D}"/>
    <hyperlink ref="G916" r:id="rId907" location="section-overview" xr:uid="{C91D9199-4C79-4260-AAD6-6EA66DE29ECC}"/>
    <hyperlink ref="G917" r:id="rId908" location="section-overview" xr:uid="{7822C414-6306-409A-A423-220744FCAD4B}"/>
    <hyperlink ref="G918" r:id="rId909" xr:uid="{261CB60C-D5BE-402E-AAD5-DACEF6770D9D}"/>
    <hyperlink ref="G919" r:id="rId910" xr:uid="{0349DEEA-5379-4ECE-8544-311C6D206E5F}"/>
    <hyperlink ref="G920" r:id="rId911" xr:uid="{AE087C41-A1FE-4BA6-97B6-383F4618E36D}"/>
    <hyperlink ref="G921" r:id="rId912" xr:uid="{65318E0D-1056-4191-83EE-64798E237564}"/>
    <hyperlink ref="G922" r:id="rId913" location=".XGvPbOgzbb0" xr:uid="{617501F1-B1B0-40C6-AC2A-69DB4AE043E4}"/>
    <hyperlink ref="G923" r:id="rId914" xr:uid="{9681F5F4-80E9-4F84-86FD-F47C2471F6FA}"/>
    <hyperlink ref="G924" r:id="rId915" xr:uid="{C0FABEF5-8E42-47AD-9AA7-63D1E46669E5}"/>
    <hyperlink ref="G925" r:id="rId916" location=".XEWOeVwzbb0" xr:uid="{8AD33632-7975-4744-9113-2970F1EAF02B}"/>
    <hyperlink ref="B926" r:id="rId917" xr:uid="{17B8255A-19BE-4A36-BD22-B0311A79FFBF}"/>
    <hyperlink ref="G926" r:id="rId918" xr:uid="{0E86A6FA-B606-4157-8A63-184E6297B597}"/>
    <hyperlink ref="G927" r:id="rId919" xr:uid="{74BA3764-A201-4F34-9271-4C1BBE3B8AF6}"/>
    <hyperlink ref="G928" r:id="rId920" location=".XEcAA1wzbb0" xr:uid="{8E765AFD-8F13-40CF-A88B-983C8480EA4E}"/>
    <hyperlink ref="G929" r:id="rId921" location="section-funding-rounds" xr:uid="{8E6A20F0-1274-4A0E-9966-C916335ED5A7}"/>
    <hyperlink ref="G930" r:id="rId922" location=".XEhV8Fwzbb0" xr:uid="{73FBAD1B-975B-4739-BF87-FA363FCF869D}"/>
    <hyperlink ref="G931" r:id="rId923" xr:uid="{068A395D-62A3-4836-AE8E-9D0BAF97C28F}"/>
    <hyperlink ref="G932" r:id="rId924" xr:uid="{6AA4050E-80F3-4D2A-9554-35DEE8FE4C26}"/>
    <hyperlink ref="G933" r:id="rId925" location="section-funding-rounds" xr:uid="{DD9A1F81-D68B-4B03-8C18-173FB6108CB9}"/>
    <hyperlink ref="G934" r:id="rId926" xr:uid="{AE644527-CA47-4DB1-8AF3-5E97A5B306BC}"/>
    <hyperlink ref="G935" r:id="rId927" location=".XE9D9Fwzbb0" xr:uid="{1244CD58-CB5D-434D-B420-F738367A91C6}"/>
    <hyperlink ref="G936" r:id="rId928" xr:uid="{B3CBA4BE-4D41-4F41-A0BC-36CA7AC91E8F}"/>
    <hyperlink ref="G937" r:id="rId929" location=".XFKVdFwzbb1" xr:uid="{B6F49091-6857-4E13-B1CD-58A6BE42AFB6}"/>
    <hyperlink ref="G938" r:id="rId930" xr:uid="{A2B56817-FCEA-4C7B-BF40-E77C97507B15}"/>
    <hyperlink ref="G939" r:id="rId931" xr:uid="{A72A768B-6926-46CF-90DD-03B884F85AA9}"/>
    <hyperlink ref="G940" r:id="rId932" location="section-overview" xr:uid="{C6365585-581D-4C86-A677-F6EE4108C8F7}"/>
    <hyperlink ref="G941" r:id="rId933" location=".XFWL-Fwzbb0" xr:uid="{025E310B-E446-483A-AFD5-64141476E911}"/>
    <hyperlink ref="G942" r:id="rId934" location="section-overview" xr:uid="{48CFF213-6B4F-4041-A2E9-689B49C2D5C5}"/>
    <hyperlink ref="G943" r:id="rId935" xr:uid="{0E1CFC68-6A6D-4EE1-BE30-8D37E4417612}"/>
    <hyperlink ref="G944" r:id="rId936" location="section-overview" xr:uid="{0389DA98-EF77-4337-8889-47F81AC11F88}"/>
    <hyperlink ref="G945" r:id="rId937" xr:uid="{BD35A9F8-3588-4406-ACE8-41FCB7E540A2}"/>
    <hyperlink ref="G946" r:id="rId938" location=".XFqXHFwzbb0" xr:uid="{3373CA32-649F-450C-8F15-11D282A71C7D}"/>
    <hyperlink ref="G947" r:id="rId939" xr:uid="{895812DE-0BFE-4324-93FE-958C3A462FF3}"/>
    <hyperlink ref="G948" r:id="rId940" xr:uid="{4613A454-23D7-4802-A34F-82BE61A56DB0}"/>
    <hyperlink ref="G949" r:id="rId941" xr:uid="{A3F90091-7B33-4B05-AE25-5C8F554C084A}"/>
    <hyperlink ref="F950" r:id="rId942" xr:uid="{4A63709A-5432-47B1-83B0-AE155579F505}"/>
    <hyperlink ref="G951" r:id="rId943" xr:uid="{52DECBAF-A1B5-481C-8BFB-D05B954B611E}"/>
    <hyperlink ref="B952" r:id="rId944" xr:uid="{AAFC6355-4623-41DB-A0F1-C317A05A9706}"/>
    <hyperlink ref="G952" r:id="rId945" xr:uid="{2D850D59-2CB8-4228-8E7C-683742982BDA}"/>
    <hyperlink ref="G953" r:id="rId946" xr:uid="{6891E7AB-85B4-4EB4-8E19-F7E33E8E8281}"/>
    <hyperlink ref="G954" r:id="rId947" xr:uid="{A8AA5B01-24A4-44CD-BA22-ED9F5B8BB5EA}"/>
    <hyperlink ref="G955" r:id="rId948" xr:uid="{EAEEC7C9-B81E-4659-AEDE-7C72570C4EC6}"/>
    <hyperlink ref="G956" r:id="rId949" xr:uid="{79064ECF-5B3E-4181-AB87-4EC0F3947DEF}"/>
    <hyperlink ref="G957" r:id="rId950" xr:uid="{FBE1C5C7-028B-45DD-97AC-5CA709B052E6}"/>
    <hyperlink ref="G958" r:id="rId951" xr:uid="{3814ACE6-845B-4384-8D1D-04BB137AD563}"/>
    <hyperlink ref="G959" r:id="rId952" location="section-overview" xr:uid="{34B1C04E-8FCC-4260-9854-FE71CA95DA05}"/>
    <hyperlink ref="G960" r:id="rId953" xr:uid="{3980462A-4985-45A8-95BD-A8DE3995DE8F}"/>
    <hyperlink ref="G961" r:id="rId954" xr:uid="{3C58C419-F0F5-4F59-8159-6B8AAB784925}"/>
    <hyperlink ref="G962" r:id="rId955" location="section-overview" xr:uid="{E1868B0E-AE9E-4055-B3BE-E5A0FDF87541}"/>
    <hyperlink ref="G963" r:id="rId956" xr:uid="{C0FADB70-D83C-4A7C-87E3-387A05FC5F0F}"/>
    <hyperlink ref="G964" r:id="rId957" xr:uid="{E4A0511E-3F74-42F5-843A-0741B9FDF314}"/>
    <hyperlink ref="G965" r:id="rId958" xr:uid="{9C8482F4-52E9-489F-A424-460B63E7EEB0}"/>
    <hyperlink ref="G966" r:id="rId959" location=".XG_K7Igzbb0" xr:uid="{A2749AA9-56CD-4751-9869-C642350DFA52}"/>
    <hyperlink ref="AT966" r:id="rId960" display="http://blockchain.com/" xr:uid="{6162D908-9B88-40E9-9C99-8CE54A098DEC}"/>
    <hyperlink ref="G967" r:id="rId961" xr:uid="{F25F582A-21C7-4011-9661-75CE35DD551A}"/>
    <hyperlink ref="G968" r:id="rId962" xr:uid="{64DD9901-15B3-4878-8212-A69B037EA76E}"/>
    <hyperlink ref="G969" r:id="rId963" xr:uid="{AFE61814-F6AD-4E39-B5DD-16A93ED5309D}"/>
    <hyperlink ref="G970" r:id="rId964" xr:uid="{986EAE65-D700-4638-8CF0-2D36B1FD0D1F}"/>
    <hyperlink ref="G971" r:id="rId965" xr:uid="{392D797D-9E85-48D7-A417-5AA9631D9CE8}"/>
    <hyperlink ref="G972" r:id="rId966" xr:uid="{32F533BD-DE44-406C-AB29-03524AE78075}"/>
    <hyperlink ref="G973" r:id="rId967" location=".XHjCMogzbb0" xr:uid="{7795AFDE-AC9E-40B2-B979-10EDAEE1C90F}"/>
    <hyperlink ref="G974" r:id="rId968" location="section-overview" xr:uid="{BC87FDDB-4D30-4423-97A5-D51A71BF3239}"/>
    <hyperlink ref="G976" r:id="rId969" xr:uid="{3793FCE2-CEBB-4CA9-824A-BC59DE8F1807}"/>
    <hyperlink ref="G977" r:id="rId970" xr:uid="{FC4AC756-3B69-4BD0-A18C-2F5A1DB10B24}"/>
    <hyperlink ref="G978" r:id="rId971" xr:uid="{ADB5C66F-34B3-4FB7-AC15-CE26ADDE95BC}"/>
    <hyperlink ref="G979" r:id="rId972" xr:uid="{5AC89E58-87B2-4D0D-A08B-E9D3C2C79267}"/>
    <hyperlink ref="G980" r:id="rId973" xr:uid="{8A82C6A8-7E7D-4522-B4E8-BCB6809E7C70}"/>
    <hyperlink ref="G981" r:id="rId974" xr:uid="{5A872475-5C81-4CD2-AF67-4EA719CD40AF}"/>
    <hyperlink ref="G982" r:id="rId975" xr:uid="{DE225475-E331-4121-A404-FD6CF502AA5B}"/>
    <hyperlink ref="G983" r:id="rId976" xr:uid="{0290ECA7-3807-40BD-99EF-735CC3345B01}"/>
    <hyperlink ref="G984" r:id="rId977" xr:uid="{DC5510DA-6FCE-40F1-8A10-3D6CA127A491}"/>
    <hyperlink ref="G985" r:id="rId978" xr:uid="{567EFCB7-CDAD-4F80-8A97-6CAABAC65431}"/>
    <hyperlink ref="G986" r:id="rId979" xr:uid="{329376E0-41C8-42D3-AC29-2FF28845A4E5}"/>
    <hyperlink ref="G987" r:id="rId980" xr:uid="{E871189E-C5C4-40EF-8EB3-76C8C659D1F8}"/>
    <hyperlink ref="G988" r:id="rId981" xr:uid="{9D1CCA77-490A-43EC-BF95-1464C810F4A7}"/>
    <hyperlink ref="G989" r:id="rId982" xr:uid="{E2511660-D63C-41FC-8402-E1F1D725F180}"/>
    <hyperlink ref="G990" r:id="rId983" xr:uid="{1848DE7C-6B5C-488A-B8B9-4D0FC6D0832C}"/>
    <hyperlink ref="G991" r:id="rId984" xr:uid="{42EEFB40-279E-4440-A8C3-B8E1C139B9C4}"/>
    <hyperlink ref="G992" r:id="rId985" location="section-overview" xr:uid="{75ACF73B-7A61-4F78-AAC1-CBE7FF8F49E6}"/>
    <hyperlink ref="G993" r:id="rId986" xr:uid="{D4913230-ADB6-4888-92F3-E67268D1B74E}"/>
    <hyperlink ref="G994" r:id="rId987" location="section-overview" xr:uid="{F5A40375-F33C-4EBC-AA4F-1A2D53059670}"/>
    <hyperlink ref="G995" r:id="rId988" location="section-overview" xr:uid="{DE4787B9-787E-4465-A801-F7E9DE24EBE2}"/>
    <hyperlink ref="G996" r:id="rId989" xr:uid="{4C63D725-8AA2-4FF1-82A0-553A3A695287}"/>
    <hyperlink ref="G997" r:id="rId990" xr:uid="{22587207-9591-40CC-8AA5-8D5CF8F15EDC}"/>
    <hyperlink ref="G998" r:id="rId991" xr:uid="{908D7AA9-9D8A-4986-8AE4-EFE6F190B508}"/>
    <hyperlink ref="G999" r:id="rId992" location="section-overview" xr:uid="{21CBBB78-3125-47BE-9C0B-D61C60F7A291}"/>
    <hyperlink ref="G1000" r:id="rId993" xr:uid="{CAE71A21-DBFC-4350-AD9F-CEE675D8138C}"/>
    <hyperlink ref="G1001" r:id="rId994" xr:uid="{D011A6DB-C409-4E66-A3EA-AA2E9660906E}"/>
    <hyperlink ref="G1002" r:id="rId995" xr:uid="{7F3929C9-786F-47FF-AC29-0260DEB70B79}"/>
    <hyperlink ref="G1003" r:id="rId996" xr:uid="{99CCFF6E-6B0E-491A-A843-300C80D3F02C}"/>
    <hyperlink ref="G1004" r:id="rId997" xr:uid="{88687AF2-69B6-425A-9D52-4CCB44BAC7AA}"/>
    <hyperlink ref="G1005" r:id="rId998" xr:uid="{8F6DCDD0-2780-4FB0-80BB-B21A2396875E}"/>
    <hyperlink ref="G1006" r:id="rId999" xr:uid="{DE934119-63D7-452C-89B6-2BE034AC395F}"/>
    <hyperlink ref="G1007" r:id="rId1000" xr:uid="{4CAE2F54-7886-4CCD-8074-70EADFEC2D0E}"/>
    <hyperlink ref="G1008" r:id="rId1001" xr:uid="{31636A95-C6A4-471F-BFC0-5C7925914DBA}"/>
    <hyperlink ref="G1009" r:id="rId1002" location="60dfdce35330" xr:uid="{0B2CB002-CC68-4E63-AB40-71DC35CF1DFE}"/>
    <hyperlink ref="G1010" r:id="rId1003" location="section-overview" xr:uid="{52D6BADE-EB14-4E14-9FCA-66F4971656EF}"/>
    <hyperlink ref="G1011" r:id="rId1004" xr:uid="{F96ABE0F-A1D3-4CC3-A611-23EC72178882}"/>
    <hyperlink ref="G1012" r:id="rId1005" xr:uid="{1AB54A24-BF2B-4B53-AE63-BC7813B08352}"/>
    <hyperlink ref="G1013" r:id="rId1006" xr:uid="{4CB56242-1786-4785-B976-8DFD7736DF9C}"/>
    <hyperlink ref="G1014" r:id="rId1007" xr:uid="{F5B1C677-EC4C-42C7-9A3E-A288E6A1DB5C}"/>
    <hyperlink ref="G1015" r:id="rId1008" xr:uid="{85B6CCD1-43E8-405A-9829-DA31F6DAAEFF}"/>
    <hyperlink ref="G1016" r:id="rId1009" xr:uid="{7F2CB1C6-ADCB-422B-91AB-77E7833301C5}"/>
    <hyperlink ref="G1017" r:id="rId1010" xr:uid="{E8096033-C35D-41D0-8C2D-8524C97E3C5E}"/>
    <hyperlink ref="G1018" r:id="rId1011" xr:uid="{44EC9608-B1DA-44D3-BC77-CB8831D90F1C}"/>
    <hyperlink ref="G1019" r:id="rId1012" xr:uid="{B9A73E70-C2A8-45B1-84D0-2AF4E5F33E72}"/>
    <hyperlink ref="G1020" r:id="rId1013" xr:uid="{2594A3A3-4069-4D2A-9456-9BEDEEFDC7B8}"/>
    <hyperlink ref="G1021" r:id="rId1014" xr:uid="{FEB0E84D-42AB-47D1-AC88-C7CF8590B6C2}"/>
    <hyperlink ref="G1022" r:id="rId1015" xr:uid="{0F3BFEE6-EFFD-45C2-8E46-BAB2253BD4C9}"/>
    <hyperlink ref="G1023" r:id="rId1016" xr:uid="{FBC866A6-C6B3-4813-BDAF-CB2AA4C58CD9}"/>
    <hyperlink ref="G1024" r:id="rId1017" xr:uid="{8ACD0614-77FC-4D58-B89B-42F60E4268DE}"/>
    <hyperlink ref="G1025" r:id="rId1018" xr:uid="{376A30DC-68ED-48A3-8EE6-61542F833201}"/>
    <hyperlink ref="G1026" r:id="rId1019" xr:uid="{9B8F3C02-FA09-4F3B-BE7E-A92F10153A63}"/>
    <hyperlink ref="G1027" r:id="rId1020" xr:uid="{D4D19FD1-B51B-42BD-9CF6-1233238E2F5A}"/>
    <hyperlink ref="G1028" r:id="rId1021" location="section-overview" xr:uid="{72C915B5-8B2E-4A12-BC50-98E1BB6751DD}"/>
    <hyperlink ref="G1029" r:id="rId1022" xr:uid="{4122AE58-5A94-4890-80B8-B1EDAFAD72F9}"/>
    <hyperlink ref="G1030" r:id="rId1023" xr:uid="{129F2B32-AE58-4450-9036-6845C6D2E83A}"/>
    <hyperlink ref="G1031" r:id="rId1024" xr:uid="{7AD04A20-A424-47AD-93B1-35D1E1D832DE}"/>
    <hyperlink ref="G1032" r:id="rId1025" xr:uid="{B76A9531-CCE5-41D2-B499-E727C77AEE98}"/>
    <hyperlink ref="G1033" r:id="rId1026" xr:uid="{C9DE1B58-1EBD-4962-9654-2A1528D09793}"/>
    <hyperlink ref="G1034" r:id="rId1027" xr:uid="{4A45C302-3125-4BA7-9767-BF1C1EB2E4AB}"/>
    <hyperlink ref="G1035" r:id="rId1028" xr:uid="{F78848D5-B323-4162-AEBB-04CC1C6359A3}"/>
    <hyperlink ref="G1036" r:id="rId1029" xr:uid="{A73C2ECE-6CA6-4F13-AE53-7AEA43E83F1E}"/>
    <hyperlink ref="G1037" r:id="rId1030" xr:uid="{5E727652-C16B-4122-ACFC-2AFE39B3F13A}"/>
    <hyperlink ref="G1038" r:id="rId1031" xr:uid="{9DE24B67-3F29-48B1-8F51-56DAA8D3F799}"/>
    <hyperlink ref="G1039" r:id="rId1032" xr:uid="{74881868-28F2-42AB-A694-CF09566EF597}"/>
    <hyperlink ref="G1040" r:id="rId1033" xr:uid="{2429DE97-D4B1-48D0-83ED-8EEEF1FDF726}"/>
    <hyperlink ref="G1041" r:id="rId1034" xr:uid="{4ABC64BD-1168-4605-B48E-58936E5193E8}"/>
    <hyperlink ref="G1042" r:id="rId1035" xr:uid="{C5FFD0D1-3643-4B02-B448-0E2E5E26A13A}"/>
    <hyperlink ref="G1043" r:id="rId1036" xr:uid="{AECF8719-FCB8-4B23-B446-BBF4CE7B1FFA}"/>
    <hyperlink ref="G1044" r:id="rId1037" xr:uid="{1355121C-D320-4914-B5A3-76436D0C1897}"/>
    <hyperlink ref="G1045" r:id="rId1038" xr:uid="{9750A509-E03E-4EA3-9C1D-520E6C8FA356}"/>
    <hyperlink ref="G1046" r:id="rId1039" xr:uid="{4DF3E78F-8D18-477F-94DA-BDC00B97E13F}"/>
    <hyperlink ref="G1047" r:id="rId1040" xr:uid="{8A0CA7F5-ED82-4E27-8902-62A9215826D5}"/>
    <hyperlink ref="G1048" r:id="rId1041" xr:uid="{905B297D-0963-40F4-98FD-19D0B354FCDC}"/>
    <hyperlink ref="G1049" r:id="rId1042" xr:uid="{E13BD0BA-6A67-47A6-BFAC-6FDD01961D28}"/>
    <hyperlink ref="G1050" r:id="rId1043" xr:uid="{B94B4E09-BB01-4104-A930-4888B8A6A445}"/>
    <hyperlink ref="G1051" r:id="rId1044" xr:uid="{27A3A3B0-1F90-4F40-8A23-27D2D58556E5}"/>
    <hyperlink ref="G1052" r:id="rId1045" xr:uid="{3729FA5D-7834-4F49-8B64-2C59CA191A03}"/>
    <hyperlink ref="G1053" r:id="rId1046" xr:uid="{0B26CB61-4879-459B-8C36-409BC8C13650}"/>
    <hyperlink ref="G1054" r:id="rId1047" xr:uid="{0D0B5C5D-40FC-4E64-85F6-21AA22909978}"/>
    <hyperlink ref="G1055" r:id="rId1048" xr:uid="{56A11662-4E46-4CAE-A30B-C0A19D8C1EC5}"/>
    <hyperlink ref="G1056" r:id="rId1049" xr:uid="{F5B5AC18-7612-427B-853A-6C30EC75BEF3}"/>
    <hyperlink ref="G1057" r:id="rId1050" xr:uid="{9DBA4F01-139B-416B-B059-2D4A01E70D16}"/>
    <hyperlink ref="G1058" r:id="rId1051" xr:uid="{A08CFD92-98D5-4FA3-866B-2C0D707B9F45}"/>
    <hyperlink ref="G1059" r:id="rId1052" xr:uid="{336AF2FF-260E-465C-AC3A-1D4215C14C2A}"/>
    <hyperlink ref="G1060" r:id="rId1053" xr:uid="{5C4C8EE2-1303-41BA-86C8-442AC0CAF199}"/>
    <hyperlink ref="G1061" r:id="rId1054" xr:uid="{67354286-6BAB-45DB-9FC3-4973423B8298}"/>
    <hyperlink ref="G1062" r:id="rId1055" xr:uid="{B196F63C-3543-409A-B15C-B705D4F22057}"/>
    <hyperlink ref="G1063" r:id="rId1056" xr:uid="{703BACCA-F2DB-4C39-AAFF-7C23ED09EFC6}"/>
    <hyperlink ref="G1064" r:id="rId1057" xr:uid="{B12B35D2-6ACC-4460-B2C0-86544F04C125}"/>
    <hyperlink ref="G1065" r:id="rId1058" xr:uid="{68563A35-DAF9-45B0-900E-966F2A792EA0}"/>
    <hyperlink ref="G1066" r:id="rId1059" xr:uid="{54A84074-77BE-4766-9F3E-9BA3D7FD4F10}"/>
    <hyperlink ref="G1067" r:id="rId1060" xr:uid="{06D2A557-866A-44DD-BE1C-68CA76858F5B}"/>
    <hyperlink ref="G1068" r:id="rId1061" xr:uid="{E6368EA0-FD18-412D-B925-998BA1947478}"/>
    <hyperlink ref="G1069" r:id="rId1062" xr:uid="{5AAA535E-1ED5-41C4-AD09-68519A8D8E47}"/>
    <hyperlink ref="G1070" r:id="rId1063" xr:uid="{C30E9497-0F33-4538-9482-686D209B3176}"/>
    <hyperlink ref="G1071" r:id="rId1064" xr:uid="{B5177E3C-940A-4701-A5FE-A71DCBAED6FF}"/>
    <hyperlink ref="G1072" r:id="rId1065" xr:uid="{34D10903-9172-46CC-BEB6-5D70D8CC0471}"/>
    <hyperlink ref="G1073" r:id="rId1066" xr:uid="{08D848FE-4766-4EB9-9BA8-53827106D013}"/>
    <hyperlink ref="G1074" r:id="rId1067" location="section-overview" xr:uid="{94844727-8472-4F2D-B21E-462162AD96D1}"/>
    <hyperlink ref="G1075" r:id="rId1068" xr:uid="{C65E0055-BEA0-47EA-A2E1-EC8A63407D01}"/>
    <hyperlink ref="G1076" r:id="rId1069" xr:uid="{285DE74F-929D-4660-A809-AB0E879997B9}"/>
    <hyperlink ref="G1077" r:id="rId1070" xr:uid="{9A5C0A1A-9B48-4588-8AC1-36B04EEB403E}"/>
    <hyperlink ref="G1078" r:id="rId1071" xr:uid="{7E6ECB96-E002-46C2-9D2A-45EC8F7976DA}"/>
    <hyperlink ref="G1079" r:id="rId1072" xr:uid="{F0E2951E-6C3F-46C4-82B7-8D70975B5D20}"/>
    <hyperlink ref="G1080" r:id="rId1073" xr:uid="{1C520A5C-6863-42F2-ABBE-2647B09BD5B5}"/>
    <hyperlink ref="G1081" r:id="rId1074" xr:uid="{1E7DF5BE-17A7-4117-AEF0-28A56B2284F8}"/>
    <hyperlink ref="G1082" r:id="rId1075" xr:uid="{8849E488-4DA4-41D5-82ED-3E63BE9BA735}"/>
    <hyperlink ref="G1083" r:id="rId1076" xr:uid="{7A8FCD7D-9D14-483C-BDC8-442CAC27B339}"/>
    <hyperlink ref="G1084" r:id="rId1077" xr:uid="{04BB27A3-4365-413C-968B-15BC32B40786}"/>
    <hyperlink ref="G1085" r:id="rId1078" xr:uid="{4B1A597C-F7E6-48E4-ADB5-A487117736EA}"/>
    <hyperlink ref="G1086" r:id="rId1079" xr:uid="{C4839A08-8F1F-425B-94D8-260650A46D8A}"/>
    <hyperlink ref="G1087" r:id="rId1080" xr:uid="{2B57A466-5374-4484-ABBE-F7C1CE226BCB}"/>
    <hyperlink ref="G1088" r:id="rId1081" xr:uid="{7B770EA9-6A84-4868-B236-A416357F93B1}"/>
    <hyperlink ref="G1089" r:id="rId1082" xr:uid="{339D7E8A-690F-4E61-A922-C11BD5607544}"/>
    <hyperlink ref="G1090" r:id="rId1083" xr:uid="{7AA706AC-63F3-4723-9EB9-3BD59E595593}"/>
    <hyperlink ref="G1091" r:id="rId1084" xr:uid="{65F8612A-DF2C-4F12-87B3-87C5CFC59542}"/>
    <hyperlink ref="G1092" r:id="rId1085" xr:uid="{CB0458F3-198F-46C7-8A34-B6EC387ABECE}"/>
    <hyperlink ref="G1093" r:id="rId1086" xr:uid="{0D8C07CF-C636-41F9-8EC2-9406628F9311}"/>
    <hyperlink ref="G1094" r:id="rId1087" location="section-overview" xr:uid="{38922066-9CEA-48A4-B5C9-3C1525F20FAE}"/>
    <hyperlink ref="G1095" r:id="rId1088" xr:uid="{E535D317-8B5A-4A2C-82EC-461CFD9B9503}"/>
    <hyperlink ref="G1096" r:id="rId1089" xr:uid="{2DFE3740-CAA2-411B-8D61-4A5B0D773347}"/>
    <hyperlink ref="G1097" r:id="rId1090" xr:uid="{0FEAC57A-F5B3-42E2-90B7-1B4C34B5E660}"/>
    <hyperlink ref="G1098" r:id="rId1091" xr:uid="{DF2CD473-AF3F-44CC-A903-E0BB9D1AC573}"/>
    <hyperlink ref="G1099" r:id="rId1092" xr:uid="{E40CEFC6-AA68-401D-8127-B705CB679804}"/>
    <hyperlink ref="G1100" r:id="rId1093" xr:uid="{50E6CC20-AC3D-4BF0-BC2A-E9F20B14B389}"/>
    <hyperlink ref="G1101" r:id="rId1094" xr:uid="{04DB2062-1512-4F24-A969-AB9A6EDF3C73}"/>
    <hyperlink ref="G1102" r:id="rId1095" xr:uid="{FF6B04D3-CB06-4C49-A4F2-44AB7BCE2C44}"/>
    <hyperlink ref="G1103" r:id="rId1096" xr:uid="{44B63C89-1E78-4953-AE5E-B09D73FC3641}"/>
    <hyperlink ref="G1104" r:id="rId1097" xr:uid="{EE8B85C3-ADE1-4546-8DCC-7AD546033B4B}"/>
    <hyperlink ref="G1105" r:id="rId1098" xr:uid="{6122609D-1587-4F03-A809-7948576EDE23}"/>
    <hyperlink ref="G1106" r:id="rId1099" xr:uid="{2038E2E1-E2AA-4B2A-83E9-E78B2FA324E7}"/>
    <hyperlink ref="G1107" r:id="rId1100" xr:uid="{E81684FD-864A-449B-9494-78D851EC5B49}"/>
    <hyperlink ref="G1108" r:id="rId1101" xr:uid="{D473A16B-942A-422D-BA21-830FCA34E49D}"/>
    <hyperlink ref="G1109" r:id="rId1102" xr:uid="{E844D29F-7BED-427F-8E0F-5A66E100FBB2}"/>
    <hyperlink ref="G1110" r:id="rId1103" xr:uid="{BBF64E4B-F8D3-4F6E-B332-E0B395AE4200}"/>
    <hyperlink ref="G1111" r:id="rId1104" xr:uid="{9B9BC916-0895-427E-83A0-28D84147E83A}"/>
    <hyperlink ref="G1112" r:id="rId1105" xr:uid="{83F02605-9EB6-4F14-89A4-754F5B583469}"/>
    <hyperlink ref="G1113" r:id="rId1106" xr:uid="{3FE571BA-F057-4B4D-9B77-52AC0E1B253F}"/>
    <hyperlink ref="G1114" r:id="rId1107" xr:uid="{D50FA5A5-AEBE-49EB-B721-9385382C0147}"/>
    <hyperlink ref="G1115" r:id="rId1108" xr:uid="{F54CFC23-8DAF-4E38-9FD9-3C20425ACE40}"/>
    <hyperlink ref="G1117" r:id="rId1109" xr:uid="{8E8233AA-3C27-401A-AD6D-83AA94CA45BF}"/>
    <hyperlink ref="G1118" r:id="rId1110" xr:uid="{D0B0C3FB-D763-4A72-8E6D-C2331E0B92D8}"/>
    <hyperlink ref="G1119" r:id="rId1111" xr:uid="{522B517D-68AB-4FB6-897C-EB672FC03F29}"/>
    <hyperlink ref="G1120" r:id="rId1112" xr:uid="{4DB90A26-3A34-45B3-8E25-69013FA723E6}"/>
    <hyperlink ref="G1121" r:id="rId1113" xr:uid="{4123F249-110E-4C62-BB7D-57E804D29FC7}"/>
    <hyperlink ref="G1122" r:id="rId1114" xr:uid="{6EDB36DF-4F8E-4D93-8205-754D2232B48F}"/>
    <hyperlink ref="G1123" r:id="rId1115" xr:uid="{4D3B886B-190F-4A9C-9CB0-6AEB91035200}"/>
    <hyperlink ref="B1124" r:id="rId1116" xr:uid="{FAFF4890-1A5A-4D7F-86EA-40BFD37E705A}"/>
    <hyperlink ref="G1124" r:id="rId1117" xr:uid="{36130DE8-A2D0-4FBE-9EAD-1B5780151707}"/>
    <hyperlink ref="G1125" r:id="rId1118" xr:uid="{B5AFF75D-CA8B-448B-92DD-38CD5AA5F41C}"/>
    <hyperlink ref="G1126" r:id="rId1119" xr:uid="{A6775A10-42F7-4960-8B8B-C09EFFA8C493}"/>
    <hyperlink ref="G1127" r:id="rId1120" xr:uid="{FC774ED2-9FD1-4C08-9AC4-F8447FF6F4CA}"/>
    <hyperlink ref="G1128" r:id="rId1121" xr:uid="{DF8530FB-745B-413E-8A09-965B27420481}"/>
    <hyperlink ref="G1129" r:id="rId1122" xr:uid="{3A74C286-CF5C-4F80-98AF-D91C6767D94B}"/>
    <hyperlink ref="G1130" r:id="rId1123" xr:uid="{E1D9FA83-8CC5-492E-BED9-9A0DAF7616E1}"/>
    <hyperlink ref="G1131" r:id="rId1124" xr:uid="{4ED8752A-3940-463C-9EA4-23FB42689736}"/>
    <hyperlink ref="G1132" r:id="rId1125" xr:uid="{270E41A6-2F99-439F-A922-F219321E42B6}"/>
    <hyperlink ref="G1133" r:id="rId1126" xr:uid="{F1BEE42E-CA6C-4B48-A0E5-9EDB33A4AB86}"/>
    <hyperlink ref="G1134" r:id="rId1127" xr:uid="{78F9E628-D3A9-45BC-9062-6D49D05495EB}"/>
    <hyperlink ref="G1135" r:id="rId1128" location="utm_source=newsletter&amp;utm_medium=email&amp;utm_campaign=swvl" xr:uid="{EFA5D4B1-ECA7-4875-9994-3808934C6176}"/>
    <hyperlink ref="G1136" r:id="rId1129" xr:uid="{7FCD932B-83FD-408B-836F-108236339610}"/>
    <hyperlink ref="G1137" r:id="rId1130" xr:uid="{40BB92EF-BDB4-4703-8AAD-E1D8B1F6BC00}"/>
    <hyperlink ref="G1138" r:id="rId1131" xr:uid="{7B77AF58-6460-4DBF-A1E5-2E9E14A4F214}"/>
    <hyperlink ref="G1139" r:id="rId1132" xr:uid="{E39D2693-3592-48FF-B823-B1D2A75A808A}"/>
    <hyperlink ref="G1140" r:id="rId1133" xr:uid="{744F9210-C391-4EA6-B166-C08CD1F42717}"/>
    <hyperlink ref="G1141" r:id="rId1134" xr:uid="{752A7982-9B81-45CC-BDF0-1AB77C0B7D46}"/>
    <hyperlink ref="G1142" r:id="rId1135" xr:uid="{2D798205-20BD-4028-B9A9-2448EB7164E7}"/>
    <hyperlink ref="G1143" r:id="rId1136" xr:uid="{6E653801-10A2-46D7-A841-A841035B5426}"/>
    <hyperlink ref="G1144" r:id="rId1137" xr:uid="{B7D9BA4C-6F3D-49D6-9DEC-D9ACDFA04EF5}"/>
    <hyperlink ref="G1145" r:id="rId1138" xr:uid="{A92BB9A2-E2B4-45B5-B993-4B4570032167}"/>
    <hyperlink ref="G1146" r:id="rId1139" xr:uid="{06DEF63D-C2E4-4ADB-9FE3-060C52EB87AB}"/>
    <hyperlink ref="G1147" r:id="rId1140" xr:uid="{5FAA41F0-0D51-4E09-B369-D8265A53DCF7}"/>
    <hyperlink ref="G1148" r:id="rId1141" xr:uid="{EB687E41-B9E8-481B-9EB3-83719EABCF09}"/>
    <hyperlink ref="G1149" r:id="rId1142" xr:uid="{8F4C83FA-6242-44A3-9CED-46897253F870}"/>
    <hyperlink ref="G1150" r:id="rId1143" xr:uid="{EF44F721-993C-4215-9A99-3612B5E8089B}"/>
    <hyperlink ref="G1151" r:id="rId1144" xr:uid="{B4744B09-3F76-40C1-B630-5DC7C94DC47C}"/>
    <hyperlink ref="G1152" r:id="rId1145" xr:uid="{7A748B8B-DA09-41CA-AC44-B357B6D8EB0B}"/>
    <hyperlink ref="G1153" r:id="rId1146" xr:uid="{DC399A3E-E2A8-4C61-B19A-8D85C107D44F}"/>
    <hyperlink ref="G1154" r:id="rId1147" xr:uid="{58FE9FA9-0BAF-48F5-AC42-DE6911DF573C}"/>
    <hyperlink ref="G1155" r:id="rId1148" xr:uid="{90D5972D-8D63-4D67-A0F5-21E372A50C34}"/>
    <hyperlink ref="G1156" r:id="rId1149" xr:uid="{C4E27D04-2339-4800-BCD2-1BB68652D363}"/>
    <hyperlink ref="G1157" r:id="rId1150" xr:uid="{EB45EE93-728B-4224-81D5-1EA7A3E75BB8}"/>
    <hyperlink ref="G1158" r:id="rId1151" xr:uid="{4D9BFFD5-390B-486F-9D90-A7DB2191D950}"/>
    <hyperlink ref="G1159" r:id="rId1152" xr:uid="{F8E0F544-E347-430A-B520-411FAF79CFAD}"/>
    <hyperlink ref="G1160" r:id="rId1153" xr:uid="{5E6FC03A-21C1-4141-84C9-54501D1A9FA6}"/>
    <hyperlink ref="G1161" r:id="rId1154" xr:uid="{D1A68FEE-72D6-428A-8584-E96C142CB50D}"/>
    <hyperlink ref="G1162" r:id="rId1155" xr:uid="{7003BE98-81D9-4D43-A6A8-8B4A49567F50}"/>
    <hyperlink ref="G1163" r:id="rId1156" xr:uid="{731399E7-936C-40A3-AD74-E3F593939AA9}"/>
    <hyperlink ref="G1164" r:id="rId1157" xr:uid="{23E93816-C58D-4D58-9842-40F1E7BDCF3E}"/>
    <hyperlink ref="G1165" r:id="rId1158" xr:uid="{B75DFFC1-BE78-4B6B-A218-3E966B4CEFDE}"/>
    <hyperlink ref="G1166" r:id="rId1159" xr:uid="{2F547451-D709-4690-BC2F-14E0288FAFAA}"/>
    <hyperlink ref="G1167" r:id="rId1160" xr:uid="{3530703D-E55D-49C2-9028-DBA15829AE30}"/>
    <hyperlink ref="G1168" r:id="rId1161" xr:uid="{CE54C17E-A580-493B-AACE-2A4617F23D66}"/>
    <hyperlink ref="G1169" r:id="rId1162" xr:uid="{A776EA38-3EE3-4F19-8B60-BC65767B84A1}"/>
    <hyperlink ref="G1170" r:id="rId1163" xr:uid="{1E6292A9-7BFD-4AFD-92FB-5E40733193E6}"/>
    <hyperlink ref="G1171" r:id="rId1164" xr:uid="{66C1B03C-A3E5-4DDC-9999-0BC4B85A66E9}"/>
    <hyperlink ref="G1172" r:id="rId1165" xr:uid="{ADF95351-9071-49FE-932C-4A738F53D14D}"/>
    <hyperlink ref="G1173" r:id="rId1166" xr:uid="{15061143-876A-4893-B26D-F9FB253F00A0}"/>
    <hyperlink ref="G1174" r:id="rId1167" xr:uid="{6D2EC310-847F-4EB2-AC4D-F1CFDF40054C}"/>
    <hyperlink ref="G1175" r:id="rId1168" xr:uid="{17D28C39-7586-4C8D-B781-5BE227F00B3D}"/>
    <hyperlink ref="G1176" r:id="rId1169" xr:uid="{BF8AB8E1-8A74-45E8-A07D-A56C9D0C93C1}"/>
    <hyperlink ref="G1177" r:id="rId1170" xr:uid="{EAE08693-F2B2-4E76-BD40-A5553168DD8A}"/>
    <hyperlink ref="G1178" r:id="rId1171" xr:uid="{71A4B759-279A-4FB6-8E11-4994414EE6BD}"/>
    <hyperlink ref="G1179" r:id="rId1172" xr:uid="{45EA7394-87DB-40E9-B7EF-355D37A4CE0D}"/>
    <hyperlink ref="G1180" r:id="rId1173" xr:uid="{D5B61DE7-469E-492B-A851-2E5432317040}"/>
    <hyperlink ref="G1181" r:id="rId1174" xr:uid="{EDCD244C-6AB7-46F4-BEA4-FFDE6CCFEBE4}"/>
    <hyperlink ref="G1182" r:id="rId1175" xr:uid="{E01B75B1-E179-410F-9FF7-210478401F82}"/>
    <hyperlink ref="G1183" r:id="rId1176" xr:uid="{53058C08-1A4D-4E28-A74F-F06D18AFF7D3}"/>
    <hyperlink ref="G1184" r:id="rId1177" xr:uid="{7FEB6F49-CC03-4A95-936B-40A42B7894DB}"/>
    <hyperlink ref="G1185" r:id="rId1178" xr:uid="{53866383-2AC7-4952-99F7-FEDDD6B18D74}"/>
    <hyperlink ref="G1186" r:id="rId1179" xr:uid="{23010AAB-C138-4A1E-AA15-AB1D4C825CE0}"/>
    <hyperlink ref="G1187" r:id="rId1180" xr:uid="{DF026D23-E5F1-4671-B70E-F2D00016E1BF}"/>
    <hyperlink ref="G1188" r:id="rId1181" xr:uid="{6802D268-7667-48EE-BF85-F4D44DFCEBAF}"/>
    <hyperlink ref="G1189" r:id="rId1182" xr:uid="{26D39D62-EBB7-4054-A53C-C2CF6F22F357}"/>
    <hyperlink ref="G1190" r:id="rId1183" xr:uid="{5FACB619-2CF7-48B6-A4C3-6D40334B38F9}"/>
    <hyperlink ref="G1191" r:id="rId1184" xr:uid="{5F14D265-0CBA-49BF-94EA-C93A664E08E0}"/>
    <hyperlink ref="G1192" r:id="rId1185" xr:uid="{8D1F5B8B-816B-4671-9532-355EF1E872D3}"/>
    <hyperlink ref="G1193" r:id="rId1186" xr:uid="{AD029783-9FF9-4F34-BA19-B0EEBDD8C86C}"/>
    <hyperlink ref="G1194" r:id="rId1187" xr:uid="{B3B3605B-966B-439A-9C01-E6D41007469D}"/>
    <hyperlink ref="G1196" r:id="rId1188" xr:uid="{E53A1A04-1000-4B6A-825A-15F1C37FC1F4}"/>
    <hyperlink ref="G1197" r:id="rId1189" xr:uid="{258EA321-1400-41B1-938A-C1E69E3B97F4}"/>
    <hyperlink ref="G1199" r:id="rId1190" xr:uid="{5F7F7D8E-91BA-4C8C-B1E0-B9C4DEFED01E}"/>
    <hyperlink ref="G1200" r:id="rId1191" location="section-overview" xr:uid="{B0D09CDD-D876-4A1C-B4C3-C67C0D1B759E}"/>
    <hyperlink ref="G1201" r:id="rId1192" xr:uid="{7F8A88BD-D959-4AD0-949F-AB55F516AEB3}"/>
    <hyperlink ref="G1202" r:id="rId1193" xr:uid="{3A5B47FB-3668-46BE-9292-B6327FF288B5}"/>
    <hyperlink ref="G1203" r:id="rId1194" xr:uid="{27599D12-05CE-4E32-AB22-6D6472EE44A4}"/>
    <hyperlink ref="G1204" r:id="rId1195" xr:uid="{3D4954E3-DE49-432D-83F6-679A67DD5ECA}"/>
    <hyperlink ref="G1205" r:id="rId1196" xr:uid="{D77B10AB-422C-4C30-9A2D-8CA7B58FE875}"/>
    <hyperlink ref="G1206" r:id="rId1197" xr:uid="{8E3A02CD-71D8-4318-9A9B-957C06D10260}"/>
    <hyperlink ref="G1207" r:id="rId1198" xr:uid="{874EC0DE-7AA2-4A1C-B67D-474A377993FA}"/>
    <hyperlink ref="G1208" r:id="rId1199" xr:uid="{4BDFB5DE-E1FD-4541-8591-E8D31249611C}"/>
    <hyperlink ref="G1209" r:id="rId1200" xr:uid="{A4E07942-AAEE-4DA9-89FA-DD8E2AA91CBD}"/>
    <hyperlink ref="G1210" r:id="rId1201" xr:uid="{58C23420-249C-4830-B9DC-661AF64E51DA}"/>
    <hyperlink ref="G1211" r:id="rId1202" xr:uid="{24D99898-A526-41FA-9AC9-D4BA30F230CD}"/>
    <hyperlink ref="G1214" r:id="rId1203" xr:uid="{B567F691-884E-49CC-A0E9-F3C2787912F8}"/>
    <hyperlink ref="G1215" r:id="rId1204" location="section-overview" xr:uid="{D87C0C9B-C271-48CD-AA56-CFCDA1082598}"/>
    <hyperlink ref="G1216" r:id="rId1205" xr:uid="{282CD797-06BC-4515-A996-258813AA69DA}"/>
    <hyperlink ref="G1217" r:id="rId1206" xr:uid="{8A8E976D-E044-44AC-AC4C-E4298BA6CF6A}"/>
    <hyperlink ref="G1218" r:id="rId1207" xr:uid="{24E8BAD2-7963-4FFD-BCF8-F9BC5F451BC3}"/>
    <hyperlink ref="G1219" r:id="rId1208" xr:uid="{4C9863C4-0DFA-40D5-AA3B-58DD73E2A6D7}"/>
    <hyperlink ref="G1220" r:id="rId1209" xr:uid="{FD3E8976-6371-450C-BA64-2A7EC73EE497}"/>
    <hyperlink ref="G1221" r:id="rId1210" xr:uid="{9A91B91F-F2F0-4881-B2EB-D603860C9C84}"/>
    <hyperlink ref="G1222" r:id="rId1211" xr:uid="{4178327C-378B-4A1E-8447-36C3441C2012}"/>
    <hyperlink ref="G1223" r:id="rId1212" xr:uid="{81CC62BC-80CB-48FB-A4D8-6BAB7366C17E}"/>
    <hyperlink ref="G1224" r:id="rId1213" xr:uid="{5BBDC859-58BB-4886-B70A-E8EDE88DBBC0}"/>
    <hyperlink ref="G1225" r:id="rId1214" xr:uid="{52A3AA39-18EC-4F19-8B70-A3CF603F9E7B}"/>
    <hyperlink ref="G1226" r:id="rId1215" xr:uid="{B445E92C-1F56-4074-8F32-16CBE845C4CC}"/>
    <hyperlink ref="G1227" r:id="rId1216" xr:uid="{1EEAB593-ABAA-477F-9B3A-4949565B9606}"/>
    <hyperlink ref="G1228" r:id="rId1217" xr:uid="{FAC5980B-6C84-4F10-80E5-8B75D68109CE}"/>
    <hyperlink ref="G1229" r:id="rId1218" xr:uid="{8CBC5329-2FA7-406D-8C7F-F6FCBED55C14}"/>
    <hyperlink ref="G1230" r:id="rId1219" xr:uid="{E0108006-D1AB-4292-B2EC-5E26081CAF3F}"/>
    <hyperlink ref="G1231" r:id="rId1220" xr:uid="{935A394A-14FD-4071-9325-FF7DCA478BD4}"/>
    <hyperlink ref="G1232" r:id="rId1221" xr:uid="{E7626A3B-5B29-410C-A8F3-0CFDB1CB0D25}"/>
    <hyperlink ref="G1233" r:id="rId1222" xr:uid="{9ABC7A5A-C912-4CA5-AF4D-A7627F9925E0}"/>
    <hyperlink ref="G1234" r:id="rId1223" xr:uid="{5D4969C1-7984-46ED-980D-801AAC971DD6}"/>
    <hyperlink ref="G1235" r:id="rId1224" xr:uid="{82D3D8FA-568D-4FA9-8087-198901902522}"/>
    <hyperlink ref="G1236" r:id="rId1225" xr:uid="{E3B8EF19-5640-49AC-AB04-FB117902A52D}"/>
    <hyperlink ref="G1237" r:id="rId1226" xr:uid="{0696D1A8-70DB-43A3-8E95-C03DA67E9EBF}"/>
    <hyperlink ref="G1238" r:id="rId1227" xr:uid="{E76A1A73-FEF7-4D4B-87BB-084E573C50ED}"/>
    <hyperlink ref="G1239" r:id="rId1228" xr:uid="{32542D5E-6DD0-4B20-B132-8917678ECF2D}"/>
    <hyperlink ref="G1240" r:id="rId1229" xr:uid="{AF1B4A69-0347-42E7-8BA5-B8FEE7C1F427}"/>
    <hyperlink ref="G1241" r:id="rId1230" xr:uid="{E6D30DFB-2746-475E-94D9-D82DF38D1617}"/>
    <hyperlink ref="G1242" r:id="rId1231" xr:uid="{060EB596-A7EA-4F00-A283-4C2CE2893581}"/>
    <hyperlink ref="G1243" r:id="rId1232" xr:uid="{7E10F4BF-E1E8-4F3F-934C-FBD1D48FFE0B}"/>
    <hyperlink ref="G1244" r:id="rId1233" xr:uid="{89357AA7-D244-4A29-8D28-6512D5F958CF}"/>
    <hyperlink ref="G1245" r:id="rId1234" xr:uid="{396BD9A8-F616-4A83-8BE2-DA3332A35ECD}"/>
    <hyperlink ref="G1246" r:id="rId1235" xr:uid="{7901B25B-B00F-46E1-BA86-0920E1451C3A}"/>
    <hyperlink ref="G1247" r:id="rId1236" xr:uid="{F702A953-BD75-4830-B10D-EF2F95C1744C}"/>
    <hyperlink ref="G1248" r:id="rId1237" xr:uid="{EB492342-BB35-4236-9669-294340F2AA2E}"/>
    <hyperlink ref="G1249" r:id="rId1238" xr:uid="{805E283C-CFF0-4ECE-9EAF-61A3890F111D}"/>
    <hyperlink ref="G1250" r:id="rId1239" xr:uid="{FF824CB0-7D27-4059-BB74-0BEED8E25354}"/>
    <hyperlink ref="G1251" r:id="rId1240" xr:uid="{3B7FD538-DB29-4D55-8330-7E6C7835A3B5}"/>
    <hyperlink ref="G1252" r:id="rId1241" xr:uid="{8DA67754-8160-41F6-9378-9A7F808A20BD}"/>
    <hyperlink ref="G1253" r:id="rId1242" xr:uid="{88C112F9-EA67-4C36-937F-7D4E46E6F9BD}"/>
    <hyperlink ref="G1254" r:id="rId1243" xr:uid="{25430A59-9DF9-4222-8D78-AD235A747AF7}"/>
    <hyperlink ref="G1255" r:id="rId1244" xr:uid="{0369ED41-097A-4B52-88B6-7536C62E1D2B}"/>
    <hyperlink ref="G1256" r:id="rId1245" xr:uid="{EDDE143B-9EB0-4F0B-8B60-3E1BB867D09C}"/>
    <hyperlink ref="G1257" r:id="rId1246" xr:uid="{506EB65A-BE92-4C24-9A52-1063D8D9CD19}"/>
    <hyperlink ref="G1258" r:id="rId1247" xr:uid="{A9829DAD-9DDA-4A05-B07C-544BF3C09D2C}"/>
    <hyperlink ref="G1259" r:id="rId1248" xr:uid="{17E1983F-CFF4-4816-B8DE-0E09DCD6873C}"/>
    <hyperlink ref="G1260" r:id="rId1249" xr:uid="{C46183A5-3390-4B58-9D9E-FA94790D427C}"/>
    <hyperlink ref="G1261" r:id="rId1250" xr:uid="{2B317A57-FD8B-41F4-93A4-78C980E5146E}"/>
    <hyperlink ref="G1262" r:id="rId1251" xr:uid="{F5991095-223F-47CB-8D5A-63D109014868}"/>
    <hyperlink ref="G1263" r:id="rId1252" xr:uid="{3307753E-1ECE-4787-A1A5-E01C2C1BD047}"/>
    <hyperlink ref="G1264" r:id="rId1253" xr:uid="{B021FD11-8774-4710-BB77-E8F6723BD042}"/>
    <hyperlink ref="G1265" r:id="rId1254" xr:uid="{89390146-B2D7-4F82-B6E4-5D4237C5173F}"/>
    <hyperlink ref="G1266" r:id="rId1255" xr:uid="{CEA1B066-602B-4D78-BF4E-EAC887A73472}"/>
    <hyperlink ref="G1267" r:id="rId1256" xr:uid="{0A51B91B-FA78-480D-95EC-415E8D6EEF41}"/>
    <hyperlink ref="G1268" r:id="rId1257" xr:uid="{193C48B7-1EE7-443E-8216-F70FE902240F}"/>
    <hyperlink ref="G1269" r:id="rId1258" xr:uid="{ACC0514D-6E36-41A1-9592-C2A1968C8894}"/>
    <hyperlink ref="G1270" r:id="rId1259" xr:uid="{4993D88D-7A87-49C5-A271-3F983E5D0BFA}"/>
    <hyperlink ref="G1271" r:id="rId1260" xr:uid="{54487907-FEBD-48C6-9730-1013122C4C0D}"/>
    <hyperlink ref="G1272" r:id="rId1261" xr:uid="{C66DD584-17DF-4510-AB89-48B76088A663}"/>
    <hyperlink ref="G1273" r:id="rId1262" xr:uid="{0D8FC84D-767F-49B2-BE5E-45944E5BA64F}"/>
    <hyperlink ref="G1274" r:id="rId1263" xr:uid="{1CB65343-47C6-48F5-B255-B4CFABBCB269}"/>
    <hyperlink ref="G1275" r:id="rId1264" xr:uid="{C04D321A-2A55-4C74-9FFB-C39BE96A7607}"/>
    <hyperlink ref="G1276" r:id="rId1265" xr:uid="{CD83CE89-2C54-4FCC-A969-CBA4F8B7D7A3}"/>
    <hyperlink ref="G1277" r:id="rId1266" xr:uid="{FE0C22A1-EB06-427E-BF7C-045BF4C649AB}"/>
    <hyperlink ref="G1278" r:id="rId1267" xr:uid="{826B874D-6F0E-427E-95A2-4EB8BD83E855}"/>
    <hyperlink ref="G1279" r:id="rId1268" xr:uid="{C8086C96-9891-4B21-946A-BD2239D47797}"/>
  </hyperlinks>
  <pageMargins left="0.7" right="0.7" top="0.75" bottom="0.75" header="0.3" footer="0.3"/>
  <legacyDrawing r:id="rId12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Deals (investment)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AGNES</dc:creator>
  <cp:lastModifiedBy>AGNES</cp:lastModifiedBy>
  <dcterms:created xsi:type="dcterms:W3CDTF">2021-11-14T06:30:40Z</dcterms:created>
  <dcterms:modified xsi:type="dcterms:W3CDTF">2022-02-15T01:08:36Z</dcterms:modified>
</cp:coreProperties>
</file>